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6.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7.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omments8.xml" ContentType="application/vnd.openxmlformats-officedocument.spreadsheetml.comments+xml"/>
  <Override PartName="/xl/tables/table50.xml" ContentType="application/vnd.openxmlformats-officedocument.spreadsheetml.table+xml"/>
  <Override PartName="/xl/drawings/drawing6.xml" ContentType="application/vnd.openxmlformats-officedocument.drawing+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comments9.xml" ContentType="application/vnd.openxmlformats-officedocument.spreadsheetml.comments+xml"/>
  <Override PartName="/xl/tables/table54.xml" ContentType="application/vnd.openxmlformats-officedocument.spreadsheetml.table+xml"/>
  <Override PartName="/xl/comments10.xml" ContentType="application/vnd.openxmlformats-officedocument.spreadsheetml.comments+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55.xml" ContentType="application/vnd.openxmlformats-officedocument.spreadsheetml.table+xml"/>
  <Override PartName="/xl/comments11.xml" ContentType="application/vnd.openxmlformats-officedocument.spreadsheetml.comments+xml"/>
  <Override PartName="/xl/tables/table5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mc:AlternateContent xmlns:mc="http://schemas.openxmlformats.org/markup-compatibility/2006">
    <mc:Choice Requires="x15">
      <x15ac:absPath xmlns:x15ac="http://schemas.microsoft.com/office/spreadsheetml/2010/11/ac" url="https://smartcsolar.sharepoint.com/sites/Sales/Shared Documents/5.5 Pricing/5.5.1 Sales Quote Tool/"/>
    </mc:Choice>
  </mc:AlternateContent>
  <xr:revisionPtr revIDLastSave="420" documentId="13_ncr:1_{68769134-4304-4F4E-80A3-2289E8B530DD}" xr6:coauthVersionLast="47" xr6:coauthVersionMax="47" xr10:uidLastSave="{CAA55C1E-8DEA-49F0-872E-72239A1C6905}"/>
  <bookViews>
    <workbookView xWindow="15345" yWindow="-16395" windowWidth="29040" windowHeight="15720" tabRatio="848" firstSheet="3" activeTab="3" xr2:uid="{A0954626-2F66-41E0-BE0D-F461A0DBB986}"/>
  </bookViews>
  <sheets>
    <sheet name="Internal" sheetId="71" state="hidden" r:id="rId1"/>
    <sheet name="Internal 2" sheetId="72" state="hidden" r:id="rId2"/>
    <sheet name="EV Chargers Backend" sheetId="76" state="hidden" r:id="rId3"/>
    <sheet name="SOLAR" sheetId="36" r:id="rId4"/>
    <sheet name="BESS" sheetId="81" r:id="rId5"/>
    <sheet name="EV" sheetId="77" r:id="rId6"/>
    <sheet name="PV Agreement" sheetId="80" r:id="rId7"/>
    <sheet name="PV Agreement Print Areas" sheetId="86" state="hidden" r:id="rId8"/>
    <sheet name="PV &amp; BESS Agreement" sheetId="85" r:id="rId9"/>
    <sheet name="BESS Agreement" sheetId="83" r:id="rId10"/>
    <sheet name="Linking Cells" sheetId="62" state="hidden" r:id="rId11"/>
    <sheet name="EV Agreement" sheetId="79" r:id="rId12"/>
    <sheet name="Projects PnL" sheetId="58" state="hidden" r:id="rId13"/>
    <sheet name="DNSP Calc" sheetId="75" state="hidden" r:id="rId14"/>
    <sheet name="1. Prelim" sheetId="84" r:id="rId15"/>
    <sheet name="2. PV Components" sheetId="17" r:id="rId16"/>
    <sheet name="2.1 BESS Components" sheetId="82" r:id="rId17"/>
    <sheet name="3. Cabling" sheetId="19" r:id="rId18"/>
    <sheet name="4. Switch Gear" sheetId="35" r:id="rId19"/>
    <sheet name="5. Install" sheetId="45" r:id="rId20"/>
    <sheet name="Rebates" sheetId="26" r:id="rId21"/>
    <sheet name="6. Safety" sheetId="14" r:id="rId22"/>
    <sheet name="7. Monitoring + Warranty" sheetId="39" r:id="rId23"/>
    <sheet name="Procore Budget" sheetId="74" state="hidden" r:id="rId24"/>
    <sheet name="AC Calculator" sheetId="60" r:id="rId25"/>
    <sheet name="Handover Checklist" sheetId="70" r:id="rId26"/>
    <sheet name="Service Model" sheetId="69" r:id="rId27"/>
    <sheet name="Glossary of terms" sheetId="33" r:id="rId28"/>
    <sheet name="Internal Glossary" sheetId="73" r:id="rId29"/>
    <sheet name="Inclusions" sheetId="65" r:id="rId30"/>
    <sheet name="Sales People" sheetId="31" r:id="rId31"/>
    <sheet name="Change Log" sheetId="67" r:id="rId32"/>
  </sheets>
  <externalReferences>
    <externalReference r:id="rId33"/>
    <externalReference r:id="rId34"/>
    <externalReference r:id="rId35"/>
    <externalReference r:id="rId36"/>
    <externalReference r:id="rId37"/>
    <externalReference r:id="rId38"/>
    <externalReference r:id="rId39"/>
  </externalReferences>
  <definedNames>
    <definedName name="_xleta.AND" hidden="1" xlm="1">#NAME?</definedName>
    <definedName name="_xleta.FILTER" hidden="1" xlm="1">#NAME?</definedName>
    <definedName name="_xleta.MAX" hidden="1" xlm="1">#NAME?</definedName>
    <definedName name="_xleta.MIN" hidden="1" xlm="1">#NAME?</definedName>
    <definedName name="ac_gpu_to_msb_dropdown" localSheetId="9">INDIRECT('[1]Cost Calculator'!$E$49)</definedName>
    <definedName name="ac_gpu_to_msb_dropdown" localSheetId="5">INDIRECT(#REF!)</definedName>
    <definedName name="ac_gpu_to_msb_dropdown" localSheetId="11">INDIRECT(#REF!)</definedName>
    <definedName name="ac_gpu_to_msb_dropdown" localSheetId="2">INDIRECT(#REF!)</definedName>
    <definedName name="ac_gpu_to_msb_dropdown" localSheetId="25">INDIRECT('[2]Cost Calculator'!$D$48)</definedName>
    <definedName name="ac_gpu_to_msb_dropdown" localSheetId="28">INDIRECT('[3]Cost Calculator'!$D$48)</definedName>
    <definedName name="ac_gpu_to_msb_dropdown" localSheetId="8">INDIRECT('[1]Cost Calculator'!$E$49)</definedName>
    <definedName name="ac_gpu_to_msb_dropdown" localSheetId="6">INDIRECT('[1]Cost Calculator'!$E$49)</definedName>
    <definedName name="ac_gpu_to_msb_dropdown">INDIRECT(SOLAR!$E$50)</definedName>
    <definedName name="ac_inverter_to_gpu_dropdown" localSheetId="9">INDIRECT('[1]Cost Calculator'!$E$48)</definedName>
    <definedName name="ac_inverter_to_gpu_dropdown" localSheetId="5">INDIRECT(#REF!)</definedName>
    <definedName name="ac_inverter_to_gpu_dropdown" localSheetId="11">INDIRECT(#REF!)</definedName>
    <definedName name="ac_inverter_to_gpu_dropdown" localSheetId="2">INDIRECT(#REF!)</definedName>
    <definedName name="ac_inverter_to_gpu_dropdown" localSheetId="25">INDIRECT('[2]Cost Calculator'!$D$47)</definedName>
    <definedName name="ac_inverter_to_gpu_dropdown" localSheetId="28">INDIRECT('[3]Cost Calculator'!$D$47)</definedName>
    <definedName name="ac_inverter_to_gpu_dropdown" localSheetId="8">INDIRECT('[1]Cost Calculator'!$E$48)</definedName>
    <definedName name="ac_inverter_to_gpu_dropdown" localSheetId="6">INDIRECT('[1]Cost Calculator'!$E$48)</definedName>
    <definedName name="ac_inverter_to_gpu_dropdown">INDIRECT(SOLAR!$E$49)</definedName>
    <definedName name="Balloon" localSheetId="5">#REF!</definedName>
    <definedName name="Balloon" localSheetId="11">[4]Inputs!$M$13</definedName>
    <definedName name="Balloon" localSheetId="2">[4]Inputs!$M$13</definedName>
    <definedName name="Balloon">[4]Inputs!$M$13</definedName>
    <definedName name="child_meter_cost">#REF!</definedName>
    <definedName name="Client_Name" localSheetId="5">#REF!</definedName>
    <definedName name="Client_Name" localSheetId="11">[4]Inputs!$B$6</definedName>
    <definedName name="Client_Name" localSheetId="2">[4]Inputs!$B$6</definedName>
    <definedName name="Client_Name">[4]Inputs!$B$6</definedName>
    <definedName name="File_Name" localSheetId="5">#REF!</definedName>
    <definedName name="File_Name" localSheetId="11">#REF!</definedName>
    <definedName name="File_Name" localSheetId="2">#REF!</definedName>
    <definedName name="File_Name" localSheetId="25">#REF!</definedName>
    <definedName name="File_Name" localSheetId="26">#REF!</definedName>
    <definedName name="File_Name">#REF!</definedName>
    <definedName name="Filen_Name" localSheetId="5">#REF!</definedName>
    <definedName name="Filen_Name" localSheetId="11">#REF!</definedName>
    <definedName name="Filen_Name" localSheetId="2">#REF!</definedName>
    <definedName name="Filen_Name" localSheetId="25">#REF!</definedName>
    <definedName name="Filen_Name" localSheetId="26">#REF!</definedName>
    <definedName name="Filen_Name">#REF!</definedName>
    <definedName name="GEN_MWH" localSheetId="5">#REF!</definedName>
    <definedName name="GEN_MWH" localSheetId="11">#REF!</definedName>
    <definedName name="GEN_MWH" localSheetId="2">#REF!</definedName>
    <definedName name="GEN_MWH" localSheetId="25">#REF!</definedName>
    <definedName name="GEN_MWH">#REF!</definedName>
    <definedName name="KVAR_Steps" localSheetId="5">#REF!</definedName>
    <definedName name="KVAR_Steps" localSheetId="11">[4]Inputs!$B$18</definedName>
    <definedName name="KVAR_Steps" localSheetId="2">[4]Inputs!$B$18</definedName>
    <definedName name="KVAR_Steps">[4]Inputs!$B$18</definedName>
    <definedName name="Losses" localSheetId="5">#REF!</definedName>
    <definedName name="Losses" localSheetId="11">[4]Inputs!$J$5</definedName>
    <definedName name="Losses" localSheetId="2">[4]Inputs!$J$5</definedName>
    <definedName name="Losses">[4]Inputs!$J$5</definedName>
    <definedName name="name" localSheetId="5">#REF!</definedName>
    <definedName name="name" localSheetId="11">#REF!</definedName>
    <definedName name="name" localSheetId="2">#REF!</definedName>
    <definedName name="name" localSheetId="25">'[2]Service Model'!#REF!</definedName>
    <definedName name="name" localSheetId="26">'Service Model'!$B$2</definedName>
    <definedName name="name">#REF!</definedName>
    <definedName name="NMI" localSheetId="5">#REF!</definedName>
    <definedName name="NMI" localSheetId="11">[4]Inputs!$B$11</definedName>
    <definedName name="NMI" localSheetId="2">[4]Inputs!$B$11</definedName>
    <definedName name="NMI" localSheetId="26">#REF!</definedName>
    <definedName name="NMI">[4]Inputs!$B$11</definedName>
    <definedName name="nOffpeak" localSheetId="5">#REF!</definedName>
    <definedName name="nOffpeak" localSheetId="11">[4]Inputs!$L$7</definedName>
    <definedName name="nOffpeak" localSheetId="2">[4]Inputs!$L$7</definedName>
    <definedName name="nOffpeak">[4]Inputs!$L$7</definedName>
    <definedName name="nPeak" localSheetId="5">#REF!</definedName>
    <definedName name="nPeak" localSheetId="11">[4]Inputs!$J$7</definedName>
    <definedName name="nPeak" localSheetId="2">[4]Inputs!$J$7</definedName>
    <definedName name="nPeak">[4]Inputs!$J$7</definedName>
    <definedName name="nShoulder" localSheetId="5">#REF!</definedName>
    <definedName name="nShoulder" localSheetId="11">[4]Inputs!$K$7</definedName>
    <definedName name="nShoulder" localSheetId="2">[4]Inputs!$K$7</definedName>
    <definedName name="nShoulder">[4]Inputs!$K$7</definedName>
    <definedName name="Offpeak" localSheetId="5">#REF!</definedName>
    <definedName name="Offpeak" localSheetId="11">[4]Inputs!$L$4</definedName>
    <definedName name="Offpeak" localSheetId="2">[4]Inputs!$L$4</definedName>
    <definedName name="Offpeak">[4]Inputs!$L$4</definedName>
    <definedName name="Peak" localSheetId="5">#REF!</definedName>
    <definedName name="Peak" localSheetId="11">[4]Inputs!$J$4</definedName>
    <definedName name="Peak" localSheetId="2">[4]Inputs!$J$4</definedName>
    <definedName name="Peak">[4]Inputs!$J$4</definedName>
    <definedName name="PFC_Size" localSheetId="5">#REF!</definedName>
    <definedName name="PFC_Size" localSheetId="11">[4]Inputs!$B$20</definedName>
    <definedName name="PFC_Size" localSheetId="2">[4]Inputs!$B$20</definedName>
    <definedName name="PFC_Size">[4]Inputs!$B$20</definedName>
    <definedName name="Post" localSheetId="5">#REF!</definedName>
    <definedName name="Post" localSheetId="11">[4]Inputs!$B$9</definedName>
    <definedName name="Post" localSheetId="2">[4]Inputs!$B$9</definedName>
    <definedName name="Post">[4]Inputs!$B$9</definedName>
    <definedName name="PowerSync_OandM">#REF!</definedName>
    <definedName name="_xlnm.Print_Area" localSheetId="9">'BESS Agreement'!$AR$3:$CC$60,'BESS Agreement'!$C$64:$AN$121,'BESS Agreement'!$AR$64:$CC$121,'BESS Agreement'!$C$124:$AN$181,'BESS Agreement'!$AR$124:$CC$181,'BESS Agreement'!$C$184:$AN$241,'BESS Agreement'!$AR$184:$CC$241</definedName>
    <definedName name="_xlnm.Print_Area" localSheetId="11">'EV Agreement'!$AR$3:$CB$60,'EV Agreement'!$C$63:$AN$120,'EV Agreement'!$AR$63:$CB$120,'EV Agreement'!$C$123:$AN$180</definedName>
    <definedName name="_xlnm.Print_Area" localSheetId="25">'Handover Checklist'!$B$2:$K$39,'Handover Checklist'!$B$41:$K$63,'Handover Checklist'!$B$65:$K$82</definedName>
    <definedName name="_xlnm.Print_Area" localSheetId="8">'PV &amp; BESS Agreement'!$AR$3:$CC$60,'PV &amp; BESS Agreement'!$C$64:$AN$121,'PV &amp; BESS Agreement'!$AR$64:$CC$121,'PV &amp; BESS Agreement'!$C$124:$AN$181,'PV &amp; BESS Agreement'!$AR$124:$CC$181,'PV &amp; BESS Agreement'!$C$244:$AN$301,'PV &amp; BESS Agreement'!$C$184:$AN$241,'PV &amp; BESS Agreement'!$AR$184:$CC$241</definedName>
    <definedName name="_xlnm.Print_Area" localSheetId="6">'PV Agreement'!$AR$3:$CC$60,'PV Agreement'!$C$64:$AN$121,'PV Agreement'!$AR$64:$CC$121,'PV Agreement'!$C$124:$AN$181,'PV Agreement'!$AR$124:$CC$181,'PV Agreement'!$C$244:$AN$301,'PV Agreement'!$C$184:$AN$241,'PV Agreement'!$AR$184:$CC$241</definedName>
    <definedName name="_xlnm.Print_Area" localSheetId="7">'PV Agreement Print Areas'!$B$5</definedName>
    <definedName name="PST_Platform_Fee">#REF!</definedName>
    <definedName name="SA">#REF!</definedName>
    <definedName name="Select_Panel" localSheetId="5">#REF!</definedName>
    <definedName name="Select_Panel" localSheetId="11">#REF!</definedName>
    <definedName name="Select_Panel" localSheetId="2">#REF!</definedName>
    <definedName name="Select_Panel" localSheetId="25">#REF!</definedName>
    <definedName name="Select_Panel">#REF!</definedName>
    <definedName name="Shoulder" localSheetId="5">#REF!</definedName>
    <definedName name="Shoulder" localSheetId="11">[4]Inputs!$K$4</definedName>
    <definedName name="Shoulder" localSheetId="2">[4]Inputs!$K$4</definedName>
    <definedName name="Shoulder">[4]Inputs!$K$4</definedName>
    <definedName name="Site_Name" localSheetId="5">#REF!</definedName>
    <definedName name="Site_Name" localSheetId="11">#REF!</definedName>
    <definedName name="Site_Name" localSheetId="2">#REF!</definedName>
    <definedName name="Site_Name" localSheetId="25">#REF!</definedName>
    <definedName name="Site_Name" localSheetId="26">#REF!</definedName>
    <definedName name="Site_Name">#REF!</definedName>
    <definedName name="size" localSheetId="5">#REF!</definedName>
    <definedName name="size" localSheetId="11">#REF!</definedName>
    <definedName name="size" localSheetId="2">#REF!</definedName>
    <definedName name="size" localSheetId="25">'[2]Service Model'!$B$3</definedName>
    <definedName name="size" localSheetId="26">'Service Model'!$B$9</definedName>
    <definedName name="size">#REF!</definedName>
    <definedName name="Specific_Yield" localSheetId="5">#REF!</definedName>
    <definedName name="Specific_Yield" localSheetId="11">#REF!</definedName>
    <definedName name="Specific_Yield" localSheetId="2">#REF!</definedName>
    <definedName name="Specific_Yield" localSheetId="25">#REF!</definedName>
    <definedName name="Specific_Yield">#REF!</definedName>
    <definedName name="State" localSheetId="9">[4]Inputs!$B$10</definedName>
    <definedName name="STATE" localSheetId="5">#REF!</definedName>
    <definedName name="State" localSheetId="11">[4]Inputs!$B$10</definedName>
    <definedName name="STATE" localSheetId="2">[5]!Table1017[STATE]</definedName>
    <definedName name="State" localSheetId="8">[4]Inputs!$B$10</definedName>
    <definedName name="State" localSheetId="6">[4]Inputs!$B$10</definedName>
    <definedName name="STATE">[5]!Table1017[STATE]</definedName>
    <definedName name="Step_Size" localSheetId="5">#REF!</definedName>
    <definedName name="Step_Size" localSheetId="11">[4]Inputs!$B$19</definedName>
    <definedName name="Step_Size" localSheetId="2">[4]Inputs!$B$19</definedName>
    <definedName name="Step_Size">[4]Inputs!$B$19</definedName>
    <definedName name="street_no" localSheetId="5">#REF!</definedName>
    <definedName name="street_no" localSheetId="11">[4]Inputs!$B$7</definedName>
    <definedName name="street_no" localSheetId="2">[4]Inputs!$B$7</definedName>
    <definedName name="street_no">[4]Inputs!$B$7</definedName>
    <definedName name="Suburb" localSheetId="5">#REF!</definedName>
    <definedName name="Suburb" localSheetId="11">[4]Inputs!$B$8</definedName>
    <definedName name="Suburb" localSheetId="2">[4]Inputs!$B$8</definedName>
    <definedName name="Suburb">[4]Inputs!$B$8</definedName>
    <definedName name="Suppliers" localSheetId="5">#REF!</definedName>
    <definedName name="Suppliers" localSheetId="11">[6]Lists!$A$3:$A$5</definedName>
    <definedName name="Suppliers" localSheetId="2">[6]Lists!$A$3:$A$5</definedName>
    <definedName name="Suppliers">[6]Lists!$A$3:$A$5</definedName>
    <definedName name="System_Size" localSheetId="5">#REF!</definedName>
    <definedName name="System_Size" localSheetId="11">[4]Inputs!$B$2</definedName>
    <definedName name="System_Size" localSheetId="2">[4]Inputs!$B$2</definedName>
    <definedName name="System_Size" localSheetId="26">#REF!</definedName>
    <definedName name="System_Size">[4]Inputs!$B$2</definedName>
    <definedName name="Total_Solar_Resource" localSheetId="5">#REF!</definedName>
    <definedName name="Total_Solar_Resource" localSheetId="11">#REF!</definedName>
    <definedName name="Total_Solar_Resource" localSheetId="2">#REF!</definedName>
    <definedName name="Total_Solar_Resource">#REF!</definedName>
    <definedName name="VEEC_indicator">SOLAR!$K$20</definedName>
    <definedName name="Version" localSheetId="5">#REF!</definedName>
    <definedName name="Version" localSheetId="11">#REF!</definedName>
    <definedName name="Version" localSheetId="2">#REF!</definedName>
    <definedName name="Version" localSheetId="25">#REF!</definedName>
    <definedName name="version" localSheetId="26">'Service Model'!$B$3</definedName>
    <definedName name="Version">#REF!</definedName>
  </definedNames>
  <calcPr calcId="191029"/>
  <fileRecoveryPr autoRecover="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3" i="60" l="1" a="1"/>
  <c r="B23" i="60" s="1"/>
  <c r="F39" i="36"/>
  <c r="W23" i="26"/>
  <c r="W24" i="26" s="1"/>
  <c r="B40" i="26" s="1"/>
  <c r="B68" i="62"/>
  <c r="B67" i="62"/>
  <c r="H34" i="17"/>
  <c r="H7" i="17" s="1"/>
  <c r="G136" i="82" a="1"/>
  <c r="G136" i="82" s="1"/>
  <c r="G139" i="82" a="1"/>
  <c r="G139" i="82" s="1"/>
  <c r="G140" i="82" a="1"/>
  <c r="G140" i="82" s="1"/>
  <c r="S13" i="82"/>
  <c r="E143" i="82"/>
  <c r="E144" i="82"/>
  <c r="E145" i="82"/>
  <c r="E146" i="82"/>
  <c r="D15" i="62"/>
  <c r="B43" i="26"/>
  <c r="I98" i="36"/>
  <c r="I99" i="36"/>
  <c r="I100" i="36"/>
  <c r="I101" i="36"/>
  <c r="C45" i="74"/>
  <c r="S67" i="17"/>
  <c r="R67" i="17"/>
  <c r="P67" i="17"/>
  <c r="S55" i="17"/>
  <c r="R55" i="17"/>
  <c r="R28" i="17"/>
  <c r="P55" i="17"/>
  <c r="S15" i="17"/>
  <c r="S22" i="17"/>
  <c r="R22" i="17"/>
  <c r="S28" i="17"/>
  <c r="P28" i="17"/>
  <c r="R15" i="17"/>
  <c r="P22" i="17"/>
  <c r="P15" i="17"/>
  <c r="F38" i="36"/>
  <c r="E27" i="82"/>
  <c r="B39" i="26"/>
  <c r="B5" i="26"/>
  <c r="L17" i="36"/>
  <c r="B8" i="26" s="1"/>
  <c r="K23" i="36"/>
  <c r="F19" i="45" a="1"/>
  <c r="F19" i="45" s="1"/>
  <c r="I66" i="36" s="1"/>
  <c r="B18" i="26"/>
  <c r="B24" i="26" s="1"/>
  <c r="B29" i="26"/>
  <c r="E15" i="62" s="1"/>
  <c r="B3" i="26"/>
  <c r="F23" i="36"/>
  <c r="F3" i="84" s="1"/>
  <c r="L18" i="36"/>
  <c r="B17" i="26"/>
  <c r="B25" i="26" s="1"/>
  <c r="H5" i="26"/>
  <c r="B4" i="26"/>
  <c r="B2" i="26"/>
  <c r="B41" i="26" l="1" a="1"/>
  <c r="B41" i="26" s="1"/>
  <c r="I38" i="36"/>
  <c r="F42" i="36"/>
  <c r="B27" i="26"/>
  <c r="B19" i="26"/>
  <c r="B20" i="26"/>
  <c r="B9" i="26"/>
  <c r="B7" i="26"/>
  <c r="H35" i="19"/>
  <c r="H36" i="19"/>
  <c r="H37" i="19"/>
  <c r="H38" i="19"/>
  <c r="H39" i="19"/>
  <c r="H40" i="19"/>
  <c r="H41" i="19"/>
  <c r="H42" i="19"/>
  <c r="H43" i="19"/>
  <c r="H44" i="19"/>
  <c r="H45" i="19"/>
  <c r="H46" i="19"/>
  <c r="H47" i="19"/>
  <c r="H48" i="19"/>
  <c r="H49" i="19"/>
  <c r="H50" i="19"/>
  <c r="H51" i="19"/>
  <c r="H52" i="19"/>
  <c r="H53" i="19"/>
  <c r="H34" i="19"/>
  <c r="F34" i="19"/>
  <c r="I28" i="19"/>
  <c r="I29" i="19"/>
  <c r="I30" i="19"/>
  <c r="I31" i="19"/>
  <c r="I32" i="19"/>
  <c r="I33" i="19"/>
  <c r="H24" i="19"/>
  <c r="I27" i="19" s="1"/>
  <c r="H23" i="19"/>
  <c r="I26" i="19" s="1"/>
  <c r="G29" i="19"/>
  <c r="G30" i="19"/>
  <c r="G31" i="19"/>
  <c r="G32" i="19"/>
  <c r="G33" i="19"/>
  <c r="F35" i="19"/>
  <c r="F36" i="19"/>
  <c r="F37" i="19"/>
  <c r="F38" i="19"/>
  <c r="F39" i="19"/>
  <c r="F40" i="19"/>
  <c r="F41" i="19"/>
  <c r="F42" i="19"/>
  <c r="F43" i="19"/>
  <c r="F44" i="19"/>
  <c r="F45" i="19"/>
  <c r="F46" i="19"/>
  <c r="F47" i="19"/>
  <c r="F48" i="19"/>
  <c r="F49" i="19"/>
  <c r="F50" i="19"/>
  <c r="F51" i="19"/>
  <c r="F52" i="19"/>
  <c r="F53" i="19"/>
  <c r="F24" i="19"/>
  <c r="G28" i="19" s="1"/>
  <c r="F23" i="19"/>
  <c r="G26" i="19" s="1"/>
  <c r="AB22" i="60" a="1"/>
  <c r="AB22" i="60" s="1"/>
  <c r="AB23" i="60" a="1"/>
  <c r="AB23" i="60" s="1"/>
  <c r="AB24" i="60" a="1"/>
  <c r="AB24" i="60" s="1"/>
  <c r="AB25" i="60" a="1"/>
  <c r="AB25" i="60" s="1"/>
  <c r="AB26" i="60" a="1"/>
  <c r="AB26" i="60" s="1"/>
  <c r="AB27" i="60" a="1"/>
  <c r="AB27" i="60" s="1"/>
  <c r="AB28" i="60" a="1"/>
  <c r="AB28" i="60" s="1"/>
  <c r="AB30" i="60" a="1"/>
  <c r="AB30" i="60" s="1"/>
  <c r="AB21" i="60" a="1"/>
  <c r="AB21" i="60" s="1"/>
  <c r="AC21" i="60"/>
  <c r="AA4" i="60"/>
  <c r="AA5" i="60"/>
  <c r="AA6" i="60"/>
  <c r="AA7" i="60"/>
  <c r="AA8" i="60"/>
  <c r="AA9" i="60"/>
  <c r="AA10" i="60"/>
  <c r="AA11" i="60"/>
  <c r="AA12" i="60"/>
  <c r="AA13" i="60"/>
  <c r="AA14" i="60"/>
  <c r="AA15" i="60"/>
  <c r="AA16" i="60"/>
  <c r="AA17" i="60"/>
  <c r="AA18" i="60"/>
  <c r="AA19" i="60"/>
  <c r="AA20" i="60"/>
  <c r="AA3" i="60"/>
  <c r="G34" i="19" l="1"/>
  <c r="B11" i="26"/>
  <c r="B13" i="26" s="1"/>
  <c r="L19" i="36" s="1"/>
  <c r="I34" i="19"/>
  <c r="AB34" i="60" a="1"/>
  <c r="AB34" i="60" s="1"/>
  <c r="G47" i="19" s="1"/>
  <c r="G27" i="19"/>
  <c r="G43" i="19"/>
  <c r="G40" i="19"/>
  <c r="G41" i="19"/>
  <c r="AB29" i="60" a="1"/>
  <c r="AB29" i="60" s="1"/>
  <c r="G42" i="19" s="1"/>
  <c r="AB38" i="60" a="1"/>
  <c r="AB38" i="60" s="1"/>
  <c r="G51" i="19" s="1"/>
  <c r="AC40" i="60" a="1"/>
  <c r="AC40" i="60" s="1"/>
  <c r="I53" i="19" s="1"/>
  <c r="AC39" i="60" a="1"/>
  <c r="AC39" i="60" s="1"/>
  <c r="I52" i="19" s="1"/>
  <c r="AC24" i="60" a="1"/>
  <c r="AC24" i="60" s="1"/>
  <c r="I37" i="19" s="1"/>
  <c r="G38" i="19"/>
  <c r="AC37" i="60" a="1"/>
  <c r="AC37" i="60" s="1"/>
  <c r="I50" i="19" s="1"/>
  <c r="AC26" i="60" a="1"/>
  <c r="AC26" i="60" s="1"/>
  <c r="I39" i="19" s="1"/>
  <c r="G37" i="19"/>
  <c r="AC22" i="60" a="1"/>
  <c r="AC22" i="60" s="1"/>
  <c r="I35" i="19" s="1"/>
  <c r="AC27" i="60" a="1"/>
  <c r="AC27" i="60" s="1"/>
  <c r="I40" i="19" s="1"/>
  <c r="AC35" i="60" a="1"/>
  <c r="AC35" i="60" s="1"/>
  <c r="I48" i="19" s="1"/>
  <c r="AB33" i="60" a="1"/>
  <c r="AB33" i="60" s="1"/>
  <c r="G46" i="19" s="1"/>
  <c r="AB32" i="60" a="1"/>
  <c r="AB32" i="60" s="1"/>
  <c r="G45" i="19" s="1"/>
  <c r="AB31" i="60" a="1"/>
  <c r="AB31" i="60" s="1"/>
  <c r="G44" i="19" s="1"/>
  <c r="AC31" i="60" a="1"/>
  <c r="AC31" i="60" s="1"/>
  <c r="I44" i="19" s="1"/>
  <c r="I25" i="19"/>
  <c r="G36" i="19"/>
  <c r="G35" i="19"/>
  <c r="G39" i="19"/>
  <c r="AC23" i="60" a="1"/>
  <c r="AC23" i="60" s="1"/>
  <c r="I36" i="19" s="1"/>
  <c r="AC36" i="60" a="1"/>
  <c r="AC36" i="60" s="1"/>
  <c r="I49" i="19" s="1"/>
  <c r="AB40" i="60" a="1"/>
  <c r="AB40" i="60" s="1"/>
  <c r="G53" i="19" s="1"/>
  <c r="AC34" i="60" a="1"/>
  <c r="AC34" i="60" s="1"/>
  <c r="I47" i="19" s="1"/>
  <c r="AC33" i="60" a="1"/>
  <c r="AC33" i="60" s="1"/>
  <c r="I46" i="19" s="1"/>
  <c r="AB39" i="60" a="1"/>
  <c r="AB39" i="60" s="1"/>
  <c r="G52" i="19" s="1"/>
  <c r="AC38" i="60" a="1"/>
  <c r="AC38" i="60" s="1"/>
  <c r="I51" i="19" s="1"/>
  <c r="AB37" i="60" a="1"/>
  <c r="AB37" i="60" s="1"/>
  <c r="G50" i="19" s="1"/>
  <c r="AC25" i="60" a="1"/>
  <c r="AC25" i="60" s="1"/>
  <c r="I38" i="19" s="1"/>
  <c r="AC32" i="60" a="1"/>
  <c r="AC32" i="60" s="1"/>
  <c r="I45" i="19" s="1"/>
  <c r="AC30" i="60" a="1"/>
  <c r="AC30" i="60" s="1"/>
  <c r="I43" i="19" s="1"/>
  <c r="AB36" i="60" a="1"/>
  <c r="AB36" i="60" s="1"/>
  <c r="G49" i="19" s="1"/>
  <c r="AC29" i="60" a="1"/>
  <c r="AC29" i="60" s="1"/>
  <c r="I42" i="19" s="1"/>
  <c r="AB35" i="60" a="1"/>
  <c r="AB35" i="60" s="1"/>
  <c r="G48" i="19" s="1"/>
  <c r="AC28" i="60" a="1"/>
  <c r="AC28" i="60" s="1"/>
  <c r="I41" i="19" s="1"/>
  <c r="H140" i="82" a="1"/>
  <c r="H140" i="82" s="1"/>
  <c r="E140" i="82"/>
  <c r="E139" i="82"/>
  <c r="C139" i="82"/>
  <c r="H139" i="82" l="1" a="1"/>
  <c r="H139" i="82" s="1"/>
  <c r="U39" i="60" l="1"/>
  <c r="T39" i="60"/>
  <c r="U38" i="60"/>
  <c r="T38" i="60"/>
  <c r="U37" i="60"/>
  <c r="T37" i="60"/>
  <c r="U36" i="60"/>
  <c r="T36" i="60"/>
  <c r="U35" i="60"/>
  <c r="T35" i="60"/>
  <c r="U34" i="60"/>
  <c r="T34" i="60"/>
  <c r="U33" i="60"/>
  <c r="T33" i="60"/>
  <c r="U32" i="60"/>
  <c r="T32" i="60"/>
  <c r="U30" i="60"/>
  <c r="T30" i="60"/>
  <c r="U29" i="60"/>
  <c r="T29" i="60"/>
  <c r="U28" i="60"/>
  <c r="T28" i="60"/>
  <c r="U27" i="60"/>
  <c r="T27" i="60"/>
  <c r="U26" i="60"/>
  <c r="T26" i="60"/>
  <c r="U25" i="60"/>
  <c r="T25" i="60"/>
  <c r="U24" i="60"/>
  <c r="T24" i="60"/>
  <c r="U23" i="60"/>
  <c r="T23" i="60"/>
  <c r="U22" i="60"/>
  <c r="T22" i="60"/>
  <c r="U21" i="60"/>
  <c r="T21" i="60"/>
  <c r="U20" i="60"/>
  <c r="T20" i="60"/>
  <c r="H39" i="60"/>
  <c r="G39" i="60"/>
  <c r="H38" i="60"/>
  <c r="G38" i="60"/>
  <c r="H37" i="60"/>
  <c r="G37" i="60"/>
  <c r="H36" i="60"/>
  <c r="G36" i="60"/>
  <c r="H35" i="60"/>
  <c r="G35" i="60"/>
  <c r="H34" i="60"/>
  <c r="G34" i="60"/>
  <c r="H33" i="60"/>
  <c r="G33" i="60"/>
  <c r="H32" i="60"/>
  <c r="G32" i="60"/>
  <c r="H30" i="60"/>
  <c r="G30" i="60"/>
  <c r="H29" i="60"/>
  <c r="G29" i="60"/>
  <c r="H28" i="60"/>
  <c r="G28" i="60"/>
  <c r="H27" i="60"/>
  <c r="G27" i="60"/>
  <c r="H26" i="60"/>
  <c r="G26" i="60"/>
  <c r="H25" i="60"/>
  <c r="G25" i="60"/>
  <c r="H24" i="60"/>
  <c r="G24" i="60"/>
  <c r="H23" i="60"/>
  <c r="G23" i="60"/>
  <c r="H22" i="60"/>
  <c r="G22" i="60"/>
  <c r="I19" i="60"/>
  <c r="I28" i="60" s="1"/>
  <c r="H21" i="60"/>
  <c r="G21" i="60"/>
  <c r="H20" i="60"/>
  <c r="G20" i="60"/>
  <c r="S20" i="60"/>
  <c r="S39" i="60"/>
  <c r="S38" i="60"/>
  <c r="S37" i="60"/>
  <c r="S36" i="60"/>
  <c r="S35" i="60"/>
  <c r="S34" i="60"/>
  <c r="S33" i="60"/>
  <c r="S32" i="60"/>
  <c r="S31" i="60"/>
  <c r="S30" i="60"/>
  <c r="S29" i="60"/>
  <c r="S28" i="60"/>
  <c r="S27" i="60"/>
  <c r="S26" i="60"/>
  <c r="S25" i="60"/>
  <c r="S24" i="60"/>
  <c r="S23" i="60"/>
  <c r="S22" i="60"/>
  <c r="S21" i="60"/>
  <c r="F39" i="60"/>
  <c r="F38" i="60"/>
  <c r="F37" i="60"/>
  <c r="F36" i="60"/>
  <c r="F35" i="60"/>
  <c r="F34" i="60"/>
  <c r="F33" i="60"/>
  <c r="F32" i="60"/>
  <c r="F31" i="60"/>
  <c r="F30" i="60"/>
  <c r="F29" i="60"/>
  <c r="F28" i="60"/>
  <c r="F27" i="60"/>
  <c r="F26" i="60"/>
  <c r="F25" i="60"/>
  <c r="F24" i="60"/>
  <c r="F23" i="60"/>
  <c r="F22" i="60"/>
  <c r="F21" i="60"/>
  <c r="F20" i="60"/>
  <c r="I13" i="60"/>
  <c r="I2" i="60"/>
  <c r="O18" i="60"/>
  <c r="O2" i="60"/>
  <c r="I3" i="60"/>
  <c r="O5" i="60"/>
  <c r="B2" i="60"/>
  <c r="B7" i="60" s="1"/>
  <c r="B8" i="60" s="1"/>
  <c r="V19" i="60"/>
  <c r="V37" i="60" s="1"/>
  <c r="V18" i="60"/>
  <c r="V25" i="60" s="1"/>
  <c r="V31" i="60" s="1"/>
  <c r="V17" i="60"/>
  <c r="V36" i="60" s="1"/>
  <c r="V16" i="60"/>
  <c r="V21" i="60" s="1"/>
  <c r="V15" i="60"/>
  <c r="V20" i="60" s="1"/>
  <c r="V14" i="60"/>
  <c r="V22" i="60" s="1"/>
  <c r="V13" i="60"/>
  <c r="V12" i="60"/>
  <c r="V11" i="60"/>
  <c r="V10" i="60"/>
  <c r="V9" i="60"/>
  <c r="V8" i="60"/>
  <c r="B22" i="69"/>
  <c r="B15" i="17"/>
  <c r="C77" i="82"/>
  <c r="C76" i="82"/>
  <c r="C78" i="82"/>
  <c r="D37" i="81"/>
  <c r="E43" i="82"/>
  <c r="C28" i="62"/>
  <c r="C29" i="62"/>
  <c r="B104" i="62"/>
  <c r="C27" i="62"/>
  <c r="B143" i="62"/>
  <c r="B142" i="62"/>
  <c r="B138" i="62"/>
  <c r="B134" i="62"/>
  <c r="C135" i="62"/>
  <c r="B133" i="62"/>
  <c r="B132" i="62"/>
  <c r="C154" i="62"/>
  <c r="C124" i="62"/>
  <c r="B124" i="62"/>
  <c r="C123" i="62"/>
  <c r="B123" i="62"/>
  <c r="B14" i="17"/>
  <c r="B13" i="17"/>
  <c r="B10" i="69"/>
  <c r="D42" i="39" l="1"/>
  <c r="V24" i="60"/>
  <c r="I34" i="60"/>
  <c r="V26" i="60"/>
  <c r="V32" i="60"/>
  <c r="V38" i="60"/>
  <c r="V27" i="60"/>
  <c r="V33" i="60"/>
  <c r="I37" i="60"/>
  <c r="V39" i="60"/>
  <c r="V28" i="60"/>
  <c r="V34" i="60"/>
  <c r="V23" i="60"/>
  <c r="V29" i="60"/>
  <c r="V35" i="60"/>
  <c r="I39" i="60"/>
  <c r="V30" i="60"/>
  <c r="B9" i="60" a="1"/>
  <c r="B9" i="60" s="1"/>
  <c r="B12" i="60" a="1"/>
  <c r="B12" i="60" s="1"/>
  <c r="O15" i="60"/>
  <c r="O20" i="60" s="1"/>
  <c r="I39" i="36"/>
  <c r="O7" i="60"/>
  <c r="S11" i="82"/>
  <c r="E136" i="82"/>
  <c r="C136" i="82"/>
  <c r="AC2" i="26"/>
  <c r="AB4" i="26" s="1"/>
  <c r="AC8" i="75"/>
  <c r="AC2" i="75" a="1"/>
  <c r="AC2" i="75" s="1"/>
  <c r="AD2" i="75" a="1"/>
  <c r="AD2" i="75" s="1"/>
  <c r="AE2" i="75" a="1"/>
  <c r="AE2" i="75" s="1"/>
  <c r="AF2" i="75" a="1"/>
  <c r="AF2" i="75" s="1"/>
  <c r="AG2" i="75" a="1"/>
  <c r="AG2" i="75" s="1"/>
  <c r="AH2" i="75" a="1"/>
  <c r="AH2" i="75" s="1"/>
  <c r="AI2" i="75" a="1"/>
  <c r="AI2" i="75" s="1"/>
  <c r="AJ2" i="75" a="1"/>
  <c r="AJ2" i="75" s="1"/>
  <c r="AB2" i="75" a="1"/>
  <c r="AB2" i="75" s="1"/>
  <c r="C69" i="62"/>
  <c r="X26" i="60" l="1"/>
  <c r="W27" i="60"/>
  <c r="X39" i="60"/>
  <c r="X30" i="60"/>
  <c r="X21" i="60"/>
  <c r="X27" i="60"/>
  <c r="X23" i="60"/>
  <c r="X31" i="60"/>
  <c r="X24" i="60"/>
  <c r="X25" i="60"/>
  <c r="W36" i="60"/>
  <c r="X10" i="60"/>
  <c r="X32" i="60"/>
  <c r="W32" i="60"/>
  <c r="W33" i="60"/>
  <c r="W20" i="60"/>
  <c r="W37" i="60"/>
  <c r="W21" i="60"/>
  <c r="W38" i="60"/>
  <c r="W22" i="60"/>
  <c r="W39" i="60"/>
  <c r="W23" i="60"/>
  <c r="W18" i="60"/>
  <c r="W25" i="60"/>
  <c r="W28" i="60"/>
  <c r="W29" i="60"/>
  <c r="W35" i="60"/>
  <c r="W26" i="60"/>
  <c r="W31" i="60"/>
  <c r="X20" i="60"/>
  <c r="X33" i="60"/>
  <c r="X36" i="60"/>
  <c r="X28" i="60"/>
  <c r="X34" i="60"/>
  <c r="W30" i="60"/>
  <c r="X37" i="60"/>
  <c r="W19" i="60"/>
  <c r="W24" i="60"/>
  <c r="X22" i="60"/>
  <c r="X38" i="60"/>
  <c r="W34" i="60"/>
  <c r="X29" i="60"/>
  <c r="X35" i="60"/>
  <c r="X15" i="60"/>
  <c r="X13" i="60"/>
  <c r="X14" i="60"/>
  <c r="X16" i="60"/>
  <c r="X18" i="60"/>
  <c r="X17" i="60"/>
  <c r="O21" i="60"/>
  <c r="O22" i="60" s="1" a="1"/>
  <c r="O22" i="60" s="1"/>
  <c r="W12" i="60"/>
  <c r="X19" i="60"/>
  <c r="W9" i="60"/>
  <c r="X8" i="60"/>
  <c r="X11" i="60"/>
  <c r="X12" i="60"/>
  <c r="X9" i="60"/>
  <c r="W17" i="60"/>
  <c r="W16" i="60"/>
  <c r="W11" i="60"/>
  <c r="W10" i="60"/>
  <c r="W13" i="60"/>
  <c r="W8" i="60"/>
  <c r="W14" i="60"/>
  <c r="W15" i="60"/>
  <c r="O8" i="60"/>
  <c r="O9" i="60" s="1" a="1"/>
  <c r="O9" i="60" s="1"/>
  <c r="H136" i="82" a="1"/>
  <c r="H136" i="82" s="1"/>
  <c r="AB3" i="26"/>
  <c r="AF10" i="26" s="1"/>
  <c r="AH10" i="26" s="1"/>
  <c r="AE14" i="26"/>
  <c r="AG14" i="26" s="1"/>
  <c r="AE10" i="26"/>
  <c r="AG10" i="26" s="1"/>
  <c r="AE11" i="26"/>
  <c r="AG11" i="26" s="1"/>
  <c r="AE12" i="26"/>
  <c r="AG12" i="26" s="1"/>
  <c r="AE13" i="26"/>
  <c r="AG13" i="26" s="1"/>
  <c r="AE9" i="26"/>
  <c r="AG9" i="26" s="1"/>
  <c r="AC9" i="75" a="1"/>
  <c r="C15" i="74"/>
  <c r="I56" i="36"/>
  <c r="D90" i="36"/>
  <c r="B98" i="62"/>
  <c r="A98" i="62"/>
  <c r="L11" i="17"/>
  <c r="L10" i="17"/>
  <c r="L9" i="17"/>
  <c r="L8" i="17"/>
  <c r="L7" i="17"/>
  <c r="I8" i="35"/>
  <c r="I9" i="35"/>
  <c r="I10" i="35"/>
  <c r="I11" i="35"/>
  <c r="I12" i="35"/>
  <c r="I13" i="35"/>
  <c r="I14" i="35"/>
  <c r="I15" i="35"/>
  <c r="I16" i="35"/>
  <c r="I17" i="35"/>
  <c r="I18" i="35"/>
  <c r="I19" i="35"/>
  <c r="I20" i="35"/>
  <c r="I21" i="35"/>
  <c r="I7" i="35"/>
  <c r="C33" i="74"/>
  <c r="C54" i="74"/>
  <c r="C53" i="74"/>
  <c r="C52" i="74"/>
  <c r="C51" i="74"/>
  <c r="C50" i="74"/>
  <c r="C44" i="74"/>
  <c r="C43" i="74"/>
  <c r="C42" i="74"/>
  <c r="C41" i="74"/>
  <c r="C40" i="74"/>
  <c r="C39" i="74"/>
  <c r="C38" i="74"/>
  <c r="C37" i="74"/>
  <c r="C36" i="74"/>
  <c r="C35" i="74"/>
  <c r="C34" i="74"/>
  <c r="I85" i="36"/>
  <c r="C32" i="74"/>
  <c r="C31" i="74"/>
  <c r="C30" i="74"/>
  <c r="C29" i="74"/>
  <c r="C28" i="74"/>
  <c r="C27" i="74"/>
  <c r="C26" i="74"/>
  <c r="C25" i="74"/>
  <c r="C24" i="74"/>
  <c r="C22" i="74"/>
  <c r="C21" i="74"/>
  <c r="C20" i="74"/>
  <c r="C19" i="74"/>
  <c r="C18" i="74"/>
  <c r="C17" i="74"/>
  <c r="C16" i="74"/>
  <c r="C14" i="74"/>
  <c r="C12" i="74"/>
  <c r="C11" i="74"/>
  <c r="C10" i="74"/>
  <c r="C9" i="74"/>
  <c r="C7" i="74"/>
  <c r="C6" i="74"/>
  <c r="C5" i="74"/>
  <c r="C4" i="74"/>
  <c r="C3" i="74"/>
  <c r="C2" i="74"/>
  <c r="C8" i="74"/>
  <c r="C13" i="74"/>
  <c r="E133" i="82"/>
  <c r="E132" i="82"/>
  <c r="E131" i="82"/>
  <c r="E130" i="82"/>
  <c r="E129" i="82"/>
  <c r="E128" i="82"/>
  <c r="E127" i="82"/>
  <c r="E126" i="82"/>
  <c r="E125" i="82"/>
  <c r="E124" i="82"/>
  <c r="E123" i="82"/>
  <c r="E122" i="82"/>
  <c r="E121" i="82"/>
  <c r="E120" i="82"/>
  <c r="E119" i="82"/>
  <c r="E118" i="82"/>
  <c r="E117" i="82"/>
  <c r="E116" i="82"/>
  <c r="E108" i="82"/>
  <c r="E109" i="82"/>
  <c r="E110" i="82"/>
  <c r="E111" i="82"/>
  <c r="E112" i="82"/>
  <c r="E113" i="82"/>
  <c r="E114" i="82"/>
  <c r="E115" i="82"/>
  <c r="E107" i="82"/>
  <c r="E102" i="82"/>
  <c r="S10" i="82"/>
  <c r="G101" i="82" a="1"/>
  <c r="G101" i="82" s="1"/>
  <c r="C4" i="81"/>
  <c r="G45" i="36" s="1"/>
  <c r="AC9" i="75" l="1"/>
  <c r="O10" i="60" a="1"/>
  <c r="O10" i="60" s="1"/>
  <c r="O11" i="60" s="1" a="1"/>
  <c r="O11" i="60" s="1"/>
  <c r="O23" i="60" a="1"/>
  <c r="O23" i="60" s="1"/>
  <c r="O24" i="60" s="1" a="1"/>
  <c r="O24" i="60" s="1"/>
  <c r="H15" i="74"/>
  <c r="AF11" i="26"/>
  <c r="AH11" i="26" s="1"/>
  <c r="AI11" i="26" s="1"/>
  <c r="AF13" i="26"/>
  <c r="AH13" i="26" s="1"/>
  <c r="AI13" i="26" s="1"/>
  <c r="AF9" i="26"/>
  <c r="AH9" i="26" s="1"/>
  <c r="AI9" i="26" s="1"/>
  <c r="AF12" i="26"/>
  <c r="AH12" i="26" s="1"/>
  <c r="AI12" i="26" s="1"/>
  <c r="AF14" i="26"/>
  <c r="AH14" i="26" s="1"/>
  <c r="AI14" i="26" s="1"/>
  <c r="AI10" i="26"/>
  <c r="D29" i="39"/>
  <c r="D30" i="39"/>
  <c r="D37" i="39" s="1"/>
  <c r="D38" i="39" s="1"/>
  <c r="H12" i="81"/>
  <c r="AH44" i="82"/>
  <c r="D67" i="36" l="1"/>
  <c r="D34" i="39"/>
  <c r="N39" i="35"/>
  <c r="I36" i="36" l="1"/>
  <c r="L40" i="84"/>
  <c r="Q18" i="84"/>
  <c r="Q17" i="84"/>
  <c r="I33" i="36" s="1"/>
  <c r="K3" i="84" l="1"/>
  <c r="K56" i="84"/>
  <c r="K57" i="84"/>
  <c r="K55" i="84"/>
  <c r="L35" i="84"/>
  <c r="L3" i="84"/>
  <c r="J11" i="84"/>
  <c r="K8" i="84" s="1"/>
  <c r="M54" i="84" l="1"/>
  <c r="M43" i="84"/>
  <c r="M42" i="84"/>
  <c r="M39" i="84"/>
  <c r="M41" i="84"/>
  <c r="M40" i="84"/>
  <c r="M58" i="84"/>
  <c r="M63" i="84"/>
  <c r="M53" i="84"/>
  <c r="M61" i="84"/>
  <c r="M60" i="84"/>
  <c r="M59" i="84"/>
  <c r="M62" i="84"/>
  <c r="M64" i="84"/>
  <c r="M66" i="84"/>
  <c r="M67" i="84"/>
  <c r="M57" i="84"/>
  <c r="M55" i="84"/>
  <c r="M65" i="84"/>
  <c r="M56" i="84"/>
  <c r="M52" i="84"/>
  <c r="M47" i="84"/>
  <c r="M51" i="84"/>
  <c r="M50" i="84"/>
  <c r="M49" i="84"/>
  <c r="M48" i="84"/>
  <c r="M46" i="84"/>
  <c r="M45" i="84"/>
  <c r="M44" i="84"/>
  <c r="M8" i="84"/>
  <c r="M34" i="84"/>
  <c r="M35" i="84"/>
  <c r="M37" i="84"/>
  <c r="M20" i="84"/>
  <c r="M36" i="84"/>
  <c r="M38" i="84"/>
  <c r="M22" i="84"/>
  <c r="M21" i="84"/>
  <c r="M19" i="84"/>
  <c r="M18" i="84"/>
  <c r="M33" i="84"/>
  <c r="M16" i="84"/>
  <c r="M32" i="84"/>
  <c r="M15" i="84"/>
  <c r="M31" i="84"/>
  <c r="M14" i="84"/>
  <c r="M30" i="84"/>
  <c r="M13" i="84"/>
  <c r="M29" i="84"/>
  <c r="M12" i="84"/>
  <c r="M9" i="84"/>
  <c r="M17" i="84"/>
  <c r="M28" i="84"/>
  <c r="M24" i="84"/>
  <c r="M27" i="84"/>
  <c r="M11" i="84"/>
  <c r="M26" i="84"/>
  <c r="M10" i="84"/>
  <c r="M25" i="84"/>
  <c r="M23" i="84"/>
  <c r="K10" i="84"/>
  <c r="K9" i="84"/>
  <c r="U8" i="75"/>
  <c r="U9" i="75" s="1"/>
  <c r="U10" i="75" s="1"/>
  <c r="E10" i="31"/>
  <c r="B106" i="62"/>
  <c r="C99" i="62"/>
  <c r="B70" i="62"/>
  <c r="C106" i="62" l="1"/>
  <c r="D106" i="62" s="1"/>
  <c r="C142" i="62"/>
  <c r="C68" i="62"/>
  <c r="C67" i="62"/>
  <c r="B60" i="62"/>
  <c r="B59" i="62"/>
  <c r="C60" i="62"/>
  <c r="C59" i="62"/>
  <c r="G30" i="81" a="1"/>
  <c r="G30" i="81" s="1"/>
  <c r="H30" i="81" s="1" a="1"/>
  <c r="H30" i="81" s="1"/>
  <c r="D35" i="36" a="1"/>
  <c r="D35" i="36" s="1"/>
  <c r="H10" i="81"/>
  <c r="B107" i="62"/>
  <c r="C54" i="62"/>
  <c r="C55" i="62"/>
  <c r="H9" i="81"/>
  <c r="B139" i="62" s="1"/>
  <c r="H20" i="81"/>
  <c r="H19" i="81"/>
  <c r="B96" i="62"/>
  <c r="H16" i="81"/>
  <c r="G24" i="81"/>
  <c r="H24" i="81" s="1"/>
  <c r="G23" i="81"/>
  <c r="H23" i="81" s="1"/>
  <c r="J23" i="81" s="1"/>
  <c r="A107" i="62" l="1"/>
  <c r="A143" i="62"/>
  <c r="B88" i="62"/>
  <c r="C88" i="62"/>
  <c r="C39" i="62"/>
  <c r="B39" i="62" s="1"/>
  <c r="AK8" i="82"/>
  <c r="B51" i="62"/>
  <c r="C51" i="62" s="1"/>
  <c r="I119" i="36"/>
  <c r="J119" i="36" s="1"/>
  <c r="I118" i="36"/>
  <c r="J118" i="36" s="1"/>
  <c r="B97" i="62"/>
  <c r="AH36" i="82"/>
  <c r="H13" i="81" s="1"/>
  <c r="C118" i="62"/>
  <c r="B103" i="62"/>
  <c r="S6" i="19"/>
  <c r="B102" i="62"/>
  <c r="E97" i="82"/>
  <c r="E44" i="36"/>
  <c r="B85" i="62" l="1"/>
  <c r="D113" i="36"/>
  <c r="C104" i="82"/>
  <c r="C103" i="82"/>
  <c r="C102" i="82"/>
  <c r="C101" i="82"/>
  <c r="H101" i="82" s="1" a="1"/>
  <c r="H101" i="82" s="1"/>
  <c r="AD13" i="82"/>
  <c r="AE13" i="82" s="1"/>
  <c r="AE27" i="82" s="1"/>
  <c r="AE28" i="82" s="1"/>
  <c r="AE30" i="82" s="1" a="1"/>
  <c r="AE30" i="82" s="1"/>
  <c r="AD12" i="82"/>
  <c r="AE12" i="82" s="1"/>
  <c r="J45" i="81"/>
  <c r="J47" i="81"/>
  <c r="F4" i="81"/>
  <c r="G22" i="81" s="1"/>
  <c r="F3" i="81"/>
  <c r="G104" i="82" a="1"/>
  <c r="G104" i="82" s="1"/>
  <c r="E104" i="82"/>
  <c r="G103" i="82" a="1"/>
  <c r="G103" i="82" s="1"/>
  <c r="H103" i="82" s="1" a="1"/>
  <c r="H103" i="82" s="1"/>
  <c r="E103" i="82"/>
  <c r="G102" i="82" a="1"/>
  <c r="G102" i="82" s="1"/>
  <c r="E101" i="82"/>
  <c r="E98" i="82"/>
  <c r="E96" i="82"/>
  <c r="E95" i="82"/>
  <c r="E94" i="82"/>
  <c r="E93" i="82"/>
  <c r="E92" i="82"/>
  <c r="E91" i="82"/>
  <c r="E90" i="82"/>
  <c r="E89" i="82"/>
  <c r="E88" i="82"/>
  <c r="E87" i="82"/>
  <c r="E86" i="82"/>
  <c r="E85" i="82"/>
  <c r="E84" i="82"/>
  <c r="E83" i="82"/>
  <c r="E82" i="82"/>
  <c r="E81" i="82"/>
  <c r="P78" i="82"/>
  <c r="E78" i="82"/>
  <c r="P77" i="82"/>
  <c r="E77" i="82"/>
  <c r="G76" i="82" a="1"/>
  <c r="G76" i="82" s="1"/>
  <c r="E76" i="82"/>
  <c r="E73" i="82"/>
  <c r="E72" i="82"/>
  <c r="E71" i="82"/>
  <c r="E70" i="82"/>
  <c r="E69" i="82"/>
  <c r="E68" i="82"/>
  <c r="E67" i="82"/>
  <c r="E66" i="82"/>
  <c r="E65" i="82"/>
  <c r="E64" i="82"/>
  <c r="E63" i="82"/>
  <c r="E62" i="82"/>
  <c r="P60" i="82"/>
  <c r="G4" i="81" s="1"/>
  <c r="H4" i="81" s="1"/>
  <c r="E61" i="82"/>
  <c r="E60" i="82"/>
  <c r="E59" i="82"/>
  <c r="E58" i="82"/>
  <c r="E57" i="82"/>
  <c r="E56" i="82"/>
  <c r="G53" i="82" a="1"/>
  <c r="G53" i="82" s="1"/>
  <c r="H53" i="82" s="1" a="1"/>
  <c r="H53" i="82" s="1"/>
  <c r="E53" i="82"/>
  <c r="G52" i="82" a="1"/>
  <c r="G52" i="82" s="1"/>
  <c r="H52" i="82" s="1" a="1"/>
  <c r="H52" i="82" s="1"/>
  <c r="E52" i="82"/>
  <c r="G51" i="82" a="1"/>
  <c r="G51" i="82" s="1"/>
  <c r="H51" i="82" s="1" a="1"/>
  <c r="H51" i="82" s="1"/>
  <c r="E51" i="82"/>
  <c r="E48" i="82"/>
  <c r="E47" i="82"/>
  <c r="E46" i="82"/>
  <c r="E45" i="82"/>
  <c r="E44" i="82"/>
  <c r="E42" i="82"/>
  <c r="E41" i="82"/>
  <c r="G38" i="82" a="1"/>
  <c r="G38" i="82" s="1"/>
  <c r="E38" i="82"/>
  <c r="C38" i="82"/>
  <c r="G37" i="82" a="1"/>
  <c r="G37" i="82" s="1"/>
  <c r="E37" i="82"/>
  <c r="C37" i="82"/>
  <c r="G3" i="81" s="1"/>
  <c r="H3" i="81" s="1"/>
  <c r="E36" i="82"/>
  <c r="E35" i="82"/>
  <c r="E34" i="82"/>
  <c r="E33" i="82"/>
  <c r="E32" i="82"/>
  <c r="E31" i="82"/>
  <c r="E30" i="82"/>
  <c r="E29" i="82"/>
  <c r="E28" i="82"/>
  <c r="E26" i="82"/>
  <c r="G23" i="82" a="1"/>
  <c r="G23" i="82" s="1"/>
  <c r="H23" i="82" s="1" a="1"/>
  <c r="H23" i="82" s="1"/>
  <c r="E23" i="82"/>
  <c r="G22" i="82" a="1"/>
  <c r="G22" i="82" s="1"/>
  <c r="H22" i="82" s="1" a="1"/>
  <c r="H22" i="82" s="1"/>
  <c r="E22" i="82"/>
  <c r="G21" i="82" a="1"/>
  <c r="G21" i="82" s="1"/>
  <c r="H21" i="82" s="1" a="1"/>
  <c r="H21" i="82" s="1"/>
  <c r="E21" i="82"/>
  <c r="G20" i="82" a="1"/>
  <c r="G20" i="82" s="1"/>
  <c r="H20" i="82" s="1" a="1"/>
  <c r="H20" i="82" s="1"/>
  <c r="E20" i="82"/>
  <c r="G19" i="82" a="1"/>
  <c r="G19" i="82" s="1"/>
  <c r="H19" i="82" s="1" a="1"/>
  <c r="H19" i="82" s="1"/>
  <c r="E19" i="82"/>
  <c r="G18" i="82" a="1"/>
  <c r="G18" i="82" s="1"/>
  <c r="H18" i="82" s="1" a="1"/>
  <c r="H18" i="82" s="1"/>
  <c r="E18" i="82"/>
  <c r="G17" i="82" a="1"/>
  <c r="G17" i="82" s="1"/>
  <c r="H17" i="82" s="1" a="1"/>
  <c r="H17" i="82" s="1"/>
  <c r="E17" i="82"/>
  <c r="G16" i="82" a="1"/>
  <c r="G16" i="82" s="1"/>
  <c r="H16" i="82" s="1" a="1"/>
  <c r="H16" i="82" s="1"/>
  <c r="E16" i="82"/>
  <c r="G15" i="82" a="1"/>
  <c r="G15" i="82" s="1"/>
  <c r="H15" i="82" s="1" a="1"/>
  <c r="H15" i="82" s="1"/>
  <c r="E15" i="82"/>
  <c r="G14" i="82" a="1"/>
  <c r="G14" i="82" s="1"/>
  <c r="H14" i="82" s="1" a="1"/>
  <c r="H14" i="82" s="1"/>
  <c r="E14" i="82"/>
  <c r="G13" i="82" a="1"/>
  <c r="G13" i="82" s="1"/>
  <c r="H13" i="82" s="1" a="1"/>
  <c r="H13" i="82" s="1"/>
  <c r="E13" i="82"/>
  <c r="G12" i="82" a="1"/>
  <c r="G12" i="82" s="1"/>
  <c r="H12" i="82" s="1" a="1"/>
  <c r="H12" i="82" s="1"/>
  <c r="E12" i="82"/>
  <c r="G11" i="82" a="1"/>
  <c r="G11" i="82" s="1"/>
  <c r="H11" i="82" s="1" a="1"/>
  <c r="H11" i="82" s="1"/>
  <c r="E11" i="82"/>
  <c r="G10" i="82" a="1"/>
  <c r="G10" i="82" s="1"/>
  <c r="H10" i="82" s="1" a="1"/>
  <c r="H10" i="82" s="1"/>
  <c r="E10" i="82"/>
  <c r="S9" i="82"/>
  <c r="E9" i="82"/>
  <c r="S8" i="82"/>
  <c r="E8" i="82"/>
  <c r="S7" i="82"/>
  <c r="E7" i="82"/>
  <c r="S6" i="82"/>
  <c r="E6" i="82"/>
  <c r="S5" i="82"/>
  <c r="E5" i="82"/>
  <c r="S4" i="82"/>
  <c r="E4" i="82"/>
  <c r="S3" i="82"/>
  <c r="E3" i="82"/>
  <c r="S2" i="82"/>
  <c r="E2" i="82"/>
  <c r="I103" i="36"/>
  <c r="K3" i="62"/>
  <c r="F132" i="82"/>
  <c r="F123" i="82"/>
  <c r="F113" i="82"/>
  <c r="F112" i="82"/>
  <c r="F27" i="82"/>
  <c r="F119" i="82"/>
  <c r="F116" i="82"/>
  <c r="F107" i="82"/>
  <c r="F102" i="82"/>
  <c r="F122" i="82"/>
  <c r="F131" i="82"/>
  <c r="F126" i="82"/>
  <c r="F108" i="82"/>
  <c r="F110" i="82"/>
  <c r="F109" i="82"/>
  <c r="F121" i="82"/>
  <c r="F111" i="82"/>
  <c r="F130" i="82"/>
  <c r="F115" i="82"/>
  <c r="F136" i="82"/>
  <c r="F124" i="82"/>
  <c r="F43" i="82"/>
  <c r="F114" i="82"/>
  <c r="F129" i="82"/>
  <c r="F120" i="82"/>
  <c r="F128" i="82"/>
  <c r="F117" i="82"/>
  <c r="F97" i="82"/>
  <c r="F140" i="82"/>
  <c r="F118" i="82"/>
  <c r="F133" i="82"/>
  <c r="F127" i="82"/>
  <c r="F125" i="82"/>
  <c r="F2" i="82"/>
  <c r="B33" i="26" l="1"/>
  <c r="B34" i="26" s="1"/>
  <c r="B35" i="26" s="1"/>
  <c r="B121" i="62"/>
  <c r="H3" i="84"/>
  <c r="J3" i="84" s="1"/>
  <c r="AH22" i="82"/>
  <c r="AH30" i="82"/>
  <c r="AH21" i="82"/>
  <c r="AE49" i="82"/>
  <c r="AE33" i="82" a="1"/>
  <c r="AE33" i="82" s="1"/>
  <c r="N38" i="35" s="1"/>
  <c r="N40" i="35" s="1"/>
  <c r="N41" i="35" a="1"/>
  <c r="N41" i="35" s="1"/>
  <c r="H35" i="81"/>
  <c r="I45" i="36" s="1"/>
  <c r="G44" i="36"/>
  <c r="J10" i="36" s="1"/>
  <c r="B122" i="62" s="1"/>
  <c r="C122" i="62" s="1"/>
  <c r="I10" i="81"/>
  <c r="I30" i="81"/>
  <c r="B63" i="62"/>
  <c r="B62" i="62"/>
  <c r="AK7" i="82" s="1"/>
  <c r="H11" i="81"/>
  <c r="I11" i="81" s="1"/>
  <c r="AE48" i="82"/>
  <c r="I19" i="81"/>
  <c r="I20" i="81"/>
  <c r="I23" i="81"/>
  <c r="I24" i="81"/>
  <c r="H8" i="81"/>
  <c r="G8" i="81" s="1"/>
  <c r="G25" i="81"/>
  <c r="H25" i="81" s="1"/>
  <c r="J25" i="81" s="1"/>
  <c r="O37" i="81" s="1"/>
  <c r="H14" i="81"/>
  <c r="G14" i="81" s="1"/>
  <c r="H7" i="81"/>
  <c r="I13" i="81"/>
  <c r="AH25" i="82"/>
  <c r="I16" i="81"/>
  <c r="I9" i="81"/>
  <c r="I3" i="81"/>
  <c r="E45" i="36"/>
  <c r="D36" i="81"/>
  <c r="I32" i="81"/>
  <c r="AE16" i="82"/>
  <c r="AE17" i="82" s="1"/>
  <c r="AE14" i="82"/>
  <c r="AE15" i="82" s="1"/>
  <c r="H102" i="82" a="1"/>
  <c r="H102" i="82" s="1"/>
  <c r="H37" i="82" a="1"/>
  <c r="H37" i="82" s="1"/>
  <c r="B45" i="81" a="1"/>
  <c r="H104" i="82" a="1"/>
  <c r="H104" i="82" s="1"/>
  <c r="H38" i="82" a="1"/>
  <c r="H38" i="82" s="1"/>
  <c r="H76" i="82" a="1"/>
  <c r="H76" i="82" s="1"/>
  <c r="C32" i="62"/>
  <c r="C30" i="62"/>
  <c r="I122" i="36"/>
  <c r="J122" i="36" s="1"/>
  <c r="I121" i="36"/>
  <c r="J121" i="36" s="1"/>
  <c r="J103" i="36"/>
  <c r="L103" i="36" s="1"/>
  <c r="H22" i="74"/>
  <c r="H21" i="74"/>
  <c r="E22" i="74"/>
  <c r="E21" i="74"/>
  <c r="C40" i="62"/>
  <c r="B40" i="62" s="1"/>
  <c r="C41" i="62"/>
  <c r="B41" i="62" s="1"/>
  <c r="C38" i="62"/>
  <c r="C37" i="62"/>
  <c r="E49" i="74"/>
  <c r="E48" i="74"/>
  <c r="E47" i="74"/>
  <c r="G47" i="74" s="1"/>
  <c r="F97" i="36"/>
  <c r="C8" i="62"/>
  <c r="K4" i="62"/>
  <c r="D88" i="36"/>
  <c r="D89" i="36"/>
  <c r="B22" i="71"/>
  <c r="G42" i="82" a="1"/>
  <c r="G41" i="82" a="1"/>
  <c r="G43" i="82" a="1"/>
  <c r="G121" i="82" a="1"/>
  <c r="F61" i="82"/>
  <c r="G2" i="82" a="1"/>
  <c r="F103" i="82"/>
  <c r="G27" i="82" a="1"/>
  <c r="G115" i="82" a="1"/>
  <c r="F65" i="82"/>
  <c r="F93" i="82"/>
  <c r="F73" i="82"/>
  <c r="F10" i="82"/>
  <c r="G111" i="82" a="1"/>
  <c r="F5" i="82"/>
  <c r="F91" i="82"/>
  <c r="G133" i="82" a="1"/>
  <c r="F36" i="82"/>
  <c r="G112" i="82" a="1"/>
  <c r="F51" i="82"/>
  <c r="F16" i="82"/>
  <c r="F4" i="82"/>
  <c r="F35" i="82"/>
  <c r="F11" i="82"/>
  <c r="F66" i="82"/>
  <c r="F90" i="82"/>
  <c r="F144" i="82"/>
  <c r="F12" i="82"/>
  <c r="G116" i="82" a="1"/>
  <c r="F52" i="82"/>
  <c r="F81" i="82"/>
  <c r="F47" i="82"/>
  <c r="F23" i="82"/>
  <c r="F71" i="82"/>
  <c r="F68" i="82"/>
  <c r="F139" i="82"/>
  <c r="F56" i="82"/>
  <c r="F30" i="82"/>
  <c r="F46" i="82"/>
  <c r="F58" i="82"/>
  <c r="G113" i="82" a="1"/>
  <c r="F85" i="82"/>
  <c r="F95" i="82"/>
  <c r="F22" i="82"/>
  <c r="F37" i="82"/>
  <c r="F29" i="82"/>
  <c r="F94" i="82"/>
  <c r="F89" i="82"/>
  <c r="F146" i="82"/>
  <c r="G124" i="82" a="1"/>
  <c r="G118" i="82" a="1"/>
  <c r="F72" i="82"/>
  <c r="F42" i="82"/>
  <c r="G97" i="82" a="1"/>
  <c r="G122" i="82" a="1"/>
  <c r="F15" i="82"/>
  <c r="F104" i="82"/>
  <c r="G130" i="82" a="1"/>
  <c r="F101" i="82"/>
  <c r="F96" i="82"/>
  <c r="F19" i="82"/>
  <c r="F69" i="82"/>
  <c r="F92" i="82"/>
  <c r="F57" i="82"/>
  <c r="F63" i="82"/>
  <c r="F78" i="82"/>
  <c r="F98" i="82"/>
  <c r="G108" i="82" a="1"/>
  <c r="F13" i="82"/>
  <c r="G119" i="82" a="1"/>
  <c r="F17" i="82"/>
  <c r="F38" i="82"/>
  <c r="G110" i="82" a="1"/>
  <c r="G107" i="82" a="1"/>
  <c r="G123" i="82" a="1"/>
  <c r="F77" i="82"/>
  <c r="F21" i="82"/>
  <c r="F26" i="82"/>
  <c r="F48" i="82"/>
  <c r="G129" i="82" a="1"/>
  <c r="G114" i="82" a="1"/>
  <c r="F62" i="82"/>
  <c r="F70" i="82"/>
  <c r="G125" i="82" a="1"/>
  <c r="F31" i="82"/>
  <c r="F145" i="82"/>
  <c r="G109" i="82" a="1"/>
  <c r="F64" i="82"/>
  <c r="F7" i="82"/>
  <c r="F143" i="82"/>
  <c r="G132" i="82" a="1"/>
  <c r="F88" i="82"/>
  <c r="F33" i="82"/>
  <c r="F9" i="82"/>
  <c r="F53" i="82"/>
  <c r="F6" i="82"/>
  <c r="F3" i="82"/>
  <c r="F32" i="82"/>
  <c r="F41" i="82"/>
  <c r="F87" i="82"/>
  <c r="F82" i="82"/>
  <c r="F28" i="82"/>
  <c r="F45" i="82"/>
  <c r="F83" i="82"/>
  <c r="F84" i="82"/>
  <c r="G128" i="82" a="1"/>
  <c r="G120" i="82" a="1"/>
  <c r="F18" i="82"/>
  <c r="F86" i="82"/>
  <c r="G117" i="82" a="1"/>
  <c r="F44" i="82"/>
  <c r="F14" i="82"/>
  <c r="F76" i="82"/>
  <c r="G126" i="82" a="1"/>
  <c r="F59" i="82"/>
  <c r="G127" i="82" a="1"/>
  <c r="F67" i="82"/>
  <c r="F20" i="82"/>
  <c r="F8" i="82"/>
  <c r="F34" i="82"/>
  <c r="G131" i="82" a="1"/>
  <c r="F60" i="82"/>
  <c r="B36" i="26" l="1"/>
  <c r="B37" i="26" s="1"/>
  <c r="G124" i="82"/>
  <c r="G7" i="81"/>
  <c r="W11" i="84"/>
  <c r="W25" i="84"/>
  <c r="B15" i="60"/>
  <c r="C6" i="62"/>
  <c r="F59" i="81"/>
  <c r="F58" i="81"/>
  <c r="F57" i="81"/>
  <c r="F60" i="81"/>
  <c r="E59" i="81"/>
  <c r="E57" i="81"/>
  <c r="E58" i="81"/>
  <c r="E60" i="81"/>
  <c r="W17" i="84"/>
  <c r="W16" i="84"/>
  <c r="W24" i="84"/>
  <c r="W19" i="84"/>
  <c r="W13" i="84"/>
  <c r="W23" i="84"/>
  <c r="W14" i="84"/>
  <c r="W22" i="84"/>
  <c r="W18" i="84"/>
  <c r="W21" i="84"/>
  <c r="W15" i="84"/>
  <c r="W20" i="84"/>
  <c r="W10" i="84"/>
  <c r="W12" i="84"/>
  <c r="I25" i="81"/>
  <c r="G110" i="82"/>
  <c r="G123" i="82"/>
  <c r="G108" i="82"/>
  <c r="G121" i="82"/>
  <c r="G117" i="82"/>
  <c r="G109" i="82"/>
  <c r="G122" i="82"/>
  <c r="G131" i="82"/>
  <c r="G118" i="82"/>
  <c r="G115" i="82"/>
  <c r="G130" i="82"/>
  <c r="G132" i="82"/>
  <c r="G119" i="82"/>
  <c r="G116" i="82"/>
  <c r="G127" i="82"/>
  <c r="G114" i="82"/>
  <c r="G129" i="82"/>
  <c r="G113" i="82"/>
  <c r="G126" i="82"/>
  <c r="G112" i="82"/>
  <c r="G107" i="82"/>
  <c r="G111" i="82"/>
  <c r="G128" i="82"/>
  <c r="G120" i="82"/>
  <c r="G133" i="82"/>
  <c r="G125" i="82"/>
  <c r="L23" i="36"/>
  <c r="H17" i="81"/>
  <c r="I17" i="81" s="1"/>
  <c r="B61" i="62"/>
  <c r="AH7" i="82"/>
  <c r="N42" i="35"/>
  <c r="N43" i="35" s="1"/>
  <c r="G28" i="81"/>
  <c r="H28" i="81" s="1"/>
  <c r="I28" i="81" s="1"/>
  <c r="H15" i="81"/>
  <c r="AA8" i="45"/>
  <c r="AC8" i="45" s="1"/>
  <c r="X8" i="45" s="1"/>
  <c r="I14" i="81"/>
  <c r="F53" i="81"/>
  <c r="F54" i="81"/>
  <c r="F55" i="81"/>
  <c r="F56" i="81"/>
  <c r="E56" i="81"/>
  <c r="E55" i="81"/>
  <c r="E53" i="81"/>
  <c r="E54" i="81"/>
  <c r="I7" i="81"/>
  <c r="E52" i="81"/>
  <c r="F46" i="81"/>
  <c r="F47" i="81"/>
  <c r="F48" i="81"/>
  <c r="F49" i="81"/>
  <c r="F50" i="81"/>
  <c r="F51" i="81"/>
  <c r="F52" i="81"/>
  <c r="AA7" i="45"/>
  <c r="X7" i="45" s="1"/>
  <c r="AM8" i="82"/>
  <c r="AH8" i="82" s="1"/>
  <c r="F113" i="36"/>
  <c r="B45" i="81"/>
  <c r="E46" i="81"/>
  <c r="E47" i="81"/>
  <c r="E48" i="81"/>
  <c r="E49" i="81"/>
  <c r="E50" i="81"/>
  <c r="E51" i="81"/>
  <c r="AE18" i="82"/>
  <c r="AE19" i="82" s="1"/>
  <c r="AE22" i="82" s="1" a="1"/>
  <c r="AE22" i="82" s="1"/>
  <c r="AE23" i="82" s="1"/>
  <c r="G18" i="81" s="1"/>
  <c r="G43" i="82"/>
  <c r="H43" i="82" s="1" a="1"/>
  <c r="G42" i="82"/>
  <c r="H42" i="82" s="1" a="1"/>
  <c r="G41" i="82"/>
  <c r="H41" i="82" s="1" a="1"/>
  <c r="G2" i="82"/>
  <c r="G27" i="82"/>
  <c r="G97" i="82"/>
  <c r="D35" i="39"/>
  <c r="D5" i="39"/>
  <c r="G22" i="74"/>
  <c r="G21" i="74"/>
  <c r="H47" i="74"/>
  <c r="B26" i="76"/>
  <c r="B25" i="76"/>
  <c r="B24" i="76"/>
  <c r="B23" i="76"/>
  <c r="B22" i="76"/>
  <c r="E13" i="77"/>
  <c r="F13" i="77" s="1"/>
  <c r="E12" i="77"/>
  <c r="F12" i="77" s="1"/>
  <c r="E11" i="77"/>
  <c r="F11" i="77" s="1"/>
  <c r="E10" i="77"/>
  <c r="F10" i="77" s="1"/>
  <c r="E9" i="77"/>
  <c r="F9" i="77" s="1"/>
  <c r="E8" i="77"/>
  <c r="C1" i="77"/>
  <c r="E7" i="76"/>
  <c r="F4" i="77" s="1"/>
  <c r="G68" i="82" a="1"/>
  <c r="H115" i="82" a="1"/>
  <c r="G62" i="82" a="1"/>
  <c r="H111" i="82" a="1"/>
  <c r="G3" i="82" a="1"/>
  <c r="G33" i="82" a="1"/>
  <c r="G91" i="82" a="1"/>
  <c r="G36" i="82" a="1"/>
  <c r="G72" i="82" a="1"/>
  <c r="G58" i="82" a="1"/>
  <c r="G29" i="82" a="1"/>
  <c r="H124" i="82" a="1"/>
  <c r="H119" i="82" a="1"/>
  <c r="H130" i="82" a="1"/>
  <c r="H27" i="82" a="1"/>
  <c r="G63" i="82" a="1"/>
  <c r="G8" i="82" a="1"/>
  <c r="G73" i="82" a="1"/>
  <c r="G146" i="82" a="1"/>
  <c r="G143" i="82" a="1"/>
  <c r="G86" i="82" a="1"/>
  <c r="G30" i="82" a="1"/>
  <c r="G31" i="82" a="1"/>
  <c r="G45" i="82" a="1"/>
  <c r="G65" i="82" a="1"/>
  <c r="G89" i="82" a="1"/>
  <c r="H133" i="82" a="1"/>
  <c r="G34" i="82" a="1"/>
  <c r="H125" i="82" a="1"/>
  <c r="H110" i="82" a="1"/>
  <c r="G44" i="82" a="1"/>
  <c r="G81" i="82" a="1"/>
  <c r="H107" i="82" a="1"/>
  <c r="G56" i="82" a="1"/>
  <c r="G83" i="82" a="1"/>
  <c r="G28" i="82" a="1"/>
  <c r="H108" i="82" a="1"/>
  <c r="G87" i="82" a="1"/>
  <c r="G6" i="82" a="1"/>
  <c r="G88" i="82" a="1"/>
  <c r="G59" i="82" a="1"/>
  <c r="G71" i="82" a="1"/>
  <c r="G144" i="82" a="1"/>
  <c r="G84" i="82" a="1"/>
  <c r="G32" i="82" a="1"/>
  <c r="H120" i="82" a="1"/>
  <c r="H123" i="82" a="1"/>
  <c r="G98" i="82" a="1"/>
  <c r="G57" i="82" a="1"/>
  <c r="G48" i="82" a="1"/>
  <c r="G5" i="82" a="1"/>
  <c r="G7" i="82" a="1"/>
  <c r="G66" i="82" a="1"/>
  <c r="G145" i="82" a="1"/>
  <c r="G90" i="82" a="1"/>
  <c r="G9" i="82" a="1"/>
  <c r="H97" i="82" a="1"/>
  <c r="H118" i="82" a="1"/>
  <c r="G78" i="82" a="1"/>
  <c r="G35" i="82" a="1"/>
  <c r="G61" i="82" a="1"/>
  <c r="G70" i="82" a="1"/>
  <c r="G85" i="82" a="1"/>
  <c r="G96" i="82" a="1"/>
  <c r="G92" i="82" a="1"/>
  <c r="H126" i="82" a="1"/>
  <c r="H132" i="82" a="1"/>
  <c r="G94" i="82" a="1"/>
  <c r="G67" i="82" a="1"/>
  <c r="H122" i="82" a="1"/>
  <c r="H114" i="82" a="1"/>
  <c r="H117" i="82" a="1"/>
  <c r="H112" i="82" a="1"/>
  <c r="H109" i="82" a="1"/>
  <c r="G77" i="82" a="1"/>
  <c r="G47" i="82" a="1"/>
  <c r="H131" i="82" a="1"/>
  <c r="H121" i="82" a="1"/>
  <c r="G82" i="82" a="1"/>
  <c r="G64" i="82" a="1"/>
  <c r="G26" i="82" a="1"/>
  <c r="G95" i="82" a="1"/>
  <c r="H127" i="82" a="1"/>
  <c r="H128" i="82" a="1"/>
  <c r="G69" i="82" a="1"/>
  <c r="H113" i="82" a="1"/>
  <c r="G46" i="82" a="1"/>
  <c r="G4" i="82" a="1"/>
  <c r="G93" i="82" a="1"/>
  <c r="G60" i="82" a="1"/>
  <c r="H2" i="82" a="1"/>
  <c r="H116" i="82" a="1"/>
  <c r="H129" i="82" a="1"/>
  <c r="B38" i="26" l="1"/>
  <c r="G143" i="82"/>
  <c r="G144" i="82"/>
  <c r="G145" i="82"/>
  <c r="G146" i="82"/>
  <c r="G34" i="82"/>
  <c r="G45" i="82"/>
  <c r="G56" i="82"/>
  <c r="G29" i="82"/>
  <c r="G5" i="82"/>
  <c r="G85" i="82"/>
  <c r="G48" i="82"/>
  <c r="G36" i="82"/>
  <c r="G63" i="82"/>
  <c r="G8" i="82"/>
  <c r="G68" i="82"/>
  <c r="G83" i="82"/>
  <c r="G26" i="82"/>
  <c r="G88" i="82"/>
  <c r="G3" i="82"/>
  <c r="G91" i="82"/>
  <c r="G46" i="82"/>
  <c r="G90" i="82"/>
  <c r="G61" i="82"/>
  <c r="G33" i="82"/>
  <c r="G66" i="82"/>
  <c r="G30" i="82"/>
  <c r="G69" i="82"/>
  <c r="G81" i="82"/>
  <c r="G93" i="82"/>
  <c r="G86" i="82"/>
  <c r="G98" i="82"/>
  <c r="G77" i="82"/>
  <c r="G73" i="82"/>
  <c r="G89" i="82"/>
  <c r="G65" i="82"/>
  <c r="G58" i="82"/>
  <c r="G6" i="82"/>
  <c r="G94" i="82"/>
  <c r="G31" i="82"/>
  <c r="G95" i="82"/>
  <c r="G44" i="82"/>
  <c r="G59" i="82"/>
  <c r="G70" i="82"/>
  <c r="G4" i="82"/>
  <c r="G64" i="82"/>
  <c r="G9" i="82"/>
  <c r="G57" i="82"/>
  <c r="G62" i="82"/>
  <c r="G84" i="82"/>
  <c r="G28" i="82"/>
  <c r="G35" i="82"/>
  <c r="G82" i="82"/>
  <c r="G71" i="82"/>
  <c r="G47" i="82"/>
  <c r="G60" i="82"/>
  <c r="G32" i="82"/>
  <c r="G72" i="82"/>
  <c r="G67" i="82"/>
  <c r="G78" i="82"/>
  <c r="G92" i="82"/>
  <c r="G7" i="82"/>
  <c r="G87" i="82"/>
  <c r="G96" i="82"/>
  <c r="B21" i="26"/>
  <c r="B22" i="26" s="1"/>
  <c r="C15" i="62" s="1"/>
  <c r="G3" i="84"/>
  <c r="I3" i="84" s="1"/>
  <c r="B100" i="62"/>
  <c r="B136" i="62"/>
  <c r="H116" i="82"/>
  <c r="H132" i="82"/>
  <c r="H125" i="82"/>
  <c r="H130" i="82"/>
  <c r="H118" i="82"/>
  <c r="D57" i="81" s="1"/>
  <c r="H111" i="82"/>
  <c r="H122" i="82"/>
  <c r="D60" i="81" s="1"/>
  <c r="H115" i="82"/>
  <c r="H128" i="82"/>
  <c r="H107" i="82"/>
  <c r="H109" i="82"/>
  <c r="H120" i="82"/>
  <c r="H112" i="82"/>
  <c r="H117" i="82"/>
  <c r="D56" i="81" s="1"/>
  <c r="H124" i="82"/>
  <c r="H131" i="82"/>
  <c r="H126" i="82"/>
  <c r="H121" i="82"/>
  <c r="D59" i="81" s="1"/>
  <c r="H133" i="82"/>
  <c r="H113" i="82"/>
  <c r="H108" i="82"/>
  <c r="H127" i="82"/>
  <c r="H119" i="82"/>
  <c r="D58" i="81" s="1"/>
  <c r="H129" i="82"/>
  <c r="H123" i="82"/>
  <c r="H114" i="82"/>
  <c r="H110" i="82"/>
  <c r="A18" i="62"/>
  <c r="C17" i="62" s="1"/>
  <c r="N44" i="35"/>
  <c r="I15" i="81"/>
  <c r="E45" i="81"/>
  <c r="F45" i="81"/>
  <c r="D45" i="81"/>
  <c r="D5" i="81"/>
  <c r="H27" i="82"/>
  <c r="H2" i="82"/>
  <c r="H43" i="82"/>
  <c r="H97" i="82"/>
  <c r="D54" i="81" s="1"/>
  <c r="H41" i="82"/>
  <c r="H42" i="82"/>
  <c r="G48" i="74"/>
  <c r="H48" i="74" s="1"/>
  <c r="F8" i="77"/>
  <c r="E4" i="77" s="1"/>
  <c r="C16" i="39" a="1"/>
  <c r="C16" i="39" s="1"/>
  <c r="E32" i="36"/>
  <c r="I35" i="36" a="1"/>
  <c r="I35" i="36" s="1"/>
  <c r="B8" i="69"/>
  <c r="H6" i="82" a="1"/>
  <c r="H33" i="82" a="1"/>
  <c r="H144" i="82" a="1"/>
  <c r="H77" i="82" a="1"/>
  <c r="H70" i="82" a="1"/>
  <c r="H73" i="82" a="1"/>
  <c r="H34" i="82" a="1"/>
  <c r="H64" i="82" a="1"/>
  <c r="H46" i="82" a="1"/>
  <c r="H82" i="82" a="1"/>
  <c r="H26" i="82" a="1"/>
  <c r="H32" i="82" a="1"/>
  <c r="H8" i="82" a="1"/>
  <c r="H145" i="82" a="1"/>
  <c r="H87" i="82" a="1"/>
  <c r="H62" i="82" a="1"/>
  <c r="H63" i="82" a="1"/>
  <c r="H56" i="82" a="1"/>
  <c r="H48" i="82" a="1"/>
  <c r="H67" i="82" a="1"/>
  <c r="H84" i="82" a="1"/>
  <c r="H146" i="82" a="1"/>
  <c r="H71" i="82" a="1"/>
  <c r="H90" i="82" a="1"/>
  <c r="H72" i="82" a="1"/>
  <c r="H78" i="82" a="1"/>
  <c r="H47" i="82" a="1"/>
  <c r="H65" i="82" a="1"/>
  <c r="H81" i="82" a="1"/>
  <c r="H44" i="82" a="1"/>
  <c r="H29" i="82" a="1"/>
  <c r="H83" i="82" a="1"/>
  <c r="H28" i="82" a="1"/>
  <c r="H4" i="82" a="1"/>
  <c r="H5" i="82" a="1"/>
  <c r="H92" i="82" a="1"/>
  <c r="H95" i="82" a="1"/>
  <c r="H59" i="82" a="1"/>
  <c r="H61" i="82" a="1"/>
  <c r="H94" i="82" a="1"/>
  <c r="H45" i="82" a="1"/>
  <c r="H35" i="82" a="1"/>
  <c r="H88" i="82" a="1"/>
  <c r="H36" i="82" a="1"/>
  <c r="H58" i="82" a="1"/>
  <c r="H89" i="82" a="1"/>
  <c r="H31" i="82" a="1"/>
  <c r="H60" i="82" a="1"/>
  <c r="H3" i="82" a="1"/>
  <c r="H91" i="82" a="1"/>
  <c r="H143" i="82" a="1"/>
  <c r="H86" i="82" a="1"/>
  <c r="H9" i="82" a="1"/>
  <c r="H69" i="82" a="1"/>
  <c r="H30" i="82" a="1"/>
  <c r="H66" i="82" a="1"/>
  <c r="H85" i="82" a="1"/>
  <c r="H93" i="82" a="1"/>
  <c r="H98" i="82" a="1"/>
  <c r="H57" i="82" a="1"/>
  <c r="H7" i="82" a="1"/>
  <c r="H68" i="82" a="1"/>
  <c r="H96" i="82" a="1"/>
  <c r="B42" i="26" l="1"/>
  <c r="B44" i="26" s="1"/>
  <c r="H39" i="81" s="1"/>
  <c r="H146" i="82"/>
  <c r="H145" i="82"/>
  <c r="H144" i="82"/>
  <c r="H143" i="82"/>
  <c r="H58" i="82"/>
  <c r="H91" i="82"/>
  <c r="H62" i="82"/>
  <c r="H77" i="82"/>
  <c r="H83" i="82"/>
  <c r="H65" i="82"/>
  <c r="H89" i="82"/>
  <c r="H96" i="82"/>
  <c r="H57" i="82"/>
  <c r="H98" i="82"/>
  <c r="H68" i="82"/>
  <c r="H9" i="82"/>
  <c r="H86" i="82"/>
  <c r="H8" i="82"/>
  <c r="H64" i="82"/>
  <c r="H93" i="82"/>
  <c r="H63" i="82"/>
  <c r="H88" i="82"/>
  <c r="H92" i="82"/>
  <c r="H4" i="82"/>
  <c r="H81" i="82"/>
  <c r="H36" i="82"/>
  <c r="H28" i="82"/>
  <c r="H35" i="82"/>
  <c r="H87" i="82"/>
  <c r="H7" i="82"/>
  <c r="H69" i="82"/>
  <c r="H67" i="82"/>
  <c r="H59" i="82"/>
  <c r="H30" i="82"/>
  <c r="H85" i="82"/>
  <c r="D48" i="81" s="1"/>
  <c r="H70" i="82"/>
  <c r="H72" i="82"/>
  <c r="H44" i="82"/>
  <c r="H66" i="82"/>
  <c r="H5" i="82"/>
  <c r="H84" i="82"/>
  <c r="H32" i="82"/>
  <c r="H95" i="82"/>
  <c r="H33" i="82"/>
  <c r="H29" i="82"/>
  <c r="H82" i="82"/>
  <c r="H78" i="82"/>
  <c r="H48" i="82"/>
  <c r="H60" i="82"/>
  <c r="H31" i="82"/>
  <c r="H61" i="82"/>
  <c r="H56" i="82"/>
  <c r="H73" i="82"/>
  <c r="H3" i="82"/>
  <c r="H26" i="82"/>
  <c r="H47" i="82"/>
  <c r="H94" i="82"/>
  <c r="H90" i="82"/>
  <c r="H45" i="82"/>
  <c r="H71" i="82"/>
  <c r="H6" i="82"/>
  <c r="H46" i="82"/>
  <c r="H34" i="82"/>
  <c r="B5" i="86"/>
  <c r="B30" i="26"/>
  <c r="L22" i="36" s="1"/>
  <c r="L24" i="36" s="1"/>
  <c r="K20" i="36"/>
  <c r="D53" i="81"/>
  <c r="D55" i="81"/>
  <c r="D46" i="81"/>
  <c r="B17" i="62"/>
  <c r="B18" i="62"/>
  <c r="C18" i="62"/>
  <c r="I12" i="81"/>
  <c r="D51" i="81"/>
  <c r="D52" i="81"/>
  <c r="H49" i="74"/>
  <c r="G49" i="74" s="1"/>
  <c r="I97" i="36"/>
  <c r="K97" i="36"/>
  <c r="L97" i="36" s="1"/>
  <c r="A31" i="76"/>
  <c r="G4" i="77"/>
  <c r="B29" i="76"/>
  <c r="B28" i="76"/>
  <c r="D9" i="39"/>
  <c r="D8" i="39"/>
  <c r="C3" i="62"/>
  <c r="C4" i="62"/>
  <c r="I88" i="36"/>
  <c r="D85" i="36"/>
  <c r="I58" i="36"/>
  <c r="J39" i="81" l="1"/>
  <c r="B78" i="62"/>
  <c r="D50" i="81"/>
  <c r="D49" i="81"/>
  <c r="D47" i="81"/>
  <c r="C13" i="62"/>
  <c r="C14" i="62" s="1"/>
  <c r="C16" i="62" s="1"/>
  <c r="C19" i="62"/>
  <c r="D31" i="36"/>
  <c r="B35" i="62"/>
  <c r="B43" i="62"/>
  <c r="B45" i="62"/>
  <c r="B47" i="62"/>
  <c r="B49" i="62"/>
  <c r="J58" i="36"/>
  <c r="U2" i="75"/>
  <c r="U3" i="75" s="1"/>
  <c r="H54" i="74"/>
  <c r="E54" i="74" s="1"/>
  <c r="F8" i="14"/>
  <c r="F7" i="14"/>
  <c r="F6" i="14"/>
  <c r="S9" i="19"/>
  <c r="AW85" i="83" l="1"/>
  <c r="B79" i="62"/>
  <c r="B80" i="62" s="1"/>
  <c r="C80" i="62" s="1"/>
  <c r="C89" i="62" s="1"/>
  <c r="C78" i="62"/>
  <c r="A88" i="62"/>
  <c r="C79" i="62"/>
  <c r="N35" i="35"/>
  <c r="N34" i="35"/>
  <c r="U4" i="75"/>
  <c r="G54" i="74"/>
  <c r="I90" i="36"/>
  <c r="J101" i="36"/>
  <c r="L7" i="45"/>
  <c r="L8" i="45"/>
  <c r="L9" i="45"/>
  <c r="L10" i="45"/>
  <c r="L11" i="45"/>
  <c r="L12" i="45"/>
  <c r="L13" i="45"/>
  <c r="L14" i="45"/>
  <c r="K10" i="45"/>
  <c r="K11" i="45"/>
  <c r="K12" i="45"/>
  <c r="K13" i="45"/>
  <c r="K14" i="45"/>
  <c r="K15" i="45"/>
  <c r="K16" i="45"/>
  <c r="K8" i="45"/>
  <c r="K9" i="45"/>
  <c r="G7" i="70"/>
  <c r="C5" i="62"/>
  <c r="C6" i="14"/>
  <c r="C7" i="14"/>
  <c r="I72" i="36"/>
  <c r="C8" i="14"/>
  <c r="I109" i="36"/>
  <c r="J109" i="36" s="1"/>
  <c r="B17" i="71"/>
  <c r="C17" i="71" s="1"/>
  <c r="H25" i="74" l="1"/>
  <c r="E25" i="74" s="1"/>
  <c r="G25" i="74" s="1"/>
  <c r="H28" i="74"/>
  <c r="E28" i="74" s="1"/>
  <c r="G28" i="74" s="1"/>
  <c r="O31" i="35"/>
  <c r="N31" i="35"/>
  <c r="O28" i="35"/>
  <c r="O29" i="35" s="1"/>
  <c r="N28" i="35"/>
  <c r="N30" i="35"/>
  <c r="O30" i="35"/>
  <c r="U5" i="75" a="1"/>
  <c r="U5" i="75" s="1"/>
  <c r="T13" i="75" s="1"/>
  <c r="J100" i="36"/>
  <c r="J97" i="36"/>
  <c r="J98" i="36"/>
  <c r="D17" i="71"/>
  <c r="O19" i="36"/>
  <c r="O21" i="36" s="1"/>
  <c r="L9" i="19"/>
  <c r="L8" i="19"/>
  <c r="L7" i="19"/>
  <c r="L6" i="19"/>
  <c r="I51" i="36" s="1" a="1"/>
  <c r="I51" i="36" s="1"/>
  <c r="L10" i="19"/>
  <c r="L13" i="19"/>
  <c r="L12" i="19"/>
  <c r="L11" i="19"/>
  <c r="H27" i="81" l="1"/>
  <c r="N29" i="35"/>
  <c r="E31" i="36"/>
  <c r="K103" i="36"/>
  <c r="G28" i="36"/>
  <c r="B31" i="71"/>
  <c r="B30" i="71"/>
  <c r="C31" i="62"/>
  <c r="G29" i="81" l="1"/>
  <c r="H29" i="81" s="1"/>
  <c r="D34" i="36"/>
  <c r="E3" i="84"/>
  <c r="D31" i="71"/>
  <c r="C31" i="71"/>
  <c r="AI14" i="17"/>
  <c r="C22" i="72"/>
  <c r="C28" i="72" s="1"/>
  <c r="B14" i="71"/>
  <c r="B27" i="71"/>
  <c r="B29" i="71"/>
  <c r="B64" i="84" l="1"/>
  <c r="B20" i="84"/>
  <c r="B58" i="84"/>
  <c r="B19" i="84"/>
  <c r="E4" i="84"/>
  <c r="B31" i="84"/>
  <c r="B55" i="84"/>
  <c r="B59" i="84"/>
  <c r="B11" i="84"/>
  <c r="B28" i="84"/>
  <c r="B10" i="84"/>
  <c r="B30" i="84"/>
  <c r="B9" i="84"/>
  <c r="B44" i="84"/>
  <c r="B32" i="84"/>
  <c r="B8" i="84"/>
  <c r="B25" i="84"/>
  <c r="B16" i="84"/>
  <c r="B65" i="84"/>
  <c r="B15" i="84"/>
  <c r="B56" i="84"/>
  <c r="B21" i="84"/>
  <c r="B57" i="84"/>
  <c r="B18" i="84"/>
  <c r="B49" i="84"/>
  <c r="B17" i="84"/>
  <c r="B67" i="84"/>
  <c r="B14" i="84"/>
  <c r="B26" i="84"/>
  <c r="B66" i="84"/>
  <c r="B23" i="84"/>
  <c r="B46" i="84"/>
  <c r="B22" i="84"/>
  <c r="B24" i="84"/>
  <c r="B13" i="84"/>
  <c r="B27" i="84"/>
  <c r="B63" i="84"/>
  <c r="B12" i="84"/>
  <c r="B29" i="84"/>
  <c r="B60" i="84"/>
  <c r="B35" i="84"/>
  <c r="B36" i="84"/>
  <c r="B37" i="84"/>
  <c r="B34" i="84"/>
  <c r="B33" i="84"/>
  <c r="B54" i="84"/>
  <c r="B47" i="84"/>
  <c r="B48" i="84"/>
  <c r="B43" i="84"/>
  <c r="B50" i="84"/>
  <c r="B51" i="84"/>
  <c r="B52" i="84"/>
  <c r="B45" i="84"/>
  <c r="B42" i="84"/>
  <c r="B41" i="84"/>
  <c r="B53" i="84"/>
  <c r="B61" i="84"/>
  <c r="B40" i="84"/>
  <c r="B39" i="84"/>
  <c r="B38" i="84"/>
  <c r="B62" i="84"/>
  <c r="D29" i="71"/>
  <c r="C29" i="71"/>
  <c r="D5" i="72"/>
  <c r="C5" i="72"/>
  <c r="C27" i="71"/>
  <c r="D27" i="71"/>
  <c r="D14" i="71"/>
  <c r="C14" i="71"/>
  <c r="H26" i="81" l="1"/>
  <c r="E48" i="36"/>
  <c r="I48" i="36" s="1"/>
  <c r="H10" i="74" l="1"/>
  <c r="E10" i="74" s="1"/>
  <c r="G10" i="74" s="1"/>
  <c r="AD27" i="17"/>
  <c r="I69" i="36" l="1"/>
  <c r="H42" i="74" s="1"/>
  <c r="B28" i="71"/>
  <c r="E42" i="74" l="1"/>
  <c r="G42" i="74" s="1"/>
  <c r="D28" i="71"/>
  <c r="C28" i="71"/>
  <c r="D22" i="71"/>
  <c r="C22" i="71"/>
  <c r="J69" i="36"/>
  <c r="M30" i="71"/>
  <c r="M31" i="71"/>
  <c r="M32" i="71"/>
  <c r="M33" i="71"/>
  <c r="B20" i="71" l="1"/>
  <c r="B26" i="71"/>
  <c r="B25" i="71"/>
  <c r="B19" i="71"/>
  <c r="B16" i="71"/>
  <c r="B15" i="71"/>
  <c r="B13" i="71"/>
  <c r="B24" i="71"/>
  <c r="B23" i="71"/>
  <c r="B18" i="71"/>
  <c r="B12" i="71"/>
  <c r="B11" i="71"/>
  <c r="C11" i="71" s="1"/>
  <c r="B10" i="71"/>
  <c r="C2" i="71"/>
  <c r="C30" i="71" s="1"/>
  <c r="H126" i="36"/>
  <c r="L33" i="71"/>
  <c r="L30" i="71"/>
  <c r="P15" i="71"/>
  <c r="D18" i="71" l="1"/>
  <c r="C18" i="71"/>
  <c r="D10" i="71"/>
  <c r="C10" i="71"/>
  <c r="C4" i="71"/>
  <c r="D30" i="71"/>
  <c r="D26" i="71"/>
  <c r="C26" i="71"/>
  <c r="C24" i="71"/>
  <c r="D24" i="71"/>
  <c r="C19" i="71"/>
  <c r="D19" i="71"/>
  <c r="C12" i="71"/>
  <c r="D12" i="71"/>
  <c r="C13" i="71"/>
  <c r="D13" i="71"/>
  <c r="D25" i="71"/>
  <c r="C25" i="71"/>
  <c r="C23" i="71"/>
  <c r="D23" i="71"/>
  <c r="D16" i="71"/>
  <c r="C16" i="71"/>
  <c r="C20" i="71"/>
  <c r="D20" i="71"/>
  <c r="C15" i="71"/>
  <c r="D15" i="71"/>
  <c r="D11" i="71"/>
  <c r="C5" i="71"/>
  <c r="B21" i="71"/>
  <c r="C21" i="71" s="1"/>
  <c r="D21" i="71" l="1"/>
  <c r="C34" i="71"/>
  <c r="F127" i="36" l="1" a="1"/>
  <c r="F127" i="36" s="1"/>
  <c r="D34" i="71"/>
  <c r="D36" i="71" s="1"/>
  <c r="D37" i="71" s="1"/>
  <c r="D39" i="71" s="1"/>
  <c r="D4" i="72" s="1"/>
  <c r="G6" i="72" s="1"/>
  <c r="C36" i="71"/>
  <c r="C37" i="71" s="1"/>
  <c r="D26" i="36"/>
  <c r="D6" i="72" l="1"/>
  <c r="C39" i="71"/>
  <c r="V8" i="17" l="1"/>
  <c r="C4" i="72"/>
  <c r="G5" i="72" s="1"/>
  <c r="C23" i="72"/>
  <c r="N17" i="35"/>
  <c r="D43" i="39" l="1"/>
  <c r="D45" i="39"/>
  <c r="D44" i="39"/>
  <c r="D46" i="39"/>
  <c r="C6" i="72"/>
  <c r="AD11" i="17"/>
  <c r="D11" i="39" l="1"/>
  <c r="D20" i="39" s="1"/>
  <c r="C35" i="84"/>
  <c r="C24" i="84"/>
  <c r="C20" i="84"/>
  <c r="C67" i="84"/>
  <c r="C54" i="84"/>
  <c r="C47" i="84"/>
  <c r="C19" i="84"/>
  <c r="C21" i="84"/>
  <c r="C66" i="84"/>
  <c r="C16" i="84"/>
  <c r="C15" i="84"/>
  <c r="C9" i="84"/>
  <c r="C11" i="84"/>
  <c r="C63" i="84"/>
  <c r="C56" i="84"/>
  <c r="C51" i="84"/>
  <c r="C34" i="84"/>
  <c r="C64" i="84"/>
  <c r="C23" i="84"/>
  <c r="C18" i="84"/>
  <c r="C52" i="84"/>
  <c r="C53" i="84"/>
  <c r="C10" i="84"/>
  <c r="C65" i="84"/>
  <c r="C55" i="84"/>
  <c r="C46" i="84"/>
  <c r="C37" i="84"/>
  <c r="C58" i="84"/>
  <c r="N13" i="35"/>
  <c r="N12" i="35"/>
  <c r="C31" i="84"/>
  <c r="C17" i="84"/>
  <c r="C44" i="84"/>
  <c r="C14" i="84"/>
  <c r="C28" i="84"/>
  <c r="C13" i="84"/>
  <c r="C57" i="84"/>
  <c r="C30" i="84"/>
  <c r="C45" i="84"/>
  <c r="C12" i="84"/>
  <c r="C27" i="84"/>
  <c r="C49" i="84"/>
  <c r="C50" i="84"/>
  <c r="C26" i="84"/>
  <c r="C33" i="84"/>
  <c r="C22" i="84"/>
  <c r="C48" i="84"/>
  <c r="C36" i="84"/>
  <c r="C25" i="84"/>
  <c r="C29" i="84"/>
  <c r="C62" i="84"/>
  <c r="C60" i="84"/>
  <c r="C61" i="84"/>
  <c r="C32" i="84"/>
  <c r="C59" i="84"/>
  <c r="C8" i="84"/>
  <c r="C38" i="84"/>
  <c r="V15" i="84"/>
  <c r="V23" i="84"/>
  <c r="V25" i="84"/>
  <c r="V10" i="84"/>
  <c r="V12" i="84"/>
  <c r="V16" i="84"/>
  <c r="V19" i="84"/>
  <c r="V21" i="84"/>
  <c r="V17" i="84"/>
  <c r="V20" i="84"/>
  <c r="V22" i="84"/>
  <c r="V18" i="84"/>
  <c r="V11" i="84"/>
  <c r="V13" i="84"/>
  <c r="V14" i="84"/>
  <c r="V24" i="84"/>
  <c r="C40" i="84"/>
  <c r="C42" i="84"/>
  <c r="C43" i="84"/>
  <c r="C39" i="84"/>
  <c r="C41" i="84"/>
  <c r="I29" i="81"/>
  <c r="I63" i="36"/>
  <c r="H11" i="74" s="1"/>
  <c r="R8" i="35"/>
  <c r="S7" i="19"/>
  <c r="I34" i="36" l="1"/>
  <c r="D12" i="39"/>
  <c r="D21" i="39" s="1"/>
  <c r="I81" i="36" s="1"/>
  <c r="O9" i="35"/>
  <c r="N9" i="35"/>
  <c r="N6" i="35"/>
  <c r="I59" i="36" s="1"/>
  <c r="O6" i="35"/>
  <c r="I31" i="36"/>
  <c r="H19" i="74" s="1"/>
  <c r="N32" i="36"/>
  <c r="N33" i="36"/>
  <c r="E11" i="74"/>
  <c r="G11" i="74" s="1"/>
  <c r="I52" i="36"/>
  <c r="H45" i="74" s="1"/>
  <c r="C7" i="62"/>
  <c r="D54" i="70"/>
  <c r="D51" i="70"/>
  <c r="D53" i="70"/>
  <c r="H48" i="70"/>
  <c r="D48" i="70"/>
  <c r="F48" i="70"/>
  <c r="D44" i="70"/>
  <c r="D70" i="70"/>
  <c r="I69" i="70"/>
  <c r="D69" i="70"/>
  <c r="I68" i="70"/>
  <c r="D68" i="70"/>
  <c r="D42" i="70"/>
  <c r="G15" i="70"/>
  <c r="G14" i="70"/>
  <c r="G12" i="70"/>
  <c r="G11" i="70"/>
  <c r="E9" i="70"/>
  <c r="E8" i="70"/>
  <c r="J3" i="70"/>
  <c r="C3" i="70"/>
  <c r="N7" i="35" l="1"/>
  <c r="O7" i="35"/>
  <c r="J31" i="36"/>
  <c r="E45" i="74"/>
  <c r="G45" i="74" s="1"/>
  <c r="G26" i="81" l="1"/>
  <c r="I26" i="81" l="1"/>
  <c r="U7" i="14"/>
  <c r="I77" i="36" s="1"/>
  <c r="H36" i="74" s="1"/>
  <c r="E36" i="74" l="1"/>
  <c r="G36" i="74" s="1"/>
  <c r="H43" i="74" l="1"/>
  <c r="E43" i="74" s="1"/>
  <c r="G43" i="74" s="1"/>
  <c r="H44" i="74"/>
  <c r="E44" i="74" l="1"/>
  <c r="G44" i="74" s="1"/>
  <c r="I67" i="70"/>
  <c r="J35" i="36"/>
  <c r="C6" i="45" l="1"/>
  <c r="I62" i="36" s="1"/>
  <c r="J62" i="36" l="1"/>
  <c r="H32" i="74"/>
  <c r="E32" i="74" s="1"/>
  <c r="G32" i="74" s="1"/>
  <c r="N70" i="69"/>
  <c r="M70" i="69"/>
  <c r="L70" i="69"/>
  <c r="K70" i="69"/>
  <c r="J70" i="69"/>
  <c r="C67" i="69"/>
  <c r="N66" i="69"/>
  <c r="M66" i="69"/>
  <c r="L66" i="69"/>
  <c r="K66" i="69"/>
  <c r="J66" i="69"/>
  <c r="C66" i="69"/>
  <c r="N62" i="69"/>
  <c r="M62" i="69"/>
  <c r="L62" i="69"/>
  <c r="K62" i="69"/>
  <c r="J62" i="69"/>
  <c r="N58" i="69"/>
  <c r="M58" i="69"/>
  <c r="L58" i="69"/>
  <c r="K58" i="69"/>
  <c r="J58" i="69"/>
  <c r="N54" i="69"/>
  <c r="M54" i="69"/>
  <c r="L54" i="69"/>
  <c r="K54" i="69"/>
  <c r="J54" i="69"/>
  <c r="I54" i="69"/>
  <c r="I47" i="69"/>
  <c r="G34" i="69"/>
  <c r="G32" i="69"/>
  <c r="F32" i="69"/>
  <c r="F28" i="69"/>
  <c r="G9" i="69"/>
  <c r="B18" i="69" l="1"/>
  <c r="B37" i="69"/>
  <c r="B20" i="69"/>
  <c r="B12" i="69"/>
  <c r="I25" i="69"/>
  <c r="B9" i="69"/>
  <c r="B6" i="69"/>
  <c r="B5" i="69"/>
  <c r="B4" i="69"/>
  <c r="B2" i="69"/>
  <c r="J74" i="69" s="1"/>
  <c r="B67" i="69"/>
  <c r="B66" i="69"/>
  <c r="I26" i="69" l="1"/>
  <c r="N25" i="69"/>
  <c r="J75" i="69"/>
  <c r="C43" i="69"/>
  <c r="B43" i="69" s="1"/>
  <c r="G16" i="69" s="1"/>
  <c r="G18" i="69"/>
  <c r="G4" i="69"/>
  <c r="C44" i="69"/>
  <c r="B44" i="69" s="1"/>
  <c r="G17" i="69" s="1"/>
  <c r="I27" i="69"/>
  <c r="G10" i="69"/>
  <c r="G7" i="69"/>
  <c r="G2" i="69"/>
  <c r="G3" i="69"/>
  <c r="K22" i="69"/>
  <c r="J21" i="69"/>
  <c r="G19" i="69"/>
  <c r="L16" i="69"/>
  <c r="K15" i="69"/>
  <c r="K14" i="69"/>
  <c r="K13" i="69"/>
  <c r="K12" i="69"/>
  <c r="K11" i="69"/>
  <c r="K10" i="69"/>
  <c r="K9" i="69"/>
  <c r="K8" i="69"/>
  <c r="K7" i="69"/>
  <c r="K6" i="69"/>
  <c r="K5" i="69"/>
  <c r="K4" i="69"/>
  <c r="K3" i="69"/>
  <c r="K2" i="69"/>
  <c r="K20" i="69"/>
  <c r="K21" i="69"/>
  <c r="J19" i="69"/>
  <c r="J17" i="69"/>
  <c r="L13" i="69"/>
  <c r="L11" i="69"/>
  <c r="L9" i="69"/>
  <c r="L7" i="69"/>
  <c r="L5" i="69"/>
  <c r="L3" i="69"/>
  <c r="J22" i="69"/>
  <c r="L20" i="69"/>
  <c r="L19" i="69"/>
  <c r="L18" i="69"/>
  <c r="L17" i="69"/>
  <c r="K16" i="69"/>
  <c r="J15" i="69"/>
  <c r="J14" i="69"/>
  <c r="J13" i="69"/>
  <c r="J12" i="69"/>
  <c r="J11" i="69"/>
  <c r="J10" i="69"/>
  <c r="J9" i="69"/>
  <c r="J8" i="69"/>
  <c r="J7" i="69"/>
  <c r="J6" i="69"/>
  <c r="J5" i="69"/>
  <c r="J4" i="69"/>
  <c r="J3" i="69"/>
  <c r="J2" i="69"/>
  <c r="L21" i="69"/>
  <c r="K19" i="69"/>
  <c r="K18" i="69"/>
  <c r="K17" i="69"/>
  <c r="J16" i="69"/>
  <c r="L22" i="69"/>
  <c r="J20" i="69"/>
  <c r="J18" i="69"/>
  <c r="L15" i="69"/>
  <c r="L14" i="69"/>
  <c r="L12" i="69"/>
  <c r="L10" i="69"/>
  <c r="L8" i="69"/>
  <c r="L6" i="69"/>
  <c r="L4" i="69"/>
  <c r="L2" i="69"/>
  <c r="B31" i="69"/>
  <c r="B32" i="69"/>
  <c r="G20" i="69" s="1"/>
  <c r="B36" i="69"/>
  <c r="B38" i="69"/>
  <c r="B55" i="69"/>
  <c r="B39" i="69"/>
  <c r="B52" i="69"/>
  <c r="K25" i="69" l="1"/>
  <c r="K28" i="69" s="1"/>
  <c r="G6" i="69"/>
  <c r="G5" i="69"/>
  <c r="L25" i="69"/>
  <c r="L28" i="69" s="1"/>
  <c r="J25" i="69"/>
  <c r="N28" i="69"/>
  <c r="G12" i="69"/>
  <c r="G11" i="69"/>
  <c r="J26" i="69" l="1"/>
  <c r="J29" i="69" s="1"/>
  <c r="J28" i="69"/>
  <c r="N26" i="69"/>
  <c r="J38" i="69" l="1"/>
  <c r="J39" i="69" s="1"/>
  <c r="J42" i="69"/>
  <c r="J43" i="69" s="1"/>
  <c r="J40" i="69"/>
  <c r="J63" i="69" s="1"/>
  <c r="J64" i="69" s="1"/>
  <c r="J44" i="69"/>
  <c r="J45" i="69" s="1"/>
  <c r="N29" i="69"/>
  <c r="N42" i="69"/>
  <c r="N38" i="69"/>
  <c r="N40" i="69"/>
  <c r="N44" i="69"/>
  <c r="J30" i="69"/>
  <c r="J36" i="69"/>
  <c r="J37" i="69" s="1"/>
  <c r="J48" i="69" l="1"/>
  <c r="J59" i="69"/>
  <c r="J60" i="69" s="1"/>
  <c r="J41" i="69"/>
  <c r="L48" i="69"/>
  <c r="N48" i="69"/>
  <c r="K48" i="69"/>
  <c r="J67" i="69"/>
  <c r="J68" i="69" s="1"/>
  <c r="J71" i="69"/>
  <c r="J72" i="69" s="1"/>
  <c r="J52" i="36"/>
  <c r="K51" i="69"/>
  <c r="N41" i="69"/>
  <c r="N63" i="69"/>
  <c r="N64" i="69" s="1"/>
  <c r="N36" i="69"/>
  <c r="N37" i="69" s="1"/>
  <c r="N30" i="69"/>
  <c r="J31" i="69"/>
  <c r="J32" i="69"/>
  <c r="J51" i="69"/>
  <c r="N39" i="69"/>
  <c r="N59" i="69"/>
  <c r="N60" i="69" s="1"/>
  <c r="N71" i="69"/>
  <c r="N72" i="69" s="1"/>
  <c r="N51" i="69"/>
  <c r="N45" i="69"/>
  <c r="N67" i="69"/>
  <c r="N68" i="69" s="1"/>
  <c r="L51" i="69"/>
  <c r="N43" i="69"/>
  <c r="I48" i="69" l="1"/>
  <c r="J55" i="69"/>
  <c r="M48" i="69"/>
  <c r="J33" i="69"/>
  <c r="J79" i="69"/>
  <c r="J34" i="69"/>
  <c r="N31" i="69"/>
  <c r="N32" i="69"/>
  <c r="N79" i="69" l="1"/>
  <c r="I51" i="69"/>
  <c r="N33" i="69"/>
  <c r="M51" i="69"/>
  <c r="N34" i="69"/>
  <c r="N55" i="69"/>
  <c r="J56" i="69"/>
  <c r="J35" i="69"/>
  <c r="I73" i="36"/>
  <c r="B18" i="60"/>
  <c r="B5" i="60"/>
  <c r="O12" i="60" a="1"/>
  <c r="O12" i="60" s="1"/>
  <c r="I18" i="60"/>
  <c r="I17" i="60"/>
  <c r="I16" i="60"/>
  <c r="I15" i="60"/>
  <c r="I14" i="60"/>
  <c r="I12" i="60"/>
  <c r="I11" i="60"/>
  <c r="I10" i="60"/>
  <c r="I9" i="60"/>
  <c r="I8" i="60"/>
  <c r="I7" i="60"/>
  <c r="I6" i="60"/>
  <c r="I5" i="60"/>
  <c r="I4" i="60"/>
  <c r="I29" i="60" l="1"/>
  <c r="I20" i="60"/>
  <c r="I24" i="60"/>
  <c r="I23" i="60"/>
  <c r="I33" i="60"/>
  <c r="I30" i="60"/>
  <c r="I36" i="60"/>
  <c r="I21" i="60"/>
  <c r="I26" i="60"/>
  <c r="I35" i="60"/>
  <c r="I38" i="60"/>
  <c r="I32" i="60"/>
  <c r="I25" i="60"/>
  <c r="I31" i="60" s="1"/>
  <c r="I22" i="60"/>
  <c r="I27" i="60"/>
  <c r="J19" i="60"/>
  <c r="J2" i="60"/>
  <c r="N16" i="35"/>
  <c r="N18" i="35" s="1"/>
  <c r="H29" i="74"/>
  <c r="N56" i="69"/>
  <c r="N35" i="69"/>
  <c r="J6" i="60"/>
  <c r="J11" i="60"/>
  <c r="J15" i="60"/>
  <c r="J5" i="60"/>
  <c r="J13" i="60"/>
  <c r="J3" i="60"/>
  <c r="J17" i="60"/>
  <c r="J4" i="60"/>
  <c r="J7" i="60"/>
  <c r="J8" i="60"/>
  <c r="J9" i="60"/>
  <c r="J10" i="60"/>
  <c r="J12" i="60"/>
  <c r="J14" i="60"/>
  <c r="J16" i="60"/>
  <c r="J18" i="60"/>
  <c r="B95" i="62" l="1"/>
  <c r="B131" i="62"/>
  <c r="J22" i="60"/>
  <c r="J21" i="60"/>
  <c r="J31" i="60"/>
  <c r="J30" i="60"/>
  <c r="J29" i="60"/>
  <c r="J26" i="60"/>
  <c r="H18" i="81"/>
  <c r="J20" i="60"/>
  <c r="J25" i="60"/>
  <c r="J23" i="60"/>
  <c r="J24" i="60"/>
  <c r="E29" i="74"/>
  <c r="G29" i="74" s="1"/>
  <c r="I18" i="81" l="1"/>
  <c r="J36" i="60"/>
  <c r="J37" i="60"/>
  <c r="J27" i="60"/>
  <c r="J28" i="60"/>
  <c r="J32" i="60"/>
  <c r="J35" i="60"/>
  <c r="J77" i="36"/>
  <c r="R6" i="14"/>
  <c r="C7" i="19"/>
  <c r="C8" i="19"/>
  <c r="J34" i="60" l="1"/>
  <c r="J33" i="60"/>
  <c r="J38" i="60"/>
  <c r="J66" i="36"/>
  <c r="J39" i="60" l="1"/>
  <c r="H17" i="74"/>
  <c r="E17" i="74" s="1"/>
  <c r="G17" i="74" s="1"/>
  <c r="B10" i="60" l="1" a="1"/>
  <c r="B10" i="60" s="1"/>
  <c r="B11" i="60" s="1" a="1"/>
  <c r="B11" i="60" s="1"/>
  <c r="F49" i="36" s="1" a="1"/>
  <c r="F49" i="36" s="1"/>
  <c r="I49" i="36" s="1"/>
  <c r="AE31" i="82" a="1"/>
  <c r="AE31" i="82" s="1"/>
  <c r="AE32" i="82" s="1" a="1"/>
  <c r="AE32" i="82" s="1"/>
  <c r="E21" i="81" s="1"/>
  <c r="AD26" i="17"/>
  <c r="AD25" i="17"/>
  <c r="AD24" i="17"/>
  <c r="AD22" i="17"/>
  <c r="AD21" i="17"/>
  <c r="AD20" i="17"/>
  <c r="AD23" i="17"/>
  <c r="C132" i="62" l="1"/>
  <c r="G21" i="81"/>
  <c r="H21" i="81" s="1"/>
  <c r="J49" i="36"/>
  <c r="C96" i="62"/>
  <c r="J45" i="36"/>
  <c r="AD8" i="17"/>
  <c r="AI15" i="17" s="1"/>
  <c r="S9" i="45"/>
  <c r="P9" i="45" s="1"/>
  <c r="Z6" i="39"/>
  <c r="H20" i="74"/>
  <c r="E20" i="74" s="1"/>
  <c r="G20" i="74" s="1"/>
  <c r="I89" i="36"/>
  <c r="B7" i="17"/>
  <c r="B9" i="17"/>
  <c r="B8" i="17"/>
  <c r="B10" i="17"/>
  <c r="B11" i="17"/>
  <c r="B12" i="17"/>
  <c r="H112" i="26"/>
  <c r="H113" i="26"/>
  <c r="H114" i="26"/>
  <c r="H115" i="26"/>
  <c r="H116" i="26"/>
  <c r="H117" i="26"/>
  <c r="H118" i="26"/>
  <c r="H119" i="26"/>
  <c r="H120" i="26"/>
  <c r="H121" i="26"/>
  <c r="H122" i="26"/>
  <c r="S7" i="45"/>
  <c r="P7" i="45" s="1"/>
  <c r="O13" i="45"/>
  <c r="I74" i="36"/>
  <c r="H26" i="74" s="1"/>
  <c r="E26" i="74" s="1"/>
  <c r="G26" i="74" s="1"/>
  <c r="I75" i="36"/>
  <c r="H27" i="74" s="1"/>
  <c r="E27" i="74" s="1"/>
  <c r="G27" i="74" s="1"/>
  <c r="I43" i="36"/>
  <c r="I55" i="36"/>
  <c r="H14" i="74" s="1"/>
  <c r="M7" i="45"/>
  <c r="J8" i="45"/>
  <c r="I68" i="36"/>
  <c r="H41" i="74" s="1"/>
  <c r="I76" i="36"/>
  <c r="H30" i="74" s="1"/>
  <c r="I78" i="36"/>
  <c r="H31" i="74" s="1"/>
  <c r="E31" i="74" s="1"/>
  <c r="G31" i="74" s="1"/>
  <c r="H37" i="74"/>
  <c r="I82" i="36"/>
  <c r="H38" i="74" s="1"/>
  <c r="I84" i="36"/>
  <c r="H39" i="74" s="1"/>
  <c r="E39" i="74" s="1"/>
  <c r="G39" i="74" s="1"/>
  <c r="I83" i="36"/>
  <c r="I91" i="36"/>
  <c r="I92" i="36"/>
  <c r="H51" i="74" s="1"/>
  <c r="E51" i="74" s="1"/>
  <c r="G51" i="74" s="1"/>
  <c r="I96" i="36"/>
  <c r="H40" i="74" s="1"/>
  <c r="E40" i="74" s="1"/>
  <c r="G40" i="74" s="1"/>
  <c r="C17" i="58"/>
  <c r="C18" i="58"/>
  <c r="C19" i="58"/>
  <c r="C20" i="58"/>
  <c r="C21" i="58"/>
  <c r="C22" i="58"/>
  <c r="C23" i="58"/>
  <c r="C24" i="58"/>
  <c r="C25" i="58"/>
  <c r="C26" i="58"/>
  <c r="C28" i="58"/>
  <c r="E34" i="36"/>
  <c r="AL18" i="17"/>
  <c r="AL17" i="17"/>
  <c r="AL16" i="17"/>
  <c r="AL15" i="17"/>
  <c r="AL14" i="17"/>
  <c r="AL13" i="17"/>
  <c r="AL12" i="17"/>
  <c r="AL11" i="17"/>
  <c r="J9" i="45"/>
  <c r="J10" i="45"/>
  <c r="J11" i="45"/>
  <c r="J12" i="45"/>
  <c r="J13" i="45"/>
  <c r="J14" i="45"/>
  <c r="F7" i="35"/>
  <c r="C8" i="35"/>
  <c r="AL19" i="17"/>
  <c r="E7" i="31"/>
  <c r="D25" i="36" s="1"/>
  <c r="AC84" i="36"/>
  <c r="S14" i="45"/>
  <c r="P14" i="45" s="1"/>
  <c r="P17" i="45"/>
  <c r="AC12" i="17"/>
  <c r="AD12" i="17"/>
  <c r="AD13" i="17"/>
  <c r="I6" i="35"/>
  <c r="G10" i="36"/>
  <c r="H141" i="26"/>
  <c r="H140" i="26"/>
  <c r="H139" i="26"/>
  <c r="H138" i="26"/>
  <c r="H137" i="26"/>
  <c r="H136" i="26"/>
  <c r="H135" i="26"/>
  <c r="H134" i="26"/>
  <c r="H133" i="26"/>
  <c r="H132" i="26"/>
  <c r="H131" i="26"/>
  <c r="H130" i="26"/>
  <c r="H129" i="26"/>
  <c r="H128" i="26"/>
  <c r="H127" i="26"/>
  <c r="H126" i="26"/>
  <c r="H125" i="26"/>
  <c r="H124" i="26"/>
  <c r="H123" i="26"/>
  <c r="H111" i="26"/>
  <c r="H110" i="26"/>
  <c r="H109" i="26"/>
  <c r="H108" i="26"/>
  <c r="H107" i="26"/>
  <c r="H106" i="26"/>
  <c r="H105" i="26"/>
  <c r="H104" i="26"/>
  <c r="H103" i="26"/>
  <c r="H102" i="26"/>
  <c r="H101" i="26"/>
  <c r="H100" i="26"/>
  <c r="H99" i="26"/>
  <c r="H98" i="26"/>
  <c r="H97" i="26"/>
  <c r="H96" i="26"/>
  <c r="H95" i="26"/>
  <c r="H94" i="26"/>
  <c r="H93" i="26"/>
  <c r="H92" i="26"/>
  <c r="H91" i="26"/>
  <c r="H90" i="26"/>
  <c r="H89" i="26"/>
  <c r="H88" i="26"/>
  <c r="H87" i="26"/>
  <c r="H86" i="26"/>
  <c r="H85" i="26"/>
  <c r="H84" i="26"/>
  <c r="H83" i="26"/>
  <c r="H82" i="26"/>
  <c r="H81" i="26"/>
  <c r="H80" i="26"/>
  <c r="H79" i="26"/>
  <c r="H78" i="26"/>
  <c r="H77" i="26"/>
  <c r="H76" i="26"/>
  <c r="H75" i="26"/>
  <c r="H74" i="26"/>
  <c r="H73" i="26"/>
  <c r="H72" i="26"/>
  <c r="H71" i="26"/>
  <c r="H70" i="26"/>
  <c r="H69" i="26"/>
  <c r="H68" i="26"/>
  <c r="H67" i="26"/>
  <c r="H66" i="26"/>
  <c r="H65" i="26"/>
  <c r="H64" i="26"/>
  <c r="H63" i="26"/>
  <c r="H62" i="26"/>
  <c r="H61" i="26"/>
  <c r="H60" i="26"/>
  <c r="H59" i="26"/>
  <c r="H58" i="26"/>
  <c r="H57" i="26"/>
  <c r="H56" i="26"/>
  <c r="H55" i="26"/>
  <c r="H54" i="26"/>
  <c r="H53" i="26"/>
  <c r="H52" i="26"/>
  <c r="H51" i="26"/>
  <c r="H50" i="26"/>
  <c r="H49" i="26"/>
  <c r="H48" i="26"/>
  <c r="H47" i="26"/>
  <c r="H46" i="26"/>
  <c r="H45" i="26"/>
  <c r="H44" i="26"/>
  <c r="H43" i="26"/>
  <c r="H42" i="26"/>
  <c r="H41" i="26"/>
  <c r="H40" i="26"/>
  <c r="H39" i="26"/>
  <c r="H38" i="26"/>
  <c r="H37" i="26"/>
  <c r="H36" i="26"/>
  <c r="H35" i="26"/>
  <c r="H34" i="26"/>
  <c r="H33" i="26"/>
  <c r="H32" i="26"/>
  <c r="H31" i="26"/>
  <c r="H30" i="26"/>
  <c r="H29" i="26"/>
  <c r="H28" i="26"/>
  <c r="H27" i="26"/>
  <c r="H26" i="26"/>
  <c r="H25" i="26"/>
  <c r="H24" i="26"/>
  <c r="H23" i="26"/>
  <c r="H22" i="26"/>
  <c r="H21" i="26"/>
  <c r="H20" i="26"/>
  <c r="H19" i="26"/>
  <c r="H18" i="26"/>
  <c r="H17" i="26"/>
  <c r="H16" i="26"/>
  <c r="H15" i="26"/>
  <c r="H14" i="26"/>
  <c r="H13" i="26"/>
  <c r="H12" i="26"/>
  <c r="H11" i="26"/>
  <c r="H10" i="26"/>
  <c r="H9" i="26"/>
  <c r="H8" i="26"/>
  <c r="H7" i="26"/>
  <c r="H6" i="26"/>
  <c r="H8" i="74" l="1"/>
  <c r="E8" i="74" s="1"/>
  <c r="AV96" i="80"/>
  <c r="AV96" i="85"/>
  <c r="E15" i="74"/>
  <c r="G15" i="74" s="1"/>
  <c r="I21" i="81"/>
  <c r="T8" i="45"/>
  <c r="S8" i="45" s="1"/>
  <c r="U8" i="45" s="1"/>
  <c r="P8" i="45" s="1"/>
  <c r="E2" i="74"/>
  <c r="AV94" i="83"/>
  <c r="AD15" i="17"/>
  <c r="I41" i="36" s="1"/>
  <c r="E41" i="74"/>
  <c r="G41" i="74" s="1"/>
  <c r="J43" i="36"/>
  <c r="H16" i="74"/>
  <c r="E37" i="74"/>
  <c r="G37" i="74" s="1"/>
  <c r="H50" i="74"/>
  <c r="E50" i="74" s="1"/>
  <c r="G50" i="74" s="1"/>
  <c r="E30" i="74"/>
  <c r="G30" i="74" s="1"/>
  <c r="E38" i="74"/>
  <c r="G38" i="74" s="1"/>
  <c r="E14" i="74"/>
  <c r="G14" i="74" s="1"/>
  <c r="L16" i="45"/>
  <c r="L15" i="45"/>
  <c r="J16" i="45"/>
  <c r="J15" i="45"/>
  <c r="J56" i="36"/>
  <c r="AG11" i="17"/>
  <c r="I65" i="36"/>
  <c r="H34" i="74" s="1"/>
  <c r="D43" i="70"/>
  <c r="I43" i="70"/>
  <c r="AG12" i="17"/>
  <c r="I42" i="70"/>
  <c r="D67" i="70"/>
  <c r="J99" i="36"/>
  <c r="J78" i="36"/>
  <c r="J84" i="36"/>
  <c r="J76" i="36"/>
  <c r="J63" i="36"/>
  <c r="J85" i="36"/>
  <c r="J68" i="36"/>
  <c r="B21" i="69"/>
  <c r="B34" i="69" s="1"/>
  <c r="J72" i="36"/>
  <c r="J74" i="36"/>
  <c r="H12" i="74"/>
  <c r="J82" i="36"/>
  <c r="J36" i="36"/>
  <c r="M11" i="45"/>
  <c r="C5" i="58"/>
  <c r="C38" i="58"/>
  <c r="J55" i="36"/>
  <c r="AG15" i="17"/>
  <c r="J73" i="36"/>
  <c r="C11" i="58"/>
  <c r="M12" i="45"/>
  <c r="M13" i="45"/>
  <c r="J33" i="36"/>
  <c r="J96" i="36"/>
  <c r="M9" i="45"/>
  <c r="M8" i="45"/>
  <c r="J91" i="36"/>
  <c r="C6" i="58"/>
  <c r="J83" i="36"/>
  <c r="AG14" i="17"/>
  <c r="C7" i="58"/>
  <c r="J75" i="36"/>
  <c r="J92" i="36"/>
  <c r="J34" i="36"/>
  <c r="I67" i="36"/>
  <c r="H24" i="74" s="1"/>
  <c r="E24" i="74" s="1"/>
  <c r="G24" i="74" s="1"/>
  <c r="C43" i="58"/>
  <c r="C8" i="58"/>
  <c r="M14" i="45"/>
  <c r="M10" i="45"/>
  <c r="C15" i="58"/>
  <c r="J81" i="36"/>
  <c r="H2" i="74"/>
  <c r="H4" i="74"/>
  <c r="AG13" i="17"/>
  <c r="J89" i="36"/>
  <c r="J90" i="36"/>
  <c r="G8" i="74" l="1"/>
  <c r="G2" i="74"/>
  <c r="B20" i="60"/>
  <c r="E19" i="74"/>
  <c r="G19" i="74" s="1"/>
  <c r="E4" i="74"/>
  <c r="G4" i="74" s="1"/>
  <c r="E16" i="74"/>
  <c r="G16" i="74" s="1"/>
  <c r="E12" i="74"/>
  <c r="G12" i="74" s="1"/>
  <c r="C42" i="58"/>
  <c r="E34" i="74"/>
  <c r="G34" i="74" s="1"/>
  <c r="J41" i="36"/>
  <c r="H6" i="74"/>
  <c r="E6" i="74" s="1"/>
  <c r="G6" i="74" s="1"/>
  <c r="M16" i="45"/>
  <c r="M15" i="45"/>
  <c r="I40" i="36"/>
  <c r="H5" i="74" s="1"/>
  <c r="I64" i="36"/>
  <c r="H35" i="74" s="1"/>
  <c r="E35" i="74" s="1"/>
  <c r="G35" i="74" s="1"/>
  <c r="J88" i="36"/>
  <c r="C12" i="58"/>
  <c r="C31" i="58"/>
  <c r="J48" i="36"/>
  <c r="J65" i="36"/>
  <c r="B33" i="69"/>
  <c r="G8" i="69"/>
  <c r="C39" i="58"/>
  <c r="B35" i="69"/>
  <c r="G15" i="69" s="1"/>
  <c r="L26" i="69" s="1"/>
  <c r="J51" i="36"/>
  <c r="I42" i="36"/>
  <c r="V9" i="17"/>
  <c r="J67" i="36"/>
  <c r="AG18" i="17"/>
  <c r="AG16" i="17"/>
  <c r="C4" i="58"/>
  <c r="AG19" i="17"/>
  <c r="C37" i="58"/>
  <c r="J38" i="36"/>
  <c r="J39" i="36"/>
  <c r="C32" i="58"/>
  <c r="AG17" i="17"/>
  <c r="K2" i="60" l="1"/>
  <c r="K14" i="60"/>
  <c r="K26" i="60"/>
  <c r="K30" i="60"/>
  <c r="K29" i="60"/>
  <c r="K31" i="60"/>
  <c r="K37" i="60"/>
  <c r="K27" i="60"/>
  <c r="K28" i="60"/>
  <c r="K32" i="60"/>
  <c r="K35" i="60"/>
  <c r="K36" i="60"/>
  <c r="K34" i="60"/>
  <c r="K33" i="60"/>
  <c r="K38" i="60"/>
  <c r="K39" i="60"/>
  <c r="H31" i="81" a="1"/>
  <c r="H31" i="81" s="1"/>
  <c r="B21" i="60"/>
  <c r="O25" i="60" s="1" a="1"/>
  <c r="O25" i="60" s="1"/>
  <c r="K20" i="60"/>
  <c r="K24" i="60"/>
  <c r="K16" i="60"/>
  <c r="K23" i="60"/>
  <c r="K7" i="60"/>
  <c r="K3" i="60"/>
  <c r="K21" i="60"/>
  <c r="K9" i="60"/>
  <c r="K25" i="60"/>
  <c r="K22" i="60"/>
  <c r="K17" i="60"/>
  <c r="K18" i="60"/>
  <c r="K13" i="60"/>
  <c r="K12" i="60"/>
  <c r="K19" i="60"/>
  <c r="K10" i="60"/>
  <c r="K8" i="60"/>
  <c r="K15" i="60"/>
  <c r="K5" i="60"/>
  <c r="K4" i="60"/>
  <c r="K11" i="60"/>
  <c r="K6" i="60"/>
  <c r="H3" i="74"/>
  <c r="E3" i="74" s="1"/>
  <c r="G3" i="74" s="1"/>
  <c r="E5" i="74"/>
  <c r="G5" i="74" s="1"/>
  <c r="C14" i="58"/>
  <c r="J64" i="36"/>
  <c r="C34" i="58"/>
  <c r="G14" i="69"/>
  <c r="M26" i="69"/>
  <c r="M29" i="69" s="1"/>
  <c r="J42" i="36"/>
  <c r="C33" i="58"/>
  <c r="J40" i="36"/>
  <c r="B22" i="60" l="1" a="1"/>
  <c r="B22" i="60" s="1"/>
  <c r="B25" i="60" a="1"/>
  <c r="B25" i="60" s="1"/>
  <c r="N19" i="35" s="1"/>
  <c r="N20" i="35" s="1"/>
  <c r="I31" i="81"/>
  <c r="G31" i="81"/>
  <c r="I27" i="81"/>
  <c r="I93" i="36"/>
  <c r="L29" i="69"/>
  <c r="L40" i="69"/>
  <c r="L42" i="69"/>
  <c r="L44" i="69"/>
  <c r="L38" i="69"/>
  <c r="G13" i="69"/>
  <c r="M25" i="69" s="1"/>
  <c r="K26" i="69"/>
  <c r="N21" i="35" l="1"/>
  <c r="E57" i="36"/>
  <c r="I57" i="36" s="1"/>
  <c r="B24" i="60" a="1"/>
  <c r="B24" i="60" s="1"/>
  <c r="F50" i="36" s="1" a="1"/>
  <c r="F50" i="36" s="1"/>
  <c r="I50" i="36" s="1"/>
  <c r="H52" i="74"/>
  <c r="K29" i="69"/>
  <c r="K44" i="69"/>
  <c r="K38" i="69"/>
  <c r="K42" i="69"/>
  <c r="K40" i="69"/>
  <c r="L45" i="69"/>
  <c r="L71" i="69"/>
  <c r="L72" i="69" s="1"/>
  <c r="N50" i="69"/>
  <c r="M28" i="69"/>
  <c r="M38" i="69"/>
  <c r="M40" i="69"/>
  <c r="M42" i="69"/>
  <c r="M44" i="69"/>
  <c r="L43" i="69"/>
  <c r="L67" i="69"/>
  <c r="L68" i="69" s="1"/>
  <c r="L50" i="69"/>
  <c r="L63" i="69"/>
  <c r="L64" i="69" s="1"/>
  <c r="K50" i="69"/>
  <c r="L41" i="69"/>
  <c r="L39" i="69"/>
  <c r="L59" i="69"/>
  <c r="L60" i="69" s="1"/>
  <c r="J50" i="69"/>
  <c r="L30" i="69"/>
  <c r="L36" i="69"/>
  <c r="L37" i="69" s="1"/>
  <c r="H9" i="74" l="1"/>
  <c r="E9" i="74" s="1"/>
  <c r="G9" i="74" s="1"/>
  <c r="N8" i="35"/>
  <c r="C40" i="58" s="1"/>
  <c r="N22" i="35"/>
  <c r="O8" i="35" s="1"/>
  <c r="M67" i="69"/>
  <c r="M68" i="69" s="1"/>
  <c r="M43" i="69"/>
  <c r="L49" i="69"/>
  <c r="K43" i="69"/>
  <c r="K67" i="69"/>
  <c r="K68" i="69" s="1"/>
  <c r="M63" i="69"/>
  <c r="M64" i="69" s="1"/>
  <c r="M41" i="69"/>
  <c r="K59" i="69"/>
  <c r="K60" i="69" s="1"/>
  <c r="K39" i="69"/>
  <c r="J49" i="69"/>
  <c r="L31" i="69"/>
  <c r="L32" i="69"/>
  <c r="M39" i="69"/>
  <c r="M59" i="69"/>
  <c r="M60" i="69" s="1"/>
  <c r="N49" i="69"/>
  <c r="K45" i="69"/>
  <c r="K71" i="69"/>
  <c r="K72" i="69" s="1"/>
  <c r="M71" i="69"/>
  <c r="M72" i="69" s="1"/>
  <c r="M45" i="69"/>
  <c r="M36" i="69"/>
  <c r="M37" i="69" s="1"/>
  <c r="M30" i="69"/>
  <c r="K49" i="69"/>
  <c r="K63" i="69"/>
  <c r="K64" i="69" s="1"/>
  <c r="K41" i="69"/>
  <c r="K36" i="69"/>
  <c r="K37" i="69" s="1"/>
  <c r="K30" i="69"/>
  <c r="J93" i="36"/>
  <c r="C16" i="58"/>
  <c r="H13" i="74" l="1"/>
  <c r="E13" i="74" s="1"/>
  <c r="G13" i="74" s="1"/>
  <c r="J59" i="36"/>
  <c r="B75" i="62"/>
  <c r="C75" i="62" s="1"/>
  <c r="B89" i="62" s="1"/>
  <c r="L55" i="69"/>
  <c r="L79" i="69"/>
  <c r="I50" i="69"/>
  <c r="L34" i="69"/>
  <c r="M50" i="69"/>
  <c r="L33" i="69"/>
  <c r="K31" i="69"/>
  <c r="K32" i="69"/>
  <c r="M32" i="69"/>
  <c r="M31" i="69"/>
  <c r="J50" i="36" l="1"/>
  <c r="C35" i="58"/>
  <c r="H7" i="74"/>
  <c r="L35" i="69"/>
  <c r="L56" i="69"/>
  <c r="K33" i="69"/>
  <c r="K34" i="69"/>
  <c r="M49" i="69"/>
  <c r="K55" i="69"/>
  <c r="K79" i="69"/>
  <c r="I49" i="69"/>
  <c r="M33" i="69"/>
  <c r="M34" i="69"/>
  <c r="M55" i="69"/>
  <c r="M79" i="69"/>
  <c r="E7" i="74" l="1"/>
  <c r="G7" i="74" s="1"/>
  <c r="K56" i="69"/>
  <c r="K35" i="69"/>
  <c r="M56" i="69"/>
  <c r="M35" i="69"/>
  <c r="C41" i="58" l="1"/>
  <c r="J57" i="36" l="1"/>
  <c r="C36" i="58"/>
  <c r="C30" i="58" s="1"/>
  <c r="E52" i="74" l="1"/>
  <c r="G52" i="74" l="1"/>
  <c r="H33" i="74" l="1"/>
  <c r="E33" i="74" l="1"/>
  <c r="G33" i="74" s="1"/>
  <c r="I32" i="36"/>
  <c r="H18" i="74" s="1"/>
  <c r="E18" i="74" s="1"/>
  <c r="I102" i="36"/>
  <c r="H53" i="74" s="1"/>
  <c r="C13" i="58" l="1"/>
  <c r="J32" i="36"/>
  <c r="J102" i="36"/>
  <c r="L102" i="36" s="1"/>
  <c r="K102" i="36"/>
  <c r="I123" i="36"/>
  <c r="F133" i="36" s="1"/>
  <c r="E53" i="74"/>
  <c r="G53" i="74" s="1"/>
  <c r="G18" i="74"/>
  <c r="I135" i="36" l="1"/>
  <c r="O16" i="36" s="1"/>
  <c r="I133" i="36"/>
  <c r="O14" i="36" s="1"/>
  <c r="J16" i="36" s="1"/>
  <c r="K49" i="36" s="1"/>
  <c r="C3" i="71"/>
  <c r="C14" i="72" s="1"/>
  <c r="C15" i="72" s="1"/>
  <c r="G8" i="72" s="1"/>
  <c r="F135" i="36"/>
  <c r="C24" i="72" l="1"/>
  <c r="C25" i="72" s="1"/>
  <c r="I134" i="36"/>
  <c r="O15" i="36" s="1"/>
  <c r="C10" i="72"/>
  <c r="G7" i="72" s="1"/>
  <c r="I128" i="36" s="1"/>
  <c r="J128" i="36" s="1"/>
  <c r="K32" i="36"/>
  <c r="K55" i="36"/>
  <c r="K75" i="36"/>
  <c r="K98" i="36"/>
  <c r="L40" i="36"/>
  <c r="L64" i="36"/>
  <c r="L84" i="36"/>
  <c r="L118" i="36"/>
  <c r="K78" i="36"/>
  <c r="K118" i="36"/>
  <c r="L72" i="36"/>
  <c r="L51" i="36"/>
  <c r="K88" i="36"/>
  <c r="K91" i="36"/>
  <c r="L35" i="36"/>
  <c r="L39" i="36"/>
  <c r="K33" i="36"/>
  <c r="K56" i="36"/>
  <c r="K76" i="36"/>
  <c r="K99" i="36"/>
  <c r="L41" i="36"/>
  <c r="L65" i="36"/>
  <c r="L85" i="36"/>
  <c r="L119" i="36"/>
  <c r="L42" i="36"/>
  <c r="L66" i="36"/>
  <c r="L121" i="36"/>
  <c r="K101" i="36"/>
  <c r="L67" i="36"/>
  <c r="L89" i="36"/>
  <c r="L68" i="36"/>
  <c r="L49" i="36"/>
  <c r="L69" i="36"/>
  <c r="L91" i="36"/>
  <c r="O13" i="36"/>
  <c r="L34" i="36"/>
  <c r="K31" i="36"/>
  <c r="K34" i="36"/>
  <c r="K57" i="36"/>
  <c r="K77" i="36"/>
  <c r="K100" i="36"/>
  <c r="L88" i="36"/>
  <c r="L43" i="36"/>
  <c r="L90" i="36"/>
  <c r="K83" i="36"/>
  <c r="K42" i="36"/>
  <c r="L76" i="36"/>
  <c r="L109" i="36"/>
  <c r="K35" i="36"/>
  <c r="K58" i="36"/>
  <c r="L122" i="36"/>
  <c r="K39" i="36"/>
  <c r="L50" i="36"/>
  <c r="L73" i="36"/>
  <c r="L93" i="36"/>
  <c r="K41" i="36"/>
  <c r="K85" i="36"/>
  <c r="K121" i="36"/>
  <c r="L52" i="36"/>
  <c r="L74" i="36"/>
  <c r="K68" i="36"/>
  <c r="K92" i="36"/>
  <c r="L81" i="36"/>
  <c r="K93" i="36"/>
  <c r="L38" i="36"/>
  <c r="K74" i="36"/>
  <c r="K36" i="36"/>
  <c r="K59" i="36"/>
  <c r="K81" i="36"/>
  <c r="L48" i="36"/>
  <c r="K63" i="36"/>
  <c r="K65" i="36"/>
  <c r="K122" i="36"/>
  <c r="L55" i="36"/>
  <c r="K67" i="36"/>
  <c r="K89" i="36"/>
  <c r="L56" i="36"/>
  <c r="L99" i="36"/>
  <c r="K90" i="36"/>
  <c r="L100" i="36"/>
  <c r="L63" i="36"/>
  <c r="K38" i="36"/>
  <c r="K62" i="36"/>
  <c r="K82" i="36"/>
  <c r="K109" i="36"/>
  <c r="L92" i="36"/>
  <c r="L78" i="36"/>
  <c r="L36" i="36"/>
  <c r="K51" i="36"/>
  <c r="K43" i="36"/>
  <c r="K69" i="36"/>
  <c r="L58" i="36"/>
  <c r="K40" i="36"/>
  <c r="K64" i="36"/>
  <c r="K84" i="36"/>
  <c r="K119" i="36"/>
  <c r="L31" i="36"/>
  <c r="L96" i="36"/>
  <c r="K66" i="36"/>
  <c r="L32" i="36"/>
  <c r="L75" i="36"/>
  <c r="L33" i="36"/>
  <c r="L77" i="36"/>
  <c r="K50" i="36"/>
  <c r="L62" i="36"/>
  <c r="K96" i="36"/>
  <c r="L83" i="36"/>
  <c r="L98" i="36"/>
  <c r="L101" i="36"/>
  <c r="K52" i="36"/>
  <c r="K48" i="36"/>
  <c r="L57" i="36"/>
  <c r="K72" i="36"/>
  <c r="L59" i="36"/>
  <c r="K73" i="36"/>
  <c r="L82" i="36"/>
  <c r="C17" i="72" l="1"/>
  <c r="B52" i="62"/>
  <c r="C52" i="62" s="1"/>
  <c r="H22" i="81"/>
  <c r="I22" i="81" l="1"/>
  <c r="H37" i="81"/>
  <c r="J22" i="81"/>
  <c r="O36" i="81" s="1"/>
  <c r="H36" i="81" l="1"/>
  <c r="I44" i="36" s="1"/>
  <c r="J17" i="36" l="1"/>
  <c r="Z7" i="39"/>
  <c r="H46" i="74"/>
  <c r="C27" i="58"/>
  <c r="C10" i="58" s="1"/>
  <c r="C3" i="58" s="1"/>
  <c r="Q11" i="84"/>
  <c r="J44" i="36"/>
  <c r="J124" i="36" s="1"/>
  <c r="J15" i="36" s="1"/>
  <c r="I124" i="36"/>
  <c r="E46" i="74" l="1"/>
  <c r="G46" i="74" s="1"/>
  <c r="J14" i="36"/>
  <c r="E4" i="58"/>
  <c r="H23" i="74"/>
  <c r="H55" i="74" s="1"/>
  <c r="I55" i="74" s="1"/>
  <c r="C74" i="62" l="1"/>
  <c r="A89" i="62" s="1"/>
  <c r="K45" i="36" l="1"/>
  <c r="L45" i="36" s="1"/>
  <c r="K44" i="36"/>
  <c r="L44" i="36" s="1"/>
  <c r="K3" i="81"/>
  <c r="J3" i="81" s="1"/>
  <c r="H40" i="81"/>
  <c r="H41" i="81" s="1"/>
  <c r="H38" i="81"/>
  <c r="J20" i="81"/>
  <c r="J7" i="81"/>
  <c r="J28" i="81"/>
  <c r="J15" i="81"/>
  <c r="L124" i="36" l="1"/>
  <c r="J19" i="36" s="1"/>
  <c r="J8" i="81"/>
  <c r="K124" i="36"/>
  <c r="I127" i="36" s="1"/>
  <c r="J12" i="81"/>
  <c r="J10" i="81"/>
  <c r="J9" i="81"/>
  <c r="J29" i="81"/>
  <c r="J31" i="81"/>
  <c r="J11" i="81"/>
  <c r="J27" i="81"/>
  <c r="J14" i="81"/>
  <c r="J17" i="81"/>
  <c r="J24" i="81"/>
  <c r="B74" i="62" s="1"/>
  <c r="B76" i="62" s="1"/>
  <c r="J4" i="81"/>
  <c r="J30" i="81"/>
  <c r="J32" i="81"/>
  <c r="J18" i="81"/>
  <c r="J16" i="81"/>
  <c r="J19" i="81"/>
  <c r="J21" i="81"/>
  <c r="J13" i="81"/>
  <c r="J26" i="81"/>
  <c r="B56" i="62" s="1"/>
  <c r="B71" i="62"/>
  <c r="I131" i="36" l="1"/>
  <c r="O26" i="36"/>
  <c r="J18" i="36"/>
  <c r="J20" i="36" s="1"/>
  <c r="J21" i="36" s="1"/>
  <c r="I126" i="36"/>
  <c r="J126" i="36" s="1"/>
  <c r="L13" i="36"/>
  <c r="L26" i="36" s="1"/>
  <c r="I129" i="36"/>
  <c r="J127" i="36"/>
  <c r="J35" i="81"/>
  <c r="H33" i="81"/>
  <c r="C56" i="62"/>
  <c r="B57" i="62"/>
  <c r="B72" i="62"/>
  <c r="C72" i="62" s="1"/>
  <c r="C71" i="62"/>
  <c r="C10" i="62" l="1"/>
  <c r="K128" i="36"/>
  <c r="L14" i="36"/>
  <c r="L15" i="36" s="1"/>
  <c r="C12" i="62" s="1"/>
  <c r="K127" i="36"/>
  <c r="H127" i="36"/>
  <c r="J129" i="36"/>
  <c r="K129" i="36"/>
  <c r="J23" i="36"/>
  <c r="D28" i="62" s="1"/>
  <c r="M15" i="36"/>
  <c r="J26" i="36"/>
  <c r="D31" i="62" s="1"/>
  <c r="L27" i="36"/>
  <c r="J25" i="36"/>
  <c r="D30" i="62" s="1"/>
  <c r="J27" i="36"/>
  <c r="D32" i="62" s="1"/>
  <c r="J24" i="36"/>
  <c r="D29" i="62" s="1"/>
  <c r="C20" i="62"/>
  <c r="J22" i="36"/>
  <c r="D27" i="62" s="1"/>
  <c r="J33" i="81"/>
  <c r="I33" i="81"/>
  <c r="G33" i="81"/>
  <c r="O22" i="36"/>
  <c r="O23" i="36" s="1"/>
  <c r="O27" i="36"/>
  <c r="P27" i="36" s="1"/>
  <c r="O29" i="36"/>
  <c r="P29" i="36" s="1"/>
  <c r="O28" i="36"/>
  <c r="P28" i="36" s="1"/>
  <c r="C11" i="62"/>
  <c r="C21" i="62" l="1"/>
  <c r="L28" i="36"/>
  <c r="C22" i="62" s="1"/>
  <c r="B149" i="62"/>
  <c r="B151" i="62"/>
  <c r="B152" i="62"/>
  <c r="B147" i="62"/>
  <c r="B150" i="62"/>
  <c r="B148" i="62"/>
  <c r="B153" i="62"/>
  <c r="J36" i="81"/>
  <c r="J37" i="81"/>
  <c r="O35" i="81"/>
  <c r="B64" i="62" l="1"/>
  <c r="K37" i="81"/>
  <c r="K38" i="81" s="1"/>
  <c r="J40" i="81"/>
  <c r="J41" i="81" s="1"/>
  <c r="J38" i="81"/>
  <c r="B154" i="62"/>
  <c r="C64" i="62" l="1"/>
  <c r="B82" i="62"/>
  <c r="B65" i="62"/>
  <c r="B112" i="62" l="1"/>
  <c r="B117" i="62"/>
  <c r="C82" i="62"/>
  <c r="B111" i="62"/>
  <c r="B114" i="62"/>
  <c r="B116" i="62"/>
  <c r="B113" i="62"/>
  <c r="B83" i="62"/>
  <c r="C83" i="62" s="1"/>
  <c r="B115" i="62"/>
  <c r="B66" i="62"/>
  <c r="C66" i="62" s="1"/>
  <c r="C65" i="62"/>
  <c r="B84" i="62" l="1"/>
  <c r="C84" i="62" s="1"/>
  <c r="B118"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tc={EB785EA0-953E-4F1D-B9A2-71660F7F8603}</author>
  </authors>
  <commentList>
    <comment ref="D8" authorId="0" shapeId="0" xr:uid="{EB785EA0-953E-4F1D-B9A2-71660F7F8603}">
      <text>
        <t>[Threaded comment]
Your version of Excel allows you to read this threaded comment; however, any edits to it will get removed if the file is opened in a newer version of Excel. Learn more: https://go.microsoft.com/fwlink/?linkid=870924
Comment:
    Lucas to fix comms calc based on mark up result.
1.5% at Target and above.
0.75% between Mid Point and Target.
0% between Minimum and Mid Point.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author>
    <author>Kealy</author>
    <author>Andriana</author>
    <author>Felix S</author>
  </authors>
  <commentList>
    <comment ref="F20" authorId="0" shapeId="0" xr:uid="{312C43E8-C616-4E15-B484-E17873F754B1}">
      <text>
        <r>
          <rPr>
            <b/>
            <sz val="9"/>
            <color indexed="81"/>
            <rFont val="Tahoma"/>
            <family val="2"/>
          </rPr>
          <t>Peter:</t>
        </r>
        <r>
          <rPr>
            <sz val="9"/>
            <color indexed="81"/>
            <rFont val="Tahoma"/>
            <family val="2"/>
          </rPr>
          <t xml:space="preserve">
</t>
        </r>
        <r>
          <rPr>
            <b/>
            <sz val="9"/>
            <color indexed="81"/>
            <rFont val="Tahoma"/>
            <family val="2"/>
          </rPr>
          <t>Consider contract deliberation and install time</t>
        </r>
        <r>
          <rPr>
            <sz val="9"/>
            <color indexed="81"/>
            <rFont val="Tahoma"/>
            <family val="2"/>
          </rPr>
          <t xml:space="preserve">
&lt;300kW installs will take approx 2 weeks/100kW
1 week/100kW for larger systems</t>
        </r>
      </text>
    </comment>
    <comment ref="L20" authorId="0" shapeId="0" xr:uid="{0FBDD1E0-4BF1-4EB8-8FCD-8D41D2A92E9D}">
      <text>
        <r>
          <rPr>
            <b/>
            <sz val="9"/>
            <color indexed="81"/>
            <rFont val="Tahoma"/>
            <family val="2"/>
          </rPr>
          <t>Peter:</t>
        </r>
        <r>
          <rPr>
            <sz val="9"/>
            <color indexed="81"/>
            <rFont val="Tahoma"/>
            <family val="2"/>
          </rPr>
          <t xml:space="preserve">
19/02/26
check that VEEC spot price is updated in rebates sheet
https://northmoregordon.com/certificate-prices/ </t>
        </r>
      </text>
    </comment>
    <comment ref="E31" authorId="0" shapeId="0" xr:uid="{33B62300-0F57-4093-81EC-4F61C92998E2}">
      <text>
        <r>
          <rPr>
            <b/>
            <sz val="9"/>
            <color indexed="81"/>
            <rFont val="Tahoma"/>
            <family val="2"/>
          </rPr>
          <t>Peter:</t>
        </r>
        <r>
          <rPr>
            <sz val="9"/>
            <color indexed="81"/>
            <rFont val="Tahoma"/>
            <family val="2"/>
          </rPr>
          <t xml:space="preserve">
If RED, chosen DNSP does not match input NMI. 
OR issue with NMI input.
Check formula is:
='DNSP Calc'!T13
Tool refers to DNSP based on NMI as first preference. If unsure leave NMI blank and input postcode</t>
        </r>
      </text>
    </comment>
    <comment ref="E38" authorId="0" shapeId="0" xr:uid="{334B6829-BCE9-4405-91E9-A411DCAAFEE3}">
      <text>
        <r>
          <rPr>
            <b/>
            <sz val="9"/>
            <color indexed="81"/>
            <rFont val="Tahoma"/>
            <family val="2"/>
          </rPr>
          <t>Peter:</t>
        </r>
        <r>
          <rPr>
            <sz val="9"/>
            <color indexed="81"/>
            <rFont val="Tahoma"/>
            <family val="2"/>
          </rPr>
          <t xml:space="preserve">
</t>
        </r>
        <r>
          <rPr>
            <b/>
            <sz val="9"/>
            <color indexed="81"/>
            <rFont val="Tahoma"/>
            <family val="2"/>
          </rPr>
          <t>Default Orange Colour</t>
        </r>
        <r>
          <rPr>
            <sz val="9"/>
            <color indexed="81"/>
            <rFont val="Tahoma"/>
            <family val="2"/>
          </rPr>
          <t xml:space="preserve"> - Stocked locally, 3 - 6 days to site
</t>
        </r>
        <r>
          <rPr>
            <b/>
            <sz val="9"/>
            <color indexed="81"/>
            <rFont val="Tahoma"/>
            <family val="2"/>
          </rPr>
          <t>Purple Colour</t>
        </r>
        <r>
          <rPr>
            <sz val="9"/>
            <color indexed="81"/>
            <rFont val="Tahoma"/>
            <family val="2"/>
          </rPr>
          <t xml:space="preserve"> - Available to order from China, 4 - 6 week lead time</t>
        </r>
      </text>
    </comment>
    <comment ref="F39" authorId="0" shapeId="0" xr:uid="{4736A3FD-B059-46B3-AC84-775567CC4887}">
      <text>
        <r>
          <rPr>
            <b/>
            <sz val="9"/>
            <color indexed="81"/>
            <rFont val="Tahoma"/>
            <family val="2"/>
          </rPr>
          <t>Peter:</t>
        </r>
        <r>
          <rPr>
            <sz val="9"/>
            <color indexed="81"/>
            <rFont val="Tahoma"/>
            <family val="2"/>
          </rPr>
          <t xml:space="preserve">
if pcs is included and solar is allocated to hybrid the inverter is sized based on the remainder</t>
        </r>
      </text>
    </comment>
    <comment ref="C44" authorId="0" shapeId="0" xr:uid="{E91D3B10-E729-4F94-B062-A62A7B628CD8}">
      <text>
        <r>
          <rPr>
            <b/>
            <sz val="9"/>
            <color indexed="81"/>
            <rFont val="Tahoma"/>
            <family val="2"/>
          </rPr>
          <t>Peter:</t>
        </r>
        <r>
          <rPr>
            <sz val="9"/>
            <color indexed="81"/>
            <rFont val="Tahoma"/>
            <family val="2"/>
          </rPr>
          <t xml:space="preserve">
Price in "BESS" sheet</t>
        </r>
      </text>
    </comment>
    <comment ref="G48" authorId="1" shapeId="0" xr:uid="{61BFCD8D-8E23-4D83-AD9F-810A24534EC2}">
      <text>
        <r>
          <rPr>
            <b/>
            <sz val="9"/>
            <color rgb="FF000000"/>
            <rFont val="Tahoma"/>
            <family val="2"/>
          </rPr>
          <t>Kealy:</t>
        </r>
        <r>
          <rPr>
            <sz val="9"/>
            <color rgb="FF000000"/>
            <rFont val="Tahoma"/>
            <family val="2"/>
          </rPr>
          <t xml:space="preserve">
</t>
        </r>
        <r>
          <rPr>
            <sz val="9"/>
            <color rgb="FF000000"/>
            <rFont val="Tahoma"/>
            <family val="2"/>
          </rPr>
          <t>Length of average DC cable run</t>
        </r>
      </text>
    </comment>
    <comment ref="G49" authorId="1" shapeId="0" xr:uid="{635D9D72-31B2-4EB2-9357-EADAAA6DD7CB}">
      <text>
        <r>
          <rPr>
            <b/>
            <sz val="9"/>
            <color indexed="81"/>
            <rFont val="Tahoma"/>
            <family val="2"/>
          </rPr>
          <t>Kealy:</t>
        </r>
        <r>
          <rPr>
            <sz val="9"/>
            <color indexed="81"/>
            <rFont val="Tahoma"/>
            <family val="2"/>
          </rPr>
          <t xml:space="preserve">
Average distance from inverters to GPU</t>
        </r>
      </text>
    </comment>
    <comment ref="G50" authorId="1" shapeId="0" xr:uid="{4E6C497C-9508-4F44-BBF9-A7007CC469EA}">
      <text>
        <r>
          <rPr>
            <b/>
            <sz val="9"/>
            <color rgb="FF000000"/>
            <rFont val="Tahoma"/>
            <family val="2"/>
          </rPr>
          <t>Kealy:</t>
        </r>
        <r>
          <rPr>
            <sz val="9"/>
            <color rgb="FF000000"/>
            <rFont val="Tahoma"/>
            <family val="2"/>
          </rPr>
          <t xml:space="preserve">
</t>
        </r>
        <r>
          <rPr>
            <sz val="9"/>
            <color rgb="FF000000"/>
            <rFont val="Tahoma"/>
            <family val="2"/>
          </rPr>
          <t>Distance from GPU to MSB</t>
        </r>
      </text>
    </comment>
    <comment ref="D64" authorId="0" shapeId="0" xr:uid="{23C144F3-1E71-45B6-B570-778FF08665BA}">
      <text>
        <r>
          <rPr>
            <b/>
            <sz val="9"/>
            <color indexed="81"/>
            <rFont val="Tahoma"/>
            <family val="2"/>
          </rPr>
          <t>Peter:</t>
        </r>
        <r>
          <rPr>
            <sz val="9"/>
            <color indexed="81"/>
            <rFont val="Tahoma"/>
            <family val="2"/>
          </rPr>
          <t xml:space="preserve">
Use crane for systems &gt; 200kW 
or &gt;3 storeys (&gt;10m). Smaller systems may be possible to take everything up on the scissor</t>
        </r>
      </text>
    </comment>
    <comment ref="C97" authorId="0" shapeId="0" xr:uid="{AF953320-64E1-47FC-AD5D-C66DF607BF61}">
      <text>
        <r>
          <rPr>
            <b/>
            <sz val="9"/>
            <color indexed="81"/>
            <rFont val="Tahoma"/>
            <family val="2"/>
          </rPr>
          <t>Peter:</t>
        </r>
        <r>
          <rPr>
            <sz val="9"/>
            <color indexed="81"/>
            <rFont val="Tahoma"/>
            <family val="2"/>
          </rPr>
          <t xml:space="preserve">
Use "EV Chargers" sheet to price. 
Note this will include the EV chargers in the main solar quote.
DON’T SEND EV AGREEMENT AS WELL.</t>
        </r>
      </text>
    </comment>
    <comment ref="C98" authorId="0" shapeId="0" xr:uid="{4A311186-73B5-4D21-B347-25A6848DEA0A}">
      <text>
        <r>
          <rPr>
            <b/>
            <sz val="9"/>
            <color indexed="81"/>
            <rFont val="Tahoma"/>
            <family val="2"/>
          </rPr>
          <t>Peter:</t>
        </r>
        <r>
          <rPr>
            <sz val="9"/>
            <color indexed="81"/>
            <rFont val="Tahoma"/>
            <family val="2"/>
          </rPr>
          <t xml:space="preserve">
If you include a misc addition please assign it to a category in column C for budgeting purposes.</t>
        </r>
      </text>
    </comment>
    <comment ref="C118" authorId="2" shapeId="0" xr:uid="{CDD16E5A-5097-48DD-96F6-9A5546C1853A}">
      <text>
        <r>
          <rPr>
            <b/>
            <sz val="9"/>
            <color indexed="81"/>
            <rFont val="Tahoma"/>
            <family val="2"/>
          </rPr>
          <t>Andriana:</t>
        </r>
        <r>
          <rPr>
            <sz val="9"/>
            <color indexed="81"/>
            <rFont val="Tahoma"/>
            <family val="2"/>
          </rPr>
          <t xml:space="preserve">
This is for one year only</t>
        </r>
      </text>
    </comment>
    <comment ref="I123" authorId="3" shapeId="0" xr:uid="{3042333D-A88A-4768-A3C7-23A34C76092F}">
      <text>
        <r>
          <rPr>
            <b/>
            <sz val="9"/>
            <color indexed="81"/>
            <rFont val="Tahoma"/>
            <family val="2"/>
          </rPr>
          <t>Felix S:</t>
        </r>
        <r>
          <rPr>
            <sz val="9"/>
            <color indexed="81"/>
            <rFont val="Tahoma"/>
            <family val="2"/>
          </rPr>
          <t xml:space="preserve">
This price is being used to calculate the solar-only markup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C4" authorId="0" shapeId="0" xr:uid="{4F375230-72B1-4B6E-9954-3B20C5021D7B}">
      <text>
        <r>
          <rPr>
            <b/>
            <sz val="9"/>
            <color indexed="81"/>
            <rFont val="Tahoma"/>
            <family val="2"/>
          </rPr>
          <t>Peter:</t>
        </r>
        <r>
          <rPr>
            <sz val="9"/>
            <color indexed="81"/>
            <rFont val="Tahoma"/>
            <family val="2"/>
          </rPr>
          <t xml:space="preserve">
If PCS is included in BESS price choose corresponding PCS. Should have same naming convention.</t>
        </r>
      </text>
    </comment>
    <comment ref="F22" authorId="0" shapeId="0" xr:uid="{E2FBD8C9-53E4-4FBE-8852-65AF7FBBC4B9}">
      <text>
        <r>
          <rPr>
            <b/>
            <sz val="9"/>
            <color indexed="81"/>
            <rFont val="Tahoma"/>
            <family val="2"/>
          </rPr>
          <t>Peter:</t>
        </r>
        <r>
          <rPr>
            <sz val="9"/>
            <color indexed="81"/>
            <rFont val="Tahoma"/>
            <family val="2"/>
          </rPr>
          <t xml:space="preserve">
IF RED CHECK YEAR INPUT:
STANDARD INCLUSION FOR </t>
        </r>
        <r>
          <rPr>
            <b/>
            <sz val="9"/>
            <color indexed="81"/>
            <rFont val="Tahoma"/>
            <family val="2"/>
          </rPr>
          <t>NON SMART STACK</t>
        </r>
        <r>
          <rPr>
            <sz val="9"/>
            <color indexed="81"/>
            <rFont val="Tahoma"/>
            <family val="2"/>
          </rPr>
          <t xml:space="preserve"> IS </t>
        </r>
        <r>
          <rPr>
            <b/>
            <sz val="9"/>
            <color indexed="81"/>
            <rFont val="Tahoma"/>
            <family val="2"/>
          </rPr>
          <t>1 YEAR</t>
        </r>
        <r>
          <rPr>
            <sz val="9"/>
            <color indexed="81"/>
            <rFont val="Tahoma"/>
            <family val="2"/>
          </rPr>
          <t xml:space="preserve">
STANDARD INCLUSION FOR </t>
        </r>
        <r>
          <rPr>
            <b/>
            <sz val="9"/>
            <color indexed="81"/>
            <rFont val="Tahoma"/>
            <family val="2"/>
          </rPr>
          <t>SMART STACK IS 5 YEARS</t>
        </r>
        <r>
          <rPr>
            <sz val="9"/>
            <color indexed="81"/>
            <rFont val="Tahoma"/>
            <family val="2"/>
          </rPr>
          <t xml:space="preserve"> (ALIGNED WITH POWERSYNC)
</t>
        </r>
        <r>
          <rPr>
            <b/>
            <sz val="9"/>
            <color indexed="81"/>
            <rFont val="Tahoma"/>
            <family val="2"/>
          </rPr>
          <t>IF LEASE, MATCH THE LEASE TERM</t>
        </r>
        <r>
          <rPr>
            <sz val="9"/>
            <color indexed="81"/>
            <rFont val="Tahoma"/>
            <family val="2"/>
          </rPr>
          <t xml:space="preserve"> - WE ARE WILLING TO OFFER UP TO 10 YEARS</t>
        </r>
      </text>
    </comment>
    <comment ref="G22" authorId="0" shapeId="0" xr:uid="{32A353BB-9E6D-4B39-A1E7-8C91B77B73E2}">
      <text>
        <r>
          <rPr>
            <b/>
            <sz val="9"/>
            <color indexed="81"/>
            <rFont val="Tahoma"/>
            <family val="2"/>
          </rPr>
          <t>Peter:</t>
        </r>
        <r>
          <rPr>
            <sz val="9"/>
            <color indexed="81"/>
            <rFont val="Tahoma"/>
            <family val="2"/>
          </rPr>
          <t xml:space="preserve">
NOTE ONLY YR 1 IS INCLUDED IN UPFRONT SYSTEM COST
 linear equation based on input values from kd on original smartstack simple </t>
        </r>
      </text>
    </comment>
    <comment ref="J24" authorId="0" shapeId="0" xr:uid="{A859CFA9-CA2C-4E19-8A4F-73DFB36BA2B2}">
      <text>
        <r>
          <rPr>
            <b/>
            <sz val="9"/>
            <color indexed="81"/>
            <rFont val="Tahoma"/>
            <family val="2"/>
          </rPr>
          <t xml:space="preserve">Peter:
</t>
        </r>
        <r>
          <rPr>
            <sz val="9"/>
            <color indexed="81"/>
            <rFont val="Tahoma"/>
            <family val="2"/>
          </rPr>
          <t>no margin made on the powersync hardware as it will be directly contracted between PS and customer. Margin made on the DNSP compliance.</t>
        </r>
      </text>
    </comment>
    <comment ref="H32" authorId="0" shapeId="0" xr:uid="{A437F106-6D7A-4319-94F8-91EC6FCF80D8}">
      <text>
        <r>
          <rPr>
            <b/>
            <sz val="9"/>
            <color indexed="81"/>
            <rFont val="Tahoma"/>
            <family val="2"/>
          </rPr>
          <t>Peter:</t>
        </r>
        <r>
          <rPr>
            <sz val="9"/>
            <color indexed="81"/>
            <rFont val="Tahoma"/>
            <family val="2"/>
          </rPr>
          <t xml:space="preserve">
Additional controllers?
Concrete slab?
See notes for chosen components below</t>
        </r>
      </text>
    </comment>
    <comment ref="H33" authorId="0" shapeId="0" xr:uid="{E5030AFC-DAD4-44FD-BC46-12FB9A0B0455}">
      <text>
        <r>
          <rPr>
            <b/>
            <sz val="9"/>
            <color indexed="81"/>
            <rFont val="Tahoma"/>
            <family val="2"/>
          </rPr>
          <t>Peter:</t>
        </r>
        <r>
          <rPr>
            <sz val="9"/>
            <color indexed="81"/>
            <rFont val="Tahoma"/>
            <family val="2"/>
          </rPr>
          <t xml:space="preserve">
Council permissions always required in WA. DA required in NSW for &gt;28kWh, and always required for powersync projects</t>
        </r>
      </text>
    </comment>
    <comment ref="B35" authorId="0" shapeId="0" xr:uid="{DBA73D68-9433-4F6A-B165-DCC560108AC9}">
      <text>
        <r>
          <rPr>
            <b/>
            <sz val="9"/>
            <color indexed="81"/>
            <rFont val="Tahoma"/>
            <family val="2"/>
          </rPr>
          <t>Peter:</t>
        </r>
        <r>
          <rPr>
            <sz val="9"/>
            <color indexed="81"/>
            <rFont val="Tahoma"/>
            <family val="2"/>
          </rPr>
          <t xml:space="preserve">
check the PCS notes if PCS is a hybrid first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B69" authorId="0" shapeId="0" xr:uid="{AEB883D5-026E-45B4-BA2D-A696A28E637F}">
      <text>
        <r>
          <rPr>
            <b/>
            <sz val="9"/>
            <color indexed="81"/>
            <rFont val="Tahoma"/>
            <family val="2"/>
          </rPr>
          <t>Peter:</t>
        </r>
        <r>
          <rPr>
            <sz val="9"/>
            <color indexed="81"/>
            <rFont val="Tahoma"/>
            <family val="2"/>
          </rPr>
          <t xml:space="preserve">
=VLOOKUP(BESS!D4,'2.1 BESS Components'!N2:R104,5,FALSE)</t>
        </r>
      </text>
    </comment>
    <comment ref="C69" authorId="0" shapeId="0" xr:uid="{5DB39495-C212-48EE-962A-B8A649D16097}">
      <text>
        <r>
          <rPr>
            <b/>
            <sz val="9"/>
            <color indexed="81"/>
            <rFont val="Tahoma"/>
            <family val="2"/>
          </rPr>
          <t>Peter:</t>
        </r>
        <r>
          <rPr>
            <sz val="9"/>
            <color indexed="81"/>
            <rFont val="Tahoma"/>
            <family val="2"/>
          </rPr>
          <t xml:space="preserve">
this is a static value. Needs to be updated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M6" authorId="0" shapeId="0" xr:uid="{3B1DEE8D-F1A8-4CE1-B59B-C2A93383F607}">
      <text>
        <r>
          <rPr>
            <b/>
            <sz val="9"/>
            <color indexed="81"/>
            <rFont val="Tahoma"/>
            <family val="2"/>
          </rPr>
          <t>Peter:</t>
        </r>
        <r>
          <rPr>
            <sz val="9"/>
            <color indexed="81"/>
            <rFont val="Tahoma"/>
            <family val="2"/>
          </rPr>
          <t xml:space="preserve">
as per Lauras DNSP guide. GST removed on front end</t>
        </r>
      </text>
    </comment>
    <comment ref="M7" authorId="0" shapeId="0" xr:uid="{DC7BBF49-7276-41B0-9ABE-3B93A923E15C}">
      <text>
        <r>
          <rPr>
            <b/>
            <sz val="9"/>
            <color indexed="81"/>
            <rFont val="Tahoma"/>
            <family val="2"/>
          </rPr>
          <t>Peter:</t>
        </r>
        <r>
          <rPr>
            <sz val="9"/>
            <color indexed="81"/>
            <rFont val="Tahoma"/>
            <family val="2"/>
          </rPr>
          <t xml:space="preserve">
includes variations as dictated by above inputs</t>
        </r>
      </text>
    </comment>
    <comment ref="I30" authorId="0" shapeId="0" xr:uid="{3B4BC3AE-2179-4BFF-89E9-F69EEAD51441}">
      <text>
        <r>
          <rPr>
            <b/>
            <sz val="9"/>
            <color indexed="81"/>
            <rFont val="Tahoma"/>
            <family val="2"/>
          </rPr>
          <t>Peter:</t>
        </r>
        <r>
          <rPr>
            <sz val="9"/>
            <color indexed="81"/>
            <rFont val="Tahoma"/>
            <family val="2"/>
          </rPr>
          <t xml:space="preserve">
placeholder value - Lauras guide has "TBC"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Peter</author>
    <author>Felix S</author>
  </authors>
  <commentList>
    <comment ref="H1" authorId="0" shapeId="0" xr:uid="{3FBA2F0D-273C-4C9F-BEE0-C4FDA8DF4178}">
      <text>
        <r>
          <rPr>
            <b/>
            <sz val="9"/>
            <color indexed="81"/>
            <rFont val="Tahoma"/>
            <family val="2"/>
          </rPr>
          <t>Peter:</t>
        </r>
        <r>
          <rPr>
            <sz val="9"/>
            <color indexed="81"/>
            <rFont val="Tahoma"/>
            <family val="2"/>
          </rPr>
          <t xml:space="preserve">
</t>
        </r>
        <r>
          <rPr>
            <b/>
            <sz val="9"/>
            <color indexed="81"/>
            <rFont val="Tahoma"/>
            <family val="2"/>
          </rPr>
          <t xml:space="preserve">Monofacial &lt;550W - </t>
        </r>
        <r>
          <rPr>
            <sz val="9"/>
            <color indexed="81"/>
            <rFont val="Tahoma"/>
            <family val="2"/>
          </rPr>
          <t xml:space="preserve"> Standard commercial module, fine for general rooftop use.
</t>
        </r>
        <r>
          <rPr>
            <b/>
            <sz val="9"/>
            <color indexed="81"/>
            <rFont val="Tahoma"/>
            <family val="2"/>
          </rPr>
          <t xml:space="preserve">Dual Glass - </t>
        </r>
        <r>
          <rPr>
            <sz val="9"/>
            <color indexed="81"/>
            <rFont val="Tahoma"/>
            <family val="2"/>
          </rPr>
          <t xml:space="preserve">Double glass for improved mechanical loading and fire resistance. Keep in mind can be much heavier and attract extra handling costs.
</t>
        </r>
        <r>
          <rPr>
            <b/>
            <sz val="9"/>
            <color indexed="81"/>
            <rFont val="Tahoma"/>
            <family val="2"/>
          </rPr>
          <t xml:space="preserve">Bifacial - </t>
        </r>
        <r>
          <rPr>
            <sz val="9"/>
            <color indexed="81"/>
            <rFont val="Tahoma"/>
            <family val="2"/>
          </rPr>
          <t xml:space="preserve">Power gain through the back side of the module but much heavier. Typically reserved for ground mounts only.
</t>
        </r>
        <r>
          <rPr>
            <b/>
            <sz val="9"/>
            <color indexed="81"/>
            <rFont val="Tahoma"/>
            <family val="2"/>
          </rPr>
          <t xml:space="preserve">Traceable - </t>
        </r>
        <r>
          <rPr>
            <sz val="9"/>
            <color indexed="81"/>
            <rFont val="Tahoma"/>
            <family val="2"/>
          </rPr>
          <t xml:space="preserve">We have documents verifying all components of the module have not been manufactured through modern slavery practices.
</t>
        </r>
        <r>
          <rPr>
            <b/>
            <sz val="9"/>
            <color indexed="81"/>
            <rFont val="Tahoma"/>
            <family val="2"/>
          </rPr>
          <t xml:space="preserve">N-Type TOPCon -  </t>
        </r>
        <r>
          <rPr>
            <sz val="9"/>
            <color indexed="81"/>
            <rFont val="Tahoma"/>
            <family val="2"/>
          </rPr>
          <t xml:space="preserve">Uses different materials in the solar cell. In contrast to the current standard PERC cell; improved efficiency, low degredation and extended warranty. However, higher material costs. 
</t>
        </r>
        <r>
          <rPr>
            <b/>
            <sz val="9"/>
            <color indexed="81"/>
            <rFont val="Tahoma"/>
            <family val="2"/>
          </rPr>
          <t xml:space="preserve">HJT - </t>
        </r>
        <r>
          <rPr>
            <sz val="9"/>
            <color indexed="81"/>
            <rFont val="Tahoma"/>
            <family val="2"/>
          </rPr>
          <t xml:space="preserve">New production technology. Standout features are high efficiency, low temperature coefficient, low degredation, extended warranty period.
</t>
        </r>
        <r>
          <rPr>
            <b/>
            <sz val="9"/>
            <color indexed="81"/>
            <rFont val="Tahoma"/>
            <family val="2"/>
          </rPr>
          <t xml:space="preserve">All-Black </t>
        </r>
        <r>
          <rPr>
            <sz val="9"/>
            <color indexed="81"/>
            <rFont val="Tahoma"/>
            <family val="2"/>
          </rPr>
          <t xml:space="preserve">- Black frame, blackbusbars for resi use or when the array is visible and customer is concerned with aesthetics
</t>
        </r>
        <r>
          <rPr>
            <b/>
            <sz val="9"/>
            <color indexed="81"/>
            <rFont val="Tahoma"/>
            <family val="2"/>
          </rPr>
          <t xml:space="preserve">AC Solar Panel </t>
        </r>
        <r>
          <rPr>
            <sz val="9"/>
            <color indexed="81"/>
            <rFont val="Tahoma"/>
            <family val="2"/>
          </rPr>
          <t>- Integrated microinverter for direct AC output. Only use at request, typically more expensive than just a standard module + microinverter</t>
        </r>
      </text>
    </comment>
    <comment ref="O7" authorId="1" shapeId="0" xr:uid="{01098DBB-A3BE-4782-B83B-57D38BDB5E43}">
      <text>
        <r>
          <rPr>
            <b/>
            <sz val="9"/>
            <color indexed="81"/>
            <rFont val="Tahoma"/>
            <family val="2"/>
          </rPr>
          <t>Felix S:</t>
        </r>
        <r>
          <rPr>
            <sz val="9"/>
            <color indexed="81"/>
            <rFont val="Tahoma"/>
            <family val="2"/>
          </rPr>
          <t xml:space="preserve">
Multi-model option:
Fill out below cells with number of each model of inverter to edit the last option in the dropdown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AE14" authorId="0" shapeId="0" xr:uid="{B4E99043-8489-4319-B5CE-1B8B3E8C9090}">
      <text>
        <r>
          <rPr>
            <b/>
            <sz val="9"/>
            <color indexed="81"/>
            <rFont val="Tahoma"/>
            <family val="2"/>
          </rPr>
          <t>Peter:</t>
        </r>
        <r>
          <rPr>
            <sz val="9"/>
            <color indexed="81"/>
            <rFont val="Tahoma"/>
            <family val="2"/>
          </rPr>
          <t xml:space="preserve">
rough estimate based on sungrow SBH range, capped at 1000V roughly based on EVO range</t>
        </r>
      </text>
    </comment>
    <comment ref="AD21" authorId="0" shapeId="0" xr:uid="{ABA5C07A-C2F0-4B25-92EB-601083CA1669}">
      <text>
        <r>
          <rPr>
            <b/>
            <sz val="9"/>
            <color indexed="81"/>
            <rFont val="Tahoma"/>
            <family val="2"/>
          </rPr>
          <t>Peter:</t>
        </r>
        <r>
          <rPr>
            <sz val="9"/>
            <color indexed="81"/>
            <rFont val="Tahoma"/>
            <family val="2"/>
          </rPr>
          <t xml:space="preserve">
not taken into account. Assumed since it’s a small cable run CCC will take precedent</t>
        </r>
      </text>
    </comment>
    <comment ref="AH21" authorId="0" shapeId="0" xr:uid="{1B201C89-4D79-4CD7-BCBC-D53D725A37D3}">
      <text>
        <r>
          <rPr>
            <b/>
            <sz val="9"/>
            <color indexed="81"/>
            <rFont val="Tahoma"/>
            <family val="2"/>
          </rPr>
          <t>Peter:</t>
        </r>
        <r>
          <rPr>
            <sz val="9"/>
            <color indexed="81"/>
            <rFont val="Tahoma"/>
            <family val="2"/>
          </rPr>
          <t xml:space="preserve">
100kWh 3*kWh + 1*kVA, limited at $400
</t>
        </r>
      </text>
    </comment>
    <comment ref="AE22" authorId="0" shapeId="0" xr:uid="{FFD458D2-29E6-4221-B9FE-87C1F99243B6}">
      <text>
        <r>
          <rPr>
            <b/>
            <sz val="9"/>
            <color indexed="81"/>
            <rFont val="Tahoma"/>
            <family val="2"/>
          </rPr>
          <t>Peter:</t>
        </r>
        <r>
          <rPr>
            <sz val="9"/>
            <color indexed="81"/>
            <rFont val="Tahoma"/>
            <family val="2"/>
          </rPr>
          <t xml:space="preserve">
Table 5 - column 9 should be refferred to. Table 8 is the same but 3 core so assume can refer to that</t>
        </r>
      </text>
    </comment>
    <comment ref="AH22" authorId="0" shapeId="0" xr:uid="{19B4F47D-3EA5-4DC1-A173-64D5F93D295B}">
      <text>
        <r>
          <rPr>
            <b/>
            <sz val="9"/>
            <color indexed="81"/>
            <rFont val="Tahoma"/>
            <family val="2"/>
          </rPr>
          <t>Peter:</t>
        </r>
        <r>
          <rPr>
            <sz val="9"/>
            <color indexed="81"/>
            <rFont val="Tahoma"/>
            <family val="2"/>
          </rPr>
          <t xml:space="preserve">
</t>
        </r>
      </text>
    </comment>
    <comment ref="AE30" authorId="0" shapeId="0" xr:uid="{B5EAD574-2276-4D79-81DF-4EA03ACFDB82}">
      <text>
        <r>
          <rPr>
            <b/>
            <sz val="9"/>
            <color indexed="81"/>
            <rFont val="Tahoma"/>
            <family val="2"/>
          </rPr>
          <t>Peter:</t>
        </r>
        <r>
          <rPr>
            <sz val="9"/>
            <color indexed="81"/>
            <rFont val="Tahoma"/>
            <family val="2"/>
          </rPr>
          <t xml:space="preserve">
Table 5 - column 9 should be refferred to. Table 8 is the same but 3 core so assume can refer to that</t>
        </r>
      </text>
    </comment>
    <comment ref="AH30" authorId="0" shapeId="0" xr:uid="{C091E768-B8C4-4376-84DC-A9544A78B7E1}">
      <text>
        <r>
          <rPr>
            <b/>
            <sz val="9"/>
            <color indexed="81"/>
            <rFont val="Tahoma"/>
            <family val="2"/>
          </rPr>
          <t>Peter:</t>
        </r>
        <r>
          <rPr>
            <sz val="9"/>
            <color indexed="81"/>
            <rFont val="Tahoma"/>
            <family val="2"/>
          </rPr>
          <t xml:space="preserve">
6*kWh, limited at $400</t>
        </r>
      </text>
    </comment>
    <comment ref="AE48" authorId="0" shapeId="0" xr:uid="{879E94AD-D88D-4902-A735-0A9607DD6A44}">
      <text>
        <r>
          <rPr>
            <b/>
            <sz val="9"/>
            <color indexed="81"/>
            <rFont val="Tahoma"/>
            <family val="2"/>
          </rPr>
          <t>Peter:</t>
        </r>
        <r>
          <rPr>
            <sz val="9"/>
            <color indexed="81"/>
            <rFont val="Tahoma"/>
            <family val="2"/>
          </rPr>
          <t xml:space="preserve">
$265/100kWh
537kWh BESS req. 18.6m of fencing based on UTS bess EVO design. 3.5m/ 100kWh. And $75/m</t>
        </r>
      </text>
    </comment>
    <comment ref="AE49" authorId="0" shapeId="0" xr:uid="{9DEEB68B-16E6-40E7-8F85-06EF4CDD807D}">
      <text>
        <r>
          <rPr>
            <b/>
            <sz val="9"/>
            <color indexed="81"/>
            <rFont val="Tahoma"/>
            <family val="2"/>
          </rPr>
          <t>Peter:</t>
        </r>
        <r>
          <rPr>
            <sz val="9"/>
            <color indexed="81"/>
            <rFont val="Tahoma"/>
            <family val="2"/>
          </rPr>
          <t xml:space="preserve">
assuming $1500 for 1 installed, + $300 for each bollard after that.
If &lt;100kWh 1 bollard bess stack. If &gt;100kWh 1 bollard per inverter and bess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N12" authorId="0" shapeId="0" xr:uid="{0B08F2F9-08AB-4E02-8D36-E8E7866F4C0F}">
      <text>
        <r>
          <rPr>
            <b/>
            <sz val="9"/>
            <color indexed="81"/>
            <rFont val="Tahoma"/>
            <family val="2"/>
          </rPr>
          <t>Peter:</t>
        </r>
        <r>
          <rPr>
            <sz val="9"/>
            <color indexed="81"/>
            <rFont val="Tahoma"/>
            <family val="2"/>
          </rPr>
          <t xml:space="preserve">
</t>
        </r>
        <r>
          <rPr>
            <b/>
            <sz val="9"/>
            <color indexed="81"/>
            <rFont val="Tahoma"/>
            <family val="2"/>
          </rPr>
          <t>LOGIC:</t>
        </r>
        <r>
          <rPr>
            <sz val="9"/>
            <color indexed="81"/>
            <rFont val="Tahoma"/>
            <family val="2"/>
          </rPr>
          <t xml:space="preserve">
IF site is in VIC AND aggregate capacity &gt;200kVA
THEN additional GPU tier = $5k * no. of connection points
for GMM install by DNSP
DNSP supply and install costs accounted for in prelim sheet</t>
        </r>
      </text>
    </comment>
    <comment ref="N13" authorId="0" shapeId="0" xr:uid="{FD16610E-3583-498D-8066-5B2D9A86B8E8}">
      <text>
        <r>
          <rPr>
            <b/>
            <sz val="9"/>
            <color indexed="81"/>
            <rFont val="Tahoma"/>
            <family val="2"/>
          </rPr>
          <t>Peter:</t>
        </r>
        <r>
          <rPr>
            <sz val="9"/>
            <color indexed="81"/>
            <rFont val="Tahoma"/>
            <family val="2"/>
          </rPr>
          <t xml:space="preserve">
LOGIC:
if site is in QLD AND aggregate capacity &gt;10kVA
 - $80 GSD/inverter</t>
        </r>
      </text>
    </comment>
    <comment ref="N20" authorId="0" shapeId="0" xr:uid="{53C03091-0AEC-425C-89FE-79CC2A5C0AA0}">
      <text>
        <r>
          <rPr>
            <b/>
            <sz val="9"/>
            <color indexed="81"/>
            <rFont val="Tahoma"/>
            <family val="2"/>
          </rPr>
          <t>Peter:</t>
        </r>
        <r>
          <rPr>
            <sz val="9"/>
            <color indexed="81"/>
            <rFont val="Tahoma"/>
            <family val="2"/>
          </rPr>
          <t xml:space="preserve">
isolator assumed to be 1/3rd MCCB cost</t>
        </r>
      </text>
    </comment>
    <comment ref="N21" authorId="0" shapeId="0" xr:uid="{226F6AA0-E1D3-4C62-87D8-37E0BE09BCC3}">
      <text>
        <r>
          <rPr>
            <b/>
            <sz val="9"/>
            <color indexed="81"/>
            <rFont val="Tahoma"/>
            <family val="2"/>
          </rPr>
          <t>Peter:</t>
        </r>
        <r>
          <rPr>
            <sz val="9"/>
            <color indexed="81"/>
            <rFont val="Tahoma"/>
            <family val="2"/>
          </rPr>
          <t xml:space="preserve">
Board + labour assumed captured in material/location multiplier</t>
        </r>
      </text>
    </comment>
    <comment ref="N22" authorId="0" shapeId="0" xr:uid="{7ADA760E-AF2E-4F5C-8982-A3A0B0896680}">
      <text>
        <r>
          <rPr>
            <b/>
            <sz val="9"/>
            <color indexed="81"/>
            <rFont val="Tahoma"/>
            <family val="2"/>
          </rPr>
          <t>Peter:</t>
        </r>
        <r>
          <rPr>
            <sz val="9"/>
            <color indexed="81"/>
            <rFont val="Tahoma"/>
            <family val="2"/>
          </rPr>
          <t xml:space="preserve">
allowance for $250 energy logger, $800 CT's and $150 comms cabling and BOS</t>
        </r>
      </text>
    </comment>
    <comment ref="N34" authorId="0" shapeId="0" xr:uid="{7BF0A2C9-445C-40B0-9392-0DF15CCA6203}">
      <text>
        <r>
          <rPr>
            <b/>
            <sz val="9"/>
            <color indexed="81"/>
            <rFont val="Tahoma"/>
            <family val="2"/>
          </rPr>
          <t>Peter:</t>
        </r>
        <r>
          <rPr>
            <sz val="9"/>
            <color indexed="81"/>
            <rFont val="Tahoma"/>
            <family val="2"/>
          </rPr>
          <t xml:space="preserve">
</t>
        </r>
        <r>
          <rPr>
            <b/>
            <sz val="9"/>
            <color indexed="81"/>
            <rFont val="Tahoma"/>
            <family val="2"/>
          </rPr>
          <t>LOGIC:</t>
        </r>
        <r>
          <rPr>
            <sz val="9"/>
            <color indexed="81"/>
            <rFont val="Tahoma"/>
            <family val="2"/>
          </rPr>
          <t xml:space="preserve">
IF site is in VIC AND aggregate capacity &gt;200kVA
THEN additional GPU tier = $5k * no. of connection points
for GMM install by DNSP
DNSP supply and install costs accounted for in prelim sheet</t>
        </r>
      </text>
    </comment>
    <comment ref="N35" authorId="0" shapeId="0" xr:uid="{733D7B43-B427-454C-AEB6-0C2CF1630B04}">
      <text>
        <r>
          <rPr>
            <b/>
            <sz val="9"/>
            <color indexed="81"/>
            <rFont val="Tahoma"/>
            <family val="2"/>
          </rPr>
          <t>Peter:</t>
        </r>
        <r>
          <rPr>
            <sz val="9"/>
            <color indexed="81"/>
            <rFont val="Tahoma"/>
            <family val="2"/>
          </rPr>
          <t xml:space="preserve">
LOGIC:
if site is in QLD AND aggregate capacity &gt;10kVA
 - $80 GSD/inverter</t>
        </r>
      </text>
    </comment>
    <comment ref="N42" authorId="0" shapeId="0" xr:uid="{44C62399-18E4-48F9-B976-314FB579A85C}">
      <text>
        <r>
          <rPr>
            <b/>
            <sz val="9"/>
            <color indexed="81"/>
            <rFont val="Tahoma"/>
            <family val="2"/>
          </rPr>
          <t>Peter:</t>
        </r>
        <r>
          <rPr>
            <sz val="9"/>
            <color indexed="81"/>
            <rFont val="Tahoma"/>
            <family val="2"/>
          </rPr>
          <t xml:space="preserve">
isolator assumed to be 1/3rd MCCB cost</t>
        </r>
      </text>
    </comment>
    <comment ref="N43" authorId="0" shapeId="0" xr:uid="{574063A1-1BCA-4291-9B15-141B442DF4ED}">
      <text>
        <r>
          <rPr>
            <b/>
            <sz val="9"/>
            <color indexed="81"/>
            <rFont val="Tahoma"/>
            <family val="2"/>
          </rPr>
          <t>Peter:</t>
        </r>
        <r>
          <rPr>
            <sz val="9"/>
            <color indexed="81"/>
            <rFont val="Tahoma"/>
            <family val="2"/>
          </rPr>
          <t xml:space="preserve">
Board + labour assumed captured in material/location multiplier</t>
        </r>
      </text>
    </comment>
    <comment ref="N44" authorId="0" shapeId="0" xr:uid="{3208593C-DFD8-418E-99DF-D272F850B4BE}">
      <text>
        <r>
          <rPr>
            <b/>
            <sz val="9"/>
            <color indexed="81"/>
            <rFont val="Tahoma"/>
            <family val="2"/>
          </rPr>
          <t>Peter:</t>
        </r>
        <r>
          <rPr>
            <sz val="9"/>
            <color indexed="81"/>
            <rFont val="Tahoma"/>
            <family val="2"/>
          </rPr>
          <t xml:space="preserve">
allowance for $250 energy logger, $800 CT's and $150 comms cabling and BOS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C27" authorId="0" shapeId="0" xr:uid="{9E1BCB45-E027-478C-B053-24586A8B8277}">
      <text>
        <r>
          <rPr>
            <b/>
            <sz val="9"/>
            <color indexed="81"/>
            <rFont val="Tahoma"/>
            <family val="2"/>
          </rPr>
          <t>Peter:</t>
        </r>
        <r>
          <rPr>
            <sz val="9"/>
            <color indexed="81"/>
            <rFont val="Tahoma"/>
            <family val="2"/>
          </rPr>
          <t xml:space="preserve">
updated as of 11/06/2025</t>
        </r>
      </text>
    </comment>
    <comment ref="C40" authorId="0" shapeId="0" xr:uid="{8D376364-C4FD-4AE2-9A75-FB1F69BF9483}">
      <text>
        <r>
          <rPr>
            <b/>
            <sz val="9"/>
            <color indexed="81"/>
            <rFont val="Tahoma"/>
            <family val="2"/>
          </rPr>
          <t>Peter:</t>
        </r>
        <r>
          <rPr>
            <sz val="9"/>
            <color indexed="81"/>
            <rFont val="Tahoma"/>
            <family val="2"/>
          </rPr>
          <t xml:space="preserve">
1 subscription covers 2 devices, need new subscription for 3 </t>
        </r>
      </text>
    </comment>
    <comment ref="D42" authorId="0" shapeId="0" xr:uid="{82B15B50-5124-4704-BB9F-502C60564CAA}">
      <text>
        <r>
          <rPr>
            <b/>
            <sz val="9"/>
            <color indexed="81"/>
            <rFont val="Tahoma"/>
            <family val="2"/>
          </rPr>
          <t>Peter:</t>
        </r>
        <r>
          <rPr>
            <sz val="9"/>
            <color indexed="81"/>
            <rFont val="Tahoma"/>
            <family val="2"/>
          </rPr>
          <t xml:space="preserve">
includes hybrid inverters if included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Peter</author>
  </authors>
  <commentList>
    <comment ref="B8" authorId="0" shapeId="0" xr:uid="{66DDC387-BBEF-46B4-9B51-9AB966CAEEA9}">
      <text>
        <r>
          <rPr>
            <b/>
            <sz val="9"/>
            <color indexed="81"/>
            <rFont val="Tahoma"/>
            <family val="2"/>
          </rPr>
          <t>Peter:</t>
        </r>
        <r>
          <rPr>
            <sz val="9"/>
            <color indexed="81"/>
            <rFont val="Tahoma"/>
            <family val="2"/>
          </rPr>
          <t xml:space="preserve">
1.25x safety factor for AS61439 thermal rise compliance</t>
        </r>
      </text>
    </comment>
    <comment ref="O8" authorId="0" shapeId="0" xr:uid="{6554D9F4-FB31-4BFF-858E-DA6A15ED2B42}">
      <text>
        <r>
          <rPr>
            <b/>
            <sz val="9"/>
            <color indexed="81"/>
            <rFont val="Tahoma"/>
            <family val="2"/>
          </rPr>
          <t>Peter:</t>
        </r>
        <r>
          <rPr>
            <sz val="9"/>
            <color indexed="81"/>
            <rFont val="Tahoma"/>
            <family val="2"/>
          </rPr>
          <t xml:space="preserve">
1.25x safety factor for AS61439 thermal rise compliance</t>
        </r>
      </text>
    </comment>
    <comment ref="B15" authorId="0" shapeId="0" xr:uid="{C5559F54-8C49-4E2E-8F4B-A0935D929694}">
      <text>
        <r>
          <rPr>
            <b/>
            <sz val="9"/>
            <color indexed="81"/>
            <rFont val="Tahoma"/>
            <family val="2"/>
          </rPr>
          <t>Peter:</t>
        </r>
        <r>
          <rPr>
            <sz val="9"/>
            <color indexed="81"/>
            <rFont val="Tahoma"/>
            <family val="2"/>
          </rPr>
          <t xml:space="preserve">
If BESS pcs is included add the total kVA</t>
        </r>
      </text>
    </comment>
    <comment ref="O15" authorId="0" shapeId="0" xr:uid="{B253387F-A7E9-440F-AAB3-9F6C4F967FD5}">
      <text>
        <r>
          <rPr>
            <b/>
            <sz val="9"/>
            <color indexed="81"/>
            <rFont val="Tahoma"/>
            <family val="2"/>
          </rPr>
          <t>Peter:</t>
        </r>
        <r>
          <rPr>
            <sz val="9"/>
            <color indexed="81"/>
            <rFont val="Tahoma"/>
            <family val="2"/>
          </rPr>
          <t xml:space="preserve">
If BESS pcs is included add the total kVA</t>
        </r>
      </text>
    </comment>
    <comment ref="B21" authorId="0" shapeId="0" xr:uid="{3E1D5737-3684-4CD7-BA42-C63659396BD6}">
      <text>
        <r>
          <rPr>
            <b/>
            <sz val="9"/>
            <color indexed="81"/>
            <rFont val="Tahoma"/>
            <family val="2"/>
          </rPr>
          <t>Peter:</t>
        </r>
        <r>
          <rPr>
            <sz val="9"/>
            <color indexed="81"/>
            <rFont val="Tahoma"/>
            <family val="2"/>
          </rPr>
          <t xml:space="preserve">
1.25x safety factor for AS61439 thermal rise compliance</t>
        </r>
      </text>
    </comment>
    <comment ref="O21" authorId="0" shapeId="0" xr:uid="{5346E217-3BB2-4E97-B6B3-D732473C293C}">
      <text>
        <r>
          <rPr>
            <b/>
            <sz val="9"/>
            <color indexed="81"/>
            <rFont val="Tahoma"/>
            <family val="2"/>
          </rPr>
          <t>Peter:</t>
        </r>
        <r>
          <rPr>
            <sz val="9"/>
            <color indexed="81"/>
            <rFont val="Tahoma"/>
            <family val="2"/>
          </rPr>
          <t xml:space="preserve">
1.25x safety factor for AS61439 thermal rise compliance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Ari</author>
  </authors>
  <commentList>
    <comment ref="B24" authorId="0" shapeId="0" xr:uid="{9EF5EC57-0BA1-47F2-83DA-5FD3CAA00F50}">
      <text>
        <r>
          <rPr>
            <b/>
            <sz val="9"/>
            <color indexed="81"/>
            <rFont val="Tahoma"/>
            <family val="2"/>
          </rPr>
          <t>Ari:</t>
        </r>
        <r>
          <rPr>
            <sz val="9"/>
            <color indexed="81"/>
            <rFont val="Tahoma"/>
            <family val="2"/>
          </rPr>
          <t xml:space="preserve">
Yes/No +$$ for inspections/ servicing</t>
        </r>
      </text>
    </comment>
    <comment ref="B26" authorId="0" shapeId="0" xr:uid="{3D6FCC22-8DF6-41A6-AC81-605F636AB6B9}">
      <text>
        <r>
          <rPr>
            <b/>
            <sz val="9"/>
            <color indexed="81"/>
            <rFont val="Tahoma"/>
            <family val="2"/>
          </rPr>
          <t>Ari:</t>
        </r>
        <r>
          <rPr>
            <sz val="9"/>
            <color indexed="81"/>
            <rFont val="Tahoma"/>
            <family val="2"/>
          </rPr>
          <t xml:space="preserve">
(0.5 = once every 2 years, 1= once a year, 2 = twice a year)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<sst xmlns="http://schemas.openxmlformats.org/spreadsheetml/2006/main" count="41471" uniqueCount="16671">
  <si>
    <t>System Size:</t>
  </si>
  <si>
    <t>Sold Cost:</t>
  </si>
  <si>
    <t xml:space="preserve">Baseline Engineering Effort (In EU): </t>
  </si>
  <si>
    <t>Baseline PM Effort (In EU):</t>
  </si>
  <si>
    <t>System Type:</t>
  </si>
  <si>
    <t>Eng Weighting:</t>
  </si>
  <si>
    <t>PM Weighting:</t>
  </si>
  <si>
    <t>Architects/Consultants</t>
  </si>
  <si>
    <t>Engineering</t>
  </si>
  <si>
    <t>Standard</t>
  </si>
  <si>
    <t>Involved</t>
  </si>
  <si>
    <t>Exponent 1</t>
  </si>
  <si>
    <t>Complex</t>
  </si>
  <si>
    <t>Not Involved</t>
  </si>
  <si>
    <t>Divisor 1</t>
  </si>
  <si>
    <t>Multipliers:</t>
  </si>
  <si>
    <t>Engineer:</t>
  </si>
  <si>
    <t>PM:</t>
  </si>
  <si>
    <t>Multi Roof</t>
  </si>
  <si>
    <t>Exponent 2</t>
  </si>
  <si>
    <t>Large Scale Roof</t>
  </si>
  <si>
    <t>Builders</t>
  </si>
  <si>
    <t>Divisor 2</t>
  </si>
  <si>
    <t>Racking</t>
  </si>
  <si>
    <t xml:space="preserve">Ground mounted mechanical + electrical </t>
  </si>
  <si>
    <t>Heavily or Continuously Involved</t>
  </si>
  <si>
    <t>Racking 2</t>
  </si>
  <si>
    <t>PM</t>
  </si>
  <si>
    <t>System Complexity</t>
  </si>
  <si>
    <t>Client co-operativeness</t>
  </si>
  <si>
    <t>Client co-operativeness:</t>
  </si>
  <si>
    <t>Very Co-operative</t>
  </si>
  <si>
    <t>Racking:</t>
  </si>
  <si>
    <t>Consultants</t>
  </si>
  <si>
    <t>Average</t>
  </si>
  <si>
    <t>Base Tin Installation</t>
  </si>
  <si>
    <t>Architects</t>
  </si>
  <si>
    <t>Difficult</t>
  </si>
  <si>
    <t>Base Tile Installation</t>
  </si>
  <si>
    <t>PPA Funders</t>
  </si>
  <si>
    <t>Very Difficult</t>
  </si>
  <si>
    <t>Ground Mounted (Fixed Tilt)</t>
  </si>
  <si>
    <t>Battery</t>
  </si>
  <si>
    <t>Location</t>
  </si>
  <si>
    <t>CUB</t>
  </si>
  <si>
    <t>Ground Mounted (Single Axis)</t>
  </si>
  <si>
    <t>Flagfall</t>
  </si>
  <si>
    <t>Install Timeline</t>
  </si>
  <si>
    <t>Concrete Roof Mounted (not including waterproofing)</t>
  </si>
  <si>
    <t>Exponent</t>
  </si>
  <si>
    <t>DNSP</t>
  </si>
  <si>
    <t>Install Timeline:</t>
  </si>
  <si>
    <t>Ballasted System</t>
  </si>
  <si>
    <t>Multiplier</t>
  </si>
  <si>
    <t>Large/Small Team</t>
  </si>
  <si>
    <t>Unconstrained</t>
  </si>
  <si>
    <t>Floating (ex. Anchors and Extras)</t>
  </si>
  <si>
    <t>STC/LGC Split</t>
  </si>
  <si>
    <t>Rushed</t>
  </si>
  <si>
    <t>Carpark</t>
  </si>
  <si>
    <t>Switchboard Mods</t>
  </si>
  <si>
    <t>Very Rushed</t>
  </si>
  <si>
    <t>Optimisers</t>
  </si>
  <si>
    <t>Racking 2:</t>
  </si>
  <si>
    <t>Transformer</t>
  </si>
  <si>
    <t>MISC:</t>
  </si>
  <si>
    <t>Flush Mounted</t>
  </si>
  <si>
    <t>Rollout</t>
  </si>
  <si>
    <t>None</t>
  </si>
  <si>
    <t>Frameless</t>
  </si>
  <si>
    <t>Safety</t>
  </si>
  <si>
    <t>DA</t>
  </si>
  <si>
    <t>Klip Lock Addition</t>
  </si>
  <si>
    <t>MISC 1</t>
  </si>
  <si>
    <t>Mine Site</t>
  </si>
  <si>
    <t>Tilt Legs Addition</t>
  </si>
  <si>
    <t>MISC 2</t>
  </si>
  <si>
    <t>Tricky Cable Run</t>
  </si>
  <si>
    <t>Wind Zone C/D</t>
  </si>
  <si>
    <t>AFC Not In Scope</t>
  </si>
  <si>
    <t>Klip Lock + Tilt Legs Addition</t>
  </si>
  <si>
    <t>HV Customer</t>
  </si>
  <si>
    <t>Building Certification</t>
  </si>
  <si>
    <t>Klip Lock Addition + Wind Zone C/D</t>
  </si>
  <si>
    <t>Internal Scaling Factor</t>
  </si>
  <si>
    <t>N/A</t>
  </si>
  <si>
    <t>Carport (SCP)</t>
  </si>
  <si>
    <t>Tilt Legs + Wind Zone C/D Addition</t>
  </si>
  <si>
    <t>Carport (Other)</t>
  </si>
  <si>
    <t>Klip Lock + Tilt Legs Addition +  Wind Zone C/D Addition</t>
  </si>
  <si>
    <t>Total Multipliers:</t>
  </si>
  <si>
    <t>Building Height &gt;20m</t>
  </si>
  <si>
    <t>Effort Scaling Factor</t>
  </si>
  <si>
    <t>GSES</t>
  </si>
  <si>
    <t>Location:</t>
  </si>
  <si>
    <t>Multipliers After Scaling</t>
  </si>
  <si>
    <t>Generator on site</t>
  </si>
  <si>
    <t>Zone1</t>
  </si>
  <si>
    <t>Total Effort:</t>
  </si>
  <si>
    <t>Zone2</t>
  </si>
  <si>
    <t>Hours Per EU*</t>
  </si>
  <si>
    <t>DNSP:</t>
  </si>
  <si>
    <t>Zone3</t>
  </si>
  <si>
    <t>Total Hours</t>
  </si>
  <si>
    <t>Endeavour</t>
  </si>
  <si>
    <t>Zone4</t>
  </si>
  <si>
    <t>Essential Energy</t>
  </si>
  <si>
    <t>Zone5</t>
  </si>
  <si>
    <t>*One effort unit is defined as the amount of effort required to deliver a typical 100kW</t>
  </si>
  <si>
    <t>Ausgrid</t>
  </si>
  <si>
    <t>Zone6</t>
  </si>
  <si>
    <t>Ausnet</t>
  </si>
  <si>
    <t>Zone7</t>
  </si>
  <si>
    <t>Citi Power - Powercor</t>
  </si>
  <si>
    <t>Zone8</t>
  </si>
  <si>
    <t>Jemena</t>
  </si>
  <si>
    <t>Darwin</t>
  </si>
  <si>
    <t>United Energy</t>
  </si>
  <si>
    <t>Cairns</t>
  </si>
  <si>
    <t>SAPN</t>
  </si>
  <si>
    <t>TasNetworks</t>
  </si>
  <si>
    <t>Team</t>
  </si>
  <si>
    <t>Power and Water Corporation</t>
  </si>
  <si>
    <t>Large</t>
  </si>
  <si>
    <t>Evoenergy</t>
  </si>
  <si>
    <t>Small</t>
  </si>
  <si>
    <t>Ergon</t>
  </si>
  <si>
    <t>Energex</t>
  </si>
  <si>
    <t>No (1-2 sites)</t>
  </si>
  <si>
    <t>Yes (3-5 sites)</t>
  </si>
  <si>
    <t>Horizon Power</t>
  </si>
  <si>
    <t>Yes (5-20 sites)</t>
  </si>
  <si>
    <t>Western Power</t>
  </si>
  <si>
    <t>Yes (20+ sites)</t>
  </si>
  <si>
    <t>Cost:</t>
  </si>
  <si>
    <t>Optimisers:</t>
  </si>
  <si>
    <t>Required</t>
  </si>
  <si>
    <t>Clearsky</t>
  </si>
  <si>
    <t>Not Required</t>
  </si>
  <si>
    <t>Solarbay/Green Peak</t>
  </si>
  <si>
    <t>Battery:</t>
  </si>
  <si>
    <t>Included</t>
  </si>
  <si>
    <t>Generator on Site</t>
  </si>
  <si>
    <t>No</t>
  </si>
  <si>
    <t>Unknown</t>
  </si>
  <si>
    <t>Yes</t>
  </si>
  <si>
    <t>Switchboard Modifications:</t>
  </si>
  <si>
    <t>May Require Upgrade (Excluded from quote)</t>
  </si>
  <si>
    <t>Appears to be Adequate</t>
  </si>
  <si>
    <t>Requires extension/New cabinet</t>
  </si>
  <si>
    <t>STC/LGC Split:</t>
  </si>
  <si>
    <t>Safety:</t>
  </si>
  <si>
    <t>Rigorous</t>
  </si>
  <si>
    <t>Very Rigorous</t>
  </si>
  <si>
    <t>Hourly Rate:</t>
  </si>
  <si>
    <t>Summary:</t>
  </si>
  <si>
    <t>Total Wage Cost:</t>
  </si>
  <si>
    <t>Charge-Out Rate (Wage + Opportunity Cost):</t>
  </si>
  <si>
    <t>Engineering Cost</t>
  </si>
  <si>
    <t>Charge-Out Profit:</t>
  </si>
  <si>
    <t>PM Cost</t>
  </si>
  <si>
    <t>Commission</t>
  </si>
  <si>
    <t>Commission Rate</t>
  </si>
  <si>
    <t>Management Cost</t>
  </si>
  <si>
    <t>Payroll Tax And Super (Included in wage)</t>
  </si>
  <si>
    <t>Commission Cost</t>
  </si>
  <si>
    <t>Company Overhead</t>
  </si>
  <si>
    <t>Total Budget</t>
  </si>
  <si>
    <t>% of Budget</t>
  </si>
  <si>
    <t>Total Internal Cost Estimate</t>
  </si>
  <si>
    <t>Engineers</t>
  </si>
  <si>
    <t>PMs</t>
  </si>
  <si>
    <t>Projects Hours</t>
  </si>
  <si>
    <t># of these we could deliver per year - Projects</t>
  </si>
  <si>
    <t># of these we could deliver per year - Management</t>
  </si>
  <si>
    <t>Total projects/yr (assuming equal Projects/Management weighting)</t>
  </si>
  <si>
    <t>Target Annual NP</t>
  </si>
  <si>
    <t>Target NP/Hr (Projects)</t>
  </si>
  <si>
    <t>Chargers</t>
  </si>
  <si>
    <t>Cost</t>
  </si>
  <si>
    <t xml:space="preserve">Universal Component </t>
  </si>
  <si>
    <t>Packages</t>
  </si>
  <si>
    <t>EVOS 22kW</t>
  </si>
  <si>
    <t>Install Labour</t>
  </si>
  <si>
    <t>Target</t>
  </si>
  <si>
    <t>Teltonika 22kW</t>
  </si>
  <si>
    <t>Breaker</t>
  </si>
  <si>
    <t>Mid</t>
  </si>
  <si>
    <t>Cabling</t>
  </si>
  <si>
    <t>Low</t>
  </si>
  <si>
    <t>Software Sub</t>
  </si>
  <si>
    <t>Year of ChargeActive</t>
  </si>
  <si>
    <t>Sale Commission</t>
  </si>
  <si>
    <t>Additions</t>
  </si>
  <si>
    <t>Unit</t>
  </si>
  <si>
    <t>Trenching</t>
  </si>
  <si>
    <t>per metre</t>
  </si>
  <si>
    <t>Excluded</t>
  </si>
  <si>
    <t>Pedestals</t>
  </si>
  <si>
    <t>per pedestal</t>
  </si>
  <si>
    <t>Switchboard Works</t>
  </si>
  <si>
    <t>Manual</t>
  </si>
  <si>
    <t>Additional Labour</t>
  </si>
  <si>
    <t>Additional Cable</t>
  </si>
  <si>
    <t>Additional Software Years</t>
  </si>
  <si>
    <t>Linking Cells</t>
  </si>
  <si>
    <t>Install Type</t>
  </si>
  <si>
    <t>Charger</t>
  </si>
  <si>
    <t>Software included</t>
  </si>
  <si>
    <t>Distance to Switchboard</t>
  </si>
  <si>
    <t>Deposit</t>
  </si>
  <si>
    <t>Completion</t>
  </si>
  <si>
    <t>PROJECT COST CALCULATOR</t>
  </si>
  <si>
    <t>Project Name:</t>
  </si>
  <si>
    <t>Date:</t>
  </si>
  <si>
    <t>Quote #</t>
  </si>
  <si>
    <t>Quote checked by:</t>
  </si>
  <si>
    <t>CONTACT</t>
  </si>
  <si>
    <t>INSTALL</t>
  </si>
  <si>
    <t>COSTS</t>
  </si>
  <si>
    <t>System Value</t>
  </si>
  <si>
    <t>Markup Summary</t>
  </si>
  <si>
    <t xml:space="preserve">ABN: </t>
  </si>
  <si>
    <t>Total System Size:</t>
  </si>
  <si>
    <t>Total System Value (Ex. GST)</t>
  </si>
  <si>
    <t>Proposed Markup</t>
  </si>
  <si>
    <t>Primary Contact:</t>
  </si>
  <si>
    <t>PPA or Capex?</t>
  </si>
  <si>
    <t>Install cost</t>
  </si>
  <si>
    <t>GST</t>
  </si>
  <si>
    <t>PPA input</t>
  </si>
  <si>
    <t>Target Markup</t>
  </si>
  <si>
    <t>Direct Ph:</t>
  </si>
  <si>
    <t>Install Address:</t>
  </si>
  <si>
    <t>$/W Cost</t>
  </si>
  <si>
    <t>Total System Value (Inc. GST)</t>
  </si>
  <si>
    <t>Mid Point</t>
  </si>
  <si>
    <t>Email Address:</t>
  </si>
  <si>
    <t>Suburb:</t>
  </si>
  <si>
    <t>Mark Up</t>
  </si>
  <si>
    <t>Rebate Value</t>
  </si>
  <si>
    <t>Minimum Markup</t>
  </si>
  <si>
    <t>NMI</t>
  </si>
  <si>
    <t>Postcode:</t>
  </si>
  <si>
    <t>Contingency Budget</t>
  </si>
  <si>
    <t>Claimed STC Capacity (kWp)</t>
  </si>
  <si>
    <t>Off-Grid?</t>
  </si>
  <si>
    <t>State:</t>
  </si>
  <si>
    <t>NSW</t>
  </si>
  <si>
    <t>Sale Price</t>
  </si>
  <si>
    <t>Deeming Period (years)</t>
  </si>
  <si>
    <t>Price Increase Forecast:</t>
  </si>
  <si>
    <t>Billing Address:</t>
  </si>
  <si>
    <t>STCs on 1st 100kW</t>
  </si>
  <si>
    <t>$/W Sale Price</t>
  </si>
  <si>
    <t>STC Discount (Ex. GST)</t>
  </si>
  <si>
    <t>Today:</t>
  </si>
  <si>
    <t>Expected Comissioning:</t>
  </si>
  <si>
    <t>Profit Margin</t>
  </si>
  <si>
    <t>Expected Start Date:</t>
  </si>
  <si>
    <t>May</t>
  </si>
  <si>
    <t>% Gross Profit</t>
  </si>
  <si>
    <t>VEEC Trader Fee (Ex. GST)</t>
  </si>
  <si>
    <t>Decision Time (Days):</t>
  </si>
  <si>
    <t>State</t>
  </si>
  <si>
    <t>Existing PV:</t>
  </si>
  <si>
    <t>Execution of Agreement:</t>
  </si>
  <si>
    <t>Upfront VEEC Discount (Ex. GST)</t>
  </si>
  <si>
    <t>System Value at Start Date:</t>
  </si>
  <si>
    <t>Submission of Grid Connection Application:</t>
  </si>
  <si>
    <t>% Price Increase:</t>
  </si>
  <si>
    <t>SCS Agent:</t>
  </si>
  <si>
    <t>Jon Vlatko</t>
  </si>
  <si>
    <t>HV Customer?</t>
  </si>
  <si>
    <t>Detailed Design Completion:</t>
  </si>
  <si>
    <t>Total Upfront Rebate (Ex. GST)</t>
  </si>
  <si>
    <t>Commencement of Works Onsite:</t>
  </si>
  <si>
    <t>Net System Value</t>
  </si>
  <si>
    <t>Price Increase Overview</t>
  </si>
  <si>
    <t>Email:</t>
  </si>
  <si>
    <t>Practical Completion:</t>
  </si>
  <si>
    <t>Net System Value (Ex. GST)</t>
  </si>
  <si>
    <t>System Value Today:</t>
  </si>
  <si>
    <t>% Price Increase</t>
  </si>
  <si>
    <t>Has a site inspection confirmed cable runs, inverter location, switchboard?</t>
  </si>
  <si>
    <t>Energisation:</t>
  </si>
  <si>
    <t>+3 Month Decision Time:</t>
  </si>
  <si>
    <t>Payment 7 days from invoice.</t>
  </si>
  <si>
    <t>Net System Value (Inc. GST)</t>
  </si>
  <si>
    <t>+6 Month Decision Time:</t>
  </si>
  <si>
    <t>+12 Month Decision Time:</t>
  </si>
  <si>
    <t>Category</t>
  </si>
  <si>
    <t>Item</t>
  </si>
  <si>
    <t>Type</t>
  </si>
  <si>
    <t>Calculated Quantity</t>
  </si>
  <si>
    <t>Manual Quantity</t>
  </si>
  <si>
    <t>PnL</t>
  </si>
  <si>
    <t>Sales Rate</t>
  </si>
  <si>
    <t>Sale $/W</t>
  </si>
  <si>
    <t>Preliminaries</t>
  </si>
  <si>
    <t>Grid Connection Application</t>
  </si>
  <si>
    <t>AFC</t>
  </si>
  <si>
    <t>Grid Application Notes:</t>
  </si>
  <si>
    <t>Council Permissions</t>
  </si>
  <si>
    <t>By Others/ N/A</t>
  </si>
  <si>
    <t>CDC/DA</t>
  </si>
  <si>
    <t>Structural Engineering</t>
  </si>
  <si>
    <t>Included (Inspection Required)</t>
  </si>
  <si>
    <t>Structural</t>
  </si>
  <si>
    <t>Witness/Injection Testing</t>
  </si>
  <si>
    <t>Electrical Inspector</t>
  </si>
  <si>
    <t>Other Engineering</t>
  </si>
  <si>
    <t>Not Included</t>
  </si>
  <si>
    <t>Components</t>
  </si>
  <si>
    <t xml:space="preserve">Panel </t>
  </si>
  <si>
    <t>Tier 1</t>
  </si>
  <si>
    <t>Premium Commercial Module</t>
  </si>
  <si>
    <t>Panels</t>
  </si>
  <si>
    <t>Solar Only Inverter</t>
  </si>
  <si>
    <t>Sungrow</t>
  </si>
  <si>
    <t>Sungrow SG110CX-P2</t>
  </si>
  <si>
    <t>Inverter</t>
  </si>
  <si>
    <t>Inverter Station</t>
  </si>
  <si>
    <t>Inverter Station/Cage</t>
  </si>
  <si>
    <t>Trimdek Installation</t>
  </si>
  <si>
    <t>Optimiser</t>
  </si>
  <si>
    <t>Miscellaneous</t>
  </si>
  <si>
    <t>Power Factor Correction</t>
  </si>
  <si>
    <t>Battery Inverter</t>
  </si>
  <si>
    <t>DC Cabling</t>
  </si>
  <si>
    <t>Included - Standard Cable</t>
  </si>
  <si>
    <t>DC Cable</t>
  </si>
  <si>
    <t>AC Inverter to PVDB</t>
  </si>
  <si>
    <t>Included - Copper</t>
  </si>
  <si>
    <t>AC Cable</t>
  </si>
  <si>
    <t>AC PVDB to MSB Cabling</t>
  </si>
  <si>
    <t>Cable Tray*</t>
  </si>
  <si>
    <t>GAL</t>
  </si>
  <si>
    <t>*Talk to Ops for exact pricing</t>
  </si>
  <si>
    <t>Cable Tray</t>
  </si>
  <si>
    <t>Switch Gear</t>
  </si>
  <si>
    <t>DC Combiner</t>
  </si>
  <si>
    <t>DC Switchgear</t>
  </si>
  <si>
    <t xml:space="preserve">Existing MSB Connection </t>
  </si>
  <si>
    <t>MSB Modifications</t>
  </si>
  <si>
    <t>AC Solar Main Switch</t>
  </si>
  <si>
    <t>New AC Solar Main Switch Included</t>
  </si>
  <si>
    <t>AC Switchgear</t>
  </si>
  <si>
    <t>Number of Connection Points</t>
  </si>
  <si>
    <t>PV Distribution Board</t>
  </si>
  <si>
    <t>GPU</t>
  </si>
  <si>
    <t xml:space="preserve">Full Export </t>
  </si>
  <si>
    <t>Indoor Mild Steel</t>
  </si>
  <si>
    <t>Installation</t>
  </si>
  <si>
    <t>Installation Labour</t>
  </si>
  <si>
    <t>Labour</t>
  </si>
  <si>
    <t>Consumables</t>
  </si>
  <si>
    <t xml:space="preserve">*Set at 3c/W </t>
  </si>
  <si>
    <t>BOS</t>
  </si>
  <si>
    <t>Lifting of Materials</t>
  </si>
  <si>
    <t>Scissor Lift + Forklift</t>
  </si>
  <si>
    <t>*If scissor lift selected don’t need G38</t>
  </si>
  <si>
    <t>Lifting</t>
  </si>
  <si>
    <t>Access to Rooftop</t>
  </si>
  <si>
    <t>Scissor Lift</t>
  </si>
  <si>
    <t>*Manual input for External Ladders</t>
  </si>
  <si>
    <t>Waste Management</t>
  </si>
  <si>
    <t>Skip</t>
  </si>
  <si>
    <t>Freight</t>
  </si>
  <si>
    <t>SCS Travel</t>
  </si>
  <si>
    <t>Contractor Travel/Accommodation/Meals</t>
  </si>
  <si>
    <t>SCS Accomodation</t>
  </si>
  <si>
    <t>Safety
 Considerations</t>
  </si>
  <si>
    <t>Skylight Safety</t>
  </si>
  <si>
    <t>Height Safety</t>
  </si>
  <si>
    <t>Walkway</t>
  </si>
  <si>
    <t>*total price</t>
  </si>
  <si>
    <t>Temporary Hand Rail</t>
  </si>
  <si>
    <t>Permanent Hand Rail</t>
  </si>
  <si>
    <t>Third Party Safety</t>
  </si>
  <si>
    <t>Fencing</t>
  </si>
  <si>
    <t>Anchor Points</t>
  </si>
  <si>
    <t>Commissioning 
&amp; Monitoring</t>
  </si>
  <si>
    <t>System Monitoring</t>
  </si>
  <si>
    <t>Solar Analytics Generation + Consumption</t>
  </si>
  <si>
    <t>Monitoring</t>
  </si>
  <si>
    <t>Inverter Monitoring</t>
  </si>
  <si>
    <t>Sungrow Monitoring</t>
  </si>
  <si>
    <t>Third Party QA</t>
  </si>
  <si>
    <t>Site Inspection</t>
  </si>
  <si>
    <t>Router</t>
  </si>
  <si>
    <t>Sungrow 4G Dongle</t>
  </si>
  <si>
    <t>LGC Contract Establishment</t>
  </si>
  <si>
    <t>Warranties</t>
  </si>
  <si>
    <t>Panel Product</t>
  </si>
  <si>
    <t>Performance Warranty</t>
  </si>
  <si>
    <t>Panel Performance</t>
  </si>
  <si>
    <t>Inverter Extension</t>
  </si>
  <si>
    <t>*Need to check pricing</t>
  </si>
  <si>
    <t>Workmanship</t>
  </si>
  <si>
    <t>*Manual Input for name and price</t>
  </si>
  <si>
    <t>12 Months Servicing</t>
  </si>
  <si>
    <t>Others</t>
  </si>
  <si>
    <t>Kiosk Monitoring</t>
  </si>
  <si>
    <t>Not required</t>
  </si>
  <si>
    <t>EV Chargers</t>
  </si>
  <si>
    <t>Referral Fee</t>
  </si>
  <si>
    <t>Sales Expenses</t>
  </si>
  <si>
    <t>Internal</t>
  </si>
  <si>
    <t>Architechts</t>
  </si>
  <si>
    <t>Client Co-Operativeness</t>
  </si>
  <si>
    <t>Rollout Status</t>
  </si>
  <si>
    <t>Battery Size:</t>
  </si>
  <si>
    <t>Transformer/HV Switchgear</t>
  </si>
  <si>
    <t>Misc 1</t>
  </si>
  <si>
    <t>Misc 2</t>
  </si>
  <si>
    <t>NetNada Plans</t>
  </si>
  <si>
    <t>NetNada Add-On's</t>
  </si>
  <si>
    <t>HV Site</t>
  </si>
  <si>
    <t>HV Engineering</t>
  </si>
  <si>
    <t>HV Equipment</t>
  </si>
  <si>
    <t>Solar-only price -&gt;</t>
  </si>
  <si>
    <t>Total</t>
  </si>
  <si>
    <t>Total System Cost</t>
  </si>
  <si>
    <t>Backend Linking Correct?</t>
  </si>
  <si>
    <t>Gross Profit</t>
  </si>
  <si>
    <t>Total Internal</t>
  </si>
  <si>
    <t>Net Profit Est.</t>
  </si>
  <si>
    <t>Target NP (%)</t>
  </si>
  <si>
    <t>Target Markup*</t>
  </si>
  <si>
    <t>Minimum Markup**</t>
  </si>
  <si>
    <t>* The Target Markup is defined as the markup at which the company would hit its annual net profit goal, if it were to only sell systems of this type</t>
  </si>
  <si>
    <t>** The Minimum Markup is defined as the markup at which the company would make zero net profit in a given year, if it were to only sell systems of this type</t>
  </si>
  <si>
    <t>Capex</t>
  </si>
  <si>
    <t>PPA</t>
  </si>
  <si>
    <t>Brand</t>
  </si>
  <si>
    <t>Model</t>
  </si>
  <si>
    <t>Quantity</t>
  </si>
  <si>
    <t xml:space="preserve">Total Capacity
</t>
  </si>
  <si>
    <t>Unit Price (Ex. GST)</t>
  </si>
  <si>
    <t>Total Price (Ex. GST)</t>
  </si>
  <si>
    <t xml:space="preserve">$/kWh </t>
  </si>
  <si>
    <t>Total Price with Markup (Ex. GST)</t>
  </si>
  <si>
    <t>Calculated Markup</t>
  </si>
  <si>
    <t>BESS</t>
  </si>
  <si>
    <t>Kstar</t>
  </si>
  <si>
    <t>107 kWh - BC107DE2</t>
  </si>
  <si>
    <t xml:space="preserve">50 kVA - KAC50DP2 </t>
  </si>
  <si>
    <t>Reccomended PCS</t>
  </si>
  <si>
    <t>Type of Quote</t>
  </si>
  <si>
    <t>Solar &amp; Battery</t>
  </si>
  <si>
    <t>LABOUR</t>
  </si>
  <si>
    <t>LABOUR DC</t>
  </si>
  <si>
    <t>LABOUR AC</t>
  </si>
  <si>
    <t>CIVIL WORKS</t>
  </si>
  <si>
    <t>Exclude</t>
  </si>
  <si>
    <t>UNDERGROUND SCANNING</t>
  </si>
  <si>
    <t>SLAB</t>
  </si>
  <si>
    <t>LIFTING</t>
  </si>
  <si>
    <t>CABLE TRAY</t>
  </si>
  <si>
    <t>Include</t>
  </si>
  <si>
    <t>SAFETY</t>
  </si>
  <si>
    <t>BESS STATION</t>
  </si>
  <si>
    <t>Bollards</t>
  </si>
  <si>
    <t>MAINS CT METERING</t>
  </si>
  <si>
    <t>FREIGHT</t>
  </si>
  <si>
    <t>From Aus</t>
  </si>
  <si>
    <t>DC Cable (If PCS not integrated)</t>
  </si>
  <si>
    <t>NetNada Package</t>
  </si>
  <si>
    <t>AC Cable - PCS to Connection Point</t>
  </si>
  <si>
    <t>SCS SERVICING</t>
  </si>
  <si>
    <t>INCLUDE SMART STACK OFFERING?</t>
  </si>
  <si>
    <t>POWERSYNC HARDWARE</t>
  </si>
  <si>
    <t>DNSP COMPLIANCE</t>
  </si>
  <si>
    <t>POWERSYNC PLATFORM FEE</t>
  </si>
  <si>
    <t>BATTERY-ONLY
 COSTS</t>
  </si>
  <si>
    <t>BESSDB</t>
  </si>
  <si>
    <t>BESS AC Main Switch</t>
  </si>
  <si>
    <t>RPEQ/INJECTION TESTING</t>
  </si>
  <si>
    <t>ELECTRICAL INSPECTOR</t>
  </si>
  <si>
    <t>WA</t>
  </si>
  <si>
    <t>CONSTRUCTION FUND LEVY</t>
  </si>
  <si>
    <t>OPTIONAL EXTRAS (MANUAL INPUT)</t>
  </si>
  <si>
    <t>COUNCIL PERMISSIONS</t>
  </si>
  <si>
    <t>INSTALL PRICE</t>
  </si>
  <si>
    <t>SALE PRICE</t>
  </si>
  <si>
    <t>For Analysis:</t>
  </si>
  <si>
    <t>Allocate Max Solar to Hybrid PCS?</t>
  </si>
  <si>
    <t>Prices for Solar + BESS 
Cost Calculator</t>
  </si>
  <si>
    <t>PCS (Ex. GST)</t>
  </si>
  <si>
    <t>Battery Capex</t>
  </si>
  <si>
    <t>Solar Allocated (kWp)</t>
  </si>
  <si>
    <t>TOTAL (Ex. GST)</t>
  </si>
  <si>
    <t>O&amp;M (p.a.) (included in Battery Capex above)</t>
  </si>
  <si>
    <t>Total Solar (kWp)</t>
  </si>
  <si>
    <t>Prices for BESS only</t>
  </si>
  <si>
    <t>Platform Fee (p.a.)</t>
  </si>
  <si>
    <t>TOTAL ($/kWh)</t>
  </si>
  <si>
    <t>Battery Rebates</t>
  </si>
  <si>
    <t>Rebate value (Ex. GST)</t>
  </si>
  <si>
    <t>Search Options by Storage Capacity</t>
  </si>
  <si>
    <t>NET VALUE (Ex. GST)</t>
  </si>
  <si>
    <t>Nominated Size</t>
  </si>
  <si>
    <t>kWh</t>
  </si>
  <si>
    <t>NET PRICE ($/kWh)</t>
  </si>
  <si>
    <t xml:space="preserve">Search Tolerance </t>
  </si>
  <si>
    <t>Options within Range</t>
  </si>
  <si>
    <t>$/kWh (inc. estimated PCS cost where not integrated)</t>
  </si>
  <si>
    <t>SMARTSTACK COMPATIBLE?</t>
  </si>
  <si>
    <t>Chosen BESS Notes</t>
  </si>
  <si>
    <t>Chosen PCS Notes</t>
  </si>
  <si>
    <t>Quote Number</t>
  </si>
  <si>
    <t>Version</t>
  </si>
  <si>
    <t>Preconfigured Packages</t>
  </si>
  <si>
    <t>Included in Main Quote?</t>
  </si>
  <si>
    <t>Package</t>
  </si>
  <si>
    <t>Margin</t>
  </si>
  <si>
    <t>Sell Price</t>
  </si>
  <si>
    <t>GP</t>
  </si>
  <si>
    <t>Incl/Excl</t>
  </si>
  <si>
    <t>Qty</t>
  </si>
  <si>
    <t>What is a pedestal charger?</t>
  </si>
  <si>
    <t>A free-standing, mounted and heavy duty unit, the cable associated with a pedestal EV charger is elevated off the ground which minimises any risk of tripping over.</t>
  </si>
  <si>
    <t xml:space="preserve">Pre sales </t>
  </si>
  <si>
    <t>Additional Cable (20m incl.)</t>
  </si>
  <si>
    <t>Custom Build</t>
  </si>
  <si>
    <t>Select</t>
  </si>
  <si>
    <t>Internal Time</t>
  </si>
  <si>
    <t>Markup</t>
  </si>
  <si>
    <t xml:space="preserve">  </t>
  </si>
  <si>
    <t>Without VEEC</t>
  </si>
  <si>
    <t>AR3:CC60,C64:AN121,AR64:CC121,C124:AN181,AR124:CC181,C244:AN301,C184:AN241,AR184:CC241</t>
  </si>
  <si>
    <t>With VEEC</t>
  </si>
  <si>
    <t>AR3:CC60,C64:AN121,AR64:CC121,C124:AN181,AR124:CC181,C244:AN301,C184:AN241,AR244:CC301,AR184:CC241</t>
  </si>
  <si>
    <t>*1st year of servicing included in total system value.</t>
  </si>
  <si>
    <t>Solar Linking Cells</t>
  </si>
  <si>
    <t>Page 2 - Project Details</t>
  </si>
  <si>
    <t>Install type</t>
  </si>
  <si>
    <t>Rail Disclaimer</t>
  </si>
  <si>
    <t>Inverters</t>
  </si>
  <si>
    <t>Years of service</t>
  </si>
  <si>
    <t>Page 3 - System Value</t>
  </si>
  <si>
    <t>Renewable Certificates</t>
  </si>
  <si>
    <t>Battery rebate show:</t>
  </si>
  <si>
    <t>STC rebate applies to BESS systems below 100kWh and is only offered for the first 50kWh of storage.</t>
  </si>
  <si>
    <t>Upfront VEEC discount is only offerred on Victorian installations with system size 30kWp - 200kWp.</t>
  </si>
  <si>
    <t>Page 6 - Next Steps</t>
  </si>
  <si>
    <t>Payment Schedule</t>
  </si>
  <si>
    <t>AC cable text</t>
  </si>
  <si>
    <t>Additions/Upgrades 1</t>
  </si>
  <si>
    <t>GPU inclusion text</t>
  </si>
  <si>
    <t>Trenching text</t>
  </si>
  <si>
    <t>DC Cable text</t>
  </si>
  <si>
    <t>Cable Tray Text</t>
  </si>
  <si>
    <t>AFC Costs</t>
  </si>
  <si>
    <t>NetNada Value</t>
  </si>
  <si>
    <t>BESS Linking Cells</t>
  </si>
  <si>
    <t>Quote Type</t>
  </si>
  <si>
    <t>Smart Stack Pricing?</t>
  </si>
  <si>
    <t>Grid Connect Cost</t>
  </si>
  <si>
    <t>Pricing Details</t>
  </si>
  <si>
    <t>PCS</t>
  </si>
  <si>
    <t>Project Name</t>
  </si>
  <si>
    <t>PCS Size</t>
  </si>
  <si>
    <t>Battery Price ex. GST</t>
  </si>
  <si>
    <t>Inc GST Price</t>
  </si>
  <si>
    <t>Product Warranty</t>
  </si>
  <si>
    <t>Battery Inverter Warranty</t>
  </si>
  <si>
    <t>Service Period</t>
  </si>
  <si>
    <t>Service cost p.a.</t>
  </si>
  <si>
    <t>POWER SYNC Fees</t>
  </si>
  <si>
    <t>Set-up Costs</t>
  </si>
  <si>
    <t>PST Platform</t>
  </si>
  <si>
    <t>BATTERY REBATE</t>
  </si>
  <si>
    <t>Battery rebate Ex. GST</t>
  </si>
  <si>
    <t>Battery rebate incl. GST</t>
  </si>
  <si>
    <t>Total Cost Ex. GST</t>
  </si>
  <si>
    <t>Inc. GST</t>
  </si>
  <si>
    <t>Market Set Up Inclusion</t>
  </si>
  <si>
    <t>POWERSYNC Line item hide/show linking cells:</t>
  </si>
  <si>
    <t>Components &amp; Balance of System</t>
  </si>
  <si>
    <t>Civil Works</t>
  </si>
  <si>
    <t>Underground Scanning</t>
  </si>
  <si>
    <t>BESS Station</t>
  </si>
  <si>
    <t>Forklift or Crane</t>
  </si>
  <si>
    <t>Slab</t>
  </si>
  <si>
    <t>Battery Payment Milestones</t>
  </si>
  <si>
    <t>20% Execution of Agreement</t>
  </si>
  <si>
    <t>10% Order Battery</t>
  </si>
  <si>
    <t>15% Detailed Design Completion</t>
  </si>
  <si>
    <t>10% Submission of Grid Connection Application</t>
  </si>
  <si>
    <t>37.5% Commencement of Works</t>
  </si>
  <si>
    <t>5% Practical Completion</t>
  </si>
  <si>
    <t>2.5% Energisation</t>
  </si>
  <si>
    <t>Solar &amp; BESS Linking Cells</t>
  </si>
  <si>
    <t>System Size</t>
  </si>
  <si>
    <t>Quote</t>
  </si>
  <si>
    <t>Sold (ex. GST)</t>
  </si>
  <si>
    <t>Check That all costs accounted for</t>
  </si>
  <si>
    <t>Contractor Costs (ex. GST)</t>
  </si>
  <si>
    <t>SCS Costs (ex. GST)</t>
  </si>
  <si>
    <t>Includes access to rooftop</t>
  </si>
  <si>
    <t>All safety considerations</t>
  </si>
  <si>
    <t>All Warranties</t>
  </si>
  <si>
    <t>Metering</t>
  </si>
  <si>
    <t>Flights Sales</t>
  </si>
  <si>
    <t>Accommodation Projects</t>
  </si>
  <si>
    <t>Meals</t>
  </si>
  <si>
    <t>Accommodation Sales</t>
  </si>
  <si>
    <t>Flights Projects</t>
  </si>
  <si>
    <t>Waste Removal</t>
  </si>
  <si>
    <t>Repairs/Rectifications</t>
  </si>
  <si>
    <t>Equipment Costs (ex. GST)</t>
  </si>
  <si>
    <t>Conduit added also</t>
  </si>
  <si>
    <t>QLD</t>
  </si>
  <si>
    <t>SA</t>
  </si>
  <si>
    <t>VIC</t>
  </si>
  <si>
    <t>ACT</t>
  </si>
  <si>
    <t>TAS</t>
  </si>
  <si>
    <t>NT</t>
  </si>
  <si>
    <t>DNSP by Postcode</t>
  </si>
  <si>
    <t>Index Match NMI For Networks</t>
  </si>
  <si>
    <t>NZ</t>
  </si>
  <si>
    <t>NC</t>
  </si>
  <si>
    <t>Table Row:</t>
  </si>
  <si>
    <t>41</t>
  </si>
  <si>
    <t>Table Col:</t>
  </si>
  <si>
    <t>VB</t>
  </si>
  <si>
    <t>AusNet</t>
  </si>
  <si>
    <t>63</t>
  </si>
  <si>
    <t>VA</t>
  </si>
  <si>
    <t>DNSP by NMI</t>
  </si>
  <si>
    <t>61</t>
  </si>
  <si>
    <t>NE</t>
  </si>
  <si>
    <t>Chosen State</t>
  </si>
  <si>
    <t>Prefix</t>
  </si>
  <si>
    <t>43</t>
  </si>
  <si>
    <t>Dropdown DNSP's</t>
  </si>
  <si>
    <t>QB</t>
  </si>
  <si>
    <t>31</t>
  </si>
  <si>
    <t>Chosen NMI:</t>
  </si>
  <si>
    <t>QA</t>
  </si>
  <si>
    <t>QC</t>
  </si>
  <si>
    <t>QD</t>
  </si>
  <si>
    <t>QE</t>
  </si>
  <si>
    <t>QF</t>
  </si>
  <si>
    <t>QG</t>
  </si>
  <si>
    <t>30</t>
  </si>
  <si>
    <t>NA</t>
  </si>
  <si>
    <t>NB</t>
  </si>
  <si>
    <t>ND</t>
  </si>
  <si>
    <t>NF</t>
  </si>
  <si>
    <t>40</t>
  </si>
  <si>
    <t>45</t>
  </si>
  <si>
    <t>42</t>
  </si>
  <si>
    <t>44</t>
  </si>
  <si>
    <t>NG</t>
  </si>
  <si>
    <t>70</t>
  </si>
  <si>
    <t>VD</t>
  </si>
  <si>
    <t>60</t>
  </si>
  <si>
    <t>VC</t>
  </si>
  <si>
    <t>62</t>
  </si>
  <si>
    <t>20</t>
  </si>
  <si>
    <t>T0</t>
  </si>
  <si>
    <t>VE</t>
  </si>
  <si>
    <t>64</t>
  </si>
  <si>
    <t>WAAA</t>
  </si>
  <si>
    <t>8001</t>
  </si>
  <si>
    <t>25</t>
  </si>
  <si>
    <t>10</t>
  </si>
  <si>
    <t>Transpower</t>
  </si>
  <si>
    <t>8020</t>
  </si>
  <si>
    <t>8021</t>
  </si>
  <si>
    <t>AFC PRICE INPUTS</t>
  </si>
  <si>
    <t>Existing Generation (kVA)</t>
  </si>
  <si>
    <t>Proposed New Generation (kVA)
(Solar/Solar+BESS)</t>
  </si>
  <si>
    <t>Proposed New Generation (kVA)
(BESS Only Quote)</t>
  </si>
  <si>
    <t>Total Solar/Solar+ BESS (kVA)</t>
  </si>
  <si>
    <t>Total BESS Only (kVA)</t>
  </si>
  <si>
    <t>HV Site?</t>
  </si>
  <si>
    <t>Export Limiting Controls?</t>
  </si>
  <si>
    <t>**Pricing is inclusive of GST</t>
  </si>
  <si>
    <t>BESS Only</t>
  </si>
  <si>
    <t>Solar / 
Solar + BESS</t>
  </si>
  <si>
    <t>Low Size (kVA)</t>
  </si>
  <si>
    <t>High Side (kVA)</t>
  </si>
  <si>
    <t>Preliminary Enquiry</t>
  </si>
  <si>
    <t>Application Fee Or Tech Assessment</t>
  </si>
  <si>
    <t>Additional Costs e.g. Network Studies, Tech Review, GMM, SCADA</t>
  </si>
  <si>
    <t>HV Site Variation</t>
  </si>
  <si>
    <t>Full Export Variation</t>
  </si>
  <si>
    <t>TOTAL Network Fee</t>
  </si>
  <si>
    <t>Notes</t>
  </si>
  <si>
    <t>Council Permission</t>
  </si>
  <si>
    <t>&lt;15kVA export limit is auto approval.</t>
  </si>
  <si>
    <t>95% of the time no GPU required for &lt;200kVA needs to be export limiting though.
3rd party injection testing required.
If the system is installed greater than 200km from the Adelaide CBD, additional costs will be passed on ($1,362 - $7,734).</t>
  </si>
  <si>
    <t xml:space="preserve">Type </t>
  </si>
  <si>
    <t>Price Total</t>
  </si>
  <si>
    <t>Required Over:</t>
  </si>
  <si>
    <t>Price</t>
  </si>
  <si>
    <t>Solar/Solar+BESS</t>
  </si>
  <si>
    <t>3rd party injection testing required.
If the system is installed greater than 200km from the Adelaide CBD, additional costs will be passed on ($1,362 - $7,734).</t>
  </si>
  <si>
    <t>Council DA</t>
  </si>
  <si>
    <t>TALK TO PROJECTS</t>
  </si>
  <si>
    <t>Witness testing required.GPU still required &gt;30kVA.</t>
  </si>
  <si>
    <t>Witness testing required. GMM Required, price built in for 1 GMM install, additional 4276 to install another. Relocation of existing GMM $1040.</t>
  </si>
  <si>
    <t xml:space="preserve">3rd party injection testing required. </t>
  </si>
  <si>
    <t>3rd party injection testing required. Fault level study required. Load profile and generation profile required.</t>
  </si>
  <si>
    <t>Included (Drawings Provided)</t>
  </si>
  <si>
    <t>By Others/NA</t>
  </si>
  <si>
    <t>No GPU required.</t>
  </si>
  <si>
    <t>3rd party injection testing required.</t>
  </si>
  <si>
    <t xml:space="preserve">Price Total </t>
  </si>
  <si>
    <t>Western power considers all the solar on a transformer for their connection applications, not just the solar behind a given NMI. BUT if existing system network studies cost would not have to be paid again as they will refer to the network study completed on the existing system.</t>
  </si>
  <si>
    <t>GPU still required &lt;200kVA, can apply for exemption though. Commissioning window 'witnessed' by WP; NER eng to sign technical commissioning report. Western power considers all the solar on a transformer for their connection applications, not just the solar behind a given NMI. BUT if existing system network studies cost would not have to be paid again as they will refer to the network study completed on the existing system.</t>
  </si>
  <si>
    <t>Commissioning window 'witnessed' by WP; NER eng to sign technical commissioning report. Western power considers all the solar on a transformer for their connection applications, not just the solar behind a given NMI. BUT if existing system network studies cost would not have to be paid again as they will refer to the network study completed on the existing system.</t>
  </si>
  <si>
    <t>Clenergy Site Specific Certificate</t>
  </si>
  <si>
    <t>GPU Requirement Threshold</t>
  </si>
  <si>
    <t>Geotech</t>
  </si>
  <si>
    <t>Geotech + Underground Scan</t>
  </si>
  <si>
    <t>Export Limit Enforced?</t>
  </si>
  <si>
    <t>Assume GPU still required, still TBD. NER sign off required. DERMS, included in price.</t>
  </si>
  <si>
    <t>NER sign off required. DERMS, included in price.</t>
  </si>
  <si>
    <t>NER sign off required. DERMS, included in price. Priced on application.</t>
  </si>
  <si>
    <t>If full export RPEQ costs and witnessing required</t>
  </si>
  <si>
    <t>No GPU required &lt;200kVA. Has to be &lt;200kVA though cannot be =200kVA on the dot. RPEQ required</t>
  </si>
  <si>
    <t>RPEQ required</t>
  </si>
  <si>
    <t>No GPU required &lt;200kVA. Has to be &lt;200kVA though cannot be =200kVA on the dot. Third party injection/witness testing required.</t>
  </si>
  <si>
    <t>Third party injection/witness testing required.</t>
  </si>
  <si>
    <t>if complex or utilising power sharing devices like allume, GPU may still be required. AFC + $514.</t>
  </si>
  <si>
    <t>Third party injection/witness testing required. Depending on network constraints, there may be additional power quality, and other network stability issues that need to be considered and calculated which will require additional fees. Most cases won't require these.</t>
  </si>
  <si>
    <t>AFC priced on application. $561 preliminary enquiry.</t>
  </si>
  <si>
    <t>No GPU required &lt;200kVA. Has to be &lt;200kVA though cannot be =200kVA on the dot.</t>
  </si>
  <si>
    <t>The tech review fee is charged at @$350/hr so if the site is complex then it is recommended to allow more $ than the listed cost</t>
  </si>
  <si>
    <t>No export HV should be around $30k. Complex enquiries $293/hr</t>
  </si>
  <si>
    <t>No GPU required &lt;200kVA. Has to be &lt;200kVA though cannot be =200kVA on the dot. No export HV should be around $30k. Complex enquiries $293/hr</t>
  </si>
  <si>
    <t>GPU still required</t>
  </si>
  <si>
    <t>Updated pricing</t>
  </si>
  <si>
    <t>MODULE TYPE 
LEGEND</t>
  </si>
  <si>
    <t>Panel Brands</t>
  </si>
  <si>
    <t>Inverter Brands</t>
  </si>
  <si>
    <t>PFC</t>
  </si>
  <si>
    <t>Harm Filtering</t>
  </si>
  <si>
    <t>NetNada</t>
  </si>
  <si>
    <t>* Now quoted in the BESS sheet - PW</t>
  </si>
  <si>
    <t>Basic Plan</t>
  </si>
  <si>
    <t>p.a.</t>
  </si>
  <si>
    <t>Last Price Update:</t>
  </si>
  <si>
    <t>Product Warranty (Years)</t>
  </si>
  <si>
    <t>Performance Warranty (Years)</t>
  </si>
  <si>
    <t>Wattage</t>
  </si>
  <si>
    <t>$/Watt</t>
  </si>
  <si>
    <t>Datasheet Code</t>
  </si>
  <si>
    <t>Local Stock?</t>
  </si>
  <si>
    <t>Warranty (Years)</t>
  </si>
  <si>
    <t>Watt</t>
  </si>
  <si>
    <t>$/Unit</t>
  </si>
  <si>
    <t>Inverter station</t>
  </si>
  <si>
    <t>Cost Per Unit</t>
  </si>
  <si>
    <t>Size (VA)</t>
  </si>
  <si>
    <t>Price Per Unit</t>
  </si>
  <si>
    <t>Advanced Plan</t>
  </si>
  <si>
    <t>Number</t>
  </si>
  <si>
    <t>Racking Type</t>
  </si>
  <si>
    <t>$/W</t>
  </si>
  <si>
    <t>$/Panel</t>
  </si>
  <si>
    <t>Column1</t>
  </si>
  <si>
    <t>Total Added Price</t>
  </si>
  <si>
    <t>Per Panel</t>
  </si>
  <si>
    <t>Price Per unit</t>
  </si>
  <si>
    <t>Enterprise Plan</t>
  </si>
  <si>
    <t>Sungrow SG5RT</t>
  </si>
  <si>
    <t>Tigo TS4-A-O Optimiser</t>
  </si>
  <si>
    <t>Additions Table</t>
  </si>
  <si>
    <t>Not Applicable</t>
  </si>
  <si>
    <t>AIKO</t>
  </si>
  <si>
    <t>Sungrow SG10RT</t>
  </si>
  <si>
    <t>Restricted Access</t>
  </si>
  <si>
    <t>SolarEdge S1400 Optimiser</t>
  </si>
  <si>
    <t>Tile Installation</t>
  </si>
  <si>
    <t>Add-On's</t>
  </si>
  <si>
    <t>520W Aiko Neostar 2P N-Type ABC Monofacial</t>
  </si>
  <si>
    <t>AIKO-A520-MAH60Mw</t>
  </si>
  <si>
    <t>Y</t>
  </si>
  <si>
    <t>Sungrow SG15RT</t>
  </si>
  <si>
    <t>SolarEdge S1200 Optimiser</t>
  </si>
  <si>
    <t>Sized to correct solar influence</t>
  </si>
  <si>
    <t>Mandatory Reporting Requirement</t>
  </si>
  <si>
    <t>Sungrow SG20RT</t>
  </si>
  <si>
    <t>SolarEdge S1000 Optimiser</t>
  </si>
  <si>
    <t>Flush Mounted - Sunlock</t>
  </si>
  <si>
    <t>50 kVAr</t>
  </si>
  <si>
    <t>Scenario Analysis</t>
  </si>
  <si>
    <t>per report</t>
  </si>
  <si>
    <t>Risen</t>
  </si>
  <si>
    <t>Sungrow SG30CX-P2</t>
  </si>
  <si>
    <t>SolarEdge S950 Optimiser</t>
  </si>
  <si>
    <t>75 kVAr</t>
  </si>
  <si>
    <t>Environmental Product Declaration</t>
  </si>
  <si>
    <t>475W BNDG Risen Topcon N-Type Bifacial</t>
  </si>
  <si>
    <t>RSM96-11-475BNDG</t>
  </si>
  <si>
    <t>Sungrow SG50CX-P2</t>
  </si>
  <si>
    <t>SolarEdge P730 Optimiser</t>
  </si>
  <si>
    <t>Manual Input</t>
  </si>
  <si>
    <t>100 kVAr</t>
  </si>
  <si>
    <t>Life Cycle Assessment</t>
  </si>
  <si>
    <t>590W Risen Hyper-ion HJT Bifacial</t>
  </si>
  <si>
    <t>RSM110-8-570-595BHDG</t>
  </si>
  <si>
    <t>SolarEdge S500B Optimiser</t>
  </si>
  <si>
    <t>125 kVAr</t>
  </si>
  <si>
    <t>620W Risen TOPCon N-Type Bifacial</t>
  </si>
  <si>
    <t>RSM144-10-590-615BNDG</t>
  </si>
  <si>
    <t>SolarEdge S440 Optimiser</t>
  </si>
  <si>
    <t>150 kVAr</t>
  </si>
  <si>
    <t>200 kVAr</t>
  </si>
  <si>
    <t>Trina</t>
  </si>
  <si>
    <t>Sigenergy</t>
  </si>
  <si>
    <t>250 kVAr</t>
  </si>
  <si>
    <t>625W Trina Vertex N TOPCon N-Type Monofacial</t>
  </si>
  <si>
    <t>TSM-625NE19R</t>
  </si>
  <si>
    <t>Sigenergy 50M1-AU</t>
  </si>
  <si>
    <t>300 kVAr</t>
  </si>
  <si>
    <t>510W Trina Vertex N TOPCon N-Type Dual Glass Monofacial</t>
  </si>
  <si>
    <t>TSM-510NEG18R.28</t>
  </si>
  <si>
    <t>Sigenergy 99.9M1-AU</t>
  </si>
  <si>
    <t>Racking Components</t>
  </si>
  <si>
    <t>$/Item</t>
  </si>
  <si>
    <t>Per "Set" (8 panels)</t>
  </si>
  <si>
    <t>Customised</t>
  </si>
  <si>
    <t>Sigenergy 110M1-A</t>
  </si>
  <si>
    <t>Rail (4400mm)</t>
  </si>
  <si>
    <t>Sunpower</t>
  </si>
  <si>
    <t>Sigenergy 125M1-AU</t>
  </si>
  <si>
    <t>Splice Plate</t>
  </si>
  <si>
    <t>Awaiting Update</t>
  </si>
  <si>
    <t>Inter Clamp</t>
  </si>
  <si>
    <t>End Clamp</t>
  </si>
  <si>
    <t>Canadian Solar</t>
  </si>
  <si>
    <t>Enphase</t>
  </si>
  <si>
    <t>Grounding Lug</t>
  </si>
  <si>
    <t>Enphase IQ8X 380W</t>
  </si>
  <si>
    <t>Grounding Clamp</t>
  </si>
  <si>
    <t>Enphase IQ8HC 380W</t>
  </si>
  <si>
    <t>L-feet</t>
  </si>
  <si>
    <t>Tindo Solar</t>
  </si>
  <si>
    <t>Enphase IQ8AC 360W</t>
  </si>
  <si>
    <t>Cable Clips</t>
  </si>
  <si>
    <t xml:space="preserve"> </t>
  </si>
  <si>
    <t>JA Solar</t>
  </si>
  <si>
    <t xml:space="preserve">Fronius </t>
  </si>
  <si>
    <t>Primo GEN24 3.0</t>
  </si>
  <si>
    <t>Primo GEN24 4.0</t>
  </si>
  <si>
    <t>Jinko</t>
  </si>
  <si>
    <t>Primo GEN24 5.0</t>
  </si>
  <si>
    <t>595W Jinko Tiger Neo TOPCon N-Type Dual Glass Bifacial</t>
  </si>
  <si>
    <t>JKM590N-72HL4-BDV</t>
  </si>
  <si>
    <t>Primo GEN24 6.0</t>
  </si>
  <si>
    <t>Primo GEN24 8.0</t>
  </si>
  <si>
    <t>Primo GEN24 10.0</t>
  </si>
  <si>
    <t>Primo GEN24 5.0 Plus</t>
  </si>
  <si>
    <t>Primo GEN24 6.0 Plus</t>
  </si>
  <si>
    <t>Primo GEN24 8.0 Plus</t>
  </si>
  <si>
    <t>Primo GEN24 10.0 Plus</t>
  </si>
  <si>
    <t>Symo GEN24 5.0</t>
  </si>
  <si>
    <t>Symo GEN24 5.0 Plus</t>
  </si>
  <si>
    <t>Symo GEN24 6.0</t>
  </si>
  <si>
    <t>Symo GEN24 8.0</t>
  </si>
  <si>
    <t>Symo GEN24 8.0 Plus</t>
  </si>
  <si>
    <t>Symo 5.0-3-M</t>
  </si>
  <si>
    <t>Symo 8.2-3-M</t>
  </si>
  <si>
    <t>Symo Advanced 20.0</t>
  </si>
  <si>
    <t>Verto 25.0</t>
  </si>
  <si>
    <t>Verto 33.3</t>
  </si>
  <si>
    <t>Tauro ECO 50-3-D</t>
  </si>
  <si>
    <t>Tauro 50-3-D</t>
  </si>
  <si>
    <t>Tauro ECO 100-3-D</t>
  </si>
  <si>
    <t>Tauro ECO 100-3-P</t>
  </si>
  <si>
    <t>5</t>
  </si>
  <si>
    <t>Solar Edge</t>
  </si>
  <si>
    <t>SE5K</t>
  </si>
  <si>
    <t>SE10K</t>
  </si>
  <si>
    <t>SE30K</t>
  </si>
  <si>
    <t>SE50K</t>
  </si>
  <si>
    <t>SE66.6K</t>
  </si>
  <si>
    <t>SE82.8K</t>
  </si>
  <si>
    <t>SE100K</t>
  </si>
  <si>
    <t>Chelion</t>
  </si>
  <si>
    <t>Nominal kWh</t>
  </si>
  <si>
    <t>Battery Price FOB (Ex.GST)</t>
  </si>
  <si>
    <t>PCS included?</t>
  </si>
  <si>
    <t>PCS Table Ref.</t>
  </si>
  <si>
    <t>Suggested PCS</t>
  </si>
  <si>
    <t>$/kWh (inc. PCS)</t>
  </si>
  <si>
    <t>SMARTSTACK Compatible?</t>
  </si>
  <si>
    <t>kVA</t>
  </si>
  <si>
    <t>PCS Price (Ex. GST)</t>
  </si>
  <si>
    <t>BESS Brands</t>
  </si>
  <si>
    <t>UPDATING THE BESS PRICELIST</t>
  </si>
  <si>
    <t>Battery Dropdown Data Validation</t>
  </si>
  <si>
    <t>5 kWh - 1x iHome-B5-HD02</t>
  </si>
  <si>
    <t>5 kVA - 1x iHome-INV5KHD01H01 Single Phase</t>
  </si>
  <si>
    <t>1. Unhide hidden columns
2. If you add a new table you HAVE to follow the same naming format, down to letters and capitalisation (BESSTableX, PCSTableX)
3. In the PCS estimate price column change the formula to the correct table reference number. All the others should be copy-paste able since they just refer to the table format calcs.
4. Dont forget to add to the BESS Brands list left. 
5. Most of the formulas refer to broad table formatted type calcs. Make sure all the data is taken in to account and resized if neccessary.</t>
  </si>
  <si>
    <t>10 kWh - 2x iHome-B5-HD02</t>
  </si>
  <si>
    <t>5 kVA - 2x iHome-INV5KHD01H01 Single Phase</t>
  </si>
  <si>
    <t>15 kWh - 3x iHome-B5-HD02</t>
  </si>
  <si>
    <t>15 kVA - 1x iHome-INV5KHD01H01 Three Phase</t>
  </si>
  <si>
    <t>Allocate Solar to Hybrid Dropdown Data Validation</t>
  </si>
  <si>
    <t>20 kWh - 4x iHome-B5-HD02</t>
  </si>
  <si>
    <t>30 kVA - GEF60-30</t>
  </si>
  <si>
    <t>25 kWh - 5x iHome-B5-HD02</t>
  </si>
  <si>
    <t>50 kVA - GEF60-50</t>
  </si>
  <si>
    <t>Total Cost</t>
  </si>
  <si>
    <t>Set Up/ Establishment Price</t>
  </si>
  <si>
    <t>Cost Per time</t>
  </si>
  <si>
    <t>Time</t>
  </si>
  <si>
    <t>Number Of Lifts</t>
  </si>
  <si>
    <t>Establishments</t>
  </si>
  <si>
    <t>30 kWh - 6x iHome-B5-HD02</t>
  </si>
  <si>
    <t>30 kVA - ARES-30-100</t>
  </si>
  <si>
    <t>Forklift</t>
  </si>
  <si>
    <t>35 kWh - 7x iHome-B5-HD02</t>
  </si>
  <si>
    <t>60 kVA - ARES-60-100</t>
  </si>
  <si>
    <t>Crane Lift</t>
  </si>
  <si>
    <t>40 kWh - 8x iHome-B5-HD02</t>
  </si>
  <si>
    <t>60 kVA - ARES-60-133</t>
  </si>
  <si>
    <t>60 kWh - GEF60-30</t>
  </si>
  <si>
    <t>100 kVA - ZUES-100-300</t>
  </si>
  <si>
    <t>60 kWh - GEF60-50</t>
  </si>
  <si>
    <t>200 kVA - ZUES-200-600</t>
  </si>
  <si>
    <t>BESS to PCS DC Cabling Calc</t>
  </si>
  <si>
    <t>Trenching $/m</t>
  </si>
  <si>
    <t>100 kWh - ARES-30-100</t>
  </si>
  <si>
    <t>500 kVA - ZUES-300-900</t>
  </si>
  <si>
    <t>GoodWe</t>
  </si>
  <si>
    <t>CHOSEN BESS</t>
  </si>
  <si>
    <t>Include - Bare Earth</t>
  </si>
  <si>
    <t>100 kWh - ARES-60-100</t>
  </si>
  <si>
    <t>250 kVA - UP-250-500</t>
  </si>
  <si>
    <t>CHOSEN PCS</t>
  </si>
  <si>
    <t>Include - Bitumen</t>
  </si>
  <si>
    <t>133 kWh - ARES-60-133</t>
  </si>
  <si>
    <t>500 kVA - UP-500-1152</t>
  </si>
  <si>
    <t>Estimate voltage (V_dc)</t>
  </si>
  <si>
    <t>Include - Manual Price</t>
  </si>
  <si>
    <t>300 kWh - ZUES-100-300</t>
  </si>
  <si>
    <t>750 kVA - UP-750-1500</t>
  </si>
  <si>
    <t>Capacity (Ah)</t>
  </si>
  <si>
    <t>600 kWh - ZUES-200-600</t>
  </si>
  <si>
    <t>500 kVA - CE-1000-1152</t>
  </si>
  <si>
    <t>Max Discharge rate based on PCS (C)</t>
  </si>
  <si>
    <t>900 kWh - ZUES-300-900</t>
  </si>
  <si>
    <t>1000 kVA - CE-1000-1152</t>
  </si>
  <si>
    <t>Assumed Discharge rate (C)</t>
  </si>
  <si>
    <t>500 kWh - UP-250-500</t>
  </si>
  <si>
    <t>1500 kVA - CE-1500-1500</t>
  </si>
  <si>
    <t>Max DC Current Output (A)</t>
  </si>
  <si>
    <t>1152 kWh - UP-500-1152</t>
  </si>
  <si>
    <t>w/ 25% safety margin (A)</t>
  </si>
  <si>
    <t>1500 kWh - UP-750-1500</t>
  </si>
  <si>
    <t>run length (m)</t>
  </si>
  <si>
    <t>500 kWh - CE-1000-1152</t>
  </si>
  <si>
    <t>TBA</t>
  </si>
  <si>
    <t xml:space="preserve">Required Max V drop </t>
  </si>
  <si>
    <t>1152 kWh - CE-1000-1152</t>
  </si>
  <si>
    <t>Required cable (CCC)</t>
  </si>
  <si>
    <t>From China</t>
  </si>
  <si>
    <t>1500 kWh - CE-1500-1500</t>
  </si>
  <si>
    <t>Shelter</t>
  </si>
  <si>
    <t>9.6 kWh - SBR096</t>
  </si>
  <si>
    <t>If you are paralleling 2 or more SBR cabinets (max is 4) to a single hybrid inverter you will need a sungrow battery combiner box ($700 ex. GST)</t>
  </si>
  <si>
    <t>5 kVA - SH5.0RT Three Phase</t>
  </si>
  <si>
    <t>Hybrid inverter</t>
  </si>
  <si>
    <t>PCS to ESDB AC Cabling Calc</t>
  </si>
  <si>
    <t>12.8 kWh - SBR128</t>
  </si>
  <si>
    <t>10 kVA - SH10.0RT Three Phase</t>
  </si>
  <si>
    <t>Estimate Current (A)</t>
  </si>
  <si>
    <t>16 kWh - SBR160</t>
  </si>
  <si>
    <t>15 kVA - SH15T Three Phase</t>
  </si>
  <si>
    <t>19.2 kWh - SBR192</t>
  </si>
  <si>
    <t>20 kVA - SH20T Three Phase</t>
  </si>
  <si>
    <t>Max Vdrop</t>
  </si>
  <si>
    <t>22.4 kWh - SBR224</t>
  </si>
  <si>
    <t>25 kVA - SH25T Three Phase</t>
  </si>
  <si>
    <t>Cable Index (CCC)</t>
  </si>
  <si>
    <t>25.6 kWh - SBR25.6</t>
  </si>
  <si>
    <t>5 kVA - SH5.0RS Single Phase</t>
  </si>
  <si>
    <t>Cable Index (Vdrop)</t>
  </si>
  <si>
    <t>20.0 kWh - SBH200</t>
  </si>
  <si>
    <t>If you are paralleling 2 or more SBH cabinets (max is 4) to a single hybrid inverter you will need a sungrow battery combiner box ($1000 ex. GST)</t>
  </si>
  <si>
    <t>6 kVA - SH6.0RS Single Phase</t>
  </si>
  <si>
    <t>Required Cable (mm2)</t>
  </si>
  <si>
    <t>25.0 kWh - SBH250</t>
  </si>
  <si>
    <t>8 kVA - SH8.0RS Single Phase</t>
  </si>
  <si>
    <t>PCS Switchgear</t>
  </si>
  <si>
    <t>30.0 kWh - SBH300</t>
  </si>
  <si>
    <t>10 kVA - SH10.0RS Single Phase</t>
  </si>
  <si>
    <t>35 kWh - SBH350</t>
  </si>
  <si>
    <t>110kVA - ST225kWh-110kW-2hr</t>
  </si>
  <si>
    <t>PowerSync Hardware</t>
  </si>
  <si>
    <t>Value</t>
  </si>
  <si>
    <t>40.0 kWh - SBH400</t>
  </si>
  <si>
    <t>Child Meter</t>
  </si>
  <si>
    <t>225 kWh - ST225kWh-110kW-2hr - 5 yr warranty</t>
  </si>
  <si>
    <t>Freight can be approximated as $5500 USD to Sydney/Melbourne with 4 – 5 month lead time.</t>
  </si>
  <si>
    <t>PowerSync Edge Gateway Cabinet</t>
  </si>
  <si>
    <t>225 kWh - ST225kWh-110kW-2hr - 10 yr warranty</t>
  </si>
  <si>
    <t>Shadow Gate Meter</t>
  </si>
  <si>
    <t>FCAS Meter</t>
  </si>
  <si>
    <t>CT Mains Metering - Rogowski Price</t>
  </si>
  <si>
    <t>Relectrify</t>
  </si>
  <si>
    <t>Battery Price FOB (Ex. GST)</t>
  </si>
  <si>
    <t>PCS Included?</t>
  </si>
  <si>
    <t>Remote commissioning</t>
  </si>
  <si>
    <t>1100 kWh - AC1 1.1MWh / 250kVA</t>
  </si>
  <si>
    <t>FoB Taiwan - include $10k annual service fee</t>
  </si>
  <si>
    <t>250 kVA - AC1 1.1MWh / 250kVA</t>
  </si>
  <si>
    <t>1100 kWh - AC1 1.1MWh / 250kVA (ARENA Funded)</t>
  </si>
  <si>
    <t>1100 kWh - AC1 1.1MWh / 250kVA (ARENA Funded + other govt funding)</t>
  </si>
  <si>
    <t>Assumes additional ARENA funding is being accessed for this project. Don’t use this option. FoB Taiwan - include $10k annual service fee.</t>
  </si>
  <si>
    <t>FCAS registration</t>
  </si>
  <si>
    <t>Establish embedded network</t>
  </si>
  <si>
    <t>Establish child meters</t>
  </si>
  <si>
    <t>Bess Station</t>
  </si>
  <si>
    <t>Permanent Fencing</t>
  </si>
  <si>
    <t>Powerplus</t>
  </si>
  <si>
    <t>PCS Price (Ex.GST)</t>
  </si>
  <si>
    <t>53.2 kWh - Powerplus ESCA3030-I21</t>
  </si>
  <si>
    <t>I21 = Indoor IP21 Rated, I54 = Indoor IP54 Rated, O54 = Outdoor IP54 Rated</t>
  </si>
  <si>
    <t>29.7kVA - Powerplus ESCA3030-I21</t>
  </si>
  <si>
    <t>53.2 kWh - Powerplus ESCA3030-I54</t>
  </si>
  <si>
    <t>53.2 kWh - Powerplus ESCA3030-O54</t>
  </si>
  <si>
    <t>Constants</t>
  </si>
  <si>
    <t>Estimated additional DC labour cost - ($/Wh)</t>
  </si>
  <si>
    <t>*extra $2.18/kWh labour for extra units</t>
  </si>
  <si>
    <t>EVO Power</t>
  </si>
  <si>
    <t>Estimated additional AC labour cost - ($/kVA)</t>
  </si>
  <si>
    <t>228 kWh - EVO NEO V2.0</t>
  </si>
  <si>
    <t>0.5C cells. Do not spec battery inverter rated &gt;50% of storage capacity</t>
  </si>
  <si>
    <t>100 kVA - NEO V2.0</t>
  </si>
  <si>
    <t>Estimated additional BOS ($/kWh)</t>
  </si>
  <si>
    <t>250 kWh - EVO NEO V2.0 - Power</t>
  </si>
  <si>
    <t>1C cells</t>
  </si>
  <si>
    <t>200 kVA - NEO V2.0</t>
  </si>
  <si>
    <t>Estimated Freight ($/[kWh + kVA])</t>
  </si>
  <si>
    <t>456 kWh - EVO NEO V2.0</t>
  </si>
  <si>
    <t>300 kVA - NEO V2.0</t>
  </si>
  <si>
    <t>500 kWh - EVO NEO V2.0 - Power</t>
  </si>
  <si>
    <t>400 kVA - NEO V2.0</t>
  </si>
  <si>
    <t>684 kWh - EVO NEO V2.0</t>
  </si>
  <si>
    <t>500 kVA - NEO V2.0</t>
  </si>
  <si>
    <t>911 kWh - EVO NEO V2.0</t>
  </si>
  <si>
    <t>600 kVA - NEO+ V2.0</t>
  </si>
  <si>
    <t>1139 kWh -EVO  NEO V2.0</t>
  </si>
  <si>
    <t>700 kVA - NEO+ V2.0</t>
  </si>
  <si>
    <t>1367 kWh - EVO NEO V2.0</t>
  </si>
  <si>
    <t>800 kVA - NEO+ V2.0</t>
  </si>
  <si>
    <t>750 kWh - EVO NEO+ V2.0 - Power</t>
  </si>
  <si>
    <t>900 kVA - NEO+ V2.0</t>
  </si>
  <si>
    <t>1000 kWh - EVO NEO+ V2.0 - Power</t>
  </si>
  <si>
    <t>1 MVA - NEO+ V2.0</t>
  </si>
  <si>
    <t>1139 kWh - EVO NEO+ V2.0</t>
  </si>
  <si>
    <t>1367 kWh - EVO NEO+ V2.0</t>
  </si>
  <si>
    <t>1595 kWh - EVO NEO+ V2.0</t>
  </si>
  <si>
    <t>1823 kWh - EVO NEO+ V2.0</t>
  </si>
  <si>
    <t>1250 kWh - EVO NEO+ V2.0 - Power</t>
  </si>
  <si>
    <t>1500 kWh - EVO NEO+ V2.0 - Power</t>
  </si>
  <si>
    <t>1750 kWh - EVO NEO+ V2.0 - Power</t>
  </si>
  <si>
    <t>2051 kWh - EVO NEO+ V2.0 - Power</t>
  </si>
  <si>
    <t>215 kWh / 100kVA - Sungiga</t>
  </si>
  <si>
    <t>90 day indicative lead time. 10 yr performance Warranty. &lt;1s FCAS capable. Price is EXW Sydney (choose freight from China)</t>
  </si>
  <si>
    <t>100 kVA - 215 kWh / 100kVA - Sungiga</t>
  </si>
  <si>
    <t>3.76 MWh - Suntera</t>
  </si>
  <si>
    <t>12-14 week lead time. Requires 3rd party PCS</t>
  </si>
  <si>
    <t>250 kVA - Sinexcel PWS1-500KTL-4M + Energy Renaissance EMS</t>
  </si>
  <si>
    <t>5 MWh - Suntera</t>
  </si>
  <si>
    <t>100 kVA - Delta PCS100HV - 10 yr warranty + Energy Renaissance EMS</t>
  </si>
  <si>
    <t>Sigenergy - SigenStack</t>
  </si>
  <si>
    <t>48 kWh - 4x SigenStack BAT 12.0</t>
  </si>
  <si>
    <t>Maximum 21 (252kWh) per inverter. Can then parallel up to 100 systems (25.2MWh)</t>
  </si>
  <si>
    <t>50 kVA - Sigen PV 50M1-HYA</t>
  </si>
  <si>
    <t>60 kWh - 5x SigenStack BAT 12.0</t>
  </si>
  <si>
    <t>100 kVA - Sigen PV 100M1-HYA</t>
  </si>
  <si>
    <t>72 kWh - 6x SigenStack BAT 12.0</t>
  </si>
  <si>
    <t>110 kVA - Sigen PV 110M1-HYA</t>
  </si>
  <si>
    <t>84 kWh - 7x SigenStack BAT 12.0</t>
  </si>
  <si>
    <t>125 kVA - Sigen PV 125M1-HYA</t>
  </si>
  <si>
    <t>96 kWh - 8x SigenStack BAT 12.0</t>
  </si>
  <si>
    <t>50 kVA - Sigen PV 50M1-HYB</t>
  </si>
  <si>
    <t>Offgrid Hybrid inverter</t>
  </si>
  <si>
    <t>108 kWh - 9x SigenStack BAT 12.0</t>
  </si>
  <si>
    <t>100 kVA - Sigen PV 100M1-HYB</t>
  </si>
  <si>
    <t>120 kWh - 10x SigenStack BAT 12.0</t>
  </si>
  <si>
    <t>110 kVA - Sigen PV 110M1-HYB</t>
  </si>
  <si>
    <t>132 kWh - 11x SigenStack BAT 12.0</t>
  </si>
  <si>
    <t>144 kWh - 12x SigenStack BAT 12.0</t>
  </si>
  <si>
    <t>156 kWh - 13x SigenStack BAT 12.0</t>
  </si>
  <si>
    <t>168 kWh - 14x SigenStack BAT 12.0</t>
  </si>
  <si>
    <t>180 kWh - 15x SigenStack BAT 12.0</t>
  </si>
  <si>
    <t>192 kWh - 16x SigenStack BAT 12.0</t>
  </si>
  <si>
    <t>204 kWh - 17x SigenStack BAT 12.0</t>
  </si>
  <si>
    <t>216 kWh - 18x SigenStack BAT 12.0</t>
  </si>
  <si>
    <t>228 kWh - 19x SigenStack BAT 12.0</t>
  </si>
  <si>
    <t>240 kWh - 20x SigenStack BAT 12.0</t>
  </si>
  <si>
    <t>252 kWh - 21x SigenStack BAT 12.0</t>
  </si>
  <si>
    <t>RCT</t>
  </si>
  <si>
    <t>233 kWh - CESS233-100</t>
  </si>
  <si>
    <t>Add $12945 for DC/DC Coupled version. Add $6045 for STS (can provide backup power) version.</t>
  </si>
  <si>
    <t>100 kVA - CESS233-100</t>
  </si>
  <si>
    <t>466 kWh - CESS466-250</t>
  </si>
  <si>
    <t>250 kVA - CESS466-250</t>
  </si>
  <si>
    <t>699 kWh - CESS699-375</t>
  </si>
  <si>
    <t>375 kVA - CESS699-375</t>
  </si>
  <si>
    <t>932 kWh - CESS932-500</t>
  </si>
  <si>
    <t>500 kVA - CESS932-500</t>
  </si>
  <si>
    <t>Sigenergy - SigenStor</t>
  </si>
  <si>
    <t>5 kWh - SigenStor BAT  1x 5.0kWh</t>
  </si>
  <si>
    <t>choose freight from aus</t>
  </si>
  <si>
    <t>5 kVA - SigenStor EC 5.0 SP Single Phase</t>
  </si>
  <si>
    <t>Check Compatibility: https://sigenergy.gitbook.io/sige-doc-en/introduction-to-energy-storage-system/product-model</t>
  </si>
  <si>
    <t>8 kWh - SigenStor BAT  1x 8.0kWh</t>
  </si>
  <si>
    <t>6 kVA - SigenStor EC 6.0 SP Single Phase</t>
  </si>
  <si>
    <t>10 kWh - SigenStor BAT  2x 5.0kWh</t>
  </si>
  <si>
    <t>8 kVA - SigenStor EC 8.0 SP Single Phase</t>
  </si>
  <si>
    <t>13 kWh - SigenStor BAT  1x 5.0kWh, 1x 8.0kWh</t>
  </si>
  <si>
    <t>10 kVA - SigenStor EC 10.0 SP Single Phase</t>
  </si>
  <si>
    <t>16 kWh - SigenStor BAT  2x 8.0kWh</t>
  </si>
  <si>
    <t>12 kVA - SigenStor EC 12.0 SP Single Phase</t>
  </si>
  <si>
    <t>15 kWh - SigenStor BAT  3x 5.0kWh</t>
  </si>
  <si>
    <t>5 kVA - SigenStor EC 5.0 TP Three Phase</t>
  </si>
  <si>
    <t>18 kWh - SigenStor BAT  2x 5.0kWh, 1x 8.0kWh</t>
  </si>
  <si>
    <t>10 kVA - SigenStor EC 10.0 TP Three Phase</t>
  </si>
  <si>
    <t>21 kWh - SigenStor BAT  1x 5.0kWh, 2x 8.0kWh</t>
  </si>
  <si>
    <t>15 kVA - SigenStor EC 15.0 TP Three Phase</t>
  </si>
  <si>
    <t>24 kWh - SigenStor BAT  3x 8.0kWh</t>
  </si>
  <si>
    <t>20 kVA - SigenStor EC 20.0 TP Three Phase</t>
  </si>
  <si>
    <t>20 kWh - SigenStor BAT  4x 5.0kWh</t>
  </si>
  <si>
    <t>25 kVA - SigenStor EC 25.0 TP Three Phase</t>
  </si>
  <si>
    <t>23 kWh - SigenStor BAT  3x 5.0kWh, 1x 8.0kWh</t>
  </si>
  <si>
    <t>30 kVA - SigenStor EC 30.0 TP Three Phase</t>
  </si>
  <si>
    <t>26 kWh - SigenStor BAT  2x 5.0kWh, 2x 8.0kWh</t>
  </si>
  <si>
    <t>29 kWh - SigenStor BAT  1x 5.0kWh, 3x 8.0kWh</t>
  </si>
  <si>
    <t>32 kWh - SigenStor BAT  4x 8.0kWh</t>
  </si>
  <si>
    <t>25 kWh - SigenStor BAT  5x 5.0kWh</t>
  </si>
  <si>
    <t>28 kWh - SigenStor BAT  4x 5.0kWh, 1x 8.0kWh</t>
  </si>
  <si>
    <t>31 kWh - SigenStor BAT  3x 5.0kWh, 2x 8.0kWh</t>
  </si>
  <si>
    <t>34 kWh - SigenStor BAT  2x 5.0kWh, 3x 8.0kWh</t>
  </si>
  <si>
    <t>37 kWh - SigenStor BAT  1x 5.0kWh, 4x 8.0kWh</t>
  </si>
  <si>
    <t>40 kWh - SigenStor BAT  5x 8.0kWh</t>
  </si>
  <si>
    <t>30 kWh - SigenStor BAT  6x 5.0kWh</t>
  </si>
  <si>
    <t>33 kWh - SigenStor BAT  5x 5.0kWh, 1x 8.0kWh</t>
  </si>
  <si>
    <t>36 kWh - SigenStor BAT  4x 5.0kWh, 2x 8.0kWh</t>
  </si>
  <si>
    <t>39 kWh - SigenStor BAT  3x 5.0kWh, 3x 8.0kWh</t>
  </si>
  <si>
    <t>42 kWh - SigenStor BAT  2x 5.0kWh, 4x 8.0kWh</t>
  </si>
  <si>
    <t>45 kWh - SigenStor BAT  1x 5.0kWh, 5x 8.0kWh</t>
  </si>
  <si>
    <t>48 kWh - SigenStor BAT  6x 8.0kWh</t>
  </si>
  <si>
    <t>POWEROAD</t>
  </si>
  <si>
    <t>215kWh - FLEX 215 AIO</t>
  </si>
  <si>
    <t>Freight from China</t>
  </si>
  <si>
    <t>100 kVA - FLEX 215 AIO</t>
  </si>
  <si>
    <t>261kWh - ESA Series AIO - 10 yr Warranty</t>
  </si>
  <si>
    <t>Likely freight from China</t>
  </si>
  <si>
    <t>125 kVA - ESA Series AIO</t>
  </si>
  <si>
    <t>261kWh - ESA Series AIO - 5 yr Warranty</t>
  </si>
  <si>
    <t>10ms switching, 200% solar oversizing</t>
  </si>
  <si>
    <t>120 kWh - BC120DE2</t>
  </si>
  <si>
    <t xml:space="preserve">100 kVA - 2x KAC50DP2 </t>
  </si>
  <si>
    <t>233 kWh - BC233DE2</t>
  </si>
  <si>
    <t xml:space="preserve">125 kVA - KAC125DP2 </t>
  </si>
  <si>
    <t xml:space="preserve">260kWh - BC260DE2 </t>
  </si>
  <si>
    <t>DC Cabling Information</t>
  </si>
  <si>
    <t>AC Cabling information</t>
  </si>
  <si>
    <t>Conduit</t>
  </si>
  <si>
    <t>Cable Management</t>
  </si>
  <si>
    <t>$/m</t>
  </si>
  <si>
    <t>AC Combiner:</t>
  </si>
  <si>
    <t>150mm Tray GAL</t>
  </si>
  <si>
    <t>HD Rigid Conduit 100mm</t>
  </si>
  <si>
    <t>Included (Bare Earth)</t>
  </si>
  <si>
    <t>Stainless IP66 DC Combiner Switchboard</t>
  </si>
  <si>
    <t>ABB AC Combiner Box</t>
  </si>
  <si>
    <t>$1,139.00</t>
  </si>
  <si>
    <t>300mm Tray GAL</t>
  </si>
  <si>
    <t>HD Rigid Conduit 150mm</t>
  </si>
  <si>
    <t>Included (Concrete/Bitumen)</t>
  </si>
  <si>
    <t>Painted IP66 DC Combiner Switchboard</t>
  </si>
  <si>
    <t>Stainless IP66 AC Combiner Enclosure</t>
  </si>
  <si>
    <t>NEED PRICING</t>
  </si>
  <si>
    <t>450mm Tray GAL</t>
  </si>
  <si>
    <t>Included(Multiple Surfaces)</t>
  </si>
  <si>
    <t>Combined in GPU</t>
  </si>
  <si>
    <t>600mm Tray GAL</t>
  </si>
  <si>
    <t>Other</t>
  </si>
  <si>
    <t>150mm Tray HDG</t>
  </si>
  <si>
    <t>300mm Tray HDG</t>
  </si>
  <si>
    <t>450mm Tray HDG</t>
  </si>
  <si>
    <t>600mm Tray HDG</t>
  </si>
  <si>
    <t>Active Conductor Size (mm2)</t>
  </si>
  <si>
    <t>Copper</t>
  </si>
  <si>
    <t>Aluminium</t>
  </si>
  <si>
    <t>-</t>
  </si>
  <si>
    <t>Single Core ($/m)</t>
  </si>
  <si>
    <t>4C + E ($/m)</t>
  </si>
  <si>
    <t>Size (Twin DC Cable)</t>
  </si>
  <si>
    <t>Price Per Meter</t>
  </si>
  <si>
    <t>HDG</t>
  </si>
  <si>
    <t>Includes cost for 25mm2 Earth</t>
  </si>
  <si>
    <t>Included *</t>
  </si>
  <si>
    <t>Included - Direct Buried</t>
  </si>
  <si>
    <t>Included - Aluminium</t>
  </si>
  <si>
    <t>2x 150</t>
  </si>
  <si>
    <t>2x 185</t>
  </si>
  <si>
    <t>3x 120</t>
  </si>
  <si>
    <t>2x 240</t>
  </si>
  <si>
    <t>3x 150</t>
  </si>
  <si>
    <t>2x 300</t>
  </si>
  <si>
    <t>3x 185</t>
  </si>
  <si>
    <t>4x 120</t>
  </si>
  <si>
    <t>2x 400</t>
  </si>
  <si>
    <t>4x 150</t>
  </si>
  <si>
    <t>3x 240</t>
  </si>
  <si>
    <t>4x 185</t>
  </si>
  <si>
    <t>3x 300</t>
  </si>
  <si>
    <t>4x 240</t>
  </si>
  <si>
    <t>3x 400</t>
  </si>
  <si>
    <t>4x 300</t>
  </si>
  <si>
    <t>5x 240</t>
  </si>
  <si>
    <t>4x 400</t>
  </si>
  <si>
    <t>5x 300</t>
  </si>
  <si>
    <t>5x 400</t>
  </si>
  <si>
    <t>MSB Connection</t>
  </si>
  <si>
    <t>AC solar Mains Switch</t>
  </si>
  <si>
    <t>AC Breaker</t>
  </si>
  <si>
    <t>PVDB - Solar/ Solar+BESS</t>
  </si>
  <si>
    <t>Material/Location</t>
  </si>
  <si>
    <t xml:space="preserve">Name </t>
  </si>
  <si>
    <t>Total Price</t>
  </si>
  <si>
    <t>Rating (A)</t>
  </si>
  <si>
    <t>Price Per Breaker</t>
  </si>
  <si>
    <t>Breaker Type</t>
  </si>
  <si>
    <t>PVDB Type</t>
  </si>
  <si>
    <t xml:space="preserve">Export Limited </t>
  </si>
  <si>
    <t>Existing Appropriately Sized Breaker</t>
  </si>
  <si>
    <t>MCB</t>
  </si>
  <si>
    <t>Master-Slave GPU</t>
  </si>
  <si>
    <t>Outdoor Mild Steel</t>
  </si>
  <si>
    <t>Supplied by others</t>
  </si>
  <si>
    <t>PVDB (No GPU Req.)</t>
  </si>
  <si>
    <t>Outdoor Stainless Steel</t>
  </si>
  <si>
    <t>Not Required (Single Inverter System &lt;200kVA)</t>
  </si>
  <si>
    <t>State Specific Add Ons</t>
  </si>
  <si>
    <t>MCCB</t>
  </si>
  <si>
    <t>VIC - GMM Additional Metering Tier(s)</t>
  </si>
  <si>
    <t>QLD - GSD's</t>
  </si>
  <si>
    <t>DC Swithgear</t>
  </si>
  <si>
    <t>PVDB - No GPU Calc</t>
  </si>
  <si>
    <t>Inverter switchgear rating</t>
  </si>
  <si>
    <t>No. inverters</t>
  </si>
  <si>
    <t>Rooftop Isolator</t>
  </si>
  <si>
    <t>Total Inverter switchgear cost</t>
  </si>
  <si>
    <t>PVDB isolator rating</t>
  </si>
  <si>
    <t>ACB</t>
  </si>
  <si>
    <t>PVDB Isolator Cost</t>
  </si>
  <si>
    <t>TOTAL - Full Export</t>
  </si>
  <si>
    <t>Talk to Projects</t>
  </si>
  <si>
    <t>TOTAL - Export Limiting</t>
  </si>
  <si>
    <t>BESSDB - BESS Only</t>
  </si>
  <si>
    <t>BESSDB Type</t>
  </si>
  <si>
    <t>BESSDB (No GPU Req.)</t>
  </si>
  <si>
    <t>Not Required (Single PCS System &lt;200kVA)</t>
  </si>
  <si>
    <t>BESS - No GPU Calc</t>
  </si>
  <si>
    <t>PCS switchgear rating</t>
  </si>
  <si>
    <t>No. PCS</t>
  </si>
  <si>
    <t>Total PCS switchgear cost</t>
  </si>
  <si>
    <t>BESSDB isolator rating</t>
  </si>
  <si>
    <t>BESSDB Isolator Cost</t>
  </si>
  <si>
    <t>Travel Accom and Freight</t>
  </si>
  <si>
    <t>Battery Install</t>
  </si>
  <si>
    <t>Rules For Pricing</t>
  </si>
  <si>
    <t>Price $/W</t>
  </si>
  <si>
    <t>100 KW is 2 weeks</t>
  </si>
  <si>
    <t xml:space="preserve">200 is 3 weeks </t>
  </si>
  <si>
    <t>400 is 4 weeks</t>
  </si>
  <si>
    <t>TRAVEL RATES</t>
  </si>
  <si>
    <t>Distance from City Centre</t>
  </si>
  <si>
    <t>travel</t>
  </si>
  <si>
    <t>accom</t>
  </si>
  <si>
    <t>Number Of lifts</t>
  </si>
  <si>
    <t>scissor lift</t>
  </si>
  <si>
    <t xml:space="preserve">1000/week </t>
  </si>
  <si>
    <t>Large Scale</t>
  </si>
  <si>
    <t>Crane Lifts To Rooftop</t>
  </si>
  <si>
    <t>forklift</t>
  </si>
  <si>
    <t>same as scissor</t>
  </si>
  <si>
    <t>Forklift Only</t>
  </si>
  <si>
    <t>Cranes</t>
  </si>
  <si>
    <t>426 is cost per hour</t>
  </si>
  <si>
    <t xml:space="preserve">1000 per establishment </t>
  </si>
  <si>
    <t>Number of hours required</t>
  </si>
  <si>
    <t>Existing Internal Roof Access</t>
  </si>
  <si>
    <t>Waste</t>
  </si>
  <si>
    <t>Ladders Only</t>
  </si>
  <si>
    <t xml:space="preserve">External Ladder/Staircase to be Built </t>
  </si>
  <si>
    <t xml:space="preserve">Palets </t>
  </si>
  <si>
    <t xml:space="preserve">system size / watts per panels </t>
  </si>
  <si>
    <t>$</t>
  </si>
  <si>
    <t xml:space="preserve">28 panels per palet </t>
  </si>
  <si>
    <t>By Others</t>
  </si>
  <si>
    <t>10% added for BOS and Racking</t>
  </si>
  <si>
    <t>6 palet lifts an hour</t>
  </si>
  <si>
    <t>if &gt; 8 another day = another establishemnt</t>
  </si>
  <si>
    <t>48 palets is max number of lifts per day</t>
  </si>
  <si>
    <t>STC Rebate Calculation</t>
  </si>
  <si>
    <t>Postcode to STC Zone for STC calc</t>
  </si>
  <si>
    <t>VIC Postcode to Regional Factor For Upfront VEEC Calc</t>
  </si>
  <si>
    <t>Postcode to Coordinate (For Freight &amp; Labour Reference)</t>
  </si>
  <si>
    <t>For BESS Rebate</t>
  </si>
  <si>
    <t>New Proposed PV</t>
  </si>
  <si>
    <t>kWp</t>
  </si>
  <si>
    <t>Zones mapped to postcode as published by CER</t>
  </si>
  <si>
    <t>PSH</t>
  </si>
  <si>
    <t>Postcode</t>
  </si>
  <si>
    <t>Regional Factor</t>
  </si>
  <si>
    <t>postcode</t>
  </si>
  <si>
    <t>locality</t>
  </si>
  <si>
    <t>state</t>
  </si>
  <si>
    <t>long</t>
  </si>
  <si>
    <t>lat</t>
  </si>
  <si>
    <t>Install Year</t>
  </si>
  <si>
    <t>STCs per Useable kWh</t>
  </si>
  <si>
    <t>*outdated</t>
  </si>
  <si>
    <t>Chosen Site Pcode</t>
  </si>
  <si>
    <t>Existing PV</t>
  </si>
  <si>
    <t>Postcode range</t>
  </si>
  <si>
    <t>South Coast NSW</t>
  </si>
  <si>
    <t>Metropolitan</t>
  </si>
  <si>
    <t>Long</t>
  </si>
  <si>
    <t>Post Code</t>
  </si>
  <si>
    <t>from</t>
  </si>
  <si>
    <t>to</t>
  </si>
  <si>
    <t>zone</t>
  </si>
  <si>
    <t>kWh/kWp Output</t>
  </si>
  <si>
    <t xml:space="preserve">Sydney </t>
  </si>
  <si>
    <t>ANU</t>
  </si>
  <si>
    <t>Lat</t>
  </si>
  <si>
    <t>Expected Comissioning</t>
  </si>
  <si>
    <t xml:space="preserve">Central Coast </t>
  </si>
  <si>
    <t>BARTON</t>
  </si>
  <si>
    <t xml:space="preserve">North Coast </t>
  </si>
  <si>
    <t>DARWIN</t>
  </si>
  <si>
    <t>STC Zone</t>
  </si>
  <si>
    <t>Bathurst and South West</t>
  </si>
  <si>
    <t>Remaining STC</t>
  </si>
  <si>
    <t>Dubbo and North West</t>
  </si>
  <si>
    <t>PARAP</t>
  </si>
  <si>
    <t>City</t>
  </si>
  <si>
    <t>State/Territory</t>
  </si>
  <si>
    <t>Latitude (°S)</t>
  </si>
  <si>
    <t>Longitude (°E)</t>
  </si>
  <si>
    <t>Delta Lat</t>
  </si>
  <si>
    <t>Delta Long</t>
  </si>
  <si>
    <t>Delta Lat km</t>
  </si>
  <si>
    <t>Delta Long km</t>
  </si>
  <si>
    <t>hypotenuse km</t>
  </si>
  <si>
    <t>Deeming Period</t>
  </si>
  <si>
    <t>years</t>
  </si>
  <si>
    <t>Melbourne</t>
  </si>
  <si>
    <t>ALAWA</t>
  </si>
  <si>
    <t>Sydney</t>
  </si>
  <si>
    <t>New South Wales</t>
  </si>
  <si>
    <t>BRINKIN</t>
  </si>
  <si>
    <t>Victoria</t>
  </si>
  <si>
    <t>Number of STC's</t>
  </si>
  <si>
    <t>ZONE</t>
  </si>
  <si>
    <t>Rating</t>
  </si>
  <si>
    <t>CASUARINA</t>
  </si>
  <si>
    <t>Install Month (Start)</t>
  </si>
  <si>
    <t>Install Month (End)</t>
  </si>
  <si>
    <t>STCs/Usable kWh</t>
  </si>
  <si>
    <t>Brisbane</t>
  </si>
  <si>
    <t>Queensland</t>
  </si>
  <si>
    <t>STC Value (Ex. GST)</t>
  </si>
  <si>
    <t>$/certificate</t>
  </si>
  <si>
    <t>COCONUT GROVE</t>
  </si>
  <si>
    <t>Perth</t>
  </si>
  <si>
    <t>Western Australia</t>
  </si>
  <si>
    <t>Total Discount (Ex. GST)</t>
  </si>
  <si>
    <t>JINGILI</t>
  </si>
  <si>
    <t>Adelaide</t>
  </si>
  <si>
    <t>South Australia</t>
  </si>
  <si>
    <t>LEE POINT</t>
  </si>
  <si>
    <t>Northern Territory</t>
  </si>
  <si>
    <t>MILLNER</t>
  </si>
  <si>
    <t>VEU Discount (VIC Only)</t>
  </si>
  <si>
    <t>MOIL</t>
  </si>
  <si>
    <t>New Proposed</t>
  </si>
  <si>
    <t>NAKARA</t>
  </si>
  <si>
    <t>NIGHTCLIFF</t>
  </si>
  <si>
    <t>VIC and correct Postcode?</t>
  </si>
  <si>
    <t>RAPID CREEK</t>
  </si>
  <si>
    <t>30kWp - 200kWp?</t>
  </si>
  <si>
    <t>TIWI</t>
  </si>
  <si>
    <t>Minimum 30kVA Inverter?</t>
  </si>
  <si>
    <t>WAGAMAN</t>
  </si>
  <si>
    <t>Eligibility Check</t>
  </si>
  <si>
    <t>WANGURI</t>
  </si>
  <si>
    <t>Months</t>
  </si>
  <si>
    <t>Chosen Month</t>
  </si>
  <si>
    <t>Jan</t>
  </si>
  <si>
    <t>VEEC Volume  = kWp (DC) * Regional Factor (0.98 – 1.04) * Input Factor (0.133 for &lt;100kWp, 0.25 for &gt;100kWp) * Lifetime (10 years)</t>
  </si>
  <si>
    <t>ANULA</t>
  </si>
  <si>
    <t>Feb</t>
  </si>
  <si>
    <t>Number of STC’s = System Size (kWp) x Zone Rating (given in below map) x Deeming Period (years between commissioning year and 2030)</t>
  </si>
  <si>
    <t>Input Factor</t>
  </si>
  <si>
    <t>KARAMA</t>
  </si>
  <si>
    <t>Mar</t>
  </si>
  <si>
    <t>System Lifetime</t>
  </si>
  <si>
    <t>LEANYER</t>
  </si>
  <si>
    <t>Apr</t>
  </si>
  <si>
    <t>VEEC Cert Volume</t>
  </si>
  <si>
    <t xml:space="preserve">https://northmoregordon.com/certificate-prices/ </t>
  </si>
  <si>
    <t>MALAK</t>
  </si>
  <si>
    <t>VEEC Spot Price (Ex. GST)</t>
  </si>
  <si>
    <t>https://www.ecovantage.com.au/features/ci-solar-mv-veec-calculator/</t>
  </si>
  <si>
    <t>MARRARA</t>
  </si>
  <si>
    <t>Jun</t>
  </si>
  <si>
    <t>Trader Fee (Ex. GST)</t>
  </si>
  <si>
    <t>Password: S0lar-veec-ca1C</t>
  </si>
  <si>
    <t>NORTHLAKES</t>
  </si>
  <si>
    <t>Jul</t>
  </si>
  <si>
    <t>Upfront VEEC Discount</t>
  </si>
  <si>
    <t>(Ex. GST)</t>
  </si>
  <si>
    <t>SANDERSON</t>
  </si>
  <si>
    <t>Aug</t>
  </si>
  <si>
    <t>WOODLEIGH GARDENS</t>
  </si>
  <si>
    <t>Sep</t>
  </si>
  <si>
    <t>BESS Rebate</t>
  </si>
  <si>
    <t>WULAGI</t>
  </si>
  <si>
    <t>Oct</t>
  </si>
  <si>
    <t>Nominal BESS Capacity</t>
  </si>
  <si>
    <t>Nov</t>
  </si>
  <si>
    <t>Total Useable BESS Capacity</t>
  </si>
  <si>
    <t>*assumed 90% of nominal</t>
  </si>
  <si>
    <t>Dec</t>
  </si>
  <si>
    <t>Claimed BESS Rebate</t>
  </si>
  <si>
    <t>CHARLES DARWIN UNIVERSITY</t>
  </si>
  <si>
    <t>Tier 1 Capacity</t>
  </si>
  <si>
    <t>*100% STC/kWh</t>
  </si>
  <si>
    <t>BAGOT</t>
  </si>
  <si>
    <t>Tier 2 Capacity</t>
  </si>
  <si>
    <t>*60% STC/kWh</t>
  </si>
  <si>
    <t>BAYVIEW</t>
  </si>
  <si>
    <t>FILTER(V12:Y20,(V12:V20=B39)*(W12:W20&lt;=B40)*(X12:X20&gt;=B40))</t>
  </si>
  <si>
    <t>Tier 3 Capacity</t>
  </si>
  <si>
    <t>*15% STC/kWh</t>
  </si>
  <si>
    <t>CHARLES DARWIN</t>
  </si>
  <si>
    <t>Expected Commissioning Year</t>
  </si>
  <si>
    <t>COONAWARRA</t>
  </si>
  <si>
    <t>Expected Commissioning Month</t>
  </si>
  <si>
    <t>CULLEN BAY</t>
  </si>
  <si>
    <t>STC's per Useable kWh</t>
  </si>
  <si>
    <t>DARWIN DC</t>
  </si>
  <si>
    <t>STC's Generated</t>
  </si>
  <si>
    <t>DARWIN INTERNATIONAL AIRPORT</t>
  </si>
  <si>
    <t>DARWIN MC</t>
  </si>
  <si>
    <t>EAST POINT</t>
  </si>
  <si>
    <t>FANNIE BAY</t>
  </si>
  <si>
    <t>LARRAKEYAH</t>
  </si>
  <si>
    <t>LUDMILLA</t>
  </si>
  <si>
    <t>RAAF BASE DARWIN</t>
  </si>
  <si>
    <t>STUART PARK</t>
  </si>
  <si>
    <t>THE GARDENS</t>
  </si>
  <si>
    <t>THE NARROWS</t>
  </si>
  <si>
    <t>WINNELLIE</t>
  </si>
  <si>
    <t>WOOLNER</t>
  </si>
  <si>
    <t>ACACIA HILLS</t>
  </si>
  <si>
    <t>ANGURUGU</t>
  </si>
  <si>
    <t>ANNIE RIVER</t>
  </si>
  <si>
    <t>BATHURST ISLAND</t>
  </si>
  <si>
    <t>BEES CREEK</t>
  </si>
  <si>
    <t>BORDER STORE</t>
  </si>
  <si>
    <t>COX PENINSULA</t>
  </si>
  <si>
    <t>CROKER ISLAND</t>
  </si>
  <si>
    <t>DALY RIVER</t>
  </si>
  <si>
    <t>DELISSAVILLE</t>
  </si>
  <si>
    <t>FLY CREEK</t>
  </si>
  <si>
    <t>GALIWINKU</t>
  </si>
  <si>
    <t>GOULBOURN ISLAND</t>
  </si>
  <si>
    <t>GUNN POINT</t>
  </si>
  <si>
    <t>HAYES CREEK</t>
  </si>
  <si>
    <t>LAKE BENNETT</t>
  </si>
  <si>
    <t>LAMBELLS LAGOON</t>
  </si>
  <si>
    <t>LIVINGSTONE</t>
  </si>
  <si>
    <t>MANINGRIDA</t>
  </si>
  <si>
    <t>MCMINNS LAGOON</t>
  </si>
  <si>
    <t>MIDDLE POINT</t>
  </si>
  <si>
    <t>MILINGIMBI</t>
  </si>
  <si>
    <t>MILLWOOD</t>
  </si>
  <si>
    <t>MINJILANG</t>
  </si>
  <si>
    <t>NGUIU</t>
  </si>
  <si>
    <t>OENPELLI</t>
  </si>
  <si>
    <t>POINT STEPHENS</t>
  </si>
  <si>
    <t>PULARUMPI</t>
  </si>
  <si>
    <t>PULUMPA</t>
  </si>
  <si>
    <t>RAMINGINING</t>
  </si>
  <si>
    <t>SOUTHPORT</t>
  </si>
  <si>
    <t>TORTILLA FLATS</t>
  </si>
  <si>
    <t>UMBAKUMBA</t>
  </si>
  <si>
    <t>VIRGINIA</t>
  </si>
  <si>
    <t>WADEYE</t>
  </si>
  <si>
    <t>WAGAIT BEACH</t>
  </si>
  <si>
    <t>WEDDELL</t>
  </si>
  <si>
    <t>WOOLANING</t>
  </si>
  <si>
    <t>BERRIMAH</t>
  </si>
  <si>
    <t>KNUCKEY LAGOON</t>
  </si>
  <si>
    <t>PINELANDS</t>
  </si>
  <si>
    <t>ARCHER</t>
  </si>
  <si>
    <t>DRIVER</t>
  </si>
  <si>
    <t>DURACK</t>
  </si>
  <si>
    <t>FARRAR</t>
  </si>
  <si>
    <t>GRAY</t>
  </si>
  <si>
    <t>MARLOW LAGOON</t>
  </si>
  <si>
    <t>MOULDEN</t>
  </si>
  <si>
    <t>PALMERSTON</t>
  </si>
  <si>
    <t>SHOAL BAY</t>
  </si>
  <si>
    <t>WOODROFFE</t>
  </si>
  <si>
    <t>YARRAWONGA</t>
  </si>
  <si>
    <t>BAKEWELL</t>
  </si>
  <si>
    <t>BELLAMACK</t>
  </si>
  <si>
    <t>GUNN</t>
  </si>
  <si>
    <t>MITCHELL</t>
  </si>
  <si>
    <t>ROSEBERY</t>
  </si>
  <si>
    <t>ROSEBERY HEIGHTS</t>
  </si>
  <si>
    <t>HOWARD SPRINGS</t>
  </si>
  <si>
    <t>HERBERT</t>
  </si>
  <si>
    <t>HUMPTY DOO</t>
  </si>
  <si>
    <t>MANTON</t>
  </si>
  <si>
    <t>NOONAMAH</t>
  </si>
  <si>
    <t>BERRY SPRINGS</t>
  </si>
  <si>
    <t>DUNDEE BEACH</t>
  </si>
  <si>
    <t>DUNDEE DOWNS</t>
  </si>
  <si>
    <t>DUNDEE FOREST</t>
  </si>
  <si>
    <t>DARWIN RIVER</t>
  </si>
  <si>
    <t>BATCHELOR</t>
  </si>
  <si>
    <t>ADELAIDE RIVER</t>
  </si>
  <si>
    <t>PINE CREEK</t>
  </si>
  <si>
    <t>KATHERINE</t>
  </si>
  <si>
    <t>BARUNGA</t>
  </si>
  <si>
    <t>BESWICK</t>
  </si>
  <si>
    <t>DALY WATERS</t>
  </si>
  <si>
    <t>DUNMARRA</t>
  </si>
  <si>
    <t>EDITH RIVER</t>
  </si>
  <si>
    <t>ELSEY STATION</t>
  </si>
  <si>
    <t>KALKARINGI</t>
  </si>
  <si>
    <t>LAJAMANU</t>
  </si>
  <si>
    <t>LARRIMAH</t>
  </si>
  <si>
    <t>MANBULLOO</t>
  </si>
  <si>
    <t>MARANBOY</t>
  </si>
  <si>
    <t>MATARANKA</t>
  </si>
  <si>
    <t>NGUKURR</t>
  </si>
  <si>
    <t>NUMBULWAR</t>
  </si>
  <si>
    <t>TIMBER CREEK</t>
  </si>
  <si>
    <t>VICTORIA RIVER DOWNS</t>
  </si>
  <si>
    <t>WAVE HILL</t>
  </si>
  <si>
    <t>TINDAL RAAF</t>
  </si>
  <si>
    <t>BORROLOOLA</t>
  </si>
  <si>
    <t>KING ASH BAY</t>
  </si>
  <si>
    <t>TENNANT CREEK</t>
  </si>
  <si>
    <t>BRUNCHILLY</t>
  </si>
  <si>
    <t>AVON DOWNS</t>
  </si>
  <si>
    <t>CRESSWELL DOWNS</t>
  </si>
  <si>
    <t>ELLIOTT</t>
  </si>
  <si>
    <t>HELEN SPRINGS</t>
  </si>
  <si>
    <t>MUCKATY STATION</t>
  </si>
  <si>
    <t>NEWCASTLE WATERS</t>
  </si>
  <si>
    <t>PHILLIP CREEK STATION</t>
  </si>
  <si>
    <t>RENNER SPRINGS</t>
  </si>
  <si>
    <t>THREE WAYS</t>
  </si>
  <si>
    <t>WARREGO</t>
  </si>
  <si>
    <t>WOLLOGORANG STATION</t>
  </si>
  <si>
    <t>WYCLIFFE WELL</t>
  </si>
  <si>
    <t>ALICE SPRINGS</t>
  </si>
  <si>
    <t>AHERRENGE</t>
  </si>
  <si>
    <t>ALI CURUNG</t>
  </si>
  <si>
    <t>AMATA</t>
  </si>
  <si>
    <t>AMOONGUNA</t>
  </si>
  <si>
    <t>ANTEWENEGERRDE</t>
  </si>
  <si>
    <t>AREYONGA</t>
  </si>
  <si>
    <t>ATITJERE</t>
  </si>
  <si>
    <t>AYERS ROCK</t>
  </si>
  <si>
    <t>BARROW CREEK</t>
  </si>
  <si>
    <t>CANTEEN CREEK</t>
  </si>
  <si>
    <t>DOCKER RIVER</t>
  </si>
  <si>
    <t>ERLDUNDA</t>
  </si>
  <si>
    <t>ERNABELLA</t>
  </si>
  <si>
    <t>FINKE</t>
  </si>
  <si>
    <t>FREGON</t>
  </si>
  <si>
    <t>GIBSON DESERT NORTH</t>
  </si>
  <si>
    <t>GIBSON DESERT SOUTH</t>
  </si>
  <si>
    <t>HAASTS BLUFF</t>
  </si>
  <si>
    <t>Regional</t>
  </si>
  <si>
    <t>HERMANNSBURG</t>
  </si>
  <si>
    <t>IMAMPA</t>
  </si>
  <si>
    <t>INDULKANA</t>
  </si>
  <si>
    <t>JAY CREEK</t>
  </si>
  <si>
    <t>KALTUKATJARA</t>
  </si>
  <si>
    <t>KINTORE</t>
  </si>
  <si>
    <t>KIWIRRKURRA</t>
  </si>
  <si>
    <t>KULGERA</t>
  </si>
  <si>
    <t>MIMILI</t>
  </si>
  <si>
    <t>MOUNT LIEBIG</t>
  </si>
  <si>
    <t>MULGA BORE</t>
  </si>
  <si>
    <t>MURPUTJA HOMELANDS</t>
  </si>
  <si>
    <t>NGAANYATJARRA-GILES</t>
  </si>
  <si>
    <t>NYAPARI</t>
  </si>
  <si>
    <t>PAPUNYA</t>
  </si>
  <si>
    <t>PATJARR</t>
  </si>
  <si>
    <t>PITJANTJATJARA HOMELANDS</t>
  </si>
  <si>
    <t>SANTA TERESA</t>
  </si>
  <si>
    <t>THANGKENHARENGE</t>
  </si>
  <si>
    <t>TI TREE</t>
  </si>
  <si>
    <t>TJIRRKARLI</t>
  </si>
  <si>
    <t>TJUKURLA</t>
  </si>
  <si>
    <t>ULURU</t>
  </si>
  <si>
    <t>UMPANGARA</t>
  </si>
  <si>
    <t>URAPUNTJA</t>
  </si>
  <si>
    <t>WALLACE ROCKHOLE</t>
  </si>
  <si>
    <t>WANARN</t>
  </si>
  <si>
    <t>WARAKURNA</t>
  </si>
  <si>
    <t>WILLOWRA</t>
  </si>
  <si>
    <t>WILORA</t>
  </si>
  <si>
    <t>WINGELLINA</t>
  </si>
  <si>
    <t>YUELAMU</t>
  </si>
  <si>
    <t>YUENDUMU</t>
  </si>
  <si>
    <t>YULARA</t>
  </si>
  <si>
    <t>GAPUWIYAK</t>
  </si>
  <si>
    <t>GOVE</t>
  </si>
  <si>
    <t>NHULUNBUY</t>
  </si>
  <si>
    <t>YIRRKALA</t>
  </si>
  <si>
    <t>ALYANGULA</t>
  </si>
  <si>
    <t>JABIRU</t>
  </si>
  <si>
    <t>SYDNEY</t>
  </si>
  <si>
    <t>HAYMARKET</t>
  </si>
  <si>
    <t>AUSTRALIA SQUARE</t>
  </si>
  <si>
    <t>GROSVENOR PLACE</t>
  </si>
  <si>
    <t>ROYAL EXCHANGE</t>
  </si>
  <si>
    <t>QUEEN VICTORIA BUILDING</t>
  </si>
  <si>
    <t>SYDNEY SOUTH</t>
  </si>
  <si>
    <t>DARLINGHURST</t>
  </si>
  <si>
    <t>EASTERN SUBURBS MC</t>
  </si>
  <si>
    <t>POTTS POINT</t>
  </si>
  <si>
    <t>KINGS CROSS</t>
  </si>
  <si>
    <t>WOOLLAHRA</t>
  </si>
  <si>
    <t>BONDI JUNCTION</t>
  </si>
  <si>
    <t>DOUBLE BAY</t>
  </si>
  <si>
    <t>MOORE PARK</t>
  </si>
  <si>
    <t>ATO ACTIVITY STATEMENTS</t>
  </si>
  <si>
    <t>BROADWAY</t>
  </si>
  <si>
    <t>SOUTHERN SUBURBS MC</t>
  </si>
  <si>
    <t>STRAWBERRY HILLS</t>
  </si>
  <si>
    <t>EVELEIGH</t>
  </si>
  <si>
    <t>ALEXANDRIA</t>
  </si>
  <si>
    <t>WATERLOO</t>
  </si>
  <si>
    <t>CAMPERDOWN</t>
  </si>
  <si>
    <t>BOTANY</t>
  </si>
  <si>
    <t>MASCOT</t>
  </si>
  <si>
    <t>KENSINGTON</t>
  </si>
  <si>
    <t>UNSW SYDNEY</t>
  </si>
  <si>
    <t>DRUMMOYNE</t>
  </si>
  <si>
    <t>MARRICKVILLE</t>
  </si>
  <si>
    <t>KINGSGROVE</t>
  </si>
  <si>
    <t>HURSTVILLE BC</t>
  </si>
  <si>
    <t>KINGSGROVE DC</t>
  </si>
  <si>
    <t>KOGARAH</t>
  </si>
  <si>
    <t>MIRANDA</t>
  </si>
  <si>
    <t>HURSTVILLE</t>
  </si>
  <si>
    <t>CARINGBAH</t>
  </si>
  <si>
    <t>SUTHERLAND</t>
  </si>
  <si>
    <t>WEST CHATSWOOD</t>
  </si>
  <si>
    <t>NORTHBRIDGE</t>
  </si>
  <si>
    <t>MILSONS POINT</t>
  </si>
  <si>
    <t>ARTARMON</t>
  </si>
  <si>
    <t>CROWS NEST</t>
  </si>
  <si>
    <t>ST LEONARDS</t>
  </si>
  <si>
    <t>LANE COVE</t>
  </si>
  <si>
    <t>LANE COVE DC</t>
  </si>
  <si>
    <t>HORNSBY</t>
  </si>
  <si>
    <t>HORNSBY WESTFIELD</t>
  </si>
  <si>
    <t>FRENCHS FOREST</t>
  </si>
  <si>
    <t>MANLY</t>
  </si>
  <si>
    <t>MONA VALE</t>
  </si>
  <si>
    <t>NORTH RYDE BC</t>
  </si>
  <si>
    <t>GLADESVILLE</t>
  </si>
  <si>
    <t>RYDE</t>
  </si>
  <si>
    <t>WEST RYDE</t>
  </si>
  <si>
    <t>NORTHERN SUBURBS MC</t>
  </si>
  <si>
    <t>ERMINGTON</t>
  </si>
  <si>
    <t>RYDALMERE BC</t>
  </si>
  <si>
    <t>EPPING</t>
  </si>
  <si>
    <t>PENNANT HILLS</t>
  </si>
  <si>
    <t>SEVEN HILLS</t>
  </si>
  <si>
    <t>PARRAMATTA</t>
  </si>
  <si>
    <t>NORTH PARRAMATTA</t>
  </si>
  <si>
    <t>BAULKHAM HILLS</t>
  </si>
  <si>
    <t>CASTLE HILL</t>
  </si>
  <si>
    <t>SEVEN HILLS MC</t>
  </si>
  <si>
    <t>ST MARYS</t>
  </si>
  <si>
    <t>PENRITH SOUTH DC</t>
  </si>
  <si>
    <t>ASHFIELD</t>
  </si>
  <si>
    <t>BURWOOD</t>
  </si>
  <si>
    <t>SILVERWATER</t>
  </si>
  <si>
    <t>STRATHFIELD</t>
  </si>
  <si>
    <t>LIDCOMBE</t>
  </si>
  <si>
    <t>GRANVILLE</t>
  </si>
  <si>
    <t>AUBURN</t>
  </si>
  <si>
    <t>GUILDFORD</t>
  </si>
  <si>
    <t>WETHERILL PARK DC</t>
  </si>
  <si>
    <t>FAIRFIELD</t>
  </si>
  <si>
    <t>LIVERPOOL</t>
  </si>
  <si>
    <t>MOOREBANK</t>
  </si>
  <si>
    <t>BANKSTOWN</t>
  </si>
  <si>
    <t>INGLEBURN</t>
  </si>
  <si>
    <t>MILPERRA</t>
  </si>
  <si>
    <t>LEIGHTONFIELD MC</t>
  </si>
  <si>
    <t>AUSTRALIAN NATIONAL UNIVERSITY</t>
  </si>
  <si>
    <t>DARLING HARBOUR</t>
  </si>
  <si>
    <t>DAWES POINT</t>
  </si>
  <si>
    <t>MILLERS POINT</t>
  </si>
  <si>
    <t>PARLIAMENT HOUSE</t>
  </si>
  <si>
    <t>THE ROCKS</t>
  </si>
  <si>
    <t>WORLD SQUARE</t>
  </si>
  <si>
    <t>ALEXANDRIA MC</t>
  </si>
  <si>
    <t>THE UNIVERSITY OF SYDNEY</t>
  </si>
  <si>
    <t>ULTIMO</t>
  </si>
  <si>
    <t>CHIPPENDALE</t>
  </si>
  <si>
    <t>DARLINGTON</t>
  </si>
  <si>
    <t>GOLDEN GROVE</t>
  </si>
  <si>
    <t>DARLING ISLAND</t>
  </si>
  <si>
    <t>PYRMONT</t>
  </si>
  <si>
    <t>SURRY HILLS</t>
  </si>
  <si>
    <t>TAYLOR SQUARE</t>
  </si>
  <si>
    <t>ELIZABETH BAY</t>
  </si>
  <si>
    <t>HMAS KUTTABUL</t>
  </si>
  <si>
    <t>RUSHCUTTERS BAY</t>
  </si>
  <si>
    <t>WOOLLOOMOOLOO</t>
  </si>
  <si>
    <t>BEACONSFIELD</t>
  </si>
  <si>
    <t>REDFERN</t>
  </si>
  <si>
    <t>ZETLAND</t>
  </si>
  <si>
    <t>EASTLAKES</t>
  </si>
  <si>
    <t>BANKSMEADOW</t>
  </si>
  <si>
    <t>SYDNEY DOMESTIC AIRPORT</t>
  </si>
  <si>
    <t>SYDNEY INTERNATIONAL AIRPORT</t>
  </si>
  <si>
    <t>CENTENNIAL PARK</t>
  </si>
  <si>
    <t>PADDINGTON</t>
  </si>
  <si>
    <t>BONDI JUNCTION PLAZA</t>
  </si>
  <si>
    <t>QUEENS PARK</t>
  </si>
  <si>
    <t>BELLEVUE HILL</t>
  </si>
  <si>
    <t>BRONTE</t>
  </si>
  <si>
    <t>CHARING CROSS</t>
  </si>
  <si>
    <t>WAVERLEY</t>
  </si>
  <si>
    <t>BEN BUCKLER</t>
  </si>
  <si>
    <t>BONDI</t>
  </si>
  <si>
    <t>BONDI BEACH</t>
  </si>
  <si>
    <t>NORTH BONDI</t>
  </si>
  <si>
    <t>TAMARAMA</t>
  </si>
  <si>
    <t>DARLING POINT</t>
  </si>
  <si>
    <t>EDGECLIFF</t>
  </si>
  <si>
    <t>HMAS RUSHCUTTERS</t>
  </si>
  <si>
    <t>POINT PIPER</t>
  </si>
  <si>
    <t>ROSE BAY</t>
  </si>
  <si>
    <t>DIAMOND BAY</t>
  </si>
  <si>
    <t>DOVER HEIGHTS</t>
  </si>
  <si>
    <t>HMAS WATSON</t>
  </si>
  <si>
    <t>ROSE BAY NORTH</t>
  </si>
  <si>
    <t>VAUCLUSE</t>
  </si>
  <si>
    <t>WATSONS BAY</t>
  </si>
  <si>
    <t>CLOVELLY</t>
  </si>
  <si>
    <t>CLOVELLY WEST</t>
  </si>
  <si>
    <t>RANDWICK</t>
  </si>
  <si>
    <t>ST PAULS</t>
  </si>
  <si>
    <t>DACEYVILLE</t>
  </si>
  <si>
    <t>KINGSFORD</t>
  </si>
  <si>
    <t>COOGEE</t>
  </si>
  <si>
    <t>SOUTH COOGEE</t>
  </si>
  <si>
    <t>MAROUBRA</t>
  </si>
  <si>
    <t>MAROUBRA SOUTH</t>
  </si>
  <si>
    <t>PAGEWOOD</t>
  </si>
  <si>
    <t>CHIFLEY</t>
  </si>
  <si>
    <t>EASTGARDENS</t>
  </si>
  <si>
    <t>HILLSDALE</t>
  </si>
  <si>
    <t>LA PEROUSE</t>
  </si>
  <si>
    <t>LITTLE BAY</t>
  </si>
  <si>
    <t>MALABAR</t>
  </si>
  <si>
    <t>MATRAVILLE</t>
  </si>
  <si>
    <t>PHILLIP BAY</t>
  </si>
  <si>
    <t>PORT BOTANY</t>
  </si>
  <si>
    <t>FOREST LODGE</t>
  </si>
  <si>
    <t>GLEBE</t>
  </si>
  <si>
    <t>ANNANDALE</t>
  </si>
  <si>
    <t>ROZELLE</t>
  </si>
  <si>
    <t>LEICHHARDT</t>
  </si>
  <si>
    <t>LILYFIELD</t>
  </si>
  <si>
    <t>BALMAIN</t>
  </si>
  <si>
    <t>BALMAIN EAST</t>
  </si>
  <si>
    <t>BIRCHGROVE</t>
  </si>
  <si>
    <t>ENMORE</t>
  </si>
  <si>
    <t>NEWTOWN</t>
  </si>
  <si>
    <t>ERSKINEVILLE</t>
  </si>
  <si>
    <t>ST PETERS</t>
  </si>
  <si>
    <t>SYDENHAM</t>
  </si>
  <si>
    <t>TEMPE</t>
  </si>
  <si>
    <t>HABERFIELD</t>
  </si>
  <si>
    <t>ABBOTSFORD</t>
  </si>
  <si>
    <t>CANADA BAY</t>
  </si>
  <si>
    <t>CHISWICK</t>
  </si>
  <si>
    <t>FIVE DOCK</t>
  </si>
  <si>
    <t>RODD POINT</t>
  </si>
  <si>
    <t>RUSSELL LEA</t>
  </si>
  <si>
    <t>WAREEMBA</t>
  </si>
  <si>
    <t>STANMORE</t>
  </si>
  <si>
    <t>WESTGATE</t>
  </si>
  <si>
    <t>LEWISHAM</t>
  </si>
  <si>
    <t>PETERSHAM</t>
  </si>
  <si>
    <t>PETERSHAM NORTH</t>
  </si>
  <si>
    <t>MISSENDEN ROAD</t>
  </si>
  <si>
    <t>NORTH SYDNEY</t>
  </si>
  <si>
    <t>CHATSWOOD</t>
  </si>
  <si>
    <t>HMAS PLATYPUS</t>
  </si>
  <si>
    <t>HMAS WATERHEN</t>
  </si>
  <si>
    <t>LAVENDER BAY</t>
  </si>
  <si>
    <t>MCMAHONS POINT</t>
  </si>
  <si>
    <t>NORTH SYDNEY SHOPPINGWORLD</t>
  </si>
  <si>
    <t>WAVERTON</t>
  </si>
  <si>
    <t>KIRRIBILLI</t>
  </si>
  <si>
    <t>CAMMERAY</t>
  </si>
  <si>
    <t>GORE HILL</t>
  </si>
  <si>
    <t>GREENWICH</t>
  </si>
  <si>
    <t>NAREMBURN</t>
  </si>
  <si>
    <t>ROYAL NORTH SHORE HOSPITAL</t>
  </si>
  <si>
    <t>WOLLSTONECRAFT</t>
  </si>
  <si>
    <t>LANE COVE NORTH</t>
  </si>
  <si>
    <t>LANE COVE WEST</t>
  </si>
  <si>
    <t>LINLEY POINT</t>
  </si>
  <si>
    <t>LONGUEVILLE</t>
  </si>
  <si>
    <t>NORTHWOOD</t>
  </si>
  <si>
    <t>OSBORNE PARK</t>
  </si>
  <si>
    <t>RIVERVIEW</t>
  </si>
  <si>
    <t>CHATSWOOD WEST</t>
  </si>
  <si>
    <t>CASTLECRAG</t>
  </si>
  <si>
    <t>MIDDLE COVE</t>
  </si>
  <si>
    <t>WILLOUGHBY</t>
  </si>
  <si>
    <t>WILLOUGHBY NORTH</t>
  </si>
  <si>
    <t>CASTLE COVE</t>
  </si>
  <si>
    <t>ROSEVILLE</t>
  </si>
  <si>
    <t>ROSEVILLE CHASE</t>
  </si>
  <si>
    <t>EAST LINDFIELD</t>
  </si>
  <si>
    <t>LINDFIELD</t>
  </si>
  <si>
    <t>LINDFIELD WEST</t>
  </si>
  <si>
    <t>KILLARA</t>
  </si>
  <si>
    <t>GORDON</t>
  </si>
  <si>
    <t>PYMBLE</t>
  </si>
  <si>
    <t>WEST PYMBLE</t>
  </si>
  <si>
    <t>BOBBIN HEAD</t>
  </si>
  <si>
    <t>NORTH TURRAMURRA</t>
  </si>
  <si>
    <t>SOUTH TURRAMURRA</t>
  </si>
  <si>
    <t>TURRAMURRA</t>
  </si>
  <si>
    <t>WARRAWEE</t>
  </si>
  <si>
    <t>NORTH ST IVES</t>
  </si>
  <si>
    <t>ST IVES</t>
  </si>
  <si>
    <t>ST IVES CHASE</t>
  </si>
  <si>
    <t>NORMANHURST</t>
  </si>
  <si>
    <t>WAHROONGA</t>
  </si>
  <si>
    <t>ASQUITH</t>
  </si>
  <si>
    <t>HORNSBY HEIGHTS</t>
  </si>
  <si>
    <t>WAITARA</t>
  </si>
  <si>
    <t>MOUNT COLAH</t>
  </si>
  <si>
    <t>MOUNT KURING-GAI</t>
  </si>
  <si>
    <t>BEROWRA</t>
  </si>
  <si>
    <t>COWAN</t>
  </si>
  <si>
    <t>BEROWRA HEIGHTS</t>
  </si>
  <si>
    <t>BEROWRA WATERS</t>
  </si>
  <si>
    <t>BAR POINT</t>
  </si>
  <si>
    <t>BROOKLYN</t>
  </si>
  <si>
    <t>COGRA BAY</t>
  </si>
  <si>
    <t>DANGAR ISLAND</t>
  </si>
  <si>
    <t>MILSONS PASSAGE</t>
  </si>
  <si>
    <t>MOONEY MOONEY</t>
  </si>
  <si>
    <t>AKUNA BAY</t>
  </si>
  <si>
    <t>COTTAGE POINT</t>
  </si>
  <si>
    <t>DUFFYS FOREST</t>
  </si>
  <si>
    <t>TERREY HILLS</t>
  </si>
  <si>
    <t>BELROSE</t>
  </si>
  <si>
    <t>BELROSE WEST</t>
  </si>
  <si>
    <t>DAVIDSON</t>
  </si>
  <si>
    <t>FRENCHS FOREST EAST</t>
  </si>
  <si>
    <t>FORESTVILLE</t>
  </si>
  <si>
    <t>KILLARNEY HEIGHTS</t>
  </si>
  <si>
    <t>MOSMAN</t>
  </si>
  <si>
    <t>SPIT JUNCTION</t>
  </si>
  <si>
    <t>NEUTRAL BAY</t>
  </si>
  <si>
    <t>NEUTRAL BAY JUNCTION</t>
  </si>
  <si>
    <t>CREMORNE</t>
  </si>
  <si>
    <t>CREMORNE JUNCTION</t>
  </si>
  <si>
    <t>CREMORNE POINT</t>
  </si>
  <si>
    <t>HMAS PENGUIN</t>
  </si>
  <si>
    <t>SEAFORTH</t>
  </si>
  <si>
    <t>BALGOWLAH</t>
  </si>
  <si>
    <t>BALGOWLAH HEIGHTS</t>
  </si>
  <si>
    <t>CLONTARF</t>
  </si>
  <si>
    <t>MANLY VALE</t>
  </si>
  <si>
    <t>NORTH BALGOWLAH</t>
  </si>
  <si>
    <t>FAIRLIGHT</t>
  </si>
  <si>
    <t>MANLY EAST</t>
  </si>
  <si>
    <t>CURL CURL</t>
  </si>
  <si>
    <t>HARBORD</t>
  </si>
  <si>
    <t>QUEENSCLIFF</t>
  </si>
  <si>
    <t>COLLAROY</t>
  </si>
  <si>
    <t>COLLAROY BEACH</t>
  </si>
  <si>
    <t>COLLAROY PLATEAU WEST</t>
  </si>
  <si>
    <t>LONG REEF</t>
  </si>
  <si>
    <t>WHEELER HEIGHTS</t>
  </si>
  <si>
    <t>CROMER</t>
  </si>
  <si>
    <t>CROMER HEIGHTS</t>
  </si>
  <si>
    <t>DEE WHY</t>
  </si>
  <si>
    <t>DEE WHY BEACH</t>
  </si>
  <si>
    <t>NARRAWEENA</t>
  </si>
  <si>
    <t>NORTH CURL CURL</t>
  </si>
  <si>
    <t>WINGALA</t>
  </si>
  <si>
    <t>ALLAMBIE</t>
  </si>
  <si>
    <t>ALLAMBIE HEIGHTS</t>
  </si>
  <si>
    <t>BEACON HILL</t>
  </si>
  <si>
    <t>BROOKVALE</t>
  </si>
  <si>
    <t>NORTH MANLY</t>
  </si>
  <si>
    <t>OXFORD FALLS</t>
  </si>
  <si>
    <t>WARRINGAH MALL</t>
  </si>
  <si>
    <t>ELANORA HEIGHTS</t>
  </si>
  <si>
    <t>INGLESIDE</t>
  </si>
  <si>
    <t>NARRABEEN</t>
  </si>
  <si>
    <t>NARRABEEN PENINSULA</t>
  </si>
  <si>
    <t>NORTH NARRABEEN</t>
  </si>
  <si>
    <t>WARRIEWOOD</t>
  </si>
  <si>
    <t>WARRIEWOOD SHOPPING SQUARE</t>
  </si>
  <si>
    <t>CHURCH POINT</t>
  </si>
  <si>
    <t>ELVINA BAY</t>
  </si>
  <si>
    <t>LOVETT BAY</t>
  </si>
  <si>
    <t>SCOTLAND ISLAND</t>
  </si>
  <si>
    <t>NEWPORT</t>
  </si>
  <si>
    <t>NEWPORT BEACH</t>
  </si>
  <si>
    <t>AVALON</t>
  </si>
  <si>
    <t>AVALON BEACH</t>
  </si>
  <si>
    <t>BILGOLA</t>
  </si>
  <si>
    <t>BILGOLA BEACH</t>
  </si>
  <si>
    <t>BILGOLA PLATEAU</t>
  </si>
  <si>
    <t>CAREEL BAY</t>
  </si>
  <si>
    <t>CLAREVILLE</t>
  </si>
  <si>
    <t>PARADISE BEACH</t>
  </si>
  <si>
    <t>TAYLORS POINT</t>
  </si>
  <si>
    <t>WHALE BEACH</t>
  </si>
  <si>
    <t>COASTERS RETREAT</t>
  </si>
  <si>
    <t>CURRAWONG BEACH</t>
  </si>
  <si>
    <t>GREAT MACKEREL BEACH</t>
  </si>
  <si>
    <t>MORNING BAY</t>
  </si>
  <si>
    <t>PALM BEACH</t>
  </si>
  <si>
    <t>THE BASIN</t>
  </si>
  <si>
    <t>MACQUARIE UNIVERSITY</t>
  </si>
  <si>
    <t>HUNTERS HILL</t>
  </si>
  <si>
    <t>HUNTERS HILL WEST</t>
  </si>
  <si>
    <t>WOOLWICH</t>
  </si>
  <si>
    <t>BORONIA PARK</t>
  </si>
  <si>
    <t>HENLEY</t>
  </si>
  <si>
    <t>HUNTLEYS COVE</t>
  </si>
  <si>
    <t>HUNTLEYS POINT</t>
  </si>
  <si>
    <t>MONASH PARK</t>
  </si>
  <si>
    <t>TENNYSON POINT</t>
  </si>
  <si>
    <t>DENISTONE EAST</t>
  </si>
  <si>
    <t>PUTNEY</t>
  </si>
  <si>
    <t>BLENHEIM ROAD</t>
  </si>
  <si>
    <t>EAST RYDE</t>
  </si>
  <si>
    <t>MACQUARIE CENTRE</t>
  </si>
  <si>
    <t>MACQUARIE PARK</t>
  </si>
  <si>
    <t>NORTH RYDE</t>
  </si>
  <si>
    <t>DENISTONE</t>
  </si>
  <si>
    <t>DENISTONE WEST</t>
  </si>
  <si>
    <t>MEADOWBANK</t>
  </si>
  <si>
    <t>MELROSE PARK</t>
  </si>
  <si>
    <t>RYDALMERE</t>
  </si>
  <si>
    <t>DUNDAS</t>
  </si>
  <si>
    <t>DUNDAS VALLEY</t>
  </si>
  <si>
    <t>OATLANDS</t>
  </si>
  <si>
    <t>TELOPEA</t>
  </si>
  <si>
    <t>CARLINGFORD</t>
  </si>
  <si>
    <t>CARLINGFORD COURT</t>
  </si>
  <si>
    <t>CARLINGFORD NORTH</t>
  </si>
  <si>
    <t>KINGSDENE</t>
  </si>
  <si>
    <t>BEECROFT</t>
  </si>
  <si>
    <t>CHELTENHAM</t>
  </si>
  <si>
    <t>THORNLEIGH</t>
  </si>
  <si>
    <t>WESTLEIGH</t>
  </si>
  <si>
    <t>NORTH EPPING</t>
  </si>
  <si>
    <t>EASTWOOD</t>
  </si>
  <si>
    <t>MARSFIELD</t>
  </si>
  <si>
    <t>WEST PENNANT HILLS</t>
  </si>
  <si>
    <t>CHERRYBROOK</t>
  </si>
  <si>
    <t>HOMEBUSH BAY</t>
  </si>
  <si>
    <t>NEWINGTON</t>
  </si>
  <si>
    <t>SYDNEY MARKETS</t>
  </si>
  <si>
    <t>SUMMER HILL</t>
  </si>
  <si>
    <t>CROYDON</t>
  </si>
  <si>
    <t>CROYDON PARK</t>
  </si>
  <si>
    <t>ENFIELD SOUTH</t>
  </si>
  <si>
    <t>BURWOOD NORTH</t>
  </si>
  <si>
    <t>BURWOOD HEIGHTS</t>
  </si>
  <si>
    <t>ENFIELD</t>
  </si>
  <si>
    <t>STRATHFIELD SOUTH</t>
  </si>
  <si>
    <t>BREAKFAST POINT</t>
  </si>
  <si>
    <t>CABARITA</t>
  </si>
  <si>
    <t>CONCORD</t>
  </si>
  <si>
    <t>MORTLAKE</t>
  </si>
  <si>
    <t>NORTH STRATHFIELD</t>
  </si>
  <si>
    <t>CONCORD WEST</t>
  </si>
  <si>
    <t>LIBERTY GROVE</t>
  </si>
  <si>
    <t>RHODES</t>
  </si>
  <si>
    <t>CONCORD REPATRIATION HOSPITAL</t>
  </si>
  <si>
    <t>HOMEBUSH</t>
  </si>
  <si>
    <t>HOMEBUSH SOUTH</t>
  </si>
  <si>
    <t>HOMEBUSH WEST</t>
  </si>
  <si>
    <t>BERALA</t>
  </si>
  <si>
    <t>LIDCOMBE NORTH</t>
  </si>
  <si>
    <t>ROOKWOOD</t>
  </si>
  <si>
    <t>BLAXCELL</t>
  </si>
  <si>
    <t>CAMELLIA</t>
  </si>
  <si>
    <t>HOLROYD</t>
  </si>
  <si>
    <t>ROSEHILL</t>
  </si>
  <si>
    <t>BIRRONG</t>
  </si>
  <si>
    <t>POTTS HILL</t>
  </si>
  <si>
    <t>REGENTS PARK</t>
  </si>
  <si>
    <t>AUBURN SOUTH</t>
  </si>
  <si>
    <t>GIRRAWEEN</t>
  </si>
  <si>
    <t>GREYSTANES</t>
  </si>
  <si>
    <t>MAYS HILL</t>
  </si>
  <si>
    <t>PEMULWUY</t>
  </si>
  <si>
    <t>PENDLE HILL</t>
  </si>
  <si>
    <t>SOUTH WENTWORTHVILLE</t>
  </si>
  <si>
    <t>WENTWORTHVILLE</t>
  </si>
  <si>
    <t>WESTMEAD</t>
  </si>
  <si>
    <t>OLD TOONGABBIE</t>
  </si>
  <si>
    <t>TOONGABBIE</t>
  </si>
  <si>
    <t>TOONGABBIE EAST</t>
  </si>
  <si>
    <t>KINGS LANGLEY</t>
  </si>
  <si>
    <t>LALOR PARK</t>
  </si>
  <si>
    <t>SEVEN HILLS WEST</t>
  </si>
  <si>
    <t>ARNDELL PARK</t>
  </si>
  <si>
    <t>BLACKTOWN</t>
  </si>
  <si>
    <t>BLACKTOWN WESTPOINT</t>
  </si>
  <si>
    <t>HUNTINGWOOD</t>
  </si>
  <si>
    <t>KINGS PARK</t>
  </si>
  <si>
    <t>MARAYONG</t>
  </si>
  <si>
    <t>PROSPECT</t>
  </si>
  <si>
    <t>HARRIS PARK</t>
  </si>
  <si>
    <t>PARRAMATTA WESTFIELD</t>
  </si>
  <si>
    <t>NORTH ROCKS</t>
  </si>
  <si>
    <t>NORTHMEAD</t>
  </si>
  <si>
    <t>BELLA VISTA</t>
  </si>
  <si>
    <t>CRESTWOOD</t>
  </si>
  <si>
    <t>WINSTON HILLS</t>
  </si>
  <si>
    <t>BEAUMONT HILLS</t>
  </si>
  <si>
    <t>KELLYVILLE</t>
  </si>
  <si>
    <t>KELLYVILLE RIDGE</t>
  </si>
  <si>
    <t>ROUSE HILL</t>
  </si>
  <si>
    <t>ANNANGROVE</t>
  </si>
  <si>
    <t>GLENHAVEN</t>
  </si>
  <si>
    <t>KENTHURST</t>
  </si>
  <si>
    <t>CANOELANDS</t>
  </si>
  <si>
    <t>FOREST GLEN</t>
  </si>
  <si>
    <t>GLENORIE</t>
  </si>
  <si>
    <t>HILLSIDE</t>
  </si>
  <si>
    <t>DURAL</t>
  </si>
  <si>
    <t>MIDDLE DURAL</t>
  </si>
  <si>
    <t>ROUND CORNER</t>
  </si>
  <si>
    <t>ARCADIA</t>
  </si>
  <si>
    <t>BERRILEE</t>
  </si>
  <si>
    <t>FIDDLETOWN</t>
  </si>
  <si>
    <t>GALSTON</t>
  </si>
  <si>
    <t>MERRYLANDS</t>
  </si>
  <si>
    <t>MERRYLANDS WEST</t>
  </si>
  <si>
    <t>GUILDFORD WEST</t>
  </si>
  <si>
    <t>OLD GUILDFORD</t>
  </si>
  <si>
    <t>YENNORA</t>
  </si>
  <si>
    <t>CHESTER HILL</t>
  </si>
  <si>
    <t>SEFTON</t>
  </si>
  <si>
    <t>CARRAMAR</t>
  </si>
  <si>
    <t>LANSDOWNE</t>
  </si>
  <si>
    <t>VILLAWOOD</t>
  </si>
  <si>
    <t>SMITHFIELD</t>
  </si>
  <si>
    <t>SMITHFIELD WEST</t>
  </si>
  <si>
    <t>WETHERILL PARK</t>
  </si>
  <si>
    <t>WOODPARK</t>
  </si>
  <si>
    <t>FAIRFIELD EAST</t>
  </si>
  <si>
    <t>FAIRFIELD HEIGHTS</t>
  </si>
  <si>
    <t>FAIRFIELD WEST</t>
  </si>
  <si>
    <t>CABRAMATTA</t>
  </si>
  <si>
    <t>CABRAMATTA WEST</t>
  </si>
  <si>
    <t>CANLEY HEIGHTS</t>
  </si>
  <si>
    <t>CANLEY VALE</t>
  </si>
  <si>
    <t>LANSVALE</t>
  </si>
  <si>
    <t>GLENFIELD</t>
  </si>
  <si>
    <t>ASHCROFT</t>
  </si>
  <si>
    <t>BUSBY</t>
  </si>
  <si>
    <t>CARTWRIGHT</t>
  </si>
  <si>
    <t>GREEN VALLEY</t>
  </si>
  <si>
    <t>HECKENBERG</t>
  </si>
  <si>
    <t>HINCHINBROOK</t>
  </si>
  <si>
    <t>MILLER</t>
  </si>
  <si>
    <t>SADLEIR</t>
  </si>
  <si>
    <t>CASULA</t>
  </si>
  <si>
    <t>CASULA MALL</t>
  </si>
  <si>
    <t>CHIPPING NORTON</t>
  </si>
  <si>
    <t>HAMMONDVILLE</t>
  </si>
  <si>
    <t>LIVERPOOL SOUTH</t>
  </si>
  <si>
    <t>LIVERPOOL WESTFIELD</t>
  </si>
  <si>
    <t>LURNEA</t>
  </si>
  <si>
    <t>MOUNT PRITCHARD</t>
  </si>
  <si>
    <t>PRESTONS</t>
  </si>
  <si>
    <t>WARWICK FARM</t>
  </si>
  <si>
    <t>CECIL HILLS</t>
  </si>
  <si>
    <t>HORNINGSEA PARK</t>
  </si>
  <si>
    <t>HOXTON PARK</t>
  </si>
  <si>
    <t>WEST HOXTON</t>
  </si>
  <si>
    <t>PLEASURE POINT</t>
  </si>
  <si>
    <t>SANDY POINT</t>
  </si>
  <si>
    <t>VOYAGER POINT</t>
  </si>
  <si>
    <t>HOLSWORTHY</t>
  </si>
  <si>
    <t>WATTLE GROVE</t>
  </si>
  <si>
    <t>EDMONDSON PARK</t>
  </si>
  <si>
    <t>INGLEBURN MILPO</t>
  </si>
  <si>
    <t>HORSLEY PARK</t>
  </si>
  <si>
    <t>ABBOTSBURY</t>
  </si>
  <si>
    <t>BOSSLEY PARK</t>
  </si>
  <si>
    <t>EDENSOR PARK</t>
  </si>
  <si>
    <t>GREENFIELD PARK</t>
  </si>
  <si>
    <t>PRAIRIEWOOD</t>
  </si>
  <si>
    <t>ST JOHNS PARK</t>
  </si>
  <si>
    <t>WAKELEY</t>
  </si>
  <si>
    <t>BONNYRIGG</t>
  </si>
  <si>
    <t>BONNYRIGG HEIGHTS</t>
  </si>
  <si>
    <t>CECIL PARK</t>
  </si>
  <si>
    <t>KEMPS CREEK</t>
  </si>
  <si>
    <t>MOUNT VERNON</t>
  </si>
  <si>
    <t>AUSTRAL</t>
  </si>
  <si>
    <t>LEPPINGTON</t>
  </si>
  <si>
    <t>CHULLORA</t>
  </si>
  <si>
    <t>GREENACRE</t>
  </si>
  <si>
    <t>MOUNT LEWIS</t>
  </si>
  <si>
    <t>BELFIELD</t>
  </si>
  <si>
    <t>BELMORE</t>
  </si>
  <si>
    <t>ASHBURY</t>
  </si>
  <si>
    <t>CANTERBURY</t>
  </si>
  <si>
    <t>HURLSTONE PARK</t>
  </si>
  <si>
    <t>CAMPSIE</t>
  </si>
  <si>
    <t>LAKEMBA</t>
  </si>
  <si>
    <t>WILEY PARK</t>
  </si>
  <si>
    <t>PUNCHBOWL</t>
  </si>
  <si>
    <t>ROSELANDS</t>
  </si>
  <si>
    <t>BASS HILL</t>
  </si>
  <si>
    <t>GEORGES HALL</t>
  </si>
  <si>
    <t>YAGOONA</t>
  </si>
  <si>
    <t>YAGOONA WEST</t>
  </si>
  <si>
    <t>BANKSTOWN AIRPORT</t>
  </si>
  <si>
    <t>BANKSTOWN NORTH</t>
  </si>
  <si>
    <t>BANKSTOWN SQUARE</t>
  </si>
  <si>
    <t>CONDELL PARK</t>
  </si>
  <si>
    <t>MANAHAN</t>
  </si>
  <si>
    <t>DULWICH HILL</t>
  </si>
  <si>
    <t>MARRICKVILLE METRO</t>
  </si>
  <si>
    <t>MARRICKVILLE SOUTH</t>
  </si>
  <si>
    <t>ARNCLIFFE</t>
  </si>
  <si>
    <t>TURRELLA</t>
  </si>
  <si>
    <t>WOLLI CREEK</t>
  </si>
  <si>
    <t>CLEMTON PARK</t>
  </si>
  <si>
    <t>EARLWOOD</t>
  </si>
  <si>
    <t>UNDERCLIFFE</t>
  </si>
  <si>
    <t>BARDWELL PARK</t>
  </si>
  <si>
    <t>BARDWELL VALLEY</t>
  </si>
  <si>
    <t>BEXLEY</t>
  </si>
  <si>
    <t>BEXLEY NORTH</t>
  </si>
  <si>
    <t>BEXLEY SOUTH</t>
  </si>
  <si>
    <t>KINGSWAY WEST</t>
  </si>
  <si>
    <t>BEVERLY HILLS</t>
  </si>
  <si>
    <t>NARWEE</t>
  </si>
  <si>
    <t>LUGARNO</t>
  </si>
  <si>
    <t>PEAKHURST</t>
  </si>
  <si>
    <t>PEAKHURST HEIGHTS</t>
  </si>
  <si>
    <t>RIVERWOOD</t>
  </si>
  <si>
    <t>PADSTOW</t>
  </si>
  <si>
    <t>PADSTOW HEIGHTS</t>
  </si>
  <si>
    <t>REVESBY</t>
  </si>
  <si>
    <t>REVESBY HEIGHTS</t>
  </si>
  <si>
    <t>REVESBY NORTH</t>
  </si>
  <si>
    <t>EAST HILLS</t>
  </si>
  <si>
    <t>PANANIA</t>
  </si>
  <si>
    <t>PICNIC POINT</t>
  </si>
  <si>
    <t>BANKSIA</t>
  </si>
  <si>
    <t>BRIGHTON-LE-SANDS</t>
  </si>
  <si>
    <t>KYEEMAGH</t>
  </si>
  <si>
    <t>ROCKDALE</t>
  </si>
  <si>
    <t>BEVERLEY PARK</t>
  </si>
  <si>
    <t>KOGARAH BAY</t>
  </si>
  <si>
    <t>MONTEREY</t>
  </si>
  <si>
    <t>RAMSGATE</t>
  </si>
  <si>
    <t>RAMSGATE BEACH</t>
  </si>
  <si>
    <t>ALLAWAH</t>
  </si>
  <si>
    <t>CARLTON</t>
  </si>
  <si>
    <t>DOLLS POINT</t>
  </si>
  <si>
    <t>SANDRINGHAM</t>
  </si>
  <si>
    <t>SANS SOUCI</t>
  </si>
  <si>
    <t>HURSTVILLE GROVE</t>
  </si>
  <si>
    <t>HURSTVILLE WESTFIELD</t>
  </si>
  <si>
    <t>BLAKEHURST</t>
  </si>
  <si>
    <t>CARSS PARK</t>
  </si>
  <si>
    <t>CONNELLS POINT</t>
  </si>
  <si>
    <t>KYLE BAY</t>
  </si>
  <si>
    <t>SOUTH HURSTVILLE</t>
  </si>
  <si>
    <t>PENSHURST</t>
  </si>
  <si>
    <t>MORTDALE</t>
  </si>
  <si>
    <t>OATLEY</t>
  </si>
  <si>
    <t>KANGAROO POINT</t>
  </si>
  <si>
    <t>SYLVANIA</t>
  </si>
  <si>
    <t>SYLVANIA SOUTHGATE</t>
  </si>
  <si>
    <t>SYLVANIA WATERS</t>
  </si>
  <si>
    <t>CARAVAN HEAD</t>
  </si>
  <si>
    <t>OYSTER BAY</t>
  </si>
  <si>
    <t>BONNET BAY</t>
  </si>
  <si>
    <t>COMO</t>
  </si>
  <si>
    <t>JANNALI</t>
  </si>
  <si>
    <t>GYMEA</t>
  </si>
  <si>
    <t>GYMEA BAY</t>
  </si>
  <si>
    <t>YOWIE BAY</t>
  </si>
  <si>
    <t>DOLANS BAY</t>
  </si>
  <si>
    <t>LILLI PILLI</t>
  </si>
  <si>
    <t>PORT HACKING</t>
  </si>
  <si>
    <t>TAREN POINT</t>
  </si>
  <si>
    <t>WARUMBUL</t>
  </si>
  <si>
    <t>BUNDEENA</t>
  </si>
  <si>
    <t>BURRANEER</t>
  </si>
  <si>
    <t>CRONULLA</t>
  </si>
  <si>
    <t>MAIANBAR</t>
  </si>
  <si>
    <t>WOOLOOWARE</t>
  </si>
  <si>
    <t>KURNELL</t>
  </si>
  <si>
    <t>AUDLEY</t>
  </si>
  <si>
    <t>GARIE</t>
  </si>
  <si>
    <t>GRAYS POINT</t>
  </si>
  <si>
    <t>KAREELA</t>
  </si>
  <si>
    <t>KIRRAWEE</t>
  </si>
  <si>
    <t>LOFTUS</t>
  </si>
  <si>
    <t>WORONORA</t>
  </si>
  <si>
    <t>ENGADINE</t>
  </si>
  <si>
    <t>HEATHCOTE</t>
  </si>
  <si>
    <t>WATERFALL</t>
  </si>
  <si>
    <t>WORONORA HEIGHTS</t>
  </si>
  <si>
    <t>YARRAWARRAH</t>
  </si>
  <si>
    <t>ALFORDS POINT</t>
  </si>
  <si>
    <t>BANGOR</t>
  </si>
  <si>
    <t>BARDEN RIDGE</t>
  </si>
  <si>
    <t>ILLAWONG</t>
  </si>
  <si>
    <t>LUCAS HEIGHTS</t>
  </si>
  <si>
    <t>MENAI</t>
  </si>
  <si>
    <t>MENAI CENTRAL</t>
  </si>
  <si>
    <t>BUCKETTY</t>
  </si>
  <si>
    <t>CALGA</t>
  </si>
  <si>
    <t>CENTRAL MANGROVE</t>
  </si>
  <si>
    <t>DONOVANS FOREST</t>
  </si>
  <si>
    <t>EAST GOSFORD</t>
  </si>
  <si>
    <t>ERINA</t>
  </si>
  <si>
    <t>ERINA FAIR</t>
  </si>
  <si>
    <t>GLENWORTH VALLEY</t>
  </si>
  <si>
    <t>GOSFORD</t>
  </si>
  <si>
    <t>GOSFORD WEST</t>
  </si>
  <si>
    <t>GREENGROVE</t>
  </si>
  <si>
    <t>HOLGATE</t>
  </si>
  <si>
    <t>KARIONG</t>
  </si>
  <si>
    <t>KULNURA</t>
  </si>
  <si>
    <t>LISAROW</t>
  </si>
  <si>
    <t>LOWER MANGROVE</t>
  </si>
  <si>
    <t>MANGROVE CREEK</t>
  </si>
  <si>
    <t>MANGROVE MOUNTAIN</t>
  </si>
  <si>
    <t>MATCHAM</t>
  </si>
  <si>
    <t>MOONEY MOONEY CREEK</t>
  </si>
  <si>
    <t>MOUNT ELLIOT</t>
  </si>
  <si>
    <t>MOUNT WHITE</t>
  </si>
  <si>
    <t>NARARA</t>
  </si>
  <si>
    <t>NIAGARA PARK</t>
  </si>
  <si>
    <t>NORTH GOSFORD</t>
  </si>
  <si>
    <t>PEATS RIDGE</t>
  </si>
  <si>
    <t>POINT CLARE</t>
  </si>
  <si>
    <t>POINT FREDERICK</t>
  </si>
  <si>
    <t>SOMERSBY</t>
  </si>
  <si>
    <t>SPRINGFIELD</t>
  </si>
  <si>
    <t>TASCOTT</t>
  </si>
  <si>
    <t>TEN MILE HOLLOW</t>
  </si>
  <si>
    <t>UPPER MANGROVE</t>
  </si>
  <si>
    <t>WENDOREE PARK</t>
  </si>
  <si>
    <t>WYOMING</t>
  </si>
  <si>
    <t>AVOCA BEACH</t>
  </si>
  <si>
    <t>BENSVILLE</t>
  </si>
  <si>
    <t>BOUDDI</t>
  </si>
  <si>
    <t>COPACABANA</t>
  </si>
  <si>
    <t>DAVISTOWN</t>
  </si>
  <si>
    <t>GREEN POINT</t>
  </si>
  <si>
    <t>KINCUMBER</t>
  </si>
  <si>
    <t>KINCUMBER SOUTH</t>
  </si>
  <si>
    <t>MACMASTERS BEACH</t>
  </si>
  <si>
    <t>PICKETTS VALLEY</t>
  </si>
  <si>
    <t>SARATOGA</t>
  </si>
  <si>
    <t>YATTALUNGA</t>
  </si>
  <si>
    <t>CENTRAL COAST MC</t>
  </si>
  <si>
    <t>BLACKWALL</t>
  </si>
  <si>
    <t>HORSFIELD BAY</t>
  </si>
  <si>
    <t>KOOLEWONG</t>
  </si>
  <si>
    <t>LITTLE WOBBY</t>
  </si>
  <si>
    <t>PATONGA</t>
  </si>
  <si>
    <t>PEARL BEACH</t>
  </si>
  <si>
    <t>PHEGANS BAY</t>
  </si>
  <si>
    <t>WONDABYNE</t>
  </si>
  <si>
    <t>WOY WOY</t>
  </si>
  <si>
    <t>WOY WOY BAY</t>
  </si>
  <si>
    <t>BOOKER BAY</t>
  </si>
  <si>
    <t>BOX HEAD</t>
  </si>
  <si>
    <t>DALEYS POINT</t>
  </si>
  <si>
    <t>EMPIRE BAY</t>
  </si>
  <si>
    <t>ETTALONG BEACH</t>
  </si>
  <si>
    <t>HARDYS BAY</t>
  </si>
  <si>
    <t>KILLCARE</t>
  </si>
  <si>
    <t>KILLCARE HEIGHTS</t>
  </si>
  <si>
    <t>PRETTY BEACH</t>
  </si>
  <si>
    <t>ST HUBERTS ISLAND</t>
  </si>
  <si>
    <t>UMINA BEACH</t>
  </si>
  <si>
    <t>WAGSTAFFE</t>
  </si>
  <si>
    <t>FOUNTAINDALE</t>
  </si>
  <si>
    <t>KANGY ANGY</t>
  </si>
  <si>
    <t>OURIMBAH</t>
  </si>
  <si>
    <t>PALM GROVE</t>
  </si>
  <si>
    <t>PALMDALE</t>
  </si>
  <si>
    <t>ALISON</t>
  </si>
  <si>
    <t>CEDAR BRUSH CREEK</t>
  </si>
  <si>
    <t>CHAIN VALLEY BAY</t>
  </si>
  <si>
    <t>CRANGAN BAY</t>
  </si>
  <si>
    <t>DOORALONG</t>
  </si>
  <si>
    <t>DURREN DURREN</t>
  </si>
  <si>
    <t>FRAZER PARK</t>
  </si>
  <si>
    <t>GWANDALAN</t>
  </si>
  <si>
    <t>HALLORAN</t>
  </si>
  <si>
    <t>HAMLYN TERRACE</t>
  </si>
  <si>
    <t>JILLIBY</t>
  </si>
  <si>
    <t>KANWAL</t>
  </si>
  <si>
    <t>LAKE MUNMORAH</t>
  </si>
  <si>
    <t>LEMON TREE</t>
  </si>
  <si>
    <t>LITTLE JILLIBY</t>
  </si>
  <si>
    <t>MANNERING PARK</t>
  </si>
  <si>
    <t>MARDI</t>
  </si>
  <si>
    <t>POINT WOLSTONCROFT</t>
  </si>
  <si>
    <t>RAVENSDALE</t>
  </si>
  <si>
    <t>ROCKY POINT</t>
  </si>
  <si>
    <t>SOUTH TACOMA</t>
  </si>
  <si>
    <t>SUMMERLAND POINT</t>
  </si>
  <si>
    <t>TACOMA</t>
  </si>
  <si>
    <t>TUGGERAH</t>
  </si>
  <si>
    <t>TUGGERAWONG</t>
  </si>
  <si>
    <t>WADALBA</t>
  </si>
  <si>
    <t>WALLARAH</t>
  </si>
  <si>
    <t>WARNERVALE</t>
  </si>
  <si>
    <t>WATANOBBI</t>
  </si>
  <si>
    <t>WOONGARRAH</t>
  </si>
  <si>
    <t>WYBUNG</t>
  </si>
  <si>
    <t>WYEE</t>
  </si>
  <si>
    <t>WYEE POINT</t>
  </si>
  <si>
    <t>WYONG</t>
  </si>
  <si>
    <t>WYONG CREEK</t>
  </si>
  <si>
    <t>WYONGAH</t>
  </si>
  <si>
    <t>YARRAMALONG</t>
  </si>
  <si>
    <t>ERINA HEIGHTS</t>
  </si>
  <si>
    <t>FORRESTERS BEACH</t>
  </si>
  <si>
    <t>NORTH AVOCA</t>
  </si>
  <si>
    <t>TERRIGAL</t>
  </si>
  <si>
    <t>WAMBERAL</t>
  </si>
  <si>
    <t>BATEAU BAY</t>
  </si>
  <si>
    <t>BAY VILLAGE</t>
  </si>
  <si>
    <t>BERKELEY VALE</t>
  </si>
  <si>
    <t>BLUE BAY</t>
  </si>
  <si>
    <t>CHITTAWAY BAY</t>
  </si>
  <si>
    <t>CHITTAWAY POINT</t>
  </si>
  <si>
    <t>GLENNING VALLEY</t>
  </si>
  <si>
    <t>KILLARNEY VALE</t>
  </si>
  <si>
    <t>LONG JETTY</t>
  </si>
  <si>
    <t>SHELLY BEACH</t>
  </si>
  <si>
    <t>THE ENTRANCE</t>
  </si>
  <si>
    <t>THE ENTRANCE NORTH</t>
  </si>
  <si>
    <t>TOOWOON BAY</t>
  </si>
  <si>
    <t>TUMBI UMBI</t>
  </si>
  <si>
    <t>BLUE HAVEN</t>
  </si>
  <si>
    <t>BUDGEWOI</t>
  </si>
  <si>
    <t>BUFF POINT</t>
  </si>
  <si>
    <t>DOYALSON</t>
  </si>
  <si>
    <t>HALEKULANI</t>
  </si>
  <si>
    <t>SAN REMO</t>
  </si>
  <si>
    <t>CANTON BEACH</t>
  </si>
  <si>
    <t>CHARMHAVEN</t>
  </si>
  <si>
    <t>GOROKAN</t>
  </si>
  <si>
    <t>LAKE HAVEN</t>
  </si>
  <si>
    <t>NORAH HEAD</t>
  </si>
  <si>
    <t>NORAVILLE</t>
  </si>
  <si>
    <t>TOUKLEY</t>
  </si>
  <si>
    <t>BALCOLYN</t>
  </si>
  <si>
    <t>BONNELLS BAY</t>
  </si>
  <si>
    <t>BRIGHTWATERS</t>
  </si>
  <si>
    <t>DORA CREEK</t>
  </si>
  <si>
    <t>ERARING</t>
  </si>
  <si>
    <t>MANDALONG</t>
  </si>
  <si>
    <t>MIRRABOOKA</t>
  </si>
  <si>
    <t>MORISSET</t>
  </si>
  <si>
    <t>MORISSET PARK</t>
  </si>
  <si>
    <t>MYUNA BAY</t>
  </si>
  <si>
    <t>SUNSHINE</t>
  </si>
  <si>
    <t>WINDERMERE PARK</t>
  </si>
  <si>
    <t>YARRAWONGA PARK</t>
  </si>
  <si>
    <t>COORANBONG</t>
  </si>
  <si>
    <t>MARTINSVILLE</t>
  </si>
  <si>
    <t>WANGI WANGI</t>
  </si>
  <si>
    <t>BARNSLEY</t>
  </si>
  <si>
    <t>KILLINGWORTH</t>
  </si>
  <si>
    <t>WAKEFIELD</t>
  </si>
  <si>
    <t>BELMONT</t>
  </si>
  <si>
    <t>BELMONT NORTH</t>
  </si>
  <si>
    <t>BELMONT SOUTH</t>
  </si>
  <si>
    <t>CROUDACE BAY</t>
  </si>
  <si>
    <t>FLORAVILLE</t>
  </si>
  <si>
    <t>JEWELLS</t>
  </si>
  <si>
    <t>MARKS POINT</t>
  </si>
  <si>
    <t>VALENTINE</t>
  </si>
  <si>
    <t>BLACKSMITHS</t>
  </si>
  <si>
    <t>CAMS WHARF</t>
  </si>
  <si>
    <t>CATHERINE HILL BAY</t>
  </si>
  <si>
    <t>CAVES BEACH</t>
  </si>
  <si>
    <t>LITTLE PELICAN</t>
  </si>
  <si>
    <t>MIDDLE CAMP</t>
  </si>
  <si>
    <t>NORDS WHARF</t>
  </si>
  <si>
    <t>PELICAN</t>
  </si>
  <si>
    <t>SWANSEA</t>
  </si>
  <si>
    <t>SWANSEA HEADS</t>
  </si>
  <si>
    <t>ELEEBANA</t>
  </si>
  <si>
    <t>LAKELANDS</t>
  </si>
  <si>
    <t>WARNERS BAY</t>
  </si>
  <si>
    <t>ARCADIA VALE</t>
  </si>
  <si>
    <t>AWABA</t>
  </si>
  <si>
    <t>BALMORAL</t>
  </si>
  <si>
    <t>BLACKALLS PARK</t>
  </si>
  <si>
    <t>BOLTON POINT</t>
  </si>
  <si>
    <t>BUTTABA</t>
  </si>
  <si>
    <t>CAREY BAY</t>
  </si>
  <si>
    <t>COAL POINT</t>
  </si>
  <si>
    <t>FASSIFERN</t>
  </si>
  <si>
    <t>FENNELL BAY</t>
  </si>
  <si>
    <t>FISHING POINT</t>
  </si>
  <si>
    <t>KILABEN BAY</t>
  </si>
  <si>
    <t>RATHMINES</t>
  </si>
  <si>
    <t>RYHOPE</t>
  </si>
  <si>
    <t>TORONTO</t>
  </si>
  <si>
    <t>ARGENTON</t>
  </si>
  <si>
    <t>BOOLAROO</t>
  </si>
  <si>
    <t>BOORAGUL</t>
  </si>
  <si>
    <t>MARMONG POINT</t>
  </si>
  <si>
    <t>SPEERS POINT</t>
  </si>
  <si>
    <t>TERALBA</t>
  </si>
  <si>
    <t>WOODRISING</t>
  </si>
  <si>
    <t>CAMERON PARK</t>
  </si>
  <si>
    <t>CARDIFF</t>
  </si>
  <si>
    <t>CARDIFF HEIGHTS</t>
  </si>
  <si>
    <t>CARDIFF SOUTH</t>
  </si>
  <si>
    <t>EDGEWORTH</t>
  </si>
  <si>
    <t>GLENDALE</t>
  </si>
  <si>
    <t>MACQUARIE HILLS</t>
  </si>
  <si>
    <t>HOLMESVILLE</t>
  </si>
  <si>
    <t>SEAHAMPTON</t>
  </si>
  <si>
    <t>WEST WALLSEND</t>
  </si>
  <si>
    <t>BIRMINGHAM GARDENS</t>
  </si>
  <si>
    <t>ELERMORE VALE</t>
  </si>
  <si>
    <t>FLETCHER</t>
  </si>
  <si>
    <t>MARYLAND</t>
  </si>
  <si>
    <t>MINMI</t>
  </si>
  <si>
    <t>RANKIN PARK</t>
  </si>
  <si>
    <t>WALLSEND</t>
  </si>
  <si>
    <t>WALLSEND SOUTH</t>
  </si>
  <si>
    <t>ADAMSTOWN</t>
  </si>
  <si>
    <t>ADAMSTOWN HEIGHTS</t>
  </si>
  <si>
    <t>GARDEN SUBURB</t>
  </si>
  <si>
    <t>HIGHFIELDS</t>
  </si>
  <si>
    <t>KOTARA</t>
  </si>
  <si>
    <t>KOTARA FAIR</t>
  </si>
  <si>
    <t>KOTARA SOUTH</t>
  </si>
  <si>
    <t>BENNETTS GREEN</t>
  </si>
  <si>
    <t>CHARLESTOWN</t>
  </si>
  <si>
    <t>DUDLEY</t>
  </si>
  <si>
    <t>GATESHEAD</t>
  </si>
  <si>
    <t>HILLSBOROUGH</t>
  </si>
  <si>
    <t>KAHIBAH</t>
  </si>
  <si>
    <t>MOUNT HUTTON</t>
  </si>
  <si>
    <t>REDHEAD</t>
  </si>
  <si>
    <t>TINGIRA HEIGHTS</t>
  </si>
  <si>
    <t>WHITEBRIDGE</t>
  </si>
  <si>
    <t>MEREWETHER</t>
  </si>
  <si>
    <t>MEREWETHER HEIGHTS</t>
  </si>
  <si>
    <t>THE JUNCTION</t>
  </si>
  <si>
    <t>BROADMEADOW</t>
  </si>
  <si>
    <t>HAMILTON NORTH</t>
  </si>
  <si>
    <t>MARYVILLE</t>
  </si>
  <si>
    <t>WICKHAM</t>
  </si>
  <si>
    <t>CARRINGTON</t>
  </si>
  <si>
    <t>FERN BAY</t>
  </si>
  <si>
    <t>STOCKTON</t>
  </si>
  <si>
    <t>ISLINGTON</t>
  </si>
  <si>
    <t>TIGHES HILL</t>
  </si>
  <si>
    <t>GEORGETOWN</t>
  </si>
  <si>
    <t>WARATAH</t>
  </si>
  <si>
    <t>WARATAH WEST</t>
  </si>
  <si>
    <t>JESMOND</t>
  </si>
  <si>
    <t>LAMBTON</t>
  </si>
  <si>
    <t>NORTH LAMBTON</t>
  </si>
  <si>
    <t>BAR BEACH</t>
  </si>
  <si>
    <t>COOKS HILL</t>
  </si>
  <si>
    <t>NEWCASTLE</t>
  </si>
  <si>
    <t>NEWCASTLE EAST</t>
  </si>
  <si>
    <t>THE HILL</t>
  </si>
  <si>
    <t>NEWCASTLE WEST</t>
  </si>
  <si>
    <t>HAMILTON</t>
  </si>
  <si>
    <t>HAMILTON EAST</t>
  </si>
  <si>
    <t>HAMILTON SOUTH</t>
  </si>
  <si>
    <t>KOORAGANG</t>
  </si>
  <si>
    <t>MAYFIELD</t>
  </si>
  <si>
    <t>MAYFIELD EAST</t>
  </si>
  <si>
    <t>MAYFIELD NORTH</t>
  </si>
  <si>
    <t>MAYFIELD WEST</t>
  </si>
  <si>
    <t>SANDGATE</t>
  </si>
  <si>
    <t>WARABROOK</t>
  </si>
  <si>
    <t>KOTARA EAST</t>
  </si>
  <si>
    <t>NEW LAMBTON</t>
  </si>
  <si>
    <t>NEW LAMBTON HEIGHTS</t>
  </si>
  <si>
    <t>WINDALE</t>
  </si>
  <si>
    <t>SHORTLAND</t>
  </si>
  <si>
    <t>CALLAGHAN</t>
  </si>
  <si>
    <t>NEWCASTLE UNIVERSITY</t>
  </si>
  <si>
    <t>DANGAR</t>
  </si>
  <si>
    <t>HUNTER REGION MC</t>
  </si>
  <si>
    <t>ALLYNBROOK</t>
  </si>
  <si>
    <t>BINGLEBURRA</t>
  </si>
  <si>
    <t>BONNINGTON PARK</t>
  </si>
  <si>
    <t>CARRABOLLA</t>
  </si>
  <si>
    <t>EAST GRESFORD</t>
  </si>
  <si>
    <t>ECCLESTON</t>
  </si>
  <si>
    <t>GRESFORD</t>
  </si>
  <si>
    <t>HALTON</t>
  </si>
  <si>
    <t>LEWINSBROOK</t>
  </si>
  <si>
    <t>LOSTOCK</t>
  </si>
  <si>
    <t>MOUNT RIVERS</t>
  </si>
  <si>
    <t>NABIAC</t>
  </si>
  <si>
    <t>WILLIAMTOWN RAAF</t>
  </si>
  <si>
    <t>CORLETTE</t>
  </si>
  <si>
    <t>FINGAL BAY</t>
  </si>
  <si>
    <t>GAN GAN</t>
  </si>
  <si>
    <t>NELSON BAY</t>
  </si>
  <si>
    <t>ANNA BAY</t>
  </si>
  <si>
    <t>BOAT HARBOUR</t>
  </si>
  <si>
    <t>BOBS FARM</t>
  </si>
  <si>
    <t>FISHERMANS BAY</t>
  </si>
  <si>
    <t>ONE MILE</t>
  </si>
  <si>
    <t>TAYLORS BEACH</t>
  </si>
  <si>
    <t>SALAMANDER BAY</t>
  </si>
  <si>
    <t>SOLDIERS POINT</t>
  </si>
  <si>
    <t>CAMPVALE</t>
  </si>
  <si>
    <t>FERODALE</t>
  </si>
  <si>
    <t>FULLERTON COVE</t>
  </si>
  <si>
    <t>MEDOWIE</t>
  </si>
  <si>
    <t>OYSTER COVE</t>
  </si>
  <si>
    <t>SALT ASH</t>
  </si>
  <si>
    <t>WILLIAMTOWN</t>
  </si>
  <si>
    <t>LEMON TREE PASSAGE</t>
  </si>
  <si>
    <t>MALLABULA</t>
  </si>
  <si>
    <t>TANILBA BAY</t>
  </si>
  <si>
    <t>ABERGLASSLYN</t>
  </si>
  <si>
    <t>ALLANDALE</t>
  </si>
  <si>
    <t>ANAMBAH</t>
  </si>
  <si>
    <t>BOLWARRA</t>
  </si>
  <si>
    <t>BOLWARRA HEIGHTS</t>
  </si>
  <si>
    <t>FARLEY</t>
  </si>
  <si>
    <t>GLEN OAK</t>
  </si>
  <si>
    <t>GOSFORTH</t>
  </si>
  <si>
    <t>HORSESHOE BEND</t>
  </si>
  <si>
    <t>KEINBAH</t>
  </si>
  <si>
    <t>LARGS</t>
  </si>
  <si>
    <t>LORN</t>
  </si>
  <si>
    <t>LOUTH PARK</t>
  </si>
  <si>
    <t>MAITLAND</t>
  </si>
  <si>
    <t>MAITLAND NORTH</t>
  </si>
  <si>
    <t>MAITLAND VALE</t>
  </si>
  <si>
    <t>MELVILLE</t>
  </si>
  <si>
    <t>MINDARIBBA</t>
  </si>
  <si>
    <t>MOUNT DEE</t>
  </si>
  <si>
    <t>OAKHAMPTON</t>
  </si>
  <si>
    <t>OAKHAMPTON HEIGHTS</t>
  </si>
  <si>
    <t>POKOLBIN</t>
  </si>
  <si>
    <t>ROSEBROOK</t>
  </si>
  <si>
    <t>ROTHBURY</t>
  </si>
  <si>
    <t>RUTHERFORD</t>
  </si>
  <si>
    <t>SOUTH MAITLAND</t>
  </si>
  <si>
    <t>TELARAH</t>
  </si>
  <si>
    <t>WALLALONG</t>
  </si>
  <si>
    <t>WINDELLA</t>
  </si>
  <si>
    <t>BERRY PARK</t>
  </si>
  <si>
    <t>BUTTERWICK</t>
  </si>
  <si>
    <t>CLARENCE TOWN</t>
  </si>
  <si>
    <t>CLIFTLEIGH</t>
  </si>
  <si>
    <t>DUCKENFIELD</t>
  </si>
  <si>
    <t>DUNS CREEK</t>
  </si>
  <si>
    <t>GILLIESTON HEIGHTS</t>
  </si>
  <si>
    <t>GLEN MARTIN</t>
  </si>
  <si>
    <t>GLEN WILLIAM</t>
  </si>
  <si>
    <t>HARPERS HILL</t>
  </si>
  <si>
    <t>HEDDON GRETA</t>
  </si>
  <si>
    <t>HINTON</t>
  </si>
  <si>
    <t>IONA</t>
  </si>
  <si>
    <t>LOCHINVAR</t>
  </si>
  <si>
    <t>LUSKINTYRE</t>
  </si>
  <si>
    <t>MORPETH</t>
  </si>
  <si>
    <t>OSWALD</t>
  </si>
  <si>
    <t>PHOENIX PARK</t>
  </si>
  <si>
    <t>RAWORTH</t>
  </si>
  <si>
    <t>WINDERMERE</t>
  </si>
  <si>
    <t>WOERDEN</t>
  </si>
  <si>
    <t>WOODVILLE</t>
  </si>
  <si>
    <t>BERESFIELD</t>
  </si>
  <si>
    <t>BLACK HILL</t>
  </si>
  <si>
    <t>HEXHAM</t>
  </si>
  <si>
    <t>LENAGHAN</t>
  </si>
  <si>
    <t>STOCKRINGTON</t>
  </si>
  <si>
    <t>TARRO</t>
  </si>
  <si>
    <t>THORNTON</t>
  </si>
  <si>
    <t>TOMAGO</t>
  </si>
  <si>
    <t>WOODBERRY</t>
  </si>
  <si>
    <t>ASHTONFIELD</t>
  </si>
  <si>
    <t>BRUNKERVILLE</t>
  </si>
  <si>
    <t>BUCHANAN</t>
  </si>
  <si>
    <t>BUTTAI</t>
  </si>
  <si>
    <t>EAST MAITLAND</t>
  </si>
  <si>
    <t>FREEMANS WATERHOLE</t>
  </si>
  <si>
    <t>GREENHILLS</t>
  </si>
  <si>
    <t>METFORD</t>
  </si>
  <si>
    <t>METFORD DC</t>
  </si>
  <si>
    <t>MOUNT VINCENT</t>
  </si>
  <si>
    <t>MULBRING</t>
  </si>
  <si>
    <t>PITNACREE</t>
  </si>
  <si>
    <t>TENAMBIT</t>
  </si>
  <si>
    <t>BALICKERA</t>
  </si>
  <si>
    <t>BRANDY HILL</t>
  </si>
  <si>
    <t>BUNDABAH</t>
  </si>
  <si>
    <t>CELLS RIVER</t>
  </si>
  <si>
    <t>EAGLETON</t>
  </si>
  <si>
    <t>EAST SEAHAM</t>
  </si>
  <si>
    <t>HAWKS NEST</t>
  </si>
  <si>
    <t>HEATHERBRAE</t>
  </si>
  <si>
    <t>KARUAH</t>
  </si>
  <si>
    <t>LIMEBURNERS CREEK</t>
  </si>
  <si>
    <t>MILLERS FOREST</t>
  </si>
  <si>
    <t>MOTTO FARM</t>
  </si>
  <si>
    <t>NELSONS PLAINS</t>
  </si>
  <si>
    <t>NORTH ARM COVE</t>
  </si>
  <si>
    <t>OSTERLEY</t>
  </si>
  <si>
    <t>PINDIMAR</t>
  </si>
  <si>
    <t>RAYMOND TERRACE</t>
  </si>
  <si>
    <t>RAYMOND TERRACE EAST</t>
  </si>
  <si>
    <t>SEAHAM</t>
  </si>
  <si>
    <t>SWAN BAY</t>
  </si>
  <si>
    <t>TAHLEE</t>
  </si>
  <si>
    <t>TEA GARDENS</t>
  </si>
  <si>
    <t>TWELVE MILE CREEK</t>
  </si>
  <si>
    <t>WALLAROO</t>
  </si>
  <si>
    <t>ABERDARE</t>
  </si>
  <si>
    <t>ABERNETHY</t>
  </si>
  <si>
    <t>BELLBIRD</t>
  </si>
  <si>
    <t>BOREE</t>
  </si>
  <si>
    <t>CEDAR CREEK</t>
  </si>
  <si>
    <t>CESSNOCK</t>
  </si>
  <si>
    <t>CESSNOCK WEST</t>
  </si>
  <si>
    <t>CONGEWAI</t>
  </si>
  <si>
    <t>ELLALONG</t>
  </si>
  <si>
    <t>ELRINGTON</t>
  </si>
  <si>
    <t>KEARSLEY</t>
  </si>
  <si>
    <t>KITCHENER</t>
  </si>
  <si>
    <t>LAGUNA</t>
  </si>
  <si>
    <t>LOVEDALE</t>
  </si>
  <si>
    <t>MILLFIELD</t>
  </si>
  <si>
    <t>MOOTAI</t>
  </si>
  <si>
    <t>MOUNT VIEW</t>
  </si>
  <si>
    <t>NARONE CREEK</t>
  </si>
  <si>
    <t>NULKABA</t>
  </si>
  <si>
    <t>PAXTON</t>
  </si>
  <si>
    <t>PAYNES CROSSING</t>
  </si>
  <si>
    <t>PELTON</t>
  </si>
  <si>
    <t>QUORROBOLONG</t>
  </si>
  <si>
    <t>SWEETMANS CREEK</t>
  </si>
  <si>
    <t>WATAGAN</t>
  </si>
  <si>
    <t>WOLLOMBI</t>
  </si>
  <si>
    <t>YALLAMBIE</t>
  </si>
  <si>
    <t>ABERMAIN</t>
  </si>
  <si>
    <t>BISHOPS BRIDGE</t>
  </si>
  <si>
    <t>LOXFORD</t>
  </si>
  <si>
    <t>NEATH</t>
  </si>
  <si>
    <t>SAWYERS GULLY</t>
  </si>
  <si>
    <t>WESTON</t>
  </si>
  <si>
    <t>KURRI KURRI</t>
  </si>
  <si>
    <t>PELAW MAIN</t>
  </si>
  <si>
    <t>STANFORD MERTHYR</t>
  </si>
  <si>
    <t>BUREEN</t>
  </si>
  <si>
    <t>DALSWINTON</t>
  </si>
  <si>
    <t>DENMAN</t>
  </si>
  <si>
    <t>GIANTS CREEK</t>
  </si>
  <si>
    <t>HOLLYDEEN</t>
  </si>
  <si>
    <t>KERRABEE</t>
  </si>
  <si>
    <t>MANGOOLA</t>
  </si>
  <si>
    <t>MARTINDALE</t>
  </si>
  <si>
    <t>WIDDEN</t>
  </si>
  <si>
    <t>YARRAWA</t>
  </si>
  <si>
    <t>BORAMBIL</t>
  </si>
  <si>
    <t>CASSILIS</t>
  </si>
  <si>
    <t>MERRIWA</t>
  </si>
  <si>
    <t>UARBRY</t>
  </si>
  <si>
    <t>APPLETREE FLAT</t>
  </si>
  <si>
    <t>BIG RIDGE</t>
  </si>
  <si>
    <t>BOWMANS CREEK</t>
  </si>
  <si>
    <t>BRIDGMAN</t>
  </si>
  <si>
    <t>BROKE</t>
  </si>
  <si>
    <t>BULGA</t>
  </si>
  <si>
    <t>CAMBERWELL</t>
  </si>
  <si>
    <t>CARROWBROOK</t>
  </si>
  <si>
    <t>CLYDESDALE</t>
  </si>
  <si>
    <t>COMBO</t>
  </si>
  <si>
    <t>DOYLES CREEK</t>
  </si>
  <si>
    <t>DUNOLLY</t>
  </si>
  <si>
    <t>DYRRING</t>
  </si>
  <si>
    <t>FALBROOK</t>
  </si>
  <si>
    <t>FERN GULLY</t>
  </si>
  <si>
    <t>FORDWICH</t>
  </si>
  <si>
    <t>GARLAND VALLEY</t>
  </si>
  <si>
    <t>GLENDON</t>
  </si>
  <si>
    <t>GLENDONBROOK</t>
  </si>
  <si>
    <t>GLENNIES CREEK</t>
  </si>
  <si>
    <t>GLENRIDDING</t>
  </si>
  <si>
    <t>GOORANGOOLA</t>
  </si>
  <si>
    <t>GOULDSVILLE</t>
  </si>
  <si>
    <t>GOWRIE</t>
  </si>
  <si>
    <t>GREENLANDS</t>
  </si>
  <si>
    <t>HAMBLEDON HILL</t>
  </si>
  <si>
    <t>HEBDEN</t>
  </si>
  <si>
    <t>HOWES VALLEY</t>
  </si>
  <si>
    <t>HOWICK</t>
  </si>
  <si>
    <t>HUNTERVIEW</t>
  </si>
  <si>
    <t>JERRYS PLAINS</t>
  </si>
  <si>
    <t>LEMINGTON</t>
  </si>
  <si>
    <t>LONG POINT</t>
  </si>
  <si>
    <t>MAISON DIEU</t>
  </si>
  <si>
    <t>MCDOUGALLS HILL</t>
  </si>
  <si>
    <t>MIDDLE FALBROOK</t>
  </si>
  <si>
    <t>MILBRODALE</t>
  </si>
  <si>
    <t>MIRANNIE</t>
  </si>
  <si>
    <t>MITCHELLS FLAT</t>
  </si>
  <si>
    <t>MOUNT OLIVE</t>
  </si>
  <si>
    <t>MOUNT ROYAL</t>
  </si>
  <si>
    <t>MOUNT THORLEY</t>
  </si>
  <si>
    <t>OBANVALE</t>
  </si>
  <si>
    <t>PUTTY</t>
  </si>
  <si>
    <t>RAVENSWORTH</t>
  </si>
  <si>
    <t>REDBOURNBERRY</t>
  </si>
  <si>
    <t>REEDY CREEK</t>
  </si>
  <si>
    <t>RIXS CREEK</t>
  </si>
  <si>
    <t>ROUGHIT</t>
  </si>
  <si>
    <t>SCOTTS FLAT</t>
  </si>
  <si>
    <t>SEDGEFIELD</t>
  </si>
  <si>
    <t>SINGLETON</t>
  </si>
  <si>
    <t>SINGLETON HEIGHTS</t>
  </si>
  <si>
    <t>ST CLAIR</t>
  </si>
  <si>
    <t>WARKWORTH</t>
  </si>
  <si>
    <t>WATTLE PONDS</t>
  </si>
  <si>
    <t>WESTBROOK</t>
  </si>
  <si>
    <t>WHITTINGHAM</t>
  </si>
  <si>
    <t>WOLLEMI</t>
  </si>
  <si>
    <t>WYLIES FLAT</t>
  </si>
  <si>
    <t>SINGLETON MILPO</t>
  </si>
  <si>
    <t>BAERAMI</t>
  </si>
  <si>
    <t>BAERAMI CREEK</t>
  </si>
  <si>
    <t>BENGALLA</t>
  </si>
  <si>
    <t>CASTLE ROCK</t>
  </si>
  <si>
    <t>EDDERTON</t>
  </si>
  <si>
    <t>GUNGAL</t>
  </si>
  <si>
    <t>KAYUGA</t>
  </si>
  <si>
    <t>LIDDELL</t>
  </si>
  <si>
    <t>MANOBALAI</t>
  </si>
  <si>
    <t>MCCULLYS GAP</t>
  </si>
  <si>
    <t>MUSCLE CREEK</t>
  </si>
  <si>
    <t>MUSWELLBROOK</t>
  </si>
  <si>
    <t>SANDY HOLLOW</t>
  </si>
  <si>
    <t>WYBONG</t>
  </si>
  <si>
    <t>GRETA</t>
  </si>
  <si>
    <t>BELFORD</t>
  </si>
  <si>
    <t>BRANXTON</t>
  </si>
  <si>
    <t>DALWOOD</t>
  </si>
  <si>
    <t>ELDERSLIE</t>
  </si>
  <si>
    <t>LAMBS VALLEY</t>
  </si>
  <si>
    <t>LECONFIELD</t>
  </si>
  <si>
    <t>LOWER BELFORD</t>
  </si>
  <si>
    <t>NORTH ROTHBURY</t>
  </si>
  <si>
    <t>STANHOPE</t>
  </si>
  <si>
    <t>ABERDEEN</t>
  </si>
  <si>
    <t>DARTBROOK</t>
  </si>
  <si>
    <t>DAVIS CREEK</t>
  </si>
  <si>
    <t>ROSSGOLE</t>
  </si>
  <si>
    <t>ROUCHEL</t>
  </si>
  <si>
    <t>ROUCHEL BROOK</t>
  </si>
  <si>
    <t>UPPER DARTBROOK</t>
  </si>
  <si>
    <t>UPPER ROUCHEL</t>
  </si>
  <si>
    <t>BELLTREES</t>
  </si>
  <si>
    <t>BRAWBOY</t>
  </si>
  <si>
    <t>BUNNAN</t>
  </si>
  <si>
    <t>DRY CREEK</t>
  </si>
  <si>
    <t>ELLERSTON</t>
  </si>
  <si>
    <t>GLENBAWN</t>
  </si>
  <si>
    <t>GLENROCK</t>
  </si>
  <si>
    <t>GUNDY</t>
  </si>
  <si>
    <t>KARS SPRINGS</t>
  </si>
  <si>
    <t>MIDDLE BROOK</t>
  </si>
  <si>
    <t>MOOBI</t>
  </si>
  <si>
    <t>MOONAN BROOK</t>
  </si>
  <si>
    <t>MOONAN FLAT</t>
  </si>
  <si>
    <t>OMADALE</t>
  </si>
  <si>
    <t>OWENS GAP</t>
  </si>
  <si>
    <t>PAGES CREEK</t>
  </si>
  <si>
    <t>PARKVILLE</t>
  </si>
  <si>
    <t>SATUR</t>
  </si>
  <si>
    <t>SCONE</t>
  </si>
  <si>
    <t>SEGENHOE</t>
  </si>
  <si>
    <t>STEWARTS BROOK</t>
  </si>
  <si>
    <t>TOMALLA</t>
  </si>
  <si>
    <t>WAVERLY</t>
  </si>
  <si>
    <t>WINGEN</t>
  </si>
  <si>
    <t>WOOLOOMA</t>
  </si>
  <si>
    <t>ARDGLEN</t>
  </si>
  <si>
    <t>BLANDFORD</t>
  </si>
  <si>
    <t>CRAWNEY</t>
  </si>
  <si>
    <t>GREEN CREEK</t>
  </si>
  <si>
    <t>MURRURUNDI</t>
  </si>
  <si>
    <t>PAGES RIVER</t>
  </si>
  <si>
    <t>SANDY CREEK</t>
  </si>
  <si>
    <t>SCOTTS CREEK</t>
  </si>
  <si>
    <t>TIMOR</t>
  </si>
  <si>
    <t>BIG JACKS CREEK</t>
  </si>
  <si>
    <t>BRAEFIELD</t>
  </si>
  <si>
    <t>CATTLE CREEK</t>
  </si>
  <si>
    <t>CHILCOTTS CREEK</t>
  </si>
  <si>
    <t>LITTLE JACKS CREEK</t>
  </si>
  <si>
    <t>MACDONALDS CREEK</t>
  </si>
  <si>
    <t>PARRAWEENA</t>
  </si>
  <si>
    <t>WARRAH</t>
  </si>
  <si>
    <t>WARRAH CREEK</t>
  </si>
  <si>
    <t>WILLOW TREE</t>
  </si>
  <si>
    <t>APPLEBY</t>
  </si>
  <si>
    <t>BECTIVE</t>
  </si>
  <si>
    <t>BITHRAMERE</t>
  </si>
  <si>
    <t>BOWLING ALLEY POINT</t>
  </si>
  <si>
    <t>CALALA</t>
  </si>
  <si>
    <t>CARROLL</t>
  </si>
  <si>
    <t>DARUKA</t>
  </si>
  <si>
    <t>DUNGOWAN</t>
  </si>
  <si>
    <t>EAST TAMWORTH</t>
  </si>
  <si>
    <t>GIDLEY</t>
  </si>
  <si>
    <t>GOONOO GOONOO</t>
  </si>
  <si>
    <t>HALLSVILLE</t>
  </si>
  <si>
    <t>HANGING ROCK</t>
  </si>
  <si>
    <t>HILLVUE</t>
  </si>
  <si>
    <t>KEEPIT</t>
  </si>
  <si>
    <t>KINGSWOOD</t>
  </si>
  <si>
    <t>LOOMBERAH</t>
  </si>
  <si>
    <t>MOORE CREEK</t>
  </si>
  <si>
    <t>NEMINGHA</t>
  </si>
  <si>
    <t>NORTH TAMWORTH</t>
  </si>
  <si>
    <t>NUNDLE</t>
  </si>
  <si>
    <t>OGUNBIL</t>
  </si>
  <si>
    <t>OXLEY VALE</t>
  </si>
  <si>
    <t>PIALLAMORE</t>
  </si>
  <si>
    <t>SOMERTON</t>
  </si>
  <si>
    <t>TAMINDA</t>
  </si>
  <si>
    <t>TAMWORTH</t>
  </si>
  <si>
    <t>TAMWORTH SOUTH</t>
  </si>
  <si>
    <t>TIMBUMBURI</t>
  </si>
  <si>
    <t>WALLAMORE</t>
  </si>
  <si>
    <t>WARRAL</t>
  </si>
  <si>
    <t>WEABONGA</t>
  </si>
  <si>
    <t>WEST TAMWORTH</t>
  </si>
  <si>
    <t>WESTDALE</t>
  </si>
  <si>
    <t>WOOLOMIN</t>
  </si>
  <si>
    <t>WERRIS CREEK</t>
  </si>
  <si>
    <t>CURRABUBULA</t>
  </si>
  <si>
    <t>PIALLAWAY</t>
  </si>
  <si>
    <t>BLACKVILLE</t>
  </si>
  <si>
    <t>BUNDELLA</t>
  </si>
  <si>
    <t>CAROONA</t>
  </si>
  <si>
    <t>COLLY BLUE</t>
  </si>
  <si>
    <t>COOMOO COOMOO</t>
  </si>
  <si>
    <t>PINE RIDGE</t>
  </si>
  <si>
    <t>QUIPOLLY</t>
  </si>
  <si>
    <t>QUIRINDI</t>
  </si>
  <si>
    <t>SPRING RIDGE</t>
  </si>
  <si>
    <t>WALLABADAH</t>
  </si>
  <si>
    <t>WARRAH RIDGE</t>
  </si>
  <si>
    <t>WINDY</t>
  </si>
  <si>
    <t>YANNERGEE</t>
  </si>
  <si>
    <t>DURI</t>
  </si>
  <si>
    <t>WINTON</t>
  </si>
  <si>
    <t>ATTUNGA</t>
  </si>
  <si>
    <t>GARTHOWEN</t>
  </si>
  <si>
    <t>HALLS CREEK</t>
  </si>
  <si>
    <t>KLORI</t>
  </si>
  <si>
    <t>MANILLA</t>
  </si>
  <si>
    <t>UPPER MANILLA</t>
  </si>
  <si>
    <t>BANOON</t>
  </si>
  <si>
    <t>BARRABA</t>
  </si>
  <si>
    <t>CARODA</t>
  </si>
  <si>
    <t>COBBADAH</t>
  </si>
  <si>
    <t>GULF CREEK</t>
  </si>
  <si>
    <t>GUNDAMULDA</t>
  </si>
  <si>
    <t>HORTON VALLEY</t>
  </si>
  <si>
    <t>IRONBARK</t>
  </si>
  <si>
    <t>LINDESAY</t>
  </si>
  <si>
    <t>LONGARM</t>
  </si>
  <si>
    <t>MAYVALE</t>
  </si>
  <si>
    <t>RED HILL</t>
  </si>
  <si>
    <t>THIRLOENE</t>
  </si>
  <si>
    <t>WOODSREEF</t>
  </si>
  <si>
    <t>NEW ENGLAND MC</t>
  </si>
  <si>
    <t>ABERFOYLE</t>
  </si>
  <si>
    <t>ABINGTON</t>
  </si>
  <si>
    <t>ACACIA PARK</t>
  </si>
  <si>
    <t>ARGYLE</t>
  </si>
  <si>
    <t>ARMIDALE</t>
  </si>
  <si>
    <t>BEN VENUE</t>
  </si>
  <si>
    <t>BONA VISTA</t>
  </si>
  <si>
    <t>BOOROLONG</t>
  </si>
  <si>
    <t>CASTLE DOYLE</t>
  </si>
  <si>
    <t>COMMISSIONERS WATERS</t>
  </si>
  <si>
    <t>DANGARSLEIGH</t>
  </si>
  <si>
    <t>DONALD CREEK</t>
  </si>
  <si>
    <t>DUMARESQ</t>
  </si>
  <si>
    <t>DUVAL</t>
  </si>
  <si>
    <t>EAST ARMIDALE</t>
  </si>
  <si>
    <t>HILLGROVE</t>
  </si>
  <si>
    <t>INVERGOWRIE</t>
  </si>
  <si>
    <t>JEOGLA</t>
  </si>
  <si>
    <t>KELLYS PLAINS</t>
  </si>
  <si>
    <t>LYNDHURST</t>
  </si>
  <si>
    <t>MADGWICK</t>
  </si>
  <si>
    <t>METZ</t>
  </si>
  <si>
    <t>NEWLING</t>
  </si>
  <si>
    <t>NORTH HILL</t>
  </si>
  <si>
    <t>PUDDLEDOCK</t>
  </si>
  <si>
    <t>SAUMAREZ</t>
  </si>
  <si>
    <t>SAUMAREZ PONDS</t>
  </si>
  <si>
    <t>SOUDAN HEIGHTS</t>
  </si>
  <si>
    <t>SOUTH HILL</t>
  </si>
  <si>
    <t>ST PATRICKS</t>
  </si>
  <si>
    <t>THALGARRAH</t>
  </si>
  <si>
    <t>TILBUSTER</t>
  </si>
  <si>
    <t>WARDS MISTAKE</t>
  </si>
  <si>
    <t>WEST ARMIDALE</t>
  </si>
  <si>
    <t>WOLLOMOMBI</t>
  </si>
  <si>
    <t>WONGWIBINDA</t>
  </si>
  <si>
    <t>UNIVERSITY OF NEW ENGLAND</t>
  </si>
  <si>
    <t>KOOTINGAL</t>
  </si>
  <si>
    <t>LIMBRI</t>
  </si>
  <si>
    <t>MULLA CREEK</t>
  </si>
  <si>
    <t>TINTINHULL</t>
  </si>
  <si>
    <t>MOONBI</t>
  </si>
  <si>
    <t>BRANGA PLAINS</t>
  </si>
  <si>
    <t>KENTUCKY</t>
  </si>
  <si>
    <t>KENTUCKY SOUTH</t>
  </si>
  <si>
    <t>MOONA PLAINS</t>
  </si>
  <si>
    <t>NIANGALA</t>
  </si>
  <si>
    <t>NOWENDOC</t>
  </si>
  <si>
    <t>UPPER YARROWITCH</t>
  </si>
  <si>
    <t>WALCHA</t>
  </si>
  <si>
    <t>WOLLUN</t>
  </si>
  <si>
    <t>WOOLBROOK</t>
  </si>
  <si>
    <t>YARROWITCH</t>
  </si>
  <si>
    <t>BENDEMEER</t>
  </si>
  <si>
    <t>RETREAT</t>
  </si>
  <si>
    <t>WATSONS CREEK</t>
  </si>
  <si>
    <t>GWABEGAR</t>
  </si>
  <si>
    <t>BUGALDIE</t>
  </si>
  <si>
    <t>COONABARABRAN</t>
  </si>
  <si>
    <t>PURLEWAUGH</t>
  </si>
  <si>
    <t>ROCKY GLEN</t>
  </si>
  <si>
    <t>ULAMAMBRI</t>
  </si>
  <si>
    <t>YEARINAN</t>
  </si>
  <si>
    <t>ARDING</t>
  </si>
  <si>
    <t>BAKERS CREEK</t>
  </si>
  <si>
    <t>BALALA</t>
  </si>
  <si>
    <t>GOSTWYCK</t>
  </si>
  <si>
    <t>KINGSTOWN</t>
  </si>
  <si>
    <t>MIHI</t>
  </si>
  <si>
    <t>ROCKY RIVER</t>
  </si>
  <si>
    <t>SALISBURY PLAINS</t>
  </si>
  <si>
    <t>TORRYBURN</t>
  </si>
  <si>
    <t>URALLA</t>
  </si>
  <si>
    <t>YARROWYCK</t>
  </si>
  <si>
    <t>BUNDARRA</t>
  </si>
  <si>
    <t>CAMERONS CREEK</t>
  </si>
  <si>
    <t>AUBURN VALE</t>
  </si>
  <si>
    <t>BUKKULLA</t>
  </si>
  <si>
    <t>CHERRY TREE HILL</t>
  </si>
  <si>
    <t>COPETON</t>
  </si>
  <si>
    <t>ELSMORE</t>
  </si>
  <si>
    <t>GILGAI</t>
  </si>
  <si>
    <t>GRAMAN</t>
  </si>
  <si>
    <t>GUM FLAT</t>
  </si>
  <si>
    <t>HOWELL</t>
  </si>
  <si>
    <t>INVERELL</t>
  </si>
  <si>
    <t>KINGS PLAINS</t>
  </si>
  <si>
    <t>LITTLE PLAIN</t>
  </si>
  <si>
    <t>LONG PLAIN</t>
  </si>
  <si>
    <t>MOUNT RUSSELL</t>
  </si>
  <si>
    <t>NEWSTEAD</t>
  </si>
  <si>
    <t>NULLAMANNA</t>
  </si>
  <si>
    <t>OAKWOOD</t>
  </si>
  <si>
    <t>PARADISE</t>
  </si>
  <si>
    <t>ROB ROY</t>
  </si>
  <si>
    <t>SAPPHIRE</t>
  </si>
  <si>
    <t>SPRING MOUNTAIN</t>
  </si>
  <si>
    <t>STANBOROUGH</t>
  </si>
  <si>
    <t>SWANBROOK</t>
  </si>
  <si>
    <t>WALLANGRA</t>
  </si>
  <si>
    <t>ASHFORD</t>
  </si>
  <si>
    <t>ATHOLWOOD</t>
  </si>
  <si>
    <t>BONSHAW</t>
  </si>
  <si>
    <t>LIMESTONE</t>
  </si>
  <si>
    <t>PINDAROI</t>
  </si>
  <si>
    <t>BACKWATER</t>
  </si>
  <si>
    <t>BALD BLAIR</t>
  </si>
  <si>
    <t>BALDERSLEIGH</t>
  </si>
  <si>
    <t>BASSENDEAN</t>
  </si>
  <si>
    <t>BEN LOMOND</t>
  </si>
  <si>
    <t>BLACK MOUNTAIN</t>
  </si>
  <si>
    <t>BRIARBROOK</t>
  </si>
  <si>
    <t>BROCKLEY</t>
  </si>
  <si>
    <t>BRUSHY CREEK</t>
  </si>
  <si>
    <t>FALCONER</t>
  </si>
  <si>
    <t>GEORGES CREEK</t>
  </si>
  <si>
    <t>GLEN NEVIS</t>
  </si>
  <si>
    <t>GLENCOE</t>
  </si>
  <si>
    <t>GREEN HILLS</t>
  </si>
  <si>
    <t>GUYRA</t>
  </si>
  <si>
    <t>LLANGOTHLIN</t>
  </si>
  <si>
    <t>MAYBOLE</t>
  </si>
  <si>
    <t>MOUNT MITCHELL</t>
  </si>
  <si>
    <t>NEW VALLEY</t>
  </si>
  <si>
    <t>OBAN</t>
  </si>
  <si>
    <t>SOUTH GUYRA</t>
  </si>
  <si>
    <t>TENTERDEN</t>
  </si>
  <si>
    <t>THE GULF</t>
  </si>
  <si>
    <t>TUBBAMURRA</t>
  </si>
  <si>
    <t>WANDSWORTH</t>
  </si>
  <si>
    <t>OLD MILL</t>
  </si>
  <si>
    <t>STANNIFER</t>
  </si>
  <si>
    <t>TINGHA</t>
  </si>
  <si>
    <t>BALD NOB</t>
  </si>
  <si>
    <t>DIEHARD</t>
  </si>
  <si>
    <t>DUNDEE</t>
  </si>
  <si>
    <t>FURRACABAD</t>
  </si>
  <si>
    <t>GIBRALTAR RANGE</t>
  </si>
  <si>
    <t>GLEN ELGIN</t>
  </si>
  <si>
    <t>GLEN INNES</t>
  </si>
  <si>
    <t>KINGSGATE</t>
  </si>
  <si>
    <t>KOOKABOOKRA</t>
  </si>
  <si>
    <t>MATHESON</t>
  </si>
  <si>
    <t>MOGGS SWAMP</t>
  </si>
  <si>
    <t>MOOGEM</t>
  </si>
  <si>
    <t>MORVEN</t>
  </si>
  <si>
    <t>NEWTON BOYD</t>
  </si>
  <si>
    <t>PINKETT</t>
  </si>
  <si>
    <t>RANGERS VALLEY</t>
  </si>
  <si>
    <t>RED RANGE</t>
  </si>
  <si>
    <t>REDDESTONE</t>
  </si>
  <si>
    <t>SHANNON VALE</t>
  </si>
  <si>
    <t>STONEHENGE</t>
  </si>
  <si>
    <t>SWAN VALE</t>
  </si>
  <si>
    <t>WELLINGROVE</t>
  </si>
  <si>
    <t>YARROWFORD</t>
  </si>
  <si>
    <t>CAPOOMPETA</t>
  </si>
  <si>
    <t>DEEPWATER</t>
  </si>
  <si>
    <t>EMMAVILLE</t>
  </si>
  <si>
    <t>ROCKY CREEK</t>
  </si>
  <si>
    <t>STANNUM</t>
  </si>
  <si>
    <t>TENT HILL</t>
  </si>
  <si>
    <t>TORRINGTON</t>
  </si>
  <si>
    <t>TUNGSTEN</t>
  </si>
  <si>
    <t>WELLINGTON VALE</t>
  </si>
  <si>
    <t>YELLOW DAM</t>
  </si>
  <si>
    <t>BILLYRIMBA</t>
  </si>
  <si>
    <t>BLACK SWAMP</t>
  </si>
  <si>
    <t>BLUFF ROCK</t>
  </si>
  <si>
    <t>BOLIVIA</t>
  </si>
  <si>
    <t>BOONOO BOONOO</t>
  </si>
  <si>
    <t>BOOROOK</t>
  </si>
  <si>
    <t>BRYANS GAP</t>
  </si>
  <si>
    <t>BUNGULLA</t>
  </si>
  <si>
    <t>CARROLLS CREEK</t>
  </si>
  <si>
    <t>LISTON</t>
  </si>
  <si>
    <t>MINGOOLA</t>
  </si>
  <si>
    <t>PYES CREEK</t>
  </si>
  <si>
    <t>RIVERTREE</t>
  </si>
  <si>
    <t>SANDY FLAT</t>
  </si>
  <si>
    <t>SANDY HILL</t>
  </si>
  <si>
    <t>SILENT GROVE</t>
  </si>
  <si>
    <t>STEINBROOK</t>
  </si>
  <si>
    <t>SUNNYSIDE</t>
  </si>
  <si>
    <t>TENTERFIELD</t>
  </si>
  <si>
    <t>THE SCRUB</t>
  </si>
  <si>
    <t>WILLSONS DOWNFALL</t>
  </si>
  <si>
    <t>WYLIE CREEK</t>
  </si>
  <si>
    <t>GOOLHI</t>
  </si>
  <si>
    <t>MULLALEY</t>
  </si>
  <si>
    <t>BASIN PLAIN</t>
  </si>
  <si>
    <t>BLUE VALE</t>
  </si>
  <si>
    <t>BURBURGATE</t>
  </si>
  <si>
    <t>COOCOOBOONAH</t>
  </si>
  <si>
    <t>EMERALD HILL</t>
  </si>
  <si>
    <t>GHOOLENDAADI</t>
  </si>
  <si>
    <t>GUNNEDAH</t>
  </si>
  <si>
    <t>GUNNEMBENE</t>
  </si>
  <si>
    <t>KELVIN</t>
  </si>
  <si>
    <t>MARYS MOUNT</t>
  </si>
  <si>
    <t>MEERMAUL</t>
  </si>
  <si>
    <t>MILROY</t>
  </si>
  <si>
    <t>NOGGABRI</t>
  </si>
  <si>
    <t>ORANGE GROVE</t>
  </si>
  <si>
    <t>RANGARI</t>
  </si>
  <si>
    <t>BREEZA</t>
  </si>
  <si>
    <t>CURLEWIS</t>
  </si>
  <si>
    <t>NEA</t>
  </si>
  <si>
    <t>PREMER</t>
  </si>
  <si>
    <t>PULLAMING</t>
  </si>
  <si>
    <t>TAMBAR SPRINGS</t>
  </si>
  <si>
    <t>BOGGABRI</t>
  </si>
  <si>
    <t>MAULES CREEK</t>
  </si>
  <si>
    <t>WEAN</t>
  </si>
  <si>
    <t>WILLALA</t>
  </si>
  <si>
    <t>BURREN JUNCTION</t>
  </si>
  <si>
    <t>DRILDOOL</t>
  </si>
  <si>
    <t>ROWENA</t>
  </si>
  <si>
    <t>BOOLCARROLL</t>
  </si>
  <si>
    <t>CUTTABRI</t>
  </si>
  <si>
    <t>JEWS LAGOON</t>
  </si>
  <si>
    <t>MERAH NORTH</t>
  </si>
  <si>
    <t>PILLIGA</t>
  </si>
  <si>
    <t>SPRING PLAINS</t>
  </si>
  <si>
    <t>THE PILLIGA</t>
  </si>
  <si>
    <t>WEE WAA</t>
  </si>
  <si>
    <t>YARRIE LAKE</t>
  </si>
  <si>
    <t>BAAN BAA</t>
  </si>
  <si>
    <t>BOHENA CREEK</t>
  </si>
  <si>
    <t>BULLAWA CREEK</t>
  </si>
  <si>
    <t>COURADDA</t>
  </si>
  <si>
    <t>EDGEROI</t>
  </si>
  <si>
    <t>EULAH CREEK</t>
  </si>
  <si>
    <t>HARPARARY</t>
  </si>
  <si>
    <t>JACKS CREEK</t>
  </si>
  <si>
    <t>KAPUTAR</t>
  </si>
  <si>
    <t>NARRABRI</t>
  </si>
  <si>
    <t>NARRABRI WEST</t>
  </si>
  <si>
    <t>TARRIARO</t>
  </si>
  <si>
    <t>TURRAWAN</t>
  </si>
  <si>
    <t>BINNAWAY</t>
  </si>
  <si>
    <t>WEETALIBA</t>
  </si>
  <si>
    <t>BARADINE</t>
  </si>
  <si>
    <t>BARWON</t>
  </si>
  <si>
    <t>KENEBRI</t>
  </si>
  <si>
    <t>BELLATA</t>
  </si>
  <si>
    <t>MILLIE</t>
  </si>
  <si>
    <t>THALABA</t>
  </si>
  <si>
    <t>GURLEY</t>
  </si>
  <si>
    <t>BINIGUY</t>
  </si>
  <si>
    <t>MILGUY</t>
  </si>
  <si>
    <t>PALLAMALLAWA</t>
  </si>
  <si>
    <t>ASHLEY</t>
  </si>
  <si>
    <t>BULLARAH</t>
  </si>
  <si>
    <t>CROOBLE</t>
  </si>
  <si>
    <t>MALLOWA</t>
  </si>
  <si>
    <t>MOREE</t>
  </si>
  <si>
    <t>MOREE EAST</t>
  </si>
  <si>
    <t>TERRY HIE HIE</t>
  </si>
  <si>
    <t>TIKITERE</t>
  </si>
  <si>
    <t>TULLOONA</t>
  </si>
  <si>
    <t>YARRAMAN</t>
  </si>
  <si>
    <t>GRAVESEND</t>
  </si>
  <si>
    <t>COOLATAI</t>
  </si>
  <si>
    <t>WARIALDA</t>
  </si>
  <si>
    <t>WARIALDA RAIL</t>
  </si>
  <si>
    <t>DELUNGRA</t>
  </si>
  <si>
    <t>GRAGIN</t>
  </si>
  <si>
    <t>KOLOONA</t>
  </si>
  <si>
    <t>MYALL CREEK</t>
  </si>
  <si>
    <t>BINGARA</t>
  </si>
  <si>
    <t>DINOGA</t>
  </si>
  <si>
    <t>KEERA</t>
  </si>
  <si>
    <t>UPPER BINGARA</t>
  </si>
  <si>
    <t>BOOMI</t>
  </si>
  <si>
    <t>GARAH</t>
  </si>
  <si>
    <t>MUNGINDI</t>
  </si>
  <si>
    <t>WEEMELAH</t>
  </si>
  <si>
    <t>MUNGLE</t>
  </si>
  <si>
    <t>NORTH STAR</t>
  </si>
  <si>
    <t>BOGGABILLA</t>
  </si>
  <si>
    <t>YETMAN</t>
  </si>
  <si>
    <t>CROPPA CREEK</t>
  </si>
  <si>
    <t>MONKERAI</t>
  </si>
  <si>
    <t>NOOROO</t>
  </si>
  <si>
    <t>STROUD ROAD</t>
  </si>
  <si>
    <t>WEISMANTELS</t>
  </si>
  <si>
    <t>BANDON GROVE</t>
  </si>
  <si>
    <t>BENDOLBA</t>
  </si>
  <si>
    <t>BROOKFIELD</t>
  </si>
  <si>
    <t>BROWNMORE</t>
  </si>
  <si>
    <t>CAMBRA</t>
  </si>
  <si>
    <t>CHICHESTER</t>
  </si>
  <si>
    <t>DINGADEE</t>
  </si>
  <si>
    <t>DUNGOG</t>
  </si>
  <si>
    <t>DUSODIE</t>
  </si>
  <si>
    <t>FLAT TOPS</t>
  </si>
  <si>
    <t>FOSTERTON</t>
  </si>
  <si>
    <t>HILLDALE</t>
  </si>
  <si>
    <t>MAIN CREEK</t>
  </si>
  <si>
    <t>MARSHDALE</t>
  </si>
  <si>
    <t>MARTINS CREEK</t>
  </si>
  <si>
    <t>MUNNI</t>
  </si>
  <si>
    <t>SALISBURY</t>
  </si>
  <si>
    <t>TILLEGRA</t>
  </si>
  <si>
    <t>UNDERBANK</t>
  </si>
  <si>
    <t>UPPER CHICHESTER</t>
  </si>
  <si>
    <t>WALLAROBBA</t>
  </si>
  <si>
    <t>FISHERS HILL</t>
  </si>
  <si>
    <t>PATERSON</t>
  </si>
  <si>
    <t>TOCAL</t>
  </si>
  <si>
    <t>TREVALLYN</t>
  </si>
  <si>
    <t>VACY</t>
  </si>
  <si>
    <t>BACK CREEK</t>
  </si>
  <si>
    <t>BARRINGTON</t>
  </si>
  <si>
    <t>BARRINGTON TOPS</t>
  </si>
  <si>
    <t>BELBORA</t>
  </si>
  <si>
    <t>BERRICO</t>
  </si>
  <si>
    <t>BINDERA</t>
  </si>
  <si>
    <t>BOWMAN</t>
  </si>
  <si>
    <t>BOWMAN FARM</t>
  </si>
  <si>
    <t>BRETTI</t>
  </si>
  <si>
    <t>BULLIAC</t>
  </si>
  <si>
    <t>BUNDOOK</t>
  </si>
  <si>
    <t>CALLAGHANS CREEKS</t>
  </si>
  <si>
    <t>COBARK</t>
  </si>
  <si>
    <t>CONEAC</t>
  </si>
  <si>
    <t>COPELAND</t>
  </si>
  <si>
    <t>CORROBOREE FLAT</t>
  </si>
  <si>
    <t>CRAVEN</t>
  </si>
  <si>
    <t>CRAVEN PLATEAU</t>
  </si>
  <si>
    <t>CURRICABARK</t>
  </si>
  <si>
    <t>DEWITT</t>
  </si>
  <si>
    <t>DOON AYRE</t>
  </si>
  <si>
    <t>FAULKLAND</t>
  </si>
  <si>
    <t>FORBESDALE</t>
  </si>
  <si>
    <t>GANGAT</t>
  </si>
  <si>
    <t>GIRO</t>
  </si>
  <si>
    <t>GLEN WARD</t>
  </si>
  <si>
    <t>GLOUCESTER</t>
  </si>
  <si>
    <t>INVERGORDON</t>
  </si>
  <si>
    <t>KIA ORA</t>
  </si>
  <si>
    <t>MAUDVILLE</t>
  </si>
  <si>
    <t>MOGRANI</t>
  </si>
  <si>
    <t>MOGRANI CREEK</t>
  </si>
  <si>
    <t>MOPPY</t>
  </si>
  <si>
    <t>MOUNT PEERLESS</t>
  </si>
  <si>
    <t>PITLOCHRY</t>
  </si>
  <si>
    <t>RAWDON VALE</t>
  </si>
  <si>
    <t>ROOKHURST</t>
  </si>
  <si>
    <t>STRATFORD</t>
  </si>
  <si>
    <t>TIBBUC</t>
  </si>
  <si>
    <t>TITAATEE CREEK</t>
  </si>
  <si>
    <t>TUGRABAKH</t>
  </si>
  <si>
    <t>UPPER BOWMAN</t>
  </si>
  <si>
    <t>WALLANBAH</t>
  </si>
  <si>
    <t>WAPRA</t>
  </si>
  <si>
    <t>WARDS RIVER</t>
  </si>
  <si>
    <t>WAUKIVORY</t>
  </si>
  <si>
    <t>WIRRADGURIE</t>
  </si>
  <si>
    <t>WOKO</t>
  </si>
  <si>
    <t>BOMBAH POINT</t>
  </si>
  <si>
    <t>BOOLAMBAYTE</t>
  </si>
  <si>
    <t>BULAHDELAH</t>
  </si>
  <si>
    <t>BUNGWAHL</t>
  </si>
  <si>
    <t>COOLONGOLOOK</t>
  </si>
  <si>
    <t>CRAWFORD RIVER</t>
  </si>
  <si>
    <t>MARKWELL</t>
  </si>
  <si>
    <t>MAYERS FLAT</t>
  </si>
  <si>
    <t>NERONG</t>
  </si>
  <si>
    <t>SEAL ROCKS</t>
  </si>
  <si>
    <t>TOPI TOPI</t>
  </si>
  <si>
    <t>UPPER MYALL</t>
  </si>
  <si>
    <t>WALLINGAT</t>
  </si>
  <si>
    <t>WANG WAUK</t>
  </si>
  <si>
    <t>WARRANULLA</t>
  </si>
  <si>
    <t>WILLINA</t>
  </si>
  <si>
    <t>WOOTTON</t>
  </si>
  <si>
    <t>CAFFREYS FLAT</t>
  </si>
  <si>
    <t>CHARITY CREEK</t>
  </si>
  <si>
    <t>COOPLACURRIPA</t>
  </si>
  <si>
    <t>CUNDLE FLAT</t>
  </si>
  <si>
    <t>KNORRIT FLAT</t>
  </si>
  <si>
    <t>MOUNT GEORGE</t>
  </si>
  <si>
    <t>NUMBER ONE</t>
  </si>
  <si>
    <t>ROCKS CROSSING</t>
  </si>
  <si>
    <t>TIRI</t>
  </si>
  <si>
    <t>WOODSIDE</t>
  </si>
  <si>
    <t>ALLWORTH</t>
  </si>
  <si>
    <t>BOORAL</t>
  </si>
  <si>
    <t>GIRVAN</t>
  </si>
  <si>
    <t>STROUD</t>
  </si>
  <si>
    <t>THE BRANCH</t>
  </si>
  <si>
    <t>WASHPOOL</t>
  </si>
  <si>
    <t>COOPERNOOK</t>
  </si>
  <si>
    <t>LANGLEY VALE</t>
  </si>
  <si>
    <t>MOTO</t>
  </si>
  <si>
    <t>CROWDY HEAD</t>
  </si>
  <si>
    <t>HARRINGTON</t>
  </si>
  <si>
    <t>BLUEYS BEACH</t>
  </si>
  <si>
    <t>BOOMERANG BEACH</t>
  </si>
  <si>
    <t>BOOTI BOOTI</t>
  </si>
  <si>
    <t>CHARLOTTE BAY</t>
  </si>
  <si>
    <t>COOMBA BAY</t>
  </si>
  <si>
    <t>COOMBA PARK</t>
  </si>
  <si>
    <t>DARAWANK</t>
  </si>
  <si>
    <t>ELIZABETH BEACH</t>
  </si>
  <si>
    <t>FORSTER</t>
  </si>
  <si>
    <t>FORSTER SHOPPING VILLAGE</t>
  </si>
  <si>
    <t>PACIFIC PALMS</t>
  </si>
  <si>
    <t>SANDBAR</t>
  </si>
  <si>
    <t>SMITHS LAKE</t>
  </si>
  <si>
    <t>TARBUCK BAY</t>
  </si>
  <si>
    <t>TIONA</t>
  </si>
  <si>
    <t>TUNCURRY</t>
  </si>
  <si>
    <t>WHOOTA</t>
  </si>
  <si>
    <t>BOBIN</t>
  </si>
  <si>
    <t>BOORGANNA</t>
  </si>
  <si>
    <t>BUCCA WAUKA</t>
  </si>
  <si>
    <t>BULBY BRUSH</t>
  </si>
  <si>
    <t>BULGA FOREST</t>
  </si>
  <si>
    <t>BUNYAH</t>
  </si>
  <si>
    <t>BURRELL CREEK</t>
  </si>
  <si>
    <t>CAPARRA</t>
  </si>
  <si>
    <t>CEDAR PARTY</t>
  </si>
  <si>
    <t>COMBOYNE</t>
  </si>
  <si>
    <t>DINGO FOREST</t>
  </si>
  <si>
    <t>DYERS CROSSING</t>
  </si>
  <si>
    <t>ELANDS</t>
  </si>
  <si>
    <t>FIREFLY</t>
  </si>
  <si>
    <t>INNES VIEW</t>
  </si>
  <si>
    <t>KARAAK FLAT</t>
  </si>
  <si>
    <t>KILLABAKH</t>
  </si>
  <si>
    <t>KILLAWARRA</t>
  </si>
  <si>
    <t>KIMBRIKI</t>
  </si>
  <si>
    <t>KINGS CREEK</t>
  </si>
  <si>
    <t>KIPPAXS</t>
  </si>
  <si>
    <t>KRAMBACH</t>
  </si>
  <si>
    <t>KUNDIBAKH</t>
  </si>
  <si>
    <t>MARLEE</t>
  </si>
  <si>
    <t>MOORAL CREEK</t>
  </si>
  <si>
    <t>STRATHCEDAR</t>
  </si>
  <si>
    <t>THE BIGHT</t>
  </si>
  <si>
    <t>TIPPERARY</t>
  </si>
  <si>
    <t>WARRIWILLAH</t>
  </si>
  <si>
    <t>WHERROL FLAT</t>
  </si>
  <si>
    <t>WINGHAM</t>
  </si>
  <si>
    <t>YARRATT FOREST</t>
  </si>
  <si>
    <t>BLACK HEAD</t>
  </si>
  <si>
    <t>BOHNOCK</t>
  </si>
  <si>
    <t>BOOTAWA</t>
  </si>
  <si>
    <t>BRIMBIN</t>
  </si>
  <si>
    <t>CHATHAM</t>
  </si>
  <si>
    <t>CROKI</t>
  </si>
  <si>
    <t>CUNDLETOWN</t>
  </si>
  <si>
    <t>DIAMOND BEACH</t>
  </si>
  <si>
    <t>DUMARESQ ISLAND</t>
  </si>
  <si>
    <t>FAILFORD</t>
  </si>
  <si>
    <t>GHINNI GHINNI</t>
  </si>
  <si>
    <t>GLENTHORNE</t>
  </si>
  <si>
    <t>HALLIDAYS POINT</t>
  </si>
  <si>
    <t>HAPPY VALLEY</t>
  </si>
  <si>
    <t>HILLVILLE</t>
  </si>
  <si>
    <t>JONES ISLAND</t>
  </si>
  <si>
    <t>KIWARRAK</t>
  </si>
  <si>
    <t>KOLODONG</t>
  </si>
  <si>
    <t>KOORAINGHAT</t>
  </si>
  <si>
    <t>KUNDLE KUNDLE</t>
  </si>
  <si>
    <t>MANNING POINT</t>
  </si>
  <si>
    <t>MELINGA</t>
  </si>
  <si>
    <t>MITCHELLS ISLAND</t>
  </si>
  <si>
    <t>MONDROOK</t>
  </si>
  <si>
    <t>OLD BAR</t>
  </si>
  <si>
    <t>OXLEY ISLAND</t>
  </si>
  <si>
    <t>PAMPOOLAH</t>
  </si>
  <si>
    <t>POSSUM BRUSH</t>
  </si>
  <si>
    <t>PURFLEET</t>
  </si>
  <si>
    <t>RAINBOW FLAT</t>
  </si>
  <si>
    <t>RED HEAD</t>
  </si>
  <si>
    <t>SALTWATER</t>
  </si>
  <si>
    <t>TALLWOODS VILLAGE</t>
  </si>
  <si>
    <t>TAREE</t>
  </si>
  <si>
    <t>TAREE SOUTH</t>
  </si>
  <si>
    <t>TAREE WEST</t>
  </si>
  <si>
    <t>TINONEE</t>
  </si>
  <si>
    <t>UPPER LANSDOWNE</t>
  </si>
  <si>
    <t>WALLABI POINT</t>
  </si>
  <si>
    <t>ARAKOON</t>
  </si>
  <si>
    <t>JERSEYVILLE</t>
  </si>
  <si>
    <t>SOUTH WEST ROCKS</t>
  </si>
  <si>
    <t>BATAR CREEK</t>
  </si>
  <si>
    <t>BLACK CREEK</t>
  </si>
  <si>
    <t>KENDALL</t>
  </si>
  <si>
    <t>KEREWONG</t>
  </si>
  <si>
    <t>KEW</t>
  </si>
  <si>
    <t>LOGANS CROSSING</t>
  </si>
  <si>
    <t>LORNE</t>
  </si>
  <si>
    <t>ROSSGLEN</t>
  </si>
  <si>
    <t>SWANS CROSSING</t>
  </si>
  <si>
    <t>UPSALLS CREEK</t>
  </si>
  <si>
    <t>ALDAVILLA</t>
  </si>
  <si>
    <t>AUSTRAL EDEN</t>
  </si>
  <si>
    <t>BELLBROOK</t>
  </si>
  <si>
    <t>BELLIMBOPINNI</t>
  </si>
  <si>
    <t>BELMORE RIVER</t>
  </si>
  <si>
    <t>BURNT BRIDGE</t>
  </si>
  <si>
    <t>CARRAI</t>
  </si>
  <si>
    <t>CLYBUCCA</t>
  </si>
  <si>
    <t>COLLOMBATTI</t>
  </si>
  <si>
    <t>COMARA</t>
  </si>
  <si>
    <t>CORANGULA</t>
  </si>
  <si>
    <t>CRESCENT HEAD</t>
  </si>
  <si>
    <t>DEEP CREEK</t>
  </si>
  <si>
    <t>DONDINGALONG</t>
  </si>
  <si>
    <t>EAST KEMPSEY</t>
  </si>
  <si>
    <t>EUROKA</t>
  </si>
  <si>
    <t>FREDERICKTON</t>
  </si>
  <si>
    <t>GLADSTONE</t>
  </si>
  <si>
    <t>HAMPDEN HALL</t>
  </si>
  <si>
    <t>HAT HEAD</t>
  </si>
  <si>
    <t>HICKEYS CREEK</t>
  </si>
  <si>
    <t>KEMPSEY</t>
  </si>
  <si>
    <t>KINCHELA</t>
  </si>
  <si>
    <t>LOWER CREEK</t>
  </si>
  <si>
    <t>MILLBANK</t>
  </si>
  <si>
    <t>MOONEBA</t>
  </si>
  <si>
    <t>MOPARRABAH</t>
  </si>
  <si>
    <t>MUNGAY CREEK</t>
  </si>
  <si>
    <t>OLD STATION</t>
  </si>
  <si>
    <t>POLA CREEK</t>
  </si>
  <si>
    <t>RAINBOW REACH</t>
  </si>
  <si>
    <t>SEVEN OAKS</t>
  </si>
  <si>
    <t>SHERWOOD</t>
  </si>
  <si>
    <t>SKILLION FLAT</t>
  </si>
  <si>
    <t>SMITHTOWN</t>
  </si>
  <si>
    <t>SOUTH KEMPSEY</t>
  </si>
  <si>
    <t>SUMMER ISLAND</t>
  </si>
  <si>
    <t>TEMAGOG</t>
  </si>
  <si>
    <t>TOOROOKA</t>
  </si>
  <si>
    <t>TURNERS FLAT</t>
  </si>
  <si>
    <t>VERGES CREEK</t>
  </si>
  <si>
    <t>WEST KEMPSEY</t>
  </si>
  <si>
    <t>WILLAWARRIN</t>
  </si>
  <si>
    <t>WILLI WILLI</t>
  </si>
  <si>
    <t>WITTITRIN</t>
  </si>
  <si>
    <t>YARRAVEL</t>
  </si>
  <si>
    <t>YESSABAH</t>
  </si>
  <si>
    <t>ALLGOMERA CREEK</t>
  </si>
  <si>
    <t>BALLENGARRA</t>
  </si>
  <si>
    <t>BARRAGANYATTI</t>
  </si>
  <si>
    <t>BONVILLE</t>
  </si>
  <si>
    <t>BRIL BRIL</t>
  </si>
  <si>
    <t>BRINERVILLE</t>
  </si>
  <si>
    <t>BROWNS CROSSING</t>
  </si>
  <si>
    <t>COOPERABUNG</t>
  </si>
  <si>
    <t>CROSSMAGLEN</t>
  </si>
  <si>
    <t>EUNGAI CREEK</t>
  </si>
  <si>
    <t>EUNGAI RAIL</t>
  </si>
  <si>
    <t>FISHERMANS REACH</t>
  </si>
  <si>
    <t>GRASSY HEAD</t>
  </si>
  <si>
    <t>GUM SCRUB</t>
  </si>
  <si>
    <t>HACKS FERRY</t>
  </si>
  <si>
    <t>KUNDABUNG</t>
  </si>
  <si>
    <t>ROLLANDS PLAINS</t>
  </si>
  <si>
    <t>STUARTS POINT</t>
  </si>
  <si>
    <t>TAMBAN</t>
  </si>
  <si>
    <t>TELEGRAPH POINT</t>
  </si>
  <si>
    <t>UPPER ROLLANDS PLAINS</t>
  </si>
  <si>
    <t>YARRAHAPINNI</t>
  </si>
  <si>
    <t>KEMPSEY MSC</t>
  </si>
  <si>
    <t>MID NORTH COAST MSC</t>
  </si>
  <si>
    <t>BOBS CREEK</t>
  </si>
  <si>
    <t>CAMDEN HEAD</t>
  </si>
  <si>
    <t>CORALVILLE</t>
  </si>
  <si>
    <t>DEAUVILLE</t>
  </si>
  <si>
    <t>DIAMOND HEAD</t>
  </si>
  <si>
    <t>DICKS HILL</t>
  </si>
  <si>
    <t>DUNBOGAN</t>
  </si>
  <si>
    <t>HANNAM VALE</t>
  </si>
  <si>
    <t>HERONS CREEK</t>
  </si>
  <si>
    <t>JOHNS RIVER</t>
  </si>
  <si>
    <t>LAKEWOOD</t>
  </si>
  <si>
    <t>LAURIETON</t>
  </si>
  <si>
    <t>MIDDLE BROTHER</t>
  </si>
  <si>
    <t>MOORLAND</t>
  </si>
  <si>
    <t>NORTH BROTHER</t>
  </si>
  <si>
    <t>NORTH HAVEN</t>
  </si>
  <si>
    <t>STEWARTS RIVER</t>
  </si>
  <si>
    <t>WAITUI</t>
  </si>
  <si>
    <t>WEST HAVEN</t>
  </si>
  <si>
    <t>BLACKMANS POINT</t>
  </si>
  <si>
    <t>FERNBANK CREEK</t>
  </si>
  <si>
    <t>FLYNNS BEACH</t>
  </si>
  <si>
    <t>LIGHTHOUSE BEACH</t>
  </si>
  <si>
    <t>NORTH SHORE</t>
  </si>
  <si>
    <t>PORT MACQUARIE</t>
  </si>
  <si>
    <t>PORT MACQUARIE BC</t>
  </si>
  <si>
    <t>RIVERSIDE</t>
  </si>
  <si>
    <t>SETTLEMENT CITY</t>
  </si>
  <si>
    <t>THE HATCH</t>
  </si>
  <si>
    <t>THRUMSTER</t>
  </si>
  <si>
    <t>BONNY HILLS</t>
  </si>
  <si>
    <t>GRANTS BEACH</t>
  </si>
  <si>
    <t>LAKE CATHIE</t>
  </si>
  <si>
    <t>BAGNOO</t>
  </si>
  <si>
    <t>BEECHWOOD</t>
  </si>
  <si>
    <t>BELLANGRY</t>
  </si>
  <si>
    <t>BIRDWOOD</t>
  </si>
  <si>
    <t>BROMBIN</t>
  </si>
  <si>
    <t>BYABARRA</t>
  </si>
  <si>
    <t>CAIRNCROSS</t>
  </si>
  <si>
    <t>CROSSLANDS</t>
  </si>
  <si>
    <t>DOYLES RIVER</t>
  </si>
  <si>
    <t>ELLENBOROUGH</t>
  </si>
  <si>
    <t>FORBES RIVER</t>
  </si>
  <si>
    <t>FRAZERS CREEK</t>
  </si>
  <si>
    <t>GEARYS FLAT</t>
  </si>
  <si>
    <t>HARTYS PLAINS</t>
  </si>
  <si>
    <t>HOLLISDALE</t>
  </si>
  <si>
    <t>HUNTINGDON</t>
  </si>
  <si>
    <t>HYNDMANS CREEK</t>
  </si>
  <si>
    <t>KINDEE</t>
  </si>
  <si>
    <t>LAKE INNES</t>
  </si>
  <si>
    <t>LONG FLAT</t>
  </si>
  <si>
    <t>LOWER PAPPINBARRA</t>
  </si>
  <si>
    <t>MARLO MERRICAN</t>
  </si>
  <si>
    <t>MORTONS CREEK</t>
  </si>
  <si>
    <t>PAPPINBARRA</t>
  </si>
  <si>
    <t>PEMBROOKE</t>
  </si>
  <si>
    <t>PIPECLAY</t>
  </si>
  <si>
    <t>RAWDON ISLAND</t>
  </si>
  <si>
    <t>REDBANK</t>
  </si>
  <si>
    <t>ROSEWOOD</t>
  </si>
  <si>
    <t>SANCROX</t>
  </si>
  <si>
    <t>TOMS CREEK</t>
  </si>
  <si>
    <t>UPPER PAPPINBARRA</t>
  </si>
  <si>
    <t>WAUCHOPE</t>
  </si>
  <si>
    <t>YARRAS</t>
  </si>
  <si>
    <t>YIPPIN CREEK</t>
  </si>
  <si>
    <t>BURRAPINE</t>
  </si>
  <si>
    <t>CONGARINNI</t>
  </si>
  <si>
    <t>DONNELLYVILLE</t>
  </si>
  <si>
    <t>GUMMA</t>
  </si>
  <si>
    <t>MACKSVILLE</t>
  </si>
  <si>
    <t>NEWEE CREEK</t>
  </si>
  <si>
    <t>SCOTTS HEAD</t>
  </si>
  <si>
    <t>TALARM</t>
  </si>
  <si>
    <t>TAYLORS ARM</t>
  </si>
  <si>
    <t>THUMB CREEK</t>
  </si>
  <si>
    <t>UPPER TAYLORS ARM</t>
  </si>
  <si>
    <t>UTUNGUN</t>
  </si>
  <si>
    <t>WARRELL CREEK</t>
  </si>
  <si>
    <t>WAY WAY</t>
  </si>
  <si>
    <t>WIRRIMBI</t>
  </si>
  <si>
    <t>YARRANBELLA</t>
  </si>
  <si>
    <t>HYLAND PARK</t>
  </si>
  <si>
    <t>NAMBUCCA HEADS</t>
  </si>
  <si>
    <t>VALLA</t>
  </si>
  <si>
    <t>VALLA BEACH</t>
  </si>
  <si>
    <t>VIEWMONT</t>
  </si>
  <si>
    <t>ARGENTS HILL</t>
  </si>
  <si>
    <t>BOWRAVILLE</t>
  </si>
  <si>
    <t>GIRRALONG</t>
  </si>
  <si>
    <t>KENNAICLE CREEK</t>
  </si>
  <si>
    <t>MISSABOTTI</t>
  </si>
  <si>
    <t>SOUTH ARM</t>
  </si>
  <si>
    <t>TEWINGA</t>
  </si>
  <si>
    <t>BOAMBEE</t>
  </si>
  <si>
    <t>BROOKLANA</t>
  </si>
  <si>
    <t>BUCCA</t>
  </si>
  <si>
    <t>COFFS HARBOUR</t>
  </si>
  <si>
    <t>COFFS HARBOUR JETTY</t>
  </si>
  <si>
    <t>COFFS HARBOUR PLAZA</t>
  </si>
  <si>
    <t>CORAMBA</t>
  </si>
  <si>
    <t>DAIRYVILLE</t>
  </si>
  <si>
    <t>GLENREAGH</t>
  </si>
  <si>
    <t>KARANGI</t>
  </si>
  <si>
    <t>KORORA</t>
  </si>
  <si>
    <t>LOWANNA</t>
  </si>
  <si>
    <t>LOWER BUCCA</t>
  </si>
  <si>
    <t>MOONEE BEACH</t>
  </si>
  <si>
    <t>NANA GLEN</t>
  </si>
  <si>
    <t>NORTH BOAMBEE VALLEY</t>
  </si>
  <si>
    <t>SAPPHIRE BEACH</t>
  </si>
  <si>
    <t>ULONG</t>
  </si>
  <si>
    <t>UPPER ORARA</t>
  </si>
  <si>
    <t>BAYLDON</t>
  </si>
  <si>
    <t>BOAMBEE EAST</t>
  </si>
  <si>
    <t>SAWTELL</t>
  </si>
  <si>
    <t>TOORMINA</t>
  </si>
  <si>
    <t>BILLYS CREEK</t>
  </si>
  <si>
    <t>BOSTOBRICK</t>
  </si>
  <si>
    <t>BRIGGSVALE</t>
  </si>
  <si>
    <t>CLOUDS CREEK</t>
  </si>
  <si>
    <t>DEER VALE</t>
  </si>
  <si>
    <t>DORRIGO</t>
  </si>
  <si>
    <t>DORRIGO NORTH</t>
  </si>
  <si>
    <t>DUNDURRABIN</t>
  </si>
  <si>
    <t>EBOR</t>
  </si>
  <si>
    <t>FERNBROOK</t>
  </si>
  <si>
    <t>GANGARA</t>
  </si>
  <si>
    <t>GLEN FERNAIGH</t>
  </si>
  <si>
    <t>HERNANI</t>
  </si>
  <si>
    <t>LEIGH</t>
  </si>
  <si>
    <t>MAYNARDS PLAINS</t>
  </si>
  <si>
    <t>MEGAN</t>
  </si>
  <si>
    <t>MULDIVA</t>
  </si>
  <si>
    <t>TYRINGHAM</t>
  </si>
  <si>
    <t>BELLINGEN</t>
  </si>
  <si>
    <t>BRIERFIELD</t>
  </si>
  <si>
    <t>BUNDAGEN</t>
  </si>
  <si>
    <t>DARKWOOD</t>
  </si>
  <si>
    <t>FERNMOUNT</t>
  </si>
  <si>
    <t>GLENIFFER</t>
  </si>
  <si>
    <t>GORDONVILLE</t>
  </si>
  <si>
    <t>HYDES CREEK</t>
  </si>
  <si>
    <t>KALANG</t>
  </si>
  <si>
    <t>KOOROOWI</t>
  </si>
  <si>
    <t>MYLESTOM</t>
  </si>
  <si>
    <t>ORAMA</t>
  </si>
  <si>
    <t>RALEIGH</t>
  </si>
  <si>
    <t>REPTON</t>
  </si>
  <si>
    <t>SCOTCHMAN</t>
  </si>
  <si>
    <t>SUNNY CORNER</t>
  </si>
  <si>
    <t>THORA</t>
  </si>
  <si>
    <t>UPPER THORA</t>
  </si>
  <si>
    <t>VALERY</t>
  </si>
  <si>
    <t>TARKEETH</t>
  </si>
  <si>
    <t>URUNGA</t>
  </si>
  <si>
    <t>ARRAWARRA</t>
  </si>
  <si>
    <t>ARRAWARRA HEADLAND</t>
  </si>
  <si>
    <t>CORINDI BEACH</t>
  </si>
  <si>
    <t>EMERALD BEACH</t>
  </si>
  <si>
    <t>MULLAWAY</t>
  </si>
  <si>
    <t>RED ROCK</t>
  </si>
  <si>
    <t>SAFETY BEACH</t>
  </si>
  <si>
    <t>SANDY BEACH</t>
  </si>
  <si>
    <t>UPPER CORINDI</t>
  </si>
  <si>
    <t>WOOLGOOLGA</t>
  </si>
  <si>
    <t>ALUMY CREEK</t>
  </si>
  <si>
    <t>BARCOONGERE</t>
  </si>
  <si>
    <t>BARRETTS CREEK</t>
  </si>
  <si>
    <t>BARYULGIL</t>
  </si>
  <si>
    <t>BLAXLANDS CREEK</t>
  </si>
  <si>
    <t>BLAXLANDS FLAT</t>
  </si>
  <si>
    <t>BOM BOM</t>
  </si>
  <si>
    <t>BOOKRAM</t>
  </si>
  <si>
    <t>BRAUNSTONE</t>
  </si>
  <si>
    <t>BRUSHGROVE</t>
  </si>
  <si>
    <t>BUCCARUMBI</t>
  </si>
  <si>
    <t>CALAMIA</t>
  </si>
  <si>
    <t>CANGAI</t>
  </si>
  <si>
    <t>CARNHAM</t>
  </si>
  <si>
    <t>CARRS CREEK</t>
  </si>
  <si>
    <t>CARRS ISLAND</t>
  </si>
  <si>
    <t>CARRS PENINSULAR</t>
  </si>
  <si>
    <t>CHAMBIGNE</t>
  </si>
  <si>
    <t>CLARENZA</t>
  </si>
  <si>
    <t>CLIFDEN</t>
  </si>
  <si>
    <t>COALDALE</t>
  </si>
  <si>
    <t>COLLUM COLLUM</t>
  </si>
  <si>
    <t>COOMBADJHA</t>
  </si>
  <si>
    <t>COPMANHURST</t>
  </si>
  <si>
    <t>COUTTS CROSSING</t>
  </si>
  <si>
    <t>COWPER</t>
  </si>
  <si>
    <t>CROWTHER ISLAND</t>
  </si>
  <si>
    <t>DALMORTON</t>
  </si>
  <si>
    <t>DILKOON</t>
  </si>
  <si>
    <t>DIRTY CREEK</t>
  </si>
  <si>
    <t>DUMBUDGERY</t>
  </si>
  <si>
    <t>EATONSVILLE</t>
  </si>
  <si>
    <t>EIGHTEEN MILE</t>
  </si>
  <si>
    <t>ELLAND</t>
  </si>
  <si>
    <t>FINE FLOWER</t>
  </si>
  <si>
    <t>FORTIS CREEK</t>
  </si>
  <si>
    <t>GLENUGIE</t>
  </si>
  <si>
    <t>GRAFTON</t>
  </si>
  <si>
    <t>GRAFTON WEST</t>
  </si>
  <si>
    <t>GREAT MARLOW</t>
  </si>
  <si>
    <t>GURRANANG</t>
  </si>
  <si>
    <t>HALFWAY CREEK</t>
  </si>
  <si>
    <t>HEIFER STATION</t>
  </si>
  <si>
    <t>JACKADGERY</t>
  </si>
  <si>
    <t>JUNCTION HILL</t>
  </si>
  <si>
    <t>KANGAROO CREEK</t>
  </si>
  <si>
    <t>KEYBARBIN</t>
  </si>
  <si>
    <t>KOOLKHAN</t>
  </si>
  <si>
    <t>KREMNOS</t>
  </si>
  <si>
    <t>KUNGALA</t>
  </si>
  <si>
    <t>LANITZA</t>
  </si>
  <si>
    <t>LAWRENCE</t>
  </si>
  <si>
    <t>LEVENSTRATH</t>
  </si>
  <si>
    <t>LILYDALE</t>
  </si>
  <si>
    <t>LIONSVILLE</t>
  </si>
  <si>
    <t>LOWER COLDSTREAM</t>
  </si>
  <si>
    <t>LOWER SOUTHGATE</t>
  </si>
  <si>
    <t>MALABUGILMAH</t>
  </si>
  <si>
    <t>MCPHERSONS CROSSING</t>
  </si>
  <si>
    <t>MOLEVILLE CREEK</t>
  </si>
  <si>
    <t>MOUNTAIN VIEW</t>
  </si>
  <si>
    <t>MYLNEFORD</t>
  </si>
  <si>
    <t>NEWBOLD</t>
  </si>
  <si>
    <t>NYMBOIDA</t>
  </si>
  <si>
    <t>PULGANBAR</t>
  </si>
  <si>
    <t>RAMORNIE</t>
  </si>
  <si>
    <t>RUSHFORTH</t>
  </si>
  <si>
    <t>SANDY CROSSING</t>
  </si>
  <si>
    <t>SEELANDS</t>
  </si>
  <si>
    <t>SHANNONDALE</t>
  </si>
  <si>
    <t>SOUTH GRAFTON</t>
  </si>
  <si>
    <t>SOUTHGATE</t>
  </si>
  <si>
    <t>STOCKYARD CREEK</t>
  </si>
  <si>
    <t>THE PINNACLES</t>
  </si>
  <si>
    <t>THE WHITEMAN</t>
  </si>
  <si>
    <t>TOWALLUM</t>
  </si>
  <si>
    <t>TRENAYR</t>
  </si>
  <si>
    <t>TYNDALE</t>
  </si>
  <si>
    <t>UPPER COPMANHURST</t>
  </si>
  <si>
    <t>UPPER FINE FLOWER</t>
  </si>
  <si>
    <t>WARRAGAI CREEK</t>
  </si>
  <si>
    <t>WATERVIEW</t>
  </si>
  <si>
    <t>WATERVIEW HEIGHTS</t>
  </si>
  <si>
    <t>WELLS CROSSING</t>
  </si>
  <si>
    <t>WHITEMAN CREEK</t>
  </si>
  <si>
    <t>WINEGROVE</t>
  </si>
  <si>
    <t>WOMBAT CREEK</t>
  </si>
  <si>
    <t>CALLIOPE</t>
  </si>
  <si>
    <t>COLDSTREAM</t>
  </si>
  <si>
    <t>DIGGERS CAMP</t>
  </si>
  <si>
    <t>GILLETTS RIDGE</t>
  </si>
  <si>
    <t>LAKE HIAWATHA</t>
  </si>
  <si>
    <t>LAVADIA</t>
  </si>
  <si>
    <t>MINNIE WATER</t>
  </si>
  <si>
    <t>PILLAR VALLEY</t>
  </si>
  <si>
    <t>SWAN CREEK</t>
  </si>
  <si>
    <t>TUCABIA</t>
  </si>
  <si>
    <t>ULMARRA</t>
  </si>
  <si>
    <t>WOOLI</t>
  </si>
  <si>
    <t>ASHBY</t>
  </si>
  <si>
    <t>ASHBY HEIGHTS</t>
  </si>
  <si>
    <t>BROOMS HEAD</t>
  </si>
  <si>
    <t>GULMARRAD</t>
  </si>
  <si>
    <t>ILARWILL</t>
  </si>
  <si>
    <t>JACKY BULBIN FLAT</t>
  </si>
  <si>
    <t>JAMES CREEK</t>
  </si>
  <si>
    <t>MACLEAN</t>
  </si>
  <si>
    <t>PALMERS CHANNEL</t>
  </si>
  <si>
    <t>PALMERS ISLAND</t>
  </si>
  <si>
    <t>SANDON</t>
  </si>
  <si>
    <t>SHARK CREEK</t>
  </si>
  <si>
    <t>TALOUMBI</t>
  </si>
  <si>
    <t>THE SANDON</t>
  </si>
  <si>
    <t>TOWNSEND</t>
  </si>
  <si>
    <t>TULLYMORGAN</t>
  </si>
  <si>
    <t>WOODFORD</t>
  </si>
  <si>
    <t>ANGOURIE</t>
  </si>
  <si>
    <t>MICALO ISLAND</t>
  </si>
  <si>
    <t>WOOLOWEYAH</t>
  </si>
  <si>
    <t>YAMBA</t>
  </si>
  <si>
    <t>HARWOOD</t>
  </si>
  <si>
    <t>ILUKA</t>
  </si>
  <si>
    <t>THE FRESHWATER</t>
  </si>
  <si>
    <t>WOODY HEAD</t>
  </si>
  <si>
    <t>BANYABBA</t>
  </si>
  <si>
    <t>BEAN CREEK</t>
  </si>
  <si>
    <t>BINGEEBEEBRA</t>
  </si>
  <si>
    <t>BONALBO</t>
  </si>
  <si>
    <t>BOOMOODEERIE</t>
  </si>
  <si>
    <t>BOTTLE CREEK</t>
  </si>
  <si>
    <t>BULLDOG</t>
  </si>
  <si>
    <t>BUNGAWALBIN</t>
  </si>
  <si>
    <t>BUSBYS FLAT</t>
  </si>
  <si>
    <t>CAMIRA</t>
  </si>
  <si>
    <t>CAMIRA CREEK</t>
  </si>
  <si>
    <t>CAPEEN</t>
  </si>
  <si>
    <t>CHATSWORTH</t>
  </si>
  <si>
    <t>CLEARFIELD</t>
  </si>
  <si>
    <t>CLOVER PARK</t>
  </si>
  <si>
    <t>COONGBAR</t>
  </si>
  <si>
    <t>CULMARAN CREEK</t>
  </si>
  <si>
    <t>DRAKE</t>
  </si>
  <si>
    <t>DUCK CREEK</t>
  </si>
  <si>
    <t>EWINGAR</t>
  </si>
  <si>
    <t>GIBBERAGEE</t>
  </si>
  <si>
    <t>GOODWOOD ISLAND</t>
  </si>
  <si>
    <t>HOGARTH RANGE</t>
  </si>
  <si>
    <t>JACKSONS FLAT</t>
  </si>
  <si>
    <t>KIPPENDUFF</t>
  </si>
  <si>
    <t>LOUISA CREEK</t>
  </si>
  <si>
    <t>MALLANGANEE</t>
  </si>
  <si>
    <t>MOOKIMA WYBRA</t>
  </si>
  <si>
    <t>MORORO</t>
  </si>
  <si>
    <t>MOUNT MARSH</t>
  </si>
  <si>
    <t>MUMMULGUM</t>
  </si>
  <si>
    <t>MYRTLE CREEK</t>
  </si>
  <si>
    <t>OLD BONALBO</t>
  </si>
  <si>
    <t>PADDYS FLAT</t>
  </si>
  <si>
    <t>PIKAPENE</t>
  </si>
  <si>
    <t>PRETTY GULLY</t>
  </si>
  <si>
    <t>RAPPVILLE</t>
  </si>
  <si>
    <t>SIX MILE SWAMP</t>
  </si>
  <si>
    <t>TABULAM</t>
  </si>
  <si>
    <t>THERESA CREEK</t>
  </si>
  <si>
    <t>TUNGLEBUNG</t>
  </si>
  <si>
    <t>WARREGAH ISLAND</t>
  </si>
  <si>
    <t>WHIPORIE</t>
  </si>
  <si>
    <t>WOOMBAH</t>
  </si>
  <si>
    <t>WYAN</t>
  </si>
  <si>
    <t>ALICE</t>
  </si>
  <si>
    <t>BACKMEDE</t>
  </si>
  <si>
    <t>BARAIMAL</t>
  </si>
  <si>
    <t>CASINO</t>
  </si>
  <si>
    <t>COOLANESS</t>
  </si>
  <si>
    <t>COOMBELL</t>
  </si>
  <si>
    <t>DOBIES BIGHT</t>
  </si>
  <si>
    <t>DOUBTFUL CREEK</t>
  </si>
  <si>
    <t>DYRAABA</t>
  </si>
  <si>
    <t>DYRAABA CENTRAL</t>
  </si>
  <si>
    <t>DYRAABA CREEK</t>
  </si>
  <si>
    <t>ELLANGOWAN</t>
  </si>
  <si>
    <t>FAIRY HILL</t>
  </si>
  <si>
    <t>IRVINGTON</t>
  </si>
  <si>
    <t>LEEVILLE</t>
  </si>
  <si>
    <t>MONGOGARIE</t>
  </si>
  <si>
    <t>NAUGHTONS GAP</t>
  </si>
  <si>
    <t>NORTH CASINO</t>
  </si>
  <si>
    <t>PIORA</t>
  </si>
  <si>
    <t>SEXTONVILLE</t>
  </si>
  <si>
    <t>SHANNON BROOK</t>
  </si>
  <si>
    <t>SPRING GROVE</t>
  </si>
  <si>
    <t>STRATHEDEN</t>
  </si>
  <si>
    <t>WOODVIEW</t>
  </si>
  <si>
    <t>WOOLNERS ARM</t>
  </si>
  <si>
    <t>WOOROOWOOLGAN</t>
  </si>
  <si>
    <t>YORKLEA</t>
  </si>
  <si>
    <t>BORA RIDGE</t>
  </si>
  <si>
    <t>CODRINGTON</t>
  </si>
  <si>
    <t>CORAKI</t>
  </si>
  <si>
    <t>GREEN FOREST</t>
  </si>
  <si>
    <t>GREENRIDGE</t>
  </si>
  <si>
    <t>TATHAM</t>
  </si>
  <si>
    <t>BROADWATER</t>
  </si>
  <si>
    <t>BUCKENDOON</t>
  </si>
  <si>
    <t>KILGIN</t>
  </si>
  <si>
    <t>NEW ITALY</t>
  </si>
  <si>
    <t>RILEYS HILL</t>
  </si>
  <si>
    <t>TABBIMOBLE</t>
  </si>
  <si>
    <t>WOODBURN</t>
  </si>
  <si>
    <t>EVANS HEAD</t>
  </si>
  <si>
    <t>AFTERLEE</t>
  </si>
  <si>
    <t>BARKERS VALE</t>
  </si>
  <si>
    <t>CAWONGLA</t>
  </si>
  <si>
    <t>CEDAR POINT</t>
  </si>
  <si>
    <t>COLLINS CREEK</t>
  </si>
  <si>
    <t>COUGAL</t>
  </si>
  <si>
    <t>DAIRY FLAT</t>
  </si>
  <si>
    <t>EDEN CREEK</t>
  </si>
  <si>
    <t>EDENVILLE</t>
  </si>
  <si>
    <t>ETTRICK</t>
  </si>
  <si>
    <t>GENEVA</t>
  </si>
  <si>
    <t>GHINNI GHI</t>
  </si>
  <si>
    <t>GREEN PIGEON</t>
  </si>
  <si>
    <t>GREVILLIA</t>
  </si>
  <si>
    <t>HOMELEIGH</t>
  </si>
  <si>
    <t>HORSESHOE CREEK</t>
  </si>
  <si>
    <t>KILGRA</t>
  </si>
  <si>
    <t>KYOGLE</t>
  </si>
  <si>
    <t>LOADSTONE</t>
  </si>
  <si>
    <t>LYNCHS CREEK</t>
  </si>
  <si>
    <t>OLD GREVILLIA</t>
  </si>
  <si>
    <t>ROSEBERRY</t>
  </si>
  <si>
    <t>RUKENVALE</t>
  </si>
  <si>
    <t>TERRACE CREEK</t>
  </si>
  <si>
    <t>THE RISK</t>
  </si>
  <si>
    <t>TOONUMBAR</t>
  </si>
  <si>
    <t>UNUMGAR</t>
  </si>
  <si>
    <t>UPPER EDEN CREEK</t>
  </si>
  <si>
    <t>WADEVILLE</t>
  </si>
  <si>
    <t>WIANGAREE</t>
  </si>
  <si>
    <t>WYNEDEN</t>
  </si>
  <si>
    <t>BEAURY CREEK</t>
  </si>
  <si>
    <t>TOOLOOM</t>
  </si>
  <si>
    <t>URBENVILLE</t>
  </si>
  <si>
    <t>WALLABY CREEK</t>
  </si>
  <si>
    <t>ACACIA CREEK</t>
  </si>
  <si>
    <t>ACACIA PLATEAU</t>
  </si>
  <si>
    <t>BOOMI CREEK</t>
  </si>
  <si>
    <t>LEGUME</t>
  </si>
  <si>
    <t>LINDESAY CREEK</t>
  </si>
  <si>
    <t>LOWER ACACIA CREEK</t>
  </si>
  <si>
    <t>OLD KOREELAH</t>
  </si>
  <si>
    <t>THE GLEN</t>
  </si>
  <si>
    <t>WOODENBONG</t>
  </si>
  <si>
    <t>ALSTONVALE</t>
  </si>
  <si>
    <t>ALSTONVILLE</t>
  </si>
  <si>
    <t>BAGOTVILLE</t>
  </si>
  <si>
    <t>CABBAGE TREE ISLAND</t>
  </si>
  <si>
    <t>EAST WARDELL</t>
  </si>
  <si>
    <t>LYNWOOD</t>
  </si>
  <si>
    <t>MEERSCHAUM VALE</t>
  </si>
  <si>
    <t>PEARCES CREEK</t>
  </si>
  <si>
    <t>ROUS</t>
  </si>
  <si>
    <t>ROUS MILL</t>
  </si>
  <si>
    <t>TUCKOMBIL</t>
  </si>
  <si>
    <t>URALBA</t>
  </si>
  <si>
    <t>WARDELL</t>
  </si>
  <si>
    <t>WOLLONGBAR</t>
  </si>
  <si>
    <t>BALLINA</t>
  </si>
  <si>
    <t>COOLGARDIE</t>
  </si>
  <si>
    <t>CUMBALUM</t>
  </si>
  <si>
    <t>EAST BALLINA</t>
  </si>
  <si>
    <t>EMPIRE VALE</t>
  </si>
  <si>
    <t>KEITH HALL</t>
  </si>
  <si>
    <t>LENNOX HEAD</t>
  </si>
  <si>
    <t>PATCHS BEACH</t>
  </si>
  <si>
    <t>PIMLICO</t>
  </si>
  <si>
    <t>PIMLICO ISLAND</t>
  </si>
  <si>
    <t>SKENNARS HEAD</t>
  </si>
  <si>
    <t>SOUTH BALLINA</t>
  </si>
  <si>
    <t>TEVEN</t>
  </si>
  <si>
    <t>TINTENBAR</t>
  </si>
  <si>
    <t>WEST BALLINA</t>
  </si>
  <si>
    <t>BANGALOW</t>
  </si>
  <si>
    <t>BINNA BURRA</t>
  </si>
  <si>
    <t>BROOKLET</t>
  </si>
  <si>
    <t>COOPERS SHOOT</t>
  </si>
  <si>
    <t>COORABELL</t>
  </si>
  <si>
    <t>FERNLEIGH</t>
  </si>
  <si>
    <t>KNOCKROW</t>
  </si>
  <si>
    <t>MCLEODS SHOOT</t>
  </si>
  <si>
    <t>NASHUA</t>
  </si>
  <si>
    <t>NEWRYBAR</t>
  </si>
  <si>
    <t>POSSUM CREEK</t>
  </si>
  <si>
    <t>ST HELENA</t>
  </si>
  <si>
    <t>BENTLEY</t>
  </si>
  <si>
    <t>BEXHILL</t>
  </si>
  <si>
    <t>BLAKEBROOK</t>
  </si>
  <si>
    <t>BLUE KNOB</t>
  </si>
  <si>
    <t>BOOERIE CREEK</t>
  </si>
  <si>
    <t>BOORABEE PARK</t>
  </si>
  <si>
    <t>BOOYONG</t>
  </si>
  <si>
    <t>BUNGABBEE</t>
  </si>
  <si>
    <t>CANIABA</t>
  </si>
  <si>
    <t>CHILCOTTS GRASS</t>
  </si>
  <si>
    <t>CLOVASS</t>
  </si>
  <si>
    <t>CLUNES</t>
  </si>
  <si>
    <t>COFFEE CAMP</t>
  </si>
  <si>
    <t>CORNDALE</t>
  </si>
  <si>
    <t>DORROUGHBY</t>
  </si>
  <si>
    <t>DUNGARUBBA</t>
  </si>
  <si>
    <t>DUNOON</t>
  </si>
  <si>
    <t>EAST LISMORE</t>
  </si>
  <si>
    <t>ELTHAM</t>
  </si>
  <si>
    <t>EUREKA</t>
  </si>
  <si>
    <t>FEDERAL</t>
  </si>
  <si>
    <t>FERNSIDE</t>
  </si>
  <si>
    <t>GEORGICA</t>
  </si>
  <si>
    <t>GIRARDS HILL</t>
  </si>
  <si>
    <t>GOOLMANGAR</t>
  </si>
  <si>
    <t>GOONELLABAH</t>
  </si>
  <si>
    <t>GUNDURIMBA</t>
  </si>
  <si>
    <t>JIGGI</t>
  </si>
  <si>
    <t>KEERRONG</t>
  </si>
  <si>
    <t>KOONORIGAN</t>
  </si>
  <si>
    <t>LAGOON GRASS</t>
  </si>
  <si>
    <t>LARNOOK</t>
  </si>
  <si>
    <t>LEYCESTER</t>
  </si>
  <si>
    <t>LILLIAN ROCK</t>
  </si>
  <si>
    <t>LINDENDALE</t>
  </si>
  <si>
    <t>LISMORE</t>
  </si>
  <si>
    <t>LISMORE HEIGHTS</t>
  </si>
  <si>
    <t>LOFTVILLE</t>
  </si>
  <si>
    <t>MAROM CREEK</t>
  </si>
  <si>
    <t>MCKEES HILL</t>
  </si>
  <si>
    <t>MCLEANS RIDGES</t>
  </si>
  <si>
    <t>MISSINGHAM</t>
  </si>
  <si>
    <t>MODANVILLE</t>
  </si>
  <si>
    <t>MONALTRIE</t>
  </si>
  <si>
    <t>MOUNTAIN TOP</t>
  </si>
  <si>
    <t>NIMBIN</t>
  </si>
  <si>
    <t>NORTH LISMORE</t>
  </si>
  <si>
    <t>NUMULGI</t>
  </si>
  <si>
    <t>REPENTANCE CREEK</t>
  </si>
  <si>
    <t>RICHMOND HILL</t>
  </si>
  <si>
    <t>ROCK VALLEY</t>
  </si>
  <si>
    <t>ROSEBANK</t>
  </si>
  <si>
    <t>RUTHVEN</t>
  </si>
  <si>
    <t>SOUTH GUNDURIMBA</t>
  </si>
  <si>
    <t>SOUTH LISMORE</t>
  </si>
  <si>
    <t>STEVE KINGS PLAINS</t>
  </si>
  <si>
    <t>STONY CHUTE</t>
  </si>
  <si>
    <t>TERANIA CREEK</t>
  </si>
  <si>
    <t>THE CHANNON</t>
  </si>
  <si>
    <t>TREGEAGLE</t>
  </si>
  <si>
    <t>TUCKI TUCKI</t>
  </si>
  <si>
    <t>TUCKURIMBA</t>
  </si>
  <si>
    <t>TULLERA</t>
  </si>
  <si>
    <t>TUNCESTER</t>
  </si>
  <si>
    <t>TUNTABLE CREEK</t>
  </si>
  <si>
    <t>TUNTABLE FALLS</t>
  </si>
  <si>
    <t>UPPER COOPERS CREEK</t>
  </si>
  <si>
    <t>WHIAN WHIAN</t>
  </si>
  <si>
    <t>WOODLAWN</t>
  </si>
  <si>
    <t>WYRALLAH</t>
  </si>
  <si>
    <t>BROKEN HEAD</t>
  </si>
  <si>
    <t>BYRON BAY</t>
  </si>
  <si>
    <t>EWINGSDALE</t>
  </si>
  <si>
    <t>MYOCUM</t>
  </si>
  <si>
    <t>SKINNERS SHOOT</t>
  </si>
  <si>
    <t>SUFFOLK PARK</t>
  </si>
  <si>
    <t>TALOFA</t>
  </si>
  <si>
    <t>TYAGARAH</t>
  </si>
  <si>
    <t>GOONENGERRY</t>
  </si>
  <si>
    <t>HUONBROOK</t>
  </si>
  <si>
    <t>MAIN ARM</t>
  </si>
  <si>
    <t>MONTECOLLUM</t>
  </si>
  <si>
    <t>MULLUMBIMBY</t>
  </si>
  <si>
    <t>MULLUMBIMBY CREEK</t>
  </si>
  <si>
    <t>PALMWOODS</t>
  </si>
  <si>
    <t>UPPER MAIN ARM</t>
  </si>
  <si>
    <t>WILSONS CREEK</t>
  </si>
  <si>
    <t>BILLINUDGEL</t>
  </si>
  <si>
    <t>BRUNSWICK HEADS</t>
  </si>
  <si>
    <t>BURRINGBAR</t>
  </si>
  <si>
    <t>CRABBES CREEK</t>
  </si>
  <si>
    <t>MIDDLE POCKET</t>
  </si>
  <si>
    <t>MOOBALL</t>
  </si>
  <si>
    <t>NEW BRIGHTON</t>
  </si>
  <si>
    <t>OCEAN SHORES</t>
  </si>
  <si>
    <t>SLEEPY HOLLOW</t>
  </si>
  <si>
    <t>SOUTH GOLDEN BEACH</t>
  </si>
  <si>
    <t>THE POCKET</t>
  </si>
  <si>
    <t>UPPER BURRINGBAR</t>
  </si>
  <si>
    <t>WOOYUNG</t>
  </si>
  <si>
    <t>YELGUN</t>
  </si>
  <si>
    <t>BRAY PARK</t>
  </si>
  <si>
    <t>BRAYS CREEK</t>
  </si>
  <si>
    <t>BYANGUM</t>
  </si>
  <si>
    <t>BYRRILL CREEK</t>
  </si>
  <si>
    <t>CHILLINGHAM</t>
  </si>
  <si>
    <t>CHOWAN CREEK</t>
  </si>
  <si>
    <t>CLOTHIERS CREEK</t>
  </si>
  <si>
    <t>COMMISSIONERS CREEK</t>
  </si>
  <si>
    <t>CONDONG</t>
  </si>
  <si>
    <t>CRYSTAL CREEK</t>
  </si>
  <si>
    <t>CUDGERA CREEK</t>
  </si>
  <si>
    <t>DOON DOON</t>
  </si>
  <si>
    <t>DULGUIGAN</t>
  </si>
  <si>
    <t>DUM DUM</t>
  </si>
  <si>
    <t>DUNBIBLE</t>
  </si>
  <si>
    <t>DUNGAY</t>
  </si>
  <si>
    <t>EUNGELLA</t>
  </si>
  <si>
    <t>EVIRON</t>
  </si>
  <si>
    <t>FARRANTS HILL</t>
  </si>
  <si>
    <t>FERNVALE</t>
  </si>
  <si>
    <t>HOPKINS CREEK</t>
  </si>
  <si>
    <t>KIELVALE</t>
  </si>
  <si>
    <t>KUNGHUR</t>
  </si>
  <si>
    <t>KUNGHUR CREEK</t>
  </si>
  <si>
    <t>KYNNUMBOON</t>
  </si>
  <si>
    <t>LIMPINWOOD</t>
  </si>
  <si>
    <t>MEBBIN</t>
  </si>
  <si>
    <t>MIDGINBIL</t>
  </si>
  <si>
    <t>MOUNT BURRELL</t>
  </si>
  <si>
    <t>MOUNT WARNING</t>
  </si>
  <si>
    <t>MURWILLUMBAH</t>
  </si>
  <si>
    <t>MURWILLUMBAH SOUTH</t>
  </si>
  <si>
    <t>NOBBYS CREEK</t>
  </si>
  <si>
    <t>NORTH ARM</t>
  </si>
  <si>
    <t>NUMINBAH</t>
  </si>
  <si>
    <t>NUNDERI</t>
  </si>
  <si>
    <t>PALMVALE</t>
  </si>
  <si>
    <t>PUMPENBIL</t>
  </si>
  <si>
    <t>RESERVE CREEK</t>
  </si>
  <si>
    <t>ROUND MOUNTAIN</t>
  </si>
  <si>
    <t>ROWLANDS CREEK</t>
  </si>
  <si>
    <t>SMITHS CREEK</t>
  </si>
  <si>
    <t>STOKERS SIDING</t>
  </si>
  <si>
    <t>TERRAGON</t>
  </si>
  <si>
    <t>TOMEWIN</t>
  </si>
  <si>
    <t>TYALGUM</t>
  </si>
  <si>
    <t>TYALGUM CREEK</t>
  </si>
  <si>
    <t>TYGALGAH</t>
  </si>
  <si>
    <t>UKI</t>
  </si>
  <si>
    <t>UPPER CRYSTAL CREEK</t>
  </si>
  <si>
    <t>URLIUP</t>
  </si>
  <si>
    <t>WARDROP VALLEY</t>
  </si>
  <si>
    <t>ZARA</t>
  </si>
  <si>
    <t>TWEED HEADS</t>
  </si>
  <si>
    <t>TWEED HEADS WEST</t>
  </si>
  <si>
    <t>BANORA POINT</t>
  </si>
  <si>
    <t>BILAMBIL</t>
  </si>
  <si>
    <t>BILAMBIL HEIGHTS</t>
  </si>
  <si>
    <t>BUNGALORA</t>
  </si>
  <si>
    <t>CAROOL</t>
  </si>
  <si>
    <t>COBAKI</t>
  </si>
  <si>
    <t>COBAKI LAKES</t>
  </si>
  <si>
    <t>DUROBY</t>
  </si>
  <si>
    <t>GLENGARRIE</t>
  </si>
  <si>
    <t>PIGGABEEN</t>
  </si>
  <si>
    <t>TERRANORA</t>
  </si>
  <si>
    <t>TWEED HEADS SOUTH</t>
  </si>
  <si>
    <t>UPPER DUROBY</t>
  </si>
  <si>
    <t>CHINDERAH</t>
  </si>
  <si>
    <t>CUDGEN</t>
  </si>
  <si>
    <t>DURANBAH</t>
  </si>
  <si>
    <t>FINGAL HEAD</t>
  </si>
  <si>
    <t>KINGSCLIFF</t>
  </si>
  <si>
    <t>STOTTS CREEK</t>
  </si>
  <si>
    <t>BOGANGAR</t>
  </si>
  <si>
    <t>CABARITA BEACH</t>
  </si>
  <si>
    <t>TANGLEWOOD</t>
  </si>
  <si>
    <t>HASTINGS POINT</t>
  </si>
  <si>
    <t>POTTSVILLE</t>
  </si>
  <si>
    <t>NORTH TUMBULGUM</t>
  </si>
  <si>
    <t>TUMBULGUM</t>
  </si>
  <si>
    <t>CONISTON</t>
  </si>
  <si>
    <t>GWYNNEVILLE</t>
  </si>
  <si>
    <t>KEIRAVILLE</t>
  </si>
  <si>
    <t>MANGERTON</t>
  </si>
  <si>
    <t>MOUNT KEIRA</t>
  </si>
  <si>
    <t>MOUNT SAINT THOMAS</t>
  </si>
  <si>
    <t>WOLLONGONG</t>
  </si>
  <si>
    <t>WOLLONGONG DC</t>
  </si>
  <si>
    <t>WOLLONGONG NORTH</t>
  </si>
  <si>
    <t>WOLLONGONG WEST</t>
  </si>
  <si>
    <t>CRINGILA</t>
  </si>
  <si>
    <t>LAKE HEIGHTS</t>
  </si>
  <si>
    <t>PRIMBEE</t>
  </si>
  <si>
    <t>WARRAWONG</t>
  </si>
  <si>
    <t>KEMBLAWARRA</t>
  </si>
  <si>
    <t>PORT KEMBLA</t>
  </si>
  <si>
    <t>BERKELEY</t>
  </si>
  <si>
    <t>COALCLIFF</t>
  </si>
  <si>
    <t>DARKES FOREST</t>
  </si>
  <si>
    <t>HELENSBURGH</t>
  </si>
  <si>
    <t>LILYVALE</t>
  </si>
  <si>
    <t>MADDENS PLAINS</t>
  </si>
  <si>
    <t>OTFORD</t>
  </si>
  <si>
    <t>STANWELL PARK</t>
  </si>
  <si>
    <t>STANWELL TOPS</t>
  </si>
  <si>
    <t>AUSTINMER</t>
  </si>
  <si>
    <t>CLIFTON</t>
  </si>
  <si>
    <t>COLEDALE</t>
  </si>
  <si>
    <t>SCARBOROUGH</t>
  </si>
  <si>
    <t>THIRROUL</t>
  </si>
  <si>
    <t>WOMBARRA</t>
  </si>
  <si>
    <t>BULLI</t>
  </si>
  <si>
    <t>BULLI TOPS</t>
  </si>
  <si>
    <t>RUSSELL VALE</t>
  </si>
  <si>
    <t>WOONONA</t>
  </si>
  <si>
    <t>WOONONA EAST</t>
  </si>
  <si>
    <t>BELLAMBI</t>
  </si>
  <si>
    <t>CORRIMAL</t>
  </si>
  <si>
    <t>CORRIMAL EAST</t>
  </si>
  <si>
    <t>TARRAWANNA</t>
  </si>
  <si>
    <t>TOWRADGI</t>
  </si>
  <si>
    <t>BALGOWNIE</t>
  </si>
  <si>
    <t>FAIRY MEADOW</t>
  </si>
  <si>
    <t>FERNHILL</t>
  </si>
  <si>
    <t>MOUNT OUSLEY</t>
  </si>
  <si>
    <t>MOUNT PLEASANT</t>
  </si>
  <si>
    <t>REIDTOWN</t>
  </si>
  <si>
    <t>SOUTH COAST MC</t>
  </si>
  <si>
    <t>UNIVERSITY OF WOLLONGONG</t>
  </si>
  <si>
    <t>FIGTREE</t>
  </si>
  <si>
    <t>CORDEAUX</t>
  </si>
  <si>
    <t>CORDEAUX HEIGHTS</t>
  </si>
  <si>
    <t>FARMBOROUGH HEIGHTS</t>
  </si>
  <si>
    <t>KEMBLA GRANGE</t>
  </si>
  <si>
    <t>KEMBLA HEIGHTS</t>
  </si>
  <si>
    <t>MOUNT KEMBLA</t>
  </si>
  <si>
    <t>UNANDERRA</t>
  </si>
  <si>
    <t>UNANDERRA DC</t>
  </si>
  <si>
    <t>ALBION PARK</t>
  </si>
  <si>
    <t>ALBION PARK RAIL</t>
  </si>
  <si>
    <t>CALDERWOOD</t>
  </si>
  <si>
    <t>CROOM</t>
  </si>
  <si>
    <t>TONGARRA</t>
  </si>
  <si>
    <t>TULLIMBAR</t>
  </si>
  <si>
    <t>YELLOW ROCK</t>
  </si>
  <si>
    <t>BARRACK HEIGHTS</t>
  </si>
  <si>
    <t>BARRACK POINT</t>
  </si>
  <si>
    <t>LAKE ILLAWARRA</t>
  </si>
  <si>
    <t>MOUNT WARRIGAL</t>
  </si>
  <si>
    <t>WARILLA</t>
  </si>
  <si>
    <t>WINDANG</t>
  </si>
  <si>
    <t>BALARANG</t>
  </si>
  <si>
    <t>BLACKBUTT</t>
  </si>
  <si>
    <t>DUNMORE</t>
  </si>
  <si>
    <t>FLINDERS</t>
  </si>
  <si>
    <t>OAK FLATS</t>
  </si>
  <si>
    <t>OAK FLATS DC</t>
  </si>
  <si>
    <t>SHELL COVE</t>
  </si>
  <si>
    <t>SHELLHARBOUR</t>
  </si>
  <si>
    <t>SHELLHARBOUR CITY CENTRE</t>
  </si>
  <si>
    <t>SHELLHARBOUR SQUARE</t>
  </si>
  <si>
    <t>AVONDALE</t>
  </si>
  <si>
    <t>BROWNSVILLE</t>
  </si>
  <si>
    <t>DAPTO</t>
  </si>
  <si>
    <t>HORSLEY</t>
  </si>
  <si>
    <t>KANAHOOKA</t>
  </si>
  <si>
    <t>KOONAWARRA</t>
  </si>
  <si>
    <t>MARSHALL MOUNT</t>
  </si>
  <si>
    <t>WONGAWILLI</t>
  </si>
  <si>
    <t>YALLAH</t>
  </si>
  <si>
    <t>BOMBO</t>
  </si>
  <si>
    <t>CURRAMORE</t>
  </si>
  <si>
    <t>JAMBEROO</t>
  </si>
  <si>
    <t>JERRARA</t>
  </si>
  <si>
    <t>KIAMA</t>
  </si>
  <si>
    <t>KIAMA DOWNS</t>
  </si>
  <si>
    <t>KIAMA HEIGHTS</t>
  </si>
  <si>
    <t>MINNAMURRA</t>
  </si>
  <si>
    <t>SADDLEBACK MOUNTAIN</t>
  </si>
  <si>
    <t>FOXGROUND</t>
  </si>
  <si>
    <t>GERRINGONG</t>
  </si>
  <si>
    <t>GERROA</t>
  </si>
  <si>
    <t>ROSE VALLEY</t>
  </si>
  <si>
    <t>TOOLIJOOA</t>
  </si>
  <si>
    <t>WERRI BEACH</t>
  </si>
  <si>
    <t>WILLOW VALE</t>
  </si>
  <si>
    <t>BACK FOREST</t>
  </si>
  <si>
    <t>BELLAWONGARAH</t>
  </si>
  <si>
    <t>BERRY</t>
  </si>
  <si>
    <t>BROGERS CREEK</t>
  </si>
  <si>
    <t>BROUGHTON</t>
  </si>
  <si>
    <t>BROUGHTON VALE</t>
  </si>
  <si>
    <t>BUDDEROO</t>
  </si>
  <si>
    <t>BUNDEWALLAH</t>
  </si>
  <si>
    <t>COOLANGATTA</t>
  </si>
  <si>
    <t>FAR MEADOW</t>
  </si>
  <si>
    <t>JASPERS BRUSH</t>
  </si>
  <si>
    <t>SHOALHAVEN HEADS</t>
  </si>
  <si>
    <t>WATTAMOLLA</t>
  </si>
  <si>
    <t>WOODHILL</t>
  </si>
  <si>
    <t>BATEHAVEN</t>
  </si>
  <si>
    <t>BATEMANS BAY</t>
  </si>
  <si>
    <t>BENANDARAH</t>
  </si>
  <si>
    <t>BIMBIMBIE</t>
  </si>
  <si>
    <t>BUCKENBOWRA</t>
  </si>
  <si>
    <t>CATALINA</t>
  </si>
  <si>
    <t>CURROWAN</t>
  </si>
  <si>
    <t>DENHAMS BEACH</t>
  </si>
  <si>
    <t>DURRAS NORTH</t>
  </si>
  <si>
    <t>EAST LYNNE</t>
  </si>
  <si>
    <t>GUERILLA BAY</t>
  </si>
  <si>
    <t>JEREMADRA</t>
  </si>
  <si>
    <t>LONG BEACH</t>
  </si>
  <si>
    <t>MALONEYS BEACH</t>
  </si>
  <si>
    <t>MALUA BAY</t>
  </si>
  <si>
    <t>MERRICUMBENE</t>
  </si>
  <si>
    <t>MOGO</t>
  </si>
  <si>
    <t>MURRENGENBURG</t>
  </si>
  <si>
    <t>NELLIGEN</t>
  </si>
  <si>
    <t>NORTH BATEMANS BAY</t>
  </si>
  <si>
    <t>ROSEDALE</t>
  </si>
  <si>
    <t>RUNNYFORD</t>
  </si>
  <si>
    <t>SOUTH DURRAS</t>
  </si>
  <si>
    <t>SUNSHINE BAY</t>
  </si>
  <si>
    <t>SURF BEACH</t>
  </si>
  <si>
    <t>SURFSIDE</t>
  </si>
  <si>
    <t>WOODLANDS</t>
  </si>
  <si>
    <t>BERGALIA</t>
  </si>
  <si>
    <t>BINGIE</t>
  </si>
  <si>
    <t>BROULEE</t>
  </si>
  <si>
    <t>COILA</t>
  </si>
  <si>
    <t>CONGO</t>
  </si>
  <si>
    <t>DEUA</t>
  </si>
  <si>
    <t>DEUA RIVER VALLEY</t>
  </si>
  <si>
    <t>KIORA</t>
  </si>
  <si>
    <t>MERINGO</t>
  </si>
  <si>
    <t>MOGENDOURA</t>
  </si>
  <si>
    <t>MORUYA</t>
  </si>
  <si>
    <t>MORUYA HEADS</t>
  </si>
  <si>
    <t>MOSSY POINT</t>
  </si>
  <si>
    <t>TOMAKIN</t>
  </si>
  <si>
    <t>TURLINJAH</t>
  </si>
  <si>
    <t>TUROSS HEAD</t>
  </si>
  <si>
    <t>WAMBAN</t>
  </si>
  <si>
    <t>BROOMAN</t>
  </si>
  <si>
    <t>LITTLE FOREST</t>
  </si>
  <si>
    <t>MILTON</t>
  </si>
  <si>
    <t>MORTON</t>
  </si>
  <si>
    <t>WOODSTOCK</t>
  </si>
  <si>
    <t>BAWLEY POINT</t>
  </si>
  <si>
    <t>BENDALONG</t>
  </si>
  <si>
    <t>BERRINGER LAKE</t>
  </si>
  <si>
    <t>BURRILL LAKE</t>
  </si>
  <si>
    <t>CONJOLA</t>
  </si>
  <si>
    <t>CONJOLA PARK</t>
  </si>
  <si>
    <t>CUNJURONG POINT</t>
  </si>
  <si>
    <t>DOLPHIN POINT</t>
  </si>
  <si>
    <t>FISHERMANS PARADISE</t>
  </si>
  <si>
    <t>KINGS POINT</t>
  </si>
  <si>
    <t>KIOLOA</t>
  </si>
  <si>
    <t>LAKE CONJOLA</t>
  </si>
  <si>
    <t>LAKE TABOURIE</t>
  </si>
  <si>
    <t>MANYANA</t>
  </si>
  <si>
    <t>MOLLYMOOK</t>
  </si>
  <si>
    <t>NARRAWALLEE</t>
  </si>
  <si>
    <t>TERMEIL</t>
  </si>
  <si>
    <t>ULLADULLA</t>
  </si>
  <si>
    <t>YATTE YATTAH</t>
  </si>
  <si>
    <t>BAMARANG</t>
  </si>
  <si>
    <t>BARRINGELLA</t>
  </si>
  <si>
    <t>BASIN VIEW</t>
  </si>
  <si>
    <t>BERRARA</t>
  </si>
  <si>
    <t>BEWONG</t>
  </si>
  <si>
    <t>BOLONG</t>
  </si>
  <si>
    <t>BRUNDEE</t>
  </si>
  <si>
    <t>BURRIER</t>
  </si>
  <si>
    <t>CALLALA BAY</t>
  </si>
  <si>
    <t>CALLALA BEACH</t>
  </si>
  <si>
    <t>CAMBEWARRA</t>
  </si>
  <si>
    <t>COMERONG ISLAND</t>
  </si>
  <si>
    <t>CUDMIRRAH</t>
  </si>
  <si>
    <t>CULBURRA BEACH</t>
  </si>
  <si>
    <t>CURRARONG</t>
  </si>
  <si>
    <t>EROWAL BAY</t>
  </si>
  <si>
    <t>FALLS CREEK</t>
  </si>
  <si>
    <t>GREENWELL POINT</t>
  </si>
  <si>
    <t>HMAS ALBATROSS</t>
  </si>
  <si>
    <t>HMAS CRESWELL</t>
  </si>
  <si>
    <t>HUSKISSON</t>
  </si>
  <si>
    <t>HYAMS BEACH</t>
  </si>
  <si>
    <t>JERRAWANGALA</t>
  </si>
  <si>
    <t>JERVIS BAY</t>
  </si>
  <si>
    <t>MEROO MEADOW</t>
  </si>
  <si>
    <t>MUNDAMIA</t>
  </si>
  <si>
    <t>MYOLA</t>
  </si>
  <si>
    <t>NOWRA HILL</t>
  </si>
  <si>
    <t>NOWRA NAVAL PO</t>
  </si>
  <si>
    <t>NUMBAA</t>
  </si>
  <si>
    <t>OLD EROWAL BAY</t>
  </si>
  <si>
    <t>ORIENT POINT</t>
  </si>
  <si>
    <t>PARMA</t>
  </si>
  <si>
    <t>PYREE</t>
  </si>
  <si>
    <t>SANCTUARY POINT</t>
  </si>
  <si>
    <t>ST GEORGES BASIN</t>
  </si>
  <si>
    <t>SUSSEX INLET</t>
  </si>
  <si>
    <t>SWANHAVEN</t>
  </si>
  <si>
    <t>TAPITALLEE</t>
  </si>
  <si>
    <t>TERARA</t>
  </si>
  <si>
    <t>TOMERONG</t>
  </si>
  <si>
    <t>VINCENTIA</t>
  </si>
  <si>
    <t>WANDANDIAN</t>
  </si>
  <si>
    <t>WOOLLAMIA</t>
  </si>
  <si>
    <t>WORRIGEE</t>
  </si>
  <si>
    <t>WORROWING HEIGHTS</t>
  </si>
  <si>
    <t>WRIGHTS BEACH</t>
  </si>
  <si>
    <t>YALWAL</t>
  </si>
  <si>
    <t>YERRIYONG</t>
  </si>
  <si>
    <t>BANGALEE</t>
  </si>
  <si>
    <t>BOMADERRY</t>
  </si>
  <si>
    <t>NOWRA</t>
  </si>
  <si>
    <t>NOWRA DC</t>
  </si>
  <si>
    <t>NOWRA EAST</t>
  </si>
  <si>
    <t>NOWRA NORTH</t>
  </si>
  <si>
    <t>WEST NOWRA</t>
  </si>
  <si>
    <t>BELOWRA</t>
  </si>
  <si>
    <t>BODALLA</t>
  </si>
  <si>
    <t>CADGEE</t>
  </si>
  <si>
    <t>EUROBODALLA</t>
  </si>
  <si>
    <t>NERRIGUNDAH</t>
  </si>
  <si>
    <t>POTATO POINT</t>
  </si>
  <si>
    <t>STONY CREEK</t>
  </si>
  <si>
    <t>AKOLELE</t>
  </si>
  <si>
    <t>BARRAGGA BAY</t>
  </si>
  <si>
    <t>BEAUTY POINT</t>
  </si>
  <si>
    <t>BERMAGUI</t>
  </si>
  <si>
    <t>BERMAGUI SOUTH</t>
  </si>
  <si>
    <t>CENTRAL TILBA</t>
  </si>
  <si>
    <t>CORUNNA</t>
  </si>
  <si>
    <t>CUTTAGEE</t>
  </si>
  <si>
    <t>DALMENY</t>
  </si>
  <si>
    <t>DIGNAMS CREEK</t>
  </si>
  <si>
    <t>GREENDALE</t>
  </si>
  <si>
    <t>KIANGA</t>
  </si>
  <si>
    <t>MYSTERY BAY</t>
  </si>
  <si>
    <t>NAROOMA</t>
  </si>
  <si>
    <t>NORTH NAROOMA</t>
  </si>
  <si>
    <t>TILBA TILBA</t>
  </si>
  <si>
    <t>TINPOT</t>
  </si>
  <si>
    <t>WADBILLIGA</t>
  </si>
  <si>
    <t>WALLAGA LAKE</t>
  </si>
  <si>
    <t>WALLAGA LAKE HEIGHTS</t>
  </si>
  <si>
    <t>BERRAMBOOL</t>
  </si>
  <si>
    <t>MERIMBULA</t>
  </si>
  <si>
    <t>TURA BEACH</t>
  </si>
  <si>
    <t>YELLOW PINCH</t>
  </si>
  <si>
    <t>BALD HILLS</t>
  </si>
  <si>
    <t>GREIGS FLAT</t>
  </si>
  <si>
    <t>LOCHIEL</t>
  </si>
  <si>
    <t>MILLINGANDI</t>
  </si>
  <si>
    <t>NETHERCOTE</t>
  </si>
  <si>
    <t>PAMBULA</t>
  </si>
  <si>
    <t>PAMBULA BEACH</t>
  </si>
  <si>
    <t>SOUTH PAMBULA</t>
  </si>
  <si>
    <t>ANGLEDALE</t>
  </si>
  <si>
    <t>BEGA</t>
  </si>
  <si>
    <t>BEMBOKA</t>
  </si>
  <si>
    <t>BLACK RANGE</t>
  </si>
  <si>
    <t>BOURNDA</t>
  </si>
  <si>
    <t>BROGO</t>
  </si>
  <si>
    <t>BUCKAJO</t>
  </si>
  <si>
    <t>BUNGA</t>
  </si>
  <si>
    <t>BURRAGATE</t>
  </si>
  <si>
    <t>CANDELO</t>
  </si>
  <si>
    <t>CHINNOCK</t>
  </si>
  <si>
    <t>COBARGO</t>
  </si>
  <si>
    <t>COOLAGOLITE</t>
  </si>
  <si>
    <t>COOLANGUBRA</t>
  </si>
  <si>
    <t>COOPERS GULLY</t>
  </si>
  <si>
    <t>DEVILS HOLE</t>
  </si>
  <si>
    <t>DOCTOR GEORGE MOUNTAIN</t>
  </si>
  <si>
    <t>FROGS HOLLOW</t>
  </si>
  <si>
    <t>JELLAT JELLAT</t>
  </si>
  <si>
    <t>KALARU</t>
  </si>
  <si>
    <t>KAMERUKA</t>
  </si>
  <si>
    <t>KANOONA</t>
  </si>
  <si>
    <t>MOGAREEKA</t>
  </si>
  <si>
    <t>MOGILLA</t>
  </si>
  <si>
    <t>MORANS CROSSING</t>
  </si>
  <si>
    <t>MUMBULLA MOUNTAIN</t>
  </si>
  <si>
    <t>MURRAH</t>
  </si>
  <si>
    <t>MYRTLE MOUNTAIN</t>
  </si>
  <si>
    <t>NELSON</t>
  </si>
  <si>
    <t>NEW BUILDINGS</t>
  </si>
  <si>
    <t>NUMBUGGA</t>
  </si>
  <si>
    <t>PERICOE</t>
  </si>
  <si>
    <t>QUAAMA</t>
  </si>
  <si>
    <t>REEDY SWAMP</t>
  </si>
  <si>
    <t>ROCKY HALL</t>
  </si>
  <si>
    <t>SOUTH WOLUMLA</t>
  </si>
  <si>
    <t>TANJA</t>
  </si>
  <si>
    <t>TANTAWANGALO</t>
  </si>
  <si>
    <t>TARRAGANDA</t>
  </si>
  <si>
    <t>TATHRA</t>
  </si>
  <si>
    <t>TOOTHDALE</t>
  </si>
  <si>
    <t>TOWAMBA</t>
  </si>
  <si>
    <t>VERONA</t>
  </si>
  <si>
    <t>WALLAGOOT</t>
  </si>
  <si>
    <t>WANDELLA</t>
  </si>
  <si>
    <t>WAPENGO</t>
  </si>
  <si>
    <t>WOLUMLA</t>
  </si>
  <si>
    <t>WYNDHAM</t>
  </si>
  <si>
    <t>YAMBULLA</t>
  </si>
  <si>
    <t>YANKEES CREEK</t>
  </si>
  <si>
    <t>YOWRIE</t>
  </si>
  <si>
    <t>BOYDTOWN</t>
  </si>
  <si>
    <t>EDEN</t>
  </si>
  <si>
    <t>EDROM</t>
  </si>
  <si>
    <t>GREEN CAPE</t>
  </si>
  <si>
    <t>KIAH</t>
  </si>
  <si>
    <t>NARRABARBA</t>
  </si>
  <si>
    <t>NULLICA</t>
  </si>
  <si>
    <t>TIMBILLICA</t>
  </si>
  <si>
    <t>WONBOYN</t>
  </si>
  <si>
    <t>WONBOYN LAKE</t>
  </si>
  <si>
    <t>WONBOYN NORTH</t>
  </si>
  <si>
    <t>BADGERYS CREEK</t>
  </si>
  <si>
    <t>BRINGELLY</t>
  </si>
  <si>
    <t>CATHERINE FIELD</t>
  </si>
  <si>
    <t>ROSSMORE</t>
  </si>
  <si>
    <t>EAGLE VALE</t>
  </si>
  <si>
    <t>ESCHOL PARK</t>
  </si>
  <si>
    <t>KEARNS</t>
  </si>
  <si>
    <t>BLAIRMOUNT</t>
  </si>
  <si>
    <t>CLAYMORE</t>
  </si>
  <si>
    <t>AIRDS</t>
  </si>
  <si>
    <t>AMBARVALE</t>
  </si>
  <si>
    <t>APPIN</t>
  </si>
  <si>
    <t>BLAIR ATHOL</t>
  </si>
  <si>
    <t>BRADBURY</t>
  </si>
  <si>
    <t>CAMPBELLTOWN</t>
  </si>
  <si>
    <t>CAMPBELLTOWN NORTH</t>
  </si>
  <si>
    <t>ENGLORIE PARK</t>
  </si>
  <si>
    <t>GILEAD</t>
  </si>
  <si>
    <t>GLEN ALPINE</t>
  </si>
  <si>
    <t>KENTLYN</t>
  </si>
  <si>
    <t>LEUMEAH</t>
  </si>
  <si>
    <t>MACARTHUR SQUARE</t>
  </si>
  <si>
    <t>ROSEMEADOW</t>
  </si>
  <si>
    <t>RUSE</t>
  </si>
  <si>
    <t>ST HELENS PARK</t>
  </si>
  <si>
    <t>WEDDERBURN</t>
  </si>
  <si>
    <t>WOODBINE</t>
  </si>
  <si>
    <t>MENANGLE PARK</t>
  </si>
  <si>
    <t>GLENQUARIE</t>
  </si>
  <si>
    <t>MACQUARIE FIELDS</t>
  </si>
  <si>
    <t>DENHAM COURT</t>
  </si>
  <si>
    <t>MACQUARIE LINKS</t>
  </si>
  <si>
    <t>BOW BOWING</t>
  </si>
  <si>
    <t>MINTO</t>
  </si>
  <si>
    <t>MINTO DC</t>
  </si>
  <si>
    <t>MINTO HEIGHTS</t>
  </si>
  <si>
    <t>RABY</t>
  </si>
  <si>
    <t>ST ANDREWS</t>
  </si>
  <si>
    <t>VARROVILLE</t>
  </si>
  <si>
    <t>CURRANS HILL</t>
  </si>
  <si>
    <t>HARRINGTON PARK</t>
  </si>
  <si>
    <t>MOUNT ANNAN</t>
  </si>
  <si>
    <t>NARELLAN</t>
  </si>
  <si>
    <t>NARELLAN DC</t>
  </si>
  <si>
    <t>NARELLAN VALE</t>
  </si>
  <si>
    <t>SMEATON GRANGE</t>
  </si>
  <si>
    <t>MENANGLE</t>
  </si>
  <si>
    <t>DOUGLAS PARK</t>
  </si>
  <si>
    <t>BELIMBLA PARK</t>
  </si>
  <si>
    <t>BICKLEY VALE</t>
  </si>
  <si>
    <t>BROWNLOW HILL</t>
  </si>
  <si>
    <t>CAMDEN</t>
  </si>
  <si>
    <t>CAMDEN PARK</t>
  </si>
  <si>
    <t>CAMDEN SOUTH</t>
  </si>
  <si>
    <t>CAWDOR</t>
  </si>
  <si>
    <t>COBBITTY</t>
  </si>
  <si>
    <t>ELLIS LANE</t>
  </si>
  <si>
    <t>GLENMORE</t>
  </si>
  <si>
    <t>GRASMERE</t>
  </si>
  <si>
    <t>KIRKHAM</t>
  </si>
  <si>
    <t>LEFEVRES CORNER</t>
  </si>
  <si>
    <t>MOUNT HUNTER</t>
  </si>
  <si>
    <t>NATTAI</t>
  </si>
  <si>
    <t>OAKDALE</t>
  </si>
  <si>
    <t>ORAN PARK</t>
  </si>
  <si>
    <t>ORANGEVILLE</t>
  </si>
  <si>
    <t>SPRING FARM</t>
  </si>
  <si>
    <t>THE OAKS</t>
  </si>
  <si>
    <t>THERESA PARK</t>
  </si>
  <si>
    <t>WEROMBI</t>
  </si>
  <si>
    <t>BALMORAL VILLAGE</t>
  </si>
  <si>
    <t>BUXTON</t>
  </si>
  <si>
    <t>COURIDJAH</t>
  </si>
  <si>
    <t>MALDON</t>
  </si>
  <si>
    <t>MOWBRAY PARK</t>
  </si>
  <si>
    <t>PICTON</t>
  </si>
  <si>
    <t>RAZORBACK</t>
  </si>
  <si>
    <t>WILTON</t>
  </si>
  <si>
    <t>LAKESLAND</t>
  </si>
  <si>
    <t>THIRLMERE</t>
  </si>
  <si>
    <t>TAHMOOR</t>
  </si>
  <si>
    <t>BARGO</t>
  </si>
  <si>
    <t>PHEASANTS NEST</t>
  </si>
  <si>
    <t>YANDERRA</t>
  </si>
  <si>
    <t>ALPINE</t>
  </si>
  <si>
    <t>AYLMERTON</t>
  </si>
  <si>
    <t>BARRALLIER</t>
  </si>
  <si>
    <t>BRAEMAR</t>
  </si>
  <si>
    <t>BULLIO</t>
  </si>
  <si>
    <t>COLO VALE</t>
  </si>
  <si>
    <t>HIGH RANGE</t>
  </si>
  <si>
    <t>HILL TOP</t>
  </si>
  <si>
    <t>JOADJA</t>
  </si>
  <si>
    <t>MANDEMAR</t>
  </si>
  <si>
    <t>MITTAGONG</t>
  </si>
  <si>
    <t>WELBY</t>
  </si>
  <si>
    <t>YERRINBOOL</t>
  </si>
  <si>
    <t>BONG BONG</t>
  </si>
  <si>
    <t>BOWRAL</t>
  </si>
  <si>
    <t>BURRADOO</t>
  </si>
  <si>
    <t>EAST BOWRAL</t>
  </si>
  <si>
    <t>EAST KANGALOON</t>
  </si>
  <si>
    <t>GLENQUARRY</t>
  </si>
  <si>
    <t>KANGALOON</t>
  </si>
  <si>
    <t>AVOCA</t>
  </si>
  <si>
    <t>BARREN GROUNDS</t>
  </si>
  <si>
    <t>BARRENGARRY</t>
  </si>
  <si>
    <t>BEAUMONT</t>
  </si>
  <si>
    <t>BENDEELA</t>
  </si>
  <si>
    <t>BERRIMA</t>
  </si>
  <si>
    <t>BURRAWANG</t>
  </si>
  <si>
    <t>CALWALLA</t>
  </si>
  <si>
    <t>CANYONLEIGH</t>
  </si>
  <si>
    <t>CARRINGTON FALLS</t>
  </si>
  <si>
    <t>FITZROY FALLS</t>
  </si>
  <si>
    <t>KANGAROO VALLEY</t>
  </si>
  <si>
    <t>KNIGHTS HILL</t>
  </si>
  <si>
    <t>MACQUARIE PASS</t>
  </si>
  <si>
    <t>MANCHESTER SQUARE</t>
  </si>
  <si>
    <t>MEDWAY</t>
  </si>
  <si>
    <t>MERYLA</t>
  </si>
  <si>
    <t>MOSS VALE</t>
  </si>
  <si>
    <t>MYRA VALE</t>
  </si>
  <si>
    <t>NEW BERRIMA</t>
  </si>
  <si>
    <t>PADDYS RIVER</t>
  </si>
  <si>
    <t>PHEASANT GROUND</t>
  </si>
  <si>
    <t>ROBERTSON</t>
  </si>
  <si>
    <t>SUTTON FOREST</t>
  </si>
  <si>
    <t>UPPER KANGAROO VALLEY</t>
  </si>
  <si>
    <t>WERAI</t>
  </si>
  <si>
    <t>WILDES MEADOW</t>
  </si>
  <si>
    <t>YARRUNGA</t>
  </si>
  <si>
    <t>BUNDANOON</t>
  </si>
  <si>
    <t>BIG HILL</t>
  </si>
  <si>
    <t>BRAYTON</t>
  </si>
  <si>
    <t>EXETER</t>
  </si>
  <si>
    <t>MARULAN</t>
  </si>
  <si>
    <t>MARULAN SOUTH</t>
  </si>
  <si>
    <t>PENROSE</t>
  </si>
  <si>
    <t>TALLONG</t>
  </si>
  <si>
    <t>WINGELLO</t>
  </si>
  <si>
    <t>BANNABY</t>
  </si>
  <si>
    <t>BANNISTER</t>
  </si>
  <si>
    <t>BRISBANE GROVE</t>
  </si>
  <si>
    <t>BUNGONIA</t>
  </si>
  <si>
    <t>CHATSBURY</t>
  </si>
  <si>
    <t>CURRAWANG</t>
  </si>
  <si>
    <t>GOLSPIE</t>
  </si>
  <si>
    <t>GOULBURN</t>
  </si>
  <si>
    <t>GOULBURN DC</t>
  </si>
  <si>
    <t>GOULBURN NORTH</t>
  </si>
  <si>
    <t>GREENWICH PARK</t>
  </si>
  <si>
    <t>GUNDARY</t>
  </si>
  <si>
    <t>JERRONG</t>
  </si>
  <si>
    <t>KINGSDALE</t>
  </si>
  <si>
    <t>KOMUNGLA</t>
  </si>
  <si>
    <t>LAKE BATHURST</t>
  </si>
  <si>
    <t>LEIGHWOOD</t>
  </si>
  <si>
    <t>MCALISTER</t>
  </si>
  <si>
    <t>MIDDLE ARM</t>
  </si>
  <si>
    <t>MOUNT FAIRY</t>
  </si>
  <si>
    <t>MOUNT RAE</t>
  </si>
  <si>
    <t>MUMMEL</t>
  </si>
  <si>
    <t>PARKESBOURNE</t>
  </si>
  <si>
    <t>QUIALIGO</t>
  </si>
  <si>
    <t>ROSLYN</t>
  </si>
  <si>
    <t>RUN-O-WATERS</t>
  </si>
  <si>
    <t>SIX MILE FLAT</t>
  </si>
  <si>
    <t>SPRING VALLEY</t>
  </si>
  <si>
    <t>TARAGO</t>
  </si>
  <si>
    <t>TARALGA</t>
  </si>
  <si>
    <t>TARLO</t>
  </si>
  <si>
    <t>TIRRANNAVILLE</t>
  </si>
  <si>
    <t>TOWRANG</t>
  </si>
  <si>
    <t>WAYO</t>
  </si>
  <si>
    <t>WIABOROUGH</t>
  </si>
  <si>
    <t>WIARBOROUGH</t>
  </si>
  <si>
    <t>WINDELLAMA</t>
  </si>
  <si>
    <t>WOMBEYAN CAVES</t>
  </si>
  <si>
    <t>WOODHOUSELEE</t>
  </si>
  <si>
    <t>WOWAGIN</t>
  </si>
  <si>
    <t>YALBRAITH</t>
  </si>
  <si>
    <t>YARRA</t>
  </si>
  <si>
    <t>BELLMOUNT FOREST</t>
  </si>
  <si>
    <t>BEVENDALE</t>
  </si>
  <si>
    <t>BIALA</t>
  </si>
  <si>
    <t>BLAKNEY CREEK</t>
  </si>
  <si>
    <t>BREADALBANE</t>
  </si>
  <si>
    <t>COLLECTOR</t>
  </si>
  <si>
    <t>CULLERIN</t>
  </si>
  <si>
    <t>DALTON</t>
  </si>
  <si>
    <t>GUNNING</t>
  </si>
  <si>
    <t>GURRUNDAH</t>
  </si>
  <si>
    <t>LADE VALE</t>
  </si>
  <si>
    <t>LAKE GEORGE</t>
  </si>
  <si>
    <t>LERIDA</t>
  </si>
  <si>
    <t>MERRILL</t>
  </si>
  <si>
    <t>OOLONG</t>
  </si>
  <si>
    <t>TALLAGANDA</t>
  </si>
  <si>
    <t>WOLLOGORANG</t>
  </si>
  <si>
    <t>BERREMANGRA</t>
  </si>
  <si>
    <t>BOOKHAM</t>
  </si>
  <si>
    <t>BOWNING</t>
  </si>
  <si>
    <t>BURRINJUCK</t>
  </si>
  <si>
    <t>CAVAN</t>
  </si>
  <si>
    <t>DOG TRAP CROSSING</t>
  </si>
  <si>
    <t>GOOD HOPE</t>
  </si>
  <si>
    <t>GOONDAH</t>
  </si>
  <si>
    <t>JERRAWA</t>
  </si>
  <si>
    <t>KANGIARA</t>
  </si>
  <si>
    <t>MURRUMBATEMAN</t>
  </si>
  <si>
    <t>NANANGROE</t>
  </si>
  <si>
    <t>TANGMANGAROO</t>
  </si>
  <si>
    <t>WEE JASPER</t>
  </si>
  <si>
    <t>WOOLGARLO</t>
  </si>
  <si>
    <t>YASS</t>
  </si>
  <si>
    <t>BIGGA</t>
  </si>
  <si>
    <t>BINDA</t>
  </si>
  <si>
    <t>BLANKET FLAT</t>
  </si>
  <si>
    <t>BROOKLANDS</t>
  </si>
  <si>
    <t>COTTAWALLA</t>
  </si>
  <si>
    <t>CROOKED CORNER</t>
  </si>
  <si>
    <t>CROOKWELL</t>
  </si>
  <si>
    <t>FULLERTON</t>
  </si>
  <si>
    <t>GLENERIN</t>
  </si>
  <si>
    <t>GRABBEN GULLEN</t>
  </si>
  <si>
    <t>GREENMANTLE</t>
  </si>
  <si>
    <t>HADLEY</t>
  </si>
  <si>
    <t>JUNCTION POINT</t>
  </si>
  <si>
    <t>KEMPTON</t>
  </si>
  <si>
    <t>KIALLA</t>
  </si>
  <si>
    <t>LAGGAN</t>
  </si>
  <si>
    <t>LIMERICK</t>
  </si>
  <si>
    <t>MULGOWRIE</t>
  </si>
  <si>
    <t>NARRAWA</t>
  </si>
  <si>
    <t>PEELWOOD</t>
  </si>
  <si>
    <t>RUGBY</t>
  </si>
  <si>
    <t>THIRD CREEK</t>
  </si>
  <si>
    <t>TUENA</t>
  </si>
  <si>
    <t>WHEEO</t>
  </si>
  <si>
    <t>BINALONG</t>
  </si>
  <si>
    <t>ILLALONG CREEK</t>
  </si>
  <si>
    <t>GALONG</t>
  </si>
  <si>
    <t>BOOROWA</t>
  </si>
  <si>
    <t>FROGMORE</t>
  </si>
  <si>
    <t>GOBA CREEK</t>
  </si>
  <si>
    <t>GODFREYS CREEK</t>
  </si>
  <si>
    <t>KENYU</t>
  </si>
  <si>
    <t>MURRINGO</t>
  </si>
  <si>
    <t>REIDS FLAT</t>
  </si>
  <si>
    <t>RYE PARK</t>
  </si>
  <si>
    <t>TAYLORS FLAT</t>
  </si>
  <si>
    <t>AURVILLE</t>
  </si>
  <si>
    <t>CUNNINGAR</t>
  </si>
  <si>
    <t>DEMONDRILLE</t>
  </si>
  <si>
    <t>GARANGULA</t>
  </si>
  <si>
    <t>HARDEN</t>
  </si>
  <si>
    <t>KINGSVALE</t>
  </si>
  <si>
    <t>MURRUMBURRAH</t>
  </si>
  <si>
    <t>NUBBA</t>
  </si>
  <si>
    <t>PRUNEVALE</t>
  </si>
  <si>
    <t>WOMBAT</t>
  </si>
  <si>
    <t>CULLINGA</t>
  </si>
  <si>
    <t>WALLENDBEEN</t>
  </si>
  <si>
    <t>BETHUNGRA</t>
  </si>
  <si>
    <t>COOTAMUNDRA</t>
  </si>
  <si>
    <t>ILLABO</t>
  </si>
  <si>
    <t>ASHVILLE</t>
  </si>
  <si>
    <t>BERTHONG</t>
  </si>
  <si>
    <t>BRIBBAREE</t>
  </si>
  <si>
    <t>BULLA CREEK</t>
  </si>
  <si>
    <t>BURRANGONG</t>
  </si>
  <si>
    <t>KIKIAMAH</t>
  </si>
  <si>
    <t>MAIMURU</t>
  </si>
  <si>
    <t>MEMAGONG</t>
  </si>
  <si>
    <t>MILVALE</t>
  </si>
  <si>
    <t>MONTEAGLE</t>
  </si>
  <si>
    <t>THUDDUNGRA</t>
  </si>
  <si>
    <t>TUBBUL</t>
  </si>
  <si>
    <t>WEEDALLION</t>
  </si>
  <si>
    <t>YANNAWAH</t>
  </si>
  <si>
    <t>YOUNG</t>
  </si>
  <si>
    <t>CANBERRA</t>
  </si>
  <si>
    <t>CAPITAL HILL</t>
  </si>
  <si>
    <t>DEAKIN</t>
  </si>
  <si>
    <t>DEAKIN WEST</t>
  </si>
  <si>
    <t>DUNTROON</t>
  </si>
  <si>
    <t>FAIRBAIRN RAAF</t>
  </si>
  <si>
    <t>HARMAN</t>
  </si>
  <si>
    <t>HMAS HARMAN</t>
  </si>
  <si>
    <t>PARKES</t>
  </si>
  <si>
    <t>RUSSELL</t>
  </si>
  <si>
    <t>RUSSELL HILL</t>
  </si>
  <si>
    <t>YARRALUMLA</t>
  </si>
  <si>
    <t>ACTON</t>
  </si>
  <si>
    <t>CITY</t>
  </si>
  <si>
    <t>AINSLIE</t>
  </si>
  <si>
    <t>DICKSON</t>
  </si>
  <si>
    <t>DOWNER</t>
  </si>
  <si>
    <t>HACKETT</t>
  </si>
  <si>
    <t>LYNEHAM</t>
  </si>
  <si>
    <t>O'CONNOR</t>
  </si>
  <si>
    <t>WATSON</t>
  </si>
  <si>
    <t>FORREST</t>
  </si>
  <si>
    <t>GRIFFITH</t>
  </si>
  <si>
    <t>MANUKA</t>
  </si>
  <si>
    <t>CAUSEWAY</t>
  </si>
  <si>
    <t>KINGSTON</t>
  </si>
  <si>
    <t>NARRABUNDAH</t>
  </si>
  <si>
    <t>CURTIN</t>
  </si>
  <si>
    <t>GARRAN</t>
  </si>
  <si>
    <t>HUGHES</t>
  </si>
  <si>
    <t>LYONS</t>
  </si>
  <si>
    <t>O'MALLEY</t>
  </si>
  <si>
    <t>PHILLIP</t>
  </si>
  <si>
    <t>PHILLIP DC</t>
  </si>
  <si>
    <t>SWINGER HILL</t>
  </si>
  <si>
    <t>WODEN</t>
  </si>
  <si>
    <t>FARRER</t>
  </si>
  <si>
    <t>ISAACS</t>
  </si>
  <si>
    <t>MAWSON</t>
  </si>
  <si>
    <t>PEARCE</t>
  </si>
  <si>
    <t>TORRENS</t>
  </si>
  <si>
    <t>CIVIC SQUARE</t>
  </si>
  <si>
    <t>CANBERRA INTERNATIONAL AIRPORT</t>
  </si>
  <si>
    <t>FYSHWICK</t>
  </si>
  <si>
    <t>PIALLIGO</t>
  </si>
  <si>
    <t>SYMONSTON</t>
  </si>
  <si>
    <t>CANBERRA BC</t>
  </si>
  <si>
    <t>CANBERRA MC</t>
  </si>
  <si>
    <t>BRINDABELLA</t>
  </si>
  <si>
    <t>CHAPMAN</t>
  </si>
  <si>
    <t>DUFFY</t>
  </si>
  <si>
    <t>FISHER</t>
  </si>
  <si>
    <t>HOLDER</t>
  </si>
  <si>
    <t>MOUNT STROMLO</t>
  </si>
  <si>
    <t>PIERCES CREEK</t>
  </si>
  <si>
    <t>RIVETT</t>
  </si>
  <si>
    <t>STIRLING</t>
  </si>
  <si>
    <t>URIARRA</t>
  </si>
  <si>
    <t>URIARRA FOREST</t>
  </si>
  <si>
    <t>WARAMANGA</t>
  </si>
  <si>
    <t>WESTON CREEK</t>
  </si>
  <si>
    <t>BRADDON</t>
  </si>
  <si>
    <t>CAMPBELL</t>
  </si>
  <si>
    <t>REID</t>
  </si>
  <si>
    <t>TURNER</t>
  </si>
  <si>
    <t>ARANDA</t>
  </si>
  <si>
    <t>COOK</t>
  </si>
  <si>
    <t>HAWKER</t>
  </si>
  <si>
    <t>JAMISON CENTRE</t>
  </si>
  <si>
    <t>MACQUARIE</t>
  </si>
  <si>
    <t>PAGE</t>
  </si>
  <si>
    <t>SCULLIN</t>
  </si>
  <si>
    <t>WEETANGERA</t>
  </si>
  <si>
    <t>CHARNWOOD</t>
  </si>
  <si>
    <t>DUNLOP</t>
  </si>
  <si>
    <t>FLOREY</t>
  </si>
  <si>
    <t>FLYNN</t>
  </si>
  <si>
    <t>FRASER</t>
  </si>
  <si>
    <t>HIGGINS</t>
  </si>
  <si>
    <t>HOLT</t>
  </si>
  <si>
    <t>KIPPAX</t>
  </si>
  <si>
    <t>KIPPAX CENTRE</t>
  </si>
  <si>
    <t>LATHAM</t>
  </si>
  <si>
    <t>MACGREGOR</t>
  </si>
  <si>
    <t>MELBA</t>
  </si>
  <si>
    <t>SPENCE</t>
  </si>
  <si>
    <t>BELCONNEN</t>
  </si>
  <si>
    <t>BELCONNEN DC</t>
  </si>
  <si>
    <t>BRUCE</t>
  </si>
  <si>
    <t>EVATT</t>
  </si>
  <si>
    <t>GIRALANG</t>
  </si>
  <si>
    <t>KALEEN</t>
  </si>
  <si>
    <t>LAWSON</t>
  </si>
  <si>
    <t>MCKELLAR</t>
  </si>
  <si>
    <t>UNIVERSITY OF CANBERRA</t>
  </si>
  <si>
    <t>HALL</t>
  </si>
  <si>
    <t>JERRABOMBERRA</t>
  </si>
  <si>
    <t>BURBONG</t>
  </si>
  <si>
    <t>BURRA</t>
  </si>
  <si>
    <t>CARWOOLA</t>
  </si>
  <si>
    <t>CLEAR RANGE</t>
  </si>
  <si>
    <t>DODSWORTH</t>
  </si>
  <si>
    <t>ENVIRONA</t>
  </si>
  <si>
    <t>GOOGONG</t>
  </si>
  <si>
    <t>GREENLEIGH</t>
  </si>
  <si>
    <t>GUNDAROO</t>
  </si>
  <si>
    <t>HUME</t>
  </si>
  <si>
    <t>KARABAR</t>
  </si>
  <si>
    <t>KOWEN FOREST</t>
  </si>
  <si>
    <t>LETCHWORTH</t>
  </si>
  <si>
    <t>MICHELAGO</t>
  </si>
  <si>
    <t>OAKS ESTATE</t>
  </si>
  <si>
    <t>QUEANBEYAN</t>
  </si>
  <si>
    <t>QUEANBEYAN DC</t>
  </si>
  <si>
    <t>QUEANBEYAN EAST</t>
  </si>
  <si>
    <t>RIDGEWAY</t>
  </si>
  <si>
    <t>ROYALLA</t>
  </si>
  <si>
    <t>SUTTON</t>
  </si>
  <si>
    <t>THARWA</t>
  </si>
  <si>
    <t>THE ANGLE</t>
  </si>
  <si>
    <t>TINDERRY</t>
  </si>
  <si>
    <t>TOP NAAS</t>
  </si>
  <si>
    <t>TRALEE</t>
  </si>
  <si>
    <t>URILA</t>
  </si>
  <si>
    <t>WAMBOIN</t>
  </si>
  <si>
    <t>WILLIAMSDALE</t>
  </si>
  <si>
    <t>YARROW</t>
  </si>
  <si>
    <t>ANEMBO</t>
  </si>
  <si>
    <t>BUNGENDORE</t>
  </si>
  <si>
    <t>BYWONG</t>
  </si>
  <si>
    <t>FORBES CREEK</t>
  </si>
  <si>
    <t>HOSKINSTOWN</t>
  </si>
  <si>
    <t>PRIMROSE VALLEY</t>
  </si>
  <si>
    <t>ROSSI</t>
  </si>
  <si>
    <t>ARALUEN</t>
  </si>
  <si>
    <t>ARALUEN NORTH</t>
  </si>
  <si>
    <t>BALLALABA</t>
  </si>
  <si>
    <t>BENDOURA</t>
  </si>
  <si>
    <t>BERLANG</t>
  </si>
  <si>
    <t>BOMBAY</t>
  </si>
  <si>
    <t>BORO</t>
  </si>
  <si>
    <t>BRAIDWOOD</t>
  </si>
  <si>
    <t>BUDAWANG</t>
  </si>
  <si>
    <t>CHARLEYS FOREST</t>
  </si>
  <si>
    <t>CORANG</t>
  </si>
  <si>
    <t>DURRAN DURRA</t>
  </si>
  <si>
    <t>FARRINGDON</t>
  </si>
  <si>
    <t>GUNDILLION</t>
  </si>
  <si>
    <t>HAROLDS CROSS</t>
  </si>
  <si>
    <t>HEREFORD HALL</t>
  </si>
  <si>
    <t>JEMBAICUMBENE</t>
  </si>
  <si>
    <t>JERRABATTCULLA</t>
  </si>
  <si>
    <t>JINDEN</t>
  </si>
  <si>
    <t>JINGERA</t>
  </si>
  <si>
    <t>KAIN</t>
  </si>
  <si>
    <t>KINDERVALE</t>
  </si>
  <si>
    <t>KRAWARREE</t>
  </si>
  <si>
    <t>LARBERT</t>
  </si>
  <si>
    <t>MAJORS CREEK</t>
  </si>
  <si>
    <t>MANAR</t>
  </si>
  <si>
    <t>MARLOWE</t>
  </si>
  <si>
    <t>MONGA</t>
  </si>
  <si>
    <t>MONGARLOWE</t>
  </si>
  <si>
    <t>MULLOON</t>
  </si>
  <si>
    <t>NERINGLA</t>
  </si>
  <si>
    <t>NERRIGA</t>
  </si>
  <si>
    <t>NORTHANGERA</t>
  </si>
  <si>
    <t>OALLEN</t>
  </si>
  <si>
    <t>ORANMEIR</t>
  </si>
  <si>
    <t>PALERANG</t>
  </si>
  <si>
    <t>REIDSDALE</t>
  </si>
  <si>
    <t>SASSAFRAS</t>
  </si>
  <si>
    <t>SNOWBALL</t>
  </si>
  <si>
    <t>TOMBOYE</t>
  </si>
  <si>
    <t>WARRI</t>
  </si>
  <si>
    <t>WOG WOG</t>
  </si>
  <si>
    <t>WYANBENE</t>
  </si>
  <si>
    <t>CAPTAINS FLAT</t>
  </si>
  <si>
    <t>BLUE COW</t>
  </si>
  <si>
    <t>CHARLOTTES PASS</t>
  </si>
  <si>
    <t>GUTHEGA</t>
  </si>
  <si>
    <t>KOSCIUSKO</t>
  </si>
  <si>
    <t>PERISHER VALLEY</t>
  </si>
  <si>
    <t>SMIGGIN HOLES</t>
  </si>
  <si>
    <t>THREDBO</t>
  </si>
  <si>
    <t>THREDBO VILLAGE</t>
  </si>
  <si>
    <t>BREDBO</t>
  </si>
  <si>
    <t>BUMBALONG</t>
  </si>
  <si>
    <t>COLINTON</t>
  </si>
  <si>
    <t>BULLOCKS FLAT</t>
  </si>
  <si>
    <t>CRACKENBACK</t>
  </si>
  <si>
    <t>EAST JINDABYNE</t>
  </si>
  <si>
    <t>GROSSES PLAIN</t>
  </si>
  <si>
    <t>GUNGARLIN</t>
  </si>
  <si>
    <t>INGEBYRA</t>
  </si>
  <si>
    <t>JINDABYNE</t>
  </si>
  <si>
    <t>KALKITE</t>
  </si>
  <si>
    <t>LOWER THREDBO</t>
  </si>
  <si>
    <t>MOONBAH</t>
  </si>
  <si>
    <t>PILOT WILDERNESS</t>
  </si>
  <si>
    <t>SAWPIT CREEK</t>
  </si>
  <si>
    <t>BELOKA</t>
  </si>
  <si>
    <t>BERRIDALE</t>
  </si>
  <si>
    <t>BRAEMAR BAY</t>
  </si>
  <si>
    <t>BYADBO WILDERNESS</t>
  </si>
  <si>
    <t>COOTRALANTRA</t>
  </si>
  <si>
    <t>DALGETY</t>
  </si>
  <si>
    <t>EUCUMBENE</t>
  </si>
  <si>
    <t>LOWER EUCEMBENE</t>
  </si>
  <si>
    <t>NUMBLA VALE</t>
  </si>
  <si>
    <t>PAUPONG</t>
  </si>
  <si>
    <t>ROCKY PLAIN</t>
  </si>
  <si>
    <t>SNOWY PLAIN</t>
  </si>
  <si>
    <t>ADAMINABY</t>
  </si>
  <si>
    <t>ANGLERS REACH</t>
  </si>
  <si>
    <t>CABRAMURRA</t>
  </si>
  <si>
    <t>KIANDRA</t>
  </si>
  <si>
    <t>OLD ADAMINABY</t>
  </si>
  <si>
    <t>PROVIDENCE PORTAL</t>
  </si>
  <si>
    <t>TANTANGARA</t>
  </si>
  <si>
    <t>YAOUK</t>
  </si>
  <si>
    <t>ARABLE</t>
  </si>
  <si>
    <t>BADJA</t>
  </si>
  <si>
    <t>BILLILINGRA</t>
  </si>
  <si>
    <t>BINJURA</t>
  </si>
  <si>
    <t>BOBUNDARA</t>
  </si>
  <si>
    <t>BOLARO</t>
  </si>
  <si>
    <t>BUCKENDERRA</t>
  </si>
  <si>
    <t>BUNGARBY</t>
  </si>
  <si>
    <t>BUNYAN</t>
  </si>
  <si>
    <t>CARLAMINDA</t>
  </si>
  <si>
    <t>CHAKOLA</t>
  </si>
  <si>
    <t>COOLRINGDON</t>
  </si>
  <si>
    <t>COOMA</t>
  </si>
  <si>
    <t>COOMA NORTH</t>
  </si>
  <si>
    <t>COONERANG</t>
  </si>
  <si>
    <t>COUNTEGANY</t>
  </si>
  <si>
    <t>DAIRYMANS PLAINS</t>
  </si>
  <si>
    <t>DANGELONG</t>
  </si>
  <si>
    <t>DRY PLAIN</t>
  </si>
  <si>
    <t>FRYING PAN</t>
  </si>
  <si>
    <t>GLEN FERGUS</t>
  </si>
  <si>
    <t>IRONMUNGY</t>
  </si>
  <si>
    <t>JERANGLE</t>
  </si>
  <si>
    <t>JIMENBUEN</t>
  </si>
  <si>
    <t>MAFFRA</t>
  </si>
  <si>
    <t>MIDDLE FLAT</t>
  </si>
  <si>
    <t>MIDDLINGBANK</t>
  </si>
  <si>
    <t>MURRUMBUCCA</t>
  </si>
  <si>
    <t>MYALLA</t>
  </si>
  <si>
    <t>NIMMO</t>
  </si>
  <si>
    <t>NUMERALLA</t>
  </si>
  <si>
    <t>PEAK VIEW</t>
  </si>
  <si>
    <t>PINE VALLEY</t>
  </si>
  <si>
    <t>POLO FLAT</t>
  </si>
  <si>
    <t>RHINE FALLS</t>
  </si>
  <si>
    <t>ROCK FLAT</t>
  </si>
  <si>
    <t>SHANNONS FLAT</t>
  </si>
  <si>
    <t>THE BROTHERS</t>
  </si>
  <si>
    <t>TUROSS</t>
  </si>
  <si>
    <t>WAMBROOK</t>
  </si>
  <si>
    <t>ANDO</t>
  </si>
  <si>
    <t>BOCCI</t>
  </si>
  <si>
    <t>CREEWAH</t>
  </si>
  <si>
    <t>GLEN ALLEN</t>
  </si>
  <si>
    <t>HOLTS FLAT</t>
  </si>
  <si>
    <t>JIMCUMBILLY</t>
  </si>
  <si>
    <t>KYBEYAN</t>
  </si>
  <si>
    <t>MOUNT COOPER</t>
  </si>
  <si>
    <t>NIMMITABEL</t>
  </si>
  <si>
    <t>STEEPLE FLAT</t>
  </si>
  <si>
    <t>WINIFRED</t>
  </si>
  <si>
    <t>BIBBENLUKE</t>
  </si>
  <si>
    <t>BOMBALA</t>
  </si>
  <si>
    <t>BONDI FOREST</t>
  </si>
  <si>
    <t>BUKALONG</t>
  </si>
  <si>
    <t>CAMBALONG</t>
  </si>
  <si>
    <t>CATHCART</t>
  </si>
  <si>
    <t>COOLUMBOOKA</t>
  </si>
  <si>
    <t>CRAIGIE</t>
  </si>
  <si>
    <t>GUNNINGRAH</t>
  </si>
  <si>
    <t>LORDS HILL</t>
  </si>
  <si>
    <t>MERRIANGAAH</t>
  </si>
  <si>
    <t>MILA</t>
  </si>
  <si>
    <t>MOUNT DARRAGH</t>
  </si>
  <si>
    <t>NUNGATTA</t>
  </si>
  <si>
    <t>PALARANG</t>
  </si>
  <si>
    <t>QUIDONG</t>
  </si>
  <si>
    <t>ROCKTON</t>
  </si>
  <si>
    <t>ROSEMEATH</t>
  </si>
  <si>
    <t>CORROWONG</t>
  </si>
  <si>
    <t>DELEGATE</t>
  </si>
  <si>
    <t>TOMBONG</t>
  </si>
  <si>
    <t>ALBURY</t>
  </si>
  <si>
    <t>BUNGOWANNAH</t>
  </si>
  <si>
    <t>EAST ALBURY</t>
  </si>
  <si>
    <t>ETTAMOGAH</t>
  </si>
  <si>
    <t>GLENROY</t>
  </si>
  <si>
    <t>LAVINGTON DC</t>
  </si>
  <si>
    <t>MOORWATHA</t>
  </si>
  <si>
    <t>NORTH ALBURY</t>
  </si>
  <si>
    <t>OURNIE</t>
  </si>
  <si>
    <t>SOUTH ALBURY</t>
  </si>
  <si>
    <t>SPLITTERS CREEK</t>
  </si>
  <si>
    <t>TABLE TOP</t>
  </si>
  <si>
    <t>TALMALMO</t>
  </si>
  <si>
    <t>THURGOONA</t>
  </si>
  <si>
    <t>WEST ALBURY</t>
  </si>
  <si>
    <t>WIRLINGA</t>
  </si>
  <si>
    <t>WYMAH</t>
  </si>
  <si>
    <t>HAMILTON VALLEY</t>
  </si>
  <si>
    <t>LAVINGTON</t>
  </si>
  <si>
    <t>SPRINGDALE HEIGHTS</t>
  </si>
  <si>
    <t>BROCKLESBY</t>
  </si>
  <si>
    <t>BURRUMBUTTOCK</t>
  </si>
  <si>
    <t>GEEHI</t>
  </si>
  <si>
    <t>GEROGERY</t>
  </si>
  <si>
    <t>GREG GREG</t>
  </si>
  <si>
    <t>INDI</t>
  </si>
  <si>
    <t>JAGUMBA</t>
  </si>
  <si>
    <t>JAGUNGAL WILDERNESS</t>
  </si>
  <si>
    <t>JINDERA</t>
  </si>
  <si>
    <t>JINGELLIC</t>
  </si>
  <si>
    <t>KHANCOBAN</t>
  </si>
  <si>
    <t>MURRAY GORGE</t>
  </si>
  <si>
    <t>RAND</t>
  </si>
  <si>
    <t>TOOMA</t>
  </si>
  <si>
    <t>WALBUNDRIE</t>
  </si>
  <si>
    <t>YERONG CREEK</t>
  </si>
  <si>
    <t>HOWLONG</t>
  </si>
  <si>
    <t>BOWNA</t>
  </si>
  <si>
    <t>COPPABELLA</t>
  </si>
  <si>
    <t>HOLBROOK</t>
  </si>
  <si>
    <t>LANKEYS CREEK</t>
  </si>
  <si>
    <t>LITTLE BILLABONG</t>
  </si>
  <si>
    <t>MOUNTAIN CREEK</t>
  </si>
  <si>
    <t>MULLENGANDRA</t>
  </si>
  <si>
    <t>WANTAGONG</t>
  </si>
  <si>
    <t>WOOMARGAMA</t>
  </si>
  <si>
    <t>COONONG</t>
  </si>
  <si>
    <t>URANA</t>
  </si>
  <si>
    <t>YULUMA</t>
  </si>
  <si>
    <t>BALLDALE</t>
  </si>
  <si>
    <t>BULL PLAIN</t>
  </si>
  <si>
    <t>BURAJA</t>
  </si>
  <si>
    <t>COADS TANK</t>
  </si>
  <si>
    <t>COLLENDINA</t>
  </si>
  <si>
    <t>COREEN</t>
  </si>
  <si>
    <t>COROWA</t>
  </si>
  <si>
    <t>DAYSDALE</t>
  </si>
  <si>
    <t>GOOMBARGANA</t>
  </si>
  <si>
    <t>LOWESDALE</t>
  </si>
  <si>
    <t>MERTON VALE</t>
  </si>
  <si>
    <t>OAKLANDS</t>
  </si>
  <si>
    <t>REDLANDS</t>
  </si>
  <si>
    <t>RENNIE</t>
  </si>
  <si>
    <t>RINGWOOD</t>
  </si>
  <si>
    <t>SAVERNAKE</t>
  </si>
  <si>
    <t>MULWALA</t>
  </si>
  <si>
    <t>BOEILL CREEK</t>
  </si>
  <si>
    <t>CAL LAL</t>
  </si>
  <si>
    <t>CURLWAA</t>
  </si>
  <si>
    <t>MOURQUONG</t>
  </si>
  <si>
    <t>PALINYEWAH</t>
  </si>
  <si>
    <t>POMONA</t>
  </si>
  <si>
    <t>POONCARIE</t>
  </si>
  <si>
    <t>RUFUS RIVER</t>
  </si>
  <si>
    <t>WENTWORTH</t>
  </si>
  <si>
    <t>LAUREL HILL</t>
  </si>
  <si>
    <t>NURENMERENMONG</t>
  </si>
  <si>
    <t>ALFREDTOWN</t>
  </si>
  <si>
    <t>ASHMONT</t>
  </si>
  <si>
    <t>BELFRAYDEN</t>
  </si>
  <si>
    <t>BERRY JERRY</t>
  </si>
  <si>
    <t>BIG SPRINGS</t>
  </si>
  <si>
    <t>BOMEN</t>
  </si>
  <si>
    <t>BOOK BOOK</t>
  </si>
  <si>
    <t>BOOROOMA</t>
  </si>
  <si>
    <t>BORAMBOLA</t>
  </si>
  <si>
    <t>BOURKELANDS</t>
  </si>
  <si>
    <t>BRUCEDALE</t>
  </si>
  <si>
    <t>BULGARY</t>
  </si>
  <si>
    <t>BURRANDANA</t>
  </si>
  <si>
    <t>CARABOST</t>
  </si>
  <si>
    <t>CARTWRIGHTS HILL</t>
  </si>
  <si>
    <t>COLLINGULLIE</t>
  </si>
  <si>
    <t>COOKARDINIA</t>
  </si>
  <si>
    <t>COURSING PARK</t>
  </si>
  <si>
    <t>CURRAWANANNA</t>
  </si>
  <si>
    <t>CURRAWARNA</t>
  </si>
  <si>
    <t>DOWNSIDE</t>
  </si>
  <si>
    <t>EAST WAGGA WAGGA</t>
  </si>
  <si>
    <t>ESTELLA</t>
  </si>
  <si>
    <t>EUBERTA</t>
  </si>
  <si>
    <t>EUNONOREENYA</t>
  </si>
  <si>
    <t>GELSTON PARK</t>
  </si>
  <si>
    <t>GLENFIELD PARK</t>
  </si>
  <si>
    <t>GOBBAGOMBALIN</t>
  </si>
  <si>
    <t>GREGADOO</t>
  </si>
  <si>
    <t>HAREFIELD</t>
  </si>
  <si>
    <t>KOORINGAL</t>
  </si>
  <si>
    <t>KYEAMBA</t>
  </si>
  <si>
    <t>LAKE ALBERT</t>
  </si>
  <si>
    <t>LLOYD</t>
  </si>
  <si>
    <t>MAXWELL</t>
  </si>
  <si>
    <t>MOORONG</t>
  </si>
  <si>
    <t>MOUNT AUSTIN</t>
  </si>
  <si>
    <t>OBERNE CREEK</t>
  </si>
  <si>
    <t>OURA</t>
  </si>
  <si>
    <t>PULLETOP</t>
  </si>
  <si>
    <t>ROWAN</t>
  </si>
  <si>
    <t>SAN ISIDORE</t>
  </si>
  <si>
    <t>SPRINGVALE</t>
  </si>
  <si>
    <t>TATTON</t>
  </si>
  <si>
    <t>THE GAP</t>
  </si>
  <si>
    <t>TOLLAND</t>
  </si>
  <si>
    <t>TURVEY PARK</t>
  </si>
  <si>
    <t>WAGGA WAGGA</t>
  </si>
  <si>
    <t>WAGGA WAGGA BC</t>
  </si>
  <si>
    <t>WAGGA WAGGA NORTH</t>
  </si>
  <si>
    <t>WAGGA WAGGA SOUTH</t>
  </si>
  <si>
    <t>WALLACETOWN</t>
  </si>
  <si>
    <t>WANTABADGERY</t>
  </si>
  <si>
    <t>WESTBY</t>
  </si>
  <si>
    <t>YARRAGUNDRY</t>
  </si>
  <si>
    <t>YATHELLA</t>
  </si>
  <si>
    <t>FOREST HILL</t>
  </si>
  <si>
    <t>WAGGA WAGGA RAAF</t>
  </si>
  <si>
    <t>BOORGA</t>
  </si>
  <si>
    <t>BOREE CREEK</t>
  </si>
  <si>
    <t>GALORE</t>
  </si>
  <si>
    <t>GOOLGOWI</t>
  </si>
  <si>
    <t>GRONG GRONG</t>
  </si>
  <si>
    <t>GUMLY GUMLY</t>
  </si>
  <si>
    <t>HUMULA</t>
  </si>
  <si>
    <t>LADYSMITH</t>
  </si>
  <si>
    <t>MANGOPLAH</t>
  </si>
  <si>
    <t>MARRAR</t>
  </si>
  <si>
    <t>MATONG</t>
  </si>
  <si>
    <t>MERRIWAGGA</t>
  </si>
  <si>
    <t>MURRULEBALE</t>
  </si>
  <si>
    <t>OBERNE</t>
  </si>
  <si>
    <t>OLD JUNEE</t>
  </si>
  <si>
    <t>TABBITA</t>
  </si>
  <si>
    <t>TARCUTTA</t>
  </si>
  <si>
    <t>URANQUINTY</t>
  </si>
  <si>
    <t>COURABYRA</t>
  </si>
  <si>
    <t>MANNUS</t>
  </si>
  <si>
    <t>MARAGLE</t>
  </si>
  <si>
    <t>MUNDEROO</t>
  </si>
  <si>
    <t>TARADALE</t>
  </si>
  <si>
    <t>TUMBARUMBA</t>
  </si>
  <si>
    <t>WILLIGOBUNG</t>
  </si>
  <si>
    <t>BIRDLIP</t>
  </si>
  <si>
    <t>FRENCH PARK</t>
  </si>
  <si>
    <t>KUBURA</t>
  </si>
  <si>
    <t>THE ROCK</t>
  </si>
  <si>
    <t>TOOTOOL</t>
  </si>
  <si>
    <t>BROOKDALE</t>
  </si>
  <si>
    <t>LOCKHART</t>
  </si>
  <si>
    <t>MILBRULONG</t>
  </si>
  <si>
    <t>OSBORNE</t>
  </si>
  <si>
    <t>URANGELINE</t>
  </si>
  <si>
    <t>URANGELINE EAST</t>
  </si>
  <si>
    <t>GRUBBEN</t>
  </si>
  <si>
    <t>HENTY</t>
  </si>
  <si>
    <t>MUNYABLA</t>
  </si>
  <si>
    <t>PLEASANT HILLS</t>
  </si>
  <si>
    <t>RYAN</t>
  </si>
  <si>
    <t>ALMA PARK</t>
  </si>
  <si>
    <t>WALLA WALLA</t>
  </si>
  <si>
    <t>CARNSDALE</t>
  </si>
  <si>
    <t>CULCAIRN</t>
  </si>
  <si>
    <t>KAPOOKA</t>
  </si>
  <si>
    <t>BUNDURE</t>
  </si>
  <si>
    <t>COOBA</t>
  </si>
  <si>
    <t>COWABBIE</t>
  </si>
  <si>
    <t>ERIN VALE</t>
  </si>
  <si>
    <t>EURONGILLY</t>
  </si>
  <si>
    <t>JUNEE</t>
  </si>
  <si>
    <t>LANDERVALE</t>
  </si>
  <si>
    <t>MARINNA</t>
  </si>
  <si>
    <t>WANTIOOL</t>
  </si>
  <si>
    <t>ARDLETHAN</t>
  </si>
  <si>
    <t>ARIAH PARK</t>
  </si>
  <si>
    <t>BARELLAN</t>
  </si>
  <si>
    <t>BECKOM</t>
  </si>
  <si>
    <t>BECTRIC</t>
  </si>
  <si>
    <t>BINYA</t>
  </si>
  <si>
    <t>KAMARAH</t>
  </si>
  <si>
    <t>MIRROOL</t>
  </si>
  <si>
    <t>MOOMBOOLDOOL</t>
  </si>
  <si>
    <t>MOUNT CRYSTAL</t>
  </si>
  <si>
    <t>TARA</t>
  </si>
  <si>
    <t>WALLEROOBIE</t>
  </si>
  <si>
    <t>COMBANING</t>
  </si>
  <si>
    <t>DIRNASEER</t>
  </si>
  <si>
    <t>GIDGINBUNG</t>
  </si>
  <si>
    <t>GROGAN</t>
  </si>
  <si>
    <t>JUNEE REEFS</t>
  </si>
  <si>
    <t>MIMOSA</t>
  </si>
  <si>
    <t>MORANGARELL</t>
  </si>
  <si>
    <t>NARRABURRA</t>
  </si>
  <si>
    <t>PUCAWAN</t>
  </si>
  <si>
    <t>QUANDARY</t>
  </si>
  <si>
    <t>REEFTON</t>
  </si>
  <si>
    <t>SEBASTOPOL</t>
  </si>
  <si>
    <t>SPRINGDALE</t>
  </si>
  <si>
    <t>TEMORA</t>
  </si>
  <si>
    <t>TRUNGLEY HALL</t>
  </si>
  <si>
    <t>BARMEDMAN</t>
  </si>
  <si>
    <t>BYGALORIE</t>
  </si>
  <si>
    <t>ERIGOLIA</t>
  </si>
  <si>
    <t>GIRRAL</t>
  </si>
  <si>
    <t>GUBBATA</t>
  </si>
  <si>
    <t>KIKOIRA</t>
  </si>
  <si>
    <t>MELBERGEN</t>
  </si>
  <si>
    <t>NARADHAN</t>
  </si>
  <si>
    <t>NORTH YALGOGRIN</t>
  </si>
  <si>
    <t>RANKINS SPRINGS</t>
  </si>
  <si>
    <t>TALLIMBA</t>
  </si>
  <si>
    <t>TULLIBIGEAL</t>
  </si>
  <si>
    <t>UNGARIE</t>
  </si>
  <si>
    <t>WEETHALLE</t>
  </si>
  <si>
    <t>WEJA</t>
  </si>
  <si>
    <t>YADDRA</t>
  </si>
  <si>
    <t>ALLEENA</t>
  </si>
  <si>
    <t>BURCHER</t>
  </si>
  <si>
    <t>LAKE COWAL</t>
  </si>
  <si>
    <t>WEST WYALONG</t>
  </si>
  <si>
    <t>WYALONG</t>
  </si>
  <si>
    <t>BURGOONEY</t>
  </si>
  <si>
    <t>LAKE CARGELLIGO</t>
  </si>
  <si>
    <t>MURRIN BRIDGE</t>
  </si>
  <si>
    <t>WARGAMBEGAL</t>
  </si>
  <si>
    <t>HILLSTON</t>
  </si>
  <si>
    <t>LAKE BREWSTER</t>
  </si>
  <si>
    <t>MONIA GAP</t>
  </si>
  <si>
    <t>ROTO</t>
  </si>
  <si>
    <t>WALLANTHERY</t>
  </si>
  <si>
    <t>WHITE TOP</t>
  </si>
  <si>
    <t>CHARLES STURT UNIVERSITY</t>
  </si>
  <si>
    <t>RIVERINA MSC</t>
  </si>
  <si>
    <t>BEELBANGERA</t>
  </si>
  <si>
    <t>BENEREMBAH</t>
  </si>
  <si>
    <t>BILBUL</t>
  </si>
  <si>
    <t>GRIFFITH DC</t>
  </si>
  <si>
    <t>GRIFFITH EAST</t>
  </si>
  <si>
    <t>HANWOOD</t>
  </si>
  <si>
    <t>KOOBA</t>
  </si>
  <si>
    <t>LAKE WYANGAN</t>
  </si>
  <si>
    <t>NERICON</t>
  </si>
  <si>
    <t>THARBOGANG</t>
  </si>
  <si>
    <t>WARBURN</t>
  </si>
  <si>
    <t>WARRAWIDGEE</t>
  </si>
  <si>
    <t>WIDGELLI</t>
  </si>
  <si>
    <t>WILLBRIGGIE</t>
  </si>
  <si>
    <t>YOOGALI</t>
  </si>
  <si>
    <t>MYALL PARK</t>
  </si>
  <si>
    <t>YENDA</t>
  </si>
  <si>
    <t>BIRREGO</t>
  </si>
  <si>
    <t>COLINROOBIE</t>
  </si>
  <si>
    <t>COROBIMILLA</t>
  </si>
  <si>
    <t>CUDGEL</t>
  </si>
  <si>
    <t>FAITHFULL</t>
  </si>
  <si>
    <t>KYWONG</t>
  </si>
  <si>
    <t>MORUNDAH</t>
  </si>
  <si>
    <t>NARRANDERA</t>
  </si>
  <si>
    <t>PAYNTERS SIDING</t>
  </si>
  <si>
    <t>SANDIGO</t>
  </si>
  <si>
    <t>UROLY</t>
  </si>
  <si>
    <t>WIDGIEWA</t>
  </si>
  <si>
    <t>COOLAMON</t>
  </si>
  <si>
    <t>METHUL</t>
  </si>
  <si>
    <t>RANNOCK</t>
  </si>
  <si>
    <t>TOOYAL</t>
  </si>
  <si>
    <t>GANMAIN</t>
  </si>
  <si>
    <t>YANCO</t>
  </si>
  <si>
    <t>BROBENAH</t>
  </si>
  <si>
    <t>CALORAFIELD</t>
  </si>
  <si>
    <t>CORBIE HILL</t>
  </si>
  <si>
    <t>GOGELDRIE</t>
  </si>
  <si>
    <t>LEETON</t>
  </si>
  <si>
    <t>MERUNGLE HILL</t>
  </si>
  <si>
    <t>MURRAMI</t>
  </si>
  <si>
    <t>STANBRIDGE</t>
  </si>
  <si>
    <t>WAMOON</t>
  </si>
  <si>
    <t>WHITTON</t>
  </si>
  <si>
    <t>DARLINGTON POINT</t>
  </si>
  <si>
    <t>ARGOON</t>
  </si>
  <si>
    <t>COLEAMBALLY</t>
  </si>
  <si>
    <t>ALBURY MSC</t>
  </si>
  <si>
    <t>MURRAY REGION MC</t>
  </si>
  <si>
    <t>BARRATTA</t>
  </si>
  <si>
    <t>BENARCA</t>
  </si>
  <si>
    <t>BIRGANBIGIL</t>
  </si>
  <si>
    <t>BOOROORBAN</t>
  </si>
  <si>
    <t>BRASSI</t>
  </si>
  <si>
    <t>CALDWELL</t>
  </si>
  <si>
    <t>CALIMO</t>
  </si>
  <si>
    <t>CONARGO</t>
  </si>
  <si>
    <t>COREE</t>
  </si>
  <si>
    <t>CORNALLA</t>
  </si>
  <si>
    <t>DENILIQUIN</t>
  </si>
  <si>
    <t>GULPA</t>
  </si>
  <si>
    <t>HARTWOOD</t>
  </si>
  <si>
    <t>HILL PLAIN</t>
  </si>
  <si>
    <t>JIMARINGLE</t>
  </si>
  <si>
    <t>LINDIFFERON</t>
  </si>
  <si>
    <t>MATHOURA</t>
  </si>
  <si>
    <t>MAYRUNG</t>
  </si>
  <si>
    <t>MOIRA</t>
  </si>
  <si>
    <t>MOONAHCULLAH</t>
  </si>
  <si>
    <t>MOONBRIA</t>
  </si>
  <si>
    <t>MORAGO</t>
  </si>
  <si>
    <t>PRETTY PINE</t>
  </si>
  <si>
    <t>STEAM PLAINS</t>
  </si>
  <si>
    <t>STUD PARK</t>
  </si>
  <si>
    <t>WAKOOL</t>
  </si>
  <si>
    <t>WANDOOK</t>
  </si>
  <si>
    <t>WANGANELLA</t>
  </si>
  <si>
    <t>WARRAGOON</t>
  </si>
  <si>
    <t>WILLURAH</t>
  </si>
  <si>
    <t>YALLAKOOL</t>
  </si>
  <si>
    <t>BOOLIGAL</t>
  </si>
  <si>
    <t>CARRATHOOL</t>
  </si>
  <si>
    <t>GUNBAR</t>
  </si>
  <si>
    <t>HAY</t>
  </si>
  <si>
    <t>HAY SOUTH</t>
  </si>
  <si>
    <t>MAUDE</t>
  </si>
  <si>
    <t>ONE TREE</t>
  </si>
  <si>
    <t>OXLEY</t>
  </si>
  <si>
    <t>BERRIGAN</t>
  </si>
  <si>
    <t>BOOMANOOMANA</t>
  </si>
  <si>
    <t>BLIGHTY</t>
  </si>
  <si>
    <t>FINLEY</t>
  </si>
  <si>
    <t>LOGIE BRAE</t>
  </si>
  <si>
    <t>MYRTLE PARK</t>
  </si>
  <si>
    <t>PINE LODGE</t>
  </si>
  <si>
    <t>TOCUMWAL</t>
  </si>
  <si>
    <t>TUPPAL</t>
  </si>
  <si>
    <t>BALRANALD</t>
  </si>
  <si>
    <t>HATFIELD</t>
  </si>
  <si>
    <t>PENARIE</t>
  </si>
  <si>
    <t>THE VALE</t>
  </si>
  <si>
    <t>COREE SOUTH</t>
  </si>
  <si>
    <t>FOUR CORNERS</t>
  </si>
  <si>
    <t>JERILDERIE</t>
  </si>
  <si>
    <t>MABINS WELL</t>
  </si>
  <si>
    <t>DARETON</t>
  </si>
  <si>
    <t>ARGALONG</t>
  </si>
  <si>
    <t>BLOWERING</t>
  </si>
  <si>
    <t>BOGONG PEAKS WILDERNESS</t>
  </si>
  <si>
    <t>BOMBOWLEE</t>
  </si>
  <si>
    <t>BOMBOWLEE CREEK</t>
  </si>
  <si>
    <t>BUDDONG</t>
  </si>
  <si>
    <t>COURAJAGO</t>
  </si>
  <si>
    <t>GADARA</t>
  </si>
  <si>
    <t>GILMORE</t>
  </si>
  <si>
    <t>GOCUP</t>
  </si>
  <si>
    <t>GOOBARRAGANDRA</t>
  </si>
  <si>
    <t>JONES BRIDGE</t>
  </si>
  <si>
    <t>KILLIMICAT</t>
  </si>
  <si>
    <t>LACMALAC</t>
  </si>
  <si>
    <t>LITTLE RIVER</t>
  </si>
  <si>
    <t>MIDWAY</t>
  </si>
  <si>
    <t>MINJARY</t>
  </si>
  <si>
    <t>MUNDONGO</t>
  </si>
  <si>
    <t>PINBEYAN</t>
  </si>
  <si>
    <t>TALBINGO</t>
  </si>
  <si>
    <t>TUMORRAMA</t>
  </si>
  <si>
    <t>TUMUT</t>
  </si>
  <si>
    <t>TUMUT PLAINS</t>
  </si>
  <si>
    <t>WEREBOLDERA</t>
  </si>
  <si>
    <t>WERMATONG</t>
  </si>
  <si>
    <t>WINDOWIE</t>
  </si>
  <si>
    <t>WYANGLE</t>
  </si>
  <si>
    <t>YARRANGOBILLY</t>
  </si>
  <si>
    <t>BLAND</t>
  </si>
  <si>
    <t>QUANDIALLA</t>
  </si>
  <si>
    <t>BONGALONG</t>
  </si>
  <si>
    <t>BONGONGALONG</t>
  </si>
  <si>
    <t>BRUNGLE</t>
  </si>
  <si>
    <t>BRUNGLE CREEK</t>
  </si>
  <si>
    <t>DARBALARA</t>
  </si>
  <si>
    <t>EDWARDSTOWN</t>
  </si>
  <si>
    <t>GUNDAGAI</t>
  </si>
  <si>
    <t>JACKALASS</t>
  </si>
  <si>
    <t>JONES CREEK</t>
  </si>
  <si>
    <t>MUTTAMA</t>
  </si>
  <si>
    <t>NANGUS</t>
  </si>
  <si>
    <t>RENO</t>
  </si>
  <si>
    <t>SOUTH GUNDAGAI</t>
  </si>
  <si>
    <t>TARRABANDRA</t>
  </si>
  <si>
    <t>WAGRAGOBILLY</t>
  </si>
  <si>
    <t>WILLIE PLOMA</t>
  </si>
  <si>
    <t>STOCKINBINGAL</t>
  </si>
  <si>
    <t>BUNDARBO</t>
  </si>
  <si>
    <t>JUGIONG</t>
  </si>
  <si>
    <t>ADJUNGBILLY</t>
  </si>
  <si>
    <t>COOLAC</t>
  </si>
  <si>
    <t>MINGAY</t>
  </si>
  <si>
    <t>ADELONG</t>
  </si>
  <si>
    <t>BANGADANG</t>
  </si>
  <si>
    <t>CALIFAT</t>
  </si>
  <si>
    <t>COOLEYS CREEK</t>
  </si>
  <si>
    <t>DARLOW</t>
  </si>
  <si>
    <t>ELLERSLIE</t>
  </si>
  <si>
    <t>GRAHAMSTOWN</t>
  </si>
  <si>
    <t>MOUNT ADRAH</t>
  </si>
  <si>
    <t>MOUNT HOREB</t>
  </si>
  <si>
    <t>MUNDARLO</t>
  </si>
  <si>
    <t>SANDY GULLY</t>
  </si>
  <si>
    <t>SHARPS CREEK</t>
  </si>
  <si>
    <t>THE GROVE</t>
  </si>
  <si>
    <t>TUMBLONG</t>
  </si>
  <si>
    <t>WESTWOOD</t>
  </si>
  <si>
    <t>WONDALGA</t>
  </si>
  <si>
    <t>YAVEN CREEK</t>
  </si>
  <si>
    <t>BAGO</t>
  </si>
  <si>
    <t>BATLOW</t>
  </si>
  <si>
    <t>KUNAMA</t>
  </si>
  <si>
    <t>LOWER BAGO</t>
  </si>
  <si>
    <t>BUNNALOO</t>
  </si>
  <si>
    <t>MOAMA</t>
  </si>
  <si>
    <t>TANTONAN</t>
  </si>
  <si>
    <t>WOMBOOTA</t>
  </si>
  <si>
    <t>BARHAM</t>
  </si>
  <si>
    <t>BURRABOI</t>
  </si>
  <si>
    <t>NOORONG</t>
  </si>
  <si>
    <t>THULE</t>
  </si>
  <si>
    <t>TULLAKOOL</t>
  </si>
  <si>
    <t>DHURAGOON</t>
  </si>
  <si>
    <t>MOULAMEIN</t>
  </si>
  <si>
    <t>NIEMUR</t>
  </si>
  <si>
    <t>PEREKERTEN</t>
  </si>
  <si>
    <t>COOBOOL</t>
  </si>
  <si>
    <t>CUNNINYEUK</t>
  </si>
  <si>
    <t>DILPURRA</t>
  </si>
  <si>
    <t>KYALITE</t>
  </si>
  <si>
    <t>MELLOOL</t>
  </si>
  <si>
    <t>NACURRIE</t>
  </si>
  <si>
    <t>SPEEWA ISLAND</t>
  </si>
  <si>
    <t>STONY CROSSING</t>
  </si>
  <si>
    <t>TUELOGA</t>
  </si>
  <si>
    <t>WETUPPA</t>
  </si>
  <si>
    <t>KORALEIGH</t>
  </si>
  <si>
    <t>GOODNIGHT</t>
  </si>
  <si>
    <t>TOOLEYBUC</t>
  </si>
  <si>
    <t>BENANEE</t>
  </si>
  <si>
    <t>EUSTON</t>
  </si>
  <si>
    <t>GOL GOL</t>
  </si>
  <si>
    <t>MONAK</t>
  </si>
  <si>
    <t>TRENTHAM CLIFFS</t>
  </si>
  <si>
    <t>BURONGA</t>
  </si>
  <si>
    <t>GLENMORE PARK</t>
  </si>
  <si>
    <t>LUDDENHAM</t>
  </si>
  <si>
    <t>MULGOA</t>
  </si>
  <si>
    <t>REGENTVILLE</t>
  </si>
  <si>
    <t>WALLACIA</t>
  </si>
  <si>
    <t>CAMBRIDGE GARDENS</t>
  </si>
  <si>
    <t>CAMBRIDGE PARK</t>
  </si>
  <si>
    <t>CLAREMONT MEADOWS</t>
  </si>
  <si>
    <t>LLANDILO</t>
  </si>
  <si>
    <t>SHANES PARK</t>
  </si>
  <si>
    <t>WERRINGTON</t>
  </si>
  <si>
    <t>WERRINGTON COUNTY</t>
  </si>
  <si>
    <t>WERRINGTON DOWNS</t>
  </si>
  <si>
    <t>ORCHARD HILLS</t>
  </si>
  <si>
    <t>CASTLEREAGH</t>
  </si>
  <si>
    <t>CRANEBROOK</t>
  </si>
  <si>
    <t>EMU HEIGHTS</t>
  </si>
  <si>
    <t>EMU PLAINS</t>
  </si>
  <si>
    <t>JAMISONTOWN</t>
  </si>
  <si>
    <t>LEONAY</t>
  </si>
  <si>
    <t>PENRITH</t>
  </si>
  <si>
    <t>PENRITH PLAZA</t>
  </si>
  <si>
    <t>PENRITH SOUTH</t>
  </si>
  <si>
    <t>SOUTH PENRITH</t>
  </si>
  <si>
    <t>SILVERDALE</t>
  </si>
  <si>
    <t>WARRAGAMBA</t>
  </si>
  <si>
    <t>AGNES BANKS</t>
  </si>
  <si>
    <t>BOWEN MOUNTAIN</t>
  </si>
  <si>
    <t>GROSE VALE</t>
  </si>
  <si>
    <t>GROSE WOLD</t>
  </si>
  <si>
    <t>HOBARTVILLE</t>
  </si>
  <si>
    <t>LONDONDERRY</t>
  </si>
  <si>
    <t>RICHMOND</t>
  </si>
  <si>
    <t>YARRAMUNDI</t>
  </si>
  <si>
    <t>NORTH RICHMOND</t>
  </si>
  <si>
    <t>TENNYSON</t>
  </si>
  <si>
    <t>THE SLOPES</t>
  </si>
  <si>
    <t>BLIGH PARK</t>
  </si>
  <si>
    <t>CATTAI</t>
  </si>
  <si>
    <t>CENTRAL COLO</t>
  </si>
  <si>
    <t>CLARENDON</t>
  </si>
  <si>
    <t>COLO</t>
  </si>
  <si>
    <t>COLO HEIGHTS</t>
  </si>
  <si>
    <t>CORNWALLIS</t>
  </si>
  <si>
    <t>EBENEZER</t>
  </si>
  <si>
    <t>FREEMANS REACH</t>
  </si>
  <si>
    <t>GLOSSODIA</t>
  </si>
  <si>
    <t>LEETS VALE</t>
  </si>
  <si>
    <t>LOWER PORTLAND</t>
  </si>
  <si>
    <t>MAROOTA</t>
  </si>
  <si>
    <t>MCGRATHS HILL</t>
  </si>
  <si>
    <t>MELLONG</t>
  </si>
  <si>
    <t>MULGRAVE</t>
  </si>
  <si>
    <t>PITT TOWN</t>
  </si>
  <si>
    <t>SACKVILLE</t>
  </si>
  <si>
    <t>SACKVILLE NORTH</t>
  </si>
  <si>
    <t>SCHEYVILLE</t>
  </si>
  <si>
    <t>SOUTH MAROOTA</t>
  </si>
  <si>
    <t>SOUTH WINDSOR</t>
  </si>
  <si>
    <t>UPPER COLO</t>
  </si>
  <si>
    <t>WILBERFORCE</t>
  </si>
  <si>
    <t>WINDSOR</t>
  </si>
  <si>
    <t>WINDSOR DOWNS</t>
  </si>
  <si>
    <t>KURMOND</t>
  </si>
  <si>
    <t>BERAMBING</t>
  </si>
  <si>
    <t>BILPIN</t>
  </si>
  <si>
    <t>BLAXLANDS RIDGE</t>
  </si>
  <si>
    <t>EAST KURRAJONG</t>
  </si>
  <si>
    <t>KURRAJONG</t>
  </si>
  <si>
    <t>KURRAJONG HEIGHTS</t>
  </si>
  <si>
    <t>KURRAJONG HILLS</t>
  </si>
  <si>
    <t>MOUNT TOMAH</t>
  </si>
  <si>
    <t>WHEENY CREEK</t>
  </si>
  <si>
    <t>ERSKINE PARK</t>
  </si>
  <si>
    <t>COLYTON</t>
  </si>
  <si>
    <t>NORTH ST MARYS</t>
  </si>
  <si>
    <t>OXLEY PARK</t>
  </si>
  <si>
    <t>ST MARYS EAST</t>
  </si>
  <si>
    <t>ST MARYS SOUTH</t>
  </si>
  <si>
    <t>COLEBEE</t>
  </si>
  <si>
    <t>DEAN PARK</t>
  </si>
  <si>
    <t>GLENDENNING</t>
  </si>
  <si>
    <t>GLENDENNING DC</t>
  </si>
  <si>
    <t>HASSALL GROVE</t>
  </si>
  <si>
    <t>OAKHURST</t>
  </si>
  <si>
    <t>PLUMPTON</t>
  </si>
  <si>
    <t>SCHOFIELDS</t>
  </si>
  <si>
    <t>ACACIA GARDENS</t>
  </si>
  <si>
    <t>QUAKERS HILL</t>
  </si>
  <si>
    <t>BERKSHIRE PARK</t>
  </si>
  <si>
    <t>BOX HILL</t>
  </si>
  <si>
    <t>MARAYLYA</t>
  </si>
  <si>
    <t>MARSDEN PARK</t>
  </si>
  <si>
    <t>OAKVILLE</t>
  </si>
  <si>
    <t>RIVERSTONE</t>
  </si>
  <si>
    <t>VINEYARD</t>
  </si>
  <si>
    <t>EASTERN CREEK</t>
  </si>
  <si>
    <t>ROOTY HILL</t>
  </si>
  <si>
    <t>DOONSIDE</t>
  </si>
  <si>
    <t>WOODCROFT</t>
  </si>
  <si>
    <t>GLENWOOD</t>
  </si>
  <si>
    <t>PARKLEA</t>
  </si>
  <si>
    <t>STANHOPE GARDENS</t>
  </si>
  <si>
    <t>THE PONDS</t>
  </si>
  <si>
    <t>BIDWILL</t>
  </si>
  <si>
    <t>BLACKETT</t>
  </si>
  <si>
    <t>DHARRUK</t>
  </si>
  <si>
    <t>EMERTON</t>
  </si>
  <si>
    <t>HEBERSHAM</t>
  </si>
  <si>
    <t>LETHBRIDGE PARK</t>
  </si>
  <si>
    <t>MINCHINBURY</t>
  </si>
  <si>
    <t>MOUNT DRUITT</t>
  </si>
  <si>
    <t>MOUNT DRUITT VILLAGE</t>
  </si>
  <si>
    <t>SHALVEY</t>
  </si>
  <si>
    <t>TREGEAR</t>
  </si>
  <si>
    <t>WHALAN</t>
  </si>
  <si>
    <t>WILLMOT</t>
  </si>
  <si>
    <t>GLENBROOK</t>
  </si>
  <si>
    <t>LAPSTONE</t>
  </si>
  <si>
    <t>BLAXLAND</t>
  </si>
  <si>
    <t>BLAXLAND EAST</t>
  </si>
  <si>
    <t>MOUNT RIVERVIEW</t>
  </si>
  <si>
    <t>WARRIMOO</t>
  </si>
  <si>
    <t>CENTRAL MACDONALD</t>
  </si>
  <si>
    <t>FERNANCES</t>
  </si>
  <si>
    <t>GUNDERMAN</t>
  </si>
  <si>
    <t>HIGHER MACDONALD</t>
  </si>
  <si>
    <t>LAUGHTONDALE</t>
  </si>
  <si>
    <t>LOWER HAWKESBURY</t>
  </si>
  <si>
    <t>LOWER MACDONALD</t>
  </si>
  <si>
    <t>MARLOW</t>
  </si>
  <si>
    <t>SPENCER</t>
  </si>
  <si>
    <t>ST ALBANS</t>
  </si>
  <si>
    <t>UPPER MACDONALD</t>
  </si>
  <si>
    <t>WEBBS CREEK</t>
  </si>
  <si>
    <t>WISEMANS FERRY</t>
  </si>
  <si>
    <t>FAULCONBRIDGE</t>
  </si>
  <si>
    <t>HAWKESBURY HEIGHTS</t>
  </si>
  <si>
    <t>SPRINGWOOD</t>
  </si>
  <si>
    <t>SUN VALLEY</t>
  </si>
  <si>
    <t>VALLEY HEIGHTS</t>
  </si>
  <si>
    <t>WINMALEE</t>
  </si>
  <si>
    <t>LINDEN</t>
  </si>
  <si>
    <t>HAZELBROOK</t>
  </si>
  <si>
    <t>KATOOMBA</t>
  </si>
  <si>
    <t>KATOOMBA DC</t>
  </si>
  <si>
    <t>LEURA</t>
  </si>
  <si>
    <t>MEDLOW BATH</t>
  </si>
  <si>
    <t>YOSEMITE</t>
  </si>
  <si>
    <t>WENTWORTH FALLS</t>
  </si>
  <si>
    <t>BULLABURRA</t>
  </si>
  <si>
    <t>BLACKHEATH</t>
  </si>
  <si>
    <t>MEGALONG</t>
  </si>
  <si>
    <t>SHIPLEY</t>
  </si>
  <si>
    <t>BELL</t>
  </si>
  <si>
    <t>DARGAN</t>
  </si>
  <si>
    <t>MOUNT IRVINE</t>
  </si>
  <si>
    <t>MOUNT VICTORIA</t>
  </si>
  <si>
    <t>MOUNT WILSON</t>
  </si>
  <si>
    <t>BLACK SPRINGS</t>
  </si>
  <si>
    <t>CHATHAM VALLEY</t>
  </si>
  <si>
    <t>DUCKMALOI</t>
  </si>
  <si>
    <t>EDITH</t>
  </si>
  <si>
    <t>GINGKIN</t>
  </si>
  <si>
    <t>GURNANG</t>
  </si>
  <si>
    <t>HAZELGROVE</t>
  </si>
  <si>
    <t>JAUNTER</t>
  </si>
  <si>
    <t>KANANGRA</t>
  </si>
  <si>
    <t>MOUNT WERONG</t>
  </si>
  <si>
    <t>MOZART</t>
  </si>
  <si>
    <t>NORWAY</t>
  </si>
  <si>
    <t>OBERON</t>
  </si>
  <si>
    <t>PORTERS RETREAT</t>
  </si>
  <si>
    <t>SHOOTERS HILL</t>
  </si>
  <si>
    <t>TARANA</t>
  </si>
  <si>
    <t>THE MEADOWS</t>
  </si>
  <si>
    <t>YERRANDERIE</t>
  </si>
  <si>
    <t>BEN BULLEN</t>
  </si>
  <si>
    <t>BLACKMANS FLAT</t>
  </si>
  <si>
    <t>BOWENFELS</t>
  </si>
  <si>
    <t>CLARENCE</t>
  </si>
  <si>
    <t>COBAR PARK</t>
  </si>
  <si>
    <t>CORNEY TOWN</t>
  </si>
  <si>
    <t>CULLEN BULLEN</t>
  </si>
  <si>
    <t>GANBENANG</t>
  </si>
  <si>
    <t>HAMPTON</t>
  </si>
  <si>
    <t>HARTLEY</t>
  </si>
  <si>
    <t>HARTLEY VALE</t>
  </si>
  <si>
    <t>JENOLAN</t>
  </si>
  <si>
    <t>JENOLAN CAVES</t>
  </si>
  <si>
    <t>KANIMBLA</t>
  </si>
  <si>
    <t>LIDSDALE</t>
  </si>
  <si>
    <t>LITHGOW</t>
  </si>
  <si>
    <t>LITHGOW DC</t>
  </si>
  <si>
    <t>LITTLE HARTLEY</t>
  </si>
  <si>
    <t>LOWTHER</t>
  </si>
  <si>
    <t>MARRANGAROO</t>
  </si>
  <si>
    <t>MOUNT LAMBIE</t>
  </si>
  <si>
    <t>NEWNES</t>
  </si>
  <si>
    <t>RYDAL</t>
  </si>
  <si>
    <t>SODWALLS</t>
  </si>
  <si>
    <t>SOUTH BOWENFELS</t>
  </si>
  <si>
    <t>WOLGAN VALLEY</t>
  </si>
  <si>
    <t>CARCOAR</t>
  </si>
  <si>
    <t>ERROWANBANG</t>
  </si>
  <si>
    <t>BURNT YARDS</t>
  </si>
  <si>
    <t>MANDURAMA</t>
  </si>
  <si>
    <t>DARBYS FALLS</t>
  </si>
  <si>
    <t>MOUNT MCDONALD</t>
  </si>
  <si>
    <t>BUMBALDRY</t>
  </si>
  <si>
    <t>COWRA</t>
  </si>
  <si>
    <t>HOVELLS CREEK</t>
  </si>
  <si>
    <t>MOUNT COLLINS</t>
  </si>
  <si>
    <t>NOONBINNA</t>
  </si>
  <si>
    <t>WATTAMONDARA</t>
  </si>
  <si>
    <t>WESTVILLE</t>
  </si>
  <si>
    <t>ABERCROMBIE</t>
  </si>
  <si>
    <t>ARKELL</t>
  </si>
  <si>
    <t>ARKSTONE</t>
  </si>
  <si>
    <t>BALD RIDGE</t>
  </si>
  <si>
    <t>BALLYROE</t>
  </si>
  <si>
    <t>BATHAMPTON</t>
  </si>
  <si>
    <t>BATHURST</t>
  </si>
  <si>
    <t>BILLYWILLINGA</t>
  </si>
  <si>
    <t>BOX RIDGE</t>
  </si>
  <si>
    <t>BREWONGLE</t>
  </si>
  <si>
    <t>BRUINBUN</t>
  </si>
  <si>
    <t>BURRAGA</t>
  </si>
  <si>
    <t>CALOOLA</t>
  </si>
  <si>
    <t>CHARLTON</t>
  </si>
  <si>
    <t>CLEAR CREEK</t>
  </si>
  <si>
    <t>COPPERHANNIA</t>
  </si>
  <si>
    <t>COW FLAT</t>
  </si>
  <si>
    <t>CRUDINE</t>
  </si>
  <si>
    <t>CURRAGH</t>
  </si>
  <si>
    <t>DARK CORNER</t>
  </si>
  <si>
    <t>DOG ROCKS</t>
  </si>
  <si>
    <t>DUNKELD</t>
  </si>
  <si>
    <t>DURAMANA</t>
  </si>
  <si>
    <t>EGLINTON</t>
  </si>
  <si>
    <t>ESSINGTON</t>
  </si>
  <si>
    <t>EVANS PLAINS</t>
  </si>
  <si>
    <t>FITZGERALDS VALLEY</t>
  </si>
  <si>
    <t>FOREST GROVE</t>
  </si>
  <si>
    <t>FOSTERS VALLEY</t>
  </si>
  <si>
    <t>FREEMANTLE</t>
  </si>
  <si>
    <t>GEMALLA</t>
  </si>
  <si>
    <t>GEORGES PLAINS</t>
  </si>
  <si>
    <t>GILMANDYKE</t>
  </si>
  <si>
    <t>GLANMIRE</t>
  </si>
  <si>
    <t>GORMANS HILL</t>
  </si>
  <si>
    <t>GOWAN</t>
  </si>
  <si>
    <t>HOBBYS YARDS</t>
  </si>
  <si>
    <t>ISABELLA</t>
  </si>
  <si>
    <t>JEREMY</t>
  </si>
  <si>
    <t>JUDDS CREEK</t>
  </si>
  <si>
    <t>KELSO</t>
  </si>
  <si>
    <t>KILLONGBUTTA</t>
  </si>
  <si>
    <t>KIRKCONNELL</t>
  </si>
  <si>
    <t>LAFFING WATERS</t>
  </si>
  <si>
    <t>LIMEKILNS</t>
  </si>
  <si>
    <t>LLANARTH</t>
  </si>
  <si>
    <t>LOCKSLEY</t>
  </si>
  <si>
    <t>MEADOW FLAT</t>
  </si>
  <si>
    <t>MILKERS FLAT</t>
  </si>
  <si>
    <t>MILLAH MURRAH</t>
  </si>
  <si>
    <t>MOORILDA</t>
  </si>
  <si>
    <t>MOUNT DAVID</t>
  </si>
  <si>
    <t>MOUNT PANORAMA</t>
  </si>
  <si>
    <t>MOUNT RANKIN</t>
  </si>
  <si>
    <t>NAPOLEON REEF</t>
  </si>
  <si>
    <t>NEWBRIDGE</t>
  </si>
  <si>
    <t>OCONNELL</t>
  </si>
  <si>
    <t>O'CONNELL</t>
  </si>
  <si>
    <t>ORTON PARK</t>
  </si>
  <si>
    <t>PALING YARDS</t>
  </si>
  <si>
    <t>PALMERS OAKY</t>
  </si>
  <si>
    <t>PEEL</t>
  </si>
  <si>
    <t>PERTHVILLE</t>
  </si>
  <si>
    <t>RAGLAN</t>
  </si>
  <si>
    <t>ROBIN HILL</t>
  </si>
  <si>
    <t>ROCK FOREST</t>
  </si>
  <si>
    <t>ROCKLEY</t>
  </si>
  <si>
    <t>ROCKLEY MOUNT</t>
  </si>
  <si>
    <t>SOFALA</t>
  </si>
  <si>
    <t>SOUTH BATHURST</t>
  </si>
  <si>
    <t>STEWARTS MOUNT</t>
  </si>
  <si>
    <t>TAMBAROORA</t>
  </si>
  <si>
    <t>THE LAGOON</t>
  </si>
  <si>
    <t>TRIANGLE FLAT</t>
  </si>
  <si>
    <t>TRUNKEY</t>
  </si>
  <si>
    <t>TURONDALE</t>
  </si>
  <si>
    <t>TWENTY FORESTS</t>
  </si>
  <si>
    <t>UPPER TURON</t>
  </si>
  <si>
    <t>WALANG</t>
  </si>
  <si>
    <t>WAMBOOL</t>
  </si>
  <si>
    <t>WATTLE FLAT</t>
  </si>
  <si>
    <t>WATTON</t>
  </si>
  <si>
    <t>WEST BATHURST</t>
  </si>
  <si>
    <t>WHITE ROCK</t>
  </si>
  <si>
    <t>WIAGDON</t>
  </si>
  <si>
    <t>WIMBLEDON</t>
  </si>
  <si>
    <t>WINBURNDALE</t>
  </si>
  <si>
    <t>WINDRADYNE</t>
  </si>
  <si>
    <t>WISEMANS CREEK</t>
  </si>
  <si>
    <t>YETHOLME</t>
  </si>
  <si>
    <t>BATHURST MC</t>
  </si>
  <si>
    <t>GARLAND</t>
  </si>
  <si>
    <t>BENEREE</t>
  </si>
  <si>
    <t>BYNG</t>
  </si>
  <si>
    <t>FLYERS CREEK</t>
  </si>
  <si>
    <t>FOREST REEFS</t>
  </si>
  <si>
    <t>GUYONG</t>
  </si>
  <si>
    <t>MILLTHORPE</t>
  </si>
  <si>
    <t>SPRING TERRACE</t>
  </si>
  <si>
    <t>TALLWOOD</t>
  </si>
  <si>
    <t>BARRY</t>
  </si>
  <si>
    <t>BLAYNEY</t>
  </si>
  <si>
    <t>BROWNS CREEK</t>
  </si>
  <si>
    <t>FITZGERALDS MOUNT</t>
  </si>
  <si>
    <t>NEVILLE</t>
  </si>
  <si>
    <t>VITTORIA</t>
  </si>
  <si>
    <t>AMMERDOWN</t>
  </si>
  <si>
    <t>BELGRAVIA</t>
  </si>
  <si>
    <t>BLETCHINGTON</t>
  </si>
  <si>
    <t>BLOOMFIELD</t>
  </si>
  <si>
    <t>BORENORE</t>
  </si>
  <si>
    <t>BOWEN</t>
  </si>
  <si>
    <t>CADIA</t>
  </si>
  <si>
    <t>CALARE</t>
  </si>
  <si>
    <t>CANOBOLAS</t>
  </si>
  <si>
    <t>CARGO</t>
  </si>
  <si>
    <t>CHEESEMANS CREEK</t>
  </si>
  <si>
    <t>CLERGATE</t>
  </si>
  <si>
    <t>CLIFTON GROVE</t>
  </si>
  <si>
    <t>CRANBURY</t>
  </si>
  <si>
    <t>CULLYA</t>
  </si>
  <si>
    <t>FOUR MILE CREEK</t>
  </si>
  <si>
    <t>GLENROI</t>
  </si>
  <si>
    <t>HUNTLEY</t>
  </si>
  <si>
    <t>KALEENTHA</t>
  </si>
  <si>
    <t>KERRS CREEK</t>
  </si>
  <si>
    <t>LEWIS PONDS</t>
  </si>
  <si>
    <t>LOWER LEWIS PONDS</t>
  </si>
  <si>
    <t>LUCKNOW</t>
  </si>
  <si>
    <t>MARCH</t>
  </si>
  <si>
    <t>MULLION CREEK</t>
  </si>
  <si>
    <t>NARRAMBLA</t>
  </si>
  <si>
    <t>NASHDALE</t>
  </si>
  <si>
    <t>OPHIR</t>
  </si>
  <si>
    <t>ORANGE</t>
  </si>
  <si>
    <t>ORANGE DC</t>
  </si>
  <si>
    <t>ORANGE EAST</t>
  </si>
  <si>
    <t>PANUARA</t>
  </si>
  <si>
    <t>PINNACLE</t>
  </si>
  <si>
    <t>SHADFORTH</t>
  </si>
  <si>
    <t>SPRING CREEK</t>
  </si>
  <si>
    <t>SPRING HILL</t>
  </si>
  <si>
    <t>SPRINGSIDE</t>
  </si>
  <si>
    <t>SUMA PARK</t>
  </si>
  <si>
    <t>TOWAC</t>
  </si>
  <si>
    <t>WARRENDINE</t>
  </si>
  <si>
    <t>BENDICK MURRELL</t>
  </si>
  <si>
    <t>CROWTHER</t>
  </si>
  <si>
    <t>WIRRIMAH</t>
  </si>
  <si>
    <t>BILLIMARI</t>
  </si>
  <si>
    <t>BURDETT</t>
  </si>
  <si>
    <t>CANOWINDRA</t>
  </si>
  <si>
    <t>MOORBEL</t>
  </si>
  <si>
    <t>NYRANG CREEK</t>
  </si>
  <si>
    <t>GOOLOOGONG</t>
  </si>
  <si>
    <t>EUGOWRA</t>
  </si>
  <si>
    <t>NANAMI</t>
  </si>
  <si>
    <t>TRAJERE</t>
  </si>
  <si>
    <t>KOORAWATHA</t>
  </si>
  <si>
    <t>WYANGALA</t>
  </si>
  <si>
    <t>GREENETHORPE</t>
  </si>
  <si>
    <t>BIMBI</t>
  </si>
  <si>
    <t>CARAGABAL</t>
  </si>
  <si>
    <t>GLENELG</t>
  </si>
  <si>
    <t>GRENFELL</t>
  </si>
  <si>
    <t>PINEY RANGE</t>
  </si>
  <si>
    <t>PULLABOOKA</t>
  </si>
  <si>
    <t>WARRADERRY</t>
  </si>
  <si>
    <t>APSLEY</t>
  </si>
  <si>
    <t>ARTHURVILLE</t>
  </si>
  <si>
    <t>BAKERS SWAMP</t>
  </si>
  <si>
    <t>BODANGORA</t>
  </si>
  <si>
    <t>COMOBELLA</t>
  </si>
  <si>
    <t>CURRA CREEK</t>
  </si>
  <si>
    <t>DRIPSTONE</t>
  </si>
  <si>
    <t>FARNHAM</t>
  </si>
  <si>
    <t>GOLLAN</t>
  </si>
  <si>
    <t>LAKE BURRENDONG</t>
  </si>
  <si>
    <t>MARYVALE</t>
  </si>
  <si>
    <t>MONTEFIORES</t>
  </si>
  <si>
    <t>MOOKERAWA</t>
  </si>
  <si>
    <t>MOUNT AQUILA</t>
  </si>
  <si>
    <t>MOUNT ARTHUR</t>
  </si>
  <si>
    <t>MUMBIL</t>
  </si>
  <si>
    <t>NANIMA</t>
  </si>
  <si>
    <t>NEUREA</t>
  </si>
  <si>
    <t>NORTH YEOVAL</t>
  </si>
  <si>
    <t>SPICERS CREEK</t>
  </si>
  <si>
    <t>STUART TOWN</t>
  </si>
  <si>
    <t>SUNTOP</t>
  </si>
  <si>
    <t>WALMER</t>
  </si>
  <si>
    <t>WELLINGTON</t>
  </si>
  <si>
    <t>WUULUMAN</t>
  </si>
  <si>
    <t>YARRAGAL</t>
  </si>
  <si>
    <t>BURROWAY</t>
  </si>
  <si>
    <t>NARROMINE</t>
  </si>
  <si>
    <t>WYANGA</t>
  </si>
  <si>
    <t>BUNDEMAR</t>
  </si>
  <si>
    <t>CATHUNDRAL</t>
  </si>
  <si>
    <t>DANDALOO</t>
  </si>
  <si>
    <t>GIN GIN</t>
  </si>
  <si>
    <t>TRANGIE</t>
  </si>
  <si>
    <t>BEEMUNNEL</t>
  </si>
  <si>
    <t>EENAWEENA</t>
  </si>
  <si>
    <t>MARTHAGUY</t>
  </si>
  <si>
    <t>MOUNT FOSTER</t>
  </si>
  <si>
    <t>MOUNT HARRIS</t>
  </si>
  <si>
    <t>MUMBLEBONE PLAIN</t>
  </si>
  <si>
    <t>PIGEONBAH</t>
  </si>
  <si>
    <t>RAVENSWOOD</t>
  </si>
  <si>
    <t>SNAKES PLAIN</t>
  </si>
  <si>
    <t>TENANDRA</t>
  </si>
  <si>
    <t>WARREN</t>
  </si>
  <si>
    <t>BOGAN</t>
  </si>
  <si>
    <t>CANONBA</t>
  </si>
  <si>
    <t>MIANDETTA</t>
  </si>
  <si>
    <t>MULLENGUDGERY</t>
  </si>
  <si>
    <t>NYNGAN</t>
  </si>
  <si>
    <t>WARRIGAL</t>
  </si>
  <si>
    <t>BEARBONG</t>
  </si>
  <si>
    <t>BIDDON</t>
  </si>
  <si>
    <t>BREELONG</t>
  </si>
  <si>
    <t>COLLIE</t>
  </si>
  <si>
    <t>CURBAN</t>
  </si>
  <si>
    <t>GILGANDRA</t>
  </si>
  <si>
    <t>MERRIGAL</t>
  </si>
  <si>
    <t>BLACK HOLLOW</t>
  </si>
  <si>
    <t>BOURBAH</t>
  </si>
  <si>
    <t>GULARGAMBONE</t>
  </si>
  <si>
    <t>TONDERBURINE</t>
  </si>
  <si>
    <t>WARRUMBUNGLE</t>
  </si>
  <si>
    <t>COMBARA</t>
  </si>
  <si>
    <t>CONIMBIA</t>
  </si>
  <si>
    <t>COONAMBLE</t>
  </si>
  <si>
    <t>GILGOOMA</t>
  </si>
  <si>
    <t>MAGOMETON</t>
  </si>
  <si>
    <t>TERIDGERIE</t>
  </si>
  <si>
    <t>BALLIMORE</t>
  </si>
  <si>
    <t>BARBIGAL</t>
  </si>
  <si>
    <t>BENI</t>
  </si>
  <si>
    <t>BOOTHENBA</t>
  </si>
  <si>
    <t>BROCKLEHURST</t>
  </si>
  <si>
    <t>CUMBOOGLE</t>
  </si>
  <si>
    <t>DELROY GARDENS</t>
  </si>
  <si>
    <t>DICKYGUNDI</t>
  </si>
  <si>
    <t>DUBBO</t>
  </si>
  <si>
    <t>DUBBO DC</t>
  </si>
  <si>
    <t>DUBBO EAST</t>
  </si>
  <si>
    <t>DUBBO GROVE</t>
  </si>
  <si>
    <t>DUBBO WEST</t>
  </si>
  <si>
    <t>ESCHOL</t>
  </si>
  <si>
    <t>EULOMOGO</t>
  </si>
  <si>
    <t>KICKABIL</t>
  </si>
  <si>
    <t>MANERA HEIGHTS</t>
  </si>
  <si>
    <t>MINORE</t>
  </si>
  <si>
    <t>MOGRIGUY</t>
  </si>
  <si>
    <t>MURONBUNG</t>
  </si>
  <si>
    <t>ORANA HEIGHTS</t>
  </si>
  <si>
    <t>RAWSONVILLE</t>
  </si>
  <si>
    <t>TALBRAGAR</t>
  </si>
  <si>
    <t>TERRAMUNGAMINE</t>
  </si>
  <si>
    <t>TOONGI</t>
  </si>
  <si>
    <t>TROY JUNCTION</t>
  </si>
  <si>
    <t>WHYLANDRA CROSSING</t>
  </si>
  <si>
    <t>ARMATREE</t>
  </si>
  <si>
    <t>BALLADORAN</t>
  </si>
  <si>
    <t>BRENDA</t>
  </si>
  <si>
    <t>BULLAGREEN</t>
  </si>
  <si>
    <t>BYROCK</t>
  </si>
  <si>
    <t>CARINDA</t>
  </si>
  <si>
    <t>COOLABAH</t>
  </si>
  <si>
    <t>ELONG ELONG</t>
  </si>
  <si>
    <t>EUMUNGERIE</t>
  </si>
  <si>
    <t>GEURIE</t>
  </si>
  <si>
    <t>GIRILAMBONE</t>
  </si>
  <si>
    <t>GOODOOGA</t>
  </si>
  <si>
    <t>HERMIDALE</t>
  </si>
  <si>
    <t>MERRYGOEN</t>
  </si>
  <si>
    <t>MURIEL</t>
  </si>
  <si>
    <t>NEILREX</t>
  </si>
  <si>
    <t>NEVERTIRE</t>
  </si>
  <si>
    <t>NUBINGERIE</t>
  </si>
  <si>
    <t>NYMAGEE</t>
  </si>
  <si>
    <t>PINE CLUMP</t>
  </si>
  <si>
    <t>PONTO</t>
  </si>
  <si>
    <t>QUAMBONE</t>
  </si>
  <si>
    <t>TERRABELLA</t>
  </si>
  <si>
    <t>THE MARRA</t>
  </si>
  <si>
    <t>TOORAWEENAH</t>
  </si>
  <si>
    <t>WESTELLA</t>
  </si>
  <si>
    <t>WONGARBON</t>
  </si>
  <si>
    <t>ANGLEDOOL</t>
  </si>
  <si>
    <t>BULYEROI</t>
  </si>
  <si>
    <t>COME BY CHANCE</t>
  </si>
  <si>
    <t>CRYON</t>
  </si>
  <si>
    <t>CUMBORAH</t>
  </si>
  <si>
    <t>WALGETT</t>
  </si>
  <si>
    <t>COLLARENEBRI</t>
  </si>
  <si>
    <t>LIGHTNING RIDGE</t>
  </si>
  <si>
    <t>BULLA</t>
  </si>
  <si>
    <t>CANBELEGO</t>
  </si>
  <si>
    <t>COBAR</t>
  </si>
  <si>
    <t>CUBBA</t>
  </si>
  <si>
    <t>GILGUNNIA</t>
  </si>
  <si>
    <t>IRYMPLE</t>
  </si>
  <si>
    <t>KERRIGUNDI</t>
  </si>
  <si>
    <t>KULWIN</t>
  </si>
  <si>
    <t>NOONA</t>
  </si>
  <si>
    <t>TINDAREY</t>
  </si>
  <si>
    <t>GEMVILLE</t>
  </si>
  <si>
    <t>WHITE CLIFFS</t>
  </si>
  <si>
    <t>WILCANNIA</t>
  </si>
  <si>
    <t>BREWARRINA</t>
  </si>
  <si>
    <t>GONGOLGON</t>
  </si>
  <si>
    <t>WEILMORINGLE</t>
  </si>
  <si>
    <t>BARRINGUN</t>
  </si>
  <si>
    <t>BOURKE</t>
  </si>
  <si>
    <t>ENNGONIA</t>
  </si>
  <si>
    <t>FORDS BRIDGE</t>
  </si>
  <si>
    <t>GUNDERBOOKA</t>
  </si>
  <si>
    <t>LOUTH</t>
  </si>
  <si>
    <t>TILPA</t>
  </si>
  <si>
    <t>URISINO</t>
  </si>
  <si>
    <t>WANAARING</t>
  </si>
  <si>
    <t>YANTABULLA</t>
  </si>
  <si>
    <t>MENDOORAN</t>
  </si>
  <si>
    <t>NEW MOLLYAN</t>
  </si>
  <si>
    <t>YARRAGRIN</t>
  </si>
  <si>
    <t>COOLAH</t>
  </si>
  <si>
    <t>BIRRIWA</t>
  </si>
  <si>
    <t>COBBORA</t>
  </si>
  <si>
    <t>DUNEDOO</t>
  </si>
  <si>
    <t>LEADVILLE</t>
  </si>
  <si>
    <t>ANGUS PLACE</t>
  </si>
  <si>
    <t>WALLERAWANG</t>
  </si>
  <si>
    <t>AIRLY</t>
  </si>
  <si>
    <t>CAPERTEE</t>
  </si>
  <si>
    <t>GLEN DAVIS</t>
  </si>
  <si>
    <t>KANGAROO FLAT</t>
  </si>
  <si>
    <t>ROUND SWAMP</t>
  </si>
  <si>
    <t>PIPERS FLAT</t>
  </si>
  <si>
    <t>PORTLAND</t>
  </si>
  <si>
    <t>BROGANS CREEK</t>
  </si>
  <si>
    <t>CHARBON</t>
  </si>
  <si>
    <t>CLANDULLA</t>
  </si>
  <si>
    <t>KANDOS</t>
  </si>
  <si>
    <t>BOGEE</t>
  </si>
  <si>
    <t>BREAKFAST CREEK</t>
  </si>
  <si>
    <t>BUDDEN</t>
  </si>
  <si>
    <t>BYLONG</t>
  </si>
  <si>
    <t>CAMBOON</t>
  </si>
  <si>
    <t>CARWELL</t>
  </si>
  <si>
    <t>COGGAN</t>
  </si>
  <si>
    <t>COXS CREEK</t>
  </si>
  <si>
    <t>COXS CROWN</t>
  </si>
  <si>
    <t>DABEE</t>
  </si>
  <si>
    <t>DUNGEREE</t>
  </si>
  <si>
    <t>DUNVILLE LOOP</t>
  </si>
  <si>
    <t>GINGHI</t>
  </si>
  <si>
    <t>GLEN ALICE</t>
  </si>
  <si>
    <t>GROWEE</t>
  </si>
  <si>
    <t>KELGOOLA</t>
  </si>
  <si>
    <t>LEE CREEK</t>
  </si>
  <si>
    <t>MOUNT MARSDEN</t>
  </si>
  <si>
    <t>MURRUMBO</t>
  </si>
  <si>
    <t>NULLO MOUNTAIN</t>
  </si>
  <si>
    <t>OLINDA</t>
  </si>
  <si>
    <t>PINNACLE SWAMP</t>
  </si>
  <si>
    <t>PYANGLE</t>
  </si>
  <si>
    <t>RYLSTONE</t>
  </si>
  <si>
    <t>UPPER BYLONG</t>
  </si>
  <si>
    <t>UPPER GROWEE</t>
  </si>
  <si>
    <t>UPPER NILE</t>
  </si>
  <si>
    <t>WIRRABA</t>
  </si>
  <si>
    <t>AARONS PASS</t>
  </si>
  <si>
    <t>APPLE TREE FLAT</t>
  </si>
  <si>
    <t>AVISFORD</t>
  </si>
  <si>
    <t>BARA</t>
  </si>
  <si>
    <t>BARIGAN</t>
  </si>
  <si>
    <t>BEN BUCKLEY</t>
  </si>
  <si>
    <t>BOCOBLE</t>
  </si>
  <si>
    <t>BOMBIRA</t>
  </si>
  <si>
    <t>BOTOBOLAR</t>
  </si>
  <si>
    <t>BUCKAROO</t>
  </si>
  <si>
    <t>BUDGEE BUDGEE</t>
  </si>
  <si>
    <t>BURRUNDULLA</t>
  </si>
  <si>
    <t>CAERLEON</t>
  </si>
  <si>
    <t>CANADIAN LEAD</t>
  </si>
  <si>
    <t>CARCALGONG</t>
  </si>
  <si>
    <t>COLLINGWOOD</t>
  </si>
  <si>
    <t>COOKS GAP</t>
  </si>
  <si>
    <t>COOYAL</t>
  </si>
  <si>
    <t>CROSS ROADS</t>
  </si>
  <si>
    <t>CUDGEGONG</t>
  </si>
  <si>
    <t>CULLENBONE</t>
  </si>
  <si>
    <t>CUMBO</t>
  </si>
  <si>
    <t>ERUDGERE</t>
  </si>
  <si>
    <t>EURUNDEREE</t>
  </si>
  <si>
    <t>FROG ROCK</t>
  </si>
  <si>
    <t>GALAMBINE</t>
  </si>
  <si>
    <t>GLEN AYR</t>
  </si>
  <si>
    <t>GRATTAI</t>
  </si>
  <si>
    <t>GREEN GULLY</t>
  </si>
  <si>
    <t>GULGAMREE</t>
  </si>
  <si>
    <t>HARGRAVES</t>
  </si>
  <si>
    <t>HAVILAH</t>
  </si>
  <si>
    <t>HAYES GAP</t>
  </si>
  <si>
    <t>HILL END</t>
  </si>
  <si>
    <t>HOME RULE</t>
  </si>
  <si>
    <t>ILFORD</t>
  </si>
  <si>
    <t>KAINS FLAT</t>
  </si>
  <si>
    <t>LINBURN</t>
  </si>
  <si>
    <t>LONG CREEK</t>
  </si>
  <si>
    <t>LUE</t>
  </si>
  <si>
    <t>MAITLAND BAR</t>
  </si>
  <si>
    <t>MENAH</t>
  </si>
  <si>
    <t>MEROO</t>
  </si>
  <si>
    <t>MILLSVILLE</t>
  </si>
  <si>
    <t>MONIVAE</t>
  </si>
  <si>
    <t>MOOLARBEN</t>
  </si>
  <si>
    <t>MOUNT FROME</t>
  </si>
  <si>
    <t>MOUNT KNOWLES</t>
  </si>
  <si>
    <t>MUDGEE</t>
  </si>
  <si>
    <t>MULLAMUDDY</t>
  </si>
  <si>
    <t>MUNGHORN</t>
  </si>
  <si>
    <t>MURRAGAMBA</t>
  </si>
  <si>
    <t>PIAMBONG</t>
  </si>
  <si>
    <t>PUTTA BUCCA</t>
  </si>
  <si>
    <t>PYRAMUL</t>
  </si>
  <si>
    <t>QUEENS PINCH</t>
  </si>
  <si>
    <t>RIVERLEA</t>
  </si>
  <si>
    <t>RUNNING STREAM</t>
  </si>
  <si>
    <t>SALLYS FLAT</t>
  </si>
  <si>
    <t>SPRING FLAT</t>
  </si>
  <si>
    <t>ST FILLANS</t>
  </si>
  <si>
    <t>TICHULAR</t>
  </si>
  <si>
    <t>TOTNES VALLEY</t>
  </si>
  <si>
    <t>TRIAMBLE</t>
  </si>
  <si>
    <t>TURILL</t>
  </si>
  <si>
    <t>TWELVE MILE</t>
  </si>
  <si>
    <t>ULAN</t>
  </si>
  <si>
    <t>ULLAMALLA</t>
  </si>
  <si>
    <t>WILBETREE</t>
  </si>
  <si>
    <t>WILPINJONG</t>
  </si>
  <si>
    <t>WINDEYER</t>
  </si>
  <si>
    <t>WOLLAR</t>
  </si>
  <si>
    <t>WORLDS END</t>
  </si>
  <si>
    <t>YARRABIN</t>
  </si>
  <si>
    <t>BARNEYS REEF</t>
  </si>
  <si>
    <t>BERYL</t>
  </si>
  <si>
    <t>BIRAGANBIL</t>
  </si>
  <si>
    <t>BUNGABA</t>
  </si>
  <si>
    <t>COPE</t>
  </si>
  <si>
    <t>CUMBANDRY</t>
  </si>
  <si>
    <t>GOOLMA</t>
  </si>
  <si>
    <t>GULGONG</t>
  </si>
  <si>
    <t>MEBUL</t>
  </si>
  <si>
    <t>MEROTHERIE</t>
  </si>
  <si>
    <t>STUBBO</t>
  </si>
  <si>
    <t>TALLAWANG</t>
  </si>
  <si>
    <t>TWO MILE FLAT</t>
  </si>
  <si>
    <t>BOWAN PARK</t>
  </si>
  <si>
    <t>CUDAL</t>
  </si>
  <si>
    <t>MURGA</t>
  </si>
  <si>
    <t>TOOGONG</t>
  </si>
  <si>
    <t>GUMBLE</t>
  </si>
  <si>
    <t>MANILDRA</t>
  </si>
  <si>
    <t>AMAROO</t>
  </si>
  <si>
    <t>BOOMEY</t>
  </si>
  <si>
    <t>CUNDUMBUL</t>
  </si>
  <si>
    <t>EUCHAREENA</t>
  </si>
  <si>
    <t>GARRA</t>
  </si>
  <si>
    <t>LARRAS LEE</t>
  </si>
  <si>
    <t>MOLONG</t>
  </si>
  <si>
    <t>THE SHADES</t>
  </si>
  <si>
    <t>WARNECLIFFE</t>
  </si>
  <si>
    <t>BALDRY</t>
  </si>
  <si>
    <t>CUMNOCK</t>
  </si>
  <si>
    <t>EURIMBULA</t>
  </si>
  <si>
    <t>YULLUNDRY</t>
  </si>
  <si>
    <t>BOURNEWOOD</t>
  </si>
  <si>
    <t>OBLEY</t>
  </si>
  <si>
    <t>YEOVAL</t>
  </si>
  <si>
    <t>MUNGERY</t>
  </si>
  <si>
    <t>PEAK HILL</t>
  </si>
  <si>
    <t>TOMINGLEY</t>
  </si>
  <si>
    <t>TREWILGA</t>
  </si>
  <si>
    <t>ALECTOWN</t>
  </si>
  <si>
    <t>BEARGAMIL</t>
  </si>
  <si>
    <t>BINDOGUNDRA</t>
  </si>
  <si>
    <t>BROLGAN</t>
  </si>
  <si>
    <t>BUMBERRY</t>
  </si>
  <si>
    <t>COOKAMIDGERA</t>
  </si>
  <si>
    <t>COOKS MYALLS</t>
  </si>
  <si>
    <t>DAROOBALGIE</t>
  </si>
  <si>
    <t>GOOBANG</t>
  </si>
  <si>
    <t>GOONUMBLA</t>
  </si>
  <si>
    <t>KADINA</t>
  </si>
  <si>
    <t>MANDAGERY</t>
  </si>
  <si>
    <t>MICKIBRI</t>
  </si>
  <si>
    <t>MUGINCOBLE</t>
  </si>
  <si>
    <t>NANARDINE</t>
  </si>
  <si>
    <t>PARKESBOROUGH</t>
  </si>
  <si>
    <t>SHALLOW RUSH</t>
  </si>
  <si>
    <t>TICHBORNE</t>
  </si>
  <si>
    <t>BANDON</t>
  </si>
  <si>
    <t>BEDGEREBONG</t>
  </si>
  <si>
    <t>BUNDABURRAH</t>
  </si>
  <si>
    <t>CALARIE</t>
  </si>
  <si>
    <t>CARRAWABBITY</t>
  </si>
  <si>
    <t>CORINELLA</t>
  </si>
  <si>
    <t>CUMBIJOWA</t>
  </si>
  <si>
    <t>FAIRHOLME</t>
  </si>
  <si>
    <t>FORBES</t>
  </si>
  <si>
    <t>GAREMA</t>
  </si>
  <si>
    <t>GRAWLIN</t>
  </si>
  <si>
    <t>GUNNING GAP</t>
  </si>
  <si>
    <t>JEMALONG</t>
  </si>
  <si>
    <t>MULYANDRY</t>
  </si>
  <si>
    <t>OOMA</t>
  </si>
  <si>
    <t>WARROO</t>
  </si>
  <si>
    <t>WEELONG</t>
  </si>
  <si>
    <t>WIRRINYA</t>
  </si>
  <si>
    <t>YARRAGONG</t>
  </si>
  <si>
    <t>ALBERT</t>
  </si>
  <si>
    <t>LANSDALE</t>
  </si>
  <si>
    <t>TOTTENHAM</t>
  </si>
  <si>
    <t>TULLAMORE</t>
  </si>
  <si>
    <t>YETHERA</t>
  </si>
  <si>
    <t>BRUIE PLAINS</t>
  </si>
  <si>
    <t>FIFIELD</t>
  </si>
  <si>
    <t>OOTHA</t>
  </si>
  <si>
    <t>THE TROFFS</t>
  </si>
  <si>
    <t>TRUNDLE</t>
  </si>
  <si>
    <t>BOGAN GATE</t>
  </si>
  <si>
    <t>BOTFIELDS</t>
  </si>
  <si>
    <t>GUNNINGBLAND</t>
  </si>
  <si>
    <t>NELUNGALOO</t>
  </si>
  <si>
    <t>CONDOBOLIN</t>
  </si>
  <si>
    <t>DERRIWONG</t>
  </si>
  <si>
    <t>EREMERANG</t>
  </si>
  <si>
    <t>EUABALONG</t>
  </si>
  <si>
    <t>EUABALONG WEST</t>
  </si>
  <si>
    <t>KIACATOO</t>
  </si>
  <si>
    <t>MILBY</t>
  </si>
  <si>
    <t>MOUNT HOPE</t>
  </si>
  <si>
    <t>MULGUTHRIE</t>
  </si>
  <si>
    <t>BEILPAJAH</t>
  </si>
  <si>
    <t>CONOBLE</t>
  </si>
  <si>
    <t>IVANHOE</t>
  </si>
  <si>
    <t>MANARA</t>
  </si>
  <si>
    <t>MOSSGIEL</t>
  </si>
  <si>
    <t>TRIDA</t>
  </si>
  <si>
    <t>COPI HOLLOW</t>
  </si>
  <si>
    <t>MENINDEE</t>
  </si>
  <si>
    <t>BROKEN HILL</t>
  </si>
  <si>
    <t>BROKEN HILL NORTH</t>
  </si>
  <si>
    <t>BROKEN HILL WEST</t>
  </si>
  <si>
    <t>BURNS</t>
  </si>
  <si>
    <t>CAMERON CORNER</t>
  </si>
  <si>
    <t>EURIOWIE</t>
  </si>
  <si>
    <t>KINALUNG</t>
  </si>
  <si>
    <t>LITTLE TOPAR</t>
  </si>
  <si>
    <t>MOUNT GIPPS</t>
  </si>
  <si>
    <t>SILVERTON</t>
  </si>
  <si>
    <t>SOUTH BROKEN HILL</t>
  </si>
  <si>
    <t>STEPHENS CREEK</t>
  </si>
  <si>
    <t>TIBOOBURRA</t>
  </si>
  <si>
    <t>AUSTRALIAN DEFENCE FORCES</t>
  </si>
  <si>
    <t>SYDNEY GATEWAY FACILITY</t>
  </si>
  <si>
    <t>LORD HOWE ISLAND</t>
  </si>
  <si>
    <t>NORFOLK ISLAND</t>
  </si>
  <si>
    <t>GREENWAY</t>
  </si>
  <si>
    <t>TUGGERANONG</t>
  </si>
  <si>
    <t>TUGGERANONG DC</t>
  </si>
  <si>
    <t>KAMBAH</t>
  </si>
  <si>
    <t>ERINDALE CENTRE</t>
  </si>
  <si>
    <t>WANNIASSA</t>
  </si>
  <si>
    <t>FADDEN</t>
  </si>
  <si>
    <t>MACARTHUR</t>
  </si>
  <si>
    <t>MONASH</t>
  </si>
  <si>
    <t>BONYTHON</t>
  </si>
  <si>
    <t>CALWELL</t>
  </si>
  <si>
    <t>CHISHOLM</t>
  </si>
  <si>
    <t>ISABELLA PLAINS</t>
  </si>
  <si>
    <t>RICHARDSON</t>
  </si>
  <si>
    <t>THEODORE</t>
  </si>
  <si>
    <t>BANKS</t>
  </si>
  <si>
    <t>CONDER</t>
  </si>
  <si>
    <t>CRACE</t>
  </si>
  <si>
    <t>GUNGAHLIN</t>
  </si>
  <si>
    <t>FRANKLIN</t>
  </si>
  <si>
    <t>GINNINDERRA VILLAGE</t>
  </si>
  <si>
    <t>NGUNNAWAL</t>
  </si>
  <si>
    <t>NICHOLLS</t>
  </si>
  <si>
    <t>BONNER</t>
  </si>
  <si>
    <t>FORDE</t>
  </si>
  <si>
    <t>HARRISON</t>
  </si>
  <si>
    <t>MELBOURNE</t>
  </si>
  <si>
    <t>EAST MELBOURNE</t>
  </si>
  <si>
    <t>WEST MELBOURNE</t>
  </si>
  <si>
    <t>ST KILDA ROAD CENTRAL</t>
  </si>
  <si>
    <t>WORLD TRADE CENTRE</t>
  </si>
  <si>
    <t>SOUTHBANK</t>
  </si>
  <si>
    <t>DOCKLANDS</t>
  </si>
  <si>
    <t>UNIVERSITY OF MELBOURNE</t>
  </si>
  <si>
    <t>FOOTSCRAY</t>
  </si>
  <si>
    <t>SEDDON</t>
  </si>
  <si>
    <t>SEDDON WEST</t>
  </si>
  <si>
    <t>KINGSVILLE</t>
  </si>
  <si>
    <t>KINGSVILLE WEST</t>
  </si>
  <si>
    <t>MAIDSTONE</t>
  </si>
  <si>
    <t>WEST FOOTSCRAY</t>
  </si>
  <si>
    <t>YARRAVILLE</t>
  </si>
  <si>
    <t>YARRAVILLE WEST</t>
  </si>
  <si>
    <t>SOUTH KINGSVILLE</t>
  </si>
  <si>
    <t>SPOTSWOOD</t>
  </si>
  <si>
    <t>WILLIAMSTOWN</t>
  </si>
  <si>
    <t>WILLIAMSTOWN NORTH</t>
  </si>
  <si>
    <t>ALTONA</t>
  </si>
  <si>
    <t>SEAHOLME</t>
  </si>
  <si>
    <t>BRAYBROOK</t>
  </si>
  <si>
    <t>BRAYBROOK NORTH</t>
  </si>
  <si>
    <t>ROBINSON</t>
  </si>
  <si>
    <t>ALBION</t>
  </si>
  <si>
    <t>GLENGALA</t>
  </si>
  <si>
    <t>SUNSHINE NORTH</t>
  </si>
  <si>
    <t>SUNSHINE WEST</t>
  </si>
  <si>
    <t>ALBANVALE</t>
  </si>
  <si>
    <t>KEALBA</t>
  </si>
  <si>
    <t>ARDEER</t>
  </si>
  <si>
    <t>DEER PARK EAST</t>
  </si>
  <si>
    <t>BURNSIDE</t>
  </si>
  <si>
    <t>CAIRNLEA</t>
  </si>
  <si>
    <t>CAROLINE SPRINGS</t>
  </si>
  <si>
    <t>DEER PARK</t>
  </si>
  <si>
    <t>DEER PARK NORTH</t>
  </si>
  <si>
    <t>RAVENHALL</t>
  </si>
  <si>
    <t>MAMBOURIN</t>
  </si>
  <si>
    <t>MOUNT COTTRELL</t>
  </si>
  <si>
    <t>WYNDHAM VALE</t>
  </si>
  <si>
    <t>ALTONA EAST</t>
  </si>
  <si>
    <t>ALTONA GATE</t>
  </si>
  <si>
    <t>ALTONA NORTH</t>
  </si>
  <si>
    <t>LAVERTON NORTH</t>
  </si>
  <si>
    <t>LAVERTON RAAF</t>
  </si>
  <si>
    <t>WILLIAMS RAAF</t>
  </si>
  <si>
    <t>ALTONA MEADOWS</t>
  </si>
  <si>
    <t>LAVERTON</t>
  </si>
  <si>
    <t>SEABROOK</t>
  </si>
  <si>
    <t>HOPPERS CROSSING</t>
  </si>
  <si>
    <t>TARNEIT</t>
  </si>
  <si>
    <t>TRUGANINA</t>
  </si>
  <si>
    <t>CHARTWELL</t>
  </si>
  <si>
    <t>COCOROC</t>
  </si>
  <si>
    <t>DERRIMUT</t>
  </si>
  <si>
    <t>POINT COOK</t>
  </si>
  <si>
    <t>QUANDONG</t>
  </si>
  <si>
    <t>WERRIBEE</t>
  </si>
  <si>
    <t>WERRIBEE SOUTH</t>
  </si>
  <si>
    <t>FLEMINGTON</t>
  </si>
  <si>
    <t>ASCOT VALE</t>
  </si>
  <si>
    <t>HIGHPOINT CITY</t>
  </si>
  <si>
    <t>MARIBYRNONG</t>
  </si>
  <si>
    <t>TRAVANCORE</t>
  </si>
  <si>
    <t>KEILOR EAST</t>
  </si>
  <si>
    <t>AVONDALE HEIGHTS</t>
  </si>
  <si>
    <t>KEILOR</t>
  </si>
  <si>
    <t>KEILOR NORTH</t>
  </si>
  <si>
    <t>CALDER PARK</t>
  </si>
  <si>
    <t>DELAHEY</t>
  </si>
  <si>
    <t>TAYLORS HILL</t>
  </si>
  <si>
    <t>KEILOR DOWNS</t>
  </si>
  <si>
    <t>KEILOR LODGE</t>
  </si>
  <si>
    <t>TAYLORS LAKES</t>
  </si>
  <si>
    <t>WATERGARDENS</t>
  </si>
  <si>
    <t>MOONEE PONDS</t>
  </si>
  <si>
    <t>ABERFELDIE</t>
  </si>
  <si>
    <t>ESSENDON</t>
  </si>
  <si>
    <t>ESSENDON WEST</t>
  </si>
  <si>
    <t>ESSENDON NORTH</t>
  </si>
  <si>
    <t>STRATHMORE</t>
  </si>
  <si>
    <t>STRATHMORE HEIGHTS</t>
  </si>
  <si>
    <t>AIRPORT WEST</t>
  </si>
  <si>
    <t>KEILOR PARK</t>
  </si>
  <si>
    <t>NIDDRIE</t>
  </si>
  <si>
    <t>GLADSTONE PARK</t>
  </si>
  <si>
    <t>GOWANBRAE</t>
  </si>
  <si>
    <t>TULLAMARINE</t>
  </si>
  <si>
    <t>PASCOE VALE</t>
  </si>
  <si>
    <t>PASCOE VALE SOUTH</t>
  </si>
  <si>
    <t>MELBOURNE AIRPORT</t>
  </si>
  <si>
    <t>HADFIELD</t>
  </si>
  <si>
    <t>OAK PARK</t>
  </si>
  <si>
    <t>BROADMEADOWS</t>
  </si>
  <si>
    <t>DALLAS</t>
  </si>
  <si>
    <t>JACANA</t>
  </si>
  <si>
    <t>COOLAROO</t>
  </si>
  <si>
    <t>MEADOW HEIGHTS</t>
  </si>
  <si>
    <t>ATTWOOD</t>
  </si>
  <si>
    <t>WESTMEADOWS</t>
  </si>
  <si>
    <t>ROYAL MELBOURNE HOSPITAL</t>
  </si>
  <si>
    <t>HOTHAM HILL</t>
  </si>
  <si>
    <t>NORTH MELBOURNE</t>
  </si>
  <si>
    <t>MELBOURNE UNIVERSITY</t>
  </si>
  <si>
    <t>CARLTON SOUTH</t>
  </si>
  <si>
    <t>CARLTON NORTH</t>
  </si>
  <si>
    <t>PRINCES HILL</t>
  </si>
  <si>
    <t>BRUNSWICK SOUTH</t>
  </si>
  <si>
    <t>BRUNSWICK WEST</t>
  </si>
  <si>
    <t>MOONEE VALE</t>
  </si>
  <si>
    <t>MORELAND WEST</t>
  </si>
  <si>
    <t>BRUNSWICK</t>
  </si>
  <si>
    <t>BRUNSWICK LOWER</t>
  </si>
  <si>
    <t>BRUNSWICK NORTH</t>
  </si>
  <si>
    <t>BRUNSWICK EAST</t>
  </si>
  <si>
    <t>LYGON STREET NORTH</t>
  </si>
  <si>
    <t>BATMAN</t>
  </si>
  <si>
    <t>COBURG</t>
  </si>
  <si>
    <t>COBURG NORTH</t>
  </si>
  <si>
    <t>MERLYNSTON</t>
  </si>
  <si>
    <t>MORELAND</t>
  </si>
  <si>
    <t>GREENVALE</t>
  </si>
  <si>
    <t>FAWKNER</t>
  </si>
  <si>
    <t>FAWKNER EAST</t>
  </si>
  <si>
    <t>FAWKNER NORTH</t>
  </si>
  <si>
    <t>CAMPBELLFIELD</t>
  </si>
  <si>
    <t>OAKLANDS JUNCTION</t>
  </si>
  <si>
    <t>YUROKE</t>
  </si>
  <si>
    <t>CRAIGIEBURN</t>
  </si>
  <si>
    <t>DONNYBROOK</t>
  </si>
  <si>
    <t>KALKALLO</t>
  </si>
  <si>
    <t>MICKLEHAM</t>
  </si>
  <si>
    <t>ROXBURGH PARK</t>
  </si>
  <si>
    <t>FITZROY</t>
  </si>
  <si>
    <t>COLLINGWOOD NORTH</t>
  </si>
  <si>
    <t>CLIFTON HILL</t>
  </si>
  <si>
    <t>FITZROY NORTH</t>
  </si>
  <si>
    <t>NORTHCOTE</t>
  </si>
  <si>
    <t>NORTHCOTE SOUTH</t>
  </si>
  <si>
    <t>THORNBURY</t>
  </si>
  <si>
    <t>GILBERTON</t>
  </si>
  <si>
    <t>NORTHLAND CENTRE</t>
  </si>
  <si>
    <t>PRESTON</t>
  </si>
  <si>
    <t>PRESTON LOWER</t>
  </si>
  <si>
    <t>PRESTON SOUTH</t>
  </si>
  <si>
    <t>PRESTON WEST</t>
  </si>
  <si>
    <t>REGENT WEST</t>
  </si>
  <si>
    <t>SYLVESTER</t>
  </si>
  <si>
    <t>KEON PARK</t>
  </si>
  <si>
    <t>RESERVOIR</t>
  </si>
  <si>
    <t>RESERVOIR EAST</t>
  </si>
  <si>
    <t>RESERVOIR NORTH</t>
  </si>
  <si>
    <t>RESERVOIR SOUTH</t>
  </si>
  <si>
    <t>THOMASTOWN</t>
  </si>
  <si>
    <t>LALOR</t>
  </si>
  <si>
    <t>LALOR PLAZA</t>
  </si>
  <si>
    <t>EPPING DC</t>
  </si>
  <si>
    <t>ALPHINGTON</t>
  </si>
  <si>
    <t>IVANHOE EAST</t>
  </si>
  <si>
    <t>IVANHOE NORTH</t>
  </si>
  <si>
    <t>BELLFIELD</t>
  </si>
  <si>
    <t>HEIDELBERG HEIGHTS</t>
  </si>
  <si>
    <t>HEIDELBERG RGH</t>
  </si>
  <si>
    <t>HEIDELBERG WEST</t>
  </si>
  <si>
    <t>MILL PARK</t>
  </si>
  <si>
    <t>BUNDOORA</t>
  </si>
  <si>
    <t>KINGSBURY</t>
  </si>
  <si>
    <t>LA TROBE UNIVERSITY</t>
  </si>
  <si>
    <t>BANYULE</t>
  </si>
  <si>
    <t>EAGLEMONT</t>
  </si>
  <si>
    <t>HEIDELBERG</t>
  </si>
  <si>
    <t>ROSANNA</t>
  </si>
  <si>
    <t>VIEWBANK</t>
  </si>
  <si>
    <t>MACLEOD</t>
  </si>
  <si>
    <t>MACLEOD WEST</t>
  </si>
  <si>
    <t>WATSONIA</t>
  </si>
  <si>
    <t>WATSONIA NORTH</t>
  </si>
  <si>
    <t>BRIAR HILL</t>
  </si>
  <si>
    <t>GREENSBOROUGH</t>
  </si>
  <si>
    <t>SAINT HELENA</t>
  </si>
  <si>
    <t>DIAMOND CREEK</t>
  </si>
  <si>
    <t>PLENTY</t>
  </si>
  <si>
    <t>YARRAMBAT</t>
  </si>
  <si>
    <t>LOWER PLENTY</t>
  </si>
  <si>
    <t>MONTMORENCY</t>
  </si>
  <si>
    <t>ELTHAM NORTH</t>
  </si>
  <si>
    <t>RESEARCH</t>
  </si>
  <si>
    <t>WATTLE GLEN</t>
  </si>
  <si>
    <t>BEND OF ISLANDS</t>
  </si>
  <si>
    <t>KANGAROO GROUND</t>
  </si>
  <si>
    <t>ARTHURS CREEK</t>
  </si>
  <si>
    <t>COTTLES BRIDGE</t>
  </si>
  <si>
    <t>HURSTBRIDGE</t>
  </si>
  <si>
    <t>NUTFIELD</t>
  </si>
  <si>
    <t>STRATHEWEN</t>
  </si>
  <si>
    <t>COTHAM</t>
  </si>
  <si>
    <t>KEW EAST</t>
  </si>
  <si>
    <t>BALWYN</t>
  </si>
  <si>
    <t>BALWYN EAST</t>
  </si>
  <si>
    <t>DEEPDENE DC</t>
  </si>
  <si>
    <t>BALWYN NORTH</t>
  </si>
  <si>
    <t>GREYTHORN</t>
  </si>
  <si>
    <t>BULLEEN</t>
  </si>
  <si>
    <t>BULLEEN SOUTH</t>
  </si>
  <si>
    <t>TEMPLESTOWE</t>
  </si>
  <si>
    <t>TEMPLESTOWE LOWER</t>
  </si>
  <si>
    <t>DONCASTER</t>
  </si>
  <si>
    <t>DONCASTER EAST</t>
  </si>
  <si>
    <t>DONCASTER HEIGHTS</t>
  </si>
  <si>
    <t>THE PINES</t>
  </si>
  <si>
    <t>TUNSTALL SQUARE PO</t>
  </si>
  <si>
    <t>NUNAWADING BC</t>
  </si>
  <si>
    <t>DONVALE</t>
  </si>
  <si>
    <t>NORTH WARRANDYTE</t>
  </si>
  <si>
    <t>WARRANDYTE</t>
  </si>
  <si>
    <t>PARK ORCHARDS</t>
  </si>
  <si>
    <t>WONGA PARK</t>
  </si>
  <si>
    <t>CHIRNSIDE PARK</t>
  </si>
  <si>
    <t>BURNLEY</t>
  </si>
  <si>
    <t>RICHMOND EAST</t>
  </si>
  <si>
    <t>RICHMOND NORTH</t>
  </si>
  <si>
    <t>RICHMOND SOUTH</t>
  </si>
  <si>
    <t>VICTORIA GARDENS</t>
  </si>
  <si>
    <t>GLENFERRIE SOUTH</t>
  </si>
  <si>
    <t>HAWTHORN</t>
  </si>
  <si>
    <t>HAWTHORN NORTH</t>
  </si>
  <si>
    <t>HAWTHORN WEST</t>
  </si>
  <si>
    <t>HAWTHORN EAST</t>
  </si>
  <si>
    <t>CAMBERWELL NORTH</t>
  </si>
  <si>
    <t>CAMBERWELL SOUTH</t>
  </si>
  <si>
    <t>CAMBERWELL WEST</t>
  </si>
  <si>
    <t>HARTWELL</t>
  </si>
  <si>
    <t>MIDDLE CAMBERWELL</t>
  </si>
  <si>
    <t>BENNETTSWOOD</t>
  </si>
  <si>
    <t>SURREY HILLS SOUTH</t>
  </si>
  <si>
    <t>CAMBERWELL EAST</t>
  </si>
  <si>
    <t>MONT ALBERT</t>
  </si>
  <si>
    <t>SURREY HILLS</t>
  </si>
  <si>
    <t>SURREY HILLS NORTH</t>
  </si>
  <si>
    <t>BOX HILL CENTRAL</t>
  </si>
  <si>
    <t>BOX HILL SOUTH</t>
  </si>
  <si>
    <t>HOUSTON</t>
  </si>
  <si>
    <t>WATTLE PARK</t>
  </si>
  <si>
    <t>BOX HILL NORTH</t>
  </si>
  <si>
    <t>KERRIMUIR</t>
  </si>
  <si>
    <t>MONT ALBERT NORTH</t>
  </si>
  <si>
    <t>BLACKBURN</t>
  </si>
  <si>
    <t>BLACKBURN NORTH</t>
  </si>
  <si>
    <t>BLACKBURN SOUTH</t>
  </si>
  <si>
    <t>LABURNUM</t>
  </si>
  <si>
    <t>BRENTFORD SQUARE</t>
  </si>
  <si>
    <t>NUNAWADING</t>
  </si>
  <si>
    <t>MITCHAM</t>
  </si>
  <si>
    <t>MITCHAM NORTH</t>
  </si>
  <si>
    <t>RANGEVIEW</t>
  </si>
  <si>
    <t>VERMONT</t>
  </si>
  <si>
    <t>VERMONT SOUTH</t>
  </si>
  <si>
    <t>RINGWOOD NORTH</t>
  </si>
  <si>
    <t>WARRANDYTE SOUTH</t>
  </si>
  <si>
    <t>WARRANWOOD</t>
  </si>
  <si>
    <t>BEDFORD ROAD</t>
  </si>
  <si>
    <t>HEATHMONT</t>
  </si>
  <si>
    <t>RINGWOOD EAST</t>
  </si>
  <si>
    <t>CROYDON HILLS</t>
  </si>
  <si>
    <t>CROYDON NORTH</t>
  </si>
  <si>
    <t>CROYDON SOUTH</t>
  </si>
  <si>
    <t>KILSYTH</t>
  </si>
  <si>
    <t>KILSYTH SOUTH</t>
  </si>
  <si>
    <t>MOOROOLBARK</t>
  </si>
  <si>
    <t>BEENAK</t>
  </si>
  <si>
    <t>DON VALLEY</t>
  </si>
  <si>
    <t>HODDLES CREEK</t>
  </si>
  <si>
    <t>LAUNCHING PLACE</t>
  </si>
  <si>
    <t>SEVILLE</t>
  </si>
  <si>
    <t>SEVILLE EAST</t>
  </si>
  <si>
    <t>WANDIN EAST</t>
  </si>
  <si>
    <t>WANDIN NORTH</t>
  </si>
  <si>
    <t>WOORI YALLOCK</t>
  </si>
  <si>
    <t>YELLINGBO</t>
  </si>
  <si>
    <t>CHAPEL STREET NORTH</t>
  </si>
  <si>
    <t>DOMAIN ROAD PO</t>
  </si>
  <si>
    <t>SOUTH YARRA</t>
  </si>
  <si>
    <t>HAWKSBURN</t>
  </si>
  <si>
    <t>TOORAK</t>
  </si>
  <si>
    <t>ARMADALE</t>
  </si>
  <si>
    <t>ARMADALE NORTH</t>
  </si>
  <si>
    <t>KOOYONG</t>
  </si>
  <si>
    <t>MALVERN</t>
  </si>
  <si>
    <t>MALVERN NORTH</t>
  </si>
  <si>
    <t>CAULFIELD EAST</t>
  </si>
  <si>
    <t>CENTRAL PARK</t>
  </si>
  <si>
    <t>DARLING</t>
  </si>
  <si>
    <t>DARLING SOUTH</t>
  </si>
  <si>
    <t>MALVERN EAST</t>
  </si>
  <si>
    <t>WATTLETREE ROAD PO</t>
  </si>
  <si>
    <t>GLEN IRIS</t>
  </si>
  <si>
    <t>ASHBURTON</t>
  </si>
  <si>
    <t>ASHWOOD</t>
  </si>
  <si>
    <t>CHADSTONE</t>
  </si>
  <si>
    <t>CHADSTONE CENTRE</t>
  </si>
  <si>
    <t>HOLMESGLEN</t>
  </si>
  <si>
    <t>MOUNT WAVERLEY</t>
  </si>
  <si>
    <t>PINEWOOD</t>
  </si>
  <si>
    <t>SYNDAL</t>
  </si>
  <si>
    <t>GLEN WAVERLEY</t>
  </si>
  <si>
    <t>WHEELERS HILL</t>
  </si>
  <si>
    <t>BURWOOD EAST</t>
  </si>
  <si>
    <t>KNOX CITY CENTRE</t>
  </si>
  <si>
    <t>STUDFIELD</t>
  </si>
  <si>
    <t>WANTIRNA</t>
  </si>
  <si>
    <t>WANTIRNA SOUTH</t>
  </si>
  <si>
    <t>BAYSWATER</t>
  </si>
  <si>
    <t>BAYSWATER NORTH</t>
  </si>
  <si>
    <t>BORONIA</t>
  </si>
  <si>
    <t>FERNTREE GULLY</t>
  </si>
  <si>
    <t>LYSTERFIELD</t>
  </si>
  <si>
    <t>LYSTERFIELD SOUTH</t>
  </si>
  <si>
    <t>MOUNTAIN GATE</t>
  </si>
  <si>
    <t>UPPER FERNTREE GULLY</t>
  </si>
  <si>
    <t>UPWEY</t>
  </si>
  <si>
    <t>MENZIES CREEK</t>
  </si>
  <si>
    <t>SELBY</t>
  </si>
  <si>
    <t>BELGRAVE</t>
  </si>
  <si>
    <t>BELGRAVE HEIGHTS</t>
  </si>
  <si>
    <t>BELGRAVE SOUTH</t>
  </si>
  <si>
    <t>TECOMA</t>
  </si>
  <si>
    <t>CAULFIELD JUNCTION</t>
  </si>
  <si>
    <t>CAULFIELD NORTH</t>
  </si>
  <si>
    <t>CAULFIELD</t>
  </si>
  <si>
    <t>CAULFIELD SOUTH</t>
  </si>
  <si>
    <t>HOPETOUN GARDENS</t>
  </si>
  <si>
    <t>BOORAN ROAD PO</t>
  </si>
  <si>
    <t>CARNEGIE</t>
  </si>
  <si>
    <t>GLEN HUNTLY</t>
  </si>
  <si>
    <t>MURRUMBEENA</t>
  </si>
  <si>
    <t>DANDENONG SOUTH</t>
  </si>
  <si>
    <t>BENTLEIGH EAST</t>
  </si>
  <si>
    <t>COATESVILLE</t>
  </si>
  <si>
    <t>HUGHESDALE</t>
  </si>
  <si>
    <t>HUNTINGDALE</t>
  </si>
  <si>
    <t>OAKLEIGH</t>
  </si>
  <si>
    <t>OAKLEIGH EAST</t>
  </si>
  <si>
    <t>OAKLEIGH SOUTH</t>
  </si>
  <si>
    <t>CLAYTON</t>
  </si>
  <si>
    <t>NOTTING HILL</t>
  </si>
  <si>
    <t>CLARINDA</t>
  </si>
  <si>
    <t>CLAYTON SOUTH</t>
  </si>
  <si>
    <t>WAVERLEY GARDENS</t>
  </si>
  <si>
    <t>SANDOWN VILLAGE</t>
  </si>
  <si>
    <t>DINGLEY VILLAGE</t>
  </si>
  <si>
    <t>SPRINGVALE SOUTH</t>
  </si>
  <si>
    <t>KEYSBOROUGH</t>
  </si>
  <si>
    <t>NOBLE PARK</t>
  </si>
  <si>
    <t>NOBLE PARK EAST</t>
  </si>
  <si>
    <t>NOBLE PARK NORTH</t>
  </si>
  <si>
    <t>BANGHOLME</t>
  </si>
  <si>
    <t>DANDENONG</t>
  </si>
  <si>
    <t>DANDENONG EAST</t>
  </si>
  <si>
    <t>DANDENONG NORTH</t>
  </si>
  <si>
    <t>DUNEARN</t>
  </si>
  <si>
    <t>SCORESBY BC</t>
  </si>
  <si>
    <t>DOVETON</t>
  </si>
  <si>
    <t>EUMEMMERRING</t>
  </si>
  <si>
    <t>ROWVILLE</t>
  </si>
  <si>
    <t>SCORESBY</t>
  </si>
  <si>
    <t>KNOXFIELD</t>
  </si>
  <si>
    <t>PRAHRAN</t>
  </si>
  <si>
    <t>PRAHRAN EAST</t>
  </si>
  <si>
    <t>ST KILDA</t>
  </si>
  <si>
    <t>ST KILDA SOUTH</t>
  </si>
  <si>
    <t>ST KILDA WEST</t>
  </si>
  <si>
    <t>BALACLAVA</t>
  </si>
  <si>
    <t>ST KILDA EAST</t>
  </si>
  <si>
    <t>BRIGHTON ROAD</t>
  </si>
  <si>
    <t>ELWOOD</t>
  </si>
  <si>
    <t>ELSTERNWICK</t>
  </si>
  <si>
    <t>GARDENVALE</t>
  </si>
  <si>
    <t>RIPPONLEA</t>
  </si>
  <si>
    <t>BRIGHTON</t>
  </si>
  <si>
    <t>BRIGHTON NORTH</t>
  </si>
  <si>
    <t>DENDY</t>
  </si>
  <si>
    <t>WERE STREET PO</t>
  </si>
  <si>
    <t>BRIGHTON EAST</t>
  </si>
  <si>
    <t>NORTH ROAD</t>
  </si>
  <si>
    <t>HAMPTON EAST</t>
  </si>
  <si>
    <t>HAMPTON NORTH</t>
  </si>
  <si>
    <t>MOORABBIN</t>
  </si>
  <si>
    <t>MOORABBIN EAST</t>
  </si>
  <si>
    <t>WISHART</t>
  </si>
  <si>
    <t>HIGHETT</t>
  </si>
  <si>
    <t>CHELTENHAM EAST</t>
  </si>
  <si>
    <t>CHELTENHAM NORTH</t>
  </si>
  <si>
    <t>SOUTHLAND CENTRE</t>
  </si>
  <si>
    <t>BEAUMARIS</t>
  </si>
  <si>
    <t>BLACK ROCK</t>
  </si>
  <si>
    <t>BLACK ROCK NORTH</t>
  </si>
  <si>
    <t>MENTONE</t>
  </si>
  <si>
    <t>MENTONE EAST</t>
  </si>
  <si>
    <t>MOORABBIN AIRPORT</t>
  </si>
  <si>
    <t>ASPENDALE</t>
  </si>
  <si>
    <t>ASPENDALE GARDENS</t>
  </si>
  <si>
    <t>BRAESIDE</t>
  </si>
  <si>
    <t>MORDIALLOC</t>
  </si>
  <si>
    <t>MORDIALLOC NORTH</t>
  </si>
  <si>
    <t>PARKDALE</t>
  </si>
  <si>
    <t>WATERWAYS</t>
  </si>
  <si>
    <t>BONBEACH</t>
  </si>
  <si>
    <t>CHELSEA</t>
  </si>
  <si>
    <t>CHELSEA HEIGHTS</t>
  </si>
  <si>
    <t>EDITHVALE</t>
  </si>
  <si>
    <t>CARRUM</t>
  </si>
  <si>
    <t>PATTERSON LAKES</t>
  </si>
  <si>
    <t>BELVEDERE PARK</t>
  </si>
  <si>
    <t>SEAFORD</t>
  </si>
  <si>
    <t>FRANKSTON</t>
  </si>
  <si>
    <t>FRANKSTON EAST</t>
  </si>
  <si>
    <t>FRANKSTON HEIGHTS</t>
  </si>
  <si>
    <t>FRANKSTON SOUTH</t>
  </si>
  <si>
    <t>KARINGAL</t>
  </si>
  <si>
    <t>KARINGAL CENTRE</t>
  </si>
  <si>
    <t>FRANKSTON NORTH</t>
  </si>
  <si>
    <t>PINES FOREST</t>
  </si>
  <si>
    <t>CARRUM DOWNS</t>
  </si>
  <si>
    <t>HEATHERTON</t>
  </si>
  <si>
    <t>BENTLEIGH</t>
  </si>
  <si>
    <t>MCKINNON</t>
  </si>
  <si>
    <t>ORMOND</t>
  </si>
  <si>
    <t>PATTERSON</t>
  </si>
  <si>
    <t>SOUTH MELBOURNE</t>
  </si>
  <si>
    <t>SOUTH MELBOURNE DC</t>
  </si>
  <si>
    <t>ALBERT PARK</t>
  </si>
  <si>
    <t>MIDDLE PARK</t>
  </si>
  <si>
    <t>GARDEN CITY</t>
  </si>
  <si>
    <t>PORT MELBOURNE</t>
  </si>
  <si>
    <t>LARA</t>
  </si>
  <si>
    <t>POINT WILSON</t>
  </si>
  <si>
    <t>CORIO</t>
  </si>
  <si>
    <t>NORLANE</t>
  </si>
  <si>
    <t>BELL PARK</t>
  </si>
  <si>
    <t>BELL POST HILL</t>
  </si>
  <si>
    <t>DRUMCONDRA</t>
  </si>
  <si>
    <t>GEELONG NORTH</t>
  </si>
  <si>
    <t>HAMLYN HEIGHTS</t>
  </si>
  <si>
    <t>NORTH GEELONG</t>
  </si>
  <si>
    <t>RIPPLESIDE</t>
  </si>
  <si>
    <t>FRESHWATER CREEK</t>
  </si>
  <si>
    <t>GROVEDALE</t>
  </si>
  <si>
    <t>GROVEDALE EAST</t>
  </si>
  <si>
    <t>HIGHTON</t>
  </si>
  <si>
    <t>MARSHALL</t>
  </si>
  <si>
    <t>MOUNT DUNEED</t>
  </si>
  <si>
    <t>WANDANA HEIGHTS</t>
  </si>
  <si>
    <t>WAURN PONDS</t>
  </si>
  <si>
    <t>DEAKIN UNIVERSITY</t>
  </si>
  <si>
    <t>GEELONG WEST</t>
  </si>
  <si>
    <t>HERNE HILL</t>
  </si>
  <si>
    <t>MANIFOLD HEIGHTS</t>
  </si>
  <si>
    <t>BREAKWATER</t>
  </si>
  <si>
    <t>EAST GEELONG</t>
  </si>
  <si>
    <t>NEWCOMB</t>
  </si>
  <si>
    <t>ST ALBANS PARK</t>
  </si>
  <si>
    <t>THOMSON</t>
  </si>
  <si>
    <t>WHITTINGTON</t>
  </si>
  <si>
    <t>BAREENA</t>
  </si>
  <si>
    <t>GEELONG</t>
  </si>
  <si>
    <t>SOUTH GEELONG</t>
  </si>
  <si>
    <t>ANAKIE</t>
  </si>
  <si>
    <t>BARRABOOL</t>
  </si>
  <si>
    <t>BATESFORD</t>
  </si>
  <si>
    <t>BELLARINE</t>
  </si>
  <si>
    <t>CERES</t>
  </si>
  <si>
    <t>FYANSFORD</t>
  </si>
  <si>
    <t>GEELONG MC</t>
  </si>
  <si>
    <t>GNARWARRE</t>
  </si>
  <si>
    <t>GREY RIVER</t>
  </si>
  <si>
    <t>KENNETT RIVER</t>
  </si>
  <si>
    <t>LOVELY BANKS</t>
  </si>
  <si>
    <t>MOOLAP</t>
  </si>
  <si>
    <t>MOORABOOL</t>
  </si>
  <si>
    <t>MURGHEBOLUC</t>
  </si>
  <si>
    <t>SEPARATION CREEK</t>
  </si>
  <si>
    <t>STAUGHTON VALE</t>
  </si>
  <si>
    <t>STONEHAVEN</t>
  </si>
  <si>
    <t>SUGARLOAF</t>
  </si>
  <si>
    <t>WALLINGTON</t>
  </si>
  <si>
    <t>WONGARRA</t>
  </si>
  <si>
    <t>WYE RIVER</t>
  </si>
  <si>
    <t>CLIFTON SPRINGS</t>
  </si>
  <si>
    <t>DRYSDALE</t>
  </si>
  <si>
    <t>MANNERIM</t>
  </si>
  <si>
    <t>MARCUS HILL</t>
  </si>
  <si>
    <t>INDENTED HEAD</t>
  </si>
  <si>
    <t>PORTARLINGTON</t>
  </si>
  <si>
    <t>LEOPOLD</t>
  </si>
  <si>
    <t>POINT LONSDALE</t>
  </si>
  <si>
    <t>SWAN ISLAND</t>
  </si>
  <si>
    <t>OCEAN GROVE</t>
  </si>
  <si>
    <t>BARWON HEADS</t>
  </si>
  <si>
    <t>BREAMLEA</t>
  </si>
  <si>
    <t>CONNEWARRE</t>
  </si>
  <si>
    <t>BELLBRAE</t>
  </si>
  <si>
    <t>BELLS BEACH</t>
  </si>
  <si>
    <t>JAN JUC</t>
  </si>
  <si>
    <t>TORQUAY</t>
  </si>
  <si>
    <t>ANGLESEA</t>
  </si>
  <si>
    <t>AIREYS INLET</t>
  </si>
  <si>
    <t>EASTERN VIEW</t>
  </si>
  <si>
    <t>FAIRHAVEN</t>
  </si>
  <si>
    <t>MOGGS CREEK</t>
  </si>
  <si>
    <t>APOLLO BAY</t>
  </si>
  <si>
    <t>CAPE OTWAY</t>
  </si>
  <si>
    <t>MARENGO</t>
  </si>
  <si>
    <t>PETTICOAT CREEK</t>
  </si>
  <si>
    <t>SKENES CREEK</t>
  </si>
  <si>
    <t>SKENES CREEK NORTH</t>
  </si>
  <si>
    <t>BENWERRIN</t>
  </si>
  <si>
    <t>DEANS MARSH</t>
  </si>
  <si>
    <t>PENNYROYAL</t>
  </si>
  <si>
    <t>MOUNT SABINE</t>
  </si>
  <si>
    <t>AIRE VALLEY</t>
  </si>
  <si>
    <t>BEECH FOREST</t>
  </si>
  <si>
    <t>FERGUSON</t>
  </si>
  <si>
    <t>GELLIBRAND LOWER</t>
  </si>
  <si>
    <t>WATTLE HILL</t>
  </si>
  <si>
    <t>WEEAPROINAH</t>
  </si>
  <si>
    <t>WYELANGTA</t>
  </si>
  <si>
    <t>YUULONG</t>
  </si>
  <si>
    <t>GLENAIRE</t>
  </si>
  <si>
    <t>HORDERN VALE</t>
  </si>
  <si>
    <t>JOHANNA</t>
  </si>
  <si>
    <t>LAVERS HILL</t>
  </si>
  <si>
    <t>CARLISLE RIVER</t>
  </si>
  <si>
    <t>CHAPPLE VALE</t>
  </si>
  <si>
    <t>GELLIBRAND</t>
  </si>
  <si>
    <t>KENNEDYS CREEK</t>
  </si>
  <si>
    <t>BUCKLEY</t>
  </si>
  <si>
    <t>GHERANG</t>
  </si>
  <si>
    <t>MODEWARRE</t>
  </si>
  <si>
    <t>MORIAC</t>
  </si>
  <si>
    <t>MOUNT MORIAC</t>
  </si>
  <si>
    <t>PARAPARAP</t>
  </si>
  <si>
    <t>BAMBRA</t>
  </si>
  <si>
    <t>OMBERSLEY</t>
  </si>
  <si>
    <t>WENSLEYDALE</t>
  </si>
  <si>
    <t>WINCHELSEA</t>
  </si>
  <si>
    <t>WINCHELSEA SOUTH</t>
  </si>
  <si>
    <t>WURDIBOLUC</t>
  </si>
  <si>
    <t>BIRREGURRA</t>
  </si>
  <si>
    <t>BARWON DOWNS</t>
  </si>
  <si>
    <t>GERANGAMETE</t>
  </si>
  <si>
    <t>MURROON</t>
  </si>
  <si>
    <t>WARNCOORT</t>
  </si>
  <si>
    <t>WHOOREL</t>
  </si>
  <si>
    <t>ALVIE</t>
  </si>
  <si>
    <t>BALINTORE</t>
  </si>
  <si>
    <t>BARONGAROOK</t>
  </si>
  <si>
    <t>BARONGAROOK WEST</t>
  </si>
  <si>
    <t>BARRAMUNGA</t>
  </si>
  <si>
    <t>CORAGULAC</t>
  </si>
  <si>
    <t>CORUNNUN</t>
  </si>
  <si>
    <t>DREEITE</t>
  </si>
  <si>
    <t>DREEITE SOUTH</t>
  </si>
  <si>
    <t>IRREWARRA</t>
  </si>
  <si>
    <t>IRREWILLIPE</t>
  </si>
  <si>
    <t>IRREWILLIPE EAST</t>
  </si>
  <si>
    <t>KAWARREN</t>
  </si>
  <si>
    <t>LARPENT</t>
  </si>
  <si>
    <t>NALANGIL</t>
  </si>
  <si>
    <t>ONDIT</t>
  </si>
  <si>
    <t>PIRRON YALLOCK</t>
  </si>
  <si>
    <t>POMBORNEIT EAST</t>
  </si>
  <si>
    <t>SWAN MARSH</t>
  </si>
  <si>
    <t>TANYBRYN</t>
  </si>
  <si>
    <t>WARRION</t>
  </si>
  <si>
    <t>WOOL WOOL</t>
  </si>
  <si>
    <t>YEO</t>
  </si>
  <si>
    <t>YEODENE</t>
  </si>
  <si>
    <t>COLAC</t>
  </si>
  <si>
    <t>COLAC EAST</t>
  </si>
  <si>
    <t>COLAC WEST</t>
  </si>
  <si>
    <t>ELLIMINYT</t>
  </si>
  <si>
    <t>BEEAC</t>
  </si>
  <si>
    <t>CUNDARE NORTH</t>
  </si>
  <si>
    <t>EURACK</t>
  </si>
  <si>
    <t>WEERING</t>
  </si>
  <si>
    <t>COROROOKE</t>
  </si>
  <si>
    <t>BOOKAAR</t>
  </si>
  <si>
    <t>BOSTOCKS CREEK</t>
  </si>
  <si>
    <t>BUNGADOR</t>
  </si>
  <si>
    <t>CARPENDEIT</t>
  </si>
  <si>
    <t>CHOCOLYN</t>
  </si>
  <si>
    <t>GNOTUK</t>
  </si>
  <si>
    <t>KARIAH</t>
  </si>
  <si>
    <t>KOALLAH</t>
  </si>
  <si>
    <t>LESLIE MANOR</t>
  </si>
  <si>
    <t>POMBORNEIT</t>
  </si>
  <si>
    <t>POMBORNEIT NORTH</t>
  </si>
  <si>
    <t>SKIBO</t>
  </si>
  <si>
    <t>SOUTH PURRUMBETE</t>
  </si>
  <si>
    <t>STONYFORD</t>
  </si>
  <si>
    <t>TANDAROOK</t>
  </si>
  <si>
    <t>TESBURY</t>
  </si>
  <si>
    <t>WEERITE</t>
  </si>
  <si>
    <t>TERANG</t>
  </si>
  <si>
    <t>BOORCAN</t>
  </si>
  <si>
    <t>CUDGEE</t>
  </si>
  <si>
    <t>DIXIE</t>
  </si>
  <si>
    <t>ECKLIN SOUTH</t>
  </si>
  <si>
    <t>FRAMLINGHAM</t>
  </si>
  <si>
    <t>FRAMLINGHAM EAST</t>
  </si>
  <si>
    <t>GARVOC</t>
  </si>
  <si>
    <t>GLENORMISTON NORTH</t>
  </si>
  <si>
    <t>GLENORMISTON SOUTH</t>
  </si>
  <si>
    <t>KOLORA</t>
  </si>
  <si>
    <t>LAANG</t>
  </si>
  <si>
    <t>NOORAT</t>
  </si>
  <si>
    <t>NOORAT EAST</t>
  </si>
  <si>
    <t>PANMURE</t>
  </si>
  <si>
    <t>TAROON</t>
  </si>
  <si>
    <t>THE SISTERS</t>
  </si>
  <si>
    <t>BULLAHARRE</t>
  </si>
  <si>
    <t>COBDEN</t>
  </si>
  <si>
    <t>COBRICO</t>
  </si>
  <si>
    <t>ELINGAMITE</t>
  </si>
  <si>
    <t>ELINGAMITE NORTH</t>
  </si>
  <si>
    <t>GLENFYNE</t>
  </si>
  <si>
    <t>JANCOURT</t>
  </si>
  <si>
    <t>JANCOURT EAST</t>
  </si>
  <si>
    <t>NAROGHID</t>
  </si>
  <si>
    <t>SIMPSON</t>
  </si>
  <si>
    <t>AYRFORD</t>
  </si>
  <si>
    <t>BRUCKNELL</t>
  </si>
  <si>
    <t>COORIEMUNGLE</t>
  </si>
  <si>
    <t>COWLEYS CREEK</t>
  </si>
  <si>
    <t>CURDIE VALE</t>
  </si>
  <si>
    <t>CURDIES RIVER</t>
  </si>
  <si>
    <t>HEYTESBURY LOWER</t>
  </si>
  <si>
    <t>NEWFIELD</t>
  </si>
  <si>
    <t>NIRRANDA</t>
  </si>
  <si>
    <t>NIRRANDA EAST</t>
  </si>
  <si>
    <t>NIRRANDA SOUTH</t>
  </si>
  <si>
    <t>NULLAWARRE</t>
  </si>
  <si>
    <t>NULLAWARRE EAST</t>
  </si>
  <si>
    <t>PAARATTE</t>
  </si>
  <si>
    <t>THE COVE</t>
  </si>
  <si>
    <t>TIMBOON</t>
  </si>
  <si>
    <t>TIMBOON WEST</t>
  </si>
  <si>
    <t>PORT CAMPBELL</t>
  </si>
  <si>
    <t>PRINCETOWN</t>
  </si>
  <si>
    <t>WAARRE</t>
  </si>
  <si>
    <t>PETERBOROUGH</t>
  </si>
  <si>
    <t>DUNDONNELL</t>
  </si>
  <si>
    <t>PURA PURA</t>
  </si>
  <si>
    <t>WOORNDOO</t>
  </si>
  <si>
    <t>CARAMUT</t>
  </si>
  <si>
    <t>MAILER FLAT</t>
  </si>
  <si>
    <t>MAILORS FLAT</t>
  </si>
  <si>
    <t>WOOLSTHORPE</t>
  </si>
  <si>
    <t>ALLANSFORD</t>
  </si>
  <si>
    <t>MEPUNGA</t>
  </si>
  <si>
    <t>MEPUNGA EAST</t>
  </si>
  <si>
    <t>MEPUNGA WEST</t>
  </si>
  <si>
    <t>NARINGAL</t>
  </si>
  <si>
    <t>NARINGAL EAST</t>
  </si>
  <si>
    <t>PURNIM</t>
  </si>
  <si>
    <t>BALLANGEICH</t>
  </si>
  <si>
    <t>WANGOOM</t>
  </si>
  <si>
    <t>DENNINGTON</t>
  </si>
  <si>
    <t>MINJAH</t>
  </si>
  <si>
    <t>WARRNAMBOOL</t>
  </si>
  <si>
    <t>WARRNAMBOOL EAST</t>
  </si>
  <si>
    <t>WARRNAMBOOL WEST</t>
  </si>
  <si>
    <t>BUSHFIELD</t>
  </si>
  <si>
    <t>GRASSMERE</t>
  </si>
  <si>
    <t>WINSLOW</t>
  </si>
  <si>
    <t>ILLOWA</t>
  </si>
  <si>
    <t>KOROIT</t>
  </si>
  <si>
    <t>CROSSLEY</t>
  </si>
  <si>
    <t>KILLARNEY</t>
  </si>
  <si>
    <t>KIRKSTALL</t>
  </si>
  <si>
    <t>SOUTHERN CROSS</t>
  </si>
  <si>
    <t>TARRONE</t>
  </si>
  <si>
    <t>TOWER HILL</t>
  </si>
  <si>
    <t>WARRONG</t>
  </si>
  <si>
    <t>WILLATOOK</t>
  </si>
  <si>
    <t>YANGERY</t>
  </si>
  <si>
    <t>YARPTURK</t>
  </si>
  <si>
    <t>ORFORD</t>
  </si>
  <si>
    <t>PORT FAIRY</t>
  </si>
  <si>
    <t>NARRAWONG</t>
  </si>
  <si>
    <t>ST HELENS</t>
  </si>
  <si>
    <t>TOOLONG</t>
  </si>
  <si>
    <t>TYRENDARRA</t>
  </si>
  <si>
    <t>TYRENDARRA EAST</t>
  </si>
  <si>
    <t>YAMBUK</t>
  </si>
  <si>
    <t>KNEBSWORTH</t>
  </si>
  <si>
    <t>RIPPONHURST</t>
  </si>
  <si>
    <t>HAWKESDALE</t>
  </si>
  <si>
    <t>MINHAMITE</t>
  </si>
  <si>
    <t>GAZETTE</t>
  </si>
  <si>
    <t>PURDEET</t>
  </si>
  <si>
    <t>TABOR</t>
  </si>
  <si>
    <t>GLENTHOMPSON</t>
  </si>
  <si>
    <t>NAREEB</t>
  </si>
  <si>
    <t>NARRAPUMELAP SOUTH</t>
  </si>
  <si>
    <t>KARABEAL</t>
  </si>
  <si>
    <t>MIRRANATWA</t>
  </si>
  <si>
    <t>MOUTAJUP</t>
  </si>
  <si>
    <t>VICTORIA POINT</t>
  </si>
  <si>
    <t>VICTORIA VALLEY</t>
  </si>
  <si>
    <t>WOODHOUSE</t>
  </si>
  <si>
    <t>BYADUK NORTH</t>
  </si>
  <si>
    <t>BOCHARA</t>
  </si>
  <si>
    <t>BUCKLEY SWAMP</t>
  </si>
  <si>
    <t>BYADUK</t>
  </si>
  <si>
    <t>CROXTON EAST</t>
  </si>
  <si>
    <t>HENSLEY PARK</t>
  </si>
  <si>
    <t>MORGIANA</t>
  </si>
  <si>
    <t>MOUNT NAPIER</t>
  </si>
  <si>
    <t>STRATHKELLAR</t>
  </si>
  <si>
    <t>TAHARA</t>
  </si>
  <si>
    <t>TARRINGTON</t>
  </si>
  <si>
    <t>WANNON</t>
  </si>
  <si>
    <t>WARRAYURE</t>
  </si>
  <si>
    <t>YATCHAW</t>
  </si>
  <si>
    <t>YULECART</t>
  </si>
  <si>
    <t>BRANXHOLME</t>
  </si>
  <si>
    <t>GRASSDALE</t>
  </si>
  <si>
    <t>BREAKAWAY CREEK</t>
  </si>
  <si>
    <t>CONDAH</t>
  </si>
  <si>
    <t>CONDAH SWAMP</t>
  </si>
  <si>
    <t>HOTSPUR</t>
  </si>
  <si>
    <t>LAKE CONDAH</t>
  </si>
  <si>
    <t>WALLACEDALE</t>
  </si>
  <si>
    <t>BESSIEBELLE</t>
  </si>
  <si>
    <t>DARTMOOR</t>
  </si>
  <si>
    <t>DRIK DRIK</t>
  </si>
  <si>
    <t>DRUMBORG</t>
  </si>
  <si>
    <t>GREENWALD</t>
  </si>
  <si>
    <t>HEYWOOD</t>
  </si>
  <si>
    <t>HOMERTON</t>
  </si>
  <si>
    <t>MILLTOWN</t>
  </si>
  <si>
    <t>MUMBANNAR</t>
  </si>
  <si>
    <t>MYAMYN</t>
  </si>
  <si>
    <t>WINNAP</t>
  </si>
  <si>
    <t>ALLESTREE</t>
  </si>
  <si>
    <t>CAPE BRIDGEWATER</t>
  </si>
  <si>
    <t>CASHMORE</t>
  </si>
  <si>
    <t>DUTTON WAY</t>
  </si>
  <si>
    <t>GORAE</t>
  </si>
  <si>
    <t>GORAE WEST</t>
  </si>
  <si>
    <t>HEATHMERE</t>
  </si>
  <si>
    <t>MOUNT RICHMOND</t>
  </si>
  <si>
    <t>PORTLAND NORTH</t>
  </si>
  <si>
    <t>PORTLAND WEST</t>
  </si>
  <si>
    <t>DIGBY</t>
  </si>
  <si>
    <t>MERINO</t>
  </si>
  <si>
    <t>TAHARA WEST</t>
  </si>
  <si>
    <t>CASTERTON</t>
  </si>
  <si>
    <t>HEATH FIELD</t>
  </si>
  <si>
    <t>PURALKA</t>
  </si>
  <si>
    <t>BAHGALLAH</t>
  </si>
  <si>
    <t>BRIMBOAL</t>
  </si>
  <si>
    <t>CARAPOOK</t>
  </si>
  <si>
    <t>CHETWYND</t>
  </si>
  <si>
    <t>DERGHOLM</t>
  </si>
  <si>
    <t>DORODONG</t>
  </si>
  <si>
    <t>DUNROBIN</t>
  </si>
  <si>
    <t>LAKE MUNDI</t>
  </si>
  <si>
    <t>LINDSAY</t>
  </si>
  <si>
    <t>MUNTHAM</t>
  </si>
  <si>
    <t>NANGEELA</t>
  </si>
  <si>
    <t>POOLAIJELO</t>
  </si>
  <si>
    <t>POWERS CREEK</t>
  </si>
  <si>
    <t>SANDFORD</t>
  </si>
  <si>
    <t>STRATHDOWNIE</t>
  </si>
  <si>
    <t>WANDO VALE</t>
  </si>
  <si>
    <t>WARROCK</t>
  </si>
  <si>
    <t>BULART</t>
  </si>
  <si>
    <t>CAVENDISH</t>
  </si>
  <si>
    <t>GLENISLA</t>
  </si>
  <si>
    <t>MOORALLA</t>
  </si>
  <si>
    <t>WOOHLPOOER</t>
  </si>
  <si>
    <t>BRIT BRIT</t>
  </si>
  <si>
    <t>CLOVER FLAT</t>
  </si>
  <si>
    <t>COLERAINE</t>
  </si>
  <si>
    <t>COOJAR</t>
  </si>
  <si>
    <t>CULLA</t>
  </si>
  <si>
    <t>GRINGEGALGONA</t>
  </si>
  <si>
    <t>GRITJURK</t>
  </si>
  <si>
    <t>HILGAY</t>
  </si>
  <si>
    <t>KONONGWOOTONG</t>
  </si>
  <si>
    <t>MELVILLE FOREST</t>
  </si>
  <si>
    <t>NAREEN</t>
  </si>
  <si>
    <t>PARKWOOD</t>
  </si>
  <si>
    <t>PASCHENDALE</t>
  </si>
  <si>
    <t>TAHARA BRIDGE</t>
  </si>
  <si>
    <t>TARRAYOUKYAN</t>
  </si>
  <si>
    <t>TARRENLEA</t>
  </si>
  <si>
    <t>WOOTONG VALE</t>
  </si>
  <si>
    <t>HARROW</t>
  </si>
  <si>
    <t>CHARAM</t>
  </si>
  <si>
    <t>CONNEWIRRICOO</t>
  </si>
  <si>
    <t>EDENHOPE</t>
  </si>
  <si>
    <t>JALLAKIN</t>
  </si>
  <si>
    <t>KADNOOK</t>
  </si>
  <si>
    <t>LANGKOOP</t>
  </si>
  <si>
    <t>MEEREEK</t>
  </si>
  <si>
    <t>PATYAH</t>
  </si>
  <si>
    <t>ULLSWATER</t>
  </si>
  <si>
    <t>BENAYEO</t>
  </si>
  <si>
    <t>BRINGALBERT</t>
  </si>
  <si>
    <t>HESSE</t>
  </si>
  <si>
    <t>INVERLEIGH</t>
  </si>
  <si>
    <t>WINGEEL</t>
  </si>
  <si>
    <t>CRESSY</t>
  </si>
  <si>
    <t>BERRYBANK</t>
  </si>
  <si>
    <t>DUVERNEY</t>
  </si>
  <si>
    <t>FOXHOW</t>
  </si>
  <si>
    <t>MOUNT BUTE</t>
  </si>
  <si>
    <t>DERRINALLUM</t>
  </si>
  <si>
    <t>LARRALEA</t>
  </si>
  <si>
    <t>VITE VITE</t>
  </si>
  <si>
    <t>VITE VITE NORTH</t>
  </si>
  <si>
    <t>TEESDALE</t>
  </si>
  <si>
    <t>BARUNAH PARK</t>
  </si>
  <si>
    <t>SHELFORD</t>
  </si>
  <si>
    <t>ROKEWOOD</t>
  </si>
  <si>
    <t>BANNOCKBURN</t>
  </si>
  <si>
    <t>GHERINGHAP</t>
  </si>
  <si>
    <t>RUSSELLS BRIDGE</t>
  </si>
  <si>
    <t>SHE OAKS</t>
  </si>
  <si>
    <t>STEIGLITZ</t>
  </si>
  <si>
    <t>SUTHERLANDS CREEK</t>
  </si>
  <si>
    <t>LETHBRIDGE</t>
  </si>
  <si>
    <t>BAMGANIE</t>
  </si>
  <si>
    <t>MEREDITH</t>
  </si>
  <si>
    <t>BUNGAL</t>
  </si>
  <si>
    <t>CARGERIE</t>
  </si>
  <si>
    <t>ELAINE</t>
  </si>
  <si>
    <t>MORRISONS</t>
  </si>
  <si>
    <t>MOUNT DORAN</t>
  </si>
  <si>
    <t>ROCKBANK</t>
  </si>
  <si>
    <t>KURUNJANG</t>
  </si>
  <si>
    <t>MELTON</t>
  </si>
  <si>
    <t>MELTON WEST</t>
  </si>
  <si>
    <t>TOOLERN VALE</t>
  </si>
  <si>
    <t>EXFORD</t>
  </si>
  <si>
    <t>EYNESBURY</t>
  </si>
  <si>
    <t>MELTON SOUTH</t>
  </si>
  <si>
    <t>BACCHUS MARSH</t>
  </si>
  <si>
    <t>BALLIANG</t>
  </si>
  <si>
    <t>BALLIANG EAST</t>
  </si>
  <si>
    <t>COIMADAI</t>
  </si>
  <si>
    <t>DARLEY</t>
  </si>
  <si>
    <t>HOPETOUN PARK</t>
  </si>
  <si>
    <t>LONG FOREST</t>
  </si>
  <si>
    <t>MADDINGLEY</t>
  </si>
  <si>
    <t>MERRIMU</t>
  </si>
  <si>
    <t>PARWAN</t>
  </si>
  <si>
    <t>ROWSLEY</t>
  </si>
  <si>
    <t>DALES CREEK</t>
  </si>
  <si>
    <t>KOROBEIT</t>
  </si>
  <si>
    <t>MYRNIONG</t>
  </si>
  <si>
    <t>PENTLAND HILLS</t>
  </si>
  <si>
    <t>BALLAN</t>
  </si>
  <si>
    <t>BEREMBOKE</t>
  </si>
  <si>
    <t>BLAKEVILLE</t>
  </si>
  <si>
    <t>BUNDING</t>
  </si>
  <si>
    <t>COLBROOK</t>
  </si>
  <si>
    <t>DURDIDWARRAH</t>
  </si>
  <si>
    <t>FISKVILLE</t>
  </si>
  <si>
    <t>INGLISTON</t>
  </si>
  <si>
    <t>MOUNT WALLACE</t>
  </si>
  <si>
    <t>ALFREDTON</t>
  </si>
  <si>
    <t>BAKERY HILL</t>
  </si>
  <si>
    <t>BALLARAT</t>
  </si>
  <si>
    <t>BALLARAT CENTRAL</t>
  </si>
  <si>
    <t>BALLARAT EAST</t>
  </si>
  <si>
    <t>BALLARAT NORTH</t>
  </si>
  <si>
    <t>BALLARAT WEST</t>
  </si>
  <si>
    <t>BROWN HILL</t>
  </si>
  <si>
    <t>CANADIAN</t>
  </si>
  <si>
    <t>GOLDEN POINT</t>
  </si>
  <si>
    <t>INVERMAY PARK</t>
  </si>
  <si>
    <t>LAKE WENDOUREE</t>
  </si>
  <si>
    <t>MOUNT CLEAR</t>
  </si>
  <si>
    <t>MOUNT HELEN</t>
  </si>
  <si>
    <t>NERRINA</t>
  </si>
  <si>
    <t>REDAN</t>
  </si>
  <si>
    <t>SOLDIERS HILL</t>
  </si>
  <si>
    <t>SOVEREIGN HILL</t>
  </si>
  <si>
    <t>BERRINGA</t>
  </si>
  <si>
    <t>BO PEEP</t>
  </si>
  <si>
    <t>CAPE CLEAR</t>
  </si>
  <si>
    <t>CARNGHAM</t>
  </si>
  <si>
    <t>CHEPSTOWE</t>
  </si>
  <si>
    <t>HADDON</t>
  </si>
  <si>
    <t>HILLCREST</t>
  </si>
  <si>
    <t>ILLABAROOK</t>
  </si>
  <si>
    <t>LAKE BOLAC</t>
  </si>
  <si>
    <t>MININERA</t>
  </si>
  <si>
    <t>MORTCHUP</t>
  </si>
  <si>
    <t>MOUNT EMU</t>
  </si>
  <si>
    <t>NERRIN NERRIN</t>
  </si>
  <si>
    <t>NINTINGBOOL</t>
  </si>
  <si>
    <t>PIGGOREET</t>
  </si>
  <si>
    <t>PITFIELD</t>
  </si>
  <si>
    <t>ROKEWOOD JUNCTION</t>
  </si>
  <si>
    <t>ROSS CREEK</t>
  </si>
  <si>
    <t>SCARSDALE</t>
  </si>
  <si>
    <t>SMYTHES CREEK</t>
  </si>
  <si>
    <t>SMYTHESDALE</t>
  </si>
  <si>
    <t>SNAKE VALLEY</t>
  </si>
  <si>
    <t>SPRINGDALLAH</t>
  </si>
  <si>
    <t>STAFFORDSHIRE REEF</t>
  </si>
  <si>
    <t>STREATHAM</t>
  </si>
  <si>
    <t>WALLINDUC</t>
  </si>
  <si>
    <t>WESTMERE</t>
  </si>
  <si>
    <t>ADDINGTON</t>
  </si>
  <si>
    <t>BALLARAT ROADSIDE DELIVERY</t>
  </si>
  <si>
    <t>BARKSTEAD</t>
  </si>
  <si>
    <t>BLOWHARD</t>
  </si>
  <si>
    <t>BOLWARRAH</t>
  </si>
  <si>
    <t>BREWSTER</t>
  </si>
  <si>
    <t>BULLAROOK</t>
  </si>
  <si>
    <t>BUNGAREE</t>
  </si>
  <si>
    <t>BUNKERS HILL</t>
  </si>
  <si>
    <t>BURRUMBEET</t>
  </si>
  <si>
    <t>CAMBRIAN HILL</t>
  </si>
  <si>
    <t>CARDIGAN</t>
  </si>
  <si>
    <t>CARDIGAN VILLAGE</t>
  </si>
  <si>
    <t>CHAPEL FLAT</t>
  </si>
  <si>
    <t>CLARETOWN</t>
  </si>
  <si>
    <t>CLARKES HILL</t>
  </si>
  <si>
    <t>CORINDHAP</t>
  </si>
  <si>
    <t>DEAN</t>
  </si>
  <si>
    <t>DEREEL</t>
  </si>
  <si>
    <t>DUNNSTOWN</t>
  </si>
  <si>
    <t>DURHAM LEAD</t>
  </si>
  <si>
    <t>ERCILDOUNE</t>
  </si>
  <si>
    <t>GARIBALDI</t>
  </si>
  <si>
    <t>GLEN PARK</t>
  </si>
  <si>
    <t>GLENBRAE</t>
  </si>
  <si>
    <t>GONG GONG</t>
  </si>
  <si>
    <t>GRENVILLE</t>
  </si>
  <si>
    <t>INVERMAY</t>
  </si>
  <si>
    <t>LAL LAL</t>
  </si>
  <si>
    <t>LAMPLOUGH</t>
  </si>
  <si>
    <t>LANGI KAL KAL</t>
  </si>
  <si>
    <t>LEARMONTH</t>
  </si>
  <si>
    <t>LEIGH CREEK</t>
  </si>
  <si>
    <t>LEXTON</t>
  </si>
  <si>
    <t>MAGPIE</t>
  </si>
  <si>
    <t>MILLBROOK</t>
  </si>
  <si>
    <t>MINERS REST</t>
  </si>
  <si>
    <t>MITCHELL PARK</t>
  </si>
  <si>
    <t>MOLLONGGHIP</t>
  </si>
  <si>
    <t>MOUNT BOLTON</t>
  </si>
  <si>
    <t>MOUNT EGERTON</t>
  </si>
  <si>
    <t>MOUNT MERCER</t>
  </si>
  <si>
    <t>MOUNT ROWAN</t>
  </si>
  <si>
    <t>NAPOLEONS</t>
  </si>
  <si>
    <t>NAVIGATORS</t>
  </si>
  <si>
    <t>POOTILLA</t>
  </si>
  <si>
    <t>SCOTCHMANS LEAD</t>
  </si>
  <si>
    <t>SCOTSBURN</t>
  </si>
  <si>
    <t>SPRINGBANK</t>
  </si>
  <si>
    <t>SULKY</t>
  </si>
  <si>
    <t>WALLACE</t>
  </si>
  <si>
    <t>WARRENHEIP</t>
  </si>
  <si>
    <t>WAUBRA</t>
  </si>
  <si>
    <t>WEATHERBOARD</t>
  </si>
  <si>
    <t>WERNETH</t>
  </si>
  <si>
    <t>YENDON</t>
  </si>
  <si>
    <t>BALLARAT MC</t>
  </si>
  <si>
    <t>LAKE GARDENS</t>
  </si>
  <si>
    <t>WENDOUREE</t>
  </si>
  <si>
    <t>WENDOUREE VILLAGE</t>
  </si>
  <si>
    <t>DELACOMBE</t>
  </si>
  <si>
    <t>BUNINYONG</t>
  </si>
  <si>
    <t>SCOTSMANS LEAD</t>
  </si>
  <si>
    <t>YARROWEE</t>
  </si>
  <si>
    <t>LINTON</t>
  </si>
  <si>
    <t>MANNIBADAR</t>
  </si>
  <si>
    <t>PITTONG</t>
  </si>
  <si>
    <t>WILLOWVALE</t>
  </si>
  <si>
    <t>BRADVALE</t>
  </si>
  <si>
    <t>CARRANBALLAC</t>
  </si>
  <si>
    <t>SKIPTON</t>
  </si>
  <si>
    <t>CRESWICK</t>
  </si>
  <si>
    <t>CRESWICK NORTH</t>
  </si>
  <si>
    <t>GLENDARUEL</t>
  </si>
  <si>
    <t>LANGDONS HILL</t>
  </si>
  <si>
    <t>MOUNT BECKWORTH</t>
  </si>
  <si>
    <t>TOURELLO</t>
  </si>
  <si>
    <t>ALLENDALE</t>
  </si>
  <si>
    <t>ASCOT</t>
  </si>
  <si>
    <t>BLAMPIED</t>
  </si>
  <si>
    <t>BROOMFIELD</t>
  </si>
  <si>
    <t>CABBAGE TREE</t>
  </si>
  <si>
    <t>COGHILLS CREEK</t>
  </si>
  <si>
    <t>GLENDONNELL</t>
  </si>
  <si>
    <t>KOOROOCHEANG</t>
  </si>
  <si>
    <t>MOUNT PROSPECT</t>
  </si>
  <si>
    <t>NEWLYN</t>
  </si>
  <si>
    <t>NEWLYN NORTH</t>
  </si>
  <si>
    <t>ROCKLYN</t>
  </si>
  <si>
    <t>SMEATON</t>
  </si>
  <si>
    <t>SMOKEY TOWN</t>
  </si>
  <si>
    <t>SPRINGMOUNT</t>
  </si>
  <si>
    <t>STRATHLEA</t>
  </si>
  <si>
    <t>ULLINA</t>
  </si>
  <si>
    <t>WERONA</t>
  </si>
  <si>
    <t>GLENGOWER</t>
  </si>
  <si>
    <t>MOUNT CAMERON</t>
  </si>
  <si>
    <t>AMHERST</t>
  </si>
  <si>
    <t>BURNBANK</t>
  </si>
  <si>
    <t>CARALULUP</t>
  </si>
  <si>
    <t>DUNACH</t>
  </si>
  <si>
    <t>EVANSFORD</t>
  </si>
  <si>
    <t>LILLICUR</t>
  </si>
  <si>
    <t>MOUNT GLASGOW</t>
  </si>
  <si>
    <t>TALBOT</t>
  </si>
  <si>
    <t>BEAUFORT</t>
  </si>
  <si>
    <t>CHUTE</t>
  </si>
  <si>
    <t>LAKE GOLDSMITH</t>
  </si>
  <si>
    <t>LAKE WONGAN</t>
  </si>
  <si>
    <t>MAIN LEAD</t>
  </si>
  <si>
    <t>MENA PARK</t>
  </si>
  <si>
    <t>NERRING</t>
  </si>
  <si>
    <t>SHIRLEY</t>
  </si>
  <si>
    <t>STOCKYARD HILL</t>
  </si>
  <si>
    <t>STONELEIGH</t>
  </si>
  <si>
    <t>TRAWALLA</t>
  </si>
  <si>
    <t>GREAT WESTERN</t>
  </si>
  <si>
    <t>BALLYROGAN</t>
  </si>
  <si>
    <t>BAYINDEEN</t>
  </si>
  <si>
    <t>BUANGOR</t>
  </si>
  <si>
    <t>MIDDLE CREEK</t>
  </si>
  <si>
    <t>AMPHITHEATRE</t>
  </si>
  <si>
    <t>ARARAT</t>
  </si>
  <si>
    <t>ARARAT EAST</t>
  </si>
  <si>
    <t>ARMSTRONG</t>
  </si>
  <si>
    <t>BEN NEVIS</t>
  </si>
  <si>
    <t>CROWLANDS</t>
  </si>
  <si>
    <t>DENICULL CREEK</t>
  </si>
  <si>
    <t>DOBIE</t>
  </si>
  <si>
    <t>DUNNEWORTHY</t>
  </si>
  <si>
    <t>EVERSLEY</t>
  </si>
  <si>
    <t>JALLUKUR</t>
  </si>
  <si>
    <t>LANGI LOGAN</t>
  </si>
  <si>
    <t>MAROONA</t>
  </si>
  <si>
    <t>MOUNT COLE</t>
  </si>
  <si>
    <t>MOUNT COLE CREEK</t>
  </si>
  <si>
    <t>MOUNT LONARCH</t>
  </si>
  <si>
    <t>MOYSTON</t>
  </si>
  <si>
    <t>NORVAL</t>
  </si>
  <si>
    <t>RHYMNEY</t>
  </si>
  <si>
    <t>ROSSBRIDGE</t>
  </si>
  <si>
    <t>WARRAK</t>
  </si>
  <si>
    <t>TATYOON</t>
  </si>
  <si>
    <t>YALLA-Y-POORA</t>
  </si>
  <si>
    <t>BORNES HILL</t>
  </si>
  <si>
    <t>MAFEKING</t>
  </si>
  <si>
    <t>STAVELY</t>
  </si>
  <si>
    <t>WATGANIA</t>
  </si>
  <si>
    <t>WICKLIFFE</t>
  </si>
  <si>
    <t>WILLAURA</t>
  </si>
  <si>
    <t>WILLAURA NORTH</t>
  </si>
  <si>
    <t>BELLELLEN</t>
  </si>
  <si>
    <t>BRIDGE INN</t>
  </si>
  <si>
    <t>MOKEPILLY</t>
  </si>
  <si>
    <t>STAWELL</t>
  </si>
  <si>
    <t>STAWELL WEST</t>
  </si>
  <si>
    <t>WINJALLOK</t>
  </si>
  <si>
    <t>BARKLY</t>
  </si>
  <si>
    <t>BOLANGUM</t>
  </si>
  <si>
    <t>CALLAWADDA</t>
  </si>
  <si>
    <t>CAMPBELLS BRIDGE</t>
  </si>
  <si>
    <t>CONCONGELLA</t>
  </si>
  <si>
    <t>DEEP LEAD</t>
  </si>
  <si>
    <t>FYANS CREEK</t>
  </si>
  <si>
    <t>GERMANIA</t>
  </si>
  <si>
    <t>GREENS CREEK</t>
  </si>
  <si>
    <t>HALLS GAP</t>
  </si>
  <si>
    <t>ILLAWARRA</t>
  </si>
  <si>
    <t>JOEL JOEL</t>
  </si>
  <si>
    <t>JOEL SOUTH</t>
  </si>
  <si>
    <t>KANYA</t>
  </si>
  <si>
    <t>LAKE FYANS</t>
  </si>
  <si>
    <t>LAKE LONSDALE</t>
  </si>
  <si>
    <t>LUBECK</t>
  </si>
  <si>
    <t>MORRL MORRL</t>
  </si>
  <si>
    <t>POMONAL</t>
  </si>
  <si>
    <t>ROSTRON</t>
  </si>
  <si>
    <t>WAL WAL</t>
  </si>
  <si>
    <t>WALLALOO</t>
  </si>
  <si>
    <t>WALLALOO EAST</t>
  </si>
  <si>
    <t>FRENCHMANS</t>
  </si>
  <si>
    <t>LANDSBOROUGH</t>
  </si>
  <si>
    <t>LANDSBOROUGH WEST</t>
  </si>
  <si>
    <t>NAVARRE</t>
  </si>
  <si>
    <t>SHAYS FLAT</t>
  </si>
  <si>
    <t>WATTLE CREEK</t>
  </si>
  <si>
    <t>DADSWELLS BRIDGE</t>
  </si>
  <si>
    <t>GLENORCHY</t>
  </si>
  <si>
    <t>LEDCOURT</t>
  </si>
  <si>
    <t>RIACHELLA</t>
  </si>
  <si>
    <t>MARNOO</t>
  </si>
  <si>
    <t>BANYENA</t>
  </si>
  <si>
    <t>RUPANYUP</t>
  </si>
  <si>
    <t>KEWELL</t>
  </si>
  <si>
    <t>MURTOA</t>
  </si>
  <si>
    <t>BRIM</t>
  </si>
  <si>
    <t>MINYIP</t>
  </si>
  <si>
    <t>SHEEP HILLS</t>
  </si>
  <si>
    <t>AILSA</t>
  </si>
  <si>
    <t>ANGIP</t>
  </si>
  <si>
    <t>AUBREY</t>
  </si>
  <si>
    <t>BANGERANG</t>
  </si>
  <si>
    <t>CANNUM</t>
  </si>
  <si>
    <t>CRYMELON</t>
  </si>
  <si>
    <t>KELLALAC</t>
  </si>
  <si>
    <t>LAH</t>
  </si>
  <si>
    <t>WARRACKNABEAL</t>
  </si>
  <si>
    <t>WILKUR</t>
  </si>
  <si>
    <t>WILLENABRINA</t>
  </si>
  <si>
    <t>BEULAH</t>
  </si>
  <si>
    <t>KENMARE</t>
  </si>
  <si>
    <t>HOPETOUN</t>
  </si>
  <si>
    <t>HOPEVALE</t>
  </si>
  <si>
    <t>YARTO</t>
  </si>
  <si>
    <t>JUNG</t>
  </si>
  <si>
    <t>LONGERENONG</t>
  </si>
  <si>
    <t>BRIMPAEN</t>
  </si>
  <si>
    <t>HORSHAM</t>
  </si>
  <si>
    <t>HORSHAM WEST</t>
  </si>
  <si>
    <t>ST HELENS PLAINS</t>
  </si>
  <si>
    <t>WARTOOK</t>
  </si>
  <si>
    <t>WONWONDAH EAST</t>
  </si>
  <si>
    <t>WONWONDAH SOUTH</t>
  </si>
  <si>
    <t>BUNGALALLY</t>
  </si>
  <si>
    <t>CHERRYPOOL</t>
  </si>
  <si>
    <t>CLEAR LAKE</t>
  </si>
  <si>
    <t>CONNANGORACH</t>
  </si>
  <si>
    <t>DAHLEN</t>
  </si>
  <si>
    <t>DOOEN</t>
  </si>
  <si>
    <t>DOUGLAS</t>
  </si>
  <si>
    <t>DRUNG</t>
  </si>
  <si>
    <t>GREEN LAKE</t>
  </si>
  <si>
    <t>GYMBOWEN</t>
  </si>
  <si>
    <t>HAVEN</t>
  </si>
  <si>
    <t>JALLUMBA</t>
  </si>
  <si>
    <t>JILPANGER</t>
  </si>
  <si>
    <t>KALKEE</t>
  </si>
  <si>
    <t>KANAGULK</t>
  </si>
  <si>
    <t>KARNAK</t>
  </si>
  <si>
    <t>LAHARUM</t>
  </si>
  <si>
    <t>LOWER NORTON</t>
  </si>
  <si>
    <t>MCKENZIE CREEK</t>
  </si>
  <si>
    <t>MIGA LAKE</t>
  </si>
  <si>
    <t>MITRE</t>
  </si>
  <si>
    <t>MOCKINYA</t>
  </si>
  <si>
    <t>MURRA WARRA</t>
  </si>
  <si>
    <t>NORADJUHA</t>
  </si>
  <si>
    <t>NURCOUNG</t>
  </si>
  <si>
    <t>NURRABIEL</t>
  </si>
  <si>
    <t>PIMPINIO</t>
  </si>
  <si>
    <t>QUANTONG</t>
  </si>
  <si>
    <t>REMLAW</t>
  </si>
  <si>
    <t>ROCKLANDS</t>
  </si>
  <si>
    <t>TELANGATUK EAST</t>
  </si>
  <si>
    <t>TOOAN</t>
  </si>
  <si>
    <t>TOOLONDO</t>
  </si>
  <si>
    <t>VECTIS</t>
  </si>
  <si>
    <t>WALLUP</t>
  </si>
  <si>
    <t>WOMBELANO</t>
  </si>
  <si>
    <t>WONWONDAH</t>
  </si>
  <si>
    <t>ZUMSTEINS</t>
  </si>
  <si>
    <t>ENGLEFIELD</t>
  </si>
  <si>
    <t>GATUM</t>
  </si>
  <si>
    <t>PIGEON PONDS</t>
  </si>
  <si>
    <t>VASEY</t>
  </si>
  <si>
    <t>GRASS FLAT</t>
  </si>
  <si>
    <t>NATIMUK</t>
  </si>
  <si>
    <t>GOROKE</t>
  </si>
  <si>
    <t>MINIMAY</t>
  </si>
  <si>
    <t>NEUARPURR</t>
  </si>
  <si>
    <t>OZENKADNOOK</t>
  </si>
  <si>
    <t>PERONNE</t>
  </si>
  <si>
    <t>ANTWERP</t>
  </si>
  <si>
    <t>DIMBOOLA</t>
  </si>
  <si>
    <t>TARRANYURK</t>
  </si>
  <si>
    <t>WAIL</t>
  </si>
  <si>
    <t>MIRAM</t>
  </si>
  <si>
    <t>GERANG GERUNG</t>
  </si>
  <si>
    <t>GLENLEE</t>
  </si>
  <si>
    <t>KIATA</t>
  </si>
  <si>
    <t>LAWLOIT</t>
  </si>
  <si>
    <t>LITTLE DESERT</t>
  </si>
  <si>
    <t>LORQUON</t>
  </si>
  <si>
    <t>NETHERBY</t>
  </si>
  <si>
    <t>NHILL</t>
  </si>
  <si>
    <t>YANAC</t>
  </si>
  <si>
    <t>KANIVA</t>
  </si>
  <si>
    <t>LILLIMUR</t>
  </si>
  <si>
    <t>SERVICETON</t>
  </si>
  <si>
    <t>TELOPEA DOWNS</t>
  </si>
  <si>
    <t>JEPARIT</t>
  </si>
  <si>
    <t>LAKE HINDMARSH</t>
  </si>
  <si>
    <t>ALBACUTYA</t>
  </si>
  <si>
    <t>RAINBOW</t>
  </si>
  <si>
    <t>YAAPEET</t>
  </si>
  <si>
    <t>DIGGERS REST</t>
  </si>
  <si>
    <t>SUNBURY</t>
  </si>
  <si>
    <t>WILDWOOD</t>
  </si>
  <si>
    <t>CLARKEFIELD</t>
  </si>
  <si>
    <t>RIDDELLS CREEK</t>
  </si>
  <si>
    <t>BOLINDA</t>
  </si>
  <si>
    <t>MONEGEETTA</t>
  </si>
  <si>
    <t>CHEROKEE</t>
  </si>
  <si>
    <t>KERRIE</t>
  </si>
  <si>
    <t>ROMSEY</t>
  </si>
  <si>
    <t>BENLOCH</t>
  </si>
  <si>
    <t>GOLDIE</t>
  </si>
  <si>
    <t>LANCEFIELD</t>
  </si>
  <si>
    <t>NULLA VALE</t>
  </si>
  <si>
    <t>BULLENGAROOK</t>
  </si>
  <si>
    <t>GISBORNE</t>
  </si>
  <si>
    <t>GISBORNE SOUTH</t>
  </si>
  <si>
    <t>NEW GISBORNE</t>
  </si>
  <si>
    <t>MACEDON</t>
  </si>
  <si>
    <t>MOUNT MACEDON</t>
  </si>
  <si>
    <t>ASHBOURNE</t>
  </si>
  <si>
    <t>CADELLO</t>
  </si>
  <si>
    <t>CARLSRUHE</t>
  </si>
  <si>
    <t>COBAW</t>
  </si>
  <si>
    <t>HESKET</t>
  </si>
  <si>
    <t>NEWHAM</t>
  </si>
  <si>
    <t>ROCHFORD</t>
  </si>
  <si>
    <t>WOODEND</t>
  </si>
  <si>
    <t>WOODEND NORTH</t>
  </si>
  <si>
    <t>BARFOLD</t>
  </si>
  <si>
    <t>BAYNTON</t>
  </si>
  <si>
    <t>BAYNTON EAST</t>
  </si>
  <si>
    <t>EDGECOMBE</t>
  </si>
  <si>
    <t>GLENHOPE</t>
  </si>
  <si>
    <t>GREENHILL</t>
  </si>
  <si>
    <t>KYNETON</t>
  </si>
  <si>
    <t>KYNETON SOUTH</t>
  </si>
  <si>
    <t>LANGLEY</t>
  </si>
  <si>
    <t>LAURISTON</t>
  </si>
  <si>
    <t>LYAL</t>
  </si>
  <si>
    <t>METCALFE EAST</t>
  </si>
  <si>
    <t>MIA MIA</t>
  </si>
  <si>
    <t>PASTORIA</t>
  </si>
  <si>
    <t>PASTORIA EAST</t>
  </si>
  <si>
    <t>PIPERS CREEK</t>
  </si>
  <si>
    <t>REDESDALE</t>
  </si>
  <si>
    <t>SIDONIA</t>
  </si>
  <si>
    <t>TYLDEN</t>
  </si>
  <si>
    <t>TYLDEN SOUTH</t>
  </si>
  <si>
    <t>DRUMMOND NORTH</t>
  </si>
  <si>
    <t>MALMSBURY</t>
  </si>
  <si>
    <t>ELPHINSTONE</t>
  </si>
  <si>
    <t>METCALFE</t>
  </si>
  <si>
    <t>SUTTON GRANGE</t>
  </si>
  <si>
    <t>CASTLEMAINE</t>
  </si>
  <si>
    <t>MOONLIGHT FLAT</t>
  </si>
  <si>
    <t>BARKERS CREEK</t>
  </si>
  <si>
    <t>CAMPBELLS CREEK</t>
  </si>
  <si>
    <t>CHEWTON</t>
  </si>
  <si>
    <t>CHEWTON BUSHLANDS</t>
  </si>
  <si>
    <t>FARADAY</t>
  </si>
  <si>
    <t>FRYERSTOWN</t>
  </si>
  <si>
    <t>GLENLUCE</t>
  </si>
  <si>
    <t>GOWER</t>
  </si>
  <si>
    <t>IRISHTOWN</t>
  </si>
  <si>
    <t>MCKENZIE HILL</t>
  </si>
  <si>
    <t>MUCKLEFORD</t>
  </si>
  <si>
    <t>TARILTA</t>
  </si>
  <si>
    <t>VAUGHAN</t>
  </si>
  <si>
    <t>WOODBROOK</t>
  </si>
  <si>
    <t>YAPEEN</t>
  </si>
  <si>
    <t>HARCOURT</t>
  </si>
  <si>
    <t>HARCOURT NORTH</t>
  </si>
  <si>
    <t>RAVENSWOOD SOUTH</t>
  </si>
  <si>
    <t>BARRYS REEF</t>
  </si>
  <si>
    <t>BLACKWOOD</t>
  </si>
  <si>
    <t>FERN HILL</t>
  </si>
  <si>
    <t>LERDERDERG</t>
  </si>
  <si>
    <t>LITTLE HAMPTON</t>
  </si>
  <si>
    <t>NEWBURY</t>
  </si>
  <si>
    <t>NORTH BLACKWOOD</t>
  </si>
  <si>
    <t>TRENTHAM</t>
  </si>
  <si>
    <t>TRENTHAM EAST</t>
  </si>
  <si>
    <t>BASALT</t>
  </si>
  <si>
    <t>DAYLESFORD</t>
  </si>
  <si>
    <t>BULLARTO</t>
  </si>
  <si>
    <t>BULLARTO SOUTH</t>
  </si>
  <si>
    <t>COOMOORA</t>
  </si>
  <si>
    <t>DENVER</t>
  </si>
  <si>
    <t>DRUMMOND</t>
  </si>
  <si>
    <t>DRY DIGGINGS</t>
  </si>
  <si>
    <t>EGANSTOWN</t>
  </si>
  <si>
    <t>ELEVATED PLAINS</t>
  </si>
  <si>
    <t>FRANKLINFORD</t>
  </si>
  <si>
    <t>GLENLYON</t>
  </si>
  <si>
    <t>HEPBURN</t>
  </si>
  <si>
    <t>HEPBURN SPRINGS</t>
  </si>
  <si>
    <t>KORWEINGUBOORA</t>
  </si>
  <si>
    <t>LEONARDS HILL</t>
  </si>
  <si>
    <t>LYONVILLE</t>
  </si>
  <si>
    <t>MOUNT FRANKLIN</t>
  </si>
  <si>
    <t>MUSK</t>
  </si>
  <si>
    <t>MUSK VALE</t>
  </si>
  <si>
    <t>PORCUPINE RIDGE</t>
  </si>
  <si>
    <t>SAILORS FALLS</t>
  </si>
  <si>
    <t>SAILORS HILL</t>
  </si>
  <si>
    <t>SHEPHERDS FLAT</t>
  </si>
  <si>
    <t>SPARGO CREEK</t>
  </si>
  <si>
    <t>STRANGWAYS</t>
  </si>
  <si>
    <t>WHEATSHEAF</t>
  </si>
  <si>
    <t>YANDOIT</t>
  </si>
  <si>
    <t>YANDOIT HILLS</t>
  </si>
  <si>
    <t>JOYCES CREEK</t>
  </si>
  <si>
    <t>MUCKLEFORD SOUTH</t>
  </si>
  <si>
    <t>WELSHMANS REEF</t>
  </si>
  <si>
    <t>BARINGHUP</t>
  </si>
  <si>
    <t>BARINGHUP WEST</t>
  </si>
  <si>
    <t>BRADFORD</t>
  </si>
  <si>
    <t>EASTVILLE</t>
  </si>
  <si>
    <t>LAANECOORIE</t>
  </si>
  <si>
    <t>NEEREMAN</t>
  </si>
  <si>
    <t>NUGGETTY</t>
  </si>
  <si>
    <t>PERKINS REEF</t>
  </si>
  <si>
    <t>PORCUPINE FLAT</t>
  </si>
  <si>
    <t>SHELBOURNE</t>
  </si>
  <si>
    <t>TARRENGOWER</t>
  </si>
  <si>
    <t>WOODSTOCK WEST</t>
  </si>
  <si>
    <t>CARISBROOK</t>
  </si>
  <si>
    <t>ADELAIDE LEAD</t>
  </si>
  <si>
    <t>ALMA</t>
  </si>
  <si>
    <t>BOWENVALE</t>
  </si>
  <si>
    <t>BUNG BONG</t>
  </si>
  <si>
    <t>COTSWOLD</t>
  </si>
  <si>
    <t>DAISY HILL</t>
  </si>
  <si>
    <t>FLAGSTAFF</t>
  </si>
  <si>
    <t>HAVELOCK</t>
  </si>
  <si>
    <t>MAJORCA</t>
  </si>
  <si>
    <t>MARYBOROUGH</t>
  </si>
  <si>
    <t>MOOLORT</t>
  </si>
  <si>
    <t>NATTE YALLOCK</t>
  </si>
  <si>
    <t>RATHSCAR</t>
  </si>
  <si>
    <t>RATHSCAR WEST</t>
  </si>
  <si>
    <t>RODBOROUGH</t>
  </si>
  <si>
    <t>SIMSON</t>
  </si>
  <si>
    <t>TIMOR WEST</t>
  </si>
  <si>
    <t>WAREEK</t>
  </si>
  <si>
    <t>MOYREISK</t>
  </si>
  <si>
    <t>ELMHURST</t>
  </si>
  <si>
    <t>GLENLOFTY</t>
  </si>
  <si>
    <t>GLENLOGIE</t>
  </si>
  <si>
    <t>GLENPATRICK</t>
  </si>
  <si>
    <t>NOWHERE CREEK</t>
  </si>
  <si>
    <t>BET BET</t>
  </si>
  <si>
    <t>BETLEY</t>
  </si>
  <si>
    <t>BROMLEY</t>
  </si>
  <si>
    <t>DUNLUCE</t>
  </si>
  <si>
    <t>EDDINGTON</t>
  </si>
  <si>
    <t>GOLDSBOROUGH</t>
  </si>
  <si>
    <t>INKERMAN</t>
  </si>
  <si>
    <t>MCINTYRE</t>
  </si>
  <si>
    <t>MOLIAGUL</t>
  </si>
  <si>
    <t>MOUNT HOOGHLY</t>
  </si>
  <si>
    <t>ARCHDALE</t>
  </si>
  <si>
    <t>ARCHDALE JUNCTION</t>
  </si>
  <si>
    <t>BEALIBA</t>
  </si>
  <si>
    <t>BURKES FLAT</t>
  </si>
  <si>
    <t>COCHRANES CREEK</t>
  </si>
  <si>
    <t>EMU</t>
  </si>
  <si>
    <t>LOGAN</t>
  </si>
  <si>
    <t>AVON PLAINS</t>
  </si>
  <si>
    <t>BEAZLEYS BRIDGE</t>
  </si>
  <si>
    <t>CARAPOOEE</t>
  </si>
  <si>
    <t>CARAPOOEE WEST</t>
  </si>
  <si>
    <t>COONOOER BRIDGE</t>
  </si>
  <si>
    <t>COONOOER WEST</t>
  </si>
  <si>
    <t>DALYENONG</t>
  </si>
  <si>
    <t>GOOROC</t>
  </si>
  <si>
    <t>GOWAR EAST</t>
  </si>
  <si>
    <t>GRAYS BRIDGE</t>
  </si>
  <si>
    <t>GRE GRE</t>
  </si>
  <si>
    <t>GRE GRE NORTH</t>
  </si>
  <si>
    <t>GRE GRE SOUTH</t>
  </si>
  <si>
    <t>KOOREH</t>
  </si>
  <si>
    <t>MARNOO EAST</t>
  </si>
  <si>
    <t>MOOLERR</t>
  </si>
  <si>
    <t>SLATY CREEK</t>
  </si>
  <si>
    <t>ST ARNAUD EAST</t>
  </si>
  <si>
    <t>ST ARNAUD NORTH</t>
  </si>
  <si>
    <t>STUART MILL</t>
  </si>
  <si>
    <t>SWANWATER</t>
  </si>
  <si>
    <t>TOTTINGTON</t>
  </si>
  <si>
    <t>TRAYNORS LAGOON</t>
  </si>
  <si>
    <t>YORK PLAINS</t>
  </si>
  <si>
    <t>BERRIMAL WEST</t>
  </si>
  <si>
    <t>DARKBONEE</t>
  </si>
  <si>
    <t>DOOBOOBETIC</t>
  </si>
  <si>
    <t>ELBERTON</t>
  </si>
  <si>
    <t>MEDLYN</t>
  </si>
  <si>
    <t>MITCHELLS HILL</t>
  </si>
  <si>
    <t>MOONAMBEL</t>
  </si>
  <si>
    <t>PERCYDALE</t>
  </si>
  <si>
    <t>ST ARNAUD</t>
  </si>
  <si>
    <t>TANWOOD</t>
  </si>
  <si>
    <t>TULKARA</t>
  </si>
  <si>
    <t>WARRENMANG</t>
  </si>
  <si>
    <t>YAWONG HILLS</t>
  </si>
  <si>
    <t>AREEGRA</t>
  </si>
  <si>
    <t>BANYENONG</t>
  </si>
  <si>
    <t>BOOLITE</t>
  </si>
  <si>
    <t>CARRON</t>
  </si>
  <si>
    <t>COPE COPE</t>
  </si>
  <si>
    <t>CORACK</t>
  </si>
  <si>
    <t>CORACK EAST</t>
  </si>
  <si>
    <t>DONALD</t>
  </si>
  <si>
    <t>LAEN</t>
  </si>
  <si>
    <t>LAEN EAST</t>
  </si>
  <si>
    <t>LAEN NORTH</t>
  </si>
  <si>
    <t>LAKE BULOKE</t>
  </si>
  <si>
    <t>LAWLER</t>
  </si>
  <si>
    <t>LITCHFIELD</t>
  </si>
  <si>
    <t>RICH AVON</t>
  </si>
  <si>
    <t>RICH AVON EAST</t>
  </si>
  <si>
    <t>RICH AVON WEST</t>
  </si>
  <si>
    <t>SWANWATER WEST</t>
  </si>
  <si>
    <t>MASSEY</t>
  </si>
  <si>
    <t>MORTON PLAINS</t>
  </si>
  <si>
    <t>WARMUR</t>
  </si>
  <si>
    <t>WATCHEM</t>
  </si>
  <si>
    <t>WATCHEM WEST</t>
  </si>
  <si>
    <t>BALLAPUR</t>
  </si>
  <si>
    <t>BIRCHIP</t>
  </si>
  <si>
    <t>BIRCHIP WEST</t>
  </si>
  <si>
    <t>CURYO</t>
  </si>
  <si>
    <t>JIL JIL</t>
  </si>
  <si>
    <t>KARYRIE</t>
  </si>
  <si>
    <t>KINNABULLA</t>
  </si>
  <si>
    <t>MARLBED</t>
  </si>
  <si>
    <t>NARRAPORT</t>
  </si>
  <si>
    <t>REEDY DAM</t>
  </si>
  <si>
    <t>WHIRILY</t>
  </si>
  <si>
    <t>BANYAN</t>
  </si>
  <si>
    <t>WATCHUPGA</t>
  </si>
  <si>
    <t>WILLANGIE</t>
  </si>
  <si>
    <t>WOOMELANG</t>
  </si>
  <si>
    <t>LASCELLES</t>
  </si>
  <si>
    <t>SPEED</t>
  </si>
  <si>
    <t>TURRIFF EAST</t>
  </si>
  <si>
    <t>TEMPY</t>
  </si>
  <si>
    <t>BOINKA</t>
  </si>
  <si>
    <t>OUYEN</t>
  </si>
  <si>
    <t>TORRITA</t>
  </si>
  <si>
    <t>TUTYE</t>
  </si>
  <si>
    <t>PATCHEWOLLOCK</t>
  </si>
  <si>
    <t>CARWARP</t>
  </si>
  <si>
    <t>COLIGNAN</t>
  </si>
  <si>
    <t>IRAAK</t>
  </si>
  <si>
    <t>NANGILOC</t>
  </si>
  <si>
    <t>CARDROSS</t>
  </si>
  <si>
    <t>CULLULLERAINE</t>
  </si>
  <si>
    <t>MERINGUR</t>
  </si>
  <si>
    <t>MERRINEE</t>
  </si>
  <si>
    <t>MURRAY LOCK NO 9</t>
  </si>
  <si>
    <t>NEDS CORNER</t>
  </si>
  <si>
    <t>RED CLIFFS</t>
  </si>
  <si>
    <t>SUNNYCLIFFS</t>
  </si>
  <si>
    <t>WERRIMULL</t>
  </si>
  <si>
    <t>MILDURA</t>
  </si>
  <si>
    <t>MILDURA EAST</t>
  </si>
  <si>
    <t>MILDURA WEST</t>
  </si>
  <si>
    <t>PARINGI</t>
  </si>
  <si>
    <t>HATTAH</t>
  </si>
  <si>
    <t>KOORLONG</t>
  </si>
  <si>
    <t>MILDURA CENTRE PLAZA</t>
  </si>
  <si>
    <t>MILDURA SOUTH</t>
  </si>
  <si>
    <t>NICHOLS POINT</t>
  </si>
  <si>
    <t>BIRDWOODTON</t>
  </si>
  <si>
    <t>MERBEIN</t>
  </si>
  <si>
    <t>MERBEIN SOUTH</t>
  </si>
  <si>
    <t>MERBEIN WEST</t>
  </si>
  <si>
    <t>WARGAN</t>
  </si>
  <si>
    <t>YELTA</t>
  </si>
  <si>
    <t>COWANGIE</t>
  </si>
  <si>
    <t>WALPEUP</t>
  </si>
  <si>
    <t>LINGA</t>
  </si>
  <si>
    <t>UNDERBOOL</t>
  </si>
  <si>
    <t>CARINA</t>
  </si>
  <si>
    <t>MURRAYVILLE</t>
  </si>
  <si>
    <t>MARONG</t>
  </si>
  <si>
    <t>WILSONS HILL</t>
  </si>
  <si>
    <t>BRIDGEWATER</t>
  </si>
  <si>
    <t>BRIDGEWATER NORTH</t>
  </si>
  <si>
    <t>BRIDGEWATER ON LODDON</t>
  </si>
  <si>
    <t>DERBY</t>
  </si>
  <si>
    <t>LEICHARDT</t>
  </si>
  <si>
    <t>YARRABERB</t>
  </si>
  <si>
    <t>BEARS LAGOON</t>
  </si>
  <si>
    <t>BRENANAH</t>
  </si>
  <si>
    <t>BULLABUL</t>
  </si>
  <si>
    <t>GLENALBYN</t>
  </si>
  <si>
    <t>INGLEWOOD</t>
  </si>
  <si>
    <t>JARKLIN</t>
  </si>
  <si>
    <t>KINGOWER</t>
  </si>
  <si>
    <t>KURTING</t>
  </si>
  <si>
    <t>POWLETT PLAINS</t>
  </si>
  <si>
    <t>RHEOLA</t>
  </si>
  <si>
    <t>SALISBURY WEST</t>
  </si>
  <si>
    <t>SERPENTINE</t>
  </si>
  <si>
    <t>BERRIMAL</t>
  </si>
  <si>
    <t>BORUNG</t>
  </si>
  <si>
    <t>FENTONS CREEK</t>
  </si>
  <si>
    <t>FERNIHURST</t>
  </si>
  <si>
    <t>FIERY FLAT</t>
  </si>
  <si>
    <t>KURRACA</t>
  </si>
  <si>
    <t>KURRACA WEST</t>
  </si>
  <si>
    <t>MYSIA</t>
  </si>
  <si>
    <t>NINE MILE</t>
  </si>
  <si>
    <t>RICHMOND PLAINS</t>
  </si>
  <si>
    <t>SKINNERS FLAT</t>
  </si>
  <si>
    <t>WEDDERBURN JUNCTION</t>
  </si>
  <si>
    <t>WEHLA</t>
  </si>
  <si>
    <t>WOOLSHED FLAT</t>
  </si>
  <si>
    <t>WOOSANG</t>
  </si>
  <si>
    <t>KINYPANIAL</t>
  </si>
  <si>
    <t>KORONG VALE</t>
  </si>
  <si>
    <t>SOUTH KINYPANIAL</t>
  </si>
  <si>
    <t>PYALONG</t>
  </si>
  <si>
    <t>EMU FLAT</t>
  </si>
  <si>
    <t>TOOBORAC</t>
  </si>
  <si>
    <t>COSTERFIELD</t>
  </si>
  <si>
    <t>DERRINAL</t>
  </si>
  <si>
    <t>HEATHCOTE SOUTH</t>
  </si>
  <si>
    <t>KNOWSLEY</t>
  </si>
  <si>
    <t>LADYS PASS</t>
  </si>
  <si>
    <t>MOORMBOOL WEST</t>
  </si>
  <si>
    <t>MOUNT CAMEL</t>
  </si>
  <si>
    <t>REDCASTLE</t>
  </si>
  <si>
    <t>BARRAKEE</t>
  </si>
  <si>
    <t>BUCKRABANYULE</t>
  </si>
  <si>
    <t>JEFFCOTT</t>
  </si>
  <si>
    <t>JEFFCOTT NORTH</t>
  </si>
  <si>
    <t>LAKE MARMAL</t>
  </si>
  <si>
    <t>NAREEWILLOCK</t>
  </si>
  <si>
    <t>TEDDYWADDY</t>
  </si>
  <si>
    <t>TEDDYWADDY WEST</t>
  </si>
  <si>
    <t>TERRAPPEE</t>
  </si>
  <si>
    <t>WOOROONOOK</t>
  </si>
  <si>
    <t>WYCHITELLA</t>
  </si>
  <si>
    <t>WYCHITELLA NORTH</t>
  </si>
  <si>
    <t>YEUNGROON</t>
  </si>
  <si>
    <t>YEUNGROON EAST</t>
  </si>
  <si>
    <t>BUNGULUKE</t>
  </si>
  <si>
    <t>DUMOSA</t>
  </si>
  <si>
    <t>GLENLOTH</t>
  </si>
  <si>
    <t>GLENLOTH EAST</t>
  </si>
  <si>
    <t>THALIA</t>
  </si>
  <si>
    <t>TOWANINNY</t>
  </si>
  <si>
    <t>TOWANINNY SOUTH</t>
  </si>
  <si>
    <t>WYCHEPROOF</t>
  </si>
  <si>
    <t>WYCHEPROOF SOUTH</t>
  </si>
  <si>
    <t>KALPIENUNG</t>
  </si>
  <si>
    <t>NULLAWIL</t>
  </si>
  <si>
    <t>CULGOA</t>
  </si>
  <si>
    <t>WARNE</t>
  </si>
  <si>
    <t>BERRIWILLOCK</t>
  </si>
  <si>
    <t>BOIGBEAT</t>
  </si>
  <si>
    <t>BIMBOURIE</t>
  </si>
  <si>
    <t>LAKE TYRRELL</t>
  </si>
  <si>
    <t>MITTYACK</t>
  </si>
  <si>
    <t>NANDALY</t>
  </si>
  <si>
    <t>NINDA</t>
  </si>
  <si>
    <t>NYARRIN</t>
  </si>
  <si>
    <t>SEA LAKE</t>
  </si>
  <si>
    <t>TYRRELL</t>
  </si>
  <si>
    <t>TYRRELL DOWNS</t>
  </si>
  <si>
    <t>BARRAPORT</t>
  </si>
  <si>
    <t>BARRAPORT WEST</t>
  </si>
  <si>
    <t>BOORT</t>
  </si>
  <si>
    <t>CANARY ISLAND</t>
  </si>
  <si>
    <t>CATUMNAL</t>
  </si>
  <si>
    <t>GREDGWIN</t>
  </si>
  <si>
    <t>LEAGHUR</t>
  </si>
  <si>
    <t>MINMINDIE</t>
  </si>
  <si>
    <t>YANDO</t>
  </si>
  <si>
    <t>CANNIE</t>
  </si>
  <si>
    <t>NINYEUNOOK</t>
  </si>
  <si>
    <t>OAKVALE</t>
  </si>
  <si>
    <t>QUAMBATOOK</t>
  </si>
  <si>
    <t>COKUM</t>
  </si>
  <si>
    <t>LALBERT</t>
  </si>
  <si>
    <t>TITYBONG</t>
  </si>
  <si>
    <t>GOWANFORD</t>
  </si>
  <si>
    <t>ULTIMA</t>
  </si>
  <si>
    <t>WAITCHIE</t>
  </si>
  <si>
    <t>BOLTON</t>
  </si>
  <si>
    <t>CHINKAPOOK</t>
  </si>
  <si>
    <t>COCAMBA</t>
  </si>
  <si>
    <t>MANANGATANG</t>
  </si>
  <si>
    <t>TUROAR</t>
  </si>
  <si>
    <t>WINNAMBOOL</t>
  </si>
  <si>
    <t>ANNUELLO</t>
  </si>
  <si>
    <t>BANNERTON</t>
  </si>
  <si>
    <t>LIPAROO</t>
  </si>
  <si>
    <t>ROBINVALE</t>
  </si>
  <si>
    <t>TOL TOL</t>
  </si>
  <si>
    <t>WEMEN</t>
  </si>
  <si>
    <t>BENDIGO</t>
  </si>
  <si>
    <t>BENDIGO SOUTH</t>
  </si>
  <si>
    <t>DIAMOND HILL</t>
  </si>
  <si>
    <t>EAST BENDIGO</t>
  </si>
  <si>
    <t>FLORA HILL</t>
  </si>
  <si>
    <t>KENNINGTON</t>
  </si>
  <si>
    <t>LONG GULLY</t>
  </si>
  <si>
    <t>NORTH BENDIGO</t>
  </si>
  <si>
    <t>QUARRY HILL</t>
  </si>
  <si>
    <t>SANDHURST EAST</t>
  </si>
  <si>
    <t>SPRING GULLY</t>
  </si>
  <si>
    <t>STRATHDALE</t>
  </si>
  <si>
    <t>TYSONS REEF</t>
  </si>
  <si>
    <t>WEST BENDIGO</t>
  </si>
  <si>
    <t>WHITE HILLS</t>
  </si>
  <si>
    <t>ARNOLD</t>
  </si>
  <si>
    <t>ARNOLD WEST</t>
  </si>
  <si>
    <t>AXE CREEK</t>
  </si>
  <si>
    <t>AXEDALE</t>
  </si>
  <si>
    <t>BAGSHOT</t>
  </si>
  <si>
    <t>BAGSHOT NORTH</t>
  </si>
  <si>
    <t>BENDIGO FORWARD</t>
  </si>
  <si>
    <t>CORNELLA</t>
  </si>
  <si>
    <t>EMU CREEK</t>
  </si>
  <si>
    <t>EPPALOCK</t>
  </si>
  <si>
    <t>EPSOM</t>
  </si>
  <si>
    <t>HUNTLY</t>
  </si>
  <si>
    <t>HUNTLY NORTH</t>
  </si>
  <si>
    <t>JUNORTOUN</t>
  </si>
  <si>
    <t>KIMBOLTON</t>
  </si>
  <si>
    <t>LLANELLY</t>
  </si>
  <si>
    <t>LOCKWOOD</t>
  </si>
  <si>
    <t>LOCKWOOD SOUTH</t>
  </si>
  <si>
    <t>LONGLEA</t>
  </si>
  <si>
    <t>MAIDEN GULLY</t>
  </si>
  <si>
    <t>MANDURANG</t>
  </si>
  <si>
    <t>MANDURANG SOUTH</t>
  </si>
  <si>
    <t>MOSQUITO CREEK</t>
  </si>
  <si>
    <t>MURPHYS CREEK</t>
  </si>
  <si>
    <t>MYOLA EAST</t>
  </si>
  <si>
    <t>PAINSWICK</t>
  </si>
  <si>
    <t>PILCHERS BRIDGE</t>
  </si>
  <si>
    <t>SEDGWICK</t>
  </si>
  <si>
    <t>STRATHFIELDSAYE</t>
  </si>
  <si>
    <t>TARNAGULLA</t>
  </si>
  <si>
    <t>TOOLLEEN</t>
  </si>
  <si>
    <t>WAANYARRA</t>
  </si>
  <si>
    <t>WELLSFORD</t>
  </si>
  <si>
    <t>WOODSTOCK ON LODDON</t>
  </si>
  <si>
    <t>BENDIGO DC</t>
  </si>
  <si>
    <t>GOLDEN GULLY</t>
  </si>
  <si>
    <t>GOLDEN SQUARE</t>
  </si>
  <si>
    <t>LANSELL PLAZA</t>
  </si>
  <si>
    <t>SPECIMEN HILL</t>
  </si>
  <si>
    <t>CALIFORNIA GULLY</t>
  </si>
  <si>
    <t>CAMPBELLS FOREST</t>
  </si>
  <si>
    <t>COMET HILL</t>
  </si>
  <si>
    <t>EAGLEHAWK</t>
  </si>
  <si>
    <t>EAGLEHAWK NORTH</t>
  </si>
  <si>
    <t>JACKASS FLAT</t>
  </si>
  <si>
    <t>MYERS FLAT</t>
  </si>
  <si>
    <t>SAILORS GULLY</t>
  </si>
  <si>
    <t>SEBASTIAN</t>
  </si>
  <si>
    <t>WHIPSTICK</t>
  </si>
  <si>
    <t>WOODVALE</t>
  </si>
  <si>
    <t>BARNADOWN</t>
  </si>
  <si>
    <t>FOSTERVILLE</t>
  </si>
  <si>
    <t>GOORNONG</t>
  </si>
  <si>
    <t>MUSKERRY</t>
  </si>
  <si>
    <t>MUSKERRY EAST</t>
  </si>
  <si>
    <t>BURNEWANG</t>
  </si>
  <si>
    <t>COROP WEST</t>
  </si>
  <si>
    <t>CREEK VIEW</t>
  </si>
  <si>
    <t>ELMORE</t>
  </si>
  <si>
    <t>HUNTER</t>
  </si>
  <si>
    <t>AVONMORE</t>
  </si>
  <si>
    <t>COLBINABBIN</t>
  </si>
  <si>
    <t>COROP</t>
  </si>
  <si>
    <t>LYNDALE</t>
  </si>
  <si>
    <t>MAYREEF</t>
  </si>
  <si>
    <t>RUNNYMEDE</t>
  </si>
  <si>
    <t>BALLENDELLA</t>
  </si>
  <si>
    <t>BAMAWM</t>
  </si>
  <si>
    <t>BAMAWM EXTENSION</t>
  </si>
  <si>
    <t>DIGGORA</t>
  </si>
  <si>
    <t>DIGGORA WEST</t>
  </si>
  <si>
    <t>FAIRY DELL</t>
  </si>
  <si>
    <t>NANNEELLA</t>
  </si>
  <si>
    <t>ROCHESTER</t>
  </si>
  <si>
    <t>ROCHESTER WEST</t>
  </si>
  <si>
    <t>THE SETTLEMENT</t>
  </si>
  <si>
    <t>TIMMERING</t>
  </si>
  <si>
    <t>TORRUMBARRY</t>
  </si>
  <si>
    <t>LOCKINGTON</t>
  </si>
  <si>
    <t>CAMPASPE WEST</t>
  </si>
  <si>
    <t>ECHUCA</t>
  </si>
  <si>
    <t>ECHUCA EAST</t>
  </si>
  <si>
    <t>ECHUCA SOUTH</t>
  </si>
  <si>
    <t>ECHUCA VILLAGE</t>
  </si>
  <si>
    <t>ECHUCA WEST</t>
  </si>
  <si>
    <t>KANYAPELLA</t>
  </si>
  <si>
    <t>MCEVOYS</t>
  </si>
  <si>
    <t>PATHO</t>
  </si>
  <si>
    <t>PATHO WEST</t>
  </si>
  <si>
    <t>ROSLYNMEAD</t>
  </si>
  <si>
    <t>SIMMIE</t>
  </si>
  <si>
    <t>WHARPARILLA</t>
  </si>
  <si>
    <t>KOTTA</t>
  </si>
  <si>
    <t>GUNBOWER</t>
  </si>
  <si>
    <t>HORFIELD</t>
  </si>
  <si>
    <t>LEITCHVILLE</t>
  </si>
  <si>
    <t>BURKES BRIDGE</t>
  </si>
  <si>
    <t>COHUNA</t>
  </si>
  <si>
    <t>CULLEN</t>
  </si>
  <si>
    <t>DALTONS BRIDGE</t>
  </si>
  <si>
    <t>GANNAWARRA</t>
  </si>
  <si>
    <t>KEELY</t>
  </si>
  <si>
    <t>MACORNA NORTH</t>
  </si>
  <si>
    <t>MCMILLANS</t>
  </si>
  <si>
    <t>MEAD</t>
  </si>
  <si>
    <t>MINCHA WEST</t>
  </si>
  <si>
    <t>WEE WEE RUP</t>
  </si>
  <si>
    <t>AUCHMORE</t>
  </si>
  <si>
    <t>DRUMMARTIN</t>
  </si>
  <si>
    <t>KAMAROOKA</t>
  </si>
  <si>
    <t>NEILBOROUGH</t>
  </si>
  <si>
    <t>RAYWOOD</t>
  </si>
  <si>
    <t>SUMMERFIELD</t>
  </si>
  <si>
    <t>DINGEE</t>
  </si>
  <si>
    <t>KAMAROOKA NORTH</t>
  </si>
  <si>
    <t>POMPAPIEL</t>
  </si>
  <si>
    <t>TANDARRA</t>
  </si>
  <si>
    <t>YALLOOK</t>
  </si>
  <si>
    <t>MILLOO</t>
  </si>
  <si>
    <t>PIAVELLA</t>
  </si>
  <si>
    <t>PRAIRIE</t>
  </si>
  <si>
    <t>CALIVIL</t>
  </si>
  <si>
    <t>MITIAMO</t>
  </si>
  <si>
    <t>PINE GROVE</t>
  </si>
  <si>
    <t>PINE GROVE EAST</t>
  </si>
  <si>
    <t>TERRICK TERRICK EAST</t>
  </si>
  <si>
    <t>BALD ROCK</t>
  </si>
  <si>
    <t>GLADFIELD</t>
  </si>
  <si>
    <t>JUNGABURRA</t>
  </si>
  <si>
    <t>LODDON VALE</t>
  </si>
  <si>
    <t>MINCHA</t>
  </si>
  <si>
    <t>MOLOGA</t>
  </si>
  <si>
    <t>PYRAMID HILL</t>
  </si>
  <si>
    <t>SYLVATERRE</t>
  </si>
  <si>
    <t>TERRICK TERRICK</t>
  </si>
  <si>
    <t>YARRAWALLA</t>
  </si>
  <si>
    <t>DURHAM OX</t>
  </si>
  <si>
    <t>APPIN SOUTH</t>
  </si>
  <si>
    <t>BAEL BAEL</t>
  </si>
  <si>
    <t>BENJEROOP</t>
  </si>
  <si>
    <t>BUDGERUM EAST</t>
  </si>
  <si>
    <t>CAPELS CROSSING</t>
  </si>
  <si>
    <t>DINGWALL</t>
  </si>
  <si>
    <t>EAST YEOBURN</t>
  </si>
  <si>
    <t>FAIRLEY</t>
  </si>
  <si>
    <t>GONN CROSSING</t>
  </si>
  <si>
    <t>KERANG</t>
  </si>
  <si>
    <t>KERANG EAST</t>
  </si>
  <si>
    <t>KOROOP</t>
  </si>
  <si>
    <t>LAKE MERAN</t>
  </si>
  <si>
    <t>MACORNA</t>
  </si>
  <si>
    <t>MEERING WEST</t>
  </si>
  <si>
    <t>MILNES BRIDGE</t>
  </si>
  <si>
    <t>MURRABIT</t>
  </si>
  <si>
    <t>MURRABIT WEST</t>
  </si>
  <si>
    <t>MYALL</t>
  </si>
  <si>
    <t>MYSTIC PARK</t>
  </si>
  <si>
    <t>NORMANVILLE</t>
  </si>
  <si>
    <t>PINE VIEW</t>
  </si>
  <si>
    <t>REEDY LAKE</t>
  </si>
  <si>
    <t>SANDHILL LAKE</t>
  </si>
  <si>
    <t>TEAL POINT</t>
  </si>
  <si>
    <t>TRAGOWEL</t>
  </si>
  <si>
    <t>KOONDROOK</t>
  </si>
  <si>
    <t>BEAUCHAMP</t>
  </si>
  <si>
    <t>LAKE CHARM</t>
  </si>
  <si>
    <t>TRESCO</t>
  </si>
  <si>
    <t>LAKE BOGA</t>
  </si>
  <si>
    <t>TRESCO WEST</t>
  </si>
  <si>
    <t>CASTLE DONNINGTON</t>
  </si>
  <si>
    <t>CHILLINGOLLAH</t>
  </si>
  <si>
    <t>FISH POINT</t>
  </si>
  <si>
    <t>GOSCHEN</t>
  </si>
  <si>
    <t>KUNAT</t>
  </si>
  <si>
    <t>MEATIAN</t>
  </si>
  <si>
    <t>MURRAY DOWNS</t>
  </si>
  <si>
    <t>NOWIE</t>
  </si>
  <si>
    <t>NYRRABY</t>
  </si>
  <si>
    <t>PIRA</t>
  </si>
  <si>
    <t>SPEEWA</t>
  </si>
  <si>
    <t>SWAN HILL</t>
  </si>
  <si>
    <t>SWAN HILL PIONEER</t>
  </si>
  <si>
    <t>WINLATON</t>
  </si>
  <si>
    <t>MALLAN</t>
  </si>
  <si>
    <t>MURRAWEE</t>
  </si>
  <si>
    <t>MURRAYDALE</t>
  </si>
  <si>
    <t>PENTAL ISLAND</t>
  </si>
  <si>
    <t>TYNTYNDER</t>
  </si>
  <si>
    <t>TYNTYNDER SOUTH</t>
  </si>
  <si>
    <t>ULTIMA EAST</t>
  </si>
  <si>
    <t>WOORINEN SOUTH</t>
  </si>
  <si>
    <t>WOORINEN</t>
  </si>
  <si>
    <t>WOORINEN NORTH</t>
  </si>
  <si>
    <t>BEVERFORD</t>
  </si>
  <si>
    <t>VINIFERA</t>
  </si>
  <si>
    <t>NYAH</t>
  </si>
  <si>
    <t>NYAH WEST</t>
  </si>
  <si>
    <t>MIRALIE</t>
  </si>
  <si>
    <t>TOWAN</t>
  </si>
  <si>
    <t>WOOD WOOD</t>
  </si>
  <si>
    <t>KENLEY</t>
  </si>
  <si>
    <t>KOOLOONONG</t>
  </si>
  <si>
    <t>LAKE POWELL</t>
  </si>
  <si>
    <t>NARRUNG</t>
  </si>
  <si>
    <t>NATYA</t>
  </si>
  <si>
    <t>PIANGIL</t>
  </si>
  <si>
    <t>BOUNDARY BEND</t>
  </si>
  <si>
    <t>TABILK</t>
  </si>
  <si>
    <t>BAILIESTON</t>
  </si>
  <si>
    <t>GOULBURN WEIR</t>
  </si>
  <si>
    <t>GRAYTOWN</t>
  </si>
  <si>
    <t>KIRWANS BRIDGE</t>
  </si>
  <si>
    <t>MITCHELLSTOWN</t>
  </si>
  <si>
    <t>NAGAMBIE</t>
  </si>
  <si>
    <t>WAHRING</t>
  </si>
  <si>
    <t>WIRRATE</t>
  </si>
  <si>
    <t>DHURRINGILE</t>
  </si>
  <si>
    <t>MOORILIM</t>
  </si>
  <si>
    <t>MURCHISON</t>
  </si>
  <si>
    <t>MURCHISON EAST</t>
  </si>
  <si>
    <t>MURCHISON NORTH</t>
  </si>
  <si>
    <t>MOORA</t>
  </si>
  <si>
    <t>RUSHWORTH</t>
  </si>
  <si>
    <t>WANALTA</t>
  </si>
  <si>
    <t>WARANGA</t>
  </si>
  <si>
    <t>WHROO</t>
  </si>
  <si>
    <t>TOOLAMBA</t>
  </si>
  <si>
    <t>GILLIESTON</t>
  </si>
  <si>
    <t>GIRGARRE EAST</t>
  </si>
  <si>
    <t>HARSTON</t>
  </si>
  <si>
    <t>MOOROOPNA NORTH WEST</t>
  </si>
  <si>
    <t>TATURA</t>
  </si>
  <si>
    <t>TATURA EAST</t>
  </si>
  <si>
    <t>TOOLAMBA WEST</t>
  </si>
  <si>
    <t>BYRNESIDE</t>
  </si>
  <si>
    <t>MERRIGUM</t>
  </si>
  <si>
    <t>KYABRAM</t>
  </si>
  <si>
    <t>LANCASTER</t>
  </si>
  <si>
    <t>MOUNT SCOBIE</t>
  </si>
  <si>
    <t>ST GERMAINS</t>
  </si>
  <si>
    <t>TARIPTA</t>
  </si>
  <si>
    <t>WYUNA</t>
  </si>
  <si>
    <t>WYUNA EAST</t>
  </si>
  <si>
    <t>KOYUGA SOUTH</t>
  </si>
  <si>
    <t>KY VALLEY</t>
  </si>
  <si>
    <t>KY WEST</t>
  </si>
  <si>
    <t>TONGALA</t>
  </si>
  <si>
    <t>YAMBUNA</t>
  </si>
  <si>
    <t>CORNELIA CREEK</t>
  </si>
  <si>
    <t>KOYUGA</t>
  </si>
  <si>
    <t>STRATHALLAN</t>
  </si>
  <si>
    <t>CARAG CARAG</t>
  </si>
  <si>
    <t>STANHOPE SOUTH</t>
  </si>
  <si>
    <t>GIRGARRE</t>
  </si>
  <si>
    <t>ARDMONA</t>
  </si>
  <si>
    <t>COOMBOONA</t>
  </si>
  <si>
    <t>MOOROOPNA</t>
  </si>
  <si>
    <t>MOOROOPNA NORTH</t>
  </si>
  <si>
    <t>UNDERA</t>
  </si>
  <si>
    <t>BENARCH</t>
  </si>
  <si>
    <t>BRANDITT</t>
  </si>
  <si>
    <t>CANIAMBO</t>
  </si>
  <si>
    <t>COLLIVER</t>
  </si>
  <si>
    <t>DUNKIRK</t>
  </si>
  <si>
    <t>SHEPPARTON</t>
  </si>
  <si>
    <t>SHEPPARTON SOUTH</t>
  </si>
  <si>
    <t>ARCADIA SOUTH</t>
  </si>
  <si>
    <t>COSGROVE</t>
  </si>
  <si>
    <t>COSGROVE SOUTH</t>
  </si>
  <si>
    <t>GRAHAMVALE</t>
  </si>
  <si>
    <t>KARRAMOMUS</t>
  </si>
  <si>
    <t>KIALLA EAST</t>
  </si>
  <si>
    <t>KIALLA WEST</t>
  </si>
  <si>
    <t>LEMNOS</t>
  </si>
  <si>
    <t>ORRVALE</t>
  </si>
  <si>
    <t>SHEPPARTON EAST</t>
  </si>
  <si>
    <t>SHEPPARTON NORTH</t>
  </si>
  <si>
    <t>TAMLEUGH WEST</t>
  </si>
  <si>
    <t>CONGUPNA</t>
  </si>
  <si>
    <t>BUNBARTHA</t>
  </si>
  <si>
    <t>INVERGORDON SOUTH</t>
  </si>
  <si>
    <t>KATANDRA</t>
  </si>
  <si>
    <t>KATANDRA WEST</t>
  </si>
  <si>
    <t>MARIONVALE</t>
  </si>
  <si>
    <t>MARUNGI</t>
  </si>
  <si>
    <t>TALLYGAROOPNA</t>
  </si>
  <si>
    <t>ZEERUST</t>
  </si>
  <si>
    <t>KAARIMBA</t>
  </si>
  <si>
    <t>MUNDOONA</t>
  </si>
  <si>
    <t>WUNGHNU</t>
  </si>
  <si>
    <t>DRUMANURE</t>
  </si>
  <si>
    <t>NARING</t>
  </si>
  <si>
    <t>NUMURKAH</t>
  </si>
  <si>
    <t>WAAIA</t>
  </si>
  <si>
    <t>YALCA</t>
  </si>
  <si>
    <t>KOTUPNA</t>
  </si>
  <si>
    <t>NATHALIA</t>
  </si>
  <si>
    <t>YIELIMA</t>
  </si>
  <si>
    <t>BARMAH</t>
  </si>
  <si>
    <t>LOWER MOIRA</t>
  </si>
  <si>
    <t>PICOLA</t>
  </si>
  <si>
    <t>PICOLA WEST</t>
  </si>
  <si>
    <t>KATUNGA</t>
  </si>
  <si>
    <t>BEARII</t>
  </si>
  <si>
    <t>MYWEE</t>
  </si>
  <si>
    <t>STRATHMERTON</t>
  </si>
  <si>
    <t>ULUPNA</t>
  </si>
  <si>
    <t>COBRAM</t>
  </si>
  <si>
    <t>BAROOGA</t>
  </si>
  <si>
    <t>COBRAM EAST</t>
  </si>
  <si>
    <t>KOONOOMOO</t>
  </si>
  <si>
    <t>MUCKATAH</t>
  </si>
  <si>
    <t>YARROWEYAH</t>
  </si>
  <si>
    <t>DOOKIE</t>
  </si>
  <si>
    <t>MOUNT MAJOR</t>
  </si>
  <si>
    <t>NALINGA</t>
  </si>
  <si>
    <t>WATTVILLE</t>
  </si>
  <si>
    <t>YABBA NORTH</t>
  </si>
  <si>
    <t>YABBA SOUTH</t>
  </si>
  <si>
    <t>YOUANMITE</t>
  </si>
  <si>
    <t>DOOKIE COLLEGE</t>
  </si>
  <si>
    <t>KATAMATITE</t>
  </si>
  <si>
    <t>KATAMATITE EAST</t>
  </si>
  <si>
    <t>BROADFORD</t>
  </si>
  <si>
    <t>CLONBINANE</t>
  </si>
  <si>
    <t>FLOWERDALE</t>
  </si>
  <si>
    <t>HAZELDENE</t>
  </si>
  <si>
    <t>STRATH CREEK</t>
  </si>
  <si>
    <t>SUNDAY CREEK</t>
  </si>
  <si>
    <t>TYAAK</t>
  </si>
  <si>
    <t>WATERFORD PARK</t>
  </si>
  <si>
    <t>SUGARLOAF CREEK</t>
  </si>
  <si>
    <t>TALLAROOK</t>
  </si>
  <si>
    <t>CAVEAT</t>
  </si>
  <si>
    <t>DROPMORE</t>
  </si>
  <si>
    <t>DYSART</t>
  </si>
  <si>
    <t>HIGHLANDS</t>
  </si>
  <si>
    <t>KERRISDALE</t>
  </si>
  <si>
    <t>KOBYBOYN</t>
  </si>
  <si>
    <t>SEYMOUR</t>
  </si>
  <si>
    <t>SEYMOUR SOUTH</t>
  </si>
  <si>
    <t>TRAWOOL</t>
  </si>
  <si>
    <t>WHITEHEADS CREEK</t>
  </si>
  <si>
    <t>PUCKAPUNYAL MILPO</t>
  </si>
  <si>
    <t>MANGALORE</t>
  </si>
  <si>
    <t>AVENEL</t>
  </si>
  <si>
    <t>LONGWOOD</t>
  </si>
  <si>
    <t>PRANJIP</t>
  </si>
  <si>
    <t>BALMATTUM</t>
  </si>
  <si>
    <t>CREIGHTON</t>
  </si>
  <si>
    <t>CREIGHTONS CREEK</t>
  </si>
  <si>
    <t>EUROA</t>
  </si>
  <si>
    <t>GOORAM</t>
  </si>
  <si>
    <t>KELVIN VIEW</t>
  </si>
  <si>
    <t>KITHBROOK</t>
  </si>
  <si>
    <t>MIEPOLL</t>
  </si>
  <si>
    <t>MOGLONEMBY</t>
  </si>
  <si>
    <t>MOLKA</t>
  </si>
  <si>
    <t>RIGGS CREEK</t>
  </si>
  <si>
    <t>RUFFY</t>
  </si>
  <si>
    <t>SHEANS CREEK</t>
  </si>
  <si>
    <t>STRATHBOGIE</t>
  </si>
  <si>
    <t>TARCOMBE</t>
  </si>
  <si>
    <t>BOHO</t>
  </si>
  <si>
    <t>BOHO SOUTH</t>
  </si>
  <si>
    <t>CREEK JUNCTION</t>
  </si>
  <si>
    <t>EARLSTON</t>
  </si>
  <si>
    <t>GOWANGARDIE</t>
  </si>
  <si>
    <t>KOONDA</t>
  </si>
  <si>
    <t>MARRAWEENEY</t>
  </si>
  <si>
    <t>TAMLEUGH</t>
  </si>
  <si>
    <t>TAMLEUGH NORTH</t>
  </si>
  <si>
    <t>VIOLET TOWN</t>
  </si>
  <si>
    <t>BADDAGINNIE</t>
  </si>
  <si>
    <t>TARNOOK</t>
  </si>
  <si>
    <t>WARRENBAYNE</t>
  </si>
  <si>
    <t>BENALLA</t>
  </si>
  <si>
    <t>BENALLA WEST</t>
  </si>
  <si>
    <t>BROKEN CREEK</t>
  </si>
  <si>
    <t>GOOMALIBEE</t>
  </si>
  <si>
    <t>KILFEERA</t>
  </si>
  <si>
    <t>LAKE MOKOAN</t>
  </si>
  <si>
    <t>LIMA</t>
  </si>
  <si>
    <t>LIMA EAST</t>
  </si>
  <si>
    <t>LIMA SOUTH</t>
  </si>
  <si>
    <t>LURG</t>
  </si>
  <si>
    <t>MOLYULLAH</t>
  </si>
  <si>
    <t>MOORNGAG</t>
  </si>
  <si>
    <t>SAMARIA</t>
  </si>
  <si>
    <t>SWANPOOL</t>
  </si>
  <si>
    <t>TATONG</t>
  </si>
  <si>
    <t>UPOTIPOTPON</t>
  </si>
  <si>
    <t>UPPER LURG</t>
  </si>
  <si>
    <t>UPPER RYANS CREEK</t>
  </si>
  <si>
    <t>WINTON NORTH</t>
  </si>
  <si>
    <t>BOWEYA</t>
  </si>
  <si>
    <t>BOWEYA NORTH</t>
  </si>
  <si>
    <t>GLENROWAN</t>
  </si>
  <si>
    <t>GLENROWAN WEST</t>
  </si>
  <si>
    <t>GRETA SOUTH</t>
  </si>
  <si>
    <t>GRETA WEST</t>
  </si>
  <si>
    <t>HANSONVILLE</t>
  </si>
  <si>
    <t>MOUNT BRUNO</t>
  </si>
  <si>
    <t>TAMINICK</t>
  </si>
  <si>
    <t>WANGARATTA</t>
  </si>
  <si>
    <t>APPIN PARK</t>
  </si>
  <si>
    <t>WANGARATTA WEST</t>
  </si>
  <si>
    <t>BOBINAWARRAH</t>
  </si>
  <si>
    <t>BOORHAMAN</t>
  </si>
  <si>
    <t>BOORHAMAN EAST</t>
  </si>
  <si>
    <t>BOWSER</t>
  </si>
  <si>
    <t>BYAWATHA</t>
  </si>
  <si>
    <t>CARBOOR</t>
  </si>
  <si>
    <t>CHESHUNT</t>
  </si>
  <si>
    <t>CHESHUNT SOUTH</t>
  </si>
  <si>
    <t>DOCKER</t>
  </si>
  <si>
    <t>DOCKERS PLAINS</t>
  </si>
  <si>
    <t>EAST WANGARATTA</t>
  </si>
  <si>
    <t>EDI</t>
  </si>
  <si>
    <t>EDI UPPER</t>
  </si>
  <si>
    <t>EVERTON</t>
  </si>
  <si>
    <t>EVERTON UPPER</t>
  </si>
  <si>
    <t>KING VALLEY</t>
  </si>
  <si>
    <t>LACEBY</t>
  </si>
  <si>
    <t>LONDRIGAN</t>
  </si>
  <si>
    <t>MARKWOOD</t>
  </si>
  <si>
    <t>MEADOW CREEK</t>
  </si>
  <si>
    <t>MILAWA</t>
  </si>
  <si>
    <t>NORTH WANGARATTA</t>
  </si>
  <si>
    <t>OXLEY FLATS</t>
  </si>
  <si>
    <t>PEECHELBA</t>
  </si>
  <si>
    <t>PEECHELBA EAST</t>
  </si>
  <si>
    <t>ROSE RIVER</t>
  </si>
  <si>
    <t>TARRAWINGEE</t>
  </si>
  <si>
    <t>WABONGA</t>
  </si>
  <si>
    <t>WALDARA</t>
  </si>
  <si>
    <t>WANGANDARY</t>
  </si>
  <si>
    <t>WANGARATTA FORWARD</t>
  </si>
  <si>
    <t>WANGARATTA SOUTH</t>
  </si>
  <si>
    <t>WHITLANDS</t>
  </si>
  <si>
    <t>BORALMA</t>
  </si>
  <si>
    <t>LILLIPUT</t>
  </si>
  <si>
    <t>NORONG</t>
  </si>
  <si>
    <t>SPRINGHURST</t>
  </si>
  <si>
    <t>CHILTERN</t>
  </si>
  <si>
    <t>CHILTERN VALLEY</t>
  </si>
  <si>
    <t>CORNISHTOWN</t>
  </si>
  <si>
    <t>INDIGO</t>
  </si>
  <si>
    <t>BOORHAMAN NORTH</t>
  </si>
  <si>
    <t>BRIMIN</t>
  </si>
  <si>
    <t>BROWNS PLAINS</t>
  </si>
  <si>
    <t>DUGAYS BRIDGE</t>
  </si>
  <si>
    <t>GOORAMADDA</t>
  </si>
  <si>
    <t>GREAT SOUTHERN</t>
  </si>
  <si>
    <t>LAKE MOODEMERE</t>
  </si>
  <si>
    <t>NORONG CENTRAL</t>
  </si>
  <si>
    <t>PRENTICE NORTH</t>
  </si>
  <si>
    <t>RUTHERGLEN</t>
  </si>
  <si>
    <t>CARLYLE</t>
  </si>
  <si>
    <t>WAHGUNYAH</t>
  </si>
  <si>
    <t>BARNAWARTHA</t>
  </si>
  <si>
    <t>BARNAWARTHA NORTH</t>
  </si>
  <si>
    <t>INDIGO UPPER</t>
  </si>
  <si>
    <t>INDIGO VALLEY</t>
  </si>
  <si>
    <t>WODONGA</t>
  </si>
  <si>
    <t>WEST WODONGA</t>
  </si>
  <si>
    <t>WODONGA PLAZA</t>
  </si>
  <si>
    <t>ALLANS FLAT</t>
  </si>
  <si>
    <t>BARANDUDA</t>
  </si>
  <si>
    <t>BELLBRIDGE</t>
  </si>
  <si>
    <t>BERRINGAMA</t>
  </si>
  <si>
    <t>BETHANGA</t>
  </si>
  <si>
    <t>BONEGILLA</t>
  </si>
  <si>
    <t>BUNGIL</t>
  </si>
  <si>
    <t>CASTLE CREEK</t>
  </si>
  <si>
    <t>CORAL BANK</t>
  </si>
  <si>
    <t>DEDERANG</t>
  </si>
  <si>
    <t>EBDEN</t>
  </si>
  <si>
    <t>GATEWAY ISLAND</t>
  </si>
  <si>
    <t>GLEN CREEK</t>
  </si>
  <si>
    <t>GUNDOWRING</t>
  </si>
  <si>
    <t>HUME WEIR</t>
  </si>
  <si>
    <t>HUON CREEK</t>
  </si>
  <si>
    <t>KANCOONA</t>
  </si>
  <si>
    <t>KANCOONA SOUTH</t>
  </si>
  <si>
    <t>KERGUNYAH</t>
  </si>
  <si>
    <t>KIEWA</t>
  </si>
  <si>
    <t>LENEVA</t>
  </si>
  <si>
    <t>LONE PINE</t>
  </si>
  <si>
    <t>LUCYVALE</t>
  </si>
  <si>
    <t>MONGANS BRIDGE</t>
  </si>
  <si>
    <t>MOUNT ALFRED</t>
  </si>
  <si>
    <t>RUNNING CREEK</t>
  </si>
  <si>
    <t>STAGHORN FLAT</t>
  </si>
  <si>
    <t>TALGARNO</t>
  </si>
  <si>
    <t>TANGAMBALANGA</t>
  </si>
  <si>
    <t>THOLOGOLONG</t>
  </si>
  <si>
    <t>UPPER GUNDOWRING</t>
  </si>
  <si>
    <t>WODONGA FORWARD</t>
  </si>
  <si>
    <t>BANDIANA</t>
  </si>
  <si>
    <t>BANDIANA MILPO</t>
  </si>
  <si>
    <t>CHARLEROI</t>
  </si>
  <si>
    <t>HUON</t>
  </si>
  <si>
    <t>RED BLUFF</t>
  </si>
  <si>
    <t>TAWONGA</t>
  </si>
  <si>
    <t>TAWONGA SOUTH</t>
  </si>
  <si>
    <t>BOGONG</t>
  </si>
  <si>
    <t>MOUNT BEAUTY</t>
  </si>
  <si>
    <t>BULLIOH</t>
  </si>
  <si>
    <t>JARVIS CREEK</t>
  </si>
  <si>
    <t>TALLANGATTA</t>
  </si>
  <si>
    <t>TALLANGATTA EAST</t>
  </si>
  <si>
    <t>DARTMOUTH</t>
  </si>
  <si>
    <t>ESKDALE</t>
  </si>
  <si>
    <t>GRANITE FLAT</t>
  </si>
  <si>
    <t>GRANYA</t>
  </si>
  <si>
    <t>MITTA MITTA</t>
  </si>
  <si>
    <t>SHELLEY</t>
  </si>
  <si>
    <t>TALLANGATTA VALLEY</t>
  </si>
  <si>
    <t>KOETONG</t>
  </si>
  <si>
    <t>CUDGEWA</t>
  </si>
  <si>
    <t>NARIEL VALLEY</t>
  </si>
  <si>
    <t>BIGGARA</t>
  </si>
  <si>
    <t>BRINGENBRONG</t>
  </si>
  <si>
    <t>COLAC COLAC</t>
  </si>
  <si>
    <t>CORRYONG</t>
  </si>
  <si>
    <t>THOWGLA VALLEY</t>
  </si>
  <si>
    <t>TOWONG</t>
  </si>
  <si>
    <t>TOWONG UPPER</t>
  </si>
  <si>
    <t>TINTALDRA</t>
  </si>
  <si>
    <t>BURROWYE</t>
  </si>
  <si>
    <t>GUYS FOREST</t>
  </si>
  <si>
    <t>WALWA</t>
  </si>
  <si>
    <t>RUBICON</t>
  </si>
  <si>
    <t>EILDON</t>
  </si>
  <si>
    <t>LAKE EILDON</t>
  </si>
  <si>
    <t>ACHERON</t>
  </si>
  <si>
    <t>ALEXANDRA</t>
  </si>
  <si>
    <t>CATHKIN</t>
  </si>
  <si>
    <t>FAWCETT</t>
  </si>
  <si>
    <t>KORIELLA</t>
  </si>
  <si>
    <t>TAGGERTY</t>
  </si>
  <si>
    <t>ANCONA</t>
  </si>
  <si>
    <t>MERTON</t>
  </si>
  <si>
    <t>WOODFIELD</t>
  </si>
  <si>
    <t>GHIN GHIN</t>
  </si>
  <si>
    <t>GLENBURN</t>
  </si>
  <si>
    <t>HOMEWOOD</t>
  </si>
  <si>
    <t>MURRINDINDI</t>
  </si>
  <si>
    <t>YEA</t>
  </si>
  <si>
    <t>MOLESWORTH</t>
  </si>
  <si>
    <t>GOBUR</t>
  </si>
  <si>
    <t>KANUMBRA</t>
  </si>
  <si>
    <t>TERIP TERIP</t>
  </si>
  <si>
    <t>YARCK</t>
  </si>
  <si>
    <t>BONNIE DOON</t>
  </si>
  <si>
    <t>BARWITE</t>
  </si>
  <si>
    <t>MANSFIELD</t>
  </si>
  <si>
    <t>MIRIMBAH</t>
  </si>
  <si>
    <t>ARCHERTON</t>
  </si>
  <si>
    <t>BARJARG</t>
  </si>
  <si>
    <t>BOOROLITE</t>
  </si>
  <si>
    <t>BRIDGE CREEK</t>
  </si>
  <si>
    <t>DELATITE</t>
  </si>
  <si>
    <t>GAFFNEYS CREEK</t>
  </si>
  <si>
    <t>GOUGHS BAY</t>
  </si>
  <si>
    <t>HOWES CREEK</t>
  </si>
  <si>
    <t>HOWQUA</t>
  </si>
  <si>
    <t>HOWQUA HILLS</t>
  </si>
  <si>
    <t>HOWQUA INLET</t>
  </si>
  <si>
    <t>JAMIESON</t>
  </si>
  <si>
    <t>KEVINGTON</t>
  </si>
  <si>
    <t>MACS COVE</t>
  </si>
  <si>
    <t>MAINDAMPLE</t>
  </si>
  <si>
    <t>MATLOCK</t>
  </si>
  <si>
    <t>MERRIJIG</t>
  </si>
  <si>
    <t>MOUNT BULLER</t>
  </si>
  <si>
    <t>MOUNTAIN BAY</t>
  </si>
  <si>
    <t>NILLAHCOOTIE</t>
  </si>
  <si>
    <t>PIRIES</t>
  </si>
  <si>
    <t>SAWMILL SETTLEMENT</t>
  </si>
  <si>
    <t>TOLMIE</t>
  </si>
  <si>
    <t>WOODS POINT</t>
  </si>
  <si>
    <t>BOXWOOD</t>
  </si>
  <si>
    <t>CHESNEY VALE</t>
  </si>
  <si>
    <t>GOORAMBAT</t>
  </si>
  <si>
    <t>MAJOR PLAINS</t>
  </si>
  <si>
    <t>STEWARTON</t>
  </si>
  <si>
    <t>BUNGEET</t>
  </si>
  <si>
    <t>BUNGEET WEST</t>
  </si>
  <si>
    <t>DEVENISH</t>
  </si>
  <si>
    <t>THOONA</t>
  </si>
  <si>
    <t>ALMONDS</t>
  </si>
  <si>
    <t>LAKE ROWAN</t>
  </si>
  <si>
    <t>PELLUEBLA</t>
  </si>
  <si>
    <t>ST JAMES</t>
  </si>
  <si>
    <t>WAGGARANDALL</t>
  </si>
  <si>
    <t>YUNDOOL</t>
  </si>
  <si>
    <t>BOOMAHNOOMOONAH</t>
  </si>
  <si>
    <t>TUNGAMAH</t>
  </si>
  <si>
    <t>WILBY</t>
  </si>
  <si>
    <t>YOUARANG</t>
  </si>
  <si>
    <t>BATHUMI</t>
  </si>
  <si>
    <t>BOOSEY</t>
  </si>
  <si>
    <t>BUNDALONG</t>
  </si>
  <si>
    <t>BUNDALONG SOUTH</t>
  </si>
  <si>
    <t>ESMOND</t>
  </si>
  <si>
    <t>TELFORD</t>
  </si>
  <si>
    <t>YARRAWONGA SOUTH</t>
  </si>
  <si>
    <t>MOYHU</t>
  </si>
  <si>
    <t>MYRRHEE</t>
  </si>
  <si>
    <t>WHITFIELD</t>
  </si>
  <si>
    <t>BOWMANS FOREST</t>
  </si>
  <si>
    <t>WHOROULY</t>
  </si>
  <si>
    <t>WHOROULY EAST</t>
  </si>
  <si>
    <t>WHOROULY SOUTH</t>
  </si>
  <si>
    <t>MYRTLEFORD</t>
  </si>
  <si>
    <t>ABBEYARD</t>
  </si>
  <si>
    <t>BARWIDGEE</t>
  </si>
  <si>
    <t>BUFFALO RIVER</t>
  </si>
  <si>
    <t>DANDONGADALE</t>
  </si>
  <si>
    <t>GAPSTED</t>
  </si>
  <si>
    <t>HAVILLAH</t>
  </si>
  <si>
    <t>MERRIANG</t>
  </si>
  <si>
    <t>MERRIANG SOUTH</t>
  </si>
  <si>
    <t>MUDGEGONGA</t>
  </si>
  <si>
    <t>NUG NUG</t>
  </si>
  <si>
    <t>ROSEWHITE</t>
  </si>
  <si>
    <t>OVENS</t>
  </si>
  <si>
    <t>EUROBIN</t>
  </si>
  <si>
    <t>BUCKLAND</t>
  </si>
  <si>
    <t>MOUNT BUFFALO</t>
  </si>
  <si>
    <t>POREPUNKAH</t>
  </si>
  <si>
    <t>BRIGHT</t>
  </si>
  <si>
    <t>FREEBURGH</t>
  </si>
  <si>
    <t>GERMANTOWN</t>
  </si>
  <si>
    <t>HARRIETVILLE</t>
  </si>
  <si>
    <t>HOTHAM HEIGHTS</t>
  </si>
  <si>
    <t>MOUNT HOTHAM</t>
  </si>
  <si>
    <t>SMOKO</t>
  </si>
  <si>
    <t>WANDILIGONG</t>
  </si>
  <si>
    <t>ELDORADO</t>
  </si>
  <si>
    <t>BAARMUTHA</t>
  </si>
  <si>
    <t>BEECHWORTH</t>
  </si>
  <si>
    <t>HURDLE FLAT</t>
  </si>
  <si>
    <t>MURMUNGEE</t>
  </si>
  <si>
    <t>SILVER CREEK</t>
  </si>
  <si>
    <t>STANLEY</t>
  </si>
  <si>
    <t>WOOLSHED</t>
  </si>
  <si>
    <t>WOORAGEE</t>
  </si>
  <si>
    <t>YACKANDANDAH</t>
  </si>
  <si>
    <t>WOLLERT</t>
  </si>
  <si>
    <t>MORANG SOUTH</t>
  </si>
  <si>
    <t>SOUTH MORANG</t>
  </si>
  <si>
    <t>BEVERIDGE</t>
  </si>
  <si>
    <t>DOREEN</t>
  </si>
  <si>
    <t>MERNDA</t>
  </si>
  <si>
    <t>YAN YEAN</t>
  </si>
  <si>
    <t>CHINTIN</t>
  </si>
  <si>
    <t>DARRAWEIT GUIM</t>
  </si>
  <si>
    <t>HIDDEN VALLEY</t>
  </si>
  <si>
    <t>UPPER PLENTY</t>
  </si>
  <si>
    <t>WALLAN</t>
  </si>
  <si>
    <t>WALLAN EAST</t>
  </si>
  <si>
    <t>BRUCES CREEK</t>
  </si>
  <si>
    <t>EDEN PARK</t>
  </si>
  <si>
    <t>HUMEVALE</t>
  </si>
  <si>
    <t>KINGLAKE CENTRAL</t>
  </si>
  <si>
    <t>KINGLAKE WEST</t>
  </si>
  <si>
    <t>PHEASANT CREEK</t>
  </si>
  <si>
    <t>WHITTLESEA</t>
  </si>
  <si>
    <t>HEATHCOTE JUNCTION</t>
  </si>
  <si>
    <t>WANDONG</t>
  </si>
  <si>
    <t>PANTON HILL</t>
  </si>
  <si>
    <t>SMITHS GULLY</t>
  </si>
  <si>
    <t>BYLANDS</t>
  </si>
  <si>
    <t>KINGLAKE</t>
  </si>
  <si>
    <t>MOUNT SLIDE</t>
  </si>
  <si>
    <t>GLENAROUA</t>
  </si>
  <si>
    <t>HIGH CAMP</t>
  </si>
  <si>
    <t>KILMORE</t>
  </si>
  <si>
    <t>KILMORE EAST</t>
  </si>
  <si>
    <t>MORANDING</t>
  </si>
  <si>
    <t>TANTARABOO</t>
  </si>
  <si>
    <t>WILLOWMAVIN</t>
  </si>
  <si>
    <t>MONTROSE</t>
  </si>
  <si>
    <t>KALORAMA</t>
  </si>
  <si>
    <t>MOUNT DANDENONG</t>
  </si>
  <si>
    <t>GRUYERE</t>
  </si>
  <si>
    <t>YERING</t>
  </si>
  <si>
    <t>CHRISTMAS HILLS</t>
  </si>
  <si>
    <t>DIXONS CREEK</t>
  </si>
  <si>
    <t>STEELS CREEK</t>
  </si>
  <si>
    <t>TARRAWARRA</t>
  </si>
  <si>
    <t>YARRA GLEN</t>
  </si>
  <si>
    <t>BADGER CREEK</t>
  </si>
  <si>
    <t>CASTELLA</t>
  </si>
  <si>
    <t>CHUM CREEK</t>
  </si>
  <si>
    <t>HEALESVILLE</t>
  </si>
  <si>
    <t>HEALESVILLE MAIN STREET</t>
  </si>
  <si>
    <t>HEALESVILLE POST SHOP</t>
  </si>
  <si>
    <t>MOUNT TOOLEBEWONG</t>
  </si>
  <si>
    <t>TOOLANGI</t>
  </si>
  <si>
    <t>FERNSHAW</t>
  </si>
  <si>
    <t>NARBETHONG</t>
  </si>
  <si>
    <t>CAMBARVILLE</t>
  </si>
  <si>
    <t>MARYSVILLE</t>
  </si>
  <si>
    <t>COCKATOO</t>
  </si>
  <si>
    <t>MOUNT BURNETT</t>
  </si>
  <si>
    <t>NANGANA</t>
  </si>
  <si>
    <t>AVONSLEIGH</t>
  </si>
  <si>
    <t>CLEMATIS</t>
  </si>
  <si>
    <t>EMERALD</t>
  </si>
  <si>
    <t>MACCLESFIELD</t>
  </si>
  <si>
    <t>GEMBROOK</t>
  </si>
  <si>
    <t>TREMONT</t>
  </si>
  <si>
    <t>FERNY CREEK</t>
  </si>
  <si>
    <t>SASSAFRAS GULLY</t>
  </si>
  <si>
    <t>SHERBROOKE</t>
  </si>
  <si>
    <t>KALLISTA</t>
  </si>
  <si>
    <t>THE PATCH</t>
  </si>
  <si>
    <t>MONBULK</t>
  </si>
  <si>
    <t>SILVAN</t>
  </si>
  <si>
    <t>MOUNT EVELYN</t>
  </si>
  <si>
    <t>GILDEROY</t>
  </si>
  <si>
    <t>GLADYSDALE</t>
  </si>
  <si>
    <t>POWELLTOWN</t>
  </si>
  <si>
    <t>THREE BRIDGES</t>
  </si>
  <si>
    <t>YARRA JUNCTION</t>
  </si>
  <si>
    <t>BIG PATS CREEK</t>
  </si>
  <si>
    <t>EAST WARBURTON</t>
  </si>
  <si>
    <t>MCMAHONS CREEK</t>
  </si>
  <si>
    <t>MILLGROVE</t>
  </si>
  <si>
    <t>WARBURTON</t>
  </si>
  <si>
    <t>WESBURN</t>
  </si>
  <si>
    <t>MONASH UNIVERSITY</t>
  </si>
  <si>
    <t>ENDEAVOUR HILLS</t>
  </si>
  <si>
    <t>HALLAM</t>
  </si>
  <si>
    <t>NARRE WARREN EAST</t>
  </si>
  <si>
    <t>NARRE WARREN NORTH</t>
  </si>
  <si>
    <t>FOUNTAIN GATE</t>
  </si>
  <si>
    <t>NARRE WARREN</t>
  </si>
  <si>
    <t>NARRE WARREN SOUTH</t>
  </si>
  <si>
    <t>BERWICK</t>
  </si>
  <si>
    <t>HARKAWAY</t>
  </si>
  <si>
    <t>GUYS HILL</t>
  </si>
  <si>
    <t>BEACONSFIELD UPPER</t>
  </si>
  <si>
    <t>DEWHURST</t>
  </si>
  <si>
    <t>OFFICER</t>
  </si>
  <si>
    <t>OFFICER SOUTH</t>
  </si>
  <si>
    <t>PAKENHAM</t>
  </si>
  <si>
    <t>PAKENHAM SOUTH</t>
  </si>
  <si>
    <t>PAKENHAM UPPER</t>
  </si>
  <si>
    <t>RYTHDALE</t>
  </si>
  <si>
    <t>MARYKNOLL</t>
  </si>
  <si>
    <t>NAR NAR GOON</t>
  </si>
  <si>
    <t>NAR NAR GOON NORTH</t>
  </si>
  <si>
    <t>TYNONG</t>
  </si>
  <si>
    <t>TYNONG NORTH</t>
  </si>
  <si>
    <t>CORA LYNN</t>
  </si>
  <si>
    <t>GARFIELD</t>
  </si>
  <si>
    <t>GARFIELD NORTH</t>
  </si>
  <si>
    <t>VERVALE</t>
  </si>
  <si>
    <t>BUNYIP</t>
  </si>
  <si>
    <t>BUNYIP NORTH</t>
  </si>
  <si>
    <t>TONIMBUK</t>
  </si>
  <si>
    <t>LABERTOUCHE</t>
  </si>
  <si>
    <t>LONGWARRY</t>
  </si>
  <si>
    <t>LONGWARRY NORTH</t>
  </si>
  <si>
    <t>MODELLA</t>
  </si>
  <si>
    <t>ATHLONE</t>
  </si>
  <si>
    <t>DROUIN</t>
  </si>
  <si>
    <t>DROUIN EAST</t>
  </si>
  <si>
    <t>DROUIN SOUTH</t>
  </si>
  <si>
    <t>DROUIN WEST</t>
  </si>
  <si>
    <t>HALLORA</t>
  </si>
  <si>
    <t>JINDIVICK</t>
  </si>
  <si>
    <t>RIPPLEBROOK</t>
  </si>
  <si>
    <t>LILLICO</t>
  </si>
  <si>
    <t>WARRAGUL</t>
  </si>
  <si>
    <t>BRANDY CREEK</t>
  </si>
  <si>
    <t>BULN BULN</t>
  </si>
  <si>
    <t>BULN BULN EAST</t>
  </si>
  <si>
    <t>CROSSOVER</t>
  </si>
  <si>
    <t>ELLINBANK</t>
  </si>
  <si>
    <t>FERNDALE</t>
  </si>
  <si>
    <t>LARDNER</t>
  </si>
  <si>
    <t>NAYOOK</t>
  </si>
  <si>
    <t>NEERIM JUNCTION</t>
  </si>
  <si>
    <t>NEERIM NORTH</t>
  </si>
  <si>
    <t>NILMA</t>
  </si>
  <si>
    <t>NILMA NORTH</t>
  </si>
  <si>
    <t>ROKEBY</t>
  </si>
  <si>
    <t>SEAVIEW</t>
  </si>
  <si>
    <t>SHADY CREEK</t>
  </si>
  <si>
    <t>TETOORA ROAD</t>
  </si>
  <si>
    <t>WARRAGUL SOUTH</t>
  </si>
  <si>
    <t>WARRAGUL WEST</t>
  </si>
  <si>
    <t>CLOVERLEA</t>
  </si>
  <si>
    <t>DARNUM</t>
  </si>
  <si>
    <t>GAINSBOROUGH</t>
  </si>
  <si>
    <t>ALLAMBEE</t>
  </si>
  <si>
    <t>YARRAGON</t>
  </si>
  <si>
    <t>YARRAGON SOUTH</t>
  </si>
  <si>
    <t>CHILDERS</t>
  </si>
  <si>
    <t>NARRACAN</t>
  </si>
  <si>
    <t>THORPDALE SOUTH</t>
  </si>
  <si>
    <t>TRAFALGAR</t>
  </si>
  <si>
    <t>TRAFALGAR EAST</t>
  </si>
  <si>
    <t>TRAFALGAR SOUTH</t>
  </si>
  <si>
    <t>ABERFELDY</t>
  </si>
  <si>
    <t>AMOR</t>
  </si>
  <si>
    <t>CARINGAL</t>
  </si>
  <si>
    <t>COALVILLE</t>
  </si>
  <si>
    <t>COOPERS CREEK</t>
  </si>
  <si>
    <t>ERICA</t>
  </si>
  <si>
    <t>FUMINA</t>
  </si>
  <si>
    <t>FUMINA SOUTH</t>
  </si>
  <si>
    <t>HERNES OAK</t>
  </si>
  <si>
    <t>JACOB CREEK</t>
  </si>
  <si>
    <t>MOE</t>
  </si>
  <si>
    <t>MOE SOUTH</t>
  </si>
  <si>
    <t>MOONDARRA</t>
  </si>
  <si>
    <t>NEWBOROUGH</t>
  </si>
  <si>
    <t>NEWBOROUGH EAST</t>
  </si>
  <si>
    <t>RAWSON</t>
  </si>
  <si>
    <t>TANJIL</t>
  </si>
  <si>
    <t>TANJIL SOUTH</t>
  </si>
  <si>
    <t>THALOO</t>
  </si>
  <si>
    <t>WALHALLA</t>
  </si>
  <si>
    <t>WESTBURY</t>
  </si>
  <si>
    <t>WILLOW GROVE</t>
  </si>
  <si>
    <t>YALLOURN</t>
  </si>
  <si>
    <t>YALLOURN NORTH</t>
  </si>
  <si>
    <t>NEERIM</t>
  </si>
  <si>
    <t>NEERIM EAST</t>
  </si>
  <si>
    <t>NEERIM SOUTH</t>
  </si>
  <si>
    <t>BAW BAW</t>
  </si>
  <si>
    <t>BAW BAW VILLAGE</t>
  </si>
  <si>
    <t>ICY CREEK</t>
  </si>
  <si>
    <t>LOCH VALLEY</t>
  </si>
  <si>
    <t>MT BAW BAW</t>
  </si>
  <si>
    <t>NOOJEE</t>
  </si>
  <si>
    <t>PIEDMONT</t>
  </si>
  <si>
    <t>TANJIL BREN</t>
  </si>
  <si>
    <t>TOORONGO</t>
  </si>
  <si>
    <t>VESPER</t>
  </si>
  <si>
    <t>THORPDALE</t>
  </si>
  <si>
    <t>DRIFFIELD</t>
  </si>
  <si>
    <t>HAZELWOOD</t>
  </si>
  <si>
    <t>HAZELWOOD NORTH</t>
  </si>
  <si>
    <t>HAZELWOOD SOUTH</t>
  </si>
  <si>
    <t>JEERALANG</t>
  </si>
  <si>
    <t>JEERALANG JUNCTION</t>
  </si>
  <si>
    <t>MID VALLEY</t>
  </si>
  <si>
    <t>MORWELL</t>
  </si>
  <si>
    <t>MORWELL EAST</t>
  </si>
  <si>
    <t>MORWELL UPPER</t>
  </si>
  <si>
    <t>GIPPSLAND MC</t>
  </si>
  <si>
    <t>CHURCHILL</t>
  </si>
  <si>
    <t>BLACKWARRY</t>
  </si>
  <si>
    <t>CALLIGNEE</t>
  </si>
  <si>
    <t>CALLIGNEE NORTH</t>
  </si>
  <si>
    <t>CARRAJUNG</t>
  </si>
  <si>
    <t>FLYNNS CREEK</t>
  </si>
  <si>
    <t>KOORNALLA</t>
  </si>
  <si>
    <t>LOY YANG</t>
  </si>
  <si>
    <t>TRARALGON</t>
  </si>
  <si>
    <t>TRARALGON EAST</t>
  </si>
  <si>
    <t>TRARALGON SOUTH</t>
  </si>
  <si>
    <t>TYERS</t>
  </si>
  <si>
    <t>WILLUNG SOUTH</t>
  </si>
  <si>
    <t>HIAMDALE</t>
  </si>
  <si>
    <t>NAMBROK</t>
  </si>
  <si>
    <t>WILLUNG</t>
  </si>
  <si>
    <t>GIFFARD</t>
  </si>
  <si>
    <t>GUTHRIDGE</t>
  </si>
  <si>
    <t>SALE</t>
  </si>
  <si>
    <t>SALE NORTH</t>
  </si>
  <si>
    <t>WURRUK</t>
  </si>
  <si>
    <t>BUNDALAGUAH</t>
  </si>
  <si>
    <t>CLYDEBANK</t>
  </si>
  <si>
    <t>COBAINS</t>
  </si>
  <si>
    <t>DARRIMAN</t>
  </si>
  <si>
    <t>DUTSON</t>
  </si>
  <si>
    <t>DUTSON DOWNS</t>
  </si>
  <si>
    <t>FLAMINGO BEACH</t>
  </si>
  <si>
    <t>FULHAM</t>
  </si>
  <si>
    <t>GIFFARD WEST</t>
  </si>
  <si>
    <t>GLOMAR BEACH</t>
  </si>
  <si>
    <t>GOLDEN BEACH</t>
  </si>
  <si>
    <t>KILMANY</t>
  </si>
  <si>
    <t>LAKE WELLINGTON</t>
  </si>
  <si>
    <t>LOCH SPORT</t>
  </si>
  <si>
    <t>LONGFORD</t>
  </si>
  <si>
    <t>MONTGOMERY</t>
  </si>
  <si>
    <t>MYRTLEBANK</t>
  </si>
  <si>
    <t>PEARSONDALE</t>
  </si>
  <si>
    <t>SEACOMBE</t>
  </si>
  <si>
    <t>SEASPRAY</t>
  </si>
  <si>
    <t>SOMERTON PARK</t>
  </si>
  <si>
    <t>STRADBROKE</t>
  </si>
  <si>
    <t>THE HEART</t>
  </si>
  <si>
    <t>THE HONEYSUCKLES</t>
  </si>
  <si>
    <t>EAST SALE RAAF</t>
  </si>
  <si>
    <t>GLENGARRY</t>
  </si>
  <si>
    <t>GLENGARRY NORTH</t>
  </si>
  <si>
    <t>GLENGARRY WEST</t>
  </si>
  <si>
    <t>COWWARR</t>
  </si>
  <si>
    <t>DAWSON</t>
  </si>
  <si>
    <t>DENISON</t>
  </si>
  <si>
    <t>GLEN FALLOCH</t>
  </si>
  <si>
    <t>GLENMAGGIE</t>
  </si>
  <si>
    <t>HEYFIELD</t>
  </si>
  <si>
    <t>LICOLA</t>
  </si>
  <si>
    <t>LICOLA NORTH</t>
  </si>
  <si>
    <t>SEATON</t>
  </si>
  <si>
    <t>TAMBORITHA</t>
  </si>
  <si>
    <t>WINNINDOO</t>
  </si>
  <si>
    <t>MAFFRA WEST UPPER</t>
  </si>
  <si>
    <t>MEWBURN PARK</t>
  </si>
  <si>
    <t>NEWRY</t>
  </si>
  <si>
    <t>TINAMBA</t>
  </si>
  <si>
    <t>TINAMBA WEST</t>
  </si>
  <si>
    <t>BOISDALE</t>
  </si>
  <si>
    <t>BRIAGOLONG</t>
  </si>
  <si>
    <t>BUSHY PARK</t>
  </si>
  <si>
    <t>COONGULLA</t>
  </si>
  <si>
    <t>NUNTIN</t>
  </si>
  <si>
    <t>RIVERSLEA</t>
  </si>
  <si>
    <t>VALENCIA CREEK</t>
  </si>
  <si>
    <t>CASTLEBURN</t>
  </si>
  <si>
    <t>COBBANNAH</t>
  </si>
  <si>
    <t>CROOKED RIVER</t>
  </si>
  <si>
    <t>DARGO</t>
  </si>
  <si>
    <t>HAWKHURST</t>
  </si>
  <si>
    <t>LLOWALONG</t>
  </si>
  <si>
    <t>MEERLIEU</t>
  </si>
  <si>
    <t>MUNRO</t>
  </si>
  <si>
    <t>PERRY BRIDGE</t>
  </si>
  <si>
    <t>STOCKDALE</t>
  </si>
  <si>
    <t>WATERFORD</t>
  </si>
  <si>
    <t>FERNBANK</t>
  </si>
  <si>
    <t>GLENALADALE</t>
  </si>
  <si>
    <t>THE FINGERBOARD</t>
  </si>
  <si>
    <t>LINDENOW</t>
  </si>
  <si>
    <t>JUMBUK</t>
  </si>
  <si>
    <t>YINNAR</t>
  </si>
  <si>
    <t>YINNAR SOUTH</t>
  </si>
  <si>
    <t>BOOLARRA</t>
  </si>
  <si>
    <t>BOOLARRA SOUTH</t>
  </si>
  <si>
    <t>BUDGEREE</t>
  </si>
  <si>
    <t>BUDGEREE EAST</t>
  </si>
  <si>
    <t>JOHNSTONES HILL</t>
  </si>
  <si>
    <t>MIRBOO EAST</t>
  </si>
  <si>
    <t>ALLAMBEE RESERVE</t>
  </si>
  <si>
    <t>ALLAMBEE SOUTH</t>
  </si>
  <si>
    <t>DARLIMURLA</t>
  </si>
  <si>
    <t>DELBURN</t>
  </si>
  <si>
    <t>DOLLAR</t>
  </si>
  <si>
    <t>LIMONITE</t>
  </si>
  <si>
    <t>MIRBOO</t>
  </si>
  <si>
    <t>MIRBOO NORTH</t>
  </si>
  <si>
    <t>TARWIN EAST</t>
  </si>
  <si>
    <t>GORMANDALE</t>
  </si>
  <si>
    <t>CARRAJUNG SOUTH</t>
  </si>
  <si>
    <t>CHERRILONG</t>
  </si>
  <si>
    <t>MCLOUGHLINS BEACH</t>
  </si>
  <si>
    <t>WOODSIDE BEACH</t>
  </si>
  <si>
    <t>WOODSIDE NORTH</t>
  </si>
  <si>
    <t>BAIRNSDALE</t>
  </si>
  <si>
    <t>BENGWORDEN</t>
  </si>
  <si>
    <t>BROADLANDS</t>
  </si>
  <si>
    <t>BULLUMWAAL</t>
  </si>
  <si>
    <t>CALULU</t>
  </si>
  <si>
    <t>CLIFTON CREEK</t>
  </si>
  <si>
    <t>DEPTFORD</t>
  </si>
  <si>
    <t>EAST BAIRNSDALE</t>
  </si>
  <si>
    <t>ELLASWOOD</t>
  </si>
  <si>
    <t>FLAGGY CREEK</t>
  </si>
  <si>
    <t>FORGE CREEK</t>
  </si>
  <si>
    <t>GOON NURE</t>
  </si>
  <si>
    <t>GRANITE ROCK</t>
  </si>
  <si>
    <t>HOLLANDS LANDING</t>
  </si>
  <si>
    <t>IGUANA CREEK</t>
  </si>
  <si>
    <t>LINDENOW SOUTH</t>
  </si>
  <si>
    <t>MELWOOD</t>
  </si>
  <si>
    <t>MOUNT TAYLOR</t>
  </si>
  <si>
    <t>NEWLANDS ARM</t>
  </si>
  <si>
    <t>SARSFIELD</t>
  </si>
  <si>
    <t>TABBERABBERA</t>
  </si>
  <si>
    <t>WALPA</t>
  </si>
  <si>
    <t>WATERHOLES</t>
  </si>
  <si>
    <t>WOODGLEN</t>
  </si>
  <si>
    <t>WUK WUK</t>
  </si>
  <si>
    <t>WY YUNG</t>
  </si>
  <si>
    <t>EAGLE POINT</t>
  </si>
  <si>
    <t>BOOLE POOLE</t>
  </si>
  <si>
    <t>OCEAN GRANGE</t>
  </si>
  <si>
    <t>PAYNESVILLE</t>
  </si>
  <si>
    <t>RAYMOND ISLAND</t>
  </si>
  <si>
    <t>NICHOLSON</t>
  </si>
  <si>
    <t>BRUTHEN</t>
  </si>
  <si>
    <t>BUCHAN</t>
  </si>
  <si>
    <t>BUCHAN SOUTH</t>
  </si>
  <si>
    <t>BUTCHERS RIDGE</t>
  </si>
  <si>
    <t>GELANTIPY</t>
  </si>
  <si>
    <t>MOSSIFACE</t>
  </si>
  <si>
    <t>MURRINDAL</t>
  </si>
  <si>
    <t>SUGGAN BUGGAN</t>
  </si>
  <si>
    <t>TAMBO UPPER</t>
  </si>
  <si>
    <t>TIMBARRA</t>
  </si>
  <si>
    <t>W TREE</t>
  </si>
  <si>
    <t>WISELEIGH</t>
  </si>
  <si>
    <t>WULGULMERANG</t>
  </si>
  <si>
    <t>WULGULMERANG EAST</t>
  </si>
  <si>
    <t>WULGULMERANG WEST</t>
  </si>
  <si>
    <t>YALMY</t>
  </si>
  <si>
    <t>NEWMERELLA</t>
  </si>
  <si>
    <t>LAKE TYERS</t>
  </si>
  <si>
    <t>NOWA NOWA</t>
  </si>
  <si>
    <t>WAIREWA</t>
  </si>
  <si>
    <t>BENDOC</t>
  </si>
  <si>
    <t>BETE BOLONG</t>
  </si>
  <si>
    <t>BETE BOLONG NORTH</t>
  </si>
  <si>
    <t>BONANG</t>
  </si>
  <si>
    <t>BRODRIBB RIVER</t>
  </si>
  <si>
    <t>CABANANDRA</t>
  </si>
  <si>
    <t>CAPE CONRAN</t>
  </si>
  <si>
    <t>CORRINGLE</t>
  </si>
  <si>
    <t>DELEGATE RIVER EAST</t>
  </si>
  <si>
    <t>DELLICKNORA</t>
  </si>
  <si>
    <t>GOONGERAH</t>
  </si>
  <si>
    <t>HAYDENS BOG</t>
  </si>
  <si>
    <t>JARRAHMOND</t>
  </si>
  <si>
    <t>LOCHEND</t>
  </si>
  <si>
    <t>MARLO</t>
  </si>
  <si>
    <t>NURRAN</t>
  </si>
  <si>
    <t>OMEO VALLEY</t>
  </si>
  <si>
    <t>ORBOST</t>
  </si>
  <si>
    <t>SIMPSONS CREEK</t>
  </si>
  <si>
    <t>TOSTAREE</t>
  </si>
  <si>
    <t>TUBBUT</t>
  </si>
  <si>
    <t>WAYGARA</t>
  </si>
  <si>
    <t>BELL BIRD CREEK</t>
  </si>
  <si>
    <t>BEMM RIVER</t>
  </si>
  <si>
    <t>CABBAGE TREE CREEK</t>
  </si>
  <si>
    <t>CLUB TERRACE</t>
  </si>
  <si>
    <t>COMBIENBAR</t>
  </si>
  <si>
    <t>ERRINUNDRA</t>
  </si>
  <si>
    <t>MANORINA</t>
  </si>
  <si>
    <t>BULDAH</t>
  </si>
  <si>
    <t>CANN RIVER</t>
  </si>
  <si>
    <t>CHANDLERS CREEK</t>
  </si>
  <si>
    <t>NOORINBEE</t>
  </si>
  <si>
    <t>NOORINBEE NORTH</t>
  </si>
  <si>
    <t>TAMBOON</t>
  </si>
  <si>
    <t>TONGHI CREEK</t>
  </si>
  <si>
    <t>WEERAGUA</t>
  </si>
  <si>
    <t>GENOA</t>
  </si>
  <si>
    <t>GIPSY POINT</t>
  </si>
  <si>
    <t>MARAMINGO CREEK</t>
  </si>
  <si>
    <t>WALLAGARAUGH</t>
  </si>
  <si>
    <t>WANGARABELL</t>
  </si>
  <si>
    <t>WINGAN RIVER</t>
  </si>
  <si>
    <t>WROXHAM</t>
  </si>
  <si>
    <t>MALLACOOTA</t>
  </si>
  <si>
    <t>DOUBLE BRIDGES</t>
  </si>
  <si>
    <t>TAMBO CROSSING</t>
  </si>
  <si>
    <t>DOCTORS FLAT</t>
  </si>
  <si>
    <t>ENSAY</t>
  </si>
  <si>
    <t>ENSAY NORTH</t>
  </si>
  <si>
    <t>BINDI</t>
  </si>
  <si>
    <t>BROOKVILLE</t>
  </si>
  <si>
    <t>NUNNIONG</t>
  </si>
  <si>
    <t>SWIFTS CREEK</t>
  </si>
  <si>
    <t>TONGIO</t>
  </si>
  <si>
    <t>ANGLERS REST</t>
  </si>
  <si>
    <t>BINGO</t>
  </si>
  <si>
    <t>BINGO MUNJIE</t>
  </si>
  <si>
    <t>BUNDARA</t>
  </si>
  <si>
    <t>COBUNGRA</t>
  </si>
  <si>
    <t>DINNER PLAIN</t>
  </si>
  <si>
    <t>GLEN VALLEY</t>
  </si>
  <si>
    <t>GLEN WILLS</t>
  </si>
  <si>
    <t>HINNOMUNJIE</t>
  </si>
  <si>
    <t>OMEO</t>
  </si>
  <si>
    <t>SHANNONVALE</t>
  </si>
  <si>
    <t>BENAMBRA</t>
  </si>
  <si>
    <t>COBBERAS</t>
  </si>
  <si>
    <t>UPLANDS</t>
  </si>
  <si>
    <t>BUMBERRAH</t>
  </si>
  <si>
    <t>JOHNSONVILLE</t>
  </si>
  <si>
    <t>SWAN REACH</t>
  </si>
  <si>
    <t>METUNG</t>
  </si>
  <si>
    <t>KALIMNA</t>
  </si>
  <si>
    <t>KALIMNA WEST</t>
  </si>
  <si>
    <t>LAKE BUNGA</t>
  </si>
  <si>
    <t>LAKE TYERS BEACH</t>
  </si>
  <si>
    <t>LAKES ENTRANCE</t>
  </si>
  <si>
    <t>NUNGURNER</t>
  </si>
  <si>
    <t>NYERIMILANG</t>
  </si>
  <si>
    <t>TOORLOO ARM</t>
  </si>
  <si>
    <t>LANGWARRIN</t>
  </si>
  <si>
    <t>BAXTER</t>
  </si>
  <si>
    <t>LANGWARRIN SOUTH</t>
  </si>
  <si>
    <t>PEARCEDALE</t>
  </si>
  <si>
    <t>SOMERVILLE</t>
  </si>
  <si>
    <t>TYABB</t>
  </si>
  <si>
    <t>HASTINGS</t>
  </si>
  <si>
    <t>TUERONG</t>
  </si>
  <si>
    <t>MERRICKS</t>
  </si>
  <si>
    <t>POINT LEO</t>
  </si>
  <si>
    <t>SHOREHAM</t>
  </si>
  <si>
    <t>BITTERN</t>
  </si>
  <si>
    <t>CRIB POINT</t>
  </si>
  <si>
    <t>FLINDERS NAVAL DEPOT</t>
  </si>
  <si>
    <t>HMAS CERBERUS</t>
  </si>
  <si>
    <t>FRENCH ISLAND</t>
  </si>
  <si>
    <t>TANKERTON</t>
  </si>
  <si>
    <t>COWES</t>
  </si>
  <si>
    <t>SILVERLEAVES</t>
  </si>
  <si>
    <t>SMITHS BEACH</t>
  </si>
  <si>
    <t>SUMMERLANDS</t>
  </si>
  <si>
    <t>SUNDERLAND BAY</t>
  </si>
  <si>
    <t>SUNSET STRIP</t>
  </si>
  <si>
    <t>VENTNOR</t>
  </si>
  <si>
    <t>WIMBLEDON HEIGHTS</t>
  </si>
  <si>
    <t>RHYLL</t>
  </si>
  <si>
    <t>CAPE WOOLAMAI</t>
  </si>
  <si>
    <t>CHURCHILL ISLAND</t>
  </si>
  <si>
    <t>NEWHAVEN</t>
  </si>
  <si>
    <t>BALNARRING</t>
  </si>
  <si>
    <t>BALNARRING BEACH</t>
  </si>
  <si>
    <t>MERRICKS BEACH</t>
  </si>
  <si>
    <t>MERRICKS NORTH</t>
  </si>
  <si>
    <t>SOMERS</t>
  </si>
  <si>
    <t>MAIN RIDGE</t>
  </si>
  <si>
    <t>KUNYUNG</t>
  </si>
  <si>
    <t>MOUNT ELIZA</t>
  </si>
  <si>
    <t>MORNINGTON</t>
  </si>
  <si>
    <t>MOOROODUC</t>
  </si>
  <si>
    <t>MOUNT MARTHA</t>
  </si>
  <si>
    <t>ARTHURS SEAT</t>
  </si>
  <si>
    <t>DROMANA</t>
  </si>
  <si>
    <t>RED HILL SOUTH</t>
  </si>
  <si>
    <t>MCCRAE</t>
  </si>
  <si>
    <t>BONEO</t>
  </si>
  <si>
    <t>CAPE SCHANCK</t>
  </si>
  <si>
    <t>FINGAL</t>
  </si>
  <si>
    <t>ROSEBUD</t>
  </si>
  <si>
    <t>ROSEBUD PLAZA</t>
  </si>
  <si>
    <t>ROSEBUD WEST</t>
  </si>
  <si>
    <t>RYE</t>
  </si>
  <si>
    <t>ST ANDREWS BEACH</t>
  </si>
  <si>
    <t>TOOTGAROOK</t>
  </si>
  <si>
    <t>BLAIRGOWRIE</t>
  </si>
  <si>
    <t>SORRENTO</t>
  </si>
  <si>
    <t>PORTSEA</t>
  </si>
  <si>
    <t>BELLVIEW</t>
  </si>
  <si>
    <t>JEETHO</t>
  </si>
  <si>
    <t>KROWERA</t>
  </si>
  <si>
    <t>LOCH</t>
  </si>
  <si>
    <t>WOODLEIGH</t>
  </si>
  <si>
    <t>BENA</t>
  </si>
  <si>
    <t>KARDELLA SOUTH</t>
  </si>
  <si>
    <t>KORUMBURRA</t>
  </si>
  <si>
    <t>KORUMBURRA SOUTH</t>
  </si>
  <si>
    <t>STRZELECKI</t>
  </si>
  <si>
    <t>WHITELAW</t>
  </si>
  <si>
    <t>ARAWATA</t>
  </si>
  <si>
    <t>FAIRBANK</t>
  </si>
  <si>
    <t>JUMBUNNA</t>
  </si>
  <si>
    <t>KARDELLA</t>
  </si>
  <si>
    <t>KONGWAK</t>
  </si>
  <si>
    <t>MOYARRA</t>
  </si>
  <si>
    <t>OUTTRIM</t>
  </si>
  <si>
    <t>RANCEBY</t>
  </si>
  <si>
    <t>BERRYS CREEK</t>
  </si>
  <si>
    <t>BOOROOL</t>
  </si>
  <si>
    <t>HALLSTON</t>
  </si>
  <si>
    <t>KOOROOMAN</t>
  </si>
  <si>
    <t>LEONGATHA</t>
  </si>
  <si>
    <t>LEONGATHA NORTH</t>
  </si>
  <si>
    <t>LEONGATHA SOUTH</t>
  </si>
  <si>
    <t>MARDAN</t>
  </si>
  <si>
    <t>MOUNT ECCLES</t>
  </si>
  <si>
    <t>MOUNT ECCLES SOUTH</t>
  </si>
  <si>
    <t>NERRENA</t>
  </si>
  <si>
    <t>RUBY</t>
  </si>
  <si>
    <t>WILD DOG VALLEY</t>
  </si>
  <si>
    <t>KOONWARRA</t>
  </si>
  <si>
    <t>DUMBALK</t>
  </si>
  <si>
    <t>DUMBALK NORTH</t>
  </si>
  <si>
    <t>MEENIYAN</t>
  </si>
  <si>
    <t>MIRBOO SOUTH</t>
  </si>
  <si>
    <t>TARWIN</t>
  </si>
  <si>
    <t>VENUS BAY</t>
  </si>
  <si>
    <t>WALKERVILLE</t>
  </si>
  <si>
    <t>WALKERVILLE SOUTH</t>
  </si>
  <si>
    <t>GRASSY SPUR</t>
  </si>
  <si>
    <t>BUFFALO</t>
  </si>
  <si>
    <t>BUFFALO CREEK</t>
  </si>
  <si>
    <t>FISH CREEK</t>
  </si>
  <si>
    <t>HODDLE</t>
  </si>
  <si>
    <t>WARATAH BAY</t>
  </si>
  <si>
    <t>WARATAH NORTH</t>
  </si>
  <si>
    <t>BENNISON</t>
  </si>
  <si>
    <t>BOOLARONG</t>
  </si>
  <si>
    <t>FOSTER</t>
  </si>
  <si>
    <t>FOSTER NORTH</t>
  </si>
  <si>
    <t>GUNYAH</t>
  </si>
  <si>
    <t>MOUNT BEST</t>
  </si>
  <si>
    <t>RUMBUG</t>
  </si>
  <si>
    <t>SHALLOW INLET</t>
  </si>
  <si>
    <t>TIDAL RIVER</t>
  </si>
  <si>
    <t>TURTONS CREEK</t>
  </si>
  <si>
    <t>WILSONS PROMONTORY</t>
  </si>
  <si>
    <t>WONGA</t>
  </si>
  <si>
    <t>WOORARRA WEST</t>
  </si>
  <si>
    <t>YANAKIE</t>
  </si>
  <si>
    <t>AGNES</t>
  </si>
  <si>
    <t>CHRISTIES</t>
  </si>
  <si>
    <t>GRAND RIDGE</t>
  </si>
  <si>
    <t>TOORA</t>
  </si>
  <si>
    <t>TOORA NORTH</t>
  </si>
  <si>
    <t>WONYIP</t>
  </si>
  <si>
    <t>WOORARRA</t>
  </si>
  <si>
    <t>WOORARRA EAST</t>
  </si>
  <si>
    <t>PORT FRANKLIN</t>
  </si>
  <si>
    <t>PORT WELSHPOOL</t>
  </si>
  <si>
    <t>BINGINWARRI</t>
  </si>
  <si>
    <t>HAZEL PARK</t>
  </si>
  <si>
    <t>WELSHPOOL</t>
  </si>
  <si>
    <t>HEDLEY</t>
  </si>
  <si>
    <t>ALBERTON</t>
  </si>
  <si>
    <t>ALBERTON WEST</t>
  </si>
  <si>
    <t>BALOOK</t>
  </si>
  <si>
    <t>BAROMI</t>
  </si>
  <si>
    <t>CALROSSIE</t>
  </si>
  <si>
    <t>DEVON NORTH</t>
  </si>
  <si>
    <t>GELLIONDALE</t>
  </si>
  <si>
    <t>HIAWATHA</t>
  </si>
  <si>
    <t>HUNTERSTON</t>
  </si>
  <si>
    <t>JACK RIVER</t>
  </si>
  <si>
    <t>LANGSBOROUGH</t>
  </si>
  <si>
    <t>MACKS CREEK</t>
  </si>
  <si>
    <t>MADALYA</t>
  </si>
  <si>
    <t>MANNS BEACH</t>
  </si>
  <si>
    <t>PORT ALBERT</t>
  </si>
  <si>
    <t>ROBERTSONS BEACH</t>
  </si>
  <si>
    <t>STACEYS BRIDGE</t>
  </si>
  <si>
    <t>TARRA VALLEY</t>
  </si>
  <si>
    <t>TARRAVILLE</t>
  </si>
  <si>
    <t>WON WRON</t>
  </si>
  <si>
    <t>YARRAM</t>
  </si>
  <si>
    <t>LYNBROOK</t>
  </si>
  <si>
    <t>HAMPTON PARK</t>
  </si>
  <si>
    <t>CANNONS CREEK</t>
  </si>
  <si>
    <t>CRANBOURNE</t>
  </si>
  <si>
    <t>CRANBOURNE EAST</t>
  </si>
  <si>
    <t>CRANBOURNE NORTH</t>
  </si>
  <si>
    <t>CRANBOURNE SOUTH</t>
  </si>
  <si>
    <t>CRANBOURNE WEST</t>
  </si>
  <si>
    <t>DEVON MEADOWS</t>
  </si>
  <si>
    <t>FIVE WAYS</t>
  </si>
  <si>
    <t>JUNCTION VILLAGE</t>
  </si>
  <si>
    <t>SKYE</t>
  </si>
  <si>
    <t>CARDINIA</t>
  </si>
  <si>
    <t>CLYDE</t>
  </si>
  <si>
    <t>CLYDE NORTH</t>
  </si>
  <si>
    <t>ALMURTA</t>
  </si>
  <si>
    <t>GLEN ALVIE</t>
  </si>
  <si>
    <t>KERNOT</t>
  </si>
  <si>
    <t>KORRINE</t>
  </si>
  <si>
    <t>BLIND BIGHT</t>
  </si>
  <si>
    <t>TOORADIN</t>
  </si>
  <si>
    <t>WARNEET</t>
  </si>
  <si>
    <t>BAYLES</t>
  </si>
  <si>
    <t>CATANI</t>
  </si>
  <si>
    <t>DALMORE</t>
  </si>
  <si>
    <t>HEATH HILL</t>
  </si>
  <si>
    <t>KOO WEE RUP</t>
  </si>
  <si>
    <t>KOO WEE RUP NORTH</t>
  </si>
  <si>
    <t>YANNATHAN</t>
  </si>
  <si>
    <t>ADAMS ESTATE</t>
  </si>
  <si>
    <t>CALDERMEADE</t>
  </si>
  <si>
    <t>CORONET BAY</t>
  </si>
  <si>
    <t>GRANTVILLE</t>
  </si>
  <si>
    <t>JAM JERRUP</t>
  </si>
  <si>
    <t>LANG LANG</t>
  </si>
  <si>
    <t>LANG LANG EAST</t>
  </si>
  <si>
    <t>MONOMEITH</t>
  </si>
  <si>
    <t>PIONEER BAY</t>
  </si>
  <si>
    <t>QUEENSFERRY</t>
  </si>
  <si>
    <t>TENBY POINT</t>
  </si>
  <si>
    <t>THE GURDIES</t>
  </si>
  <si>
    <t>NYORA</t>
  </si>
  <si>
    <t>POOWONG</t>
  </si>
  <si>
    <t>POOWONG EAST</t>
  </si>
  <si>
    <t>POOWONG NORTH</t>
  </si>
  <si>
    <t>ST HELIER</t>
  </si>
  <si>
    <t>GLEN FORBES</t>
  </si>
  <si>
    <t>BASS</t>
  </si>
  <si>
    <t>BLACKWOOD FOREST</t>
  </si>
  <si>
    <t>DALYSTON</t>
  </si>
  <si>
    <t>RYANSTON</t>
  </si>
  <si>
    <t>WEST CREEK</t>
  </si>
  <si>
    <t>ANDERSON</t>
  </si>
  <si>
    <t>ARCHIES CREEK</t>
  </si>
  <si>
    <t>CAPE PATERSON</t>
  </si>
  <si>
    <t>HARMERS HAVEN</t>
  </si>
  <si>
    <t>HICKSBOROUGH</t>
  </si>
  <si>
    <t>KILCUNDA</t>
  </si>
  <si>
    <t>LANCE CREEK</t>
  </si>
  <si>
    <t>NORTH WONTHAGGI</t>
  </si>
  <si>
    <t>POWLETT RIVER</t>
  </si>
  <si>
    <t>SOUTH DUDLEY</t>
  </si>
  <si>
    <t>WATTLE BANK</t>
  </si>
  <si>
    <t>WONTHAGGI</t>
  </si>
  <si>
    <t>WOOLAMAI</t>
  </si>
  <si>
    <t>INVERLOCH</t>
  </si>
  <si>
    <t>POUND CREEK</t>
  </si>
  <si>
    <t>BRISBANE</t>
  </si>
  <si>
    <t>BRISBANE ADELAIDE STREET</t>
  </si>
  <si>
    <t>BRISBANE CITY DC</t>
  </si>
  <si>
    <t>BRISBANE GPO</t>
  </si>
  <si>
    <t>BRISBANE-CITY</t>
  </si>
  <si>
    <t>PETRIE TERRACE</t>
  </si>
  <si>
    <t>CENTRAL PLAZA</t>
  </si>
  <si>
    <t>RIVERSIDE CENTRE</t>
  </si>
  <si>
    <t>WATERFRONT PLACE</t>
  </si>
  <si>
    <t>BRISBANE ALBERT STREET BC</t>
  </si>
  <si>
    <t>WINTERGARDEN</t>
  </si>
  <si>
    <t>GEORGE STREET</t>
  </si>
  <si>
    <t>NEW FARM</t>
  </si>
  <si>
    <t>BOWEN BRIDGE</t>
  </si>
  <si>
    <t>BOWEN HILLS</t>
  </si>
  <si>
    <t>BRISBANE EXHIBITION</t>
  </si>
  <si>
    <t>FORTITUDE VALLEY</t>
  </si>
  <si>
    <t>FORTITUDE VALLEY BC</t>
  </si>
  <si>
    <t>HERSTON</t>
  </si>
  <si>
    <t>MAYNE</t>
  </si>
  <si>
    <t>BRISBANE AIRPORT</t>
  </si>
  <si>
    <t>DOOMBEN</t>
  </si>
  <si>
    <t>HAMILTON CENTRAL</t>
  </si>
  <si>
    <t>WHINSTANES</t>
  </si>
  <si>
    <t>BULWER ISLAND</t>
  </si>
  <si>
    <t>MEEANDAH</t>
  </si>
  <si>
    <t>MYRTLETOWN</t>
  </si>
  <si>
    <t>PINKENBA</t>
  </si>
  <si>
    <t>EAGLE FARM</t>
  </si>
  <si>
    <t>EAGLE FARM BC</t>
  </si>
  <si>
    <t>ALBION BC</t>
  </si>
  <si>
    <t>ALBION DC</t>
  </si>
  <si>
    <t>CLAYFIELD</t>
  </si>
  <si>
    <t>EAGLE JUNCTION</t>
  </si>
  <si>
    <t>HENDRA</t>
  </si>
  <si>
    <t>NUNDAH</t>
  </si>
  <si>
    <t>TOOMBUL</t>
  </si>
  <si>
    <t>WAVELL HEIGHTS</t>
  </si>
  <si>
    <t>WAVELL HEIGHTS NORTH</t>
  </si>
  <si>
    <t>NORTHGATE</t>
  </si>
  <si>
    <t>NORTHGATE MC</t>
  </si>
  <si>
    <t>BANYO</t>
  </si>
  <si>
    <t>NUDGEE</t>
  </si>
  <si>
    <t>NUDGEE BEACH</t>
  </si>
  <si>
    <t>VIRGINIA BC</t>
  </si>
  <si>
    <t>VIRGINIA DC</t>
  </si>
  <si>
    <t>BRACKEN RIDGE</t>
  </si>
  <si>
    <t>BRIGHTON EVENTIDE</t>
  </si>
  <si>
    <t>BRIGHTON NATHAN STREET</t>
  </si>
  <si>
    <t>DEAGON</t>
  </si>
  <si>
    <t>NASHVILLE</t>
  </si>
  <si>
    <t>SANDGATE DC</t>
  </si>
  <si>
    <t>SHORNCLIFFE</t>
  </si>
  <si>
    <t>FITZGIBBON</t>
  </si>
  <si>
    <t>TAIGUM</t>
  </si>
  <si>
    <t>CLONTARF BEACH</t>
  </si>
  <si>
    <t>CLONTARF DC</t>
  </si>
  <si>
    <t>HUMPYBONG</t>
  </si>
  <si>
    <t>MARGATE</t>
  </si>
  <si>
    <t>MARGATE BEACH</t>
  </si>
  <si>
    <t>SCOTTS POINT</t>
  </si>
  <si>
    <t>WOODY POINT</t>
  </si>
  <si>
    <t>REDCLIFFE</t>
  </si>
  <si>
    <t>REDCLIFFE NORTH</t>
  </si>
  <si>
    <t>KIPPA-RING</t>
  </si>
  <si>
    <t>ROTHWELL</t>
  </si>
  <si>
    <t>BULWER</t>
  </si>
  <si>
    <t>CAPE MORETON</t>
  </si>
  <si>
    <t>COWAN COWAN</t>
  </si>
  <si>
    <t>TANGALOOMA</t>
  </si>
  <si>
    <t>ROYAL BRISBANE HOSPITAL</t>
  </si>
  <si>
    <t>EILDON HILL</t>
  </si>
  <si>
    <t>KALINGA</t>
  </si>
  <si>
    <t>LUTWYCHE</t>
  </si>
  <si>
    <t>WOOLOOWIN</t>
  </si>
  <si>
    <t>GLEN KEDRON</t>
  </si>
  <si>
    <t>GORDON PARK</t>
  </si>
  <si>
    <t>KEDRON</t>
  </si>
  <si>
    <t>CHERMSIDE</t>
  </si>
  <si>
    <t>CHERMSIDE BC</t>
  </si>
  <si>
    <t>CHERMSIDE CENTRE</t>
  </si>
  <si>
    <t>CHERMSIDE SOUTH</t>
  </si>
  <si>
    <t>CHERMSIDE WEST</t>
  </si>
  <si>
    <t>CRAIGSLEA</t>
  </si>
  <si>
    <t>ASPLEY</t>
  </si>
  <si>
    <t>BOONDALL</t>
  </si>
  <si>
    <t>CARSELDINE</t>
  </si>
  <si>
    <t>GEEBUNG</t>
  </si>
  <si>
    <t>ZILLMERE</t>
  </si>
  <si>
    <t>ALBANY CREEK</t>
  </si>
  <si>
    <t>BRIDGEMAN DOWNS</t>
  </si>
  <si>
    <t>CASHS CROSSING</t>
  </si>
  <si>
    <t>EATONS HILL</t>
  </si>
  <si>
    <t>ALDERLEY</t>
  </si>
  <si>
    <t>ENOGGERA</t>
  </si>
  <si>
    <t>GAYTHORNE</t>
  </si>
  <si>
    <t>GRANGE</t>
  </si>
  <si>
    <t>NEWMARKET</t>
  </si>
  <si>
    <t>THE GRANGE</t>
  </si>
  <si>
    <t>WILSTON</t>
  </si>
  <si>
    <t>BROOKSIDE CENTRE</t>
  </si>
  <si>
    <t>EVERTON HILLS</t>
  </si>
  <si>
    <t>EVERTON PARK</t>
  </si>
  <si>
    <t>MCDOWALL</t>
  </si>
  <si>
    <t>MITCHELTON</t>
  </si>
  <si>
    <t>OXFORD PARK</t>
  </si>
  <si>
    <t>SOMERSET HILLS</t>
  </si>
  <si>
    <t>STAFFORD</t>
  </si>
  <si>
    <t>STAFFORD BC</t>
  </si>
  <si>
    <t>STAFFORD CITY</t>
  </si>
  <si>
    <t>STAFFORD DC</t>
  </si>
  <si>
    <t>STAFFORD HEIGHTS</t>
  </si>
  <si>
    <t>ARANA HILLS</t>
  </si>
  <si>
    <t>GROVELY</t>
  </si>
  <si>
    <t>KEPERRA</t>
  </si>
  <si>
    <t>BUNYA</t>
  </si>
  <si>
    <t>FERNY GROVE</t>
  </si>
  <si>
    <t>FERNY HILLS</t>
  </si>
  <si>
    <t>FERNY HILLS DC</t>
  </si>
  <si>
    <t>KEDRON UPPER</t>
  </si>
  <si>
    <t>UPPER KEDRON</t>
  </si>
  <si>
    <t>BALLYMORE</t>
  </si>
  <si>
    <t>ITHACA</t>
  </si>
  <si>
    <t>KELVIN GROVE</t>
  </si>
  <si>
    <t>KELVIN GROVE BC</t>
  </si>
  <si>
    <t>KELVIN GROVE DC</t>
  </si>
  <si>
    <t>NORMANBY</t>
  </si>
  <si>
    <t>ASHGROVE</t>
  </si>
  <si>
    <t>ASHGROVE WEST</t>
  </si>
  <si>
    <t>DORRINGTON</t>
  </si>
  <si>
    <t>ST JOHNS WOOD</t>
  </si>
  <si>
    <t>BAROONA</t>
  </si>
  <si>
    <t>MILTON BC</t>
  </si>
  <si>
    <t>ROSALIE</t>
  </si>
  <si>
    <t>BARDON</t>
  </si>
  <si>
    <t>BARDON WEST</t>
  </si>
  <si>
    <t>JUBILEE</t>
  </si>
  <si>
    <t>RAINWORTH</t>
  </si>
  <si>
    <t>AUCHENFLOWER</t>
  </si>
  <si>
    <t>MOUNT COOT-THA</t>
  </si>
  <si>
    <t>STUARTHOLME</t>
  </si>
  <si>
    <t>TOOWONG</t>
  </si>
  <si>
    <t>TOOWONG BC</t>
  </si>
  <si>
    <t>TOOWONG DC</t>
  </si>
  <si>
    <t>TORWOOD</t>
  </si>
  <si>
    <t>IRONSIDE</t>
  </si>
  <si>
    <t>ST LUCIA</t>
  </si>
  <si>
    <t>ST LUCIA SOUTH</t>
  </si>
  <si>
    <t>CHELMER</t>
  </si>
  <si>
    <t>INDOOROOPILLY</t>
  </si>
  <si>
    <t>INDOOROOPILLY CENTRE</t>
  </si>
  <si>
    <t>LONG POCKET</t>
  </si>
  <si>
    <t>TARINGA</t>
  </si>
  <si>
    <t>CHAPEL HILL</t>
  </si>
  <si>
    <t>FIG TREE POCKET</t>
  </si>
  <si>
    <t>KENMORE</t>
  </si>
  <si>
    <t>KENMORE DC</t>
  </si>
  <si>
    <t>KENMORE EAST</t>
  </si>
  <si>
    <t>KENMORE HILLS</t>
  </si>
  <si>
    <t>PINJARRA HILLS</t>
  </si>
  <si>
    <t>PULLENVALE</t>
  </si>
  <si>
    <t>UPPER BROOKFIELD</t>
  </si>
  <si>
    <t>ANSTEAD</t>
  </si>
  <si>
    <t>BELLBOWRIE</t>
  </si>
  <si>
    <t>MOGGILL</t>
  </si>
  <si>
    <t>PRIORS POCKET</t>
  </si>
  <si>
    <t>UNIVERSITY OF QUEENSLAND</t>
  </si>
  <si>
    <t>SEVENTEEN MILE ROCKS</t>
  </si>
  <si>
    <t>SINNAMON PARK</t>
  </si>
  <si>
    <t>JAMBOREE HEIGHTS</t>
  </si>
  <si>
    <t>JINDALEE</t>
  </si>
  <si>
    <t>MOUNT OMMANEY</t>
  </si>
  <si>
    <t>RIVERHILLS</t>
  </si>
  <si>
    <t>SUMNER</t>
  </si>
  <si>
    <t>SUMNER PARK BC</t>
  </si>
  <si>
    <t>WESTLAKE</t>
  </si>
  <si>
    <t>CORINDA</t>
  </si>
  <si>
    <t>GRACEVILLE</t>
  </si>
  <si>
    <t>GRACEVILLE EAST</t>
  </si>
  <si>
    <t>DARRA</t>
  </si>
  <si>
    <t>WACOL</t>
  </si>
  <si>
    <t>WACOL EAST IMMIGRATION CENTRE</t>
  </si>
  <si>
    <t>DOOLANDELLA</t>
  </si>
  <si>
    <t>INALA</t>
  </si>
  <si>
    <t>INALA EAST</t>
  </si>
  <si>
    <t>INALA HEIGHTS</t>
  </si>
  <si>
    <t>INALA WEST</t>
  </si>
  <si>
    <t>RICHLANDS</t>
  </si>
  <si>
    <t>RICHLANDS BC</t>
  </si>
  <si>
    <t>RICHLANDS DC</t>
  </si>
  <si>
    <t>ELLEN GROVE</t>
  </si>
  <si>
    <t>FOREST LAKE</t>
  </si>
  <si>
    <t>HIGHGATE HILL</t>
  </si>
  <si>
    <t>MATER HILL</t>
  </si>
  <si>
    <t>MATER HOSPITAL</t>
  </si>
  <si>
    <t>SOUTH BANK</t>
  </si>
  <si>
    <t>SOUTH BRISBANE</t>
  </si>
  <si>
    <t>SOUTH BRISBANE BC</t>
  </si>
  <si>
    <t>WEST END</t>
  </si>
  <si>
    <t>BURANDA</t>
  </si>
  <si>
    <t>DUTTON PARK</t>
  </si>
  <si>
    <t>PRINCESS ALEXANDRA HOSPITAL</t>
  </si>
  <si>
    <t>WOOLLOONGABBA</t>
  </si>
  <si>
    <t>ANNERLEY</t>
  </si>
  <si>
    <t>ANNERLEY DC</t>
  </si>
  <si>
    <t>FAIRFIELD GARDENS</t>
  </si>
  <si>
    <t>THOMPSON ESTATE</t>
  </si>
  <si>
    <t>YERONGA</t>
  </si>
  <si>
    <t>YERONGA WEST</t>
  </si>
  <si>
    <t>MOOROOKA</t>
  </si>
  <si>
    <t>MOORVALE</t>
  </si>
  <si>
    <t>YEERONGPILLY</t>
  </si>
  <si>
    <t>BRISBANE MARKET</t>
  </si>
  <si>
    <t>ROCKLEA</t>
  </si>
  <si>
    <t>ROCKLEA DC</t>
  </si>
  <si>
    <t>SALISBURY EAST</t>
  </si>
  <si>
    <t>ARCHERFIELD</t>
  </si>
  <si>
    <t>COOPERS PLAINS</t>
  </si>
  <si>
    <t>ALTANDI</t>
  </si>
  <si>
    <t>SUNNYBANK</t>
  </si>
  <si>
    <t>SUNNYBANK HILLS</t>
  </si>
  <si>
    <t>SUNNYBANK SOUTH</t>
  </si>
  <si>
    <t>ACACIA RIDGE</t>
  </si>
  <si>
    <t>ACACIA RIDGE BC</t>
  </si>
  <si>
    <t>ACACIA RIDGE DC</t>
  </si>
  <si>
    <t>HEATHWOOD</t>
  </si>
  <si>
    <t>LARAPINTA</t>
  </si>
  <si>
    <t>PALLARA</t>
  </si>
  <si>
    <t>WILLAWONG</t>
  </si>
  <si>
    <t>GRIFFITH UNIVERSITY</t>
  </si>
  <si>
    <t>NATHAN</t>
  </si>
  <si>
    <t>KURABY</t>
  </si>
  <si>
    <t>EIGHT MILE PLAINS</t>
  </si>
  <si>
    <t>FRUITGROVE</t>
  </si>
  <si>
    <t>RUNCORN</t>
  </si>
  <si>
    <t>LOGAN CENTRAL</t>
  </si>
  <si>
    <t>LOGAN CITY BC</t>
  </si>
  <si>
    <t>LOGAN CITY DC</t>
  </si>
  <si>
    <t>TRINDER PARK</t>
  </si>
  <si>
    <t>WOODRIDGE</t>
  </si>
  <si>
    <t>WOODRIDGE EAST</t>
  </si>
  <si>
    <t>ALGESTER</t>
  </si>
  <si>
    <t>PARKINSON</t>
  </si>
  <si>
    <t>CALAMVALE</t>
  </si>
  <si>
    <t>DREWVALE</t>
  </si>
  <si>
    <t>STRETTON</t>
  </si>
  <si>
    <t>BERRINBA</t>
  </si>
  <si>
    <t>KARAWATHA</t>
  </si>
  <si>
    <t>BROWNS PLAINS BC</t>
  </si>
  <si>
    <t>BROWNSLEIGH</t>
  </si>
  <si>
    <t>FORESTDALE</t>
  </si>
  <si>
    <t>HERITAGE PARK</t>
  </si>
  <si>
    <t>UNDERWOOD</t>
  </si>
  <si>
    <t>GREENSLOPES</t>
  </si>
  <si>
    <t>LORETO HILL</t>
  </si>
  <si>
    <t>STONES CORNER</t>
  </si>
  <si>
    <t>EKIBIN</t>
  </si>
  <si>
    <t>HOLLAND PARK</t>
  </si>
  <si>
    <t>HOLLAND PARK EAST</t>
  </si>
  <si>
    <t>HOLLAND PARK WEST</t>
  </si>
  <si>
    <t>MOUNT THOMPSON</t>
  </si>
  <si>
    <t>TARRAGINDI</t>
  </si>
  <si>
    <t>WELLERS HILL</t>
  </si>
  <si>
    <t>MANSFIELD BC</t>
  </si>
  <si>
    <t>MANSFIELD DC</t>
  </si>
  <si>
    <t>MOUNT GRAVATT</t>
  </si>
  <si>
    <t>MOUNT GRAVATT EAST</t>
  </si>
  <si>
    <t>UPPER MOUNT GRAVATT</t>
  </si>
  <si>
    <t>UPPER MOUNT GRAVATT BC</t>
  </si>
  <si>
    <t>PRIESTS GULLY</t>
  </si>
  <si>
    <t>ROCHEDALE</t>
  </si>
  <si>
    <t>ROCHEDALE SOUTH</t>
  </si>
  <si>
    <t>BORONIA HEIGHTS</t>
  </si>
  <si>
    <t>GREENBANK</t>
  </si>
  <si>
    <t>NEW BEITH</t>
  </si>
  <si>
    <t>MUNRUBEN</t>
  </si>
  <si>
    <t>PARK RIDGE</t>
  </si>
  <si>
    <t>PARK RIDGE SOUTH</t>
  </si>
  <si>
    <t>CHATSWOOD HILLS</t>
  </si>
  <si>
    <t>PRIESTDALE</t>
  </si>
  <si>
    <t>SLACKS CREEK</t>
  </si>
  <si>
    <t>SPRINGWOOD BC</t>
  </si>
  <si>
    <t>KIMBERLEY PARK</t>
  </si>
  <si>
    <t>LOGAN HYPERDOME BC</t>
  </si>
  <si>
    <t>SHAILER PARK</t>
  </si>
  <si>
    <t>TANAH MERAH</t>
  </si>
  <si>
    <t>LOGANDALE</t>
  </si>
  <si>
    <t>LOGANHOLME</t>
  </si>
  <si>
    <t>LOGANHOLME BC</t>
  </si>
  <si>
    <t>LOGANHOLME DC</t>
  </si>
  <si>
    <t>CARBROOK</t>
  </si>
  <si>
    <t>CORNUBIA</t>
  </si>
  <si>
    <t>LOGANLEA</t>
  </si>
  <si>
    <t>MEADOWBROOK</t>
  </si>
  <si>
    <t>CRESTMEAD</t>
  </si>
  <si>
    <t>CRESTMEAD DC</t>
  </si>
  <si>
    <t>MARSDEN</t>
  </si>
  <si>
    <t>MARSDEN POSTAL DEPOT</t>
  </si>
  <si>
    <t>CHAMBERS FLAT</t>
  </si>
  <si>
    <t>LOGAN RESERVE</t>
  </si>
  <si>
    <t>WATERFORD WEST</t>
  </si>
  <si>
    <t>COORPAROO</t>
  </si>
  <si>
    <t>COORPAROO BC</t>
  </si>
  <si>
    <t>COORPAROO DC</t>
  </si>
  <si>
    <t>CAMP HILL</t>
  </si>
  <si>
    <t>CARINA HEIGHTS</t>
  </si>
  <si>
    <t>CARINA NORTH</t>
  </si>
  <si>
    <t>CARINDALE</t>
  </si>
  <si>
    <t>WHITES HILL</t>
  </si>
  <si>
    <t>BELMONT HEIGHTS</t>
  </si>
  <si>
    <t>GUMDALE</t>
  </si>
  <si>
    <t>RANSOME</t>
  </si>
  <si>
    <t>WAKERLEY</t>
  </si>
  <si>
    <t>CHANDLER</t>
  </si>
  <si>
    <t>BURBANK</t>
  </si>
  <si>
    <t>MACKENZIE</t>
  </si>
  <si>
    <t>CAPALABA</t>
  </si>
  <si>
    <t>CAPALABA BC</t>
  </si>
  <si>
    <t>CAPALABA DC</t>
  </si>
  <si>
    <t>CAPALABA WEST</t>
  </si>
  <si>
    <t>SHELDON</t>
  </si>
  <si>
    <t>THORNESIDE</t>
  </si>
  <si>
    <t>BIRKDALE</t>
  </si>
  <si>
    <t>EROBIN</t>
  </si>
  <si>
    <t>ORMISTON</t>
  </si>
  <si>
    <t>WELLINGTON POINT</t>
  </si>
  <si>
    <t>ALEXANDRA HILLS</t>
  </si>
  <si>
    <t>CLEVELAND</t>
  </si>
  <si>
    <t>CLEVELAND DC</t>
  </si>
  <si>
    <t>PINKLANDS</t>
  </si>
  <si>
    <t>THORNLANDS</t>
  </si>
  <si>
    <t>MOUNT COTTON</t>
  </si>
  <si>
    <t>POINT HALLORAN</t>
  </si>
  <si>
    <t>POINT TALBURPIN</t>
  </si>
  <si>
    <t>REDLAND BAY</t>
  </si>
  <si>
    <t>VICTORIA POINT WEST</t>
  </si>
  <si>
    <t>EAST BRISBANE</t>
  </si>
  <si>
    <t>STANLEY BRIDGE</t>
  </si>
  <si>
    <t>CANNON HILL</t>
  </si>
  <si>
    <t>COLMSLIE</t>
  </si>
  <si>
    <t>MORNINGSIDE</t>
  </si>
  <si>
    <t>NORMAN PARK</t>
  </si>
  <si>
    <t>BULIMBA</t>
  </si>
  <si>
    <t>GALLOWAYS HILL</t>
  </si>
  <si>
    <t>HAWTHORNE</t>
  </si>
  <si>
    <t>MURARRIE</t>
  </si>
  <si>
    <t>TINGALPA</t>
  </si>
  <si>
    <t>TINGALPA BC</t>
  </si>
  <si>
    <t>TINGALPA DC</t>
  </si>
  <si>
    <t>DOBOY</t>
  </si>
  <si>
    <t>HEMMANT</t>
  </si>
  <si>
    <t>LINDUM</t>
  </si>
  <si>
    <t>LYTTON</t>
  </si>
  <si>
    <t>WYNNUM</t>
  </si>
  <si>
    <t>WYNNUM CENTRAL</t>
  </si>
  <si>
    <t>WYNNUM NORTH</t>
  </si>
  <si>
    <t>WYNNUM PLAZA</t>
  </si>
  <si>
    <t>WYNNUM WEST</t>
  </si>
  <si>
    <t>LOTA</t>
  </si>
  <si>
    <t>MANLY WEST</t>
  </si>
  <si>
    <t>AMITY</t>
  </si>
  <si>
    <t>AMITY POINT</t>
  </si>
  <si>
    <t>DUNWICH</t>
  </si>
  <si>
    <t>POINT LOOKOUT</t>
  </si>
  <si>
    <t>COOCHIEMUDLO ISLAND</t>
  </si>
  <si>
    <t>KARRAGARRA ISLAND</t>
  </si>
  <si>
    <t>LAMB ISLAND</t>
  </si>
  <si>
    <t>MACLEAY ISLAND</t>
  </si>
  <si>
    <t>PEEL ISLAND</t>
  </si>
  <si>
    <t>PERULPA ISLAND</t>
  </si>
  <si>
    <t>RUSSELL ISLAND</t>
  </si>
  <si>
    <t>BETHANIA</t>
  </si>
  <si>
    <t>BAHRS SCRUB</t>
  </si>
  <si>
    <t>BEENLEIGH</t>
  </si>
  <si>
    <t>BELIVAH</t>
  </si>
  <si>
    <t>BUCCAN</t>
  </si>
  <si>
    <t>CABBAGE TREE POINT</t>
  </si>
  <si>
    <t>EAGLEBY</t>
  </si>
  <si>
    <t>EDENS LANDING</t>
  </si>
  <si>
    <t>HOLMVIEW</t>
  </si>
  <si>
    <t>LOGAN VILLAGE</t>
  </si>
  <si>
    <t>LUSCOMBE</t>
  </si>
  <si>
    <t>MOUNT WARREN PARK</t>
  </si>
  <si>
    <t>STAPYLTON</t>
  </si>
  <si>
    <t>WINDAROO</t>
  </si>
  <si>
    <t>WOLFFDENE</t>
  </si>
  <si>
    <t>WOONGOOLBA</t>
  </si>
  <si>
    <t>YARRABILBA</t>
  </si>
  <si>
    <t>YATALA</t>
  </si>
  <si>
    <t>YATALA DC</t>
  </si>
  <si>
    <t>YELLOW WOOD</t>
  </si>
  <si>
    <t>JACOBS WELL</t>
  </si>
  <si>
    <t>KINGSHOLME</t>
  </si>
  <si>
    <t>NORWELL</t>
  </si>
  <si>
    <t>ORMEAU</t>
  </si>
  <si>
    <t>ORMEAU HILLS</t>
  </si>
  <si>
    <t>COOMERA</t>
  </si>
  <si>
    <t>PIMPAMA</t>
  </si>
  <si>
    <t>UPPER COOMERA</t>
  </si>
  <si>
    <t>GUANABA</t>
  </si>
  <si>
    <t>MAUDSLAND</t>
  </si>
  <si>
    <t>OXENFORD</t>
  </si>
  <si>
    <t>STUDIO VILLAGE</t>
  </si>
  <si>
    <t>WONGAWALLAN</t>
  </si>
  <si>
    <t>ADVANCETOWN</t>
  </si>
  <si>
    <t>BEECHMONT</t>
  </si>
  <si>
    <t>CARRARA</t>
  </si>
  <si>
    <t>CLAGIRABA</t>
  </si>
  <si>
    <t>GAVEN</t>
  </si>
  <si>
    <t>GILSTON</t>
  </si>
  <si>
    <t>HIGHLAND PARK</t>
  </si>
  <si>
    <t>LATIMER</t>
  </si>
  <si>
    <t>LOWER BEECHMONT</t>
  </si>
  <si>
    <t>MOUNT NATHAN</t>
  </si>
  <si>
    <t>NATURAL BRIDGE</t>
  </si>
  <si>
    <t>NERANG</t>
  </si>
  <si>
    <t>NERANG BC</t>
  </si>
  <si>
    <t>NERANG DC</t>
  </si>
  <si>
    <t>NUMINBAH VALLEY</t>
  </si>
  <si>
    <t>O'REILLY</t>
  </si>
  <si>
    <t>PACIFIC PINES</t>
  </si>
  <si>
    <t>PINDARI HILLS</t>
  </si>
  <si>
    <t>SOUTHERN LAMINGTON</t>
  </si>
  <si>
    <t>BOYKAMBIL</t>
  </si>
  <si>
    <t>HELENSVALE</t>
  </si>
  <si>
    <t>HOPE ISLAND</t>
  </si>
  <si>
    <t>MONTEREY KEYS</t>
  </si>
  <si>
    <t>SANCTUARY COVE</t>
  </si>
  <si>
    <t>SANTA BARBARA</t>
  </si>
  <si>
    <t>AUSTINVILLE</t>
  </si>
  <si>
    <t>BONOGIN</t>
  </si>
  <si>
    <t>MUDGEERABA</t>
  </si>
  <si>
    <t>SPRINGBROOK</t>
  </si>
  <si>
    <t>TALLAI</t>
  </si>
  <si>
    <t>WORONGARY</t>
  </si>
  <si>
    <t>ARUNDEL</t>
  </si>
  <si>
    <t>ARUNDEL BC</t>
  </si>
  <si>
    <t>ARUNDEL DC</t>
  </si>
  <si>
    <t>ASHMORE</t>
  </si>
  <si>
    <t>ASHMORE CITY</t>
  </si>
  <si>
    <t>MOLENDINAR</t>
  </si>
  <si>
    <t>AUSTRALIA FAIR</t>
  </si>
  <si>
    <t>CHIRN PARK</t>
  </si>
  <si>
    <t>KEEBRA PARK</t>
  </si>
  <si>
    <t>LABRADOR</t>
  </si>
  <si>
    <t>SOUTHPORT BC</t>
  </si>
  <si>
    <t>SOUTHPORT PARK</t>
  </si>
  <si>
    <t>SUNDALE</t>
  </si>
  <si>
    <t>ANGLERS PARADISE</t>
  </si>
  <si>
    <t>BIGGERA WATERS</t>
  </si>
  <si>
    <t>COOMBABAH</t>
  </si>
  <si>
    <t>CURRIGEE</t>
  </si>
  <si>
    <t>HOLLYWELL</t>
  </si>
  <si>
    <t>PARADISE POINT</t>
  </si>
  <si>
    <t>PARADISE POINT KEYS</t>
  </si>
  <si>
    <t>RUNAWAY BAY</t>
  </si>
  <si>
    <t>SOUTH STRADBROKE</t>
  </si>
  <si>
    <t>SOVEREIGN ISLANDS</t>
  </si>
  <si>
    <t>BENOWA</t>
  </si>
  <si>
    <t>BUNDALL</t>
  </si>
  <si>
    <t>BUNDALL BC</t>
  </si>
  <si>
    <t>BUNDALL DC</t>
  </si>
  <si>
    <t>CHEVRON ISLAND</t>
  </si>
  <si>
    <t>GOLD COAST MC</t>
  </si>
  <si>
    <t>ISLE OF CAPRI</t>
  </si>
  <si>
    <t>MAIN BEACH</t>
  </si>
  <si>
    <t>PARADISE ISLAND</t>
  </si>
  <si>
    <t>PARADISE WATERS</t>
  </si>
  <si>
    <t>SURFERS PARADISE</t>
  </si>
  <si>
    <t>THE SPIT</t>
  </si>
  <si>
    <t>BROADBEACH</t>
  </si>
  <si>
    <t>BROADBEACH WATERS</t>
  </si>
  <si>
    <t>CYPRESS GARDENS</t>
  </si>
  <si>
    <t>FLORIDA GARDENS</t>
  </si>
  <si>
    <t>MERMAID BEACH</t>
  </si>
  <si>
    <t>MERMAID KEYS</t>
  </si>
  <si>
    <t>MERMAID WATERS</t>
  </si>
  <si>
    <t>MIAMI KEYS</t>
  </si>
  <si>
    <t>MOANA PARK</t>
  </si>
  <si>
    <t>NOBBY BEACH</t>
  </si>
  <si>
    <t>PACIFIC FAIR</t>
  </si>
  <si>
    <t>Q SUPERCENTRE</t>
  </si>
  <si>
    <t>RIALTO</t>
  </si>
  <si>
    <t>RIO VISTA</t>
  </si>
  <si>
    <t>WEST BURLEIGH</t>
  </si>
  <si>
    <t>BURLEIGH BC</t>
  </si>
  <si>
    <t>BURLEIGH DC</t>
  </si>
  <si>
    <t>BURLEIGH HEADS</t>
  </si>
  <si>
    <t>BURLEIGH TOWN</t>
  </si>
  <si>
    <t>BURLEIGH WATERS</t>
  </si>
  <si>
    <t>MIAMI</t>
  </si>
  <si>
    <t>TALLY VALLEY</t>
  </si>
  <si>
    <t>ELANORA</t>
  </si>
  <si>
    <t>CURRUMBIN</t>
  </si>
  <si>
    <t>CURRUMBIN DC</t>
  </si>
  <si>
    <t>CURRUMBIN VALLEY</t>
  </si>
  <si>
    <t>CURRUMBIN WATERS</t>
  </si>
  <si>
    <t>TUGUN</t>
  </si>
  <si>
    <t>TUGUN HEIGHTS</t>
  </si>
  <si>
    <t>BILINGA</t>
  </si>
  <si>
    <t>GREENMOUNT</t>
  </si>
  <si>
    <t>KIRRA</t>
  </si>
  <si>
    <t>RAINBOW BAY</t>
  </si>
  <si>
    <t>CLEAR ISLAND WATERS</t>
  </si>
  <si>
    <t>KERRYDALE</t>
  </si>
  <si>
    <t>MERRIMAC</t>
  </si>
  <si>
    <t>ROBINA</t>
  </si>
  <si>
    <t>ROBINA DC</t>
  </si>
  <si>
    <t>VARSITY LAKES</t>
  </si>
  <si>
    <t>TALLEBUDGERA</t>
  </si>
  <si>
    <t>TALLEBUDGERA VALLEY</t>
  </si>
  <si>
    <t>BOND UNIVERSITY</t>
  </si>
  <si>
    <t>ROBINA TOWN CENTRE</t>
  </si>
  <si>
    <t>TAMBORINE</t>
  </si>
  <si>
    <t>TAMBORINE VILLAGE</t>
  </si>
  <si>
    <t>EAGLE HEIGHTS</t>
  </si>
  <si>
    <t>MOUNT TAMBORINE</t>
  </si>
  <si>
    <t>NORTH TAMBORINE</t>
  </si>
  <si>
    <t>BENOBBLE</t>
  </si>
  <si>
    <t>BIDDADDABA</t>
  </si>
  <si>
    <t>BLOOMFLEET</t>
  </si>
  <si>
    <t>BOYLAND</t>
  </si>
  <si>
    <t>CANUNGRA</t>
  </si>
  <si>
    <t>FERNY GLEN</t>
  </si>
  <si>
    <t>FLYING FOX</t>
  </si>
  <si>
    <t>ILLINBAH</t>
  </si>
  <si>
    <t>LAMINGTON NATIONAL PARK</t>
  </si>
  <si>
    <t>O'REILLYS</t>
  </si>
  <si>
    <t>SARABAH</t>
  </si>
  <si>
    <t>WITHEREN</t>
  </si>
  <si>
    <t>WONGLEPONG</t>
  </si>
  <si>
    <t>JIMBOOMBA</t>
  </si>
  <si>
    <t>NORTH MACLEAN</t>
  </si>
  <si>
    <t>SOUTH MACLEAN</t>
  </si>
  <si>
    <t>STOCKLEIGH</t>
  </si>
  <si>
    <t>ALLENVIEW</t>
  </si>
  <si>
    <t>BEAUDESERT</t>
  </si>
  <si>
    <t>BIRNAM</t>
  </si>
  <si>
    <t>BROMELTON</t>
  </si>
  <si>
    <t>CAINBABLE</t>
  </si>
  <si>
    <t>CEDAR GROVE</t>
  </si>
  <si>
    <t>CEDAR VALE</t>
  </si>
  <si>
    <t>CHINGHEE CREEK</t>
  </si>
  <si>
    <t>CHRISTMAS CREEK</t>
  </si>
  <si>
    <t>CRYNA</t>
  </si>
  <si>
    <t>GLENEAGLE</t>
  </si>
  <si>
    <t>HILLVIEW</t>
  </si>
  <si>
    <t>ILBOGAN</t>
  </si>
  <si>
    <t>INNISPLAIN</t>
  </si>
  <si>
    <t>JOSEPHVILLE</t>
  </si>
  <si>
    <t>KAGARU</t>
  </si>
  <si>
    <t>KERRY</t>
  </si>
  <si>
    <t>KNAPP CREEK</t>
  </si>
  <si>
    <t>KOORALBYN</t>
  </si>
  <si>
    <t>LAMINGTON</t>
  </si>
  <si>
    <t>LARAVALE</t>
  </si>
  <si>
    <t>MUNDOOLUN</t>
  </si>
  <si>
    <t>NINDOOINBAH</t>
  </si>
  <si>
    <t>OAKY CREEK</t>
  </si>
  <si>
    <t>TABOOBA</t>
  </si>
  <si>
    <t>TABRAGALBA</t>
  </si>
  <si>
    <t>TAMROOKUM</t>
  </si>
  <si>
    <t>TAMROOKUM CREEK</t>
  </si>
  <si>
    <t>UNDULLAH</t>
  </si>
  <si>
    <t>VERESDALE</t>
  </si>
  <si>
    <t>VERESDALE SCRUB</t>
  </si>
  <si>
    <t>BARNEY VIEW</t>
  </si>
  <si>
    <t>MOUNT BARNEY</t>
  </si>
  <si>
    <t>MOUNT LINDESAY</t>
  </si>
  <si>
    <t>PALEN CREEK</t>
  </si>
  <si>
    <t>RATHDOWNEY</t>
  </si>
  <si>
    <t>AUGUSTINE HEIGHTS</t>
  </si>
  <si>
    <t>BELLBIRD PARK</t>
  </si>
  <si>
    <t>BROOKWATER</t>
  </si>
  <si>
    <t>CAROLE PARK</t>
  </si>
  <si>
    <t>GAILES</t>
  </si>
  <si>
    <t>GOODNA</t>
  </si>
  <si>
    <t>GOODNA DC</t>
  </si>
  <si>
    <t>GOODNA EAST</t>
  </si>
  <si>
    <t>OPOSSUM CREEK</t>
  </si>
  <si>
    <t>SPRINGFIELD LAKES</t>
  </si>
  <si>
    <t>COLLINGWOOD PARK</t>
  </si>
  <si>
    <t>GREENWOOD VILLAGE</t>
  </si>
  <si>
    <t>REDBANK PLAINS</t>
  </si>
  <si>
    <t>DINMORE</t>
  </si>
  <si>
    <t>NEW CHUM</t>
  </si>
  <si>
    <t>BLACKSTONE</t>
  </si>
  <si>
    <t>BOOVAL</t>
  </si>
  <si>
    <t>BOOVAL BC</t>
  </si>
  <si>
    <t>BOOVAL DC</t>
  </si>
  <si>
    <t>BOOVAL FAIR</t>
  </si>
  <si>
    <t>BUNDAMBA</t>
  </si>
  <si>
    <t>EBBW VALE</t>
  </si>
  <si>
    <t>NORTH BOOVAL</t>
  </si>
  <si>
    <t>SILKSTONE</t>
  </si>
  <si>
    <t>BASIN POCKET</t>
  </si>
  <si>
    <t>BRASSALL</t>
  </si>
  <si>
    <t>BRASSALL HEIGHTS</t>
  </si>
  <si>
    <t>BREMER</t>
  </si>
  <si>
    <t>COALFALLS</t>
  </si>
  <si>
    <t>EAST IPSWICH</t>
  </si>
  <si>
    <t>EASTERN HEIGHTS</t>
  </si>
  <si>
    <t>FLINDERS VIEW</t>
  </si>
  <si>
    <t>IPSWICH</t>
  </si>
  <si>
    <t>LIMESTONE RIDGES</t>
  </si>
  <si>
    <t>MOORES POCKET</t>
  </si>
  <si>
    <t>NORTH IPSWICH</t>
  </si>
  <si>
    <t>NORTH TIVOLI</t>
  </si>
  <si>
    <t>RACEVIEW</t>
  </si>
  <si>
    <t>RAYMONDS HILL</t>
  </si>
  <si>
    <t>SADLIERS CROSSING</t>
  </si>
  <si>
    <t>TIVOLI</t>
  </si>
  <si>
    <t>WEST IPSWICH</t>
  </si>
  <si>
    <t>WULKURAKA</t>
  </si>
  <si>
    <t>YAMANTO</t>
  </si>
  <si>
    <t>AMBERLEY</t>
  </si>
  <si>
    <t>AVOCA VALE</t>
  </si>
  <si>
    <t>BANKS CREEK</t>
  </si>
  <si>
    <t>BARELLAN POINT</t>
  </si>
  <si>
    <t>BELLHAVEN</t>
  </si>
  <si>
    <t>BENARKIN</t>
  </si>
  <si>
    <t>BENARKIN NORTH</t>
  </si>
  <si>
    <t>BLACKBUTT NORTH</t>
  </si>
  <si>
    <t>BLACKBUTT SOUTH</t>
  </si>
  <si>
    <t>BLACKSOIL</t>
  </si>
  <si>
    <t>BORALLON</t>
  </si>
  <si>
    <t>CHERRY CREEK</t>
  </si>
  <si>
    <t>CHUWAR</t>
  </si>
  <si>
    <t>DEEBING HEIGHTS</t>
  </si>
  <si>
    <t>ENGLAND CREEK</t>
  </si>
  <si>
    <t>FAIRNEY VIEW</t>
  </si>
  <si>
    <t>FOREST GLADE</t>
  </si>
  <si>
    <t>GLAMORGAN VALE</t>
  </si>
  <si>
    <t>GOOGA CREEK</t>
  </si>
  <si>
    <t>GOOLMAN</t>
  </si>
  <si>
    <t>HAIGSLEA</t>
  </si>
  <si>
    <t>HARLIN</t>
  </si>
  <si>
    <t>HOLTS HILL</t>
  </si>
  <si>
    <t>KARALEE</t>
  </si>
  <si>
    <t>KARANA DOWNS</t>
  </si>
  <si>
    <t>KARRABIN</t>
  </si>
  <si>
    <t>KHOLO</t>
  </si>
  <si>
    <t>LAKE MANCHESTER</t>
  </si>
  <si>
    <t>LARK HILL</t>
  </si>
  <si>
    <t>LINVILLE</t>
  </si>
  <si>
    <t>LOAMSIDE</t>
  </si>
  <si>
    <t>MONSILDALE</t>
  </si>
  <si>
    <t>MOORE</t>
  </si>
  <si>
    <t>MOUNT BINGA</t>
  </si>
  <si>
    <t>MOUNT CROSBY</t>
  </si>
  <si>
    <t>MOUNT MARROW</t>
  </si>
  <si>
    <t>MOUNT STANLEY</t>
  </si>
  <si>
    <t>MUIRLEA</t>
  </si>
  <si>
    <t>NUKKU</t>
  </si>
  <si>
    <t>PEAK CROSSING</t>
  </si>
  <si>
    <t>PINE MOUNTAIN</t>
  </si>
  <si>
    <t>PURGA</t>
  </si>
  <si>
    <t>RIPLEY</t>
  </si>
  <si>
    <t>SOUTH RIPLEY</t>
  </si>
  <si>
    <t>SPLIT YARD CREEK</t>
  </si>
  <si>
    <t>SWANBANK</t>
  </si>
  <si>
    <t>TAROMEO</t>
  </si>
  <si>
    <t>TEELAH</t>
  </si>
  <si>
    <t>THAGOONA</t>
  </si>
  <si>
    <t>VERNOR</t>
  </si>
  <si>
    <t>WALLOON</t>
  </si>
  <si>
    <t>WANORA</t>
  </si>
  <si>
    <t>WEST AMBERLEY</t>
  </si>
  <si>
    <t>WILLOWBANK</t>
  </si>
  <si>
    <t>WIVENHOE</t>
  </si>
  <si>
    <t>WIVENHOE POCKET</t>
  </si>
  <si>
    <t>COLEYVILLE</t>
  </si>
  <si>
    <t>HARRISVILLE</t>
  </si>
  <si>
    <t>MUTDAPILLY</t>
  </si>
  <si>
    <t>RADFORD</t>
  </si>
  <si>
    <t>WARRILL VIEW</t>
  </si>
  <si>
    <t>WILSONS PLAINS</t>
  </si>
  <si>
    <t>ARATULA</t>
  </si>
  <si>
    <t>CHARLWOOD</t>
  </si>
  <si>
    <t>CLUMBER</t>
  </si>
  <si>
    <t>FASSIFERN VALLEY</t>
  </si>
  <si>
    <t>FRAZERVIEW</t>
  </si>
  <si>
    <t>KALBAR</t>
  </si>
  <si>
    <t>KENTS LAGOON</t>
  </si>
  <si>
    <t>KULGUN</t>
  </si>
  <si>
    <t>MILORA</t>
  </si>
  <si>
    <t>MOOGERAH</t>
  </si>
  <si>
    <t>MORWINCHA</t>
  </si>
  <si>
    <t>MOUNT EDWARDS</t>
  </si>
  <si>
    <t>MUNBILLA</t>
  </si>
  <si>
    <t>OBUM OBUM</t>
  </si>
  <si>
    <t>TAROME</t>
  </si>
  <si>
    <t>TEVIOTVILLE</t>
  </si>
  <si>
    <t>ANTHONY</t>
  </si>
  <si>
    <t>BLANTYRE</t>
  </si>
  <si>
    <t>BOONAH</t>
  </si>
  <si>
    <t>BUNBURRA</t>
  </si>
  <si>
    <t>BUNJURGEN</t>
  </si>
  <si>
    <t>BURNETT CREEK</t>
  </si>
  <si>
    <t>CANNON CREEK</t>
  </si>
  <si>
    <t>CARNEYS CREEK</t>
  </si>
  <si>
    <t>COOCHIN</t>
  </si>
  <si>
    <t>COULSON</t>
  </si>
  <si>
    <t>CROFTBY</t>
  </si>
  <si>
    <t>DUGANDAN</t>
  </si>
  <si>
    <t>FRENCHES CREEK</t>
  </si>
  <si>
    <t>HOYA</t>
  </si>
  <si>
    <t>KENTS POCKET</t>
  </si>
  <si>
    <t>LAKE MOOGERAH</t>
  </si>
  <si>
    <t>MAROON</t>
  </si>
  <si>
    <t>MAROON DAM</t>
  </si>
  <si>
    <t>MILBONG</t>
  </si>
  <si>
    <t>MILFORD</t>
  </si>
  <si>
    <t>MOUNT ALFORD</t>
  </si>
  <si>
    <t>MOUNT FRENCH</t>
  </si>
  <si>
    <t>ROADVALE</t>
  </si>
  <si>
    <t>TEMPLIN</t>
  </si>
  <si>
    <t>WALLACES CREEK</t>
  </si>
  <si>
    <t>WOOLOOMAN</t>
  </si>
  <si>
    <t>WYARALONG</t>
  </si>
  <si>
    <t>ATKINSONS DAM</t>
  </si>
  <si>
    <t>BRIGHTVIEW</t>
  </si>
  <si>
    <t>BUARABA</t>
  </si>
  <si>
    <t>BUARABA SOUTH</t>
  </si>
  <si>
    <t>CHURCHABLE</t>
  </si>
  <si>
    <t>COOLANA</t>
  </si>
  <si>
    <t>COOMINYA</t>
  </si>
  <si>
    <t>LOCKYER WATERS</t>
  </si>
  <si>
    <t>LOWOOD</t>
  </si>
  <si>
    <t>MINDEN</t>
  </si>
  <si>
    <t>MOUNT TARAMPA</t>
  </si>
  <si>
    <t>PATRICK ESTATE</t>
  </si>
  <si>
    <t>PRENZLAU</t>
  </si>
  <si>
    <t>RIFLE RANGE</t>
  </si>
  <si>
    <t>TARAMPA</t>
  </si>
  <si>
    <t>WIVENHOE HILL</t>
  </si>
  <si>
    <t>BRYDEN</t>
  </si>
  <si>
    <t>CABOONBAH</t>
  </si>
  <si>
    <t>COAL CREEK</t>
  </si>
  <si>
    <t>CROSSDALE</t>
  </si>
  <si>
    <t>ESK</t>
  </si>
  <si>
    <t>GLEN ESK</t>
  </si>
  <si>
    <t>MOOMBRA</t>
  </si>
  <si>
    <t>MOUNT BYRON</t>
  </si>
  <si>
    <t>MOUNT HALLEN</t>
  </si>
  <si>
    <t>MURRUMBA</t>
  </si>
  <si>
    <t>REDBANK CREEK</t>
  </si>
  <si>
    <t>SOMERSET DAM</t>
  </si>
  <si>
    <t>BIARRA</t>
  </si>
  <si>
    <t>BRAEMORE</t>
  </si>
  <si>
    <t>COOEEIMBARDI</t>
  </si>
  <si>
    <t>CRESSBROOK</t>
  </si>
  <si>
    <t>GREGORS CREEK</t>
  </si>
  <si>
    <t>IVORY CREEK</t>
  </si>
  <si>
    <t>LOWER CRESSBROOK</t>
  </si>
  <si>
    <t>MOUNT BEPPO</t>
  </si>
  <si>
    <t>OTTABA</t>
  </si>
  <si>
    <t>SCRUB CREEK</t>
  </si>
  <si>
    <t>TOOGOOLAWAH</t>
  </si>
  <si>
    <t>YIMBUN</t>
  </si>
  <si>
    <t>ASHWELL</t>
  </si>
  <si>
    <t>CALVERT</t>
  </si>
  <si>
    <t>GRANDCHESTER</t>
  </si>
  <si>
    <t>JEEBROPILLY</t>
  </si>
  <si>
    <t>LANEFIELD</t>
  </si>
  <si>
    <t>LOWER MOUNT WALKER</t>
  </si>
  <si>
    <t>MERRYVALE</t>
  </si>
  <si>
    <t>MOORANG</t>
  </si>
  <si>
    <t>MOUNT FORBES</t>
  </si>
  <si>
    <t>MOUNT MORT</t>
  </si>
  <si>
    <t>MOUNT WALKER</t>
  </si>
  <si>
    <t>MOUNT WALKER WEST</t>
  </si>
  <si>
    <t>ROSEVALE</t>
  </si>
  <si>
    <t>TALLEGALLA</t>
  </si>
  <si>
    <t>THE BLUFF</t>
  </si>
  <si>
    <t>BLENHEIM</t>
  </si>
  <si>
    <t>HATTON VALE</t>
  </si>
  <si>
    <t>KENSINGTON GROVE</t>
  </si>
  <si>
    <t>KENTVILLE</t>
  </si>
  <si>
    <t>LAIDLEY</t>
  </si>
  <si>
    <t>LAIDLEY CREEK WEST</t>
  </si>
  <si>
    <t>LAIDLEY HEIGHTS</t>
  </si>
  <si>
    <t>LAIDLEY NORTH</t>
  </si>
  <si>
    <t>LAIDLEY SOUTH</t>
  </si>
  <si>
    <t>MOUNT BERRYMAN</t>
  </si>
  <si>
    <t>MULGOWIE</t>
  </si>
  <si>
    <t>PLAINLAND</t>
  </si>
  <si>
    <t>REGENCY DOWNS</t>
  </si>
  <si>
    <t>SUMMERHOLM</t>
  </si>
  <si>
    <t>TOWNSON</t>
  </si>
  <si>
    <t>CROWLEY VALE</t>
  </si>
  <si>
    <t>GLEN CAIRN</t>
  </si>
  <si>
    <t>GLENORE GROVE</t>
  </si>
  <si>
    <t>LOCKROSE</t>
  </si>
  <si>
    <t>LYNFORD</t>
  </si>
  <si>
    <t>ADARE</t>
  </si>
  <si>
    <t>BLACK DUCK CREEK</t>
  </si>
  <si>
    <t>CAFFEY</t>
  </si>
  <si>
    <t>COLLEGE VIEW</t>
  </si>
  <si>
    <t>EAST HALDON</t>
  </si>
  <si>
    <t>FORDSDALE</t>
  </si>
  <si>
    <t>GATTON</t>
  </si>
  <si>
    <t>INGOLDSBY</t>
  </si>
  <si>
    <t>JUNCTION VIEW</t>
  </si>
  <si>
    <t>LAKE CLARENDON</t>
  </si>
  <si>
    <t>LAWES</t>
  </si>
  <si>
    <t>LEFTHAND BRANCH</t>
  </si>
  <si>
    <t>LOWER TENTHILL</t>
  </si>
  <si>
    <t>MORTON VALE</t>
  </si>
  <si>
    <t>MOUNT SYLVIA</t>
  </si>
  <si>
    <t>PLACID HILLS</t>
  </si>
  <si>
    <t>ROCKSIDE</t>
  </si>
  <si>
    <t>ROPELEY</t>
  </si>
  <si>
    <t>UPPER TENTHILL</t>
  </si>
  <si>
    <t>VINEGAR HILL</t>
  </si>
  <si>
    <t>CARPENDALE</t>
  </si>
  <si>
    <t>EGYPT</t>
  </si>
  <si>
    <t>FLAGSTONE CREEK</t>
  </si>
  <si>
    <t>HELIDON</t>
  </si>
  <si>
    <t>HELIDON SPA</t>
  </si>
  <si>
    <t>LOCKYER</t>
  </si>
  <si>
    <t>ROCKMOUNT</t>
  </si>
  <si>
    <t>SEVENTEEN MILE</t>
  </si>
  <si>
    <t>SILVER PINCH</t>
  </si>
  <si>
    <t>SILVER RIDGE</t>
  </si>
  <si>
    <t>STOCKYARD</t>
  </si>
  <si>
    <t>UPPER FLAGSTONE</t>
  </si>
  <si>
    <t>GATTON COLLEGE</t>
  </si>
  <si>
    <t>MARBURG</t>
  </si>
  <si>
    <t>GRANTHAM</t>
  </si>
  <si>
    <t>MA MA CREEK</t>
  </si>
  <si>
    <t>MOUNT WHITESTONE</t>
  </si>
  <si>
    <t>VERADILLA</t>
  </si>
  <si>
    <t>WINWILL</t>
  </si>
  <si>
    <t>ATHOL</t>
  </si>
  <si>
    <t>BLUE MOUNTAIN HEIGHTS</t>
  </si>
  <si>
    <t>CENTENARY HEIGHTS</t>
  </si>
  <si>
    <t>CLIFFORD GARDENS</t>
  </si>
  <si>
    <t>COTSWOLD HILLS</t>
  </si>
  <si>
    <t>CRANLEY</t>
  </si>
  <si>
    <t>DARLING HEIGHTS</t>
  </si>
  <si>
    <t>DRAYTON</t>
  </si>
  <si>
    <t>DRAYTON NORTH</t>
  </si>
  <si>
    <t>EAST TOOWOOMBA</t>
  </si>
  <si>
    <t>EASTLAKE</t>
  </si>
  <si>
    <t>FINNIE</t>
  </si>
  <si>
    <t>GLENVALE</t>
  </si>
  <si>
    <t>GLENVALE PARK</t>
  </si>
  <si>
    <t>GOWRIE MOUNTAIN</t>
  </si>
  <si>
    <t>HARLAXTON</t>
  </si>
  <si>
    <t>HARRISTOWN</t>
  </si>
  <si>
    <t>KEARNEYS SPRING</t>
  </si>
  <si>
    <t>MACDONALDTOWN</t>
  </si>
  <si>
    <t>MIDDLE RIDGE</t>
  </si>
  <si>
    <t>MOUNT KYNOCH</t>
  </si>
  <si>
    <t>MOUNT LOFTY</t>
  </si>
  <si>
    <t>MOUNT RASCAL</t>
  </si>
  <si>
    <t>NORTH TOOWOOMBA</t>
  </si>
  <si>
    <t>NORTHLANDS</t>
  </si>
  <si>
    <t>PRINCE HENRY HEIGHTS</t>
  </si>
  <si>
    <t>RANGEVILLE</t>
  </si>
  <si>
    <t>REDWOOD</t>
  </si>
  <si>
    <t>ROCKVILLE</t>
  </si>
  <si>
    <t>SOUTH TOOWOOMBA</t>
  </si>
  <si>
    <t>SOUTHTOWN</t>
  </si>
  <si>
    <t>TOOWOOMBA</t>
  </si>
  <si>
    <t>TOOWOOMBA BC</t>
  </si>
  <si>
    <t>TOOWOOMBA CITY</t>
  </si>
  <si>
    <t>TOOWOOMBA DC</t>
  </si>
  <si>
    <t>TOOWOOMBA EAST</t>
  </si>
  <si>
    <t>TOOWOOMBA SOUTH</t>
  </si>
  <si>
    <t>TOOWOOMBA VILLAGE FAIR</t>
  </si>
  <si>
    <t>TOOWOOMBA WEST</t>
  </si>
  <si>
    <t>TOP CAMP</t>
  </si>
  <si>
    <t>WELLCAMP</t>
  </si>
  <si>
    <t>WILSONTON</t>
  </si>
  <si>
    <t>WYALLA PLAZA</t>
  </si>
  <si>
    <t>AMIENS</t>
  </si>
  <si>
    <t>BALLARD</t>
  </si>
  <si>
    <t>BAPAUME</t>
  </si>
  <si>
    <t>BLANCHVIEW</t>
  </si>
  <si>
    <t>BRANCHVIEW</t>
  </si>
  <si>
    <t>CABARLAH</t>
  </si>
  <si>
    <t>CEMENT MILLS</t>
  </si>
  <si>
    <t>COALBANK</t>
  </si>
  <si>
    <t>CONDAMINE PLAINS</t>
  </si>
  <si>
    <t>CUTELLA</t>
  </si>
  <si>
    <t>DERRYMORE</t>
  </si>
  <si>
    <t>DJUAN</t>
  </si>
  <si>
    <t>DOCTOR CREEK</t>
  </si>
  <si>
    <t>EVERGREEN</t>
  </si>
  <si>
    <t>FIFTEEN MILE</t>
  </si>
  <si>
    <t>GEHAM</t>
  </si>
  <si>
    <t>GORE</t>
  </si>
  <si>
    <t>GOWRIE JUNCTION</t>
  </si>
  <si>
    <t>GOWRIE LITTLE PLAIN</t>
  </si>
  <si>
    <t>GRAPE TREE</t>
  </si>
  <si>
    <t>GROOMSVILLE</t>
  </si>
  <si>
    <t>HIGHGROVE</t>
  </si>
  <si>
    <t>HODGSON VALE</t>
  </si>
  <si>
    <t>IREDALE</t>
  </si>
  <si>
    <t>KARARA</t>
  </si>
  <si>
    <t>KLEINTON</t>
  </si>
  <si>
    <t>KULPI</t>
  </si>
  <si>
    <t>KURROWAH</t>
  </si>
  <si>
    <t>LYRA</t>
  </si>
  <si>
    <t>MACLAGAN</t>
  </si>
  <si>
    <t>MALLING</t>
  </si>
  <si>
    <t>MERINGANDAN</t>
  </si>
  <si>
    <t>MERINGANDAN WEST</t>
  </si>
  <si>
    <t>MERRITTS CREEK</t>
  </si>
  <si>
    <t>MOUNT LUKE</t>
  </si>
  <si>
    <t>MUNIGANEEN</t>
  </si>
  <si>
    <t>NARKO</t>
  </si>
  <si>
    <t>NORTH MACLAGAN</t>
  </si>
  <si>
    <t>NUTGROVE</t>
  </si>
  <si>
    <t>OMAN AMA</t>
  </si>
  <si>
    <t>PALM TREE</t>
  </si>
  <si>
    <t>PAMPAS</t>
  </si>
  <si>
    <t>PECHEY</t>
  </si>
  <si>
    <t>PERANGA</t>
  </si>
  <si>
    <t>PERSEVERANCE</t>
  </si>
  <si>
    <t>POSTMANS RIDGE</t>
  </si>
  <si>
    <t>POZIERES</t>
  </si>
  <si>
    <t>RAMSAY</t>
  </si>
  <si>
    <t>RANGEMORE</t>
  </si>
  <si>
    <t>RAVENSBOURNE</t>
  </si>
  <si>
    <t>SEVERNLEA</t>
  </si>
  <si>
    <t>SPRING BLUFF</t>
  </si>
  <si>
    <t>ST AUBYN</t>
  </si>
  <si>
    <t>THORNVILLE</t>
  </si>
  <si>
    <t>TOOWOOMBA MC</t>
  </si>
  <si>
    <t>TUMMAVILLE</t>
  </si>
  <si>
    <t>UMBIRAM</t>
  </si>
  <si>
    <t>UPPER LOCKYER</t>
  </si>
  <si>
    <t>WHICHELLO</t>
  </si>
  <si>
    <t>WHITE MOUNTAIN</t>
  </si>
  <si>
    <t>WITHCOTT</t>
  </si>
  <si>
    <t>WOOLMER</t>
  </si>
  <si>
    <t>WUTUL</t>
  </si>
  <si>
    <t>WYREEMA</t>
  </si>
  <si>
    <t>YALANGUR</t>
  </si>
  <si>
    <t>YANDILLA</t>
  </si>
  <si>
    <t>BERGEN</t>
  </si>
  <si>
    <t>EAST COOYAR</t>
  </si>
  <si>
    <t>HADEN</t>
  </si>
  <si>
    <t>GOOMBUNGEE</t>
  </si>
  <si>
    <t>KILBIRNIE</t>
  </si>
  <si>
    <t>ANDURAMBA</t>
  </si>
  <si>
    <t>GENAVEN</t>
  </si>
  <si>
    <t>JONES GULLY</t>
  </si>
  <si>
    <t>MOUNTAIN CAMP</t>
  </si>
  <si>
    <t>NUKINENDA</t>
  </si>
  <si>
    <t>PIERCE CREEK</t>
  </si>
  <si>
    <t>PLAINBY</t>
  </si>
  <si>
    <t>SYLVIA VALE</t>
  </si>
  <si>
    <t>UPPER PINELANDS</t>
  </si>
  <si>
    <t>BONGEEN</t>
  </si>
  <si>
    <t>BROXBURN</t>
  </si>
  <si>
    <t>EVANSLEA</t>
  </si>
  <si>
    <t>IRONGATE</t>
  </si>
  <si>
    <t>KINCORA</t>
  </si>
  <si>
    <t>LINTHORPE</t>
  </si>
  <si>
    <t>MOTLEY</t>
  </si>
  <si>
    <t>MOUNT TYSON</t>
  </si>
  <si>
    <t>NORTH BRANCH</t>
  </si>
  <si>
    <t>NORWIN</t>
  </si>
  <si>
    <t>PITTSWORTH</t>
  </si>
  <si>
    <t>PURRAWUNDA</t>
  </si>
  <si>
    <t>ROSSVALE</t>
  </si>
  <si>
    <t>SCRUBBY MOUNTAIN</t>
  </si>
  <si>
    <t>YARRANLEA</t>
  </si>
  <si>
    <t>BRINGALILY</t>
  </si>
  <si>
    <t>BULLI CREEK</t>
  </si>
  <si>
    <t>CANNING CREEK</t>
  </si>
  <si>
    <t>CAPTAINS MOUNTAIN</t>
  </si>
  <si>
    <t>CONDAMINE FARMS</t>
  </si>
  <si>
    <t>DOMVILLE</t>
  </si>
  <si>
    <t>FOREST RIDGE</t>
  </si>
  <si>
    <t>GRAYS GATE</t>
  </si>
  <si>
    <t>KOOROONGARRA</t>
  </si>
  <si>
    <t>LAVELLE</t>
  </si>
  <si>
    <t>LEMONTREE</t>
  </si>
  <si>
    <t>MILLMERRAN</t>
  </si>
  <si>
    <t>MILLMERRAN DOWNS</t>
  </si>
  <si>
    <t>MILLMERRAN WOODS</t>
  </si>
  <si>
    <t>MOUNT EMLYN</t>
  </si>
  <si>
    <t>PUNCHS CREEK</t>
  </si>
  <si>
    <t>TURALLIN</t>
  </si>
  <si>
    <t>WATTLE RIDGE</t>
  </si>
  <si>
    <t>WESTERN CREEK</t>
  </si>
  <si>
    <t>WOONDUL</t>
  </si>
  <si>
    <t>CAMBOOYA</t>
  </si>
  <si>
    <t>FELTON</t>
  </si>
  <si>
    <t>FELTON EAST</t>
  </si>
  <si>
    <t>FELTON SOUTH</t>
  </si>
  <si>
    <t>VALE VIEW</t>
  </si>
  <si>
    <t>BUDGEE</t>
  </si>
  <si>
    <t>GREENMOUNT EAST</t>
  </si>
  <si>
    <t>HIRSTGLEN</t>
  </si>
  <si>
    <t>WEST HALDON</t>
  </si>
  <si>
    <t>NOBBY</t>
  </si>
  <si>
    <t>BACK PLAINS</t>
  </si>
  <si>
    <t>HEADINGTON HILL</t>
  </si>
  <si>
    <t>MANAPOURI</t>
  </si>
  <si>
    <t>MISSEN FLAT</t>
  </si>
  <si>
    <t>MOUNT MOLAR</t>
  </si>
  <si>
    <t>NEVILTON</t>
  </si>
  <si>
    <t>PILTON</t>
  </si>
  <si>
    <t>RYEFORD</t>
  </si>
  <si>
    <t>SANDY CAMP</t>
  </si>
  <si>
    <t>UPPER PILTON</t>
  </si>
  <si>
    <t>VICTORIA HILL</t>
  </si>
  <si>
    <t>ALLORA</t>
  </si>
  <si>
    <t>DEUCHAR</t>
  </si>
  <si>
    <t>GOOMBURRA</t>
  </si>
  <si>
    <t>MOUNT MARSHALL</t>
  </si>
  <si>
    <t>SOUTHBROOK</t>
  </si>
  <si>
    <t>BROOKSTEAD</t>
  </si>
  <si>
    <t>LEYBURN</t>
  </si>
  <si>
    <t>CLINTONVALE</t>
  </si>
  <si>
    <t>CUNNINGHAM</t>
  </si>
  <si>
    <t>ELBOW VALLEY</t>
  </si>
  <si>
    <t>FREESTONE</t>
  </si>
  <si>
    <t>GLENNIE HEIGHTS</t>
  </si>
  <si>
    <t>JUNABEE</t>
  </si>
  <si>
    <t>MURRAYS BRIDGE</t>
  </si>
  <si>
    <t>PRATTEN</t>
  </si>
  <si>
    <t>ROSENTHAL</t>
  </si>
  <si>
    <t>WARWICK</t>
  </si>
  <si>
    <t>WARWICK DC</t>
  </si>
  <si>
    <t>EMU VALE</t>
  </si>
  <si>
    <t>SWANFELS</t>
  </si>
  <si>
    <t>YANGAN</t>
  </si>
  <si>
    <t>TANNYMOREL</t>
  </si>
  <si>
    <t>DALVEEN</t>
  </si>
  <si>
    <t>COTTONVALE</t>
  </si>
  <si>
    <t>THULIMBAH</t>
  </si>
  <si>
    <t>THE SUMMIT</t>
  </si>
  <si>
    <t>APPLETHORPE</t>
  </si>
  <si>
    <t>EUKEY</t>
  </si>
  <si>
    <t>STANTHORPE</t>
  </si>
  <si>
    <t>GLEN APLIN</t>
  </si>
  <si>
    <t>BALLANDEAN</t>
  </si>
  <si>
    <t>WYBERBA</t>
  </si>
  <si>
    <t>WALLANGARRA</t>
  </si>
  <si>
    <t>LIMEVALE</t>
  </si>
  <si>
    <t>BEEBO</t>
  </si>
  <si>
    <t>GLENARBON</t>
  </si>
  <si>
    <t>MAIDENHEAD</t>
  </si>
  <si>
    <t>RIVERTON</t>
  </si>
  <si>
    <t>SILVER SPUR</t>
  </si>
  <si>
    <t>SMITHLEA</t>
  </si>
  <si>
    <t>TEXAS</t>
  </si>
  <si>
    <t>WATSONS CROSSING</t>
  </si>
  <si>
    <t>BRUSH CREEK</t>
  </si>
  <si>
    <t>BYBERA</t>
  </si>
  <si>
    <t>COOLMUNDA</t>
  </si>
  <si>
    <t>GREENUP</t>
  </si>
  <si>
    <t>TERRICA</t>
  </si>
  <si>
    <t>WHETSTONE</t>
  </si>
  <si>
    <t>KURUMBUL</t>
  </si>
  <si>
    <t>YELARBON</t>
  </si>
  <si>
    <t>BILLA BILLA</t>
  </si>
  <si>
    <t>CALINGUNEE</t>
  </si>
  <si>
    <t>CALLANDOON</t>
  </si>
  <si>
    <t>GOODAR</t>
  </si>
  <si>
    <t>GOONDIWINDI</t>
  </si>
  <si>
    <t>KINDON</t>
  </si>
  <si>
    <t>LUNDAVRA</t>
  </si>
  <si>
    <t>WONDALLI</t>
  </si>
  <si>
    <t>WYAGA</t>
  </si>
  <si>
    <t>YAGABURNE</t>
  </si>
  <si>
    <t>KINGSTHORPE</t>
  </si>
  <si>
    <t>ACLAND</t>
  </si>
  <si>
    <t>AUBIGNY</t>
  </si>
  <si>
    <t>BALGOWAN</t>
  </si>
  <si>
    <t>BIDDESTON</t>
  </si>
  <si>
    <t>BOODUA</t>
  </si>
  <si>
    <t>DEVON PARK</t>
  </si>
  <si>
    <t>GREENWOOD</t>
  </si>
  <si>
    <t>HIGHLAND PLAINS</t>
  </si>
  <si>
    <t>KELVINHAUGH</t>
  </si>
  <si>
    <t>MOUNT IRVING</t>
  </si>
  <si>
    <t>MULDU</t>
  </si>
  <si>
    <t>OAKEY</t>
  </si>
  <si>
    <t>ROSALIE PLAINS</t>
  </si>
  <si>
    <t>SABINE</t>
  </si>
  <si>
    <t>SILVERLEIGH</t>
  </si>
  <si>
    <t>YARGULLEN</t>
  </si>
  <si>
    <t>COOYAR</t>
  </si>
  <si>
    <t>KOORALGIN</t>
  </si>
  <si>
    <t>UPPER COOYAR CREEK</t>
  </si>
  <si>
    <t>BRYMAROO</t>
  </si>
  <si>
    <t>JONDARYAN</t>
  </si>
  <si>
    <t>MALU</t>
  </si>
  <si>
    <t>MOUNT MORIAH</t>
  </si>
  <si>
    <t>QUINALOW</t>
  </si>
  <si>
    <t>WEST PRAIRIE</t>
  </si>
  <si>
    <t>BOWENVILLE</t>
  </si>
  <si>
    <t>FORMARTIN</t>
  </si>
  <si>
    <t>IRVINGDALE</t>
  </si>
  <si>
    <t>WAINUI</t>
  </si>
  <si>
    <t>BRAEMAR FOREST</t>
  </si>
  <si>
    <t>BUNYA MOUNTAINS</t>
  </si>
  <si>
    <t>DAANDINE</t>
  </si>
  <si>
    <t>DALBY</t>
  </si>
  <si>
    <t>KUPUNN</t>
  </si>
  <si>
    <t>MALAKOFF</t>
  </si>
  <si>
    <t>PIRRINUAN</t>
  </si>
  <si>
    <t>RANGES BRIDGE</t>
  </si>
  <si>
    <t>ST RUTH</t>
  </si>
  <si>
    <t>TIPTON</t>
  </si>
  <si>
    <t>WERANGA</t>
  </si>
  <si>
    <t>YAMSION</t>
  </si>
  <si>
    <t>BOONDANDILLA</t>
  </si>
  <si>
    <t>HANNAFORD</t>
  </si>
  <si>
    <t>JIMBOUR</t>
  </si>
  <si>
    <t>KAIMKILLENBUN</t>
  </si>
  <si>
    <t>KOGAN</t>
  </si>
  <si>
    <t>MACALISTER</t>
  </si>
  <si>
    <t>MOONIE</t>
  </si>
  <si>
    <t>THE GUMS</t>
  </si>
  <si>
    <t>WEIR RIVER</t>
  </si>
  <si>
    <t>CECIL PLAINS</t>
  </si>
  <si>
    <t>NANGWEE</t>
  </si>
  <si>
    <t>COORANGA NORTH</t>
  </si>
  <si>
    <t>JANDOWAE</t>
  </si>
  <si>
    <t>WARRA</t>
  </si>
  <si>
    <t>BRIGALOW</t>
  </si>
  <si>
    <t>BAKING BOARD</t>
  </si>
  <si>
    <t>BOONARGA</t>
  </si>
  <si>
    <t>BURNCLUITH</t>
  </si>
  <si>
    <t>CANAGA</t>
  </si>
  <si>
    <t>CHANCES PLAINS</t>
  </si>
  <si>
    <t>CHINCHILLA</t>
  </si>
  <si>
    <t>DURAH</t>
  </si>
  <si>
    <t>HOPELAND</t>
  </si>
  <si>
    <t>WIEAMBILLA</t>
  </si>
  <si>
    <t>BOORTKOI</t>
  </si>
  <si>
    <t>COLUMBOOLA</t>
  </si>
  <si>
    <t>DALWOGAN</t>
  </si>
  <si>
    <t>GURULMUNDI</t>
  </si>
  <si>
    <t>HOOKSWOOD</t>
  </si>
  <si>
    <t>KOWGURAN</t>
  </si>
  <si>
    <t>MILES</t>
  </si>
  <si>
    <t>PELHAM</t>
  </si>
  <si>
    <t>BARRAMORNIE</t>
  </si>
  <si>
    <t>CONDAMINE</t>
  </si>
  <si>
    <t>MORABY</t>
  </si>
  <si>
    <t>NANGRAM</t>
  </si>
  <si>
    <t>PINE HILLS</t>
  </si>
  <si>
    <t>YULABILLA</t>
  </si>
  <si>
    <t>NOORINDOO</t>
  </si>
  <si>
    <t>OBERINA</t>
  </si>
  <si>
    <t>PARKNOOK</t>
  </si>
  <si>
    <t>SURAT</t>
  </si>
  <si>
    <t>WARKON</t>
  </si>
  <si>
    <t>WELLESLEY</t>
  </si>
  <si>
    <t>WERIBONE</t>
  </si>
  <si>
    <t>GULUGUBA</t>
  </si>
  <si>
    <t>GROSMONT</t>
  </si>
  <si>
    <t>WANDOAN</t>
  </si>
  <si>
    <t>BROADMERE</t>
  </si>
  <si>
    <t>COORADA</t>
  </si>
  <si>
    <t>GHINGHINDA</t>
  </si>
  <si>
    <t>GLENHAUGHTON</t>
  </si>
  <si>
    <t>GWAMBEGWINE</t>
  </si>
  <si>
    <t>HORNET BANK</t>
  </si>
  <si>
    <t>PEEK-A-DOO</t>
  </si>
  <si>
    <t>TAROOM</t>
  </si>
  <si>
    <t>GORANBA</t>
  </si>
  <si>
    <t>MEANDARRA</t>
  </si>
  <si>
    <t>COOMRITH</t>
  </si>
  <si>
    <t>GLENMORGAN</t>
  </si>
  <si>
    <t>TEELBA</t>
  </si>
  <si>
    <t>DRILLHAM</t>
  </si>
  <si>
    <t>DRILLHAM SOUTH</t>
  </si>
  <si>
    <t>GLENAUBYN</t>
  </si>
  <si>
    <t>BOGANDILLA</t>
  </si>
  <si>
    <t>DULACCA</t>
  </si>
  <si>
    <t>JACKSON</t>
  </si>
  <si>
    <t>JACKSON NORTH</t>
  </si>
  <si>
    <t>JACKSON SOUTH</t>
  </si>
  <si>
    <t>CLIFFORD</t>
  </si>
  <si>
    <t>YULEBA</t>
  </si>
  <si>
    <t>YULEBA NORTH</t>
  </si>
  <si>
    <t>YULEBA SOUTH</t>
  </si>
  <si>
    <t>PICKANJINNIE</t>
  </si>
  <si>
    <t>WALLUMBILLA</t>
  </si>
  <si>
    <t>WALLUMBILLA NORTH</t>
  </si>
  <si>
    <t>WALLUMBILLA SOUTH</t>
  </si>
  <si>
    <t>BAFFLE WEST</t>
  </si>
  <si>
    <t>BEILBA</t>
  </si>
  <si>
    <t>DURHAM DOWNS</t>
  </si>
  <si>
    <t>HUTTON CREEK</t>
  </si>
  <si>
    <t>INJUNE</t>
  </si>
  <si>
    <t>PONY HILLS</t>
  </si>
  <si>
    <t>UPPER DAWSON</t>
  </si>
  <si>
    <t>WESTGROVE</t>
  </si>
  <si>
    <t>ANGELLALA</t>
  </si>
  <si>
    <t>BALLAROO</t>
  </si>
  <si>
    <t>BLYTHDALE</t>
  </si>
  <si>
    <t>BUNGEWORGORAI</t>
  </si>
  <si>
    <t>BYMOUNT</t>
  </si>
  <si>
    <t>CORNWALL</t>
  </si>
  <si>
    <t>DARGAL ROAD</t>
  </si>
  <si>
    <t>EUMAMURRIN</t>
  </si>
  <si>
    <t>EUTHULLA</t>
  </si>
  <si>
    <t>GUNNEWIN</t>
  </si>
  <si>
    <t>HODGSON</t>
  </si>
  <si>
    <t>MOOGA</t>
  </si>
  <si>
    <t>MOUNT ABUNDANCE</t>
  </si>
  <si>
    <t>MOUNT BINDANGO</t>
  </si>
  <si>
    <t>ORALLO</t>
  </si>
  <si>
    <t>ORANGE HILL</t>
  </si>
  <si>
    <t>ROMA</t>
  </si>
  <si>
    <t>TINGUN</t>
  </si>
  <si>
    <t>WYCOMBE</t>
  </si>
  <si>
    <t>MUCKADILLA</t>
  </si>
  <si>
    <t>AMBY</t>
  </si>
  <si>
    <t>MUNGALLALA</t>
  </si>
  <si>
    <t>CHARLEVILLE</t>
  </si>
  <si>
    <t>CLAVERTON</t>
  </si>
  <si>
    <t>NARDOO SIDING</t>
  </si>
  <si>
    <t>BLACKALL</t>
  </si>
  <si>
    <t>MOUNT ENNISKILLEN</t>
  </si>
  <si>
    <t>ADAVALE</t>
  </si>
  <si>
    <t>CHEEPIE</t>
  </si>
  <si>
    <t>AUGATHELLA</t>
  </si>
  <si>
    <t>BAYRICK</t>
  </si>
  <si>
    <t>CALDERVALE</t>
  </si>
  <si>
    <t>LUMEAH</t>
  </si>
  <si>
    <t>MACFARLANE</t>
  </si>
  <si>
    <t>MINNIE DOWNS</t>
  </si>
  <si>
    <t>SCRUBBY CREEK</t>
  </si>
  <si>
    <t>TAMBO</t>
  </si>
  <si>
    <t>YANDARLO</t>
  </si>
  <si>
    <t>COOLADDI</t>
  </si>
  <si>
    <t>EROMANGA</t>
  </si>
  <si>
    <t>QUILPIE</t>
  </si>
  <si>
    <t>FARRARS CREEK</t>
  </si>
  <si>
    <t>TANBAR</t>
  </si>
  <si>
    <t>WINDORAH</t>
  </si>
  <si>
    <t>BIRDSVILLE</t>
  </si>
  <si>
    <t>DIRRANBANDI</t>
  </si>
  <si>
    <t>HEBEL</t>
  </si>
  <si>
    <t>BEGONIA</t>
  </si>
  <si>
    <t>ST GEORGE</t>
  </si>
  <si>
    <t>BOLLON</t>
  </si>
  <si>
    <t>NEBINE</t>
  </si>
  <si>
    <t>WYANDRA</t>
  </si>
  <si>
    <t>COONGOOLA</t>
  </si>
  <si>
    <t>CUNNAMULLA</t>
  </si>
  <si>
    <t>CUTTABURRA</t>
  </si>
  <si>
    <t>HUMEBURN</t>
  </si>
  <si>
    <t>JOBS GATE</t>
  </si>
  <si>
    <t>NOORAMA</t>
  </si>
  <si>
    <t>TUEN</t>
  </si>
  <si>
    <t>WIDGEEGOARA</t>
  </si>
  <si>
    <t>YOWAH</t>
  </si>
  <si>
    <t>EULO</t>
  </si>
  <si>
    <t>THARGOMINDAH</t>
  </si>
  <si>
    <t>HUNGERFORD</t>
  </si>
  <si>
    <t>BUNGUNYA</t>
  </si>
  <si>
    <t>NORTH BUNGUNYA</t>
  </si>
  <si>
    <t>TARAWERA</t>
  </si>
  <si>
    <t>NORTH TALWOOD</t>
  </si>
  <si>
    <t>SOUTH TALWOOD</t>
  </si>
  <si>
    <t>TALWOOD</t>
  </si>
  <si>
    <t>DAYMAR</t>
  </si>
  <si>
    <t>THALLON</t>
  </si>
  <si>
    <t>WEENGALLON</t>
  </si>
  <si>
    <t>KIOMA</t>
  </si>
  <si>
    <t>TOOBEAH</t>
  </si>
  <si>
    <t>BRENDALE</t>
  </si>
  <si>
    <t>BRENDALE BC</t>
  </si>
  <si>
    <t>BRENDALE DC</t>
  </si>
  <si>
    <t>CASHMERE</t>
  </si>
  <si>
    <t>CLEAR MOUNTAIN</t>
  </si>
  <si>
    <t>JOYNER</t>
  </si>
  <si>
    <t>STRATHPINE</t>
  </si>
  <si>
    <t>STRATHPINE CENTRE</t>
  </si>
  <si>
    <t>STRATHPINE CITY</t>
  </si>
  <si>
    <t>WARNER</t>
  </si>
  <si>
    <t>LAWNTON</t>
  </si>
  <si>
    <t>PETRIE</t>
  </si>
  <si>
    <t>DAKABIN</t>
  </si>
  <si>
    <t>DOHLES ROCKS</t>
  </si>
  <si>
    <t>GRIFFIN</t>
  </si>
  <si>
    <t>KALLANGUR</t>
  </si>
  <si>
    <t>KURWONGBAH</t>
  </si>
  <si>
    <t>MURRUMBA DOWNS</t>
  </si>
  <si>
    <t>WHITESIDE</t>
  </si>
  <si>
    <t>NARANGBA</t>
  </si>
  <si>
    <t>BURPENGARY</t>
  </si>
  <si>
    <t>BURPENGARY DC</t>
  </si>
  <si>
    <t>MOORINA</t>
  </si>
  <si>
    <t>MORAYFIELD</t>
  </si>
  <si>
    <t>BANKSIA BEACH</t>
  </si>
  <si>
    <t>BELLARA</t>
  </si>
  <si>
    <t>BONGAREE</t>
  </si>
  <si>
    <t>BRIBIE ISLAND</t>
  </si>
  <si>
    <t>BRIBIE ISLAND DC</t>
  </si>
  <si>
    <t>BRIBIE ISLAND NORTH</t>
  </si>
  <si>
    <t>WELSBY</t>
  </si>
  <si>
    <t>WHITE PATCH</t>
  </si>
  <si>
    <t>WOORIM</t>
  </si>
  <si>
    <t>DECEPTION BAY</t>
  </si>
  <si>
    <t>MANGO HILL</t>
  </si>
  <si>
    <t>BALINGOOL</t>
  </si>
  <si>
    <t>BEACHMERE</t>
  </si>
  <si>
    <t>BELLMERE</t>
  </si>
  <si>
    <t>CABOOLTURE</t>
  </si>
  <si>
    <t>CABOOLTURE SOUTH</t>
  </si>
  <si>
    <t>MELDALE</t>
  </si>
  <si>
    <t>MOODLU</t>
  </si>
  <si>
    <t>ROCKSBERG</t>
  </si>
  <si>
    <t>TOORBUL</t>
  </si>
  <si>
    <t>UPPER CABOOLTURE</t>
  </si>
  <si>
    <t>GODWIN BEACH</t>
  </si>
  <si>
    <t>NINGI</t>
  </si>
  <si>
    <t>SANDSTONE POINT</t>
  </si>
  <si>
    <t>BRACALBA</t>
  </si>
  <si>
    <t>WAMURAN</t>
  </si>
  <si>
    <t>WAMURAN BASIN</t>
  </si>
  <si>
    <t>BELLTHORPE</t>
  </si>
  <si>
    <t>CEDARTON</t>
  </si>
  <si>
    <t>COMMISSIONERS FLAT</t>
  </si>
  <si>
    <t>D'AGUILAR</t>
  </si>
  <si>
    <t>DELANEYS CREEK</t>
  </si>
  <si>
    <t>MOUNT DELANEY</t>
  </si>
  <si>
    <t>NEURUM</t>
  </si>
  <si>
    <t>VILLENEUVE</t>
  </si>
  <si>
    <t>JIMNA</t>
  </si>
  <si>
    <t>KILCOY</t>
  </si>
  <si>
    <t>ELIMBAH</t>
  </si>
  <si>
    <t>BEERBURRUM</t>
  </si>
  <si>
    <t>GLASS HOUSE MOUNTAINS</t>
  </si>
  <si>
    <t>BEERWAH</t>
  </si>
  <si>
    <t>COOCHIN CREEK</t>
  </si>
  <si>
    <t>CROHAMHURST</t>
  </si>
  <si>
    <t>PEACHESTER</t>
  </si>
  <si>
    <t>CAMP MOUNTAIN</t>
  </si>
  <si>
    <t>CLOSEBURN</t>
  </si>
  <si>
    <t>DRAPER</t>
  </si>
  <si>
    <t>ENOGGERA RESERVOIR</t>
  </si>
  <si>
    <t>HIGHVALE</t>
  </si>
  <si>
    <t>JOLLYS LOOKOUT</t>
  </si>
  <si>
    <t>KOBBLE CREEK</t>
  </si>
  <si>
    <t>MOUNT GLORIOUS</t>
  </si>
  <si>
    <t>MOUNT NEBO</t>
  </si>
  <si>
    <t>MOUNT SAMSON</t>
  </si>
  <si>
    <t>SAMFORD</t>
  </si>
  <si>
    <t>SAMFORD VALLEY</t>
  </si>
  <si>
    <t>SAMFORD VILLAGE</t>
  </si>
  <si>
    <t>SAMSONVALE</t>
  </si>
  <si>
    <t>WIGHTS MOUNTAIN</t>
  </si>
  <si>
    <t>YUGAR</t>
  </si>
  <si>
    <t>CAMPBELLS POCKET</t>
  </si>
  <si>
    <t>DAYBORO</t>
  </si>
  <si>
    <t>KING SCRUB</t>
  </si>
  <si>
    <t>LACEYS CREEK</t>
  </si>
  <si>
    <t>MOUNT MEE</t>
  </si>
  <si>
    <t>OCEAN VIEW</t>
  </si>
  <si>
    <t>RUSH CREEK</t>
  </si>
  <si>
    <t>MOUNT MELLUM</t>
  </si>
  <si>
    <t>AROONA</t>
  </si>
  <si>
    <t>BATTERY HILL</t>
  </si>
  <si>
    <t>BELLS CREEK</t>
  </si>
  <si>
    <t>CALOUNDRA</t>
  </si>
  <si>
    <t>CALOUNDRA BC</t>
  </si>
  <si>
    <t>CALOUNDRA DC</t>
  </si>
  <si>
    <t>CALOUNDRA WEST</t>
  </si>
  <si>
    <t>CURRIMUNDI</t>
  </si>
  <si>
    <t>DICKY BEACH</t>
  </si>
  <si>
    <t>KINGS BEACH</t>
  </si>
  <si>
    <t>LITTLE MOUNTAIN</t>
  </si>
  <si>
    <t>MERIDAN PLAINS</t>
  </si>
  <si>
    <t>MOFFAT BEACH</t>
  </si>
  <si>
    <t>PELICAN WATERS</t>
  </si>
  <si>
    <t>BALD KNOB</t>
  </si>
  <si>
    <t>BALMORAL RIDGE</t>
  </si>
  <si>
    <t>BAROON POCKET</t>
  </si>
  <si>
    <t>BOOROOBIN</t>
  </si>
  <si>
    <t>CAMBROON</t>
  </si>
  <si>
    <t>CONONDALE</t>
  </si>
  <si>
    <t>CRYSTAL WATERS</t>
  </si>
  <si>
    <t>ELAMAN CREEK</t>
  </si>
  <si>
    <t>HARPER CREEK</t>
  </si>
  <si>
    <t>MALENY</t>
  </si>
  <si>
    <t>NORTH MALENY</t>
  </si>
  <si>
    <t>REESVILLE</t>
  </si>
  <si>
    <t>WITTA</t>
  </si>
  <si>
    <t>WOOTHA</t>
  </si>
  <si>
    <t>DIAMOND VALLEY</t>
  </si>
  <si>
    <t>GLENVIEW</t>
  </si>
  <si>
    <t>MOOLOOLAH</t>
  </si>
  <si>
    <t>MOOLOOLAH VALLEY</t>
  </si>
  <si>
    <t>PALMVIEW</t>
  </si>
  <si>
    <t>EUDLO</t>
  </si>
  <si>
    <t>ILKLEY</t>
  </si>
  <si>
    <t>CHEVALLUM</t>
  </si>
  <si>
    <t>HUNCHY</t>
  </si>
  <si>
    <t>LANDERS SHOOT</t>
  </si>
  <si>
    <t>BUDERIM</t>
  </si>
  <si>
    <t>KUNDA PARK</t>
  </si>
  <si>
    <t>MONS</t>
  </si>
  <si>
    <t>SIPPY DOWNS</t>
  </si>
  <si>
    <t>TANAWHA</t>
  </si>
  <si>
    <t>MOOLOOLABA</t>
  </si>
  <si>
    <t>COTTON TREE</t>
  </si>
  <si>
    <t>KULUIN</t>
  </si>
  <si>
    <t>MAROOCHYDORE</t>
  </si>
  <si>
    <t>MAROOCHYDORE BC</t>
  </si>
  <si>
    <t>MAROOCHYDORE DC</t>
  </si>
  <si>
    <t>MAROOCHYDORE SOUTH</t>
  </si>
  <si>
    <t>SUNSHINE PLAZA</t>
  </si>
  <si>
    <t>DIDDILLIBAH</t>
  </si>
  <si>
    <t>KIELS MOUNTAIN</t>
  </si>
  <si>
    <t>WEST WOOMBYE</t>
  </si>
  <si>
    <t>WOOMBYE</t>
  </si>
  <si>
    <t>BLI BLI</t>
  </si>
  <si>
    <t>COES CREEK</t>
  </si>
  <si>
    <t>COOLOOLABIN</t>
  </si>
  <si>
    <t>DULONG</t>
  </si>
  <si>
    <t>FLAXTON</t>
  </si>
  <si>
    <t>HIGHWORTH</t>
  </si>
  <si>
    <t>IMAGE FLAT</t>
  </si>
  <si>
    <t>KIAMBA</t>
  </si>
  <si>
    <t>KULANGOOR</t>
  </si>
  <si>
    <t>KUREELPA</t>
  </si>
  <si>
    <t>MAPLETON</t>
  </si>
  <si>
    <t>MONTVILLE</t>
  </si>
  <si>
    <t>NAMBOUR</t>
  </si>
  <si>
    <t>NAMBOUR BC</t>
  </si>
  <si>
    <t>NAMBOUR DC</t>
  </si>
  <si>
    <t>NAMBOUR WEST</t>
  </si>
  <si>
    <t>PARKLANDS</t>
  </si>
  <si>
    <t>PERWILLOWEN</t>
  </si>
  <si>
    <t>ROSEMOUNT</t>
  </si>
  <si>
    <t>SUNSHINE COAST MC</t>
  </si>
  <si>
    <t>TOWEN MOUNTAIN</t>
  </si>
  <si>
    <t>BRIDGES</t>
  </si>
  <si>
    <t>MAROOCHY RIVER</t>
  </si>
  <si>
    <t>NINDERRY</t>
  </si>
  <si>
    <t>VALDORA</t>
  </si>
  <si>
    <t>YANDINA</t>
  </si>
  <si>
    <t>YANDINA CREEK</t>
  </si>
  <si>
    <t>BELLI PARK</t>
  </si>
  <si>
    <t>DOONAN</t>
  </si>
  <si>
    <t>EERWAH VALE</t>
  </si>
  <si>
    <t>EUMUNDI</t>
  </si>
  <si>
    <t>VERRIERDALE</t>
  </si>
  <si>
    <t>WEYBA DOWNS</t>
  </si>
  <si>
    <t>CARTERS RIDGE</t>
  </si>
  <si>
    <t>COOROY</t>
  </si>
  <si>
    <t>COOROY MOUNTAIN</t>
  </si>
  <si>
    <t>LAKE MACDONALD</t>
  </si>
  <si>
    <t>RIDGEWOOD</t>
  </si>
  <si>
    <t>SUNRISE HILLS</t>
  </si>
  <si>
    <t>TINBEERWAH</t>
  </si>
  <si>
    <t>MARCOOLA</t>
  </si>
  <si>
    <t>MUDJIMBA</t>
  </si>
  <si>
    <t>PACIFIC PARADISE</t>
  </si>
  <si>
    <t>TWIN WATERS</t>
  </si>
  <si>
    <t>BOREEN</t>
  </si>
  <si>
    <t>BOREEN POINT</t>
  </si>
  <si>
    <t>COOROIBAH</t>
  </si>
  <si>
    <t>COOTHARABA</t>
  </si>
  <si>
    <t>LAKE COOTHARABA</t>
  </si>
  <si>
    <t>RINGTAIL CREEK</t>
  </si>
  <si>
    <t>TEEWAH</t>
  </si>
  <si>
    <t>TEWANTIN</t>
  </si>
  <si>
    <t>MUNNA POINT</t>
  </si>
  <si>
    <t>NOOSAVILLE</t>
  </si>
  <si>
    <t>NOOSAVILLE BC</t>
  </si>
  <si>
    <t>NOOSAVILLE DC</t>
  </si>
  <si>
    <t>CASTAWAYS BEACH</t>
  </si>
  <si>
    <t>LITTLE COVE</t>
  </si>
  <si>
    <t>NOOSA HEADS</t>
  </si>
  <si>
    <t>SUNRISE BEACH</t>
  </si>
  <si>
    <t>SUNSHINE BEACH</t>
  </si>
  <si>
    <t>PINBARREN</t>
  </si>
  <si>
    <t>COORAN</t>
  </si>
  <si>
    <t>AMAMOOR</t>
  </si>
  <si>
    <t>AMAMOOR CREEK</t>
  </si>
  <si>
    <t>ANDERLEIGH</t>
  </si>
  <si>
    <t>BANKS POCKET</t>
  </si>
  <si>
    <t>BEENAAM VALLEY</t>
  </si>
  <si>
    <t>BELLA CREEK</t>
  </si>
  <si>
    <t>BELLS BRIDGE</t>
  </si>
  <si>
    <t>BOLLIER</t>
  </si>
  <si>
    <t>BROOLOO</t>
  </si>
  <si>
    <t>CALGOA</t>
  </si>
  <si>
    <t>CALICO CREEK</t>
  </si>
  <si>
    <t>CANINA</t>
  </si>
  <si>
    <t>CEDAR POCKET</t>
  </si>
  <si>
    <t>COLES CREEK</t>
  </si>
  <si>
    <t>COONDOO</t>
  </si>
  <si>
    <t>CORELLA</t>
  </si>
  <si>
    <t>CURRA</t>
  </si>
  <si>
    <t>DAGUN</t>
  </si>
  <si>
    <t>DOWNSFIELD</t>
  </si>
  <si>
    <t>EAST DEEP CREEK</t>
  </si>
  <si>
    <t>FISHERMANS POCKET</t>
  </si>
  <si>
    <t>GILLDORA</t>
  </si>
  <si>
    <t>GLASTONBURY</t>
  </si>
  <si>
    <t>GLEN ECHO</t>
  </si>
  <si>
    <t>GOOMBOORIAN</t>
  </si>
  <si>
    <t>GUNALDA</t>
  </si>
  <si>
    <t>GYMPIE</t>
  </si>
  <si>
    <t>GYMPIE DC</t>
  </si>
  <si>
    <t>IMBIL</t>
  </si>
  <si>
    <t>JONES HILL</t>
  </si>
  <si>
    <t>KANDANGA</t>
  </si>
  <si>
    <t>KANDANGA CREEK</t>
  </si>
  <si>
    <t>KANIGAN</t>
  </si>
  <si>
    <t>KYBONG</t>
  </si>
  <si>
    <t>LAGOON POCKET</t>
  </si>
  <si>
    <t>LAKE BORUMBA</t>
  </si>
  <si>
    <t>LANGSHAW</t>
  </si>
  <si>
    <t>LOWER WONGA</t>
  </si>
  <si>
    <t>MARODIAN</t>
  </si>
  <si>
    <t>MARYS CREEK</t>
  </si>
  <si>
    <t>MCINTOSH CREEK</t>
  </si>
  <si>
    <t>MELAWONDI</t>
  </si>
  <si>
    <t>MIVA</t>
  </si>
  <si>
    <t>MONKLAND</t>
  </si>
  <si>
    <t>MOOLOO</t>
  </si>
  <si>
    <t>MOTHAR MOUNTAIN</t>
  </si>
  <si>
    <t>MUNNA CREEK</t>
  </si>
  <si>
    <t>NAHRUNDA</t>
  </si>
  <si>
    <t>NEERDIE</t>
  </si>
  <si>
    <t>NEUSA VALE</t>
  </si>
  <si>
    <t>NORTH DEEP CREEK</t>
  </si>
  <si>
    <t>PIE CREEK</t>
  </si>
  <si>
    <t>SCOTCHY POCKET</t>
  </si>
  <si>
    <t>SEXTON</t>
  </si>
  <si>
    <t>SOUTHSIDE</t>
  </si>
  <si>
    <t>ST MARY</t>
  </si>
  <si>
    <t>TAMAREE</t>
  </si>
  <si>
    <t>TANDUR</t>
  </si>
  <si>
    <t>THE DAWN</t>
  </si>
  <si>
    <t>THE PALMS</t>
  </si>
  <si>
    <t>THEEBINE</t>
  </si>
  <si>
    <t>TOOLARA</t>
  </si>
  <si>
    <t>TOOLARA FOREST</t>
  </si>
  <si>
    <t>TRAVESTON</t>
  </si>
  <si>
    <t>TUCHEKOI</t>
  </si>
  <si>
    <t>TWO MILE</t>
  </si>
  <si>
    <t>UPPER GLASTONBURY</t>
  </si>
  <si>
    <t>UPPER KANDANGA</t>
  </si>
  <si>
    <t>VETERAN</t>
  </si>
  <si>
    <t>VICTORY HEIGHTS</t>
  </si>
  <si>
    <t>WALLU</t>
  </si>
  <si>
    <t>WIDGEE</t>
  </si>
  <si>
    <t>WIDGEE CROSSING NORTH</t>
  </si>
  <si>
    <t>WIDGEE CROSSING SOUTH</t>
  </si>
  <si>
    <t>WILSONS POCKET</t>
  </si>
  <si>
    <t>WOLVI</t>
  </si>
  <si>
    <t>WOOLOOGA</t>
  </si>
  <si>
    <t>WOONDUM</t>
  </si>
  <si>
    <t>KIN KIN</t>
  </si>
  <si>
    <t>WAHPUNGA</t>
  </si>
  <si>
    <t>ALEXANDRA HEADLAND</t>
  </si>
  <si>
    <t>COOLUM BEACH</t>
  </si>
  <si>
    <t>MARCUS BEACH</t>
  </si>
  <si>
    <t>MOUNT COOLUM</t>
  </si>
  <si>
    <t>PEREGIAN BEACH</t>
  </si>
  <si>
    <t>PEREGIAN BEACH SOUTH</t>
  </si>
  <si>
    <t>POINT ARKWRIGHT</t>
  </si>
  <si>
    <t>YAROOMBA</t>
  </si>
  <si>
    <t>COOLABINE</t>
  </si>
  <si>
    <t>GHEERULLA</t>
  </si>
  <si>
    <t>KENILWORTH</t>
  </si>
  <si>
    <t>KIDAMAN CREEK</t>
  </si>
  <si>
    <t>MOY POCKET</t>
  </si>
  <si>
    <t>OBI OBI</t>
  </si>
  <si>
    <t>BIRTINYA</t>
  </si>
  <si>
    <t>BOKARINA</t>
  </si>
  <si>
    <t>BUDDINA</t>
  </si>
  <si>
    <t>KAWANA WATERS</t>
  </si>
  <si>
    <t>MINYAMA</t>
  </si>
  <si>
    <t>PARREARRA</t>
  </si>
  <si>
    <t>WARANA</t>
  </si>
  <si>
    <t>WARANA BEACH</t>
  </si>
  <si>
    <t>WURTULLA</t>
  </si>
  <si>
    <t>COOLOOLA</t>
  </si>
  <si>
    <t>COOLOOLA COVE</t>
  </si>
  <si>
    <t>TIN CAN BAY</t>
  </si>
  <si>
    <t>EURONG</t>
  </si>
  <si>
    <t>FRASER ISLAND</t>
  </si>
  <si>
    <t>INSKIP</t>
  </si>
  <si>
    <t>INSKIP POINT</t>
  </si>
  <si>
    <t>ORCHID BEACH</t>
  </si>
  <si>
    <t>RAINBOW BEACH</t>
  </si>
  <si>
    <t>BLACK SNAKE</t>
  </si>
  <si>
    <t>CINNABAR</t>
  </si>
  <si>
    <t>KILKIVAN</t>
  </si>
  <si>
    <t>MUDLO</t>
  </si>
  <si>
    <t>OAKVIEW</t>
  </si>
  <si>
    <t>BARAMBAH</t>
  </si>
  <si>
    <t>BOONARA</t>
  </si>
  <si>
    <t>BOOUBYJAN</t>
  </si>
  <si>
    <t>GOOMERI</t>
  </si>
  <si>
    <t>GOOMERIBONG</t>
  </si>
  <si>
    <t>KINBOMBI</t>
  </si>
  <si>
    <t>MANUMBAR</t>
  </si>
  <si>
    <t>MANYUNG</t>
  </si>
  <si>
    <t>TANSEY</t>
  </si>
  <si>
    <t>WRATTENS FOREST</t>
  </si>
  <si>
    <t>BARLIL</t>
  </si>
  <si>
    <t>BYEE</t>
  </si>
  <si>
    <t>CHERBOURG</t>
  </si>
  <si>
    <t>CLOYNA</t>
  </si>
  <si>
    <t>COBBS HILL</t>
  </si>
  <si>
    <t>CROWNTHORPE</t>
  </si>
  <si>
    <t>KITOBA</t>
  </si>
  <si>
    <t>MERLWOOD</t>
  </si>
  <si>
    <t>MOFFATDALE</t>
  </si>
  <si>
    <t>MOONDOONER</t>
  </si>
  <si>
    <t>MURGON</t>
  </si>
  <si>
    <t>REDGATE</t>
  </si>
  <si>
    <t>SILVERLEAF</t>
  </si>
  <si>
    <t>SUNNY NOOK</t>
  </si>
  <si>
    <t>TABLELANDS</t>
  </si>
  <si>
    <t>WARNUNG</t>
  </si>
  <si>
    <t>WINDERA</t>
  </si>
  <si>
    <t>WOOROONDEN</t>
  </si>
  <si>
    <t>CHELMSFORD</t>
  </si>
  <si>
    <t>FAIRDALE</t>
  </si>
  <si>
    <t>FICKS CROSSING</t>
  </si>
  <si>
    <t>GREENVIEW</t>
  </si>
  <si>
    <t>LEAFDALE</t>
  </si>
  <si>
    <t>MOUNT MCEUEN</t>
  </si>
  <si>
    <t>MP CREEK</t>
  </si>
  <si>
    <t>WHEATLANDS</t>
  </si>
  <si>
    <t>WONDAI</t>
  </si>
  <si>
    <t>CUSHNIE</t>
  </si>
  <si>
    <t>TINGOORA</t>
  </si>
  <si>
    <t>WILKESDALE</t>
  </si>
  <si>
    <t>WOOROOLIN</t>
  </si>
  <si>
    <t>ALICE CREEK</t>
  </si>
  <si>
    <t>BALLOGIE</t>
  </si>
  <si>
    <t>BENAIR</t>
  </si>
  <si>
    <t>BOOIE</t>
  </si>
  <si>
    <t>BOONENNE</t>
  </si>
  <si>
    <t>BOYNESIDE</t>
  </si>
  <si>
    <t>CHAHPINGAH</t>
  </si>
  <si>
    <t>COOLABUNIA</t>
  </si>
  <si>
    <t>CRAWFORD</t>
  </si>
  <si>
    <t>DANGORE</t>
  </si>
  <si>
    <t>DURONG</t>
  </si>
  <si>
    <t>DURONG SOUTH</t>
  </si>
  <si>
    <t>ELLESMERE</t>
  </si>
  <si>
    <t>GOODGER</t>
  </si>
  <si>
    <t>GORDONBROOK</t>
  </si>
  <si>
    <t>HALY CREEK</t>
  </si>
  <si>
    <t>HODGLEIGH</t>
  </si>
  <si>
    <t>INVERLAW</t>
  </si>
  <si>
    <t>IRONPOT</t>
  </si>
  <si>
    <t>KINGAROY</t>
  </si>
  <si>
    <t>KINGAROY DC</t>
  </si>
  <si>
    <t>KUMBIA</t>
  </si>
  <si>
    <t>MANNUEM</t>
  </si>
  <si>
    <t>MEMERAMBI</t>
  </si>
  <si>
    <t>TAABINGA</t>
  </si>
  <si>
    <t>TAABINGA VILLAGE</t>
  </si>
  <si>
    <t>MARSHLANDS</t>
  </si>
  <si>
    <t>MONDURE</t>
  </si>
  <si>
    <t>HIVESVILLE</t>
  </si>
  <si>
    <t>KAWL KAWL</t>
  </si>
  <si>
    <t>KEYSLAND</t>
  </si>
  <si>
    <t>STONELANDS</t>
  </si>
  <si>
    <t>WIGTON</t>
  </si>
  <si>
    <t>ABBEYWOOD</t>
  </si>
  <si>
    <t>BOONDOOMA</t>
  </si>
  <si>
    <t>BRIGOODA</t>
  </si>
  <si>
    <t>COVERTY</t>
  </si>
  <si>
    <t>KINLEYMORE</t>
  </si>
  <si>
    <t>MELROSE</t>
  </si>
  <si>
    <t>OKEDEN</t>
  </si>
  <si>
    <t>PROSTON</t>
  </si>
  <si>
    <t>SPEEDWELL</t>
  </si>
  <si>
    <t>STALWORTH</t>
  </si>
  <si>
    <t>NEUMGNA</t>
  </si>
  <si>
    <t>UPPER YARRAMAN</t>
  </si>
  <si>
    <t>BARKER CREEK FLAT</t>
  </si>
  <si>
    <t>BULLCAMP</t>
  </si>
  <si>
    <t>EAST NANANGO</t>
  </si>
  <si>
    <t>ELGIN VALE</t>
  </si>
  <si>
    <t>GLAN DEVON</t>
  </si>
  <si>
    <t>JOHNSTOWN</t>
  </si>
  <si>
    <t>KUNIOON</t>
  </si>
  <si>
    <t>MAIDENWELL</t>
  </si>
  <si>
    <t>NANANGO</t>
  </si>
  <si>
    <t>PIMPIMBUDGEE</t>
  </si>
  <si>
    <t>SANDY RIDGES</t>
  </si>
  <si>
    <t>SOUTH EAST NANANGO</t>
  </si>
  <si>
    <t>SOUTH NANANGO</t>
  </si>
  <si>
    <t>TARONG</t>
  </si>
  <si>
    <t>WATTLE CAMP</t>
  </si>
  <si>
    <t>WENGENVILLE</t>
  </si>
  <si>
    <t>WYALLA</t>
  </si>
  <si>
    <t>ARAMARA</t>
  </si>
  <si>
    <t>BROOWEENA</t>
  </si>
  <si>
    <t>DOONGUL</t>
  </si>
  <si>
    <t>GIGOOMGAN</t>
  </si>
  <si>
    <t>GLENBAR</t>
  </si>
  <si>
    <t>GUNGALOON</t>
  </si>
  <si>
    <t>MALARGA</t>
  </si>
  <si>
    <t>NORTH ARAMARA</t>
  </si>
  <si>
    <t>TEEBAR</t>
  </si>
  <si>
    <t>WOOCOO</t>
  </si>
  <si>
    <t>BIGGENDEN</t>
  </si>
  <si>
    <t>BOOMPA</t>
  </si>
  <si>
    <t>COALSTOUN LAKES</t>
  </si>
  <si>
    <t>CORINGA</t>
  </si>
  <si>
    <t>DALLARNIL</t>
  </si>
  <si>
    <t>DEGILBO</t>
  </si>
  <si>
    <t>DIDCOT</t>
  </si>
  <si>
    <t>GOLDEN FLEECE</t>
  </si>
  <si>
    <t>LAKESIDE</t>
  </si>
  <si>
    <t>WATERANGA</t>
  </si>
  <si>
    <t>WOOWOONGA</t>
  </si>
  <si>
    <t>ARANBANGA</t>
  </si>
  <si>
    <t>BAN BAN</t>
  </si>
  <si>
    <t>BAN BAN SPRINGS</t>
  </si>
  <si>
    <t>BARLYNE</t>
  </si>
  <si>
    <t>BINJOUR</t>
  </si>
  <si>
    <t>BLAIRMORE</t>
  </si>
  <si>
    <t>BON ACCORD</t>
  </si>
  <si>
    <t>BRANCH CREEK</t>
  </si>
  <si>
    <t>BYRNESTOWN</t>
  </si>
  <si>
    <t>CAMPBELL CREEK</t>
  </si>
  <si>
    <t>DIRNBIR</t>
  </si>
  <si>
    <t>DUNDARRAH</t>
  </si>
  <si>
    <t>GAYNDAH</t>
  </si>
  <si>
    <t>GINOONDAN</t>
  </si>
  <si>
    <t>GOOROOLBA</t>
  </si>
  <si>
    <t>HARRIET</t>
  </si>
  <si>
    <t>HUMPHERY</t>
  </si>
  <si>
    <t>IDERAWAY</t>
  </si>
  <si>
    <t>MINGO</t>
  </si>
  <si>
    <t>MOUNT DEBATEABLE</t>
  </si>
  <si>
    <t>MOUNT LAWLESS</t>
  </si>
  <si>
    <t>PENWHAUPELL</t>
  </si>
  <si>
    <t>PILE GULLY</t>
  </si>
  <si>
    <t>REIDS CREEK</t>
  </si>
  <si>
    <t>STOCKHAVEN</t>
  </si>
  <si>
    <t>THE LIMITS</t>
  </si>
  <si>
    <t>TOONDAHRA</t>
  </si>
  <si>
    <t>WAHOON</t>
  </si>
  <si>
    <t>WETHERON</t>
  </si>
  <si>
    <t>WILSON VALLEY</t>
  </si>
  <si>
    <t>WOODMILLAR</t>
  </si>
  <si>
    <t>BEERON</t>
  </si>
  <si>
    <t>BOYNEWOOD</t>
  </si>
  <si>
    <t>BROVINIA</t>
  </si>
  <si>
    <t>COONAMBULA</t>
  </si>
  <si>
    <t>DERRI DERRA</t>
  </si>
  <si>
    <t>DYKEHEAD</t>
  </si>
  <si>
    <t>GLENRAE</t>
  </si>
  <si>
    <t>GURGEENA</t>
  </si>
  <si>
    <t>HAWKWOOD</t>
  </si>
  <si>
    <t>MONOGORILBY</t>
  </si>
  <si>
    <t>MUNDOWRAN</t>
  </si>
  <si>
    <t>MUNDUBBERA</t>
  </si>
  <si>
    <t>OBIL BIL</t>
  </si>
  <si>
    <t>OLD COORANGA</t>
  </si>
  <si>
    <t>PHILPOTT</t>
  </si>
  <si>
    <t>RIVERLEIGH</t>
  </si>
  <si>
    <t>ABERCORN</t>
  </si>
  <si>
    <t>CERATODUS</t>
  </si>
  <si>
    <t>CYNTHIA</t>
  </si>
  <si>
    <t>EIDSVOLD</t>
  </si>
  <si>
    <t>EIDSVOLD EAST</t>
  </si>
  <si>
    <t>EIDSVOLD WEST</t>
  </si>
  <si>
    <t>GROSVENOR</t>
  </si>
  <si>
    <t>MALMOE</t>
  </si>
  <si>
    <t>WURUMA DAM</t>
  </si>
  <si>
    <t>BANCROFT</t>
  </si>
  <si>
    <t>BUKALI</t>
  </si>
  <si>
    <t>CANIA</t>
  </si>
  <si>
    <t>CANNINDAH</t>
  </si>
  <si>
    <t>COOMINGLAH</t>
  </si>
  <si>
    <t>COOMINGLAH FOREST</t>
  </si>
  <si>
    <t>DALGA</t>
  </si>
  <si>
    <t>GLENLEIGH</t>
  </si>
  <si>
    <t>HARRAMI</t>
  </si>
  <si>
    <t>KALPOWAR</t>
  </si>
  <si>
    <t>KAPALDO</t>
  </si>
  <si>
    <t>MONAL</t>
  </si>
  <si>
    <t>MONTO</t>
  </si>
  <si>
    <t>MOONFORD</t>
  </si>
  <si>
    <t>MULGILDIE</t>
  </si>
  <si>
    <t>MUNGUNGO</t>
  </si>
  <si>
    <t>RAWBELLE</t>
  </si>
  <si>
    <t>SELENE</t>
  </si>
  <si>
    <t>SPLINTER CREEK</t>
  </si>
  <si>
    <t>TELLEBANG</t>
  </si>
  <si>
    <t>THREE MOON</t>
  </si>
  <si>
    <t>YARROL</t>
  </si>
  <si>
    <t>ALDERSHOT</t>
  </si>
  <si>
    <t>ANTIGUA</t>
  </si>
  <si>
    <t>AUBINVILLE</t>
  </si>
  <si>
    <t>BADDOW</t>
  </si>
  <si>
    <t>BAUPLE</t>
  </si>
  <si>
    <t>BAUPLE FOREST</t>
  </si>
  <si>
    <t>BEAVER ROCK</t>
  </si>
  <si>
    <t>BIG TUAN</t>
  </si>
  <si>
    <t>BOONOOROO</t>
  </si>
  <si>
    <t>BOONOOROO PLAINS</t>
  </si>
  <si>
    <t>DUCKINWILLA</t>
  </si>
  <si>
    <t>DUNDATHU</t>
  </si>
  <si>
    <t>DUNMORA</t>
  </si>
  <si>
    <t>FERNEY</t>
  </si>
  <si>
    <t>GLENDORF</t>
  </si>
  <si>
    <t>GOOTCHIE</t>
  </si>
  <si>
    <t>GRAHAMS CREEK</t>
  </si>
  <si>
    <t>GUNDIAH</t>
  </si>
  <si>
    <t>HILLCREST HEIGHTS</t>
  </si>
  <si>
    <t>ISLAND PLANTATION</t>
  </si>
  <si>
    <t>LITTLE TUAN</t>
  </si>
  <si>
    <t>MAAROOM</t>
  </si>
  <si>
    <t>MAGNOLIA</t>
  </si>
  <si>
    <t>MARYBOROUGH DC</t>
  </si>
  <si>
    <t>MARYBOROUGH WEST</t>
  </si>
  <si>
    <t>MOUNT STEADMAN</t>
  </si>
  <si>
    <t>MOUNT URAH</t>
  </si>
  <si>
    <t>MUNGAR</t>
  </si>
  <si>
    <t>OWANYILLA</t>
  </si>
  <si>
    <t>PALLAS STREET MARYBOROUGH</t>
  </si>
  <si>
    <t>PILERWA</t>
  </si>
  <si>
    <t>PIONEERS REST</t>
  </si>
  <si>
    <t>POONA</t>
  </si>
  <si>
    <t>PRAWLE</t>
  </si>
  <si>
    <t>TALEGALLA WEIR</t>
  </si>
  <si>
    <t>TANDORA</t>
  </si>
  <si>
    <t>TEDDINGTON</t>
  </si>
  <si>
    <t>THE DIMONDS</t>
  </si>
  <si>
    <t>THINOOMBA</t>
  </si>
  <si>
    <t>TIARO</t>
  </si>
  <si>
    <t>TINANA</t>
  </si>
  <si>
    <t>TINANA SOUTH</t>
  </si>
  <si>
    <t>TINNANBAR</t>
  </si>
  <si>
    <t>TUAN</t>
  </si>
  <si>
    <t>TUAN FOREST</t>
  </si>
  <si>
    <t>WALKERS POINT</t>
  </si>
  <si>
    <t>YENGARIE</t>
  </si>
  <si>
    <t>YERRA</t>
  </si>
  <si>
    <t>BUNYA CREEK</t>
  </si>
  <si>
    <t>CRAIGNISH</t>
  </si>
  <si>
    <t>DUNDOWRAN</t>
  </si>
  <si>
    <t>DUNDOWRAN BEACH</t>
  </si>
  <si>
    <t>ELI WATERS</t>
  </si>
  <si>
    <t>GHOST HILL</t>
  </si>
  <si>
    <t>GREAT SANDY STRAIT</t>
  </si>
  <si>
    <t>HERVEY BAY</t>
  </si>
  <si>
    <t>HERVEY BAY DC</t>
  </si>
  <si>
    <t>KAWUNGAN</t>
  </si>
  <si>
    <t>KINGFISHER BAY</t>
  </si>
  <si>
    <t>NIKENBAH</t>
  </si>
  <si>
    <t>PIALBA</t>
  </si>
  <si>
    <t>POINT VERNON</t>
  </si>
  <si>
    <t>RIVER HEADS</t>
  </si>
  <si>
    <t>SCARNESS</t>
  </si>
  <si>
    <t>SUNSHINE ACRES</t>
  </si>
  <si>
    <t>SUSAN RIVER</t>
  </si>
  <si>
    <t>TAKURA</t>
  </si>
  <si>
    <t>TOOGOOM</t>
  </si>
  <si>
    <t>URANGAN</t>
  </si>
  <si>
    <t>URRAWEEN</t>
  </si>
  <si>
    <t>WALLIEBUM</t>
  </si>
  <si>
    <t>WALLIGAN</t>
  </si>
  <si>
    <t>WONDUNNA</t>
  </si>
  <si>
    <t>BEELBI CREEK</t>
  </si>
  <si>
    <t>BURGOWAN</t>
  </si>
  <si>
    <t>BURRUM</t>
  </si>
  <si>
    <t>BURRUM HEADS</t>
  </si>
  <si>
    <t>BURRUM RIVER</t>
  </si>
  <si>
    <t>BURRUM TOWN</t>
  </si>
  <si>
    <t>HOWARD</t>
  </si>
  <si>
    <t>PACIFIC HAVEN</t>
  </si>
  <si>
    <t>APPLE TREE CREEK</t>
  </si>
  <si>
    <t>CHERWELL</t>
  </si>
  <si>
    <t>CORDALBA</t>
  </si>
  <si>
    <t>DOOLBI</t>
  </si>
  <si>
    <t>FARNSFIELD</t>
  </si>
  <si>
    <t>GOODWOOD</t>
  </si>
  <si>
    <t>GREGORY RIVER</t>
  </si>
  <si>
    <t>HORTON</t>
  </si>
  <si>
    <t>HUXLEY</t>
  </si>
  <si>
    <t>ISIS CENTRAL</t>
  </si>
  <si>
    <t>ISIS CENTRAL MILL</t>
  </si>
  <si>
    <t>ISIS RIVER</t>
  </si>
  <si>
    <t>KOWBI</t>
  </si>
  <si>
    <t>KULLOGUM</t>
  </si>
  <si>
    <t>NORTH GREGORY</t>
  </si>
  <si>
    <t>NORTH ISIS</t>
  </si>
  <si>
    <t>PROMISEDLAND</t>
  </si>
  <si>
    <t>REDRIDGE</t>
  </si>
  <si>
    <t>SOUTH ISIS</t>
  </si>
  <si>
    <t>WOODGATE</t>
  </si>
  <si>
    <t>TORBANLEA</t>
  </si>
  <si>
    <t>ALLOWAY</t>
  </si>
  <si>
    <t>AVENELL HEIGHTS</t>
  </si>
  <si>
    <t>BARGARA</t>
  </si>
  <si>
    <t>BRANYAN</t>
  </si>
  <si>
    <t>BUNDABERG</t>
  </si>
  <si>
    <t>BUNDABERG CENTRAL</t>
  </si>
  <si>
    <t>BUNDABERG DC</t>
  </si>
  <si>
    <t>BUNDABERG EAST</t>
  </si>
  <si>
    <t>BUNDABERG NORTH</t>
  </si>
  <si>
    <t>BUNDABERG SOUTH</t>
  </si>
  <si>
    <t>BUNDABERG WEST</t>
  </si>
  <si>
    <t>BURNETT DOWNS</t>
  </si>
  <si>
    <t>BURNETT HEADS</t>
  </si>
  <si>
    <t>CALAVOS</t>
  </si>
  <si>
    <t>COONARR</t>
  </si>
  <si>
    <t>CORAL COVE</t>
  </si>
  <si>
    <t>ELECTRA</t>
  </si>
  <si>
    <t>ELLIOTT HEADS</t>
  </si>
  <si>
    <t>FAIRYMEAD</t>
  </si>
  <si>
    <t>GIVELDA</t>
  </si>
  <si>
    <t>GLENFOREST</t>
  </si>
  <si>
    <t>GOOBURRUM</t>
  </si>
  <si>
    <t>INNES PARK</t>
  </si>
  <si>
    <t>KALKIE</t>
  </si>
  <si>
    <t>KEPNOCK</t>
  </si>
  <si>
    <t>KINKUNA</t>
  </si>
  <si>
    <t>MEADOWVALE</t>
  </si>
  <si>
    <t>MON REPOS</t>
  </si>
  <si>
    <t>NORVILLE</t>
  </si>
  <si>
    <t>QUNABA</t>
  </si>
  <si>
    <t>RUBYANNA</t>
  </si>
  <si>
    <t>SANTA FE HEIGHTS</t>
  </si>
  <si>
    <t>SHARON</t>
  </si>
  <si>
    <t>SOUTH BINGERA</t>
  </si>
  <si>
    <t>SOUTH KOLAN</t>
  </si>
  <si>
    <t>SVENSSON HEIGHTS</t>
  </si>
  <si>
    <t>THABEBAN</t>
  </si>
  <si>
    <t>WALKERVALE</t>
  </si>
  <si>
    <t>WATALGAN</t>
  </si>
  <si>
    <t>WELCOME CREEK</t>
  </si>
  <si>
    <t>WINFIELD</t>
  </si>
  <si>
    <t>WOONGARRA</t>
  </si>
  <si>
    <t>BOOLBOONDA</t>
  </si>
  <si>
    <t>BOOYAL</t>
  </si>
  <si>
    <t>BULLYARD</t>
  </si>
  <si>
    <t>BUNGADOO</t>
  </si>
  <si>
    <t>DALYSFORD</t>
  </si>
  <si>
    <t>DAMASCUS</t>
  </si>
  <si>
    <t>DELAN</t>
  </si>
  <si>
    <t>DOUGHBOY</t>
  </si>
  <si>
    <t>DRINAN</t>
  </si>
  <si>
    <t>DUINGAL</t>
  </si>
  <si>
    <t>GAETA</t>
  </si>
  <si>
    <t>GOOD NIGHT</t>
  </si>
  <si>
    <t>HORSE CAMP</t>
  </si>
  <si>
    <t>KOLONGA</t>
  </si>
  <si>
    <t>LAKE MONDURAN</t>
  </si>
  <si>
    <t>MAROONDAN</t>
  </si>
  <si>
    <t>MCILWRAITH</t>
  </si>
  <si>
    <t>MOLANGUL</t>
  </si>
  <si>
    <t>MONDURAN</t>
  </si>
  <si>
    <t>MOOLBOOLAMAN</t>
  </si>
  <si>
    <t>MORGANVILLE</t>
  </si>
  <si>
    <t>MOUNT PERRY</t>
  </si>
  <si>
    <t>MUNGY</t>
  </si>
  <si>
    <t>NEARUM</t>
  </si>
  <si>
    <t>NEW MOONTA</t>
  </si>
  <si>
    <t>REDHILL FARMS</t>
  </si>
  <si>
    <t>SKYRING RESERVE</t>
  </si>
  <si>
    <t>ST AGNES</t>
  </si>
  <si>
    <t>TAKILBERAN</t>
  </si>
  <si>
    <t>TIRROAN</t>
  </si>
  <si>
    <t>WALLAVILLE</t>
  </si>
  <si>
    <t>WONBAH</t>
  </si>
  <si>
    <t>WONBAH FOREST</t>
  </si>
  <si>
    <t>LITTABELLA</t>
  </si>
  <si>
    <t>MIARA</t>
  </si>
  <si>
    <t>YANDARAN</t>
  </si>
  <si>
    <t>BAFFLE CREEK</t>
  </si>
  <si>
    <t>BERAJONDO</t>
  </si>
  <si>
    <t>EULEILAH</t>
  </si>
  <si>
    <t>MOUNT MARIA</t>
  </si>
  <si>
    <t>OYSTER CREEK</t>
  </si>
  <si>
    <t>RULES BEACH</t>
  </si>
  <si>
    <t>TAUNTON</t>
  </si>
  <si>
    <t>GINDORAN</t>
  </si>
  <si>
    <t>LOWMEAD</t>
  </si>
  <si>
    <t>AGNES WATER</t>
  </si>
  <si>
    <t>CAPTAIN CREEK</t>
  </si>
  <si>
    <t>COLOSSEUM</t>
  </si>
  <si>
    <t>MIRIAM VALE</t>
  </si>
  <si>
    <t>MOUNT TOM</t>
  </si>
  <si>
    <t>ROUND HILL</t>
  </si>
  <si>
    <t>SEVENTEEN SEVENTY</t>
  </si>
  <si>
    <t>BOROREN</t>
  </si>
  <si>
    <t>FORESHORES</t>
  </si>
  <si>
    <t>RODDS BAY</t>
  </si>
  <si>
    <t>TURKEY BEACH</t>
  </si>
  <si>
    <t>BARMUNDU</t>
  </si>
  <si>
    <t>BARNEY POINT</t>
  </si>
  <si>
    <t>BEECHER</t>
  </si>
  <si>
    <t>BENARABY</t>
  </si>
  <si>
    <t>BOYNE ISLAND</t>
  </si>
  <si>
    <t>BOYNE VALLEY</t>
  </si>
  <si>
    <t>BOYNEDALE</t>
  </si>
  <si>
    <t>BUILYAN</t>
  </si>
  <si>
    <t>BURUA</t>
  </si>
  <si>
    <t>BYELLEE</t>
  </si>
  <si>
    <t>CALLEMONDAH</t>
  </si>
  <si>
    <t>CLINTON</t>
  </si>
  <si>
    <t>CURTIS ISLAND</t>
  </si>
  <si>
    <t>DIGLUM</t>
  </si>
  <si>
    <t>GLADSTONE BC</t>
  </si>
  <si>
    <t>GLADSTONE DC</t>
  </si>
  <si>
    <t>GLADSTONE SOUTH</t>
  </si>
  <si>
    <t>GLEN EDEN</t>
  </si>
  <si>
    <t>HERON ISLAND</t>
  </si>
  <si>
    <t>HETHERINGTON</t>
  </si>
  <si>
    <t>IVERAGH</t>
  </si>
  <si>
    <t>KIN KORA</t>
  </si>
  <si>
    <t>KIRKWOOD</t>
  </si>
  <si>
    <t>LITTLEMORE</t>
  </si>
  <si>
    <t>MANY PEAKS</t>
  </si>
  <si>
    <t>MOUNT ALMA</t>
  </si>
  <si>
    <t>NAGOORIN</t>
  </si>
  <si>
    <t>NEW AUCKLAND</t>
  </si>
  <si>
    <t>RIVER RANCH</t>
  </si>
  <si>
    <t>SOUTH END</t>
  </si>
  <si>
    <t>SOUTH GLADSTONE</t>
  </si>
  <si>
    <t>SOUTH TREES</t>
  </si>
  <si>
    <t>TANNUM SANDS</t>
  </si>
  <si>
    <t>TARAGOOLA</t>
  </si>
  <si>
    <t>TELINA</t>
  </si>
  <si>
    <t>TOOLOOA</t>
  </si>
  <si>
    <t>UBOBO</t>
  </si>
  <si>
    <t>WEST GLADSTONE</t>
  </si>
  <si>
    <t>WEST STOWE</t>
  </si>
  <si>
    <t>WOODERSON</t>
  </si>
  <si>
    <t>WURDONG HEIGHTS</t>
  </si>
  <si>
    <t>ALDOGA</t>
  </si>
  <si>
    <t>TARGINIE</t>
  </si>
  <si>
    <t>YARWUN</t>
  </si>
  <si>
    <t>AMBROSE</t>
  </si>
  <si>
    <t>BRACEWELL</t>
  </si>
  <si>
    <t>DARTS CREEK</t>
  </si>
  <si>
    <t>EAST END</t>
  </si>
  <si>
    <t>MACHINE CREEK</t>
  </si>
  <si>
    <t>MOUNT LARCOM</t>
  </si>
  <si>
    <t>BAJOOL</t>
  </si>
  <si>
    <t>PORT ALMA</t>
  </si>
  <si>
    <t>ALLENSTOWN</t>
  </si>
  <si>
    <t>DEPOT HILL</t>
  </si>
  <si>
    <t>FAIRY BOWER</t>
  </si>
  <si>
    <t>GREAT KEPPEL ISLAND</t>
  </si>
  <si>
    <t>PORT CURTIS</t>
  </si>
  <si>
    <t>ROCKHAMPTON</t>
  </si>
  <si>
    <t>ROCKHAMPTON CITY</t>
  </si>
  <si>
    <t>ROCKHAMPTON HOSPITAL</t>
  </si>
  <si>
    <t>THE KEPPELS</t>
  </si>
  <si>
    <t>THE RANGE</t>
  </si>
  <si>
    <t>WANDAL</t>
  </si>
  <si>
    <t>WEST ROCKHAMPTON</t>
  </si>
  <si>
    <t>BERSERKER</t>
  </si>
  <si>
    <t>CENTRAL QUEENSLAND UNIVERSITY</t>
  </si>
  <si>
    <t>FRENCHVILLE</t>
  </si>
  <si>
    <t>GREENLAKE</t>
  </si>
  <si>
    <t>KALKA</t>
  </si>
  <si>
    <t>KAWANA</t>
  </si>
  <si>
    <t>KOONGAL</t>
  </si>
  <si>
    <t>LAKES CREEK</t>
  </si>
  <si>
    <t>LIMESTONE CREEK</t>
  </si>
  <si>
    <t>MOUNT ARCHER</t>
  </si>
  <si>
    <t>NANKIN</t>
  </si>
  <si>
    <t>NERIMBERA</t>
  </si>
  <si>
    <t>NORMAN GARDENS</t>
  </si>
  <si>
    <t>NORTH ROCKHAMPTON</t>
  </si>
  <si>
    <t>OASIS GARDENS</t>
  </si>
  <si>
    <t>PARK AVENUE</t>
  </si>
  <si>
    <t>ROCKHAMPTON DC</t>
  </si>
  <si>
    <t>ROCKHAMPTON NORTH</t>
  </si>
  <si>
    <t>ROCKHAMPTON SHOPPING FAIR</t>
  </si>
  <si>
    <t>ROCKYVIEW</t>
  </si>
  <si>
    <t>THE COMMON</t>
  </si>
  <si>
    <t>ALBERTA</t>
  </si>
  <si>
    <t>ALSACE</t>
  </si>
  <si>
    <t>ALTON DOWNS</t>
  </si>
  <si>
    <t>BALCOMBA</t>
  </si>
  <si>
    <t>BANANA</t>
  </si>
  <si>
    <t>BARALABA</t>
  </si>
  <si>
    <t>BARNARD</t>
  </si>
  <si>
    <t>BINGEGANG</t>
  </si>
  <si>
    <t>BLACKDOWN</t>
  </si>
  <si>
    <t>BLUFF</t>
  </si>
  <si>
    <t>BOGANTUNGAN</t>
  </si>
  <si>
    <t>BOOLBURRA</t>
  </si>
  <si>
    <t>BOULDERCOMBE</t>
  </si>
  <si>
    <t>BUSHLEY</t>
  </si>
  <si>
    <t>CANAL CREEK</t>
  </si>
  <si>
    <t>CANOONA</t>
  </si>
  <si>
    <t>CAWARRAL</t>
  </si>
  <si>
    <t>CENTRAL QUEENSLAND MC</t>
  </si>
  <si>
    <t>COMET</t>
  </si>
  <si>
    <t>COOMOO</t>
  </si>
  <si>
    <t>COOROOMAN</t>
  </si>
  <si>
    <t>COOWONGA</t>
  </si>
  <si>
    <t>DALMA</t>
  </si>
  <si>
    <t>DINGO</t>
  </si>
  <si>
    <t>DIXALEA</t>
  </si>
  <si>
    <t>DULULU</t>
  </si>
  <si>
    <t>DUMPY CREEK</t>
  </si>
  <si>
    <t>ETNA CREEK</t>
  </si>
  <si>
    <t>FERNLEES</t>
  </si>
  <si>
    <t>GAINSFORD</t>
  </si>
  <si>
    <t>GARNANT</t>
  </si>
  <si>
    <t>GEMFIELDS</t>
  </si>
  <si>
    <t>GINDIE</t>
  </si>
  <si>
    <t>GOGANGO</t>
  </si>
  <si>
    <t>GOOMALLY</t>
  </si>
  <si>
    <t>GOOVIGEN</t>
  </si>
  <si>
    <t>GOOWARRA</t>
  </si>
  <si>
    <t>GRACEMERE</t>
  </si>
  <si>
    <t>JAMBIN</t>
  </si>
  <si>
    <t>JARDINE</t>
  </si>
  <si>
    <t>JELLINBAH</t>
  </si>
  <si>
    <t>JOSKELEIGH</t>
  </si>
  <si>
    <t>KABRA</t>
  </si>
  <si>
    <t>KALAPA</t>
  </si>
  <si>
    <t>KEPPEL SANDS</t>
  </si>
  <si>
    <t>KOKOTUNGO</t>
  </si>
  <si>
    <t>KUNWARARA</t>
  </si>
  <si>
    <t>MARMOR</t>
  </si>
  <si>
    <t>MIDGEE</t>
  </si>
  <si>
    <t>MILMAN</t>
  </si>
  <si>
    <t>MOONMERA</t>
  </si>
  <si>
    <t>MORINISH</t>
  </si>
  <si>
    <t>MORINISH SOUTH</t>
  </si>
  <si>
    <t>MOUNT CHALMERS</t>
  </si>
  <si>
    <t>PARKHURST</t>
  </si>
  <si>
    <t>PINK LILY</t>
  </si>
  <si>
    <t>RANNES</t>
  </si>
  <si>
    <t>RIDGELANDS</t>
  </si>
  <si>
    <t>ROLLESTON</t>
  </si>
  <si>
    <t>ROSSMOYA</t>
  </si>
  <si>
    <t>RUBYVALE</t>
  </si>
  <si>
    <t>SHOALWATER</t>
  </si>
  <si>
    <t>SMOKY CREEK</t>
  </si>
  <si>
    <t>SOUTH YAAMBA</t>
  </si>
  <si>
    <t>STANAGE</t>
  </si>
  <si>
    <t>STANWELL</t>
  </si>
  <si>
    <t>THE CAVES</t>
  </si>
  <si>
    <t>THOMPSON POINT</t>
  </si>
  <si>
    <t>TUNGAMULL</t>
  </si>
  <si>
    <t>ULOGIE</t>
  </si>
  <si>
    <t>WILLOWS</t>
  </si>
  <si>
    <t>WILLOWS GEMFIELDS</t>
  </si>
  <si>
    <t>WITHERSFIELD</t>
  </si>
  <si>
    <t>WOOLEIN</t>
  </si>
  <si>
    <t>WOOROONA</t>
  </si>
  <si>
    <t>WOWAN</t>
  </si>
  <si>
    <t>WYCARBAH</t>
  </si>
  <si>
    <t>YALLEROI</t>
  </si>
  <si>
    <t>YARAKA</t>
  </si>
  <si>
    <t>ADELAIDE PARK</t>
  </si>
  <si>
    <t>BARLOWS HILL</t>
  </si>
  <si>
    <t>BARMARYEE</t>
  </si>
  <si>
    <t>BARMOYA</t>
  </si>
  <si>
    <t>BAYFIELD</t>
  </si>
  <si>
    <t>BONDOOLA</t>
  </si>
  <si>
    <t>BUNGUNDARRA</t>
  </si>
  <si>
    <t>BYFIELD</t>
  </si>
  <si>
    <t>CAUSEWAY LAKE</t>
  </si>
  <si>
    <t>COBRABALL</t>
  </si>
  <si>
    <t>COOEE BAY</t>
  </si>
  <si>
    <t>FARNBOROUGH</t>
  </si>
  <si>
    <t>INVERNESS</t>
  </si>
  <si>
    <t>KEMP BEACH</t>
  </si>
  <si>
    <t>KINKA BEACH</t>
  </si>
  <si>
    <t>LAKE MARY</t>
  </si>
  <si>
    <t>LAMMERMOOR</t>
  </si>
  <si>
    <t>LAMMERMOOR BEACH</t>
  </si>
  <si>
    <t>MEIKLEVILLE HILL</t>
  </si>
  <si>
    <t>MULAMBIN</t>
  </si>
  <si>
    <t>MULARA</t>
  </si>
  <si>
    <t>PACIFIC HEIGHTS</t>
  </si>
  <si>
    <t>ROSSLYN</t>
  </si>
  <si>
    <t>STATUE BAY</t>
  </si>
  <si>
    <t>TANBY</t>
  </si>
  <si>
    <t>TARANGANBA</t>
  </si>
  <si>
    <t>TAROOMBALL</t>
  </si>
  <si>
    <t>WEERRIBA</t>
  </si>
  <si>
    <t>WOODBURY</t>
  </si>
  <si>
    <t>YEPPOON</t>
  </si>
  <si>
    <t>WATTLEBANK</t>
  </si>
  <si>
    <t>YAAMBA</t>
  </si>
  <si>
    <t>CLARKE CREEK</t>
  </si>
  <si>
    <t>LOTUS CREEK</t>
  </si>
  <si>
    <t>MACKENZIE RIVER</t>
  </si>
  <si>
    <t>MARLBOROUGH</t>
  </si>
  <si>
    <t>MOUNT GARDINER</t>
  </si>
  <si>
    <t>OGMORE</t>
  </si>
  <si>
    <t>ST LAWRENCE</t>
  </si>
  <si>
    <t>THE PERCY GROUP</t>
  </si>
  <si>
    <t>TIERI</t>
  </si>
  <si>
    <t>EMU PARK</t>
  </si>
  <si>
    <t>ZILZIE</t>
  </si>
  <si>
    <t>DUARINGA</t>
  </si>
  <si>
    <t>WOORABINDA</t>
  </si>
  <si>
    <t>BAREE</t>
  </si>
  <si>
    <t>BOULDER CREEK</t>
  </si>
  <si>
    <t>FLETCHER CREEK</t>
  </si>
  <si>
    <t>HAMILTON CREEK</t>
  </si>
  <si>
    <t>HORSE CREEK</t>
  </si>
  <si>
    <t>JOHNSONS HILL</t>
  </si>
  <si>
    <t>LEYDENS HILL</t>
  </si>
  <si>
    <t>MOONGAN</t>
  </si>
  <si>
    <t>MOUNT MORGAN</t>
  </si>
  <si>
    <t>NINE MILE CREEK</t>
  </si>
  <si>
    <t>OAKEY CREEK</t>
  </si>
  <si>
    <t>STRUCK OIL</t>
  </si>
  <si>
    <t>THE MINE</t>
  </si>
  <si>
    <t>TROTTER CREEK</t>
  </si>
  <si>
    <t>WALMUL</t>
  </si>
  <si>
    <t>WALTERHALL</t>
  </si>
  <si>
    <t>WURA</t>
  </si>
  <si>
    <t>BILOELA</t>
  </si>
  <si>
    <t>CALLIDE</t>
  </si>
  <si>
    <t>DAKENBA</t>
  </si>
  <si>
    <t>DUMGREE</t>
  </si>
  <si>
    <t>GREYCLIFFE</t>
  </si>
  <si>
    <t>MOUNT MURCHISON</t>
  </si>
  <si>
    <t>ORANGE CREEK</t>
  </si>
  <si>
    <t>TARRAMBA</t>
  </si>
  <si>
    <t>VALENTINE PLAINS</t>
  </si>
  <si>
    <t>LAWGI DAWES</t>
  </si>
  <si>
    <t>THANGOOL</t>
  </si>
  <si>
    <t>BLACKWATER</t>
  </si>
  <si>
    <t>BAUHINIA</t>
  </si>
  <si>
    <t>DROMEDARY</t>
  </si>
  <si>
    <t>MOURA</t>
  </si>
  <si>
    <t>MUNGABUNDA</t>
  </si>
  <si>
    <t>OOMBABEER</t>
  </si>
  <si>
    <t>RHYDDING</t>
  </si>
  <si>
    <t>ROUNDSTONE</t>
  </si>
  <si>
    <t>WARNOAH</t>
  </si>
  <si>
    <t>CRACOW</t>
  </si>
  <si>
    <t>GLENMORAL</t>
  </si>
  <si>
    <t>ISLA</t>
  </si>
  <si>
    <t>LONESOME CREEK</t>
  </si>
  <si>
    <t>YAMALA</t>
  </si>
  <si>
    <t>ARGYLL</t>
  </si>
  <si>
    <t>CLERMONT</t>
  </si>
  <si>
    <t>PASHA</t>
  </si>
  <si>
    <t>SPRINGSURE</t>
  </si>
  <si>
    <t>CAPELLA</t>
  </si>
  <si>
    <t>ALPHA</t>
  </si>
  <si>
    <t>BARCALDINE</t>
  </si>
  <si>
    <t>SALTERN</t>
  </si>
  <si>
    <t>ARAMAC</t>
  </si>
  <si>
    <t>ILFRACOMBE</t>
  </si>
  <si>
    <t>JERICHO</t>
  </si>
  <si>
    <t>BRIXTON</t>
  </si>
  <si>
    <t>CAMOOLA</t>
  </si>
  <si>
    <t>CHORREGON</t>
  </si>
  <si>
    <t>ERNESTINA</t>
  </si>
  <si>
    <t>LONGREACH</t>
  </si>
  <si>
    <t>MANEROO</t>
  </si>
  <si>
    <t>MORELLA</t>
  </si>
  <si>
    <t>VERGEMONT</t>
  </si>
  <si>
    <t>ISISFORD</t>
  </si>
  <si>
    <t>MUTTABURRA</t>
  </si>
  <si>
    <t>CORFIELD</t>
  </si>
  <si>
    <t>DIAMANTINA LAKES</t>
  </si>
  <si>
    <t>MIDDLETON</t>
  </si>
  <si>
    <t>OPALTON</t>
  </si>
  <si>
    <t>JUNDAH</t>
  </si>
  <si>
    <t>ARMSTRONG BEACH</t>
  </si>
  <si>
    <t>BLUE MOUNTAIN</t>
  </si>
  <si>
    <t>CAMPWIN BEACH</t>
  </si>
  <si>
    <t>COLSTON PARK</t>
  </si>
  <si>
    <t>FRESHWATER POINT</t>
  </si>
  <si>
    <t>GRASSTREE</t>
  </si>
  <si>
    <t>PLANE CREEK WEST</t>
  </si>
  <si>
    <t>SARINA</t>
  </si>
  <si>
    <t>SARINA BEACH</t>
  </si>
  <si>
    <t>SARINA RANGE</t>
  </si>
  <si>
    <t>SHINFIELD</t>
  </si>
  <si>
    <t>ILBILBIE</t>
  </si>
  <si>
    <t>KOUMALA</t>
  </si>
  <si>
    <t>CARMILA</t>
  </si>
  <si>
    <t>ALLIGATOR CREEK</t>
  </si>
  <si>
    <t>ANDERGROVE</t>
  </si>
  <si>
    <t>BALBERRA</t>
  </si>
  <si>
    <t>BALNAGOWAN</t>
  </si>
  <si>
    <t>BELMUNDA</t>
  </si>
  <si>
    <t>BLACKS BEACH</t>
  </si>
  <si>
    <t>CANELAND</t>
  </si>
  <si>
    <t>CAPE HILLSBOROUGH</t>
  </si>
  <si>
    <t>CHELONA</t>
  </si>
  <si>
    <t>CONINGSBY</t>
  </si>
  <si>
    <t>DOLPHIN HEADS</t>
  </si>
  <si>
    <t>DUMBLETON</t>
  </si>
  <si>
    <t>DUNDULA</t>
  </si>
  <si>
    <t>DUNNROCK</t>
  </si>
  <si>
    <t>EAST MACKAY</t>
  </si>
  <si>
    <t>EIMEO</t>
  </si>
  <si>
    <t>ERAKALA</t>
  </si>
  <si>
    <t>FOULDEN</t>
  </si>
  <si>
    <t>GLENELLA</t>
  </si>
  <si>
    <t>GRASSTREE BEACH</t>
  </si>
  <si>
    <t>HABANA</t>
  </si>
  <si>
    <t>HALF TIDE BEACH</t>
  </si>
  <si>
    <t>HALIDAY BAY</t>
  </si>
  <si>
    <t>HAY POINT</t>
  </si>
  <si>
    <t>MACKAY</t>
  </si>
  <si>
    <t>MACKAY BC</t>
  </si>
  <si>
    <t>MACKAY CANELAND</t>
  </si>
  <si>
    <t>MACKAY DC</t>
  </si>
  <si>
    <t>MACKAY EAST</t>
  </si>
  <si>
    <t>MACKAY HARBOUR</t>
  </si>
  <si>
    <t>MACKAY NORTH</t>
  </si>
  <si>
    <t>MACKAY SOUTH</t>
  </si>
  <si>
    <t>MACKAY WEST</t>
  </si>
  <si>
    <t>MCEWENS BEACH</t>
  </si>
  <si>
    <t>MOUNT JUKES</t>
  </si>
  <si>
    <t>MUNBURA</t>
  </si>
  <si>
    <t>NINDAROO</t>
  </si>
  <si>
    <t>NOORLAH</t>
  </si>
  <si>
    <t>NORTH MACKAY</t>
  </si>
  <si>
    <t>OORALEA</t>
  </si>
  <si>
    <t>PAGET</t>
  </si>
  <si>
    <t>PLANELLA</t>
  </si>
  <si>
    <t>PLANLAND</t>
  </si>
  <si>
    <t>RACECOURSE</t>
  </si>
  <si>
    <t>RICHANNA HEIGHTS</t>
  </si>
  <si>
    <t>ROSELLA</t>
  </si>
  <si>
    <t>RURAL VIEW</t>
  </si>
  <si>
    <t>SALONIKA BEACH</t>
  </si>
  <si>
    <t>SANDIFORD</t>
  </si>
  <si>
    <t>SLADE POINT</t>
  </si>
  <si>
    <t>SOUTH MACKAY</t>
  </si>
  <si>
    <t>TE KOWAI</t>
  </si>
  <si>
    <t>TELINA HEIGHTS</t>
  </si>
  <si>
    <t>THE LEAP</t>
  </si>
  <si>
    <t>TIMBERLANDS</t>
  </si>
  <si>
    <t>WEST MACKAY</t>
  </si>
  <si>
    <t>WUNDARU</t>
  </si>
  <si>
    <t>YAKAPARI</t>
  </si>
  <si>
    <t>BALL BAY</t>
  </si>
  <si>
    <t>BRAMPTON ISLAND</t>
  </si>
  <si>
    <t>BRIGHTLY</t>
  </si>
  <si>
    <t>CLAIRVIEW</t>
  </si>
  <si>
    <t>DAYDREAM ISLAND</t>
  </si>
  <si>
    <t>ETON</t>
  </si>
  <si>
    <t>ETON NORTH</t>
  </si>
  <si>
    <t>EUNGELLA HINTERLAND</t>
  </si>
  <si>
    <t>FARLEIGH</t>
  </si>
  <si>
    <t>FLAGGY ROCK</t>
  </si>
  <si>
    <t>GARGETT</t>
  </si>
  <si>
    <t>HAMPDEN</t>
  </si>
  <si>
    <t>HAZLEDEAN</t>
  </si>
  <si>
    <t>HOOK ISLAND</t>
  </si>
  <si>
    <t>KALARKA</t>
  </si>
  <si>
    <t>KINCHANT DAM</t>
  </si>
  <si>
    <t>KUTTABUL</t>
  </si>
  <si>
    <t>LINDEMAN ISLAND</t>
  </si>
  <si>
    <t>LONG ISLAND</t>
  </si>
  <si>
    <t>MACKAY MC</t>
  </si>
  <si>
    <t>MOUNT CHARLTON</t>
  </si>
  <si>
    <t>MOUNT CHRISTIAN</t>
  </si>
  <si>
    <t>MOUNT OSSA</t>
  </si>
  <si>
    <t>MOUNT PELION</t>
  </si>
  <si>
    <t>NORTH ETON</t>
  </si>
  <si>
    <t>OAKENDEN</t>
  </si>
  <si>
    <t>ORKABIE</t>
  </si>
  <si>
    <t>OWENS CREEK</t>
  </si>
  <si>
    <t>PLEYSTOWE</t>
  </si>
  <si>
    <t>SOUTH MOLLE</t>
  </si>
  <si>
    <t>YALBOROO</t>
  </si>
  <si>
    <t>BURTON</t>
  </si>
  <si>
    <t>EAGLEFIELD</t>
  </si>
  <si>
    <t>HAIL CREEK</t>
  </si>
  <si>
    <t>KEMMIS</t>
  </si>
  <si>
    <t>MT BRITTON</t>
  </si>
  <si>
    <t>NEBO</t>
  </si>
  <si>
    <t>OXFORD</t>
  </si>
  <si>
    <t>TURRAWULLA</t>
  </si>
  <si>
    <t>VALKYRIE</t>
  </si>
  <si>
    <t>GLENDEN</t>
  </si>
  <si>
    <t>SUTTOR</t>
  </si>
  <si>
    <t>MORANBAH</t>
  </si>
  <si>
    <t>PEAK DOWNS MINE</t>
  </si>
  <si>
    <t>NORWICH PARK</t>
  </si>
  <si>
    <t>GERMAN CREEK</t>
  </si>
  <si>
    <t>MAY DOWNS</t>
  </si>
  <si>
    <t>MIDDLEMOUNT</t>
  </si>
  <si>
    <t>BUCASIA</t>
  </si>
  <si>
    <t>SHOAL POINT</t>
  </si>
  <si>
    <t>PALMYRA</t>
  </si>
  <si>
    <t>VICTORIA PLAINS</t>
  </si>
  <si>
    <t>WALKERSTON</t>
  </si>
  <si>
    <t>DEVEREUX CREEK</t>
  </si>
  <si>
    <t>MARIAN</t>
  </si>
  <si>
    <t>BENHOLME</t>
  </si>
  <si>
    <t>DOWS CREEK</t>
  </si>
  <si>
    <t>MIRANI</t>
  </si>
  <si>
    <t>MOUNT MARTIN</t>
  </si>
  <si>
    <t>PINEVALE</t>
  </si>
  <si>
    <t>SEPTIMUS</t>
  </si>
  <si>
    <t>FINCH HATTON</t>
  </si>
  <si>
    <t>NETHERDALE</t>
  </si>
  <si>
    <t>BROKEN RIVER</t>
  </si>
  <si>
    <t>CREDITON</t>
  </si>
  <si>
    <t>DALRYMPLE HEIGHTS</t>
  </si>
  <si>
    <t>EUNGELLA DAM</t>
  </si>
  <si>
    <t>CALEN</t>
  </si>
  <si>
    <t>MENTMORE</t>
  </si>
  <si>
    <t>PINDI PINDI</t>
  </si>
  <si>
    <t>ST HELENS BEACH</t>
  </si>
  <si>
    <t>WAGOORA</t>
  </si>
  <si>
    <t>BLOOMSBURY</t>
  </si>
  <si>
    <t>MIDGE POINT</t>
  </si>
  <si>
    <t>ANDROMACHE</t>
  </si>
  <si>
    <t>CANNON VALLEY</t>
  </si>
  <si>
    <t>CAPE CONWAY</t>
  </si>
  <si>
    <t>CAPE GLOUCESTER</t>
  </si>
  <si>
    <t>CONWAY</t>
  </si>
  <si>
    <t>CONWAY BEACH</t>
  </si>
  <si>
    <t>CRYSTAL BROOK</t>
  </si>
  <si>
    <t>DINGO BEACH</t>
  </si>
  <si>
    <t>DITTMER</t>
  </si>
  <si>
    <t>ERLANDO BEACH</t>
  </si>
  <si>
    <t>FOXDALE</t>
  </si>
  <si>
    <t>GLEN ISLA</t>
  </si>
  <si>
    <t>GOORGANGA CREEK</t>
  </si>
  <si>
    <t>GOORGANGA PLAINS</t>
  </si>
  <si>
    <t>GUNYARRA</t>
  </si>
  <si>
    <t>HAMILTON PLAINS</t>
  </si>
  <si>
    <t>HIDEAWAY BAY</t>
  </si>
  <si>
    <t>KELSEY CREEK</t>
  </si>
  <si>
    <t>LAGUNA QUAYS</t>
  </si>
  <si>
    <t>LAKE PROSERPINE</t>
  </si>
  <si>
    <t>LETHEBROOK</t>
  </si>
  <si>
    <t>MOUNT JULIAN</t>
  </si>
  <si>
    <t>MOUNT MARLOW</t>
  </si>
  <si>
    <t>MOUNT PLUTO</t>
  </si>
  <si>
    <t>MYRTLEVALE</t>
  </si>
  <si>
    <t>PAULS POCKET</t>
  </si>
  <si>
    <t>PROSERPINE</t>
  </si>
  <si>
    <t>RIORDANVALE</t>
  </si>
  <si>
    <t>STRATHDICKIE</t>
  </si>
  <si>
    <t>THOOPARA</t>
  </si>
  <si>
    <t>WILSON BEACH</t>
  </si>
  <si>
    <t>HAYMAN ISLAND</t>
  </si>
  <si>
    <t>AIRLIE BEACH</t>
  </si>
  <si>
    <t>CANNONVALE</t>
  </si>
  <si>
    <t>FLAMETREE</t>
  </si>
  <si>
    <t>JUBILEE POCKET</t>
  </si>
  <si>
    <t>MANDALAY</t>
  </si>
  <si>
    <t>MOUNT ROOPER</t>
  </si>
  <si>
    <t>SHUTE HARBOUR</t>
  </si>
  <si>
    <t>SHUTEHAVEN</t>
  </si>
  <si>
    <t>WHITSUNDAYS</t>
  </si>
  <si>
    <t>WOODWARK</t>
  </si>
  <si>
    <t>HAMILTON ISLAND</t>
  </si>
  <si>
    <t>COLLINSVILLE</t>
  </si>
  <si>
    <t>MOUNT COOLON</t>
  </si>
  <si>
    <t>MOUNT WYATT</t>
  </si>
  <si>
    <t>NEWLANDS</t>
  </si>
  <si>
    <t>SCOTTVILLE</t>
  </si>
  <si>
    <t>SPRINGLANDS</t>
  </si>
  <si>
    <t>BINBEE</t>
  </si>
  <si>
    <t>BOGIE</t>
  </si>
  <si>
    <t>BRISK BAY</t>
  </si>
  <si>
    <t>DELTA</t>
  </si>
  <si>
    <t>GUMLU</t>
  </si>
  <si>
    <t>GUTHALUNGRA</t>
  </si>
  <si>
    <t>MERINDA</t>
  </si>
  <si>
    <t>QUEENS BEACH</t>
  </si>
  <si>
    <t>ARKENDEITH</t>
  </si>
  <si>
    <t>CARSTAIRS</t>
  </si>
  <si>
    <t>DOWN RIVER</t>
  </si>
  <si>
    <t>FREDERICKSFIELD</t>
  </si>
  <si>
    <t>GROPER CREEK RESERVE</t>
  </si>
  <si>
    <t>HOME HILL</t>
  </si>
  <si>
    <t>KEEBAH</t>
  </si>
  <si>
    <t>KIRKNIE</t>
  </si>
  <si>
    <t>WUNJUNGA</t>
  </si>
  <si>
    <t>AIRDMILLAN</t>
  </si>
  <si>
    <t>AIRVILLE</t>
  </si>
  <si>
    <t>ALVA</t>
  </si>
  <si>
    <t>AYR</t>
  </si>
  <si>
    <t>CLARE</t>
  </si>
  <si>
    <t>DALBEG</t>
  </si>
  <si>
    <t>EIGHT MILE CREEK</t>
  </si>
  <si>
    <t>JARVISFIELD</t>
  </si>
  <si>
    <t>KALAMIA</t>
  </si>
  <si>
    <t>MAIDAVALE</t>
  </si>
  <si>
    <t>MCDESME</t>
  </si>
  <si>
    <t>MILLAROO</t>
  </si>
  <si>
    <t>MONA PARK</t>
  </si>
  <si>
    <t>MOUNT KELLY</t>
  </si>
  <si>
    <t>PARKSIDE</t>
  </si>
  <si>
    <t>RITE ISLAND</t>
  </si>
  <si>
    <t>SWANS LAGOON</t>
  </si>
  <si>
    <t>BRANDON</t>
  </si>
  <si>
    <t>COLEVALE</t>
  </si>
  <si>
    <t>CROMARTY</t>
  </si>
  <si>
    <t>GIRU</t>
  </si>
  <si>
    <t>HORSESHOE LAGOON</t>
  </si>
  <si>
    <t>JERONA</t>
  </si>
  <si>
    <t>MOUNT SURROUND</t>
  </si>
  <si>
    <t>SHIRBOURNE</t>
  </si>
  <si>
    <t>UPPER HAUGHTON</t>
  </si>
  <si>
    <t>BELGIAN GARDENS</t>
  </si>
  <si>
    <t>CAPE CLEVELAND</t>
  </si>
  <si>
    <t>NORTH WARD</t>
  </si>
  <si>
    <t>PALLARENDA</t>
  </si>
  <si>
    <t>RAILWAY ESTATE</t>
  </si>
  <si>
    <t>ROWES BAY</t>
  </si>
  <si>
    <t>SOUTH TOWNSVILLE</t>
  </si>
  <si>
    <t>TOWNSVILLE</t>
  </si>
  <si>
    <t>TOWNSVILLE DC</t>
  </si>
  <si>
    <t>TOWNSVILLE MC</t>
  </si>
  <si>
    <t>TOWNSVILLE WEST</t>
  </si>
  <si>
    <t>CLUDEN</t>
  </si>
  <si>
    <t>IDALIA</t>
  </si>
  <si>
    <t>JAMES COOK UNIVERSITY</t>
  </si>
  <si>
    <t>MOUNT STUART</t>
  </si>
  <si>
    <t>OAK VALLEY</t>
  </si>
  <si>
    <t>OONOONBA</t>
  </si>
  <si>
    <t>ROSENEATH</t>
  </si>
  <si>
    <t>STUART</t>
  </si>
  <si>
    <t>WULGURU</t>
  </si>
  <si>
    <t>CURRAJONG</t>
  </si>
  <si>
    <t>GULLIVER</t>
  </si>
  <si>
    <t>HERMIT PARK</t>
  </si>
  <si>
    <t>HYDE PARK</t>
  </si>
  <si>
    <t>HYDE PARK CASTLETOWN</t>
  </si>
  <si>
    <t>MUNDINGBURRA</t>
  </si>
  <si>
    <t>MYSTERTON</t>
  </si>
  <si>
    <t>RISING SUN</t>
  </si>
  <si>
    <t>ROSSLEA</t>
  </si>
  <si>
    <t>LAVARACK BARRACKS</t>
  </si>
  <si>
    <t>TOWNSVILLE MILPO</t>
  </si>
  <si>
    <t>AITKENVALE</t>
  </si>
  <si>
    <t>AITKENVALE BC</t>
  </si>
  <si>
    <t>CRANBROOK</t>
  </si>
  <si>
    <t>GARBUTT</t>
  </si>
  <si>
    <t>GARBUTT BC</t>
  </si>
  <si>
    <t>GARBUTT EAST</t>
  </si>
  <si>
    <t>HEATLEY</t>
  </si>
  <si>
    <t>MOUNT LOUISA</t>
  </si>
  <si>
    <t>MURRAY</t>
  </si>
  <si>
    <t>THURINGOWA DC</t>
  </si>
  <si>
    <t>VINCENT</t>
  </si>
  <si>
    <t>CONDON</t>
  </si>
  <si>
    <t>PINNACLES</t>
  </si>
  <si>
    <t>RASMUSSEN</t>
  </si>
  <si>
    <t>BALGAL BEACH</t>
  </si>
  <si>
    <t>BROOKHILL</t>
  </si>
  <si>
    <t>CALCIUM</t>
  </si>
  <si>
    <t>CARRUCHAN</t>
  </si>
  <si>
    <t>CRIMEA</t>
  </si>
  <si>
    <t>CUNGULLA</t>
  </si>
  <si>
    <t>ELLERBECK</t>
  </si>
  <si>
    <t>HOMESTEAD</t>
  </si>
  <si>
    <t>JULAGO</t>
  </si>
  <si>
    <t>KENNEDY</t>
  </si>
  <si>
    <t>MACROSSAN</t>
  </si>
  <si>
    <t>MALPAS-TRENTON</t>
  </si>
  <si>
    <t>MAXWELTON</t>
  </si>
  <si>
    <t>MINGELA</t>
  </si>
  <si>
    <t>MUTARNEE</t>
  </si>
  <si>
    <t>NELIA</t>
  </si>
  <si>
    <t>NOME</t>
  </si>
  <si>
    <t>PALM ISLAND</t>
  </si>
  <si>
    <t>PALUMA</t>
  </si>
  <si>
    <t>PENTLAND</t>
  </si>
  <si>
    <t>REID RIVER</t>
  </si>
  <si>
    <t>ROLLINGSTONE</t>
  </si>
  <si>
    <t>SAVANNAH</t>
  </si>
  <si>
    <t>SELLHEIM</t>
  </si>
  <si>
    <t>THE CAPE</t>
  </si>
  <si>
    <t>TOOMULLA</t>
  </si>
  <si>
    <t>TOONPAN</t>
  </si>
  <si>
    <t>TORRENS CREEK</t>
  </si>
  <si>
    <t>ALICE RIVER</t>
  </si>
  <si>
    <t>BOHLE PLAINS</t>
  </si>
  <si>
    <t>HERVEY RANGE</t>
  </si>
  <si>
    <t>KIRWAN</t>
  </si>
  <si>
    <t>RANGEWOOD</t>
  </si>
  <si>
    <t>RUPERTSWOOD</t>
  </si>
  <si>
    <t>STABLEFORD</t>
  </si>
  <si>
    <t>THURINGOWA CENTRAL</t>
  </si>
  <si>
    <t>BEACH HOLM</t>
  </si>
  <si>
    <t>BLACK RIVER</t>
  </si>
  <si>
    <t>BLUE HILLS</t>
  </si>
  <si>
    <t>BLUEWATER</t>
  </si>
  <si>
    <t>BLUEWATER PARK</t>
  </si>
  <si>
    <t>BOHLE</t>
  </si>
  <si>
    <t>BURDELL</t>
  </si>
  <si>
    <t>BUSHLAND BEACH</t>
  </si>
  <si>
    <t>DEERAGUN</t>
  </si>
  <si>
    <t>INNES</t>
  </si>
  <si>
    <t>JENSEN</t>
  </si>
  <si>
    <t>LYNAM</t>
  </si>
  <si>
    <t>MOUNT LOW</t>
  </si>
  <si>
    <t>PURONO PARK</t>
  </si>
  <si>
    <t>SAUNDERS BEACH</t>
  </si>
  <si>
    <t>SHAW</t>
  </si>
  <si>
    <t>TOOLAKEA</t>
  </si>
  <si>
    <t>YABULU</t>
  </si>
  <si>
    <t>ARCADIA BAY</t>
  </si>
  <si>
    <t>HORSESHOE BAY</t>
  </si>
  <si>
    <t>MAGNETIC ISLAND</t>
  </si>
  <si>
    <t>NELLY BAY</t>
  </si>
  <si>
    <t>PICNIC BAY</t>
  </si>
  <si>
    <t>BALFES CREEK</t>
  </si>
  <si>
    <t>BLACK JACK</t>
  </si>
  <si>
    <t>BREDDAN</t>
  </si>
  <si>
    <t>CAMPASPE</t>
  </si>
  <si>
    <t>CHARTERS TOWERS</t>
  </si>
  <si>
    <t>DOTSWOOD</t>
  </si>
  <si>
    <t>QUEENTON</t>
  </si>
  <si>
    <t>SEVENTY MILE</t>
  </si>
  <si>
    <t>DUTTON RIVER</t>
  </si>
  <si>
    <t>HUGHENDEN</t>
  </si>
  <si>
    <t>PORCUPINE</t>
  </si>
  <si>
    <t>STAMFORD</t>
  </si>
  <si>
    <t>TANGORIN</t>
  </si>
  <si>
    <t>NONDA</t>
  </si>
  <si>
    <t>VICTORIA VALE</t>
  </si>
  <si>
    <t>CARPENTARIA</t>
  </si>
  <si>
    <t>JULIA CREEK</t>
  </si>
  <si>
    <t>KYNUNA</t>
  </si>
  <si>
    <t>MCKINLAY</t>
  </si>
  <si>
    <t>STOKES</t>
  </si>
  <si>
    <t>TALDORA</t>
  </si>
  <si>
    <t>CLONCURRY</t>
  </si>
  <si>
    <t>DEVONCOURT STATION</t>
  </si>
  <si>
    <t>FOUR WAYS</t>
  </si>
  <si>
    <t>GIDYA</t>
  </si>
  <si>
    <t>KURIDALA</t>
  </si>
  <si>
    <t>OORINDI</t>
  </si>
  <si>
    <t>THREE RIVERS</t>
  </si>
  <si>
    <t>ALPURRURULAM</t>
  </si>
  <si>
    <t>ALROY</t>
  </si>
  <si>
    <t>ANTHONYS LAGOON</t>
  </si>
  <si>
    <t>BREAKAWAY</t>
  </si>
  <si>
    <t>BRUNETTE DOWNS</t>
  </si>
  <si>
    <t>BUCKINGHAM</t>
  </si>
  <si>
    <t>CARRANDOTTA</t>
  </si>
  <si>
    <t>DAJARRA</t>
  </si>
  <si>
    <t>DUCHESS</t>
  </si>
  <si>
    <t>FIELDING</t>
  </si>
  <si>
    <t>GEORGINA</t>
  </si>
  <si>
    <t>GUNPOWDER</t>
  </si>
  <si>
    <t>HEALY</t>
  </si>
  <si>
    <t>KALKADOON</t>
  </si>
  <si>
    <t>LANSKEY</t>
  </si>
  <si>
    <t>LAWN HILL</t>
  </si>
  <si>
    <t>MARY KATHLEEN</t>
  </si>
  <si>
    <t>MENZIES</t>
  </si>
  <si>
    <t>MICA CREEK</t>
  </si>
  <si>
    <t>MILES END</t>
  </si>
  <si>
    <t>MOUNT ISA</t>
  </si>
  <si>
    <t>MOUNT ISA BC</t>
  </si>
  <si>
    <t>MOUNT ISA DC</t>
  </si>
  <si>
    <t>MOUNT ISA EAST</t>
  </si>
  <si>
    <t>OSBORNE MINE</t>
  </si>
  <si>
    <t>PIONEER</t>
  </si>
  <si>
    <t>PITURIE</t>
  </si>
  <si>
    <t>SPREADBOROUGH</t>
  </si>
  <si>
    <t>SUNSET</t>
  </si>
  <si>
    <t>THE MONUMENT</t>
  </si>
  <si>
    <t>TOWNVIEW</t>
  </si>
  <si>
    <t>WINSTON</t>
  </si>
  <si>
    <t>CAMOOWEAL</t>
  </si>
  <si>
    <t>BEDOURIE</t>
  </si>
  <si>
    <t>BOULIA</t>
  </si>
  <si>
    <t>MIN MIN</t>
  </si>
  <si>
    <t>STURT</t>
  </si>
  <si>
    <t>TOKO</t>
  </si>
  <si>
    <t>WARENDA</t>
  </si>
  <si>
    <t>WILLS</t>
  </si>
  <si>
    <t>AUGUSTUS DOWNS</t>
  </si>
  <si>
    <t>BURKETOWN</t>
  </si>
  <si>
    <t>DOOMADGEE</t>
  </si>
  <si>
    <t>GREGORY</t>
  </si>
  <si>
    <t>GREGORY DOWNS</t>
  </si>
  <si>
    <t>CARDWELL</t>
  </si>
  <si>
    <t>DAMPER CREEK</t>
  </si>
  <si>
    <t>LUMHOLTZ</t>
  </si>
  <si>
    <t>RUNGOO</t>
  </si>
  <si>
    <t>ABERGOWRIE</t>
  </si>
  <si>
    <t>ALLINGHAM</t>
  </si>
  <si>
    <t>BAMBAROO</t>
  </si>
  <si>
    <t>BEMERSIDE</t>
  </si>
  <si>
    <t>BLACKROCK</t>
  </si>
  <si>
    <t>BRAEMEADOWS</t>
  </si>
  <si>
    <t>CORDELIA</t>
  </si>
  <si>
    <t>DALRYMPLE CREEK</t>
  </si>
  <si>
    <t>FORESTHOME</t>
  </si>
  <si>
    <t>FORREST BEACH</t>
  </si>
  <si>
    <t>GAIRLOCH</t>
  </si>
  <si>
    <t>GARRAWALT</t>
  </si>
  <si>
    <t>HALIFAX</t>
  </si>
  <si>
    <t>HAWKINS CREEK</t>
  </si>
  <si>
    <t>HELENS HILL</t>
  </si>
  <si>
    <t>INGHAM</t>
  </si>
  <si>
    <t>LANNERCOST</t>
  </si>
  <si>
    <t>LUCINDA</t>
  </si>
  <si>
    <t>MACKNADE</t>
  </si>
  <si>
    <t>MOUNT FOX</t>
  </si>
  <si>
    <t>ORIENT</t>
  </si>
  <si>
    <t>PEACOCK SIDING</t>
  </si>
  <si>
    <t>TOOBANNA</t>
  </si>
  <si>
    <t>TREBONNE</t>
  </si>
  <si>
    <t>UPPER STONE</t>
  </si>
  <si>
    <t>VALLEY OF LAGOONS</t>
  </si>
  <si>
    <t>VICTORIA PLANTATION</t>
  </si>
  <si>
    <t>WALLAMAN</t>
  </si>
  <si>
    <t>WHARPS</t>
  </si>
  <si>
    <t>YURUGA</t>
  </si>
  <si>
    <t>BINGIL BAY</t>
  </si>
  <si>
    <t>CARMOO</t>
  </si>
  <si>
    <t>CLUMP POINT</t>
  </si>
  <si>
    <t>DJIRU</t>
  </si>
  <si>
    <t>DUNK</t>
  </si>
  <si>
    <t>GARNERS BEACH</t>
  </si>
  <si>
    <t>MIDGEREE BAR</t>
  </si>
  <si>
    <t>MISSION BEACH</t>
  </si>
  <si>
    <t>NARRAGON BEACH</t>
  </si>
  <si>
    <t>SOUTH MISSION</t>
  </si>
  <si>
    <t>TAM O'SHANTER</t>
  </si>
  <si>
    <t>WONGALING BEACH</t>
  </si>
  <si>
    <t>BILYANA</t>
  </si>
  <si>
    <t>BIRKALLA</t>
  </si>
  <si>
    <t>BULGUN</t>
  </si>
  <si>
    <t>CARDSTONE</t>
  </si>
  <si>
    <t>DINGO POCKET</t>
  </si>
  <si>
    <t>DJARAWONG</t>
  </si>
  <si>
    <t>EAST FELUGA</t>
  </si>
  <si>
    <t>EURAMO</t>
  </si>
  <si>
    <t>FELUGA</t>
  </si>
  <si>
    <t>HULL HEADS</t>
  </si>
  <si>
    <t>JARRA CREEK</t>
  </si>
  <si>
    <t>KOOROOMOOL</t>
  </si>
  <si>
    <t>LOWER TULLY</t>
  </si>
  <si>
    <t>MERRYBURN</t>
  </si>
  <si>
    <t>MIDGENOO</t>
  </si>
  <si>
    <t>MOUNT MACKAY</t>
  </si>
  <si>
    <t>MUNRO PLAINS</t>
  </si>
  <si>
    <t>MURRAY UPPER</t>
  </si>
  <si>
    <t>MURRIGAL</t>
  </si>
  <si>
    <t>ROCKINGHAM</t>
  </si>
  <si>
    <t>SILKY OAK</t>
  </si>
  <si>
    <t>TULLY</t>
  </si>
  <si>
    <t>TULLY HEADS</t>
  </si>
  <si>
    <t>WALTER HILL</t>
  </si>
  <si>
    <t>WARRAMI</t>
  </si>
  <si>
    <t>DAVESON</t>
  </si>
  <si>
    <t>EL ARISH</t>
  </si>
  <si>
    <t>FRIDAY POCKET</t>
  </si>
  <si>
    <t>GRANADILLA</t>
  </si>
  <si>
    <t>JAFFA</t>
  </si>
  <si>
    <t>MAADI</t>
  </si>
  <si>
    <t>MARIA CREEKS</t>
  </si>
  <si>
    <t>SHELL POCKET</t>
  </si>
  <si>
    <t>GOOLBOO</t>
  </si>
  <si>
    <t>JAPOONVALE</t>
  </si>
  <si>
    <t>MCCUTCHEON</t>
  </si>
  <si>
    <t>NO. 4 BRANCH</t>
  </si>
  <si>
    <t>NO. 5 BRANCH</t>
  </si>
  <si>
    <t>SILKWOOD</t>
  </si>
  <si>
    <t>WALTER LEVER ESTATE</t>
  </si>
  <si>
    <t>SILKWOOD EAST</t>
  </si>
  <si>
    <t>COMOON LOOP</t>
  </si>
  <si>
    <t>ETTY BAY</t>
  </si>
  <si>
    <t>MARTYVILLE</t>
  </si>
  <si>
    <t>MOURILYAN</t>
  </si>
  <si>
    <t>MOURILYAN HARBOUR</t>
  </si>
  <si>
    <t>NEW HARBOURLINE</t>
  </si>
  <si>
    <t>NO. 6 BRANCH</t>
  </si>
  <si>
    <t>SOUTH JOHNSTONE</t>
  </si>
  <si>
    <t>BAMBOO CREEK</t>
  </si>
  <si>
    <t>BELVEDERE</t>
  </si>
  <si>
    <t>COCONUTS</t>
  </si>
  <si>
    <t>COOROO LANDS</t>
  </si>
  <si>
    <t>COORUMBA</t>
  </si>
  <si>
    <t>COQUETTE POINT</t>
  </si>
  <si>
    <t>CULLINANE</t>
  </si>
  <si>
    <t>DARADGEE</t>
  </si>
  <si>
    <t>EAST INNISFAIL</t>
  </si>
  <si>
    <t>EAST PALMERSTON</t>
  </si>
  <si>
    <t>EATON</t>
  </si>
  <si>
    <t>EUBENANGEE</t>
  </si>
  <si>
    <t>FITZGERALD CREEK</t>
  </si>
  <si>
    <t>FLYING FISH POINT</t>
  </si>
  <si>
    <t>GARRADUNGA</t>
  </si>
  <si>
    <t>GOONDI</t>
  </si>
  <si>
    <t>GOONDI BEND</t>
  </si>
  <si>
    <t>GOONDI HILL</t>
  </si>
  <si>
    <t>HUDSON</t>
  </si>
  <si>
    <t>INNISFAIL</t>
  </si>
  <si>
    <t>INNISFAIL ESTATE</t>
  </si>
  <si>
    <t>JUBILEE HEIGHTS</t>
  </si>
  <si>
    <t>MIGHELL</t>
  </si>
  <si>
    <t>MUNDOO</t>
  </si>
  <si>
    <t>NERADA</t>
  </si>
  <si>
    <t>NJATJAN</t>
  </si>
  <si>
    <t>O'BRIENS HILL</t>
  </si>
  <si>
    <t>PIN GIN HILL</t>
  </si>
  <si>
    <t>SOUTH INNISFAIL</t>
  </si>
  <si>
    <t>STOTERS HILL</t>
  </si>
  <si>
    <t>SUNDOWN</t>
  </si>
  <si>
    <t>UPPER DARADGEE</t>
  </si>
  <si>
    <t>VALETTAS ESTATE</t>
  </si>
  <si>
    <t>VASA VIEWS</t>
  </si>
  <si>
    <t>WANJURU</t>
  </si>
  <si>
    <t>WEBB</t>
  </si>
  <si>
    <t>WOOROONOORAN</t>
  </si>
  <si>
    <t>BABINDA</t>
  </si>
  <si>
    <t>BARTLE FRERE</t>
  </si>
  <si>
    <t>EAST RUSSELL</t>
  </si>
  <si>
    <t>GORDONVALE</t>
  </si>
  <si>
    <t>KAMMA</t>
  </si>
  <si>
    <t>LITTLE MULGRAVE</t>
  </si>
  <si>
    <t>MERINGA</t>
  </si>
  <si>
    <t>PYRAMID</t>
  </si>
  <si>
    <t>BAYVIEW HEIGHTS</t>
  </si>
  <si>
    <t>MOUNT SHERIDAN</t>
  </si>
  <si>
    <t>WOREE</t>
  </si>
  <si>
    <t>BENTLEY PARK</t>
  </si>
  <si>
    <t>CENTENARY PARK</t>
  </si>
  <si>
    <t>EDMONTON</t>
  </si>
  <si>
    <t>MOUNT PETER</t>
  </si>
  <si>
    <t>TAMARIND GARDENS</t>
  </si>
  <si>
    <t>WRIGHTS CREEK</t>
  </si>
  <si>
    <t>AEROGLEN</t>
  </si>
  <si>
    <t>BRINSMEAD</t>
  </si>
  <si>
    <t>BUNGALOW</t>
  </si>
  <si>
    <t>CAIRNS</t>
  </si>
  <si>
    <t>CAIRNS CENTRAL</t>
  </si>
  <si>
    <t>CAIRNS CITY</t>
  </si>
  <si>
    <t>CAIRNS DC</t>
  </si>
  <si>
    <t>CAIRNS MC</t>
  </si>
  <si>
    <t>CAIRNS NORTH</t>
  </si>
  <si>
    <t>CAIRNS ORCHID PLAZA</t>
  </si>
  <si>
    <t>EARLVILLE</t>
  </si>
  <si>
    <t>EARLVILLE BC</t>
  </si>
  <si>
    <t>EDGE HILL</t>
  </si>
  <si>
    <t>FRESHWATER</t>
  </si>
  <si>
    <t>KAMERUNGA</t>
  </si>
  <si>
    <t>LAKE MORRIS</t>
  </si>
  <si>
    <t>MACKINNON</t>
  </si>
  <si>
    <t>MANOORA</t>
  </si>
  <si>
    <t>MANUNDA</t>
  </si>
  <si>
    <t>MARTYNVALE</t>
  </si>
  <si>
    <t>MOOROOBOOL</t>
  </si>
  <si>
    <t>NORTH CAIRNS</t>
  </si>
  <si>
    <t>PARRAMATTA PARK</t>
  </si>
  <si>
    <t>PORTSMITH</t>
  </si>
  <si>
    <t>REDLYNCH</t>
  </si>
  <si>
    <t>WESTCOURT</t>
  </si>
  <si>
    <t>ABINGDON DOWNS</t>
  </si>
  <si>
    <t>ALMADEN</t>
  </si>
  <si>
    <t>ALOOMBA</t>
  </si>
  <si>
    <t>AURUKUN</t>
  </si>
  <si>
    <t>BASILISK</t>
  </si>
  <si>
    <t>BELLENDEN KER</t>
  </si>
  <si>
    <t>BLACKBULL</t>
  </si>
  <si>
    <t>BOMBEETA</t>
  </si>
  <si>
    <t>BOOGAN</t>
  </si>
  <si>
    <t>BRAMSTON BEACH</t>
  </si>
  <si>
    <t>CAMP CREEK</t>
  </si>
  <si>
    <t>CHILLAGOE</t>
  </si>
  <si>
    <t>CLARAVILLE</t>
  </si>
  <si>
    <t>COEN</t>
  </si>
  <si>
    <t>CONJUBOY</t>
  </si>
  <si>
    <t>CORALIE</t>
  </si>
  <si>
    <t>COWLEY</t>
  </si>
  <si>
    <t>COWLEY BEACH</t>
  </si>
  <si>
    <t>COWLEY CREEK</t>
  </si>
  <si>
    <t>CURRAJAH</t>
  </si>
  <si>
    <t>DEERAL</t>
  </si>
  <si>
    <t>EAST CREEK</t>
  </si>
  <si>
    <t>EAST TRINITY</t>
  </si>
  <si>
    <t>EDWARD RIVER</t>
  </si>
  <si>
    <t>EINASLEIGH</t>
  </si>
  <si>
    <t>ESMERALDA</t>
  </si>
  <si>
    <t>FISHERY FALLS</t>
  </si>
  <si>
    <t>FORSAYTH</t>
  </si>
  <si>
    <t>FOUR MILE BEACH</t>
  </si>
  <si>
    <t>GILBERT RIVER</t>
  </si>
  <si>
    <t>GLEN BOUGHTON</t>
  </si>
  <si>
    <t>GREEN ISLAND</t>
  </si>
  <si>
    <t>GUNUNA</t>
  </si>
  <si>
    <t>HELENVALE</t>
  </si>
  <si>
    <t>JULATTEN</t>
  </si>
  <si>
    <t>KARRON</t>
  </si>
  <si>
    <t>KIDSTON</t>
  </si>
  <si>
    <t>KOAH</t>
  </si>
  <si>
    <t>KOWANYAMA</t>
  </si>
  <si>
    <t>KURRIMINE BEACH</t>
  </si>
  <si>
    <t>LAKELAND</t>
  </si>
  <si>
    <t>LAURA</t>
  </si>
  <si>
    <t>LOWER COWLEY</t>
  </si>
  <si>
    <t>MENA CREEK</t>
  </si>
  <si>
    <t>MIRIWINNI</t>
  </si>
  <si>
    <t>MORESBY</t>
  </si>
  <si>
    <t>MORNINGTON ISLAND</t>
  </si>
  <si>
    <t>MOUNT CARBINE</t>
  </si>
  <si>
    <t>MOUNT MOLLOY</t>
  </si>
  <si>
    <t>MOUNT SURPRISE</t>
  </si>
  <si>
    <t>NORTHHEAD</t>
  </si>
  <si>
    <t>PETFORD</t>
  </si>
  <si>
    <t>PORMPURAAW</t>
  </si>
  <si>
    <t>PORTLAND ROADS</t>
  </si>
  <si>
    <t>SANDY POCKET</t>
  </si>
  <si>
    <t>SOUTH WELLESLEY ISLANDS</t>
  </si>
  <si>
    <t>SPURGEON</t>
  </si>
  <si>
    <t>TALAROO</t>
  </si>
  <si>
    <t>UTCHEE CREEK</t>
  </si>
  <si>
    <t>WANGAN</t>
  </si>
  <si>
    <t>WARRUBULLEN</t>
  </si>
  <si>
    <t>WELLESLEY ISLANDS</t>
  </si>
  <si>
    <t>WEST WELLESLEY ISLANDS</t>
  </si>
  <si>
    <t>YARRABAH</t>
  </si>
  <si>
    <t>BARRINE</t>
  </si>
  <si>
    <t>DANBULLA</t>
  </si>
  <si>
    <t>DIMBULAH</t>
  </si>
  <si>
    <t>GLEN RUTH</t>
  </si>
  <si>
    <t>GUNNAWARRA</t>
  </si>
  <si>
    <t>INNOT HOT SPRINGS</t>
  </si>
  <si>
    <t>KAIRI</t>
  </si>
  <si>
    <t>KIRRAMA</t>
  </si>
  <si>
    <t>KOOMBOOLOOMBA</t>
  </si>
  <si>
    <t>KOWROWA</t>
  </si>
  <si>
    <t>KURANDA</t>
  </si>
  <si>
    <t>LAKE TINAROO</t>
  </si>
  <si>
    <t>LAKESIDE ESTATE</t>
  </si>
  <si>
    <t>MINNAMOOLKA</t>
  </si>
  <si>
    <t>MOUNT GARNET</t>
  </si>
  <si>
    <t>MUTCHILBA</t>
  </si>
  <si>
    <t>SILVER VALLEY</t>
  </si>
  <si>
    <t>TINAROO</t>
  </si>
  <si>
    <t>WAIRUNA</t>
  </si>
  <si>
    <t>WALKAMIN</t>
  </si>
  <si>
    <t>BAILEY CREEK</t>
  </si>
  <si>
    <t>BAMBOO</t>
  </si>
  <si>
    <t>CAPE TRIBULATION</t>
  </si>
  <si>
    <t>CASSOWARY</t>
  </si>
  <si>
    <t>COOYA BEACH</t>
  </si>
  <si>
    <t>COW BAY</t>
  </si>
  <si>
    <t>DAGMAR</t>
  </si>
  <si>
    <t>DAINTREE</t>
  </si>
  <si>
    <t>DEDIN</t>
  </si>
  <si>
    <t>DIWAN</t>
  </si>
  <si>
    <t>FINLAY VALE</t>
  </si>
  <si>
    <t>FOREST CREEK</t>
  </si>
  <si>
    <t>KIMBERLEY</t>
  </si>
  <si>
    <t>LOWER DAINTREE</t>
  </si>
  <si>
    <t>MIALLO</t>
  </si>
  <si>
    <t>MOSSMAN</t>
  </si>
  <si>
    <t>MOSSMAN GORGE</t>
  </si>
  <si>
    <t>NEWELL</t>
  </si>
  <si>
    <t>NOAH</t>
  </si>
  <si>
    <t>STEWART CREEK VALLEY</t>
  </si>
  <si>
    <t>SYNDICATE</t>
  </si>
  <si>
    <t>THORNTON BEACH</t>
  </si>
  <si>
    <t>UPPER DAINTREE</t>
  </si>
  <si>
    <t>WHYANBEEL</t>
  </si>
  <si>
    <t>EVANS LANDING</t>
  </si>
  <si>
    <t>MAPOON</t>
  </si>
  <si>
    <t>NANUM</t>
  </si>
  <si>
    <t>TRUNDING</t>
  </si>
  <si>
    <t>WEIPA</t>
  </si>
  <si>
    <t>WEIPA AIRPORT</t>
  </si>
  <si>
    <t>BADU ISLAND</t>
  </si>
  <si>
    <t>BANKS ISLAND</t>
  </si>
  <si>
    <t>BOIGU</t>
  </si>
  <si>
    <t>BOIGU ISLAND</t>
  </si>
  <si>
    <t>COCONUT ISLAND</t>
  </si>
  <si>
    <t>DARNLEY ISLAND</t>
  </si>
  <si>
    <t>DAUAN ISLAND</t>
  </si>
  <si>
    <t>ERUB</t>
  </si>
  <si>
    <t>HORN ISLAND</t>
  </si>
  <si>
    <t>IAMA</t>
  </si>
  <si>
    <t>JERVIS ISLAND</t>
  </si>
  <si>
    <t>KUBIN VILLAGE</t>
  </si>
  <si>
    <t>MABUIAG</t>
  </si>
  <si>
    <t>MABUIAG ISLAND</t>
  </si>
  <si>
    <t>MASIG</t>
  </si>
  <si>
    <t>MOA ISLAND</t>
  </si>
  <si>
    <t>MULGRAVE ISLAND</t>
  </si>
  <si>
    <t>MURRAY ISLAND</t>
  </si>
  <si>
    <t>SAIBAI ISLAND</t>
  </si>
  <si>
    <t>STEPHENS ISLAND</t>
  </si>
  <si>
    <t>TALBOT ISLAND</t>
  </si>
  <si>
    <t>THURSDAY ISLAND</t>
  </si>
  <si>
    <t>WARRABER ISLAND</t>
  </si>
  <si>
    <t>YAM ISLAND</t>
  </si>
  <si>
    <t>YORKE ISLAND</t>
  </si>
  <si>
    <t>BAMAGA</t>
  </si>
  <si>
    <t>INJINOO</t>
  </si>
  <si>
    <t>NEW MAPOON</t>
  </si>
  <si>
    <t>SEISIA</t>
  </si>
  <si>
    <t>UMAGICO</t>
  </si>
  <si>
    <t>CRAIGLIE</t>
  </si>
  <si>
    <t>KILLALOE</t>
  </si>
  <si>
    <t>LOW ISLES</t>
  </si>
  <si>
    <t>MOWBRAY</t>
  </si>
  <si>
    <t>OAK BEACH</t>
  </si>
  <si>
    <t>PORT DOUGLAS</t>
  </si>
  <si>
    <t>WANGETTI</t>
  </si>
  <si>
    <t>BARRON</t>
  </si>
  <si>
    <t>CARAVONICA</t>
  </si>
  <si>
    <t>HOLLOWAYS BEACH</t>
  </si>
  <si>
    <t>LAKE PLACID</t>
  </si>
  <si>
    <t>MACHANS BEACH</t>
  </si>
  <si>
    <t>YORKEYS KNOB</t>
  </si>
  <si>
    <t>BUCHAN POINT</t>
  </si>
  <si>
    <t>CLIFTON BEACH</t>
  </si>
  <si>
    <t>ELLIS BEACH</t>
  </si>
  <si>
    <t>KEWARRA BEACH</t>
  </si>
  <si>
    <t>PALM COVE</t>
  </si>
  <si>
    <t>TRINITY BEACH</t>
  </si>
  <si>
    <t>TRINITY PARK</t>
  </si>
  <si>
    <t>BIBOOHRA</t>
  </si>
  <si>
    <t>BILWON</t>
  </si>
  <si>
    <t>MAREEBA</t>
  </si>
  <si>
    <t>MARYFARMS</t>
  </si>
  <si>
    <t>TOLGA</t>
  </si>
  <si>
    <t>ATHERTON</t>
  </si>
  <si>
    <t>EAST BARRON</t>
  </si>
  <si>
    <t>UPPER BARRON</t>
  </si>
  <si>
    <t>WONGABEL</t>
  </si>
  <si>
    <t>GADGARRA</t>
  </si>
  <si>
    <t>LAKE BARRINE</t>
  </si>
  <si>
    <t>LAKE EACHAM</t>
  </si>
  <si>
    <t>YUNGABURRA</t>
  </si>
  <si>
    <t>BUTCHERS CREEK</t>
  </si>
  <si>
    <t>GLEN ALLYN</t>
  </si>
  <si>
    <t>JAGGAN</t>
  </si>
  <si>
    <t>KUREEN</t>
  </si>
  <si>
    <t>MALANDA</t>
  </si>
  <si>
    <t>NORTH JOHNSTONE</t>
  </si>
  <si>
    <t>PEERAMON</t>
  </si>
  <si>
    <t>TARZALI</t>
  </si>
  <si>
    <t>TOPAZ</t>
  </si>
  <si>
    <t>BEATRICE</t>
  </si>
  <si>
    <t>ELLINJAA</t>
  </si>
  <si>
    <t>MAALAN</t>
  </si>
  <si>
    <t>MIDDLEBROOK</t>
  </si>
  <si>
    <t>MILLAA MILLAA</t>
  </si>
  <si>
    <t>MINBUN</t>
  </si>
  <si>
    <t>MOREGATTA</t>
  </si>
  <si>
    <t>MUNGALLI</t>
  </si>
  <si>
    <t>HERBERTON</t>
  </si>
  <si>
    <t>IRVINEBANK</t>
  </si>
  <si>
    <t>MOOMIN</t>
  </si>
  <si>
    <t>WATSONVILLE</t>
  </si>
  <si>
    <t>WONDECLA</t>
  </si>
  <si>
    <t>EVELYN</t>
  </si>
  <si>
    <t>KABAN</t>
  </si>
  <si>
    <t>MILLSTREAM</t>
  </si>
  <si>
    <t>RAVENSHOE</t>
  </si>
  <si>
    <t>TUMOULIN</t>
  </si>
  <si>
    <t>HOWITT</t>
  </si>
  <si>
    <t>NORMAN</t>
  </si>
  <si>
    <t>NORMANTON</t>
  </si>
  <si>
    <t>KARUMBA</t>
  </si>
  <si>
    <t>COOKTOWN</t>
  </si>
  <si>
    <t>DEGARRA</t>
  </si>
  <si>
    <t>HOPE VALE</t>
  </si>
  <si>
    <t>ROSSVILLE</t>
  </si>
  <si>
    <t>WUJAL WUJAL</t>
  </si>
  <si>
    <t>ADELAIDE</t>
  </si>
  <si>
    <t>ADELAIDE BC</t>
  </si>
  <si>
    <t>CITY WEST CAMPUS</t>
  </si>
  <si>
    <t>HALIFAX STREET</t>
  </si>
  <si>
    <t>HUTT STREET</t>
  </si>
  <si>
    <t>RUNDLE MALL</t>
  </si>
  <si>
    <t>STATION ARCADE</t>
  </si>
  <si>
    <t>STURT STREET</t>
  </si>
  <si>
    <t>ADELAIDE UNIVERSITY</t>
  </si>
  <si>
    <t>THE UNIVERSITY OF ADELAIDE</t>
  </si>
  <si>
    <t>UNIVERSITY OF ADELAIDE</t>
  </si>
  <si>
    <t>NORTH ADELAIDE</t>
  </si>
  <si>
    <t>NORTH ADELAIDE MELBOURNE ST</t>
  </si>
  <si>
    <t>BOWDEN</t>
  </si>
  <si>
    <t>BROMPTON</t>
  </si>
  <si>
    <t>HINDMARSH</t>
  </si>
  <si>
    <t>WELLAND</t>
  </si>
  <si>
    <t>WEST HINDMARSH</t>
  </si>
  <si>
    <t>CROYDON PARK SOUTH</t>
  </si>
  <si>
    <t>DUDLEY PARK</t>
  </si>
  <si>
    <t>RENOWN PARK</t>
  </si>
  <si>
    <t>RIDLEYTON</t>
  </si>
  <si>
    <t>WEST CROYDON</t>
  </si>
  <si>
    <t>ALLENBY GARDENS</t>
  </si>
  <si>
    <t>BEVERLEY</t>
  </si>
  <si>
    <t>KILKENNY</t>
  </si>
  <si>
    <t>ANGLE PARK</t>
  </si>
  <si>
    <t>FERRYDEN PARK</t>
  </si>
  <si>
    <t>REGENCY PARK</t>
  </si>
  <si>
    <t>REGENCY PARK BC</t>
  </si>
  <si>
    <t>WOODVILLE PARK</t>
  </si>
  <si>
    <t>WOODVILLE SOUTH</t>
  </si>
  <si>
    <t>WOODVILLE WEST</t>
  </si>
  <si>
    <t>ATHOL PARK</t>
  </si>
  <si>
    <t>MANSFIELD PARK</t>
  </si>
  <si>
    <t>WOODVILLE GARDENS</t>
  </si>
  <si>
    <t>WOODVILLE NORTH</t>
  </si>
  <si>
    <t>GILLMAN</t>
  </si>
  <si>
    <t>OTTOWAY</t>
  </si>
  <si>
    <t>PENNINGTON</t>
  </si>
  <si>
    <t>ROSEWATER</t>
  </si>
  <si>
    <t>ROSEWATER EAST</t>
  </si>
  <si>
    <t>WINGFIELD</t>
  </si>
  <si>
    <t>HENDON</t>
  </si>
  <si>
    <t>QUEENSTOWN</t>
  </si>
  <si>
    <t>ROYAL PARK</t>
  </si>
  <si>
    <t>BIRKENHEAD</t>
  </si>
  <si>
    <t>ETHELTON</t>
  </si>
  <si>
    <t>GLANVILLE</t>
  </si>
  <si>
    <t>PORT ADELAIDE</t>
  </si>
  <si>
    <t>PORT ADELAIDE BC</t>
  </si>
  <si>
    <t>PORT ADELAIDE DC</t>
  </si>
  <si>
    <t>LARGS BAY</t>
  </si>
  <si>
    <t>LARGS NORTH</t>
  </si>
  <si>
    <t>PETERHEAD</t>
  </si>
  <si>
    <t>TAPEROO</t>
  </si>
  <si>
    <t>OUTER HARBOR</t>
  </si>
  <si>
    <t>SEMAPHORE</t>
  </si>
  <si>
    <t>SEMAPHORE PARK</t>
  </si>
  <si>
    <t>SEMAPHORE SOUTH</t>
  </si>
  <si>
    <t>WEST LAKES SHORE</t>
  </si>
  <si>
    <t>WEST LAKES</t>
  </si>
  <si>
    <t>HENLEY BEACH</t>
  </si>
  <si>
    <t>HENLEY BEACH SOUTH</t>
  </si>
  <si>
    <t>KIRKCALDY</t>
  </si>
  <si>
    <t>FINDON</t>
  </si>
  <si>
    <t>SEATON NORTH</t>
  </si>
  <si>
    <t>FULHAM GARDENS</t>
  </si>
  <si>
    <t>WEST BEACH</t>
  </si>
  <si>
    <t>FLINDERS PARK</t>
  </si>
  <si>
    <t>KIDMAN PARK</t>
  </si>
  <si>
    <t>MILE END</t>
  </si>
  <si>
    <t>MILE END SOUTH</t>
  </si>
  <si>
    <t>THEBARTON</t>
  </si>
  <si>
    <t>TORRENSVILLE</t>
  </si>
  <si>
    <t>TORRENSVILLE PLAZA</t>
  </si>
  <si>
    <t>BROOKLYN PARK</t>
  </si>
  <si>
    <t>LOCKLEYS</t>
  </si>
  <si>
    <t>UNDERDALE</t>
  </si>
  <si>
    <t>COWANDILLA</t>
  </si>
  <si>
    <t>HILTON</t>
  </si>
  <si>
    <t>HILTON PLAZA</t>
  </si>
  <si>
    <t>MARLESTON</t>
  </si>
  <si>
    <t>MARLESTON DC</t>
  </si>
  <si>
    <t>WEST RICHMOND</t>
  </si>
  <si>
    <t>CLARENCE PARK</t>
  </si>
  <si>
    <t>MILLSWOOD</t>
  </si>
  <si>
    <t>WAYVILLE</t>
  </si>
  <si>
    <t>BLACK FOREST</t>
  </si>
  <si>
    <t>EVERARD PARK</t>
  </si>
  <si>
    <t>KESWICK</t>
  </si>
  <si>
    <t>KESWICK TERMINAL</t>
  </si>
  <si>
    <t>GLANDORE</t>
  </si>
  <si>
    <t>KURRALTA PARK</t>
  </si>
  <si>
    <t>NETLEY</t>
  </si>
  <si>
    <t>NORTH PLYMPTON</t>
  </si>
  <si>
    <t>PLYMPTON</t>
  </si>
  <si>
    <t>PLYMPTON PARK</t>
  </si>
  <si>
    <t>SOUTH PLYMPTON</t>
  </si>
  <si>
    <t>CLARENCE GARDENS</t>
  </si>
  <si>
    <t>MELROSE PARK DC</t>
  </si>
  <si>
    <t>NOVAR GARDENS</t>
  </si>
  <si>
    <t>COLONEL LIGHT GARDENS</t>
  </si>
  <si>
    <t>CUMBERLAND PARK</t>
  </si>
  <si>
    <t>DAW PARK</t>
  </si>
  <si>
    <t>PANORAMA</t>
  </si>
  <si>
    <t>WESTBOURNE PARK</t>
  </si>
  <si>
    <t>BEDFORD PARK</t>
  </si>
  <si>
    <t>CLOVELLY PARK</t>
  </si>
  <si>
    <t>FLINDERS UNIVERSITY</t>
  </si>
  <si>
    <t>PASADENA</t>
  </si>
  <si>
    <t>ASCOT PARK</t>
  </si>
  <si>
    <t>MARION</t>
  </si>
  <si>
    <t>MORPHETTVILLE</t>
  </si>
  <si>
    <t>PARK HOLME</t>
  </si>
  <si>
    <t>GLENGOWRIE</t>
  </si>
  <si>
    <t>GLENELG EAST</t>
  </si>
  <si>
    <t>GLENELG JETTY ROAD</t>
  </si>
  <si>
    <t>GLENELG NORTH</t>
  </si>
  <si>
    <t>GLENELG SOUTH</t>
  </si>
  <si>
    <t>OAKLANDS PARK</t>
  </si>
  <si>
    <t>WARRADALE</t>
  </si>
  <si>
    <t>WARRADALE NORTH</t>
  </si>
  <si>
    <t>SEACOMBE GARDENS</t>
  </si>
  <si>
    <t>SEACOMBE HEIGHTS</t>
  </si>
  <si>
    <t>DOVER GARDENS</t>
  </si>
  <si>
    <t>HOVE</t>
  </si>
  <si>
    <t>NORTH BRIGHTON</t>
  </si>
  <si>
    <t>SOUTH BRIGHTON</t>
  </si>
  <si>
    <t>KINGSTON PARK</t>
  </si>
  <si>
    <t>MARINO</t>
  </si>
  <si>
    <t>SEACLIFF</t>
  </si>
  <si>
    <t>SEACLIFF PARK</t>
  </si>
  <si>
    <t>SEAVIEW DOWNS</t>
  </si>
  <si>
    <t>BELLEVUE HEIGHTS</t>
  </si>
  <si>
    <t>EDEN HILLS</t>
  </si>
  <si>
    <t>COROMANDEL VALLEY</t>
  </si>
  <si>
    <t>CRAIGBURN FARM</t>
  </si>
  <si>
    <t>HAWTHORNDENE</t>
  </si>
  <si>
    <t>BELAIR</t>
  </si>
  <si>
    <t>GLENALTA</t>
  </si>
  <si>
    <t>UNLEY</t>
  </si>
  <si>
    <t>UNLEY BC</t>
  </si>
  <si>
    <t>UNLEY DC</t>
  </si>
  <si>
    <t>UNLEY PARK</t>
  </si>
  <si>
    <t>BROWN HILL CREEK</t>
  </si>
  <si>
    <t>CLAPHAM</t>
  </si>
  <si>
    <t>LOWER MITCHAM</t>
  </si>
  <si>
    <t>LYNTON</t>
  </si>
  <si>
    <t>MITCHAM SHOPPING CENTRE</t>
  </si>
  <si>
    <t>TORRENS PARK</t>
  </si>
  <si>
    <t>FREWVILLE</t>
  </si>
  <si>
    <t>FULLARTON</t>
  </si>
  <si>
    <t>HIGHGATE</t>
  </si>
  <si>
    <t>GLEN OSMOND</t>
  </si>
  <si>
    <t>GLENUNGA</t>
  </si>
  <si>
    <t>MOUNT OSMOND</t>
  </si>
  <si>
    <t>MYRTLE BANK</t>
  </si>
  <si>
    <t>ST GEORGES</t>
  </si>
  <si>
    <t>URRBRAE</t>
  </si>
  <si>
    <t>DULWICH</t>
  </si>
  <si>
    <t>GLENSIDE</t>
  </si>
  <si>
    <t>LINDEN PARK</t>
  </si>
  <si>
    <t>TOORAK GARDENS</t>
  </si>
  <si>
    <t>TUSMORE</t>
  </si>
  <si>
    <t>ERINDALE</t>
  </si>
  <si>
    <t>HAZELWOOD PARK</t>
  </si>
  <si>
    <t>STONYFELL</t>
  </si>
  <si>
    <t>WATERFALL GULLY</t>
  </si>
  <si>
    <t>BEULAH PARK</t>
  </si>
  <si>
    <t>KENT TOWN</t>
  </si>
  <si>
    <t>NORWOOD</t>
  </si>
  <si>
    <t>NORWOOD SOUTH</t>
  </si>
  <si>
    <t>ROSE PARK</t>
  </si>
  <si>
    <t>HEATHPOOL</t>
  </si>
  <si>
    <t>KENSINGTON GARDENS</t>
  </si>
  <si>
    <t>KENSINGTON PARK</t>
  </si>
  <si>
    <t>LEABROOK</t>
  </si>
  <si>
    <t>MARRYATVILLE</t>
  </si>
  <si>
    <t>ST MORRIS</t>
  </si>
  <si>
    <t>TRINITY GARDENS</t>
  </si>
  <si>
    <t>COLLEGE PARK</t>
  </si>
  <si>
    <t>EVANDALE</t>
  </si>
  <si>
    <t>HACKNEY</t>
  </si>
  <si>
    <t>MAYLANDS</t>
  </si>
  <si>
    <t>STEPNEY</t>
  </si>
  <si>
    <t>FELIXSTOW</t>
  </si>
  <si>
    <t>FIRLE</t>
  </si>
  <si>
    <t>GLYNDE</t>
  </si>
  <si>
    <t>GLYNDE DC</t>
  </si>
  <si>
    <t>GLYNDE PLAZA</t>
  </si>
  <si>
    <t>JOSLIN</t>
  </si>
  <si>
    <t>MARDEN</t>
  </si>
  <si>
    <t>PAYNEHAM</t>
  </si>
  <si>
    <t>PAYNEHAM SOUTH</t>
  </si>
  <si>
    <t>ROYSTON PARK</t>
  </si>
  <si>
    <t>KENT TOWN DC</t>
  </si>
  <si>
    <t>AULDANA</t>
  </si>
  <si>
    <t>MAGILL</t>
  </si>
  <si>
    <t>MAGILL NORTH</t>
  </si>
  <si>
    <t>MAGILL SOUTH</t>
  </si>
  <si>
    <t>ROSSLYN PARK</t>
  </si>
  <si>
    <t>TERINGIE</t>
  </si>
  <si>
    <t>WOODFORDE</t>
  </si>
  <si>
    <t>HECTORVILLE</t>
  </si>
  <si>
    <t>ROSTREVOR</t>
  </si>
  <si>
    <t>TRANMERE</t>
  </si>
  <si>
    <t>TRANMERE NORTH</t>
  </si>
  <si>
    <t>NEWTON</t>
  </si>
  <si>
    <t>DERNANCOURT</t>
  </si>
  <si>
    <t>ATHELSTONE</t>
  </si>
  <si>
    <t>CASTAMBUL</t>
  </si>
  <si>
    <t>COLLINSWOOD</t>
  </si>
  <si>
    <t>MEDINDIE</t>
  </si>
  <si>
    <t>MEDINDIE GARDENS</t>
  </si>
  <si>
    <t>VALE PARK</t>
  </si>
  <si>
    <t>OVINGHAM</t>
  </si>
  <si>
    <t>PROSPECT EAST</t>
  </si>
  <si>
    <t>PROSPECT WEST</t>
  </si>
  <si>
    <t>THORNGATE</t>
  </si>
  <si>
    <t>BROADVIEW</t>
  </si>
  <si>
    <t>NAILSWORTH</t>
  </si>
  <si>
    <t>SEFTON PARK</t>
  </si>
  <si>
    <t>BLAIR ATHOL WEST</t>
  </si>
  <si>
    <t>KILBURN</t>
  </si>
  <si>
    <t>KILBURN NORTH</t>
  </si>
  <si>
    <t>CLEARVIEW</t>
  </si>
  <si>
    <t>ENFIELD PLAZA</t>
  </si>
  <si>
    <t>NORTHFIELD</t>
  </si>
  <si>
    <t>GILLES PLAINS</t>
  </si>
  <si>
    <t>GREENACRES</t>
  </si>
  <si>
    <t>HAMPSTEAD GARDENS</t>
  </si>
  <si>
    <t>MANNINGHAM</t>
  </si>
  <si>
    <t>OAKDEN</t>
  </si>
  <si>
    <t>KLEMZIG</t>
  </si>
  <si>
    <t>WINDSOR GARDENS</t>
  </si>
  <si>
    <t>HOLDEN HILL</t>
  </si>
  <si>
    <t>HIGHBURY</t>
  </si>
  <si>
    <t>HOPE VALLEY</t>
  </si>
  <si>
    <t>BANKSIA PARK</t>
  </si>
  <si>
    <t>TEA TREE GULLY</t>
  </si>
  <si>
    <t>VISTA</t>
  </si>
  <si>
    <t>MODBURY</t>
  </si>
  <si>
    <t>MODBURY HEIGHTS</t>
  </si>
  <si>
    <t>MODBURY NORTH</t>
  </si>
  <si>
    <t>MODBURY NORTH DC</t>
  </si>
  <si>
    <t>PARA VISTA</t>
  </si>
  <si>
    <t>VALLEY VIEW</t>
  </si>
  <si>
    <t>GEPPS CROSS</t>
  </si>
  <si>
    <t>MAWSON LAKES</t>
  </si>
  <si>
    <t>POORAKA</t>
  </si>
  <si>
    <t>THE LEVELS</t>
  </si>
  <si>
    <t>GULFVIEW HEIGHTS</t>
  </si>
  <si>
    <t>PARA HILLS</t>
  </si>
  <si>
    <t>PARA HILLS WEST</t>
  </si>
  <si>
    <t>REDWOOD PARK</t>
  </si>
  <si>
    <t>RIDGEHAVEN</t>
  </si>
  <si>
    <t>INGLE FARM</t>
  </si>
  <si>
    <t>WALKLEY HEIGHTS</t>
  </si>
  <si>
    <t>PARAFIELD</t>
  </si>
  <si>
    <t>PARAFIELD AIRPORT</t>
  </si>
  <si>
    <t>SALISBURY SOUTH</t>
  </si>
  <si>
    <t>SALISBURY SOUTH BC</t>
  </si>
  <si>
    <t>SALISBURY SOUTH DC</t>
  </si>
  <si>
    <t>GREEN FIELDS</t>
  </si>
  <si>
    <t>PARAFIELD GARDENS</t>
  </si>
  <si>
    <t>PARALOWIE</t>
  </si>
  <si>
    <t>SALISBURY DOWNS</t>
  </si>
  <si>
    <t>SALISBURY NORTH</t>
  </si>
  <si>
    <t>SALISBURY NORTH WHITES ROAD</t>
  </si>
  <si>
    <t>BRAHMA LODGE</t>
  </si>
  <si>
    <t>SALISBURY EAST NORTHBRI AV</t>
  </si>
  <si>
    <t>SALISBURY HEIGHTS</t>
  </si>
  <si>
    <t>SALISBURY PARK</t>
  </si>
  <si>
    <t>SALISBURY PLAIN</t>
  </si>
  <si>
    <t>BOLIVAR</t>
  </si>
  <si>
    <t>DIREK</t>
  </si>
  <si>
    <t>GLOBE DERBY PARK</t>
  </si>
  <si>
    <t>WATERLOO CORNER</t>
  </si>
  <si>
    <t>EDINBURGH</t>
  </si>
  <si>
    <t>ELIZABETH</t>
  </si>
  <si>
    <t>ELIZABETH EAST</t>
  </si>
  <si>
    <t>ELIZABETH GROVE</t>
  </si>
  <si>
    <t>ELIZABETH SOUTH</t>
  </si>
  <si>
    <t>ELIZABETH VALE</t>
  </si>
  <si>
    <t>HILLBANK</t>
  </si>
  <si>
    <t>DAVOREN PARK</t>
  </si>
  <si>
    <t>DAVOREN PARK NORTH</t>
  </si>
  <si>
    <t>DAVOREN PARK SOUTH</t>
  </si>
  <si>
    <t>ELIZABETH DOWNS</t>
  </si>
  <si>
    <t>ELIZABETH NORTH</t>
  </si>
  <si>
    <t>ELIZABETH PARK</t>
  </si>
  <si>
    <t>ELIZABETH WEST</t>
  </si>
  <si>
    <t>ELIZABETH WEST DC</t>
  </si>
  <si>
    <t>ANDREWS FARM</t>
  </si>
  <si>
    <t>BLAKEVIEW</t>
  </si>
  <si>
    <t>CRAIGMORE</t>
  </si>
  <si>
    <t>GOULD CREEK</t>
  </si>
  <si>
    <t>HUMBUG SCRUB</t>
  </si>
  <si>
    <t>ONE TREE HILL</t>
  </si>
  <si>
    <t>SAMPSON FLAT</t>
  </si>
  <si>
    <t>SMITHFIELD PLAINS</t>
  </si>
  <si>
    <t>ULEYBURY</t>
  </si>
  <si>
    <t>KUDLA</t>
  </si>
  <si>
    <t>MUNNO PARA</t>
  </si>
  <si>
    <t>MUNNO PARA DOWNS</t>
  </si>
  <si>
    <t>MUNNO PARA WEST</t>
  </si>
  <si>
    <t>EVANSTON</t>
  </si>
  <si>
    <t>EVANSTON GARDENS</t>
  </si>
  <si>
    <t>EVANSTON PARK</t>
  </si>
  <si>
    <t>EVANSTON SOUTH</t>
  </si>
  <si>
    <t>HILLIER</t>
  </si>
  <si>
    <t>ANGLE VALE</t>
  </si>
  <si>
    <t>BIBARINGA</t>
  </si>
  <si>
    <t>BUCHFELDE</t>
  </si>
  <si>
    <t>CONCORDIA</t>
  </si>
  <si>
    <t>GAWLER</t>
  </si>
  <si>
    <t>GAWLER BELT</t>
  </si>
  <si>
    <t>GAWLER EAST</t>
  </si>
  <si>
    <t>GAWLER RIVER</t>
  </si>
  <si>
    <t>GAWLER SOUTH</t>
  </si>
  <si>
    <t>GAWLER WEST</t>
  </si>
  <si>
    <t>HEWETT</t>
  </si>
  <si>
    <t>KALBEEBA</t>
  </si>
  <si>
    <t>WARD BELT</t>
  </si>
  <si>
    <t>WILLASTON</t>
  </si>
  <si>
    <t>BUCKLAND PARK</t>
  </si>
  <si>
    <t>MACDONALD PARK</t>
  </si>
  <si>
    <t>PENFIELD</t>
  </si>
  <si>
    <t>PENFIELD GARDENS</t>
  </si>
  <si>
    <t>GOLDEN GROVE VILLAGE</t>
  </si>
  <si>
    <t>GREENWITH</t>
  </si>
  <si>
    <t>FAIRVIEW PARK</t>
  </si>
  <si>
    <t>SURREY DOWNS</t>
  </si>
  <si>
    <t>YATALA VALE</t>
  </si>
  <si>
    <t>WYNN VALE</t>
  </si>
  <si>
    <t>HOUGHTON</t>
  </si>
  <si>
    <t>LOWER HERMITAGE</t>
  </si>
  <si>
    <t>UPPER HERMITAGE</t>
  </si>
  <si>
    <t>PARACOMBE</t>
  </si>
  <si>
    <t>CHERRYVILLE</t>
  </si>
  <si>
    <t>MONTACUTE</t>
  </si>
  <si>
    <t>NORTON SUMMIT</t>
  </si>
  <si>
    <t>ASHTON</t>
  </si>
  <si>
    <t>MARBLE HILL</t>
  </si>
  <si>
    <t>BASKET RANGE</t>
  </si>
  <si>
    <t>FOREST RANGE</t>
  </si>
  <si>
    <t>HORSNELL GULLY</t>
  </si>
  <si>
    <t>SUMMERTOWN</t>
  </si>
  <si>
    <t>URAIDLA</t>
  </si>
  <si>
    <t>CAREY GULLY</t>
  </si>
  <si>
    <t>EAGLE ON THE HILL</t>
  </si>
  <si>
    <t>LEAWOOD GARDENS</t>
  </si>
  <si>
    <t>PICCADILLY</t>
  </si>
  <si>
    <t>CLELAND</t>
  </si>
  <si>
    <t>CRAFERS</t>
  </si>
  <si>
    <t>CRAFERS WEST</t>
  </si>
  <si>
    <t>BIGGS FLAT</t>
  </si>
  <si>
    <t>ECHUNGA</t>
  </si>
  <si>
    <t>FLAXLEY</t>
  </si>
  <si>
    <t>HEATHFIELD</t>
  </si>
  <si>
    <t>IRONBANK</t>
  </si>
  <si>
    <t>MYLOR</t>
  </si>
  <si>
    <t>SCOTT CREEK</t>
  </si>
  <si>
    <t>ALDGATE</t>
  </si>
  <si>
    <t>UPPER STURT</t>
  </si>
  <si>
    <t>BULL CREEK</t>
  </si>
  <si>
    <t>CHERRY GARDENS</t>
  </si>
  <si>
    <t>COROMANDEL EAST</t>
  </si>
  <si>
    <t>DORSET VALE</t>
  </si>
  <si>
    <t>KANGARILLA</t>
  </si>
  <si>
    <t>MCHARG CREEK</t>
  </si>
  <si>
    <t>HALLETT COVE</t>
  </si>
  <si>
    <t>O'HALLORAN HILL</t>
  </si>
  <si>
    <t>O'HALLORAN HILL DC</t>
  </si>
  <si>
    <t>SHEIDOW PARK</t>
  </si>
  <si>
    <t>TROTT PARK</t>
  </si>
  <si>
    <t>ABERFOYLE PARK</t>
  </si>
  <si>
    <t>CHANDLERS HILL</t>
  </si>
  <si>
    <t>FLAGSTAFF HILL</t>
  </si>
  <si>
    <t>LONSDALE</t>
  </si>
  <si>
    <t>LONSDALE DC</t>
  </si>
  <si>
    <t>PORT STANVAC</t>
  </si>
  <si>
    <t>OLD REYNELLA</t>
  </si>
  <si>
    <t>REYNELLA</t>
  </si>
  <si>
    <t>REYNELLA EAST</t>
  </si>
  <si>
    <t>MORPHETT VALE</t>
  </si>
  <si>
    <t>HACKHAM</t>
  </si>
  <si>
    <t>HACKHAM WEST</t>
  </si>
  <si>
    <t>HUNTFIELD HEIGHTS</t>
  </si>
  <si>
    <t>ONKAPARINGA HILLS</t>
  </si>
  <si>
    <t>CHRISTIE DOWNS</t>
  </si>
  <si>
    <t>CHRISTIES BEACH</t>
  </si>
  <si>
    <t>CHRISTIES BEACH NORTH</t>
  </si>
  <si>
    <t>O'SULLIVAN BEACH</t>
  </si>
  <si>
    <t>PORT NOARLUNGA</t>
  </si>
  <si>
    <t>PORT NOARLUNGA SOUTH</t>
  </si>
  <si>
    <t>NOARLUNGA CENTRE</t>
  </si>
  <si>
    <t>NOARLUNGA DOWNS</t>
  </si>
  <si>
    <t>OLD NOARLUNGA</t>
  </si>
  <si>
    <t>MOANA</t>
  </si>
  <si>
    <t>SEAFORD HEIGHTS</t>
  </si>
  <si>
    <t>SEAFORD MEADOWS</t>
  </si>
  <si>
    <t>SEAFORD RISE</t>
  </si>
  <si>
    <t>MASLIN BEACH</t>
  </si>
  <si>
    <t>BLEWITT SPRINGS</t>
  </si>
  <si>
    <t>MCLAREN FLAT</t>
  </si>
  <si>
    <t>MCLAREN VALE</t>
  </si>
  <si>
    <t>PEDLER CREEK</t>
  </si>
  <si>
    <t>TATACHILLA</t>
  </si>
  <si>
    <t>DINGABLEDINGA</t>
  </si>
  <si>
    <t>HOPE FOREST</t>
  </si>
  <si>
    <t>KUITPO</t>
  </si>
  <si>
    <t>KUITPO COLONY</t>
  </si>
  <si>
    <t>KYEEMA</t>
  </si>
  <si>
    <t>MONTARRA</t>
  </si>
  <si>
    <t>PAGES FLAT</t>
  </si>
  <si>
    <t>WHITES VALLEY</t>
  </si>
  <si>
    <t>WILLUNGA</t>
  </si>
  <si>
    <t>WILLUNGA HILL</t>
  </si>
  <si>
    <t>WILLUNGA SOUTH</t>
  </si>
  <si>
    <t>YUNDI</t>
  </si>
  <si>
    <t>ALDINGA</t>
  </si>
  <si>
    <t>ALDINGA BEACH</t>
  </si>
  <si>
    <t>PORT WILLUNGA</t>
  </si>
  <si>
    <t>SILVER SANDS</t>
  </si>
  <si>
    <t>SELLICKS BEACH</t>
  </si>
  <si>
    <t>SELLICKS HILL</t>
  </si>
  <si>
    <t>BLACKFELLOWS CREEK</t>
  </si>
  <si>
    <t>MEADOWS</t>
  </si>
  <si>
    <t>PARIS CREEK</t>
  </si>
  <si>
    <t>PROSPECT HILL</t>
  </si>
  <si>
    <t>HINDMARSH TIERS</t>
  </si>
  <si>
    <t>MYPONGA</t>
  </si>
  <si>
    <t>MYPONGA BEACH</t>
  </si>
  <si>
    <t>PARAWA</t>
  </si>
  <si>
    <t>TORRENS VALE</t>
  </si>
  <si>
    <t>TUNKALILLA</t>
  </si>
  <si>
    <t>YANKALILLA</t>
  </si>
  <si>
    <t>CAPE JERVIS</t>
  </si>
  <si>
    <t>CARRICKALINGA</t>
  </si>
  <si>
    <t>DELAMERE</t>
  </si>
  <si>
    <t>HAY FLAT</t>
  </si>
  <si>
    <t>RAPID BAY</t>
  </si>
  <si>
    <t>SECOND VALLEY</t>
  </si>
  <si>
    <t>WIRRINA COVE</t>
  </si>
  <si>
    <t>MOUNT COMPASS</t>
  </si>
  <si>
    <t>MOUNT MAGNIFICENT</t>
  </si>
  <si>
    <t>NANGKITA</t>
  </si>
  <si>
    <t>BACK VALLEY</t>
  </si>
  <si>
    <t>ENCOUNTER BAY</t>
  </si>
  <si>
    <t>HAYBOROUGH</t>
  </si>
  <si>
    <t>HINDMARSH VALLEY</t>
  </si>
  <si>
    <t>INMAN VALLEY</t>
  </si>
  <si>
    <t>LOWER INMAN VALLEY</t>
  </si>
  <si>
    <t>MCCRACKEN</t>
  </si>
  <si>
    <t>MOUNT JAGGED</t>
  </si>
  <si>
    <t>VICTOR HARBOR</t>
  </si>
  <si>
    <t>WAITPINGA</t>
  </si>
  <si>
    <t>WILLOW CREEK</t>
  </si>
  <si>
    <t>YILKI</t>
  </si>
  <si>
    <t>PORT ELLIOT</t>
  </si>
  <si>
    <t>CURRENCY CREEK</t>
  </si>
  <si>
    <t>GOOLWA</t>
  </si>
  <si>
    <t>GOOLWA BEACH</t>
  </si>
  <si>
    <t>GOOLWA NORTH</t>
  </si>
  <si>
    <t>GOOLWA SOUTH</t>
  </si>
  <si>
    <t>HINDMARSH ISLAND</t>
  </si>
  <si>
    <t>MOSQUITO HILL</t>
  </si>
  <si>
    <t>MUNDOO ISLAND</t>
  </si>
  <si>
    <t>PARNDANA</t>
  </si>
  <si>
    <t>AMERICAN RIVER</t>
  </si>
  <si>
    <t>BALLAST HEAD</t>
  </si>
  <si>
    <t>MUSTON</t>
  </si>
  <si>
    <t>AMERICAN BEACH</t>
  </si>
  <si>
    <t>ANTECHAMBER BAY</t>
  </si>
  <si>
    <t>BAUDIN BEACH</t>
  </si>
  <si>
    <t>BROWNS BEACH</t>
  </si>
  <si>
    <t>CUTTLEFISH BAY</t>
  </si>
  <si>
    <t>DUDLEY EAST</t>
  </si>
  <si>
    <t>DUDLEY WEST</t>
  </si>
  <si>
    <t>IRONSTONE</t>
  </si>
  <si>
    <t>ISLAND BEACH</t>
  </si>
  <si>
    <t>KANGAROO HEAD</t>
  </si>
  <si>
    <t>PELICAN LAGOON</t>
  </si>
  <si>
    <t>PENNESHAW</t>
  </si>
  <si>
    <t>PORKY FLAT</t>
  </si>
  <si>
    <t>SAPPHIRETOWN</t>
  </si>
  <si>
    <t>WILLSON RIVER</t>
  </si>
  <si>
    <t>BAY OF SHOALS</t>
  </si>
  <si>
    <t>BIRCHMORE</t>
  </si>
  <si>
    <t>BROWNLOW</t>
  </si>
  <si>
    <t>CAPE BORDA</t>
  </si>
  <si>
    <t>CASSINI</t>
  </si>
  <si>
    <t>CYGNET RIVER</t>
  </si>
  <si>
    <t>DE MOLE RIVER</t>
  </si>
  <si>
    <t>D'ESTREES BAY</t>
  </si>
  <si>
    <t>DUNCAN</t>
  </si>
  <si>
    <t>EMU BAY</t>
  </si>
  <si>
    <t>FLINDERS CHASE</t>
  </si>
  <si>
    <t>GOSSE</t>
  </si>
  <si>
    <t>HAINES</t>
  </si>
  <si>
    <t>HARRIET RIVER</t>
  </si>
  <si>
    <t>KARATTA</t>
  </si>
  <si>
    <t>KINGSCOTE</t>
  </si>
  <si>
    <t>KOHINOOR</t>
  </si>
  <si>
    <t>MACGILLIVRAY</t>
  </si>
  <si>
    <t>MIDDLE RIVER</t>
  </si>
  <si>
    <t>NEPEAN BAY</t>
  </si>
  <si>
    <t>NEWLAND</t>
  </si>
  <si>
    <t>NORTH CAPE</t>
  </si>
  <si>
    <t>SEAL BAY</t>
  </si>
  <si>
    <t>STOKES BAY</t>
  </si>
  <si>
    <t>STUN'SAIL BOOM</t>
  </si>
  <si>
    <t>VIVONNE BAY</t>
  </si>
  <si>
    <t>WESTERN RIVER</t>
  </si>
  <si>
    <t>WISANGER</t>
  </si>
  <si>
    <t>KERSBROOK</t>
  </si>
  <si>
    <t>CUDLEE CREEK</t>
  </si>
  <si>
    <t>FORRESTON</t>
  </si>
  <si>
    <t>GUMERACHA</t>
  </si>
  <si>
    <t>EDEN VALLEY</t>
  </si>
  <si>
    <t>SPRINGTON</t>
  </si>
  <si>
    <t>TUNGKILLO</t>
  </si>
  <si>
    <t>APAMURRA</t>
  </si>
  <si>
    <t>MILENDELLA</t>
  </si>
  <si>
    <t>PALMER</t>
  </si>
  <si>
    <t>SANDERSTON</t>
  </si>
  <si>
    <t>ANGAS VALLEY</t>
  </si>
  <si>
    <t>BOWHILL</t>
  </si>
  <si>
    <t>CLAYPANS</t>
  </si>
  <si>
    <t>COOLCHA</t>
  </si>
  <si>
    <t>COWIRRA</t>
  </si>
  <si>
    <t>MANNUM</t>
  </si>
  <si>
    <t>NILDOTTIE</t>
  </si>
  <si>
    <t>POMPOOTA</t>
  </si>
  <si>
    <t>PONDE</t>
  </si>
  <si>
    <t>PUNTHARI</t>
  </si>
  <si>
    <t>PURNONG LANDING</t>
  </si>
  <si>
    <t>WALKER FLAT</t>
  </si>
  <si>
    <t>WALL</t>
  </si>
  <si>
    <t>WONGULLA</t>
  </si>
  <si>
    <t>WOODLANE</t>
  </si>
  <si>
    <t>LENSWOOD</t>
  </si>
  <si>
    <t>LOBETHAL</t>
  </si>
  <si>
    <t>BALHANNAH</t>
  </si>
  <si>
    <t>OAKBANK</t>
  </si>
  <si>
    <t>CHARLESTON</t>
  </si>
  <si>
    <t>HARROGATE</t>
  </si>
  <si>
    <t>INVERBRACKIE</t>
  </si>
  <si>
    <t>MOUNT TORRENS</t>
  </si>
  <si>
    <t>HAHNDORF</t>
  </si>
  <si>
    <t>VERDUN</t>
  </si>
  <si>
    <t>LITTLEHAMPTON</t>
  </si>
  <si>
    <t>MOUNT BARKER</t>
  </si>
  <si>
    <t>WISTOW</t>
  </si>
  <si>
    <t>BRUKUNGA</t>
  </si>
  <si>
    <t>DAWESLEY</t>
  </si>
  <si>
    <t>KANMANTOO</t>
  </si>
  <si>
    <t>NAIRNE</t>
  </si>
  <si>
    <t>AVOCA DELL</t>
  </si>
  <si>
    <t>BRINKLEY</t>
  </si>
  <si>
    <t>CHAPMAN BORE</t>
  </si>
  <si>
    <t>GIFFORD HILL</t>
  </si>
  <si>
    <t>GREENBANKS</t>
  </si>
  <si>
    <t>MOBILONG</t>
  </si>
  <si>
    <t>MURRAWONG</t>
  </si>
  <si>
    <t>MURRAY BRIDGE</t>
  </si>
  <si>
    <t>MURRAY BRIDGE EAST</t>
  </si>
  <si>
    <t>MURRAY BRIDGE NORTH</t>
  </si>
  <si>
    <t>MURRAY BRIDGE SOUTH</t>
  </si>
  <si>
    <t>NORTHERN HEIGHTS</t>
  </si>
  <si>
    <t>RIVERGLADES</t>
  </si>
  <si>
    <t>RIVERGLEN</t>
  </si>
  <si>
    <t>ROCKY GULLY</t>
  </si>
  <si>
    <t>SWANPORT</t>
  </si>
  <si>
    <t>WHITE HILL</t>
  </si>
  <si>
    <t>WHITE SANDS</t>
  </si>
  <si>
    <t>WILLOW BANKS</t>
  </si>
  <si>
    <t>BUCCLEUCH</t>
  </si>
  <si>
    <t>CALLINGTON</t>
  </si>
  <si>
    <t>CALOOTE</t>
  </si>
  <si>
    <t>MONARTO</t>
  </si>
  <si>
    <t>MONARTO SOUTH</t>
  </si>
  <si>
    <t>MONTEITH</t>
  </si>
  <si>
    <t>MYPOLONGA</t>
  </si>
  <si>
    <t>PALLAMANA</t>
  </si>
  <si>
    <t>ROCKLEIGH</t>
  </si>
  <si>
    <t>TEPKO</t>
  </si>
  <si>
    <t>THE POINT</t>
  </si>
  <si>
    <t>ANGAS PLAINS</t>
  </si>
  <si>
    <t>BELVIDERE</t>
  </si>
  <si>
    <t>BLETCHLEY</t>
  </si>
  <si>
    <t>FINNISS</t>
  </si>
  <si>
    <t>GEMMELLS</t>
  </si>
  <si>
    <t>HIGHLAND VALLEY</t>
  </si>
  <si>
    <t>LAKE PLAINS</t>
  </si>
  <si>
    <t>LANGHORNE CREEK</t>
  </si>
  <si>
    <t>MOUNT OBSERVATION</t>
  </si>
  <si>
    <t>MULGUNDAWA</t>
  </si>
  <si>
    <t>NALPA</t>
  </si>
  <si>
    <t>RED CREEK</t>
  </si>
  <si>
    <t>SALEM</t>
  </si>
  <si>
    <t>SANDERGROVE</t>
  </si>
  <si>
    <t>STRATHALBYN</t>
  </si>
  <si>
    <t>TOOPERANG</t>
  </si>
  <si>
    <t>WILLYAROO</t>
  </si>
  <si>
    <t>WOODCHESTER</t>
  </si>
  <si>
    <t>MILANG</t>
  </si>
  <si>
    <t>NURRAGI</t>
  </si>
  <si>
    <t>POINT STURT</t>
  </si>
  <si>
    <t>TOLDEROL</t>
  </si>
  <si>
    <t>EAST WELLINGTON</t>
  </si>
  <si>
    <t>JERVOIS</t>
  </si>
  <si>
    <t>KEPA</t>
  </si>
  <si>
    <t>MALINONG</t>
  </si>
  <si>
    <t>NATURI</t>
  </si>
  <si>
    <t>POINT MCLEAY</t>
  </si>
  <si>
    <t>POLTALLOCH</t>
  </si>
  <si>
    <t>RAUKKAN</t>
  </si>
  <si>
    <t>TAILEM BEND</t>
  </si>
  <si>
    <t>BAYAH</t>
  </si>
  <si>
    <t>COOKE PLAINS</t>
  </si>
  <si>
    <t>COOMANDOOK</t>
  </si>
  <si>
    <t>CULBURRA</t>
  </si>
  <si>
    <t>KI KI</t>
  </si>
  <si>
    <t>YUMALI</t>
  </si>
  <si>
    <t>BINNUM</t>
  </si>
  <si>
    <t>FRANCES</t>
  </si>
  <si>
    <t>HYNAM</t>
  </si>
  <si>
    <t>KYBYBOLITE</t>
  </si>
  <si>
    <t>COORONG</t>
  </si>
  <si>
    <t>MENINGIE</t>
  </si>
  <si>
    <t>MENINGIE EAST</t>
  </si>
  <si>
    <t>MENINGIE WEST</t>
  </si>
  <si>
    <t>POLICEMAN POINT</t>
  </si>
  <si>
    <t>SALT CREEK</t>
  </si>
  <si>
    <t>WALTOWA</t>
  </si>
  <si>
    <t>COONALPYN</t>
  </si>
  <si>
    <t>FIELD</t>
  </si>
  <si>
    <t>BUNBURY</t>
  </si>
  <si>
    <t>COLEBATCH</t>
  </si>
  <si>
    <t>TINTINARA</t>
  </si>
  <si>
    <t>BRIMBAGO</t>
  </si>
  <si>
    <t>KEITH</t>
  </si>
  <si>
    <t>LAFFER</t>
  </si>
  <si>
    <t>MAKIN</t>
  </si>
  <si>
    <t>MCCALLUM</t>
  </si>
  <si>
    <t>MOUNT CHARLES</t>
  </si>
  <si>
    <t>PETHERICK</t>
  </si>
  <si>
    <t>SHAUGH</t>
  </si>
  <si>
    <t>WILLALOOKA</t>
  </si>
  <si>
    <t>WIRREGA</t>
  </si>
  <si>
    <t>BANGHAM</t>
  </si>
  <si>
    <t>BORDERTOWN</t>
  </si>
  <si>
    <t>BORDERTOWN SOUTH</t>
  </si>
  <si>
    <t>CANGARA</t>
  </si>
  <si>
    <t>CANNAWIGARA</t>
  </si>
  <si>
    <t>LOWAN VALE</t>
  </si>
  <si>
    <t>POOGINAGORIC</t>
  </si>
  <si>
    <t>SENIOR</t>
  </si>
  <si>
    <t>WESTERN FLAT</t>
  </si>
  <si>
    <t>PINE HILL</t>
  </si>
  <si>
    <t>WOLSELEY</t>
  </si>
  <si>
    <t>CAREW</t>
  </si>
  <si>
    <t>CUSTON</t>
  </si>
  <si>
    <t>KONGAL</t>
  </si>
  <si>
    <t>MUNDULLA</t>
  </si>
  <si>
    <t>SWEDE FLAT</t>
  </si>
  <si>
    <t>BOOL LAGOON</t>
  </si>
  <si>
    <t>KEPPOCH</t>
  </si>
  <si>
    <t>MARCOLLAT</t>
  </si>
  <si>
    <t>NARACOORTE</t>
  </si>
  <si>
    <t>PADTHAWAY</t>
  </si>
  <si>
    <t>STEWART RANGE</t>
  </si>
  <si>
    <t>WRATTONBULLY</t>
  </si>
  <si>
    <t>COLES</t>
  </si>
  <si>
    <t>CONMURRA</t>
  </si>
  <si>
    <t>FOX</t>
  </si>
  <si>
    <t>GREENWAYS</t>
  </si>
  <si>
    <t>LUCINDALE</t>
  </si>
  <si>
    <t>WOOLUMBOOL</t>
  </si>
  <si>
    <t>AVENUE RANGE</t>
  </si>
  <si>
    <t>BLACKFORD</t>
  </si>
  <si>
    <t>BOATSWAIN POINT</t>
  </si>
  <si>
    <t>CAPE JAFFA</t>
  </si>
  <si>
    <t>KEILIRA</t>
  </si>
  <si>
    <t>KINGSTON SE</t>
  </si>
  <si>
    <t>MOUNT BENSON</t>
  </si>
  <si>
    <t>PINKS BEACH</t>
  </si>
  <si>
    <t>ROSETOWN</t>
  </si>
  <si>
    <t>SANDY GROVE</t>
  </si>
  <si>
    <t>TARATAP</t>
  </si>
  <si>
    <t>TILLEY SWAMP</t>
  </si>
  <si>
    <t>WANGOLINA</t>
  </si>
  <si>
    <t>WEST RANGE</t>
  </si>
  <si>
    <t>WYOMI</t>
  </si>
  <si>
    <t>BRAY</t>
  </si>
  <si>
    <t>NORA CREINA</t>
  </si>
  <si>
    <t>ROBE</t>
  </si>
  <si>
    <t>COMAUM</t>
  </si>
  <si>
    <t>NANGWARRY</t>
  </si>
  <si>
    <t>PENOLA</t>
  </si>
  <si>
    <t>PLEASANT PARK</t>
  </si>
  <si>
    <t>TARPEENA</t>
  </si>
  <si>
    <t>KALANGADOO</t>
  </si>
  <si>
    <t>WEPAR</t>
  </si>
  <si>
    <t>KOORINE</t>
  </si>
  <si>
    <t>MOUNT BURR</t>
  </si>
  <si>
    <t>MOUNT MCINTYRE</t>
  </si>
  <si>
    <t>SHORT</t>
  </si>
  <si>
    <t>TRIHI</t>
  </si>
  <si>
    <t>WATTLE RANGE EAST</t>
  </si>
  <si>
    <t>BEACHPORT</t>
  </si>
  <si>
    <t>CLAY WELLS</t>
  </si>
  <si>
    <t>FURNER</t>
  </si>
  <si>
    <t>HATHERLEIGH</t>
  </si>
  <si>
    <t>KANGAROO INN</t>
  </si>
  <si>
    <t>MAGAREY</t>
  </si>
  <si>
    <t>MILLICENT</t>
  </si>
  <si>
    <t>RENDELSHAM</t>
  </si>
  <si>
    <t>SOUTHEND</t>
  </si>
  <si>
    <t>TANTANOOLA</t>
  </si>
  <si>
    <t>THORNLEA</t>
  </si>
  <si>
    <t>MOUNT GAMBIER</t>
  </si>
  <si>
    <t>MOUNT GAMBIER DC</t>
  </si>
  <si>
    <t>ALLENDALE EAST</t>
  </si>
  <si>
    <t>BLACKFELLOWS CAVES</t>
  </si>
  <si>
    <t>BURRUNGULE</t>
  </si>
  <si>
    <t>CANUNDA</t>
  </si>
  <si>
    <t>CAPE DOUGLAS</t>
  </si>
  <si>
    <t>CAROLINE</t>
  </si>
  <si>
    <t>CARPENTER ROCKS</t>
  </si>
  <si>
    <t>CAVETON</t>
  </si>
  <si>
    <t>COMPTON</t>
  </si>
  <si>
    <t>DISMAL SWAMP</t>
  </si>
  <si>
    <t>DONOVANS</t>
  </si>
  <si>
    <t>GLENBURNIE</t>
  </si>
  <si>
    <t>GLENCOE WEST</t>
  </si>
  <si>
    <t>KONGORONG</t>
  </si>
  <si>
    <t>MIL LEL</t>
  </si>
  <si>
    <t>MINGBOOL</t>
  </si>
  <si>
    <t>MOORAK</t>
  </si>
  <si>
    <t>MOUNT GAMBIER EAST</t>
  </si>
  <si>
    <t>MOUNT GAMBIER WEST</t>
  </si>
  <si>
    <t>MOUNT SCHANK</t>
  </si>
  <si>
    <t>NENE VALLEY</t>
  </si>
  <si>
    <t>O B FLAT</t>
  </si>
  <si>
    <t>PELICAN POINT</t>
  </si>
  <si>
    <t>PORT MACDONNELL</t>
  </si>
  <si>
    <t>RACECOURSE BAY</t>
  </si>
  <si>
    <t>SQUARE MILE</t>
  </si>
  <si>
    <t>SUTTONTOWN</t>
  </si>
  <si>
    <t>WANDILO</t>
  </si>
  <si>
    <t>WORROLONG</t>
  </si>
  <si>
    <t>YAHL</t>
  </si>
  <si>
    <t>CARCUMA</t>
  </si>
  <si>
    <t>GERANIUM</t>
  </si>
  <si>
    <t>JABUK</t>
  </si>
  <si>
    <t>MOORLANDS</t>
  </si>
  <si>
    <t>PARRAKIE</t>
  </si>
  <si>
    <t>PEAKE</t>
  </si>
  <si>
    <t>SHERLOCK</t>
  </si>
  <si>
    <t>WILKAWATT</t>
  </si>
  <si>
    <t>LAMEROO</t>
  </si>
  <si>
    <t>NGARKAT</t>
  </si>
  <si>
    <t>SMITHVILLE</t>
  </si>
  <si>
    <t>PARILLA</t>
  </si>
  <si>
    <t>KRINGIN</t>
  </si>
  <si>
    <t>PEEBINGA</t>
  </si>
  <si>
    <t>PINNAROO</t>
  </si>
  <si>
    <t>WYNARKA</t>
  </si>
  <si>
    <t>KAROONDA</t>
  </si>
  <si>
    <t>KARTE</t>
  </si>
  <si>
    <t>KULKAMI</t>
  </si>
  <si>
    <t>LOWALDIE</t>
  </si>
  <si>
    <t>MARAMA</t>
  </si>
  <si>
    <t>MOOTATUNGA</t>
  </si>
  <si>
    <t>COPEVILLE</t>
  </si>
  <si>
    <t>GALGA</t>
  </si>
  <si>
    <t>KALYAN</t>
  </si>
  <si>
    <t>MAGGEA</t>
  </si>
  <si>
    <t>MANTUNG</t>
  </si>
  <si>
    <t>MERCUNDA</t>
  </si>
  <si>
    <t>PERPONDA</t>
  </si>
  <si>
    <t>BORRIKA</t>
  </si>
  <si>
    <t>HALIDON</t>
  </si>
  <si>
    <t>MINDARIE</t>
  </si>
  <si>
    <t>SANDALWOOD</t>
  </si>
  <si>
    <t>CALIPH</t>
  </si>
  <si>
    <t>WANBI</t>
  </si>
  <si>
    <t>ALAWOONA</t>
  </si>
  <si>
    <t>BILLIATT</t>
  </si>
  <si>
    <t>BUGLE HUT</t>
  </si>
  <si>
    <t>MALPAS</t>
  </si>
  <si>
    <t>MERIBAH</t>
  </si>
  <si>
    <t>PARUNA</t>
  </si>
  <si>
    <t>SCHELL WELL</t>
  </si>
  <si>
    <t>TALDRA</t>
  </si>
  <si>
    <t>WUNKAR</t>
  </si>
  <si>
    <t>VEITCH</t>
  </si>
  <si>
    <t>BUNDEY</t>
  </si>
  <si>
    <t>MORGAN</t>
  </si>
  <si>
    <t>MURBKO</t>
  </si>
  <si>
    <t>CADELL</t>
  </si>
  <si>
    <t>GOLDEN HEIGHTS</t>
  </si>
  <si>
    <t>QUALCO</t>
  </si>
  <si>
    <t>RAMCO</t>
  </si>
  <si>
    <t>RAMCO HEIGHTS</t>
  </si>
  <si>
    <t>SUNLANDS</t>
  </si>
  <si>
    <t>BOOLGUN</t>
  </si>
  <si>
    <t>DEVLINS POUND</t>
  </si>
  <si>
    <t>GOOD HOPE LANDING</t>
  </si>
  <si>
    <t>HOLDER SIDING</t>
  </si>
  <si>
    <t>KANNI</t>
  </si>
  <si>
    <t>LOWBANK</t>
  </si>
  <si>
    <t>OVERLAND CORNER</t>
  </si>
  <si>
    <t>POOGINOOK</t>
  </si>
  <si>
    <t>STOCKYARD PLAIN</t>
  </si>
  <si>
    <t>TAYLORVILLE</t>
  </si>
  <si>
    <t>WAIKERIE</t>
  </si>
  <si>
    <t>WOOLPUNDA</t>
  </si>
  <si>
    <t>KINGSTON-ON-MURRAY</t>
  </si>
  <si>
    <t>MOOROOK</t>
  </si>
  <si>
    <t>MOOROOK SOUTH</t>
  </si>
  <si>
    <t>WAPPILKA</t>
  </si>
  <si>
    <t>YINKANIE</t>
  </si>
  <si>
    <t>LOXTON</t>
  </si>
  <si>
    <t>LOXTON NORTH</t>
  </si>
  <si>
    <t>NANGARI</t>
  </si>
  <si>
    <t>NEW RESIDENCE</t>
  </si>
  <si>
    <t>NOORA</t>
  </si>
  <si>
    <t>PATA</t>
  </si>
  <si>
    <t>PYAP</t>
  </si>
  <si>
    <t>PYAP WEST</t>
  </si>
  <si>
    <t>TAPLAN</t>
  </si>
  <si>
    <t>MUNDIC CREEK</t>
  </si>
  <si>
    <t>MURTHO</t>
  </si>
  <si>
    <t>PARINGA</t>
  </si>
  <si>
    <t>PIKE RIVER</t>
  </si>
  <si>
    <t>WONUARRA</t>
  </si>
  <si>
    <t>CALPERUM</t>
  </si>
  <si>
    <t>CHAFFEY</t>
  </si>
  <si>
    <t>COOLTONG</t>
  </si>
  <si>
    <t>CRESCENT</t>
  </si>
  <si>
    <t>RENMARK</t>
  </si>
  <si>
    <t>RENMARK NORTH</t>
  </si>
  <si>
    <t>RENMARK SOUTH</t>
  </si>
  <si>
    <t>RENMARK WEST</t>
  </si>
  <si>
    <t>BERRI</t>
  </si>
  <si>
    <t>GERARD</t>
  </si>
  <si>
    <t>GURRA GURRA</t>
  </si>
  <si>
    <t>KATARAPKO</t>
  </si>
  <si>
    <t>LYRUP</t>
  </si>
  <si>
    <t>WINKIE</t>
  </si>
  <si>
    <t>GLOSSOP</t>
  </si>
  <si>
    <t>BARMERA</t>
  </si>
  <si>
    <t>LOVEDAY</t>
  </si>
  <si>
    <t>SPECTACLE LAKE</t>
  </si>
  <si>
    <t>COBDOGLA</t>
  </si>
  <si>
    <t>COCKATOO VALLEY</t>
  </si>
  <si>
    <t>LYNDOCH</t>
  </si>
  <si>
    <t>MOUNT CRAWFORD</t>
  </si>
  <si>
    <t>PEWSEY VALE</t>
  </si>
  <si>
    <t>GOMERSAL</t>
  </si>
  <si>
    <t>ROWLAND FLAT</t>
  </si>
  <si>
    <t>STONE WELL</t>
  </si>
  <si>
    <t>TANUNDA</t>
  </si>
  <si>
    <t>ANGASTON</t>
  </si>
  <si>
    <t>CAMBRAI</t>
  </si>
  <si>
    <t>KEYNETON</t>
  </si>
  <si>
    <t>KONGOLIA</t>
  </si>
  <si>
    <t>MOCULTA</t>
  </si>
  <si>
    <t>MOUNT MCKENZIE</t>
  </si>
  <si>
    <t>SEDAN</t>
  </si>
  <si>
    <t>TOWITTA</t>
  </si>
  <si>
    <t>BAKARA</t>
  </si>
  <si>
    <t>BAKARA WELL</t>
  </si>
  <si>
    <t>NAIDIA</t>
  </si>
  <si>
    <t>PUNYELROO</t>
  </si>
  <si>
    <t>DAVEYSTON</t>
  </si>
  <si>
    <t>LIGHT PASS</t>
  </si>
  <si>
    <t>MARANANGA</t>
  </si>
  <si>
    <t>MOPPA</t>
  </si>
  <si>
    <t>NURIOOTPA</t>
  </si>
  <si>
    <t>SEPPELTSFIELD</t>
  </si>
  <si>
    <t>STOCKWELL</t>
  </si>
  <si>
    <t>DUTTON</t>
  </si>
  <si>
    <t>ST KITTS</t>
  </si>
  <si>
    <t>STEINFELD</t>
  </si>
  <si>
    <t>TRURO</t>
  </si>
  <si>
    <t>BLANCHETOWN</t>
  </si>
  <si>
    <t>MOORUNDIE</t>
  </si>
  <si>
    <t>NEW WELL</t>
  </si>
  <si>
    <t>NOTTS WELL</t>
  </si>
  <si>
    <t>PAISLEY</t>
  </si>
  <si>
    <t>WIGLEY FLAT</t>
  </si>
  <si>
    <t>GREENOCK</t>
  </si>
  <si>
    <t>NAIN</t>
  </si>
  <si>
    <t>ROSEWORTHY</t>
  </si>
  <si>
    <t>SHEA-OAK LOG</t>
  </si>
  <si>
    <t>TEMPLERS</t>
  </si>
  <si>
    <t>FREELING</t>
  </si>
  <si>
    <t>ALLENDALE NORTH</t>
  </si>
  <si>
    <t>BAGOT WELL</t>
  </si>
  <si>
    <t>BETHEL</t>
  </si>
  <si>
    <t>FORDS</t>
  </si>
  <si>
    <t>KAPUNDA</t>
  </si>
  <si>
    <t>KOONUNGA</t>
  </si>
  <si>
    <t>ST JOHNS</t>
  </si>
  <si>
    <t>AUSTRALIA PLAINS</t>
  </si>
  <si>
    <t>BOWER</t>
  </si>
  <si>
    <t>EUDUNDA</t>
  </si>
  <si>
    <t>FRANKTON</t>
  </si>
  <si>
    <t>HANSBOROUGH</t>
  </si>
  <si>
    <t>JULIA</t>
  </si>
  <si>
    <t>MOUNT MARY</t>
  </si>
  <si>
    <t>NEALES FLAT</t>
  </si>
  <si>
    <t>NGAPALA</t>
  </si>
  <si>
    <t>PEEP HILL</t>
  </si>
  <si>
    <t>POINT PASS</t>
  </si>
  <si>
    <t>SUTHERLANDS</t>
  </si>
  <si>
    <t>BRADY CREEK</t>
  </si>
  <si>
    <t>EMU DOWNS</t>
  </si>
  <si>
    <t>GERANIUM PLAINS</t>
  </si>
  <si>
    <t>HALLELUJA HILLS</t>
  </si>
  <si>
    <t>ROBERTSTOWN</t>
  </si>
  <si>
    <t>WORLDS END CREEK</t>
  </si>
  <si>
    <t>PINKERTON PLAINS</t>
  </si>
  <si>
    <t>WASLEYS</t>
  </si>
  <si>
    <t>HAMLEY BRIDGE</t>
  </si>
  <si>
    <t>SALTER SPRINGS</t>
  </si>
  <si>
    <t>LINWOOD</t>
  </si>
  <si>
    <t>STOCKPORT</t>
  </si>
  <si>
    <t>GILES CORNER</t>
  </si>
  <si>
    <t>TARLEE</t>
  </si>
  <si>
    <t>NAVAN</t>
  </si>
  <si>
    <t>RHYNIE</t>
  </si>
  <si>
    <t>APOINGA</t>
  </si>
  <si>
    <t>MARRABEL</t>
  </si>
  <si>
    <t>SADDLEWORTH</t>
  </si>
  <si>
    <t>STEELTON</t>
  </si>
  <si>
    <t>TARNMA</t>
  </si>
  <si>
    <t>TOTHILL BELT</t>
  </si>
  <si>
    <t>TOTHILL CREEK</t>
  </si>
  <si>
    <t>MINTARO</t>
  </si>
  <si>
    <t>FARRELL FLAT</t>
  </si>
  <si>
    <t>BALDINA</t>
  </si>
  <si>
    <t>BOOBOROWIE</t>
  </si>
  <si>
    <t>BURRA EASTERN DISTRICTS</t>
  </si>
  <si>
    <t>HANSON</t>
  </si>
  <si>
    <t>LEIGHTON</t>
  </si>
  <si>
    <t>MONGOLATA</t>
  </si>
  <si>
    <t>NORTH BOOBOROWIE</t>
  </si>
  <si>
    <t>MOUNT BRYAN</t>
  </si>
  <si>
    <t>CANOWIE</t>
  </si>
  <si>
    <t>HALLETT</t>
  </si>
  <si>
    <t>MOUNT BRYAN EAST</t>
  </si>
  <si>
    <t>ULOOLOO</t>
  </si>
  <si>
    <t>WILLALO</t>
  </si>
  <si>
    <t>WONNA</t>
  </si>
  <si>
    <t>CANOWIE BELT</t>
  </si>
  <si>
    <t>WHYTE YARCOWIE</t>
  </si>
  <si>
    <t>FRANKLYN</t>
  </si>
  <si>
    <t>TEROWIE</t>
  </si>
  <si>
    <t>CAVENAGH</t>
  </si>
  <si>
    <t>ERSKINE</t>
  </si>
  <si>
    <t>HARDY</t>
  </si>
  <si>
    <t>MANNANARIE</t>
  </si>
  <si>
    <t>MINVALARA</t>
  </si>
  <si>
    <t>OODLA WIRRA</t>
  </si>
  <si>
    <t>PARATOO</t>
  </si>
  <si>
    <t>PARNAROO</t>
  </si>
  <si>
    <t>SUNNYBRAE</t>
  </si>
  <si>
    <t>UCOLTA</t>
  </si>
  <si>
    <t>YATINA</t>
  </si>
  <si>
    <t>AMYTON</t>
  </si>
  <si>
    <t>COOMOOROO</t>
  </si>
  <si>
    <t>EURELIA</t>
  </si>
  <si>
    <t>HAMMOND</t>
  </si>
  <si>
    <t>JOHNBURG</t>
  </si>
  <si>
    <t>MINBURRA</t>
  </si>
  <si>
    <t>MORCHARD</t>
  </si>
  <si>
    <t>ORROROO</t>
  </si>
  <si>
    <t>PEKINA</t>
  </si>
  <si>
    <t>TARCOWIE</t>
  </si>
  <si>
    <t>WALLAWAY</t>
  </si>
  <si>
    <t>WILLOWIE</t>
  </si>
  <si>
    <t>YALPARA</t>
  </si>
  <si>
    <t>BELTON</t>
  </si>
  <si>
    <t>CARRIETON</t>
  </si>
  <si>
    <t>CRADOCK</t>
  </si>
  <si>
    <t>MOOCKRA</t>
  </si>
  <si>
    <t>YANYARRIE</t>
  </si>
  <si>
    <t>QUORN</t>
  </si>
  <si>
    <t>STEPHENSTON</t>
  </si>
  <si>
    <t>WILLOCHRA</t>
  </si>
  <si>
    <t>YARRAH</t>
  </si>
  <si>
    <t>BARNDIOOTA</t>
  </si>
  <si>
    <t>KANYAKA</t>
  </si>
  <si>
    <t>COCKBURN</t>
  </si>
  <si>
    <t>MANNA HILL</t>
  </si>
  <si>
    <t>MINGARY</t>
  </si>
  <si>
    <t>NACKARA</t>
  </si>
  <si>
    <t>OLARY</t>
  </si>
  <si>
    <t>YUNTA</t>
  </si>
  <si>
    <t>UNDALYA</t>
  </si>
  <si>
    <t>LEASINGHAM</t>
  </si>
  <si>
    <t>WATERVALE</t>
  </si>
  <si>
    <t>ARMAGH</t>
  </si>
  <si>
    <t>BARINIA</t>
  </si>
  <si>
    <t>BENBOURNIE</t>
  </si>
  <si>
    <t>BOCONNOC PARK</t>
  </si>
  <si>
    <t>GILLENTOWN</t>
  </si>
  <si>
    <t>HILL RIVER</t>
  </si>
  <si>
    <t>HOYLETON</t>
  </si>
  <si>
    <t>KYBUNGA</t>
  </si>
  <si>
    <t>PENWORTHAM</t>
  </si>
  <si>
    <t>POLISH HILL RIVER</t>
  </si>
  <si>
    <t>SEVENHILL</t>
  </si>
  <si>
    <t>STANLEY FLAT</t>
  </si>
  <si>
    <t>ANDREWS</t>
  </si>
  <si>
    <t>SPALDING</t>
  </si>
  <si>
    <t>HILLTOWN</t>
  </si>
  <si>
    <t>BARABBA</t>
  </si>
  <si>
    <t>OWEN</t>
  </si>
  <si>
    <t>PINERY</t>
  </si>
  <si>
    <t>BALAKLAVA</t>
  </si>
  <si>
    <t>BOWILLIA</t>
  </si>
  <si>
    <t>DALKEY</t>
  </si>
  <si>
    <t>ERITH</t>
  </si>
  <si>
    <t>EVERARD CENTRAL</t>
  </si>
  <si>
    <t>GOYDER</t>
  </si>
  <si>
    <t>HALBURY</t>
  </si>
  <si>
    <t>HOSKIN CORNER</t>
  </si>
  <si>
    <t>MOUNT TEMPLETON</t>
  </si>
  <si>
    <t>SAINTS</t>
  </si>
  <si>
    <t>STOW</t>
  </si>
  <si>
    <t>WATCHMAN</t>
  </si>
  <si>
    <t>WHITWARTA</t>
  </si>
  <si>
    <t>BLYTH</t>
  </si>
  <si>
    <t>ANAMA</t>
  </si>
  <si>
    <t>BRINKWORTH</t>
  </si>
  <si>
    <t>CONDOWIE</t>
  </si>
  <si>
    <t>HART</t>
  </si>
  <si>
    <t>KOOLUNGA</t>
  </si>
  <si>
    <t>MAROLA</t>
  </si>
  <si>
    <t>YACKA</t>
  </si>
  <si>
    <t>GULNARE</t>
  </si>
  <si>
    <t>APPILA</t>
  </si>
  <si>
    <t>STONE HUT</t>
  </si>
  <si>
    <t>MURRAY TOWN</t>
  </si>
  <si>
    <t>WIRRABARA</t>
  </si>
  <si>
    <t>WONGYARRA</t>
  </si>
  <si>
    <t>BOOLEROO CENTRE</t>
  </si>
  <si>
    <t>WEPOWIE</t>
  </si>
  <si>
    <t>WILMINGTON</t>
  </si>
  <si>
    <t>CALTOWIE</t>
  </si>
  <si>
    <t>BELALIE EAST</t>
  </si>
  <si>
    <t>JAMESTOWN</t>
  </si>
  <si>
    <t>YONGALA</t>
  </si>
  <si>
    <t>BAROOTA</t>
  </si>
  <si>
    <t>MAMBRAY CREEK</t>
  </si>
  <si>
    <t>NECTAR BROOK</t>
  </si>
  <si>
    <t>PORT FLINDERS</t>
  </si>
  <si>
    <t>PORT GERMEIN</t>
  </si>
  <si>
    <t>AVON</t>
  </si>
  <si>
    <t>CALOMBA</t>
  </si>
  <si>
    <t>DUBLIN</t>
  </si>
  <si>
    <t>LEWISTON</t>
  </si>
  <si>
    <t>LONG PLAINS</t>
  </si>
  <si>
    <t>LOWER LIGHT</t>
  </si>
  <si>
    <t>MIDDLE BEACH</t>
  </si>
  <si>
    <t>PARHAM</t>
  </si>
  <si>
    <t>PORT GAWLER</t>
  </si>
  <si>
    <t>THOMPSON BEACH</t>
  </si>
  <si>
    <t>TWO WELLS</t>
  </si>
  <si>
    <t>WEBB BEACH</t>
  </si>
  <si>
    <t>WILD HORSE PLAINS</t>
  </si>
  <si>
    <t>GRACE PLAINS</t>
  </si>
  <si>
    <t>KORUNYE</t>
  </si>
  <si>
    <t>MALLALA</t>
  </si>
  <si>
    <t>REDBANKS</t>
  </si>
  <si>
    <t>REEVES PLAINS</t>
  </si>
  <si>
    <t>BARUNGA GAP</t>
  </si>
  <si>
    <t>BUMBUNGA</t>
  </si>
  <si>
    <t>BURNSFIELD</t>
  </si>
  <si>
    <t>GLEESON HILL</t>
  </si>
  <si>
    <t>SNOWTOWN</t>
  </si>
  <si>
    <t>WOKURNA</t>
  </si>
  <si>
    <t>REDHILL</t>
  </si>
  <si>
    <t>FISHERMAN BAY</t>
  </si>
  <si>
    <t>LOWER BROUGHTON</t>
  </si>
  <si>
    <t>PORT BROUGHTON</t>
  </si>
  <si>
    <t>WARD HILL</t>
  </si>
  <si>
    <t>CLEMENTS GAP</t>
  </si>
  <si>
    <t>HUDDLESTON</t>
  </si>
  <si>
    <t>MERRITON</t>
  </si>
  <si>
    <t>NARRIDY</t>
  </si>
  <si>
    <t>WANDEARAH</t>
  </si>
  <si>
    <t>WANDEARAH EAST</t>
  </si>
  <si>
    <t>BUNGAMA</t>
  </si>
  <si>
    <t>COONAMIA</t>
  </si>
  <si>
    <t>NAPPERBY</t>
  </si>
  <si>
    <t>NELSHABY</t>
  </si>
  <si>
    <t>PORT DAVIS</t>
  </si>
  <si>
    <t>PORT PIRIE</t>
  </si>
  <si>
    <t>PORT PIRIE SOUTH</t>
  </si>
  <si>
    <t>PORT PIRIE WEST</t>
  </si>
  <si>
    <t>RISDON PARK</t>
  </si>
  <si>
    <t>RISDON PARK SOUTH</t>
  </si>
  <si>
    <t>SOLOMONTOWN</t>
  </si>
  <si>
    <t>TELOWIE</t>
  </si>
  <si>
    <t>WARNERTOWN</t>
  </si>
  <si>
    <t>BOWMANS</t>
  </si>
  <si>
    <t>KALLORA</t>
  </si>
  <si>
    <t>NANTAWARRA</t>
  </si>
  <si>
    <t>PORT WAKEFIELD</t>
  </si>
  <si>
    <t>PROOF RANGE</t>
  </si>
  <si>
    <t>SOUTH HUMMOCKS</t>
  </si>
  <si>
    <t>KAINTON</t>
  </si>
  <si>
    <t>PASKEVILLE</t>
  </si>
  <si>
    <t>SUNNYVALE</t>
  </si>
  <si>
    <t>THRINGTON</t>
  </si>
  <si>
    <t>BOORS PLAIN</t>
  </si>
  <si>
    <t>CUNLIFFE</t>
  </si>
  <si>
    <t>JERUSALEM</t>
  </si>
  <si>
    <t>MATTA FLAT</t>
  </si>
  <si>
    <t>NEW TOWN</t>
  </si>
  <si>
    <t>THOMAS PLAINS</t>
  </si>
  <si>
    <t>WALLAROO MINES</t>
  </si>
  <si>
    <t>WILLAMULKA</t>
  </si>
  <si>
    <t>ALFORD</t>
  </si>
  <si>
    <t>DOWLING</t>
  </si>
  <si>
    <t>DOWLINGVILLE</t>
  </si>
  <si>
    <t>HOPE GAP</t>
  </si>
  <si>
    <t>KULPARA</t>
  </si>
  <si>
    <t>LAKE VIEW</t>
  </si>
  <si>
    <t>MUNDOORA</t>
  </si>
  <si>
    <t>TICKERA</t>
  </si>
  <si>
    <t>WINULTA</t>
  </si>
  <si>
    <t>NORTH BEACH</t>
  </si>
  <si>
    <t>WALLAROO PLAIN</t>
  </si>
  <si>
    <t>WARBURTO</t>
  </si>
  <si>
    <t>AGERY</t>
  </si>
  <si>
    <t>EAST MOONTA</t>
  </si>
  <si>
    <t>HAMLEY</t>
  </si>
  <si>
    <t>KOOROONA</t>
  </si>
  <si>
    <t>MOONTA</t>
  </si>
  <si>
    <t>MOONTA BAY</t>
  </si>
  <si>
    <t>MOONTA MINES</t>
  </si>
  <si>
    <t>NALYAPPA</t>
  </si>
  <si>
    <t>NORTH MOONTA</t>
  </si>
  <si>
    <t>NORTH YELTA</t>
  </si>
  <si>
    <t>PARAMATTA</t>
  </si>
  <si>
    <t>PORT HUGHES</t>
  </si>
  <si>
    <t>BUTE</t>
  </si>
  <si>
    <t>NINNES</t>
  </si>
  <si>
    <t>CLINTON CENTRE</t>
  </si>
  <si>
    <t>PORT CLINTON</t>
  </si>
  <si>
    <t>PRICE</t>
  </si>
  <si>
    <t>ARDROSSAN</t>
  </si>
  <si>
    <t>BLACK POINT</t>
  </si>
  <si>
    <t>JAMES WELL</t>
  </si>
  <si>
    <t>PETERSVILLE</t>
  </si>
  <si>
    <t>PINE POINT</t>
  </si>
  <si>
    <t>ROGUES POINT</t>
  </si>
  <si>
    <t>SANDILANDS</t>
  </si>
  <si>
    <t>TIDDY WIDDY BEACH</t>
  </si>
  <si>
    <t>ARTHURTON</t>
  </si>
  <si>
    <t>PORT ARTHUR</t>
  </si>
  <si>
    <t>CHINAMEN WELLS</t>
  </si>
  <si>
    <t>POINT PEARCE</t>
  </si>
  <si>
    <t>PORT VICTORIA</t>
  </si>
  <si>
    <t>SOUTH KILKERRAN</t>
  </si>
  <si>
    <t>URANIA</t>
  </si>
  <si>
    <t>WAURALTEE</t>
  </si>
  <si>
    <t>WEETULTA</t>
  </si>
  <si>
    <t>YORKE VALLEY</t>
  </si>
  <si>
    <t>BLUFF BEACH</t>
  </si>
  <si>
    <t>BRENTWOOD</t>
  </si>
  <si>
    <t>CORNY POINT</t>
  </si>
  <si>
    <t>COUCH BEACH</t>
  </si>
  <si>
    <t>HARDWICKE BAY</t>
  </si>
  <si>
    <t>KOOLYWURTIE</t>
  </si>
  <si>
    <t>MARION BAY</t>
  </si>
  <si>
    <t>MINLATON</t>
  </si>
  <si>
    <t>POINT SOUTTAR</t>
  </si>
  <si>
    <t>POINT TURTON</t>
  </si>
  <si>
    <t>PORT JULIA</t>
  </si>
  <si>
    <t>PORT RICKABY</t>
  </si>
  <si>
    <t>STENHOUSE BAY</t>
  </si>
  <si>
    <t>WHITE HUT</t>
  </si>
  <si>
    <t>WOOL BAY</t>
  </si>
  <si>
    <t>HONITON</t>
  </si>
  <si>
    <t>PORT MOOROWIE</t>
  </si>
  <si>
    <t>YORKETOWN</t>
  </si>
  <si>
    <t>FOUL BAY</t>
  </si>
  <si>
    <t>INNESTON</t>
  </si>
  <si>
    <t>WAROOKA</t>
  </si>
  <si>
    <t>CURRAMULKA</t>
  </si>
  <si>
    <t>PORT VINCENT</t>
  </si>
  <si>
    <t>SHEAOAK FLAT</t>
  </si>
  <si>
    <t>PORT GILES</t>
  </si>
  <si>
    <t>STANSBURY</t>
  </si>
  <si>
    <t>COOBOWIE</t>
  </si>
  <si>
    <t>EDITHBURGH</t>
  </si>
  <si>
    <t>IRON BARON</t>
  </si>
  <si>
    <t>WHYALLA</t>
  </si>
  <si>
    <t>WHYALLA DC</t>
  </si>
  <si>
    <t>WHYALLA PLAYFORD</t>
  </si>
  <si>
    <t>IRON KNOB</t>
  </si>
  <si>
    <t>COWELL</t>
  </si>
  <si>
    <t>LUCKY BAY</t>
  </si>
  <si>
    <t>MANGALO</t>
  </si>
  <si>
    <t>MINBRIE</t>
  </si>
  <si>
    <t>MITALIE</t>
  </si>
  <si>
    <t>MITCHELLVILLE</t>
  </si>
  <si>
    <t>PORT GIBBON</t>
  </si>
  <si>
    <t>ARNO BAY</t>
  </si>
  <si>
    <t>HINCKS</t>
  </si>
  <si>
    <t>VERRAN</t>
  </si>
  <si>
    <t>WHARMINDA</t>
  </si>
  <si>
    <t>PORT NEILL</t>
  </si>
  <si>
    <t>BUTLER</t>
  </si>
  <si>
    <t>TUMBY BAY</t>
  </si>
  <si>
    <t>KIRTON POINT</t>
  </si>
  <si>
    <t>PORT LINCOLN</t>
  </si>
  <si>
    <t>BOSTON</t>
  </si>
  <si>
    <t>BROOKER</t>
  </si>
  <si>
    <t>CHARLTON GULLY</t>
  </si>
  <si>
    <t>COFFIN BAY</t>
  </si>
  <si>
    <t>COOMUNGA</t>
  </si>
  <si>
    <t>COULTA</t>
  </si>
  <si>
    <t>DUCK PONDS</t>
  </si>
  <si>
    <t>FOUNTAIN</t>
  </si>
  <si>
    <t>GREEN PATCH</t>
  </si>
  <si>
    <t>HAWSON</t>
  </si>
  <si>
    <t>HORSE PENINSULA</t>
  </si>
  <si>
    <t>KARKOO</t>
  </si>
  <si>
    <t>KELLIDIE BAY</t>
  </si>
  <si>
    <t>KIANA</t>
  </si>
  <si>
    <t>KOPPIO</t>
  </si>
  <si>
    <t>LINCOLN NATIONAL PARK</t>
  </si>
  <si>
    <t>LIPSON</t>
  </si>
  <si>
    <t>LOUTH BAY</t>
  </si>
  <si>
    <t>MOODY</t>
  </si>
  <si>
    <t>MOUNT DRUMMOND</t>
  </si>
  <si>
    <t>MOUNT DUTTON BAY</t>
  </si>
  <si>
    <t>MURDINGA</t>
  </si>
  <si>
    <t>NORTH SHIELDS</t>
  </si>
  <si>
    <t>PEACHNA</t>
  </si>
  <si>
    <t>PEARLAH</t>
  </si>
  <si>
    <t>POONINDIE</t>
  </si>
  <si>
    <t>SHERINGA</t>
  </si>
  <si>
    <t>SLEAFORD</t>
  </si>
  <si>
    <t>SULLIVAN</t>
  </si>
  <si>
    <t>TOOLIGIE</t>
  </si>
  <si>
    <t>TULKA</t>
  </si>
  <si>
    <t>TULKA NORTH</t>
  </si>
  <si>
    <t>ULEY</t>
  </si>
  <si>
    <t>UNGARRA</t>
  </si>
  <si>
    <t>WANGARY</t>
  </si>
  <si>
    <t>WANILLA</t>
  </si>
  <si>
    <t>WARRACHIE</t>
  </si>
  <si>
    <t>WARROW</t>
  </si>
  <si>
    <t>WARUNDA</t>
  </si>
  <si>
    <t>WHITES FLAT</t>
  </si>
  <si>
    <t>WHITES RIVER</t>
  </si>
  <si>
    <t>YALLUNDA FLAT</t>
  </si>
  <si>
    <t>WHYALLA NORRIE</t>
  </si>
  <si>
    <t>WHYALLA NORRIE EAST</t>
  </si>
  <si>
    <t>WHYALLA NORRIE NORTH</t>
  </si>
  <si>
    <t>WHYALLA STUART</t>
  </si>
  <si>
    <t>WHYALLA JENKINS</t>
  </si>
  <si>
    <t>EDILILLIE</t>
  </si>
  <si>
    <t>COCKALEECHIE</t>
  </si>
  <si>
    <t>CUMMINS</t>
  </si>
  <si>
    <t>KAPINNIE</t>
  </si>
  <si>
    <t>YEELANNA</t>
  </si>
  <si>
    <t>BOONERDO</t>
  </si>
  <si>
    <t>LOCK</t>
  </si>
  <si>
    <t>CAMPOONA</t>
  </si>
  <si>
    <t>CLEVE</t>
  </si>
  <si>
    <t>WADDIKEE</t>
  </si>
  <si>
    <t>BARNA</t>
  </si>
  <si>
    <t>BUCKLEBOO</t>
  </si>
  <si>
    <t>CARALUE</t>
  </si>
  <si>
    <t>CORTLINYE</t>
  </si>
  <si>
    <t>CUNYARIE</t>
  </si>
  <si>
    <t>KELLY</t>
  </si>
  <si>
    <t>KIMBA</t>
  </si>
  <si>
    <t>MOSELEY</t>
  </si>
  <si>
    <t>PANITYA</t>
  </si>
  <si>
    <t>PINKAWILLINIE</t>
  </si>
  <si>
    <t>SOLOMON</t>
  </si>
  <si>
    <t>WILCHERRY</t>
  </si>
  <si>
    <t>YALANDA</t>
  </si>
  <si>
    <t>DARKE PEAK</t>
  </si>
  <si>
    <t>HAMBIDGE</t>
  </si>
  <si>
    <t>KIELPA</t>
  </si>
  <si>
    <t>MURLONG</t>
  </si>
  <si>
    <t>RUDALL</t>
  </si>
  <si>
    <t>COOTRA</t>
  </si>
  <si>
    <t>KOONGAWA</t>
  </si>
  <si>
    <t>WARRAMBOO</t>
  </si>
  <si>
    <t>KYANCUTTA</t>
  </si>
  <si>
    <t>PANEY</t>
  </si>
  <si>
    <t>WUDINNA</t>
  </si>
  <si>
    <t>YANINEE</t>
  </si>
  <si>
    <t>COCATA</t>
  </si>
  <si>
    <t>MINNIPA</t>
  </si>
  <si>
    <t>MOUNT DAMPER</t>
  </si>
  <si>
    <t>POOCHERA</t>
  </si>
  <si>
    <t>PYGERY</t>
  </si>
  <si>
    <t>CUNGENA</t>
  </si>
  <si>
    <t>PIMBAACLA</t>
  </si>
  <si>
    <t>WIRRULLA</t>
  </si>
  <si>
    <t>YANTANABIE</t>
  </si>
  <si>
    <t>BRAMFIELD</t>
  </si>
  <si>
    <t>COLTON</t>
  </si>
  <si>
    <t>COOLILLIE</t>
  </si>
  <si>
    <t>ELLISTON</t>
  </si>
  <si>
    <t>KAPPAWANTA</t>
  </si>
  <si>
    <t>MOUNT JOY</t>
  </si>
  <si>
    <t>MOUNT WEDGE</t>
  </si>
  <si>
    <t>PALKAGEE</t>
  </si>
  <si>
    <t>POLDA</t>
  </si>
  <si>
    <t>TALIA</t>
  </si>
  <si>
    <t>ULYERRA</t>
  </si>
  <si>
    <t>BAIRD BAY</t>
  </si>
  <si>
    <t>CALCA</t>
  </si>
  <si>
    <t>PORT KENNY</t>
  </si>
  <si>
    <t>CARAWA</t>
  </si>
  <si>
    <t>CHANDADA</t>
  </si>
  <si>
    <t>CHINBINGINA</t>
  </si>
  <si>
    <t>HASLAM</t>
  </si>
  <si>
    <t>LAURA BAY</t>
  </si>
  <si>
    <t>MUDAMUCKLA</t>
  </si>
  <si>
    <t>NUNJIKOMPITA</t>
  </si>
  <si>
    <t>PETINA</t>
  </si>
  <si>
    <t>PUNTABIE</t>
  </si>
  <si>
    <t>PUREBA</t>
  </si>
  <si>
    <t>SCEALE BAY</t>
  </si>
  <si>
    <t>SMOKY BAY</t>
  </si>
  <si>
    <t>STREAKY BAY</t>
  </si>
  <si>
    <t>BOOKABIE</t>
  </si>
  <si>
    <t>CEDUNA</t>
  </si>
  <si>
    <t>CHARRA</t>
  </si>
  <si>
    <t>COORABIE</t>
  </si>
  <si>
    <t>DENIAL BAY</t>
  </si>
  <si>
    <t>FOWLERS BAY</t>
  </si>
  <si>
    <t>KALANBI</t>
  </si>
  <si>
    <t>KOONIBBA</t>
  </si>
  <si>
    <t>MALTEE</t>
  </si>
  <si>
    <t>MERGHINY</t>
  </si>
  <si>
    <t>NADIA</t>
  </si>
  <si>
    <t>NUNDROO</t>
  </si>
  <si>
    <t>PENONG</t>
  </si>
  <si>
    <t>THEVENARD</t>
  </si>
  <si>
    <t>UWORRA</t>
  </si>
  <si>
    <t>WANDANA</t>
  </si>
  <si>
    <t>WATRABA</t>
  </si>
  <si>
    <t>WHITE WELL CORNER</t>
  </si>
  <si>
    <t>YALATA</t>
  </si>
  <si>
    <t>PORT AUGUSTA</t>
  </si>
  <si>
    <t>PORT AUGUSTA NORTH</t>
  </si>
  <si>
    <t>PORT AUGUSTA WEST</t>
  </si>
  <si>
    <t>WILLSDEN</t>
  </si>
  <si>
    <t>GLENDAMBO</t>
  </si>
  <si>
    <t>KINGOONYA</t>
  </si>
  <si>
    <t>NONNING</t>
  </si>
  <si>
    <t>STIRLING NORTH</t>
  </si>
  <si>
    <t>TARCOOLA</t>
  </si>
  <si>
    <t>PIMBA</t>
  </si>
  <si>
    <t>WOOMERA</t>
  </si>
  <si>
    <t>ANDAMOOKA</t>
  </si>
  <si>
    <t>COOBER PEDY</t>
  </si>
  <si>
    <t>MARLA</t>
  </si>
  <si>
    <t>MINTABIE</t>
  </si>
  <si>
    <t>OLYMPIC DAM</t>
  </si>
  <si>
    <t>ROXBY DOWNS</t>
  </si>
  <si>
    <t>BELTANA</t>
  </si>
  <si>
    <t>BLINMAN</t>
  </si>
  <si>
    <t>PARACHILNA</t>
  </si>
  <si>
    <t>CORDILLO DOWNS</t>
  </si>
  <si>
    <t>INNAMINCKA</t>
  </si>
  <si>
    <t>MERTY MERTY</t>
  </si>
  <si>
    <t>MOOLAWATANA</t>
  </si>
  <si>
    <t>WITCHELINA</t>
  </si>
  <si>
    <t>COPLEY</t>
  </si>
  <si>
    <t>NEPABUNNA</t>
  </si>
  <si>
    <t>FARINA</t>
  </si>
  <si>
    <t>MARREE</t>
  </si>
  <si>
    <t>OODNADATTA</t>
  </si>
  <si>
    <t>ADELAIDE MAIL CENTRE</t>
  </si>
  <si>
    <t>ADELAIDE MC</t>
  </si>
  <si>
    <t>ADELAIDE AIRPORT</t>
  </si>
  <si>
    <t>EXPORT PARK</t>
  </si>
  <si>
    <t>CITY DELIVERY CENTRE</t>
  </si>
  <si>
    <t>PERTH</t>
  </si>
  <si>
    <t>PERTH GPO</t>
  </si>
  <si>
    <t>EAST PERTH</t>
  </si>
  <si>
    <t>WEST PERTH</t>
  </si>
  <si>
    <t>NORTH PERTH</t>
  </si>
  <si>
    <t>LEEDERVILLE</t>
  </si>
  <si>
    <t>WEST LEEDERVILLE</t>
  </si>
  <si>
    <t>DAGLISH</t>
  </si>
  <si>
    <t>SHENTON PARK</t>
  </si>
  <si>
    <t>SUBIACO</t>
  </si>
  <si>
    <t>SUBIACO EAST</t>
  </si>
  <si>
    <t>BROADWAY NEDLANDS</t>
  </si>
  <si>
    <t>CRAWLEY</t>
  </si>
  <si>
    <t>DALKEITH</t>
  </si>
  <si>
    <t>NEDLANDS</t>
  </si>
  <si>
    <t>NEDLANDS DC</t>
  </si>
  <si>
    <t>CLAREMONT</t>
  </si>
  <si>
    <t>CLAREMONT NORTH</t>
  </si>
  <si>
    <t>KARRAKATTA</t>
  </si>
  <si>
    <t>MOUNT CLAREMONT</t>
  </si>
  <si>
    <t>SWANBOURNE</t>
  </si>
  <si>
    <t>COTTESLOE</t>
  </si>
  <si>
    <t>PEPPERMINT GROVE</t>
  </si>
  <si>
    <t>MOSMAN PARK</t>
  </si>
  <si>
    <t>FLOREAT</t>
  </si>
  <si>
    <t>FLOREAT FORUM</t>
  </si>
  <si>
    <t>JOLIMONT</t>
  </si>
  <si>
    <t>WEMBLEY</t>
  </si>
  <si>
    <t>CITY BEACH</t>
  </si>
  <si>
    <t>GLENDALOUGH</t>
  </si>
  <si>
    <t>MOUNT HAWTHORN</t>
  </si>
  <si>
    <t>HERDSMAN</t>
  </si>
  <si>
    <t>OSBORNE PARK DC</t>
  </si>
  <si>
    <t>CHURCHLANDS</t>
  </si>
  <si>
    <t>DOUBLEVIEW</t>
  </si>
  <si>
    <t>GWELUP</t>
  </si>
  <si>
    <t>GWELUP DC</t>
  </si>
  <si>
    <t>INNALOO</t>
  </si>
  <si>
    <t>KARRINYUP</t>
  </si>
  <si>
    <t>WEMBLEY DOWNS</t>
  </si>
  <si>
    <t>CARINE</t>
  </si>
  <si>
    <t>MARMION</t>
  </si>
  <si>
    <t>WATERMANS BAY</t>
  </si>
  <si>
    <t>BALCATTA</t>
  </si>
  <si>
    <t>HAMERSLEY</t>
  </si>
  <si>
    <t>DUNCRAIG</t>
  </si>
  <si>
    <t>HILLARYS</t>
  </si>
  <si>
    <t>KALLAROO</t>
  </si>
  <si>
    <t>PADBURY</t>
  </si>
  <si>
    <t>KINGSLEY</t>
  </si>
  <si>
    <t>BELDON</t>
  </si>
  <si>
    <t>CONNOLLY</t>
  </si>
  <si>
    <t>EDGEWATER</t>
  </si>
  <si>
    <t>HEATHRIDGE</t>
  </si>
  <si>
    <t>JOONDALUP</t>
  </si>
  <si>
    <t>JOONDALUP DC</t>
  </si>
  <si>
    <t>MULLALOO</t>
  </si>
  <si>
    <t>OCEAN REEF</t>
  </si>
  <si>
    <t>BURNS BEACH</t>
  </si>
  <si>
    <t>CURRAMBINE</t>
  </si>
  <si>
    <t>KINROSS</t>
  </si>
  <si>
    <t>TRIGG</t>
  </si>
  <si>
    <t>CLARKSON</t>
  </si>
  <si>
    <t>QUINNS ROCKS</t>
  </si>
  <si>
    <t>TAMALA PARK</t>
  </si>
  <si>
    <t>BANKSIA GROVE</t>
  </si>
  <si>
    <t>NEERABUP</t>
  </si>
  <si>
    <t>NOWERGUP</t>
  </si>
  <si>
    <t>CARABOODA</t>
  </si>
  <si>
    <t>YANCHEP</t>
  </si>
  <si>
    <t>TWO ROCKS</t>
  </si>
  <si>
    <t>ALKIMOS</t>
  </si>
  <si>
    <t>CARABAN</t>
  </si>
  <si>
    <t>GABBADAH</t>
  </si>
  <si>
    <t>GUILDERTON</t>
  </si>
  <si>
    <t>WILBINGA</t>
  </si>
  <si>
    <t>SEABIRD</t>
  </si>
  <si>
    <t>BRETON BAY</t>
  </si>
  <si>
    <t>LEDGE POINT</t>
  </si>
  <si>
    <t>KARAKIN</t>
  </si>
  <si>
    <t>LANCELIN</t>
  </si>
  <si>
    <t>NILGEN</t>
  </si>
  <si>
    <t>WEDGE ISLAND</t>
  </si>
  <si>
    <t>COOLBINIA</t>
  </si>
  <si>
    <t>MENORA</t>
  </si>
  <si>
    <t>MOUNT LAWLEY</t>
  </si>
  <si>
    <t>BEDFORD</t>
  </si>
  <si>
    <t>BASSENDEAN DC</t>
  </si>
  <si>
    <t>EDEN HILL</t>
  </si>
  <si>
    <t>KIARA</t>
  </si>
  <si>
    <t>LOCKRIDGE</t>
  </si>
  <si>
    <t>CAVERSHAM</t>
  </si>
  <si>
    <t>HAZELMERE</t>
  </si>
  <si>
    <t>HENLEY BROOK</t>
  </si>
  <si>
    <t>SOUTH GUILDFORD</t>
  </si>
  <si>
    <t>WEST SWAN</t>
  </si>
  <si>
    <t>BASKERVILLE</t>
  </si>
  <si>
    <t>BELLEVUE</t>
  </si>
  <si>
    <t>BOYA</t>
  </si>
  <si>
    <t>HELENA VALLEY</t>
  </si>
  <si>
    <t>JANE BROOK</t>
  </si>
  <si>
    <t>KOONGAMIA</t>
  </si>
  <si>
    <t>MIDDLE SWAN</t>
  </si>
  <si>
    <t>MIDLAND</t>
  </si>
  <si>
    <t>MIDVALE</t>
  </si>
  <si>
    <t>MILLENDON</t>
  </si>
  <si>
    <t>STRATTON</t>
  </si>
  <si>
    <t>SWAN VIEW</t>
  </si>
  <si>
    <t>VIVEASH</t>
  </si>
  <si>
    <t>WOODBRIDGE</t>
  </si>
  <si>
    <t>HIGH WYCOMBE</t>
  </si>
  <si>
    <t>MAIDA VALE</t>
  </si>
  <si>
    <t>FORRESTFIELD</t>
  </si>
  <si>
    <t>DIANELLA</t>
  </si>
  <si>
    <t>DOG SWAMP</t>
  </si>
  <si>
    <t>JOONDANNA</t>
  </si>
  <si>
    <t>TUART HILL</t>
  </si>
  <si>
    <t>YOKINE</t>
  </si>
  <si>
    <t>BALGA</t>
  </si>
  <si>
    <t>NOLLAMARA</t>
  </si>
  <si>
    <t>WESTMINSTER</t>
  </si>
  <si>
    <t>EMBLETON</t>
  </si>
  <si>
    <t>MORLEY</t>
  </si>
  <si>
    <t>NORANDA</t>
  </si>
  <si>
    <t>BEECHBORO</t>
  </si>
  <si>
    <t>ALEXANDER HEIGHTS</t>
  </si>
  <si>
    <t>GIRRAWHEEN</t>
  </si>
  <si>
    <t>KOONDOOLA</t>
  </si>
  <si>
    <t>MARANGAROO</t>
  </si>
  <si>
    <t>DARCH</t>
  </si>
  <si>
    <t>GNANGARA</t>
  </si>
  <si>
    <t>HOCKING</t>
  </si>
  <si>
    <t>JANDABUP</t>
  </si>
  <si>
    <t>KINGSWAY</t>
  </si>
  <si>
    <t>LANDSDALE</t>
  </si>
  <si>
    <t>LEXIA</t>
  </si>
  <si>
    <t>MADELEY</t>
  </si>
  <si>
    <t>MARIGINIUP</t>
  </si>
  <si>
    <t>MELALEUCA</t>
  </si>
  <si>
    <t>PEARSALL</t>
  </si>
  <si>
    <t>PINJAR</t>
  </si>
  <si>
    <t>SINAGRA</t>
  </si>
  <si>
    <t>TAPPING</t>
  </si>
  <si>
    <t>WANGARA</t>
  </si>
  <si>
    <t>WANGARA DC</t>
  </si>
  <si>
    <t>WANNEROO</t>
  </si>
  <si>
    <t>BALLAJURA</t>
  </si>
  <si>
    <t>CULLACABARDEE</t>
  </si>
  <si>
    <t>WHITEMAN</t>
  </si>
  <si>
    <t>BELHUS</t>
  </si>
  <si>
    <t>BRIGADOON</t>
  </si>
  <si>
    <t>ELLENBROOK</t>
  </si>
  <si>
    <t>ELLENBROOK EAST</t>
  </si>
  <si>
    <t>THE VINES</t>
  </si>
  <si>
    <t>UPPER SWAN</t>
  </si>
  <si>
    <t>GLEN FORREST</t>
  </si>
  <si>
    <t>HOVEA</t>
  </si>
  <si>
    <t>MAHOGANY CREEK</t>
  </si>
  <si>
    <t>MUNDARING</t>
  </si>
  <si>
    <t>MUNDARING DC</t>
  </si>
  <si>
    <t>MUNDARING WEIR</t>
  </si>
  <si>
    <t>SAWYERS VALLEY</t>
  </si>
  <si>
    <t>BICKLEY</t>
  </si>
  <si>
    <t>CARMEL</t>
  </si>
  <si>
    <t>GOOSEBERRY HILL</t>
  </si>
  <si>
    <t>HACKETTS GULLY</t>
  </si>
  <si>
    <t>KALAMUNDA</t>
  </si>
  <si>
    <t>LESMURDIE</t>
  </si>
  <si>
    <t>PAULLS VALLEY</t>
  </si>
  <si>
    <t>PICKERING BROOK</t>
  </si>
  <si>
    <t>PIESSE BROOK</t>
  </si>
  <si>
    <t>WALLISTON</t>
  </si>
  <si>
    <t>WALLISTON DC</t>
  </si>
  <si>
    <t>PARKERVILLE</t>
  </si>
  <si>
    <t>STONEVILLE</t>
  </si>
  <si>
    <t>BAILUP</t>
  </si>
  <si>
    <t>MOUNT HELENA</t>
  </si>
  <si>
    <t>GIDGEGANNUP</t>
  </si>
  <si>
    <t>MORANGUP</t>
  </si>
  <si>
    <t>AVON VALLEY NATIONAL PARK</t>
  </si>
  <si>
    <t>BULLSBROOK</t>
  </si>
  <si>
    <t>CHITTERING</t>
  </si>
  <si>
    <t>LOWER CHITTERING</t>
  </si>
  <si>
    <t>WALYUNGA NATIONAL PARK</t>
  </si>
  <si>
    <t>MALAGA</t>
  </si>
  <si>
    <t>BURSWOOD</t>
  </si>
  <si>
    <t>LATHLAIN</t>
  </si>
  <si>
    <t>VICTORIA PARK</t>
  </si>
  <si>
    <t>CARLISLE</t>
  </si>
  <si>
    <t>CARLISLE NORTH</t>
  </si>
  <si>
    <t>CARLISLE SOUTH</t>
  </si>
  <si>
    <t>EAST VICTORIA PARK</t>
  </si>
  <si>
    <t>BENTLEY DC</t>
  </si>
  <si>
    <t>RIVERVALE</t>
  </si>
  <si>
    <t>CLOVERDALE</t>
  </si>
  <si>
    <t>KEWDALE</t>
  </si>
  <si>
    <t>PERTH AIRPORT</t>
  </si>
  <si>
    <t>WELSHPOOL DC</t>
  </si>
  <si>
    <t>BECKENHAM</t>
  </si>
  <si>
    <t>CANNINGTON</t>
  </si>
  <si>
    <t>EAST CANNINGTON</t>
  </si>
  <si>
    <t>KENWICK</t>
  </si>
  <si>
    <t>WILSON</t>
  </si>
  <si>
    <t>THORNLIE</t>
  </si>
  <si>
    <t>MADDINGTON</t>
  </si>
  <si>
    <t>GOSNELLS</t>
  </si>
  <si>
    <t>MARTIN</t>
  </si>
  <si>
    <t>SOUTHERN RIVER</t>
  </si>
  <si>
    <t>CANNING MILLS</t>
  </si>
  <si>
    <t>CHAMPION LAKES</t>
  </si>
  <si>
    <t>KARRAGULLEN</t>
  </si>
  <si>
    <t>KELMSCOTT</t>
  </si>
  <si>
    <t>KELMSCOTT DC</t>
  </si>
  <si>
    <t>ROLEYSTONE</t>
  </si>
  <si>
    <t>WESTFIELD</t>
  </si>
  <si>
    <t>BEDFORDALE</t>
  </si>
  <si>
    <t>FORRESTDALE</t>
  </si>
  <si>
    <t>MOUNT NASURA</t>
  </si>
  <si>
    <t>MOUNT RICHON</t>
  </si>
  <si>
    <t>SEVILLE GROVE</t>
  </si>
  <si>
    <t>WUNGONG</t>
  </si>
  <si>
    <t>OAKFORD</t>
  </si>
  <si>
    <t>OLDBURY</t>
  </si>
  <si>
    <t>BYFORD</t>
  </si>
  <si>
    <t>CARDUP</t>
  </si>
  <si>
    <t>DARLING DOWNS</t>
  </si>
  <si>
    <t>KARRAKUP</t>
  </si>
  <si>
    <t>MUNDIJONG</t>
  </si>
  <si>
    <t>WHITBY</t>
  </si>
  <si>
    <t>JARRAHDALE</t>
  </si>
  <si>
    <t>MARDELLA</t>
  </si>
  <si>
    <t>KEYSBROOK</t>
  </si>
  <si>
    <t>LANGFORD</t>
  </si>
  <si>
    <t>ROSSMOYNE</t>
  </si>
  <si>
    <t>LEEMING</t>
  </si>
  <si>
    <t>BATEMAN</t>
  </si>
  <si>
    <t>MURDOCH</t>
  </si>
  <si>
    <t>WINTHROP</t>
  </si>
  <si>
    <t>SOUTH PERTH</t>
  </si>
  <si>
    <t>SOUTH PERTH ANGELO ST</t>
  </si>
  <si>
    <t>KARAWARA</t>
  </si>
  <si>
    <t>MANNING</t>
  </si>
  <si>
    <t>SALTER POINT</t>
  </si>
  <si>
    <t>APPLECROSS</t>
  </si>
  <si>
    <t>APPLECROSS NORTH</t>
  </si>
  <si>
    <t>ARDROSS</t>
  </si>
  <si>
    <t>CANNING BRIDGE APPLECROSS</t>
  </si>
  <si>
    <t>ALFRED COVE</t>
  </si>
  <si>
    <t>BOORAGOON</t>
  </si>
  <si>
    <t>MYAREE</t>
  </si>
  <si>
    <t>CANNING VALE</t>
  </si>
  <si>
    <t>CANNING VALE DC</t>
  </si>
  <si>
    <t>CANNING VALE SOUTH</t>
  </si>
  <si>
    <t>WILLETTON</t>
  </si>
  <si>
    <t>ATTADALE</t>
  </si>
  <si>
    <t>WILLAGEE</t>
  </si>
  <si>
    <t>WILLAGEE CENTRAL</t>
  </si>
  <si>
    <t>BICTON</t>
  </si>
  <si>
    <t>PALMYRA DC</t>
  </si>
  <si>
    <t>EAST FREMANTLE</t>
  </si>
  <si>
    <t>NORTH FREMANTLE</t>
  </si>
  <si>
    <t>FREMANTLE</t>
  </si>
  <si>
    <t>ROTTNEST ISLAND</t>
  </si>
  <si>
    <t>SOUTH FREMANTLE</t>
  </si>
  <si>
    <t>WHITE GUM VALLEY</t>
  </si>
  <si>
    <t>BIBRA LAKE</t>
  </si>
  <si>
    <t>BIBRA LAKE DC</t>
  </si>
  <si>
    <t>COOLBELLUP</t>
  </si>
  <si>
    <t>HAMILTON HILL</t>
  </si>
  <si>
    <t>KARDINYA</t>
  </si>
  <si>
    <t>NORTH LAKE</t>
  </si>
  <si>
    <t>SAMSON</t>
  </si>
  <si>
    <t>SPEARWOOD</t>
  </si>
  <si>
    <t>ATWELL</t>
  </si>
  <si>
    <t>AUBIN GROVE</t>
  </si>
  <si>
    <t>BANJUP</t>
  </si>
  <si>
    <t>BEELIAR</t>
  </si>
  <si>
    <t>HAMMOND PARK</t>
  </si>
  <si>
    <t>JANDAKOT</t>
  </si>
  <si>
    <t>SOUTH LAKE</t>
  </si>
  <si>
    <t>SUCCESS</t>
  </si>
  <si>
    <t>YANGEBUP</t>
  </si>
  <si>
    <t>NAVAL BASE</t>
  </si>
  <si>
    <t>HENDERSON</t>
  </si>
  <si>
    <t>MUNSTER</t>
  </si>
  <si>
    <t>WATTLEUP</t>
  </si>
  <si>
    <t>ANKETELL</t>
  </si>
  <si>
    <t>BERTRAM</t>
  </si>
  <si>
    <t>CALISTA</t>
  </si>
  <si>
    <t>KWINANA BEACH</t>
  </si>
  <si>
    <t>KWINANA TOWN CENTRE</t>
  </si>
  <si>
    <t>MANDOGALUP</t>
  </si>
  <si>
    <t>MEDINA</t>
  </si>
  <si>
    <t>ORELIA</t>
  </si>
  <si>
    <t>PARMELIA</t>
  </si>
  <si>
    <t>POSTANS</t>
  </si>
  <si>
    <t>THE SPECTACLES</t>
  </si>
  <si>
    <t>WANDI</t>
  </si>
  <si>
    <t>COOLOONGUP</t>
  </si>
  <si>
    <t>EAST ROCKINGHAM</t>
  </si>
  <si>
    <t>GARDEN ISLAND</t>
  </si>
  <si>
    <t>HILLMAN</t>
  </si>
  <si>
    <t>PERON</t>
  </si>
  <si>
    <t>ROCKINGHAM BEACH</t>
  </si>
  <si>
    <t>ROCKINGHAM DC</t>
  </si>
  <si>
    <t>SAFETY BAY</t>
  </si>
  <si>
    <t>WAIKIKI</t>
  </si>
  <si>
    <t>WARNBRO</t>
  </si>
  <si>
    <t>LEDA</t>
  </si>
  <si>
    <t>WELLARD</t>
  </si>
  <si>
    <t>BALDIVIS</t>
  </si>
  <si>
    <t>PORT KENNEDY</t>
  </si>
  <si>
    <t>SECRET HARBOUR</t>
  </si>
  <si>
    <t>GOLDEN BAY</t>
  </si>
  <si>
    <t>KARNUP</t>
  </si>
  <si>
    <t>STAKE HILL</t>
  </si>
  <si>
    <t>KERALUP</t>
  </si>
  <si>
    <t>MYARA</t>
  </si>
  <si>
    <t>NAMBEELUP</t>
  </si>
  <si>
    <t>NORTH DANDALUP</t>
  </si>
  <si>
    <t>SOLUS</t>
  </si>
  <si>
    <t>WHITTAKER</t>
  </si>
  <si>
    <t>BLYTHEWOOD</t>
  </si>
  <si>
    <t>FAIRBRIDGE</t>
  </si>
  <si>
    <t>MEELON</t>
  </si>
  <si>
    <t>NIRIMBA</t>
  </si>
  <si>
    <t>NORTH YUNDERUP</t>
  </si>
  <si>
    <t>OAKLEY</t>
  </si>
  <si>
    <t>PINJARRA</t>
  </si>
  <si>
    <t>POINT GREY</t>
  </si>
  <si>
    <t>SOUTH YUNDERUP</t>
  </si>
  <si>
    <t>WEST PINJARRA</t>
  </si>
  <si>
    <t>BARRAGUP</t>
  </si>
  <si>
    <t>FURNISSDALE</t>
  </si>
  <si>
    <t>BOUVARD</t>
  </si>
  <si>
    <t>COODANUP</t>
  </si>
  <si>
    <t>DAWESVILLE</t>
  </si>
  <si>
    <t>FALCON</t>
  </si>
  <si>
    <t>GREENFIELDS</t>
  </si>
  <si>
    <t>HALLS HEAD</t>
  </si>
  <si>
    <t>HERRON</t>
  </si>
  <si>
    <t>MADORA BAY</t>
  </si>
  <si>
    <t>MANDURAH</t>
  </si>
  <si>
    <t>MANDURAH DC</t>
  </si>
  <si>
    <t>MANDURAH EAST</t>
  </si>
  <si>
    <t>MANDURAH NORTH</t>
  </si>
  <si>
    <t>MEADOW SPRINGS</t>
  </si>
  <si>
    <t>WANNANUP</t>
  </si>
  <si>
    <t>BANKSIADALE</t>
  </si>
  <si>
    <t>DWELLINGUP</t>
  </si>
  <si>
    <t>ETMILYN</t>
  </si>
  <si>
    <t>HOLYOAKE</t>
  </si>
  <si>
    <t>INGLEHOPE</t>
  </si>
  <si>
    <t>MARRINUP</t>
  </si>
  <si>
    <t>BIRCHMONT</t>
  </si>
  <si>
    <t>COOLUP</t>
  </si>
  <si>
    <t>WEST COOLUP</t>
  </si>
  <si>
    <t>HAMEL</t>
  </si>
  <si>
    <t>LAKE CLIFTON</t>
  </si>
  <si>
    <t>NANGA BROOK</t>
  </si>
  <si>
    <t>PRESTON BEACH</t>
  </si>
  <si>
    <t>WAGERUP</t>
  </si>
  <si>
    <t>WAROONA</t>
  </si>
  <si>
    <t>YARLOOP</t>
  </si>
  <si>
    <t>COOKERNUP</t>
  </si>
  <si>
    <t>HARVEY</t>
  </si>
  <si>
    <t>HOFFMAN</t>
  </si>
  <si>
    <t>MYALUP</t>
  </si>
  <si>
    <t>UDUC</t>
  </si>
  <si>
    <t>WARAWARRUP</t>
  </si>
  <si>
    <t>WOKALUP</t>
  </si>
  <si>
    <t>BENGER</t>
  </si>
  <si>
    <t>BEELA</t>
  </si>
  <si>
    <t>ALLANSON</t>
  </si>
  <si>
    <t>BOWELLING</t>
  </si>
  <si>
    <t>COLLIE BURN</t>
  </si>
  <si>
    <t>HARRIS RIVER</t>
  </si>
  <si>
    <t>LYALLS MILL</t>
  </si>
  <si>
    <t>MCALINDEN</t>
  </si>
  <si>
    <t>MUJA</t>
  </si>
  <si>
    <t>MUMBALLUP</t>
  </si>
  <si>
    <t>MUNGALUP</t>
  </si>
  <si>
    <t>NOGGERUP</t>
  </si>
  <si>
    <t>PRESTON SETTLEMENT</t>
  </si>
  <si>
    <t>SHOTTS</t>
  </si>
  <si>
    <t>WORSLEY</t>
  </si>
  <si>
    <t>YOURDAMUNG LAKE</t>
  </si>
  <si>
    <t>ROELANDS</t>
  </si>
  <si>
    <t>BUREKUP</t>
  </si>
  <si>
    <t>PICTON EAST</t>
  </si>
  <si>
    <t>CAREY PARK</t>
  </si>
  <si>
    <t>COLLEGE GROVE</t>
  </si>
  <si>
    <t>DALYELLUP</t>
  </si>
  <si>
    <t>DAVENPORT</t>
  </si>
  <si>
    <t>EAST BUNBURY</t>
  </si>
  <si>
    <t>GELORUP</t>
  </si>
  <si>
    <t>SOUTH BUNBURY</t>
  </si>
  <si>
    <t>USHER</t>
  </si>
  <si>
    <t>WITHERS</t>
  </si>
  <si>
    <t>MILLBRIDGE</t>
  </si>
  <si>
    <t>AUSTRALIND</t>
  </si>
  <si>
    <t>BINNINGUP</t>
  </si>
  <si>
    <t>LESCHENAULT</t>
  </si>
  <si>
    <t>PARKFIELD</t>
  </si>
  <si>
    <t>CROOKED BROOK</t>
  </si>
  <si>
    <t>DARDANUP</t>
  </si>
  <si>
    <t>DARDANUP WEST</t>
  </si>
  <si>
    <t>WELLINGTON FOREST</t>
  </si>
  <si>
    <t>WELLINGTON MILL</t>
  </si>
  <si>
    <t>BOYANUP</t>
  </si>
  <si>
    <t>ELGIN</t>
  </si>
  <si>
    <t>GWINDINUP</t>
  </si>
  <si>
    <t>NORTH BOYANUP</t>
  </si>
  <si>
    <t>STRATHAM</t>
  </si>
  <si>
    <t>THE PLAINS</t>
  </si>
  <si>
    <t>BEELERUP</t>
  </si>
  <si>
    <t>BROOKHAMPTON</t>
  </si>
  <si>
    <t>CHARLEY CREEK</t>
  </si>
  <si>
    <t>GLEN MERVYN</t>
  </si>
  <si>
    <t>PAYNEDALE</t>
  </si>
  <si>
    <t>QUEENWOOD</t>
  </si>
  <si>
    <t>THOMSON BROOK</t>
  </si>
  <si>
    <t>UPPER CAPEL</t>
  </si>
  <si>
    <t>YABBERUP</t>
  </si>
  <si>
    <t>LOWDEN</t>
  </si>
  <si>
    <t>WILGA</t>
  </si>
  <si>
    <t>WILGA WEST</t>
  </si>
  <si>
    <t>BOYUP BROOK</t>
  </si>
  <si>
    <t>CHOWERUP</t>
  </si>
  <si>
    <t>DINNINUP</t>
  </si>
  <si>
    <t>KULIKUP</t>
  </si>
  <si>
    <t>MAYANUP</t>
  </si>
  <si>
    <t>SCOTTS BROOK</t>
  </si>
  <si>
    <t>TONEBRIDGE</t>
  </si>
  <si>
    <t>BRAZIER</t>
  </si>
  <si>
    <t>KIRUP</t>
  </si>
  <si>
    <t>MULLALYUP</t>
  </si>
  <si>
    <t>BALINGUP</t>
  </si>
  <si>
    <t>GRIMWADE</t>
  </si>
  <si>
    <t>SOUTHAMPTON</t>
  </si>
  <si>
    <t>GREENBUSHES</t>
  </si>
  <si>
    <t>NORTH GREENBUSHES</t>
  </si>
  <si>
    <t>BENJINUP</t>
  </si>
  <si>
    <t>BRIDGETOWN</t>
  </si>
  <si>
    <t>CATTERICK</t>
  </si>
  <si>
    <t>HESTER</t>
  </si>
  <si>
    <t>HESTER BROOK</t>
  </si>
  <si>
    <t>KANGAROO GULLY</t>
  </si>
  <si>
    <t>WINNEJUP</t>
  </si>
  <si>
    <t>GLENLYNN</t>
  </si>
  <si>
    <t>MARANUP</t>
  </si>
  <si>
    <t>WANDILLUP</t>
  </si>
  <si>
    <t>YORNUP</t>
  </si>
  <si>
    <t>BALBARRUP</t>
  </si>
  <si>
    <t>CROWEA</t>
  </si>
  <si>
    <t>DEANMILL</t>
  </si>
  <si>
    <t>DIAMOND TREE</t>
  </si>
  <si>
    <t>DINGUP</t>
  </si>
  <si>
    <t>DIXVALE</t>
  </si>
  <si>
    <t>DONNELLY RIVER</t>
  </si>
  <si>
    <t>GLENORAN</t>
  </si>
  <si>
    <t>JARDEE</t>
  </si>
  <si>
    <t>LAKE MUIR</t>
  </si>
  <si>
    <t>LINFARNE</t>
  </si>
  <si>
    <t>MANJIMUP</t>
  </si>
  <si>
    <t>MIDDLESEX</t>
  </si>
  <si>
    <t>MORDALUP</t>
  </si>
  <si>
    <t>NYAMUP</t>
  </si>
  <si>
    <t>PALGARUP</t>
  </si>
  <si>
    <t>PERUP</t>
  </si>
  <si>
    <t>QUINNINUP</t>
  </si>
  <si>
    <t>RINGBARK</t>
  </si>
  <si>
    <t>SHANNON RIVER MILL</t>
  </si>
  <si>
    <t>SMITH BROOK</t>
  </si>
  <si>
    <t>UPPER WARREN</t>
  </si>
  <si>
    <t>WILGARRUP</t>
  </si>
  <si>
    <t>YANMAH</t>
  </si>
  <si>
    <t>BEEDELUP</t>
  </si>
  <si>
    <t>BIDDELIA</t>
  </si>
  <si>
    <t>CALLCUP</t>
  </si>
  <si>
    <t>CHANNYBEARUP</t>
  </si>
  <si>
    <t>COLLINS</t>
  </si>
  <si>
    <t>COLLINS SIDING</t>
  </si>
  <si>
    <t>EASTBROOK</t>
  </si>
  <si>
    <t>LAKE JASPER</t>
  </si>
  <si>
    <t>PEERABEELUP</t>
  </si>
  <si>
    <t>PEMBERTON</t>
  </si>
  <si>
    <t>YEAGARUP</t>
  </si>
  <si>
    <t>BOORARA BROOK</t>
  </si>
  <si>
    <t>MEERUP</t>
  </si>
  <si>
    <t>NORTHCLIFFE</t>
  </si>
  <si>
    <t>SHANNON</t>
  </si>
  <si>
    <t>WINDY HARBOUR</t>
  </si>
  <si>
    <t>CAPEL</t>
  </si>
  <si>
    <t>CAPEL RIVER</t>
  </si>
  <si>
    <t>PEPPERMINT GROVE BEACH</t>
  </si>
  <si>
    <t>STIRLING ESTATE</t>
  </si>
  <si>
    <t>BARRABUP</t>
  </si>
  <si>
    <t>CARLOTTA</t>
  </si>
  <si>
    <t>CUNDINUP</t>
  </si>
  <si>
    <t>DARRADUP</t>
  </si>
  <si>
    <t>EAST NANNUP</t>
  </si>
  <si>
    <t>JALBARRAGUP</t>
  </si>
  <si>
    <t>JARRAHWOOD</t>
  </si>
  <si>
    <t>NANNUP</t>
  </si>
  <si>
    <t>SCOTT RIVER EAST</t>
  </si>
  <si>
    <t>YOGANUP</t>
  </si>
  <si>
    <t>ABBA RIVER</t>
  </si>
  <si>
    <t>ABBEY</t>
  </si>
  <si>
    <t>ACTON PARK</t>
  </si>
  <si>
    <t>AMBERGATE</t>
  </si>
  <si>
    <t>ANNIEBROOK</t>
  </si>
  <si>
    <t>BOALLIA</t>
  </si>
  <si>
    <t>BOVELL</t>
  </si>
  <si>
    <t>BUSSELTON</t>
  </si>
  <si>
    <t>CARBUNUP RIVER</t>
  </si>
  <si>
    <t>CHAPMAN HILL</t>
  </si>
  <si>
    <t>GEOGRAPHE</t>
  </si>
  <si>
    <t>HITHERGREEN</t>
  </si>
  <si>
    <t>JINDONG</t>
  </si>
  <si>
    <t>KALGUP</t>
  </si>
  <si>
    <t>KALOORUP</t>
  </si>
  <si>
    <t>KEALY</t>
  </si>
  <si>
    <t>LUDLOW</t>
  </si>
  <si>
    <t>MARYBROOK</t>
  </si>
  <si>
    <t>METRICUP</t>
  </si>
  <si>
    <t>NORTH JINDONG</t>
  </si>
  <si>
    <t>REINSCOURT</t>
  </si>
  <si>
    <t>RUABON</t>
  </si>
  <si>
    <t>SABINA RIVER</t>
  </si>
  <si>
    <t>SIESTA PARK</t>
  </si>
  <si>
    <t>TUTUNUP</t>
  </si>
  <si>
    <t>VASSE</t>
  </si>
  <si>
    <t>WALSALL</t>
  </si>
  <si>
    <t>WEST BUSSELTON</t>
  </si>
  <si>
    <t>WILYABRUP</t>
  </si>
  <si>
    <t>WONNERUP</t>
  </si>
  <si>
    <t>YALYALUP</t>
  </si>
  <si>
    <t>YELVERTON</t>
  </si>
  <si>
    <t>YOONGARILLUP</t>
  </si>
  <si>
    <t>DUNSBOROUGH</t>
  </si>
  <si>
    <t>EAGLE BAY</t>
  </si>
  <si>
    <t>NATURALISTE</t>
  </si>
  <si>
    <t>QUEDJINUP</t>
  </si>
  <si>
    <t>QUINDALUP</t>
  </si>
  <si>
    <t>YALLINGUP</t>
  </si>
  <si>
    <t>YALLINGUP SIDING</t>
  </si>
  <si>
    <t>BAUDIN</t>
  </si>
  <si>
    <t>COWARAMUP</t>
  </si>
  <si>
    <t>GRACETOWN</t>
  </si>
  <si>
    <t>TREETON</t>
  </si>
  <si>
    <t>BRAMLEY</t>
  </si>
  <si>
    <t>GNARABUP</t>
  </si>
  <si>
    <t>MARGARET RIVER</t>
  </si>
  <si>
    <t>OSMINGTON</t>
  </si>
  <si>
    <t>PREVELLY</t>
  </si>
  <si>
    <t>ROSA BROOK</t>
  </si>
  <si>
    <t>ROSA GLEN</t>
  </si>
  <si>
    <t>SCHROEDER</t>
  </si>
  <si>
    <t>BORANUP</t>
  </si>
  <si>
    <t>WITCHCLIFFE</t>
  </si>
  <si>
    <t>ALEXANDRA BRIDGE</t>
  </si>
  <si>
    <t>COURTENAY</t>
  </si>
  <si>
    <t>HAMELIN BAY</t>
  </si>
  <si>
    <t>KARRIDALE</t>
  </si>
  <si>
    <t>NILLUP</t>
  </si>
  <si>
    <t>SCOTT RIVER</t>
  </si>
  <si>
    <t>WARNER GLEN</t>
  </si>
  <si>
    <t>AUGUSTA</t>
  </si>
  <si>
    <t>DEEPDENE</t>
  </si>
  <si>
    <t>EAST AUGUSTA</t>
  </si>
  <si>
    <t>KUDARDUP</t>
  </si>
  <si>
    <t>LEEUWIN</t>
  </si>
  <si>
    <t>MOLLOY ISLAND</t>
  </si>
  <si>
    <t>BADGIN</t>
  </si>
  <si>
    <t>BALLADONG</t>
  </si>
  <si>
    <t>BURGES</t>
  </si>
  <si>
    <t>CALJIE</t>
  </si>
  <si>
    <t>COLD HARBOUR</t>
  </si>
  <si>
    <t>DALIAK</t>
  </si>
  <si>
    <t>FLINT</t>
  </si>
  <si>
    <t>GILGERING</t>
  </si>
  <si>
    <t>GWAMBYGINE</t>
  </si>
  <si>
    <t>INKPEN</t>
  </si>
  <si>
    <t>KAURING</t>
  </si>
  <si>
    <t>MALEBELLING</t>
  </si>
  <si>
    <t>MOUNT HARDEY</t>
  </si>
  <si>
    <t>NARRALOGGAN</t>
  </si>
  <si>
    <t>QUELLINGTON</t>
  </si>
  <si>
    <t>SAINT RONANS</t>
  </si>
  <si>
    <t>TALBOT WEST</t>
  </si>
  <si>
    <t>YORK</t>
  </si>
  <si>
    <t>BALLY BALLY</t>
  </si>
  <si>
    <t>DALE</t>
  </si>
  <si>
    <t>EAST BEVERLEY</t>
  </si>
  <si>
    <t>KOKEBY</t>
  </si>
  <si>
    <t>MORBINNING</t>
  </si>
  <si>
    <t>ALDERSYDE</t>
  </si>
  <si>
    <t>BROOKTON</t>
  </si>
  <si>
    <t>BULYEE</t>
  </si>
  <si>
    <t>JELCOBINE</t>
  </si>
  <si>
    <t>KWEDA</t>
  </si>
  <si>
    <t>CODJATOTINE</t>
  </si>
  <si>
    <t>DWARDA</t>
  </si>
  <si>
    <t>EAST PINGELLY</t>
  </si>
  <si>
    <t>GILLIMANNING</t>
  </si>
  <si>
    <t>PINGELLY</t>
  </si>
  <si>
    <t>PUMPHREYS BRIDGE</t>
  </si>
  <si>
    <t>SPRINGS</t>
  </si>
  <si>
    <t>WANDERING</t>
  </si>
  <si>
    <t>WEST PINGELLY</t>
  </si>
  <si>
    <t>EAST POPANYINNING</t>
  </si>
  <si>
    <t>POPANYINNING</t>
  </si>
  <si>
    <t>STRATHERNE</t>
  </si>
  <si>
    <t>WEST POPANYINNING</t>
  </si>
  <si>
    <t>COMMODINE</t>
  </si>
  <si>
    <t>CONTINE</t>
  </si>
  <si>
    <t>CUBALLING</t>
  </si>
  <si>
    <t>DRYANDRA</t>
  </si>
  <si>
    <t>LOL GRAY</t>
  </si>
  <si>
    <t>TOWNSENDALE</t>
  </si>
  <si>
    <t>WARDERING</t>
  </si>
  <si>
    <t>YORNANING</t>
  </si>
  <si>
    <t>BOUNDAIN</t>
  </si>
  <si>
    <t>DUMBERNING</t>
  </si>
  <si>
    <t>MINIGIN</t>
  </si>
  <si>
    <t>NARROGIN</t>
  </si>
  <si>
    <t>NARROGIN VALLEY</t>
  </si>
  <si>
    <t>NOMANS LAKE</t>
  </si>
  <si>
    <t>TOOLIBIN</t>
  </si>
  <si>
    <t>YILLIMINNING</t>
  </si>
  <si>
    <t>ARTHUR RIVER</t>
  </si>
  <si>
    <t>BALLAYING</t>
  </si>
  <si>
    <t>CANCANNING</t>
  </si>
  <si>
    <t>COLLANILLING</t>
  </si>
  <si>
    <t>DONGOLOCKING</t>
  </si>
  <si>
    <t>GUNDARING</t>
  </si>
  <si>
    <t>JALORAN</t>
  </si>
  <si>
    <t>LIME LAKE</t>
  </si>
  <si>
    <t>MINDING</t>
  </si>
  <si>
    <t>PIESSEVILLE</t>
  </si>
  <si>
    <t>WAGIN</t>
  </si>
  <si>
    <t>WEDGECARRUP</t>
  </si>
  <si>
    <t>BOYERINE</t>
  </si>
  <si>
    <t>CARTMETICUP</t>
  </si>
  <si>
    <t>WOODANILLING</t>
  </si>
  <si>
    <t>BADGEBUP</t>
  </si>
  <si>
    <t>BULLOCK HILLS</t>
  </si>
  <si>
    <t>CARROLUP</t>
  </si>
  <si>
    <t>COBLININE</t>
  </si>
  <si>
    <t>COYRECUP</t>
  </si>
  <si>
    <t>DATATINE</t>
  </si>
  <si>
    <t>EWLYAMARTUP</t>
  </si>
  <si>
    <t>KATANNING</t>
  </si>
  <si>
    <t>MARRACOONDA</t>
  </si>
  <si>
    <t>MOOJEBING</t>
  </si>
  <si>
    <t>MURDONG</t>
  </si>
  <si>
    <t>PINWERNYING</t>
  </si>
  <si>
    <t>SOUTH DATATINE</t>
  </si>
  <si>
    <t>SOUTH GLENCOE</t>
  </si>
  <si>
    <t>BROOMEHILL</t>
  </si>
  <si>
    <t>BROOMEHILL EAST</t>
  </si>
  <si>
    <t>BROOMEHILL VILLAGE</t>
  </si>
  <si>
    <t>BROOMEHILL WEST</t>
  </si>
  <si>
    <t>BOBALONG</t>
  </si>
  <si>
    <t>BORDERDALE</t>
  </si>
  <si>
    <t>DARTNALL</t>
  </si>
  <si>
    <t>LAKE TOOLBRUNUP</t>
  </si>
  <si>
    <t>MOONIES HILL</t>
  </si>
  <si>
    <t>TAMBELLUP</t>
  </si>
  <si>
    <t>WANSBROUGH</t>
  </si>
  <si>
    <t>KENDENUP</t>
  </si>
  <si>
    <t>DENBARKER</t>
  </si>
  <si>
    <t>PERILLUP</t>
  </si>
  <si>
    <t>PORONGURUP</t>
  </si>
  <si>
    <t>SOUTH STIRLING</t>
  </si>
  <si>
    <t>TAKALARUP</t>
  </si>
  <si>
    <t>WOOGENELLUP</t>
  </si>
  <si>
    <t>NARRIKUP</t>
  </si>
  <si>
    <t>REDMOND</t>
  </si>
  <si>
    <t>REDMOND WEST</t>
  </si>
  <si>
    <t>CAPE RICHE</t>
  </si>
  <si>
    <t>CHEYNES</t>
  </si>
  <si>
    <t>GNOWELLEN</t>
  </si>
  <si>
    <t>GREEN RANGE</t>
  </si>
  <si>
    <t>KOJANEERUP SOUTH</t>
  </si>
  <si>
    <t>MANYPEAKS</t>
  </si>
  <si>
    <t>WELLSTEAD</t>
  </si>
  <si>
    <t>ALBANY</t>
  </si>
  <si>
    <t>BAYONET HEAD</t>
  </si>
  <si>
    <t>BIG GROVE</t>
  </si>
  <si>
    <t>BORNHOLM</t>
  </si>
  <si>
    <t>COLLINGWOOD HEIGHTS</t>
  </si>
  <si>
    <t>CUTHBERT</t>
  </si>
  <si>
    <t>DROME</t>
  </si>
  <si>
    <t>ELLEKER</t>
  </si>
  <si>
    <t>EMU POINT</t>
  </si>
  <si>
    <t>FRENCHMAN BAY</t>
  </si>
  <si>
    <t>GLEDHOW</t>
  </si>
  <si>
    <t>GOODE BEACH</t>
  </si>
  <si>
    <t>KALGAN</t>
  </si>
  <si>
    <t>KING RIVER</t>
  </si>
  <si>
    <t>KRONKUP</t>
  </si>
  <si>
    <t>LANGE</t>
  </si>
  <si>
    <t>LITTLE GROVE</t>
  </si>
  <si>
    <t>LOWER KING</t>
  </si>
  <si>
    <t>LOWLANDS</t>
  </si>
  <si>
    <t>MARBELUP</t>
  </si>
  <si>
    <t>MCKAIL</t>
  </si>
  <si>
    <t>MIDDLETON BEACH</t>
  </si>
  <si>
    <t>MILPARA</t>
  </si>
  <si>
    <t>MIRA MAR</t>
  </si>
  <si>
    <t>MOUNT CLARENCE</t>
  </si>
  <si>
    <t>MOUNT ELPHINSTONE</t>
  </si>
  <si>
    <t>MOUNT MELVILLE</t>
  </si>
  <si>
    <t>NANARUP</t>
  </si>
  <si>
    <t>NAPIER</t>
  </si>
  <si>
    <t>NULLAKI</t>
  </si>
  <si>
    <t>ORANA</t>
  </si>
  <si>
    <t>PORT ALBANY</t>
  </si>
  <si>
    <t>SANDPATCH</t>
  </si>
  <si>
    <t>SEPPINGS</t>
  </si>
  <si>
    <t>SPENCER PARK</t>
  </si>
  <si>
    <t>TORBAY</t>
  </si>
  <si>
    <t>TORNDIRRUP</t>
  </si>
  <si>
    <t>VANCOUVER PENINSULA</t>
  </si>
  <si>
    <t>WALMSLEY</t>
  </si>
  <si>
    <t>WARRENUP</t>
  </si>
  <si>
    <t>WEST CAPE HOWE</t>
  </si>
  <si>
    <t>WILLYUNG</t>
  </si>
  <si>
    <t>YAKAMIA</t>
  </si>
  <si>
    <t>YOUNGS SIDING</t>
  </si>
  <si>
    <t>ALBANY DC</t>
  </si>
  <si>
    <t>BOW BRIDGE</t>
  </si>
  <si>
    <t>DENMARK</t>
  </si>
  <si>
    <t>HAZELVALE</t>
  </si>
  <si>
    <t>KENTDALE</t>
  </si>
  <si>
    <t>KORDABUP</t>
  </si>
  <si>
    <t>MOUNT LINDSAY</t>
  </si>
  <si>
    <t>MOUNT ROMANCE</t>
  </si>
  <si>
    <t>NORNALUP</t>
  </si>
  <si>
    <t>OCEAN BEACH</t>
  </si>
  <si>
    <t>PARRYVILLE</t>
  </si>
  <si>
    <t>PEACEFUL BAY</t>
  </si>
  <si>
    <t>SCOTSDALE</t>
  </si>
  <si>
    <t>TINGLEDALE</t>
  </si>
  <si>
    <t>TRENT</t>
  </si>
  <si>
    <t>WILLIAM BAY</t>
  </si>
  <si>
    <t>GNOWANGERUP</t>
  </si>
  <si>
    <t>JACKITUP</t>
  </si>
  <si>
    <t>KEBARINGUP</t>
  </si>
  <si>
    <t>PALLINUP</t>
  </si>
  <si>
    <t>COWALELLUP</t>
  </si>
  <si>
    <t>MILLS LAKE</t>
  </si>
  <si>
    <t>MINDARABIN</t>
  </si>
  <si>
    <t>NEEDILUP</t>
  </si>
  <si>
    <t>ONGERUP</t>
  </si>
  <si>
    <t>TOOMPUP</t>
  </si>
  <si>
    <t>FITZGERALD</t>
  </si>
  <si>
    <t>GAIRDNER</t>
  </si>
  <si>
    <t>JACUP</t>
  </si>
  <si>
    <t>JERRAMUNGUP</t>
  </si>
  <si>
    <t>WEST FITZGERALD</t>
  </si>
  <si>
    <t>AMELUP</t>
  </si>
  <si>
    <t>BORDEN</t>
  </si>
  <si>
    <t>BOXWOOD HILL</t>
  </si>
  <si>
    <t>BREMER BAY</t>
  </si>
  <si>
    <t>MAGITUP</t>
  </si>
  <si>
    <t>MONJEBUP</t>
  </si>
  <si>
    <t>NALYERLUP</t>
  </si>
  <si>
    <t>NORTH STIRLINGS</t>
  </si>
  <si>
    <t>STIRLING RANGE NATIONAL PARK</t>
  </si>
  <si>
    <t>NYABING</t>
  </si>
  <si>
    <t>PINGRUP</t>
  </si>
  <si>
    <t>FITZGERALD RIVER NATIONAL PARK</t>
  </si>
  <si>
    <t>JERDACUTTUP</t>
  </si>
  <si>
    <t>RAVENSTHORPE</t>
  </si>
  <si>
    <t>WEST RIVER</t>
  </si>
  <si>
    <t>DUMBLEYUNG</t>
  </si>
  <si>
    <t>NAIRIBIN</t>
  </si>
  <si>
    <t>NIPPERING</t>
  </si>
  <si>
    <t>MOULYINNING</t>
  </si>
  <si>
    <t>NORTH MOULYINNING</t>
  </si>
  <si>
    <t>KUKERIN</t>
  </si>
  <si>
    <t>MERILUP</t>
  </si>
  <si>
    <t>NORTH KUKERIN</t>
  </si>
  <si>
    <t>SOUTH KUKERIN</t>
  </si>
  <si>
    <t>BEENONG</t>
  </si>
  <si>
    <t>BUNICHE</t>
  </si>
  <si>
    <t>KUENDER</t>
  </si>
  <si>
    <t>LAKE GRACE</t>
  </si>
  <si>
    <t>MALLEE HILL</t>
  </si>
  <si>
    <t>NEENDALING</t>
  </si>
  <si>
    <t>NORTH BURNGUP</t>
  </si>
  <si>
    <t>NORTH LAKE GRACE</t>
  </si>
  <si>
    <t>SOUTH LAKE GRACE</t>
  </si>
  <si>
    <t>TARIN ROCK</t>
  </si>
  <si>
    <t>DUNN ROCK</t>
  </si>
  <si>
    <t>EAST NEWDEGATE</t>
  </si>
  <si>
    <t>HOLT ROCK</t>
  </si>
  <si>
    <t>LAKE BIDDY</t>
  </si>
  <si>
    <t>LAKE CAMM</t>
  </si>
  <si>
    <t>LITTLE ITALY</t>
  </si>
  <si>
    <t>MAGENTA</t>
  </si>
  <si>
    <t>NEWDEGATE</t>
  </si>
  <si>
    <t>SOUTH NEWDEGATE</t>
  </si>
  <si>
    <t>VARLEY</t>
  </si>
  <si>
    <t>LAKE KING</t>
  </si>
  <si>
    <t>MOUNT MADDEN</t>
  </si>
  <si>
    <t>PINGARING</t>
  </si>
  <si>
    <t>KARLGARIN</t>
  </si>
  <si>
    <t>FORRESTANIA</t>
  </si>
  <si>
    <t>HYDEN</t>
  </si>
  <si>
    <t>HARRISMITH</t>
  </si>
  <si>
    <t>TINCURRIN</t>
  </si>
  <si>
    <t>DUDININ</t>
  </si>
  <si>
    <t>WALYURIN</t>
  </si>
  <si>
    <t>JILAKIN</t>
  </si>
  <si>
    <t>JITARNING</t>
  </si>
  <si>
    <t>KULIN</t>
  </si>
  <si>
    <t>KULIN WEST</t>
  </si>
  <si>
    <t>BENDERING</t>
  </si>
  <si>
    <t>KONDININ</t>
  </si>
  <si>
    <t>SOUTH KUMMININ</t>
  </si>
  <si>
    <t>EMU HILL</t>
  </si>
  <si>
    <t>NAREMBEEN</t>
  </si>
  <si>
    <t>WADDERIN</t>
  </si>
  <si>
    <t>WEST HOLLETON</t>
  </si>
  <si>
    <t>WOOLOCUTTY</t>
  </si>
  <si>
    <t>EAST WICKEPIN</t>
  </si>
  <si>
    <t>KIRK ROCK</t>
  </si>
  <si>
    <t>MALYALLING</t>
  </si>
  <si>
    <t>WICKEPIN</t>
  </si>
  <si>
    <t>WOGOLIN</t>
  </si>
  <si>
    <t>YEALERING</t>
  </si>
  <si>
    <t>BULLARING</t>
  </si>
  <si>
    <t>ADAMSVALE</t>
  </si>
  <si>
    <t>BILBARIN</t>
  </si>
  <si>
    <t>CORRIGIN</t>
  </si>
  <si>
    <t>GORGE ROCK</t>
  </si>
  <si>
    <t>KUNJIN</t>
  </si>
  <si>
    <t>KURRENKUTTEN</t>
  </si>
  <si>
    <t>BADJALING</t>
  </si>
  <si>
    <t>BALKULING</t>
  </si>
  <si>
    <t>DANGIN</t>
  </si>
  <si>
    <t>QUAIRADING</t>
  </si>
  <si>
    <t>SOUTH CAROLING</t>
  </si>
  <si>
    <t>WAMENUSKING</t>
  </si>
  <si>
    <t>YOTING</t>
  </si>
  <si>
    <t>PANTAPIN</t>
  </si>
  <si>
    <t>KWOLYIN</t>
  </si>
  <si>
    <t>SHACKLETON</t>
  </si>
  <si>
    <t>BODDINGTON</t>
  </si>
  <si>
    <t>CROSSMAN</t>
  </si>
  <si>
    <t>LOWER HOTHAM</t>
  </si>
  <si>
    <t>MARRADONG</t>
  </si>
  <si>
    <t>MOUNT COOKE</t>
  </si>
  <si>
    <t>MOUNT WELLS</t>
  </si>
  <si>
    <t>NORTH BANNISTER</t>
  </si>
  <si>
    <t>RANFORD</t>
  </si>
  <si>
    <t>UPPER MURRAY</t>
  </si>
  <si>
    <t>WURAMING</t>
  </si>
  <si>
    <t>BORANING</t>
  </si>
  <si>
    <t>CONGELIN</t>
  </si>
  <si>
    <t>CULBIN</t>
  </si>
  <si>
    <t>HILLMAN RIVER</t>
  </si>
  <si>
    <t>NARRAKINE</t>
  </si>
  <si>
    <t>QUINDANNING</t>
  </si>
  <si>
    <t>TARWONGA</t>
  </si>
  <si>
    <t>WILLIAMS</t>
  </si>
  <si>
    <t>BOKAL</t>
  </si>
  <si>
    <t>BOOLADING</t>
  </si>
  <si>
    <t>DARKAN</t>
  </si>
  <si>
    <t>CORDERING</t>
  </si>
  <si>
    <t>DURANILLIN</t>
  </si>
  <si>
    <t>MOODIARRUP</t>
  </si>
  <si>
    <t>TRIGWELL</t>
  </si>
  <si>
    <t>BEAUFORT RIVER</t>
  </si>
  <si>
    <t>BOILUP</t>
  </si>
  <si>
    <t>BOSCABEL</t>
  </si>
  <si>
    <t>CHANGERUP</t>
  </si>
  <si>
    <t>MURADUP</t>
  </si>
  <si>
    <t>ORCHID VALLEY</t>
  </si>
  <si>
    <t>QUALEUP</t>
  </si>
  <si>
    <t>CHERRY TREE POOL</t>
  </si>
  <si>
    <t>JINGALUP</t>
  </si>
  <si>
    <t>KOJONUP</t>
  </si>
  <si>
    <t>MOBRUP</t>
  </si>
  <si>
    <t>RYANSBROOK</t>
  </si>
  <si>
    <t>FRANKLAND</t>
  </si>
  <si>
    <t>NORTH WALPOLE</t>
  </si>
  <si>
    <t>WALPOLE</t>
  </si>
  <si>
    <t>BURLONG</t>
  </si>
  <si>
    <t>CUNJARDINE</t>
  </si>
  <si>
    <t>JENNACUBBINE</t>
  </si>
  <si>
    <t>JENNAPULLIN</t>
  </si>
  <si>
    <t>MALABAINE</t>
  </si>
  <si>
    <t>MEENAAR</t>
  </si>
  <si>
    <t>MOKINE</t>
  </si>
  <si>
    <t>MULUCKINE</t>
  </si>
  <si>
    <t>MUMBERKINE</t>
  </si>
  <si>
    <t>MURESK</t>
  </si>
  <si>
    <t>NORTHAM</t>
  </si>
  <si>
    <t>SOUTHERN BROOK</t>
  </si>
  <si>
    <t>SPENCERS BROOK</t>
  </si>
  <si>
    <t>THROSSELL</t>
  </si>
  <si>
    <t>WONGAMINE</t>
  </si>
  <si>
    <t>GRASS VALLEY</t>
  </si>
  <si>
    <t>GREENWOODS VALLEY</t>
  </si>
  <si>
    <t>MECKERING</t>
  </si>
  <si>
    <t>QUELAGETTING</t>
  </si>
  <si>
    <t>WARDING EAST</t>
  </si>
  <si>
    <t>CUNDERDIN</t>
  </si>
  <si>
    <t>WAEEL</t>
  </si>
  <si>
    <t>WATERCARRIN</t>
  </si>
  <si>
    <t>WYOLA</t>
  </si>
  <si>
    <t>WYOLA WEST</t>
  </si>
  <si>
    <t>YOUNDEGIN</t>
  </si>
  <si>
    <t>DOONGIN</t>
  </si>
  <si>
    <t>TAMMIN</t>
  </si>
  <si>
    <t>YORKRAKINE</t>
  </si>
  <si>
    <t>DAADENNING CREEK</t>
  </si>
  <si>
    <t>KELLERBERRIN</t>
  </si>
  <si>
    <t>MOUNT CAROLINE</t>
  </si>
  <si>
    <t>NORTH KELLERBERRIN</t>
  </si>
  <si>
    <t>DOODLAKINE</t>
  </si>
  <si>
    <t>SOUTH DOODLAKINE</t>
  </si>
  <si>
    <t>BAANDEE</t>
  </si>
  <si>
    <t>NORTH BAANDEE</t>
  </si>
  <si>
    <t>HINES HILL</t>
  </si>
  <si>
    <t>NANGEENAN</t>
  </si>
  <si>
    <t>GOOMARIN</t>
  </si>
  <si>
    <t>KORBEL</t>
  </si>
  <si>
    <t>MERREDIN</t>
  </si>
  <si>
    <t>NOKANING</t>
  </si>
  <si>
    <t>NORPA</t>
  </si>
  <si>
    <t>TANDEGIN</t>
  </si>
  <si>
    <t>BRUCE ROCK</t>
  </si>
  <si>
    <t>YARDING</t>
  </si>
  <si>
    <t>ARDATH</t>
  </si>
  <si>
    <t>CRAMPHORNE</t>
  </si>
  <si>
    <t>MUNTADGIN</t>
  </si>
  <si>
    <t>BURRACOPPIN</t>
  </si>
  <si>
    <t>CAMPION</t>
  </si>
  <si>
    <t>SOUTH BURRACOPPIN</t>
  </si>
  <si>
    <t>WARRALAKIN</t>
  </si>
  <si>
    <t>WALGOOLAN</t>
  </si>
  <si>
    <t>BOODAROCKIN</t>
  </si>
  <si>
    <t>CARRABIN</t>
  </si>
  <si>
    <t>WESTONIA</t>
  </si>
  <si>
    <t>BODALLIN</t>
  </si>
  <si>
    <t>NORTH BODALLIN</t>
  </si>
  <si>
    <t>SOUTH BODALLIN</t>
  </si>
  <si>
    <t>DULYALBIN</t>
  </si>
  <si>
    <t>MOORINE ROCK</t>
  </si>
  <si>
    <t>CORINTHIA</t>
  </si>
  <si>
    <t>GHOOLI</t>
  </si>
  <si>
    <t>HOLLETON</t>
  </si>
  <si>
    <t>MARVEL LOCH</t>
  </si>
  <si>
    <t>MOUNT HAMPTON</t>
  </si>
  <si>
    <t>MOUNT HOLLAND</t>
  </si>
  <si>
    <t>MOUNT JACKSON</t>
  </si>
  <si>
    <t>MOUNT PALMER</t>
  </si>
  <si>
    <t>PARKER RANGE</t>
  </si>
  <si>
    <t>SKELETON ROCK</t>
  </si>
  <si>
    <t>SOUTH YILGARN</t>
  </si>
  <si>
    <t>TURKEY HILL</t>
  </si>
  <si>
    <t>YELLOWDINE</t>
  </si>
  <si>
    <t>KOOLYANOBBING</t>
  </si>
  <si>
    <t>BABAKIN</t>
  </si>
  <si>
    <t>BOORABBIN</t>
  </si>
  <si>
    <t>BULLABULLING</t>
  </si>
  <si>
    <t>KARRAMINDIE</t>
  </si>
  <si>
    <t>MOUNT BURGES</t>
  </si>
  <si>
    <t>VICTORIA ROCK</t>
  </si>
  <si>
    <t>BINDULI</t>
  </si>
  <si>
    <t>BROADWOOD</t>
  </si>
  <si>
    <t>HANNANS</t>
  </si>
  <si>
    <t>KALGOORLIE</t>
  </si>
  <si>
    <t>KARLKURLA</t>
  </si>
  <si>
    <t>MULLINGAR</t>
  </si>
  <si>
    <t>SOUTH KALGOORLIE</t>
  </si>
  <si>
    <t>WEST KALGOORLIE</t>
  </si>
  <si>
    <t>WEST LAMINGTON</t>
  </si>
  <si>
    <t>YILKARI</t>
  </si>
  <si>
    <t>BOORARA</t>
  </si>
  <si>
    <t>BULONG</t>
  </si>
  <si>
    <t>FEYSVILLE</t>
  </si>
  <si>
    <t>KANOWNA</t>
  </si>
  <si>
    <t>KOOKYNIE</t>
  </si>
  <si>
    <t>KURNALPI</t>
  </si>
  <si>
    <t>ORA BANDA</t>
  </si>
  <si>
    <t>PLUMRIDGE LAKES</t>
  </si>
  <si>
    <t>BOULDER</t>
  </si>
  <si>
    <t>FIMISTON</t>
  </si>
  <si>
    <t>SOUTH BOULDER</t>
  </si>
  <si>
    <t>CUNDEELEE</t>
  </si>
  <si>
    <t>PARKESTON</t>
  </si>
  <si>
    <t>RAWLINNA</t>
  </si>
  <si>
    <t>ZANTHUS</t>
  </si>
  <si>
    <t>AGNEW</t>
  </si>
  <si>
    <t>ULARRING</t>
  </si>
  <si>
    <t>LEINSTER</t>
  </si>
  <si>
    <t>SIR SAMUEL</t>
  </si>
  <si>
    <t>LAKE DARLOT</t>
  </si>
  <si>
    <t>LEONORA</t>
  </si>
  <si>
    <t>BANDYA</t>
  </si>
  <si>
    <t>BEADELL</t>
  </si>
  <si>
    <t>BURTVILLE</t>
  </si>
  <si>
    <t>COSMO NEWBERY</t>
  </si>
  <si>
    <t>LAKE WELLS</t>
  </si>
  <si>
    <t>NEALE</t>
  </si>
  <si>
    <t>KAMBALDA</t>
  </si>
  <si>
    <t>BALLADONIA</t>
  </si>
  <si>
    <t>CAIGUNA</t>
  </si>
  <si>
    <t>COCKLEBIDDY</t>
  </si>
  <si>
    <t>EUCLA</t>
  </si>
  <si>
    <t>FRASER RANGE</t>
  </si>
  <si>
    <t>HIGGINSVILLE</t>
  </si>
  <si>
    <t>MADURA</t>
  </si>
  <si>
    <t>MUNDRABILLA</t>
  </si>
  <si>
    <t>NORSEMAN</t>
  </si>
  <si>
    <t>WIDGIEMOOLTHA</t>
  </si>
  <si>
    <t>NORTH CASCADE</t>
  </si>
  <si>
    <t>SALMON GUMS</t>
  </si>
  <si>
    <t>GRASS PATCH</t>
  </si>
  <si>
    <t>LORT RIVER</t>
  </si>
  <si>
    <t>MOUNT NEY</t>
  </si>
  <si>
    <t>SCADDAN</t>
  </si>
  <si>
    <t>WITTENOOM HILLS</t>
  </si>
  <si>
    <t>GIBSON</t>
  </si>
  <si>
    <t>BANDY CREEK</t>
  </si>
  <si>
    <t>BOYATUP</t>
  </si>
  <si>
    <t>CAPE LE GRAND</t>
  </si>
  <si>
    <t>CASCADE</t>
  </si>
  <si>
    <t>CASTLETOWN</t>
  </si>
  <si>
    <t>CHADWICK</t>
  </si>
  <si>
    <t>CONDINGUP</t>
  </si>
  <si>
    <t>COOMALBIDGUP</t>
  </si>
  <si>
    <t>DALYUP</t>
  </si>
  <si>
    <t>EAST MUNGLINUP</t>
  </si>
  <si>
    <t>ESPERANCE</t>
  </si>
  <si>
    <t>MERIVALE</t>
  </si>
  <si>
    <t>MONJINGUP</t>
  </si>
  <si>
    <t>MUNGLINUP</t>
  </si>
  <si>
    <t>MYRUP</t>
  </si>
  <si>
    <t>NERIDUP</t>
  </si>
  <si>
    <t>NULSEN</t>
  </si>
  <si>
    <t>PINK LAKE</t>
  </si>
  <si>
    <t>SINCLAIR</t>
  </si>
  <si>
    <t>WINDABOUT</t>
  </si>
  <si>
    <t>BURAMINYA</t>
  </si>
  <si>
    <t>CAPE ARID</t>
  </si>
  <si>
    <t>ISRAELITE BAY</t>
  </si>
  <si>
    <t>GOOMALLING</t>
  </si>
  <si>
    <t>HULONGINE</t>
  </si>
  <si>
    <t>KARRANADGIN</t>
  </si>
  <si>
    <t>UCARTY WEST</t>
  </si>
  <si>
    <t>WALYORMOURING</t>
  </si>
  <si>
    <t>DOWERIN</t>
  </si>
  <si>
    <t>KOOMBERKINE</t>
  </si>
  <si>
    <t>MINNIVALE</t>
  </si>
  <si>
    <t>UCARTY</t>
  </si>
  <si>
    <t>BENJABERRING</t>
  </si>
  <si>
    <t>MANMANNING</t>
  </si>
  <si>
    <t>CADOUX</t>
  </si>
  <si>
    <t>BURAKIN</t>
  </si>
  <si>
    <t>GOODLANDS</t>
  </si>
  <si>
    <t>KALANNIE</t>
  </si>
  <si>
    <t>PETRUDOR</t>
  </si>
  <si>
    <t>KULJA</t>
  </si>
  <si>
    <t>BEACON</t>
  </si>
  <si>
    <t>BIMBIJY</t>
  </si>
  <si>
    <t>CLEARY</t>
  </si>
  <si>
    <t>KARROUN HILL</t>
  </si>
  <si>
    <t>MOUROUBRA</t>
  </si>
  <si>
    <t>REMLAP</t>
  </si>
  <si>
    <t>NORTH WIALKI</t>
  </si>
  <si>
    <t>WIALKI</t>
  </si>
  <si>
    <t>BADGERIN ROCK</t>
  </si>
  <si>
    <t>BOORALAMING</t>
  </si>
  <si>
    <t>DUKIN</t>
  </si>
  <si>
    <t>KOORDA</t>
  </si>
  <si>
    <t>LAKE MARGARETTE</t>
  </si>
  <si>
    <t>MOLLERIN</t>
  </si>
  <si>
    <t>NEWCARLBEON</t>
  </si>
  <si>
    <t>GABBIN</t>
  </si>
  <si>
    <t>BENCUBBIN</t>
  </si>
  <si>
    <t>WELBUNGIN</t>
  </si>
  <si>
    <t>BARBALIN</t>
  </si>
  <si>
    <t>BONNIE ROCK</t>
  </si>
  <si>
    <t>DANDANNING</t>
  </si>
  <si>
    <t>KARLONING</t>
  </si>
  <si>
    <t>LAKE BROWN</t>
  </si>
  <si>
    <t>MANGOWINE</t>
  </si>
  <si>
    <t>MUKINBUDIN</t>
  </si>
  <si>
    <t>WATTONING</t>
  </si>
  <si>
    <t>WILGOYNE</t>
  </si>
  <si>
    <t>NUKARNI</t>
  </si>
  <si>
    <t>BULLFINCH</t>
  </si>
  <si>
    <t>ENNUIN</t>
  </si>
  <si>
    <t>LAKE DEBORAH</t>
  </si>
  <si>
    <t>COWCOWING</t>
  </si>
  <si>
    <t>KORRELOCKING</t>
  </si>
  <si>
    <t>NALKAIN</t>
  </si>
  <si>
    <t>NEMBUDDING</t>
  </si>
  <si>
    <t>WYALKATCHEM</t>
  </si>
  <si>
    <t>NORTH YELBENI</t>
  </si>
  <si>
    <t>SOUTH YELBENI</t>
  </si>
  <si>
    <t>YELBENI</t>
  </si>
  <si>
    <t>NORTH TRAYNING</t>
  </si>
  <si>
    <t>SOUTH TRAYNING</t>
  </si>
  <si>
    <t>TRAYNING</t>
  </si>
  <si>
    <t>KUNUNOPPIN</t>
  </si>
  <si>
    <t>NORTH KUNUNOPPIN</t>
  </si>
  <si>
    <t>SOUTH KUNUNOPPIN</t>
  </si>
  <si>
    <t>BURRAN ROCK</t>
  </si>
  <si>
    <t>ELABBIN</t>
  </si>
  <si>
    <t>KWELKAN</t>
  </si>
  <si>
    <t>NUNGARIN</t>
  </si>
  <si>
    <t>TALGOMINE</t>
  </si>
  <si>
    <t>MUCHEA</t>
  </si>
  <si>
    <t>BINDOON</t>
  </si>
  <si>
    <t>BINDOON TRAINING AREA</t>
  </si>
  <si>
    <t>BAMBUN</t>
  </si>
  <si>
    <t>BEERMULLAH</t>
  </si>
  <si>
    <t>BOONANARRING</t>
  </si>
  <si>
    <t>BREERA</t>
  </si>
  <si>
    <t>COONABIDGEE</t>
  </si>
  <si>
    <t>COWALLA</t>
  </si>
  <si>
    <t>CULLALLA</t>
  </si>
  <si>
    <t>GINGIN</t>
  </si>
  <si>
    <t>GINGINUP</t>
  </si>
  <si>
    <t>LENNARD BROOK</t>
  </si>
  <si>
    <t>MINDARRA</t>
  </si>
  <si>
    <t>MOONDAH</t>
  </si>
  <si>
    <t>MOORE RIVER NATIONAL PARK</t>
  </si>
  <si>
    <t>MUCKENBURRA</t>
  </si>
  <si>
    <t>NEERGABBY</t>
  </si>
  <si>
    <t>ORANGE SPRINGS</t>
  </si>
  <si>
    <t>RED GULLY</t>
  </si>
  <si>
    <t>WANERIE</t>
  </si>
  <si>
    <t>YEAL</t>
  </si>
  <si>
    <t>MOOLIABEENEE</t>
  </si>
  <si>
    <t>WANNAMAL</t>
  </si>
  <si>
    <t>MOGUMBER</t>
  </si>
  <si>
    <t>CATABY</t>
  </si>
  <si>
    <t>COOLJARLOO</t>
  </si>
  <si>
    <t>DANDARAGAN</t>
  </si>
  <si>
    <t>MIMEGARRA</t>
  </si>
  <si>
    <t>REGANS FORD</t>
  </si>
  <si>
    <t>YATHROO</t>
  </si>
  <si>
    <t>GLENTROMIE</t>
  </si>
  <si>
    <t>NEW NORCIA</t>
  </si>
  <si>
    <t>WADDINGTON</t>
  </si>
  <si>
    <t>YARAWINDAH</t>
  </si>
  <si>
    <t>BARBERTON</t>
  </si>
  <si>
    <t>BERKSHIRE VALLEY</t>
  </si>
  <si>
    <t>GILLINGARRA</t>
  </si>
  <si>
    <t>KOOJAN</t>
  </si>
  <si>
    <t>WALEBING</t>
  </si>
  <si>
    <t>CERVANTES</t>
  </si>
  <si>
    <t>COOMBERDALE</t>
  </si>
  <si>
    <t>NAMBAN</t>
  </si>
  <si>
    <t>GUNYIDI</t>
  </si>
  <si>
    <t>WATHEROO</t>
  </si>
  <si>
    <t>GREEN HEAD</t>
  </si>
  <si>
    <t>LEEMAN</t>
  </si>
  <si>
    <t>COOROW</t>
  </si>
  <si>
    <t>EGANU</t>
  </si>
  <si>
    <t>MARCHAGEE</t>
  </si>
  <si>
    <t>WADDY FOREST</t>
  </si>
  <si>
    <t>JURIEN BAY</t>
  </si>
  <si>
    <t>CARNAMAH</t>
  </si>
  <si>
    <t>WINCHESTER</t>
  </si>
  <si>
    <t>ENEABBA</t>
  </si>
  <si>
    <t>WARRADARGE</t>
  </si>
  <si>
    <t>ARRINO</t>
  </si>
  <si>
    <t>ARROWSMITH EAST</t>
  </si>
  <si>
    <t>DUDAWA</t>
  </si>
  <si>
    <t>KADATHINNI</t>
  </si>
  <si>
    <t>THREE SPRINGS</t>
  </si>
  <si>
    <t>WOMARDEN</t>
  </si>
  <si>
    <t>BADGINGARRA</t>
  </si>
  <si>
    <t>BOOTHENDARRA</t>
  </si>
  <si>
    <t>GREY</t>
  </si>
  <si>
    <t>NAMBUNG</t>
  </si>
  <si>
    <t>HOLMWOOD</t>
  </si>
  <si>
    <t>IKEWA</t>
  </si>
  <si>
    <t>LOCKIER</t>
  </si>
  <si>
    <t>MINGENEW</t>
  </si>
  <si>
    <t>MOORIARY</t>
  </si>
  <si>
    <t>MOUNT BUDD</t>
  </si>
  <si>
    <t>NANGETTY</t>
  </si>
  <si>
    <t>YANDANOOKA</t>
  </si>
  <si>
    <t>YARRAGADEE</t>
  </si>
  <si>
    <t>ALLANOOKA</t>
  </si>
  <si>
    <t>ARROWSMITH</t>
  </si>
  <si>
    <t>BONNIEFIELD</t>
  </si>
  <si>
    <t>BOOKARA</t>
  </si>
  <si>
    <t>DONGARA</t>
  </si>
  <si>
    <t>IRWIN</t>
  </si>
  <si>
    <t>MILO</t>
  </si>
  <si>
    <t>MOUNT ADAMS</t>
  </si>
  <si>
    <t>MOUNT HORNER</t>
  </si>
  <si>
    <t>PORT DENISON</t>
  </si>
  <si>
    <t>YARDARINO</t>
  </si>
  <si>
    <t>MOUNT HILL</t>
  </si>
  <si>
    <t>SOUTH GREENOUGH</t>
  </si>
  <si>
    <t>WALKAWAY</t>
  </si>
  <si>
    <t>BEACHLANDS</t>
  </si>
  <si>
    <t>BERESFORD</t>
  </si>
  <si>
    <t>BLUFF POINT</t>
  </si>
  <si>
    <t>GERALDTON</t>
  </si>
  <si>
    <t>GERALDTON DC</t>
  </si>
  <si>
    <t>KARLOO</t>
  </si>
  <si>
    <t>MAHOMETS FLATS</t>
  </si>
  <si>
    <t>MERU</t>
  </si>
  <si>
    <t>MOUNT TARCOOLA</t>
  </si>
  <si>
    <t>RANGEWAY</t>
  </si>
  <si>
    <t>SUNSET BEACH</t>
  </si>
  <si>
    <t>TARCOOLA BEACH</t>
  </si>
  <si>
    <t>UTAKARRA</t>
  </si>
  <si>
    <t>WAGGRAKINE</t>
  </si>
  <si>
    <t>WANDINA</t>
  </si>
  <si>
    <t>WEBBERTON</t>
  </si>
  <si>
    <t>WONTHELLA</t>
  </si>
  <si>
    <t>WOORREE</t>
  </si>
  <si>
    <t>AJANA</t>
  </si>
  <si>
    <t>BINNU</t>
  </si>
  <si>
    <t>BOOTENAL</t>
  </si>
  <si>
    <t>BRINGO</t>
  </si>
  <si>
    <t>BULLER</t>
  </si>
  <si>
    <t>BURMA ROAD</t>
  </si>
  <si>
    <t>CAPE BURNEY</t>
  </si>
  <si>
    <t>CARRARANG</t>
  </si>
  <si>
    <t>COBURN</t>
  </si>
  <si>
    <t>COOLCALALAYA</t>
  </si>
  <si>
    <t>DEEPDALE</t>
  </si>
  <si>
    <t>DINDILOA</t>
  </si>
  <si>
    <t>DRUMMOND COVE</t>
  </si>
  <si>
    <t>DURAWAH</t>
  </si>
  <si>
    <t>EAST CHAPMAN</t>
  </si>
  <si>
    <t>EAST NABAWA</t>
  </si>
  <si>
    <t>EAST YUNA</t>
  </si>
  <si>
    <t>ELLENDALE</t>
  </si>
  <si>
    <t>ERADU</t>
  </si>
  <si>
    <t>ERADU SOUTH</t>
  </si>
  <si>
    <t>EURARDY</t>
  </si>
  <si>
    <t>GREENOUGH</t>
  </si>
  <si>
    <t>HAMELIN POOL</t>
  </si>
  <si>
    <t>HICKETY</t>
  </si>
  <si>
    <t>HOWATHARRA</t>
  </si>
  <si>
    <t>KOJARENA</t>
  </si>
  <si>
    <t>MARRAH</t>
  </si>
  <si>
    <t>MEADOW</t>
  </si>
  <si>
    <t>MINNENOOKA</t>
  </si>
  <si>
    <t>MOONYOONOOKA</t>
  </si>
  <si>
    <t>MOUNT ERIN</t>
  </si>
  <si>
    <t>NABAWA</t>
  </si>
  <si>
    <t>NANSON</t>
  </si>
  <si>
    <t>NARALING</t>
  </si>
  <si>
    <t>NARNGULU</t>
  </si>
  <si>
    <t>NARRA TARRA</t>
  </si>
  <si>
    <t>NERREN NERREN</t>
  </si>
  <si>
    <t>NOLBA</t>
  </si>
  <si>
    <t>NORTH ERADU</t>
  </si>
  <si>
    <t>NORTHERN GULLY</t>
  </si>
  <si>
    <t>OAKAJEE</t>
  </si>
  <si>
    <t>ROCKWELL</t>
  </si>
  <si>
    <t>RUDDS GULLY</t>
  </si>
  <si>
    <t>SANDSPRINGS</t>
  </si>
  <si>
    <t>SOUTH YUNA</t>
  </si>
  <si>
    <t>TAMALA</t>
  </si>
  <si>
    <t>TIBRADDEN</t>
  </si>
  <si>
    <t>TOOLONGA</t>
  </si>
  <si>
    <t>WEST BINNU</t>
  </si>
  <si>
    <t>WHITE PEAK</t>
  </si>
  <si>
    <t>WICHERINA</t>
  </si>
  <si>
    <t>WICHERINA SOUTH</t>
  </si>
  <si>
    <t>YETNA</t>
  </si>
  <si>
    <t>YUNA</t>
  </si>
  <si>
    <t>BOWES</t>
  </si>
  <si>
    <t>EAST BOWES</t>
  </si>
  <si>
    <t>HORROCKS</t>
  </si>
  <si>
    <t>ISSEKA</t>
  </si>
  <si>
    <t>NORTHAMPTON</t>
  </si>
  <si>
    <t>OGILVIE</t>
  </si>
  <si>
    <t>YALLABATHARRA</t>
  </si>
  <si>
    <t>KALBARRI</t>
  </si>
  <si>
    <t>KALBARRI NATIONAL PARK</t>
  </si>
  <si>
    <t>ZUYTDORP</t>
  </si>
  <si>
    <t>DENHAM</t>
  </si>
  <si>
    <t>DIRK HARTOG</t>
  </si>
  <si>
    <t>FRANCOIS PERON NATIONAL PARK</t>
  </si>
  <si>
    <t>MONKEY MIA</t>
  </si>
  <si>
    <t>NANGA</t>
  </si>
  <si>
    <t>SHARK BAY</t>
  </si>
  <si>
    <t>USELESS LOOP</t>
  </si>
  <si>
    <t>BEECHINA</t>
  </si>
  <si>
    <t>CHIDLOW</t>
  </si>
  <si>
    <t>GORRIE</t>
  </si>
  <si>
    <t>MALMALLING</t>
  </si>
  <si>
    <t>THE LAKES</t>
  </si>
  <si>
    <t>WOOROLOO</t>
  </si>
  <si>
    <t>WUNDOWIE</t>
  </si>
  <si>
    <t>BAKERS HILL</t>
  </si>
  <si>
    <t>WOOTTATING</t>
  </si>
  <si>
    <t>CLACKLINE</t>
  </si>
  <si>
    <t>BEJOORDING</t>
  </si>
  <si>
    <t>CARANI</t>
  </si>
  <si>
    <t>COONDLE</t>
  </si>
  <si>
    <t>CULHAM</t>
  </si>
  <si>
    <t>DUMBARTON</t>
  </si>
  <si>
    <t>HODDYS WELL</t>
  </si>
  <si>
    <t>KATRINE</t>
  </si>
  <si>
    <t>NUNILE</t>
  </si>
  <si>
    <t>TOODYAY</t>
  </si>
  <si>
    <t>WEST TOODYAY</t>
  </si>
  <si>
    <t>DEWARS POOL</t>
  </si>
  <si>
    <t>JULIMAR</t>
  </si>
  <si>
    <t>MOONDYNE</t>
  </si>
  <si>
    <t>BOLGART</t>
  </si>
  <si>
    <t>WATTENING</t>
  </si>
  <si>
    <t>WYENING</t>
  </si>
  <si>
    <t>CALINGIRI</t>
  </si>
  <si>
    <t>OLD PLAINS</t>
  </si>
  <si>
    <t>YERECOIN</t>
  </si>
  <si>
    <t>PIAWANING</t>
  </si>
  <si>
    <t>BINDI BINDI</t>
  </si>
  <si>
    <t>GABALONG</t>
  </si>
  <si>
    <t>MILING</t>
  </si>
  <si>
    <t>KONNONGORRING</t>
  </si>
  <si>
    <t>LAKE HINDS</t>
  </si>
  <si>
    <t>LAKE NINAN</t>
  </si>
  <si>
    <t>MOCARDY</t>
  </si>
  <si>
    <t>WONGAN HILLS</t>
  </si>
  <si>
    <t>KONDUT</t>
  </si>
  <si>
    <t>BALLIDU</t>
  </si>
  <si>
    <t>EAST BALLIDU</t>
  </si>
  <si>
    <t>WEST BALLIDU</t>
  </si>
  <si>
    <t>EAST DAMBORING</t>
  </si>
  <si>
    <t>MARNE</t>
  </si>
  <si>
    <t>PITHARA</t>
  </si>
  <si>
    <t>DALWALLINU</t>
  </si>
  <si>
    <t>NUGADONG</t>
  </si>
  <si>
    <t>XANTIPPE</t>
  </si>
  <si>
    <t>JIBBERDING</t>
  </si>
  <si>
    <t>MIAMOON</t>
  </si>
  <si>
    <t>PAYNES FIND</t>
  </si>
  <si>
    <t>WUBIN</t>
  </si>
  <si>
    <t>BUNTINE</t>
  </si>
  <si>
    <t>MAYA</t>
  </si>
  <si>
    <t>PERENJORI</t>
  </si>
  <si>
    <t>ROTHSAY</t>
  </si>
  <si>
    <t>BOWGADA</t>
  </si>
  <si>
    <t>BUNJIL</t>
  </si>
  <si>
    <t>GUTHA</t>
  </si>
  <si>
    <t>KOOLANOOKA</t>
  </si>
  <si>
    <t>MORAWA</t>
  </si>
  <si>
    <t>PINTHARUKA</t>
  </si>
  <si>
    <t>MERKANOOKA</t>
  </si>
  <si>
    <t>CANNA</t>
  </si>
  <si>
    <t>TARDUN</t>
  </si>
  <si>
    <t>DEVILS CREEK</t>
  </si>
  <si>
    <t>MULLEWA</t>
  </si>
  <si>
    <t>NERRAMYNE</t>
  </si>
  <si>
    <t>NUNIERRA</t>
  </si>
  <si>
    <t>WONGOONDY</t>
  </si>
  <si>
    <t>WOOLGORONG</t>
  </si>
  <si>
    <t>PINDAR</t>
  </si>
  <si>
    <t>AMBANIA</t>
  </si>
  <si>
    <t>TENINDEWA</t>
  </si>
  <si>
    <t>SOUTH MURCHISON</t>
  </si>
  <si>
    <t>YALGOO</t>
  </si>
  <si>
    <t>COOLADAR HILL</t>
  </si>
  <si>
    <t>DAGGAR HILLS</t>
  </si>
  <si>
    <t>MOUNT MAGNET</t>
  </si>
  <si>
    <t>SANDSTONE</t>
  </si>
  <si>
    <t>CUE</t>
  </si>
  <si>
    <t>EAST MURCHISON</t>
  </si>
  <si>
    <t>LAKE AUSTIN</t>
  </si>
  <si>
    <t>REEDY</t>
  </si>
  <si>
    <t>WELD RANGE</t>
  </si>
  <si>
    <t>ANGELO RIVER</t>
  </si>
  <si>
    <t>CAPRICORN</t>
  </si>
  <si>
    <t>KUMARINA</t>
  </si>
  <si>
    <t>MEEKATHARRA</t>
  </si>
  <si>
    <t>LAKE CARNEGIE</t>
  </si>
  <si>
    <t>LITTLE SANDY DESERT</t>
  </si>
  <si>
    <t>WILUNA</t>
  </si>
  <si>
    <t>BABBAGE ISLAND</t>
  </si>
  <si>
    <t>BERNIER ISLAND</t>
  </si>
  <si>
    <t>BROCKMAN</t>
  </si>
  <si>
    <t>BROWN RANGE</t>
  </si>
  <si>
    <t>CARBLA</t>
  </si>
  <si>
    <t>CARNARVON</t>
  </si>
  <si>
    <t>CORAL BAY</t>
  </si>
  <si>
    <t>DORRE ISLAND</t>
  </si>
  <si>
    <t>EAST CARNARVON</t>
  </si>
  <si>
    <t>GILROYD</t>
  </si>
  <si>
    <t>GREYS PLAIN</t>
  </si>
  <si>
    <t>INGGARDA</t>
  </si>
  <si>
    <t>KENNEDY RANGE</t>
  </si>
  <si>
    <t>LYNDON</t>
  </si>
  <si>
    <t>MASSEY BAY</t>
  </si>
  <si>
    <t>MAUDS LANDING</t>
  </si>
  <si>
    <t>MINILYA</t>
  </si>
  <si>
    <t>MORGANTOWN</t>
  </si>
  <si>
    <t>NINGALOO</t>
  </si>
  <si>
    <t>NORTH PLANTATIONS</t>
  </si>
  <si>
    <t>SOUTH CARNARVON</t>
  </si>
  <si>
    <t>SOUTH PLANTATIONS</t>
  </si>
  <si>
    <t>TALISKER</t>
  </si>
  <si>
    <t>WOORAMEL</t>
  </si>
  <si>
    <t>YALARDY</t>
  </si>
  <si>
    <t>YANDOO CREEK</t>
  </si>
  <si>
    <t>EAST LYONS RIVER</t>
  </si>
  <si>
    <t>GASCOYNE JUNCTION</t>
  </si>
  <si>
    <t>GASCOYNE RIVER</t>
  </si>
  <si>
    <t>WEST LYONS RIVER</t>
  </si>
  <si>
    <t>CAPE RANGE NATIONAL PARK</t>
  </si>
  <si>
    <t>EXMOUTH</t>
  </si>
  <si>
    <t>EXMOUTH GULF</t>
  </si>
  <si>
    <t>NORTH WEST CAPE</t>
  </si>
  <si>
    <t>CANE</t>
  </si>
  <si>
    <t>ONSLOW</t>
  </si>
  <si>
    <t>PEEDAMULLA</t>
  </si>
  <si>
    <t>TALANDJI</t>
  </si>
  <si>
    <t>YANNARIE</t>
  </si>
  <si>
    <t>THEVENARD ISLAND</t>
  </si>
  <si>
    <t>BARROW ISLAND</t>
  </si>
  <si>
    <t>DAMPIER</t>
  </si>
  <si>
    <t>DAMPIER ARCHIPELAGO</t>
  </si>
  <si>
    <t>ANTONYMYRE</t>
  </si>
  <si>
    <t>BALLA BALLA</t>
  </si>
  <si>
    <t>BULGARRA</t>
  </si>
  <si>
    <t>BURRUP</t>
  </si>
  <si>
    <t>CLEAVERVILLE</t>
  </si>
  <si>
    <t>COOYA POOYA</t>
  </si>
  <si>
    <t>GAP RIDGE</t>
  </si>
  <si>
    <t>GNOOREA</t>
  </si>
  <si>
    <t>KARRATHA</t>
  </si>
  <si>
    <t>KARRATHA INDUSTRIAL ESTATE</t>
  </si>
  <si>
    <t>MARDIE</t>
  </si>
  <si>
    <t>MILLARS WELL</t>
  </si>
  <si>
    <t>MOUNT ANKETELL</t>
  </si>
  <si>
    <t>MULATAGA</t>
  </si>
  <si>
    <t>NICKOL</t>
  </si>
  <si>
    <t>PEGS CREEK</t>
  </si>
  <si>
    <t>STOVE HILL</t>
  </si>
  <si>
    <t>FORTESCUE</t>
  </si>
  <si>
    <t>HAMERSLEY RANGE</t>
  </si>
  <si>
    <t>PANNAWONICA</t>
  </si>
  <si>
    <t>ROEBOURNE</t>
  </si>
  <si>
    <t>WHIM CREEK</t>
  </si>
  <si>
    <t>COSSACK</t>
  </si>
  <si>
    <t>POINT SAMSON</t>
  </si>
  <si>
    <t>INDEE</t>
  </si>
  <si>
    <t>MUNDABULLANGANA</t>
  </si>
  <si>
    <t>PARDOO</t>
  </si>
  <si>
    <t>PORT HEDLAND</t>
  </si>
  <si>
    <t>STRELLEY</t>
  </si>
  <si>
    <t>WALLAREENYA</t>
  </si>
  <si>
    <t>WEDGEFIELD</t>
  </si>
  <si>
    <t>BOODARIE</t>
  </si>
  <si>
    <t>DE GREY</t>
  </si>
  <si>
    <t>FINUCANE</t>
  </si>
  <si>
    <t>PIPPINGARRA</t>
  </si>
  <si>
    <t>SOUTH HEDLAND</t>
  </si>
  <si>
    <t>GOLDSWORTHY</t>
  </si>
  <si>
    <t>BILINGURR</t>
  </si>
  <si>
    <t>BROOME</t>
  </si>
  <si>
    <t>DAMPIER PENINSULA</t>
  </si>
  <si>
    <t>DJUGUN</t>
  </si>
  <si>
    <t>EIGHTY MILE BEACH</t>
  </si>
  <si>
    <t>GINGERAH</t>
  </si>
  <si>
    <t>LAGRANGE</t>
  </si>
  <si>
    <t>MINYIRR</t>
  </si>
  <si>
    <t>ROEBUCK</t>
  </si>
  <si>
    <t>WATERBANK</t>
  </si>
  <si>
    <t>CABLE BEACH</t>
  </si>
  <si>
    <t>CAMBALLIN</t>
  </si>
  <si>
    <t>GEEGULLY CREEK</t>
  </si>
  <si>
    <t>KING LEOPOLD RANGES</t>
  </si>
  <si>
    <t>MEDA</t>
  </si>
  <si>
    <t>ST GEORGE RANGES</t>
  </si>
  <si>
    <t>WILLARE</t>
  </si>
  <si>
    <t>COCKATOO ISLAND</t>
  </si>
  <si>
    <t>KOOLAN ISLAND</t>
  </si>
  <si>
    <t>DRYSDALE RIVER</t>
  </si>
  <si>
    <t>KALUMBURU</t>
  </si>
  <si>
    <t>MITCHELL PLATEAU</t>
  </si>
  <si>
    <t>OOMBULGURRI</t>
  </si>
  <si>
    <t>PRINCE REGENT RIVER</t>
  </si>
  <si>
    <t>CAMBRIDGE GULF</t>
  </si>
  <si>
    <t>GIBB</t>
  </si>
  <si>
    <t>KUNUNURRA</t>
  </si>
  <si>
    <t>LAKE ARGYLE</t>
  </si>
  <si>
    <t>WARMUN</t>
  </si>
  <si>
    <t>INNAWANGA</t>
  </si>
  <si>
    <t>JUNA DOWNS</t>
  </si>
  <si>
    <t>KARIJINI</t>
  </si>
  <si>
    <t>MOUNT SHEILA</t>
  </si>
  <si>
    <t>MULGA DOWNS</t>
  </si>
  <si>
    <t>NANUTARRA</t>
  </si>
  <si>
    <t>TOM PRICE</t>
  </si>
  <si>
    <t>WITTENOOM</t>
  </si>
  <si>
    <t>NEWMAN</t>
  </si>
  <si>
    <t>PARABURDOO</t>
  </si>
  <si>
    <t>NULLAGINE</t>
  </si>
  <si>
    <t>MARBLE BAR</t>
  </si>
  <si>
    <t>SHAY GAP</t>
  </si>
  <si>
    <t>TELFER</t>
  </si>
  <si>
    <t>FITZROY CROSSING</t>
  </si>
  <si>
    <t>MOUNT HARDMAN</t>
  </si>
  <si>
    <t>MCBEATH</t>
  </si>
  <si>
    <t>CHRISTMAS ISLAND</t>
  </si>
  <si>
    <t>HOME ISLAND COCOS (KEELING) ISLANDS</t>
  </si>
  <si>
    <t>WEST ISLAND COCOS (KEELING) ISLANDS</t>
  </si>
  <si>
    <t>PERTH ST GEORGES TCE</t>
  </si>
  <si>
    <t>PERTH EAST ST GEORGES TCE</t>
  </si>
  <si>
    <t>PERTH BC</t>
  </si>
  <si>
    <t>CLOISTERS SQUARE</t>
  </si>
  <si>
    <t>MIDLAND DC</t>
  </si>
  <si>
    <t>MALAGA DC</t>
  </si>
  <si>
    <t>ROYAL AUSTRALIAN NAVY WARSHIPS</t>
  </si>
  <si>
    <t>MYAREE BC</t>
  </si>
  <si>
    <t>KWINANA</t>
  </si>
  <si>
    <t>BATHURST STREET PO</t>
  </si>
  <si>
    <t>HOBART</t>
  </si>
  <si>
    <t>NORTH HOBART</t>
  </si>
  <si>
    <t>QUEENS DOMAIN</t>
  </si>
  <si>
    <t>WEST HOBART</t>
  </si>
  <si>
    <t>TASMAN ISLAND</t>
  </si>
  <si>
    <t>BATTERY POINT</t>
  </si>
  <si>
    <t>SOUTH HOBART</t>
  </si>
  <si>
    <t>DYNNYRNE</t>
  </si>
  <si>
    <t>LOWER SANDY BAY</t>
  </si>
  <si>
    <t>SANDY BAY</t>
  </si>
  <si>
    <t>UNIVERSITY OF TASMANIA</t>
  </si>
  <si>
    <t>MOUNT NELSON</t>
  </si>
  <si>
    <t>TOLMANS HILL</t>
  </si>
  <si>
    <t>CORNELIAN BAY</t>
  </si>
  <si>
    <t>LENAH VALLEY</t>
  </si>
  <si>
    <t>DERWENT PARK</t>
  </si>
  <si>
    <t>LUTANA</t>
  </si>
  <si>
    <t>MOONAH</t>
  </si>
  <si>
    <t>WEST MOONAH</t>
  </si>
  <si>
    <t>DOWSING POINT</t>
  </si>
  <si>
    <t>ELWICK</t>
  </si>
  <si>
    <t>ROSETTA</t>
  </si>
  <si>
    <t>AUSTINS FERRY</t>
  </si>
  <si>
    <t>BERRIEDALE</t>
  </si>
  <si>
    <t>CHIGWELL</t>
  </si>
  <si>
    <t>COLLINSVALE</t>
  </si>
  <si>
    <t>GLENLUSK</t>
  </si>
  <si>
    <t>FLAGSTAFF GULLY</t>
  </si>
  <si>
    <t>GEILSTON BAY</t>
  </si>
  <si>
    <t>LINDISFARNE</t>
  </si>
  <si>
    <t>RISDON VALE</t>
  </si>
  <si>
    <t>GRASSTREE HILL</t>
  </si>
  <si>
    <t>HONEYWOOD</t>
  </si>
  <si>
    <t>OLD BEACH</t>
  </si>
  <si>
    <t>OTAGO</t>
  </si>
  <si>
    <t>RISDON</t>
  </si>
  <si>
    <t>TEA TREE</t>
  </si>
  <si>
    <t>BELLERIVE</t>
  </si>
  <si>
    <t>HOWRAH</t>
  </si>
  <si>
    <t>MONTAGU BAY</t>
  </si>
  <si>
    <t>ROSNY</t>
  </si>
  <si>
    <t>ROSNY PARK</t>
  </si>
  <si>
    <t>WARRANE</t>
  </si>
  <si>
    <t>CLARENDON VALE</t>
  </si>
  <si>
    <t>OAKDOWNS</t>
  </si>
  <si>
    <t>LAUDERDALE</t>
  </si>
  <si>
    <t>OPOSSUM BAY</t>
  </si>
  <si>
    <t>DULCOT</t>
  </si>
  <si>
    <t>CAMPANIA</t>
  </si>
  <si>
    <t>COLEBROOK</t>
  </si>
  <si>
    <t>ARTHURS LAKE</t>
  </si>
  <si>
    <t>BAGDAD</t>
  </si>
  <si>
    <t>BAGDAD NORTH</t>
  </si>
  <si>
    <t>BOTHWELL</t>
  </si>
  <si>
    <t>BROADMARSH</t>
  </si>
  <si>
    <t>CRAMPS BAY</t>
  </si>
  <si>
    <t>FLINTSTONE</t>
  </si>
  <si>
    <t>GAGEBROOK</t>
  </si>
  <si>
    <t>GRANTON</t>
  </si>
  <si>
    <t>HERMITAGE</t>
  </si>
  <si>
    <t>INTERLAKEN</t>
  </si>
  <si>
    <t>LAKE SORELL</t>
  </si>
  <si>
    <t>LIAWENEE</t>
  </si>
  <si>
    <t>LOWER MARSHES</t>
  </si>
  <si>
    <t>MELTON MOWBRAY</t>
  </si>
  <si>
    <t>MIENA</t>
  </si>
  <si>
    <t>MILLERS BLUFF</t>
  </si>
  <si>
    <t>MORASS BAY</t>
  </si>
  <si>
    <t>PONTVILLE</t>
  </si>
  <si>
    <t>STEPPES</t>
  </si>
  <si>
    <t>TODS CORNER</t>
  </si>
  <si>
    <t>WADDAMANA</t>
  </si>
  <si>
    <t>WILBURVILLE</t>
  </si>
  <si>
    <t>ALBION HEIGHTS</t>
  </si>
  <si>
    <t>KINGSTON BEACH</t>
  </si>
  <si>
    <t>BLACKMANS BAY</t>
  </si>
  <si>
    <t>BONNET HILL</t>
  </si>
  <si>
    <t>TAROONA</t>
  </si>
  <si>
    <t>BARRETTA</t>
  </si>
  <si>
    <t>CONINGHAM</t>
  </si>
  <si>
    <t>ELECTRONA</t>
  </si>
  <si>
    <t>FERN TREE</t>
  </si>
  <si>
    <t>HOWDEN</t>
  </si>
  <si>
    <t>LESLIE VALE</t>
  </si>
  <si>
    <t>LOWER SNUG</t>
  </si>
  <si>
    <t>NEIKA</t>
  </si>
  <si>
    <t>NIERINNA</t>
  </si>
  <si>
    <t>PIERSONS POINT</t>
  </si>
  <si>
    <t>SNUG</t>
  </si>
  <si>
    <t>TINDERBOX</t>
  </si>
  <si>
    <t>WELLINGTON PARK</t>
  </si>
  <si>
    <t>HUNTINGFIELD</t>
  </si>
  <si>
    <t>CATAMARAN</t>
  </si>
  <si>
    <t>CRABTREE</t>
  </si>
  <si>
    <t>CRADOC</t>
  </si>
  <si>
    <t>GLAZIERS BAY</t>
  </si>
  <si>
    <t>GLEN HUON</t>
  </si>
  <si>
    <t>GLENDEVIE</t>
  </si>
  <si>
    <t>GROVE</t>
  </si>
  <si>
    <t>HUONVILLE</t>
  </si>
  <si>
    <t>IDA BAY</t>
  </si>
  <si>
    <t>JUDBURY</t>
  </si>
  <si>
    <t>LONNAVALE</t>
  </si>
  <si>
    <t>LOWER LONGLEY</t>
  </si>
  <si>
    <t>LOWER WATTLE GROVE</t>
  </si>
  <si>
    <t>LUCASTON</t>
  </si>
  <si>
    <t>LUNE RIVER</t>
  </si>
  <si>
    <t>LYMINGTON</t>
  </si>
  <si>
    <t>MOUNTAIN RIVER</t>
  </si>
  <si>
    <t>PETCHEYS BAY</t>
  </si>
  <si>
    <t>RAMINEA</t>
  </si>
  <si>
    <t>RANELAGH</t>
  </si>
  <si>
    <t>RECHERCHE</t>
  </si>
  <si>
    <t>SOUTHPORT LAGOON</t>
  </si>
  <si>
    <t>STRATHBLANE</t>
  </si>
  <si>
    <t>ABELS BAY</t>
  </si>
  <si>
    <t>CHARLOTTE COVE</t>
  </si>
  <si>
    <t>CYGNET</t>
  </si>
  <si>
    <t>DEEP BAY</t>
  </si>
  <si>
    <t>EGGS AND BACON BAY</t>
  </si>
  <si>
    <t>GARDEN ISLAND CREEK</t>
  </si>
  <si>
    <t>GARDNERS BAY</t>
  </si>
  <si>
    <t>NICHOLLS RIVULET</t>
  </si>
  <si>
    <t>RANDALLS BAY</t>
  </si>
  <si>
    <t>VERONA SANDS</t>
  </si>
  <si>
    <t>BROOKS BAY</t>
  </si>
  <si>
    <t>CAIRNS BAY</t>
  </si>
  <si>
    <t>CASTLE FORBES BAY</t>
  </si>
  <si>
    <t>GEEVESTON</t>
  </si>
  <si>
    <t>POLICE POINT</t>
  </si>
  <si>
    <t>PORT HUON</t>
  </si>
  <si>
    <t>SURGES BAY</t>
  </si>
  <si>
    <t>SURVEYORS BAY</t>
  </si>
  <si>
    <t>DOVER</t>
  </si>
  <si>
    <t>STONOR</t>
  </si>
  <si>
    <t>ANDOVER</t>
  </si>
  <si>
    <t>ANTILL PONDS</t>
  </si>
  <si>
    <t>BADEN</t>
  </si>
  <si>
    <t>LEMONT</t>
  </si>
  <si>
    <t>LEVENDALE</t>
  </si>
  <si>
    <t>MOUNT SEYMOUR</t>
  </si>
  <si>
    <t>PARATTAH</t>
  </si>
  <si>
    <t>PAWTELLA</t>
  </si>
  <si>
    <t>RHYNDASTON</t>
  </si>
  <si>
    <t>SWANSTON</t>
  </si>
  <si>
    <t>TIBERIAS</t>
  </si>
  <si>
    <t>TUNBRIDGE</t>
  </si>
  <si>
    <t>TUNNACK</t>
  </si>
  <si>
    <t>WHITEFOORD</t>
  </si>
  <si>
    <t>WOODSDALE</t>
  </si>
  <si>
    <t>STRATHGORDON</t>
  </si>
  <si>
    <t>BLACK HILLS</t>
  </si>
  <si>
    <t>BOYER</t>
  </si>
  <si>
    <t>BRADYS LAKE</t>
  </si>
  <si>
    <t>BRONTE PARK</t>
  </si>
  <si>
    <t>BUTLERS GORGE</t>
  </si>
  <si>
    <t>DEE</t>
  </si>
  <si>
    <t>DERWENT BRIDGE</t>
  </si>
  <si>
    <t>FENTONBURY</t>
  </si>
  <si>
    <t>FLORENTINE</t>
  </si>
  <si>
    <t>GLENFERN</t>
  </si>
  <si>
    <t>GLENORA</t>
  </si>
  <si>
    <t>GRETNA</t>
  </si>
  <si>
    <t>HAYES</t>
  </si>
  <si>
    <t>HOLLOW TREE</t>
  </si>
  <si>
    <t>KARANJA</t>
  </si>
  <si>
    <t>LACHLAN</t>
  </si>
  <si>
    <t>LAKE ST CLAIR</t>
  </si>
  <si>
    <t>LAWITTA</t>
  </si>
  <si>
    <t>LITTLE PINE LAGOON</t>
  </si>
  <si>
    <t>LONDON LAKES</t>
  </si>
  <si>
    <t>MACQUARIE PLAINS</t>
  </si>
  <si>
    <t>MAGRA</t>
  </si>
  <si>
    <t>MALBINA</t>
  </si>
  <si>
    <t>MAYDENA</t>
  </si>
  <si>
    <t>MOOGARA</t>
  </si>
  <si>
    <t>MOUNT FIELD</t>
  </si>
  <si>
    <t>MOUNT LLOYD</t>
  </si>
  <si>
    <t>NATIONAL PARK</t>
  </si>
  <si>
    <t>NEW NORFOLK</t>
  </si>
  <si>
    <t>OUSE</t>
  </si>
  <si>
    <t>ROSEGARLAND</t>
  </si>
  <si>
    <t>SORELL CREEK</t>
  </si>
  <si>
    <t>STRICKLAND</t>
  </si>
  <si>
    <t>STYX</t>
  </si>
  <si>
    <t>TARRALEAH</t>
  </si>
  <si>
    <t>TYENNA</t>
  </si>
  <si>
    <t>UXBRIDGE</t>
  </si>
  <si>
    <t>WAYATINAH</t>
  </si>
  <si>
    <t>WESTERWAY</t>
  </si>
  <si>
    <t>ADVENTURE BAY</t>
  </si>
  <si>
    <t>ALLENS RIVULET</t>
  </si>
  <si>
    <t>ALONNAH</t>
  </si>
  <si>
    <t>BARNES BAY</t>
  </si>
  <si>
    <t>DENNES POINT</t>
  </si>
  <si>
    <t>GREAT BAY</t>
  </si>
  <si>
    <t>KAOOTA</t>
  </si>
  <si>
    <t>KILLORA</t>
  </si>
  <si>
    <t>LONGLEY</t>
  </si>
  <si>
    <t>LUNAWANNA</t>
  </si>
  <si>
    <t>NORTH BRUNY</t>
  </si>
  <si>
    <t>PELVERATA</t>
  </si>
  <si>
    <t>SANDFLY</t>
  </si>
  <si>
    <t>SIMPSONS BAY</t>
  </si>
  <si>
    <t>SOUTH BRUNY</t>
  </si>
  <si>
    <t>UPPER WOODSTOCK</t>
  </si>
  <si>
    <t>CASEY</t>
  </si>
  <si>
    <t>DAVIS</t>
  </si>
  <si>
    <t>MACQUARIE ISLAND</t>
  </si>
  <si>
    <t>KETTERING</t>
  </si>
  <si>
    <t>BIRCHS BAY</t>
  </si>
  <si>
    <t>FLOWERPOT</t>
  </si>
  <si>
    <t>CAMBRIDGE</t>
  </si>
  <si>
    <t>MOUNT RUMNEY</t>
  </si>
  <si>
    <t>ROCHES BEACH</t>
  </si>
  <si>
    <t>SEVEN MILE BEACH</t>
  </si>
  <si>
    <t>MIDWAY POINT</t>
  </si>
  <si>
    <t>PENNA</t>
  </si>
  <si>
    <t>NUGENT</t>
  </si>
  <si>
    <t>ORIELTON</t>
  </si>
  <si>
    <t>PAWLEENA</t>
  </si>
  <si>
    <t>SORELL</t>
  </si>
  <si>
    <t>CARLTON RIVER</t>
  </si>
  <si>
    <t>CONNELLYS MARSH</t>
  </si>
  <si>
    <t>DODGES FERRY</t>
  </si>
  <si>
    <t>FORCETT</t>
  </si>
  <si>
    <t>PRIMROSE SANDS</t>
  </si>
  <si>
    <t>COPPING</t>
  </si>
  <si>
    <t>BREAM CREEK</t>
  </si>
  <si>
    <t>KELLEVIE</t>
  </si>
  <si>
    <t>BOOMER BAY</t>
  </si>
  <si>
    <t>DUNALLEY</t>
  </si>
  <si>
    <t>MURDUNNA</t>
  </si>
  <si>
    <t>EAGLEHAWK NECK</t>
  </si>
  <si>
    <t>TARANNA</t>
  </si>
  <si>
    <t>HIGHCROFT</t>
  </si>
  <si>
    <t>NUBEENA</t>
  </si>
  <si>
    <t>STORMLEA</t>
  </si>
  <si>
    <t>WHITE BEACH</t>
  </si>
  <si>
    <t>PREMAYDENA</t>
  </si>
  <si>
    <t>SALTWATER RIVER</t>
  </si>
  <si>
    <t>SLOPING MAIN</t>
  </si>
  <si>
    <t>KOONYA</t>
  </si>
  <si>
    <t>APSLAWN</t>
  </si>
  <si>
    <t>DOLPHIN SANDS</t>
  </si>
  <si>
    <t>LITTLE SWANPORT</t>
  </si>
  <si>
    <t>MARIA ISLAND</t>
  </si>
  <si>
    <t>PONTYPOOL</t>
  </si>
  <si>
    <t>RHEBAN</t>
  </si>
  <si>
    <t>ROCKY HILLS</t>
  </si>
  <si>
    <t>SPRING BEACH</t>
  </si>
  <si>
    <t>TRIABUNNA</t>
  </si>
  <si>
    <t>ROSS</t>
  </si>
  <si>
    <t>TOOMS LAKE</t>
  </si>
  <si>
    <t>CAMPBELL TOWN</t>
  </si>
  <si>
    <t>LAKE LEAKE</t>
  </si>
  <si>
    <t>CONARA</t>
  </si>
  <si>
    <t>EPPING FOREST</t>
  </si>
  <si>
    <t>BLESSINGTON</t>
  </si>
  <si>
    <t>BURNS CREEK</t>
  </si>
  <si>
    <t>DEDDINGTON</t>
  </si>
  <si>
    <t>NILE</t>
  </si>
  <si>
    <t>UPPER BLESSINGTON</t>
  </si>
  <si>
    <t>WESTERN JUNCTION</t>
  </si>
  <si>
    <t>ROSSARDEN</t>
  </si>
  <si>
    <t>ROYAL GEORGE</t>
  </si>
  <si>
    <t>MANGANA</t>
  </si>
  <si>
    <t>MATHINNA</t>
  </si>
  <si>
    <t>UPPER ESK</t>
  </si>
  <si>
    <t>BICHENO</t>
  </si>
  <si>
    <t>CHAIN OF LAGOONS</t>
  </si>
  <si>
    <t>COLES BAY</t>
  </si>
  <si>
    <t>DOUGLAS RIVER</t>
  </si>
  <si>
    <t>FALMOUTH</t>
  </si>
  <si>
    <t>FREYCINET</t>
  </si>
  <si>
    <t>FRIENDLY BEACHES</t>
  </si>
  <si>
    <t>SCAMANDER</t>
  </si>
  <si>
    <t>UPPER SCAMANDER</t>
  </si>
  <si>
    <t>AKAROA</t>
  </si>
  <si>
    <t>ANSONS BAY</t>
  </si>
  <si>
    <t>BINALONG BAY</t>
  </si>
  <si>
    <t>GOSHEN</t>
  </si>
  <si>
    <t>GOULDS COUNTRY</t>
  </si>
  <si>
    <t>LOTTAH</t>
  </si>
  <si>
    <t>PYENGANA</t>
  </si>
  <si>
    <t>STIEGLITZ</t>
  </si>
  <si>
    <t>ALANVALE</t>
  </si>
  <si>
    <t>INVERESK</t>
  </si>
  <si>
    <t>MOWBRAY HEIGHTS</t>
  </si>
  <si>
    <t>NEWNHAM</t>
  </si>
  <si>
    <t>ROCHERLEA</t>
  </si>
  <si>
    <t>GLEN DHU</t>
  </si>
  <si>
    <t>KINGS MEADOWS</t>
  </si>
  <si>
    <t>SANDHILL</t>
  </si>
  <si>
    <t>SOUTH LAUNCESTON</t>
  </si>
  <si>
    <t>YOUNGTOWN</t>
  </si>
  <si>
    <t>BLACKSTONE HEIGHTS</t>
  </si>
  <si>
    <t>EAST LAUNCESTON</t>
  </si>
  <si>
    <t>ELPHIN</t>
  </si>
  <si>
    <t>LAUNCESTON</t>
  </si>
  <si>
    <t>NORWOOD AVENUE PO</t>
  </si>
  <si>
    <t>PROSPECT VALE</t>
  </si>
  <si>
    <t>SUMMERHILL</t>
  </si>
  <si>
    <t>TRAVELLERS REST</t>
  </si>
  <si>
    <t>WEST LAUNCESTON</t>
  </si>
  <si>
    <t>BEECHFORD</t>
  </si>
  <si>
    <t>DILSTON</t>
  </si>
  <si>
    <t>HILLWOOD</t>
  </si>
  <si>
    <t>LEFROY</t>
  </si>
  <si>
    <t>LULWORTH</t>
  </si>
  <si>
    <t>MOUNT DIRECTION</t>
  </si>
  <si>
    <t>PIPERS RIVER</t>
  </si>
  <si>
    <t>STONY HEAD</t>
  </si>
  <si>
    <t>WEYMOUTH</t>
  </si>
  <si>
    <t>BELL BAY</t>
  </si>
  <si>
    <t>GEORGE TOWN</t>
  </si>
  <si>
    <t>LONG REACH</t>
  </si>
  <si>
    <t>LOW HEAD</t>
  </si>
  <si>
    <t>BELLINGHAM</t>
  </si>
  <si>
    <t>GOLCONDA</t>
  </si>
  <si>
    <t>LEBRINA</t>
  </si>
  <si>
    <t>PIPERS BROOK</t>
  </si>
  <si>
    <t>TUNNEL</t>
  </si>
  <si>
    <t>WYENA</t>
  </si>
  <si>
    <t>BLUE ROCKS</t>
  </si>
  <si>
    <t>EMITA</t>
  </si>
  <si>
    <t>KILLIECRANKIE</t>
  </si>
  <si>
    <t>LACKRANA</t>
  </si>
  <si>
    <t>LADY BARRON</t>
  </si>
  <si>
    <t>LEEKA</t>
  </si>
  <si>
    <t>LOCCOTA</t>
  </si>
  <si>
    <t>LUGHRATA</t>
  </si>
  <si>
    <t>MEMANA</t>
  </si>
  <si>
    <t>PALANA</t>
  </si>
  <si>
    <t>RANGA</t>
  </si>
  <si>
    <t>WHITEMARK</t>
  </si>
  <si>
    <t>WINGAROO</t>
  </si>
  <si>
    <t>CURRIE</t>
  </si>
  <si>
    <t>EGG LAGOON</t>
  </si>
  <si>
    <t>GRASSY</t>
  </si>
  <si>
    <t>LOORANA</t>
  </si>
  <si>
    <t>LYMWOOD</t>
  </si>
  <si>
    <t>NARACOOPA</t>
  </si>
  <si>
    <t>NUGARA</t>
  </si>
  <si>
    <t>PEARSHAPE</t>
  </si>
  <si>
    <t>PEGARAH</t>
  </si>
  <si>
    <t>REEKARA</t>
  </si>
  <si>
    <t>SEA ELEPHANT</t>
  </si>
  <si>
    <t>SURPRISE BAY</t>
  </si>
  <si>
    <t>YAMBACOONA</t>
  </si>
  <si>
    <t>YARRA CREEK</t>
  </si>
  <si>
    <t>CAPE BARREN ISLAND</t>
  </si>
  <si>
    <t>RELBIA</t>
  </si>
  <si>
    <t>NUNAMARA</t>
  </si>
  <si>
    <t>PATERSONIA</t>
  </si>
  <si>
    <t>TARGA</t>
  </si>
  <si>
    <t>TAYENE</t>
  </si>
  <si>
    <t>BLUMONT</t>
  </si>
  <si>
    <t>CUCKOO</t>
  </si>
  <si>
    <t>FORESTER</t>
  </si>
  <si>
    <t>JETSONVILLE</t>
  </si>
  <si>
    <t>KAMONA</t>
  </si>
  <si>
    <t>LIETINNA</t>
  </si>
  <si>
    <t>LISLE</t>
  </si>
  <si>
    <t>NABOWLA</t>
  </si>
  <si>
    <t>NORTH SCOTTSDALE</t>
  </si>
  <si>
    <t>SCOTTSDALE</t>
  </si>
  <si>
    <t>SOUTH SPRINGFIELD</t>
  </si>
  <si>
    <t>TONGANAH</t>
  </si>
  <si>
    <t>TULENDEENA</t>
  </si>
  <si>
    <t>WEST SCOTTSDALE</t>
  </si>
  <si>
    <t>BRANXHOLM</t>
  </si>
  <si>
    <t>WARRENTINNA</t>
  </si>
  <si>
    <t>BRIDPORT</t>
  </si>
  <si>
    <t>TOMAHAWK</t>
  </si>
  <si>
    <t>WATERHOUSE</t>
  </si>
  <si>
    <t>LEGERWOOD</t>
  </si>
  <si>
    <t>RINGAROOMA</t>
  </si>
  <si>
    <t>TALAWA</t>
  </si>
  <si>
    <t>TRENAH</t>
  </si>
  <si>
    <t>BOOBYALLA</t>
  </si>
  <si>
    <t>CAPE PORTLAND</t>
  </si>
  <si>
    <t>EDDYSTONE</t>
  </si>
  <si>
    <t>EDDYSTONE POINT</t>
  </si>
  <si>
    <t>HERRICK</t>
  </si>
  <si>
    <t>MUSSELROE BAY</t>
  </si>
  <si>
    <t>RUSHY LAGOON</t>
  </si>
  <si>
    <t>SOUTH MOUNT CAMERON</t>
  </si>
  <si>
    <t>TELITA</t>
  </si>
  <si>
    <t>WELDBOROUGH</t>
  </si>
  <si>
    <t>BANCA</t>
  </si>
  <si>
    <t>WINNALEAH</t>
  </si>
  <si>
    <t>KAROOLA</t>
  </si>
  <si>
    <t>LALLA</t>
  </si>
  <si>
    <t>LOWER TURNERS MARSH</t>
  </si>
  <si>
    <t>TURNERS MARSH</t>
  </si>
  <si>
    <t>NORTH LILYDALE</t>
  </si>
  <si>
    <t>BADGER HEAD</t>
  </si>
  <si>
    <t>CLARENCE POINT</t>
  </si>
  <si>
    <t>FLOWERY GULLY</t>
  </si>
  <si>
    <t>GREENS BEACH</t>
  </si>
  <si>
    <t>ILFRAVILLE</t>
  </si>
  <si>
    <t>KAYENA</t>
  </si>
  <si>
    <t>ROWELLA</t>
  </si>
  <si>
    <t>SIDMOUTH</t>
  </si>
  <si>
    <t>YORK TOWN</t>
  </si>
  <si>
    <t>DEVIOT</t>
  </si>
  <si>
    <t>FRANKFORD</t>
  </si>
  <si>
    <t>HOLWELL</t>
  </si>
  <si>
    <t>LANENA</t>
  </si>
  <si>
    <t>LOIRA</t>
  </si>
  <si>
    <t>NOTLEY HILLS</t>
  </si>
  <si>
    <t>ROBIGANA</t>
  </si>
  <si>
    <t>SWAN POINT</t>
  </si>
  <si>
    <t>WINKLEIGH</t>
  </si>
  <si>
    <t>GRAVELLY BEACH</t>
  </si>
  <si>
    <t>BRIDGENORTH</t>
  </si>
  <si>
    <t>GRINDELWALD</t>
  </si>
  <si>
    <t>LEGANA</t>
  </si>
  <si>
    <t>ROSEVEARS</t>
  </si>
  <si>
    <t>HADSPEN</t>
  </si>
  <si>
    <t>CARRICK</t>
  </si>
  <si>
    <t>HAGLEY</t>
  </si>
  <si>
    <t>QUAMBY BEND</t>
  </si>
  <si>
    <t>SELBOURNE</t>
  </si>
  <si>
    <t>DEVON HILLS</t>
  </si>
  <si>
    <t>POWRANNA</t>
  </si>
  <si>
    <t>BISHOPSBOURNE</t>
  </si>
  <si>
    <t>BLACKWOOD CREEK</t>
  </si>
  <si>
    <t>LIFFEY</t>
  </si>
  <si>
    <t>TOIBERRY</t>
  </si>
  <si>
    <t>BRACKNELL</t>
  </si>
  <si>
    <t>POATINA</t>
  </si>
  <si>
    <t>BIRRALEE</t>
  </si>
  <si>
    <t>CLUAN</t>
  </si>
  <si>
    <t>EXTON</t>
  </si>
  <si>
    <t>OAKS</t>
  </si>
  <si>
    <t>OSMASTON</t>
  </si>
  <si>
    <t>WHITEMORE</t>
  </si>
  <si>
    <t>BRANDUM</t>
  </si>
  <si>
    <t>BREONA</t>
  </si>
  <si>
    <t>CAVESIDE</t>
  </si>
  <si>
    <t>CENTRAL PLATEAU</t>
  </si>
  <si>
    <t>CHUDLEIGH</t>
  </si>
  <si>
    <t>DAIRY PLAINS</t>
  </si>
  <si>
    <t>DELORAINE</t>
  </si>
  <si>
    <t>DOCTORS POINT</t>
  </si>
  <si>
    <t>DUNORLAN</t>
  </si>
  <si>
    <t>ELIZABETH TOWN</t>
  </si>
  <si>
    <t>GOLDEN VALLEY</t>
  </si>
  <si>
    <t>JACKEYS MARSH</t>
  </si>
  <si>
    <t>LIENA</t>
  </si>
  <si>
    <t>MAYBERRY</t>
  </si>
  <si>
    <t>MEANDER</t>
  </si>
  <si>
    <t>MERSEY FOREST</t>
  </si>
  <si>
    <t>MOLE CREEK</t>
  </si>
  <si>
    <t>MOLTEMA</t>
  </si>
  <si>
    <t>MONTANA</t>
  </si>
  <si>
    <t>NEEDLES</t>
  </si>
  <si>
    <t>PARKHAM</t>
  </si>
  <si>
    <t>QUAMBY BROOK</t>
  </si>
  <si>
    <t>RED HILLS</t>
  </si>
  <si>
    <t>REEDY MARSH</t>
  </si>
  <si>
    <t>REYNOLDS NECK</t>
  </si>
  <si>
    <t>WEEGENA</t>
  </si>
  <si>
    <t>WEETAH</t>
  </si>
  <si>
    <t>MERSEYLEA</t>
  </si>
  <si>
    <t>RAILTON</t>
  </si>
  <si>
    <t>CETHANA</t>
  </si>
  <si>
    <t>CLAUDE ROAD</t>
  </si>
  <si>
    <t>CRADLE MOUNTAIN</t>
  </si>
  <si>
    <t>GOWRIE PARK</t>
  </si>
  <si>
    <t>LORINNA</t>
  </si>
  <si>
    <t>LOWER BARRINGTON</t>
  </si>
  <si>
    <t>LOWER BEULAH</t>
  </si>
  <si>
    <t>NOOK</t>
  </si>
  <si>
    <t>NOWHERE ELSE</t>
  </si>
  <si>
    <t>PROMISED LAND</t>
  </si>
  <si>
    <t>ROLAND</t>
  </si>
  <si>
    <t>SHEFFIELD</t>
  </si>
  <si>
    <t>STAVERTON</t>
  </si>
  <si>
    <t>STOODLEY</t>
  </si>
  <si>
    <t>WEST KENTISH</t>
  </si>
  <si>
    <t>BAKERS BEACH</t>
  </si>
  <si>
    <t>HARFORD</t>
  </si>
  <si>
    <t>HAWLEY BEACH</t>
  </si>
  <si>
    <t>LATROBE</t>
  </si>
  <si>
    <t>MORIARTY</t>
  </si>
  <si>
    <t>NORTHDOWN</t>
  </si>
  <si>
    <t>PORT SORELL</t>
  </si>
  <si>
    <t>SHEARWATER</t>
  </si>
  <si>
    <t>SQUEAKING POINT</t>
  </si>
  <si>
    <t>THIRLSTANE</t>
  </si>
  <si>
    <t>WESLEY VALE</t>
  </si>
  <si>
    <t>AMBLESIDE</t>
  </si>
  <si>
    <t>DEVONPORT</t>
  </si>
  <si>
    <t>DON</t>
  </si>
  <si>
    <t>EAST DEVONPORT</t>
  </si>
  <si>
    <t>ERRIBA</t>
  </si>
  <si>
    <t>EUGENANA</t>
  </si>
  <si>
    <t>FORTH</t>
  </si>
  <si>
    <t>FORTHSIDE</t>
  </si>
  <si>
    <t>KINDRED</t>
  </si>
  <si>
    <t>LOWER WILMOT</t>
  </si>
  <si>
    <t>MOINA</t>
  </si>
  <si>
    <t>PALOONA</t>
  </si>
  <si>
    <t>QUOIBA</t>
  </si>
  <si>
    <t>SOUTH SPREYTON</t>
  </si>
  <si>
    <t>SPREYTON</t>
  </si>
  <si>
    <t>STONY RISE</t>
  </si>
  <si>
    <t>TARLETON</t>
  </si>
  <si>
    <t>TUGRAH</t>
  </si>
  <si>
    <t>WEST DEVONPORT</t>
  </si>
  <si>
    <t>WILMOT</t>
  </si>
  <si>
    <t>ABBOTSHAM</t>
  </si>
  <si>
    <t>CASTRA</t>
  </si>
  <si>
    <t>GUNNS PLAINS</t>
  </si>
  <si>
    <t>LEITH</t>
  </si>
  <si>
    <t>LOONGANA</t>
  </si>
  <si>
    <t>NIETTA</t>
  </si>
  <si>
    <t>NORTH MOTTON</t>
  </si>
  <si>
    <t>SOUTH NIETTA</t>
  </si>
  <si>
    <t>SOUTH PRESTON</t>
  </si>
  <si>
    <t>SPALFORD</t>
  </si>
  <si>
    <t>SPRENT</t>
  </si>
  <si>
    <t>TURNERS BEACH</t>
  </si>
  <si>
    <t>ULVERSTONE</t>
  </si>
  <si>
    <t>UPPER CASTRA</t>
  </si>
  <si>
    <t>WEST ULVERSTONE</t>
  </si>
  <si>
    <t>CAMENA</t>
  </si>
  <si>
    <t>CUPRONA</t>
  </si>
  <si>
    <t>HEYBRIDGE</t>
  </si>
  <si>
    <t>HOWTH</t>
  </si>
  <si>
    <t>LOYETEA</t>
  </si>
  <si>
    <t>PENGUIN</t>
  </si>
  <si>
    <t>PRESERVATION BAY</t>
  </si>
  <si>
    <t>RIANA</t>
  </si>
  <si>
    <t>SOUTH RIANA</t>
  </si>
  <si>
    <t>SULPHUR CREEK</t>
  </si>
  <si>
    <t>WEST PINE</t>
  </si>
  <si>
    <t>BURNIE</t>
  </si>
  <si>
    <t>CAMDALE</t>
  </si>
  <si>
    <t>COOEE</t>
  </si>
  <si>
    <t>DOWNLANDS</t>
  </si>
  <si>
    <t>HAVENVIEW</t>
  </si>
  <si>
    <t>MONTELLO</t>
  </si>
  <si>
    <t>OCEAN VISTA</t>
  </si>
  <si>
    <t>PARK GROVE</t>
  </si>
  <si>
    <t>ROMAINE</t>
  </si>
  <si>
    <t>SHOREWELL PARK</t>
  </si>
  <si>
    <t>SOUTH BURNIE</t>
  </si>
  <si>
    <t>UPPER BURNIE</t>
  </si>
  <si>
    <t>BOAT HARBOUR BEACH</t>
  </si>
  <si>
    <t>CHASM CREEK</t>
  </si>
  <si>
    <t>CORINNA</t>
  </si>
  <si>
    <t>COWRIE POINT</t>
  </si>
  <si>
    <t>CRAYFISH CREEK</t>
  </si>
  <si>
    <t>DETENTION</t>
  </si>
  <si>
    <t>EAST CAM</t>
  </si>
  <si>
    <t>EAST RIDGLEY</t>
  </si>
  <si>
    <t>EDGCUMBE BEACH</t>
  </si>
  <si>
    <t>HAMPSHIRE</t>
  </si>
  <si>
    <t>HELLYER</t>
  </si>
  <si>
    <t>HIGHCLERE</t>
  </si>
  <si>
    <t>LUINA</t>
  </si>
  <si>
    <t>MAWBANNA</t>
  </si>
  <si>
    <t>MONTUMANA</t>
  </si>
  <si>
    <t>MOOREVILLE</t>
  </si>
  <si>
    <t>NATONE</t>
  </si>
  <si>
    <t>PARRAWE</t>
  </si>
  <si>
    <t>PORT LATTA</t>
  </si>
  <si>
    <t>RIDGLEY</t>
  </si>
  <si>
    <t>ROCKY CAPE</t>
  </si>
  <si>
    <t>SAVAGE RIVER</t>
  </si>
  <si>
    <t>SISTERS BEACH</t>
  </si>
  <si>
    <t>STOWPORT</t>
  </si>
  <si>
    <t>TEWKESBURY</t>
  </si>
  <si>
    <t>TULLAH</t>
  </si>
  <si>
    <t>UPPER NATONE</t>
  </si>
  <si>
    <t>UPPER STOWPORT</t>
  </si>
  <si>
    <t>WEST MOOREVILLE</t>
  </si>
  <si>
    <t>WEST RIDGLEY</t>
  </si>
  <si>
    <t>WILTSHIRE</t>
  </si>
  <si>
    <t>SOMERSET</t>
  </si>
  <si>
    <t>CALDER</t>
  </si>
  <si>
    <t>DOCTORS ROCKS</t>
  </si>
  <si>
    <t>HENRIETTA</t>
  </si>
  <si>
    <t>LAPOINYA</t>
  </si>
  <si>
    <t>MEUNNA</t>
  </si>
  <si>
    <t>MILABENA</t>
  </si>
  <si>
    <t>MOORLEAH</t>
  </si>
  <si>
    <t>MOUNT HICKS</t>
  </si>
  <si>
    <t>OLDINA</t>
  </si>
  <si>
    <t>OONAH</t>
  </si>
  <si>
    <t>PREOLENNA</t>
  </si>
  <si>
    <t>SISTERS CREEK</t>
  </si>
  <si>
    <t>TABLE CAPE</t>
  </si>
  <si>
    <t>TAKONE</t>
  </si>
  <si>
    <t>WEST TAKONE</t>
  </si>
  <si>
    <t>WYNYARD</t>
  </si>
  <si>
    <t>YOLLA</t>
  </si>
  <si>
    <t>ALCOMIE</t>
  </si>
  <si>
    <t>BRITTONS SWAMP</t>
  </si>
  <si>
    <t>COUTA ROCKS</t>
  </si>
  <si>
    <t>EDITH CREEK</t>
  </si>
  <si>
    <t>FOREST</t>
  </si>
  <si>
    <t>HUNTER ISLAND</t>
  </si>
  <si>
    <t>LILEAH</t>
  </si>
  <si>
    <t>MARRAWAH</t>
  </si>
  <si>
    <t>MELLA</t>
  </si>
  <si>
    <t>MENGHA</t>
  </si>
  <si>
    <t>MONTAGU</t>
  </si>
  <si>
    <t>NABAGEENA</t>
  </si>
  <si>
    <t>REDPA</t>
  </si>
  <si>
    <t>ROBBINS ISLAND</t>
  </si>
  <si>
    <t>ROGER RIVER</t>
  </si>
  <si>
    <t>SCOPUS</t>
  </si>
  <si>
    <t>SCOTCHTOWN</t>
  </si>
  <si>
    <t>SMITHTON</t>
  </si>
  <si>
    <t>SOUTH FOREST</t>
  </si>
  <si>
    <t>TEMMA</t>
  </si>
  <si>
    <t>THREE HUMMOCK ISLAND</t>
  </si>
  <si>
    <t>TOGARI</t>
  </si>
  <si>
    <t>TROWUTTA</t>
  </si>
  <si>
    <t>WEST MONTAGU</t>
  </si>
  <si>
    <t>WOOLNORTH</t>
  </si>
  <si>
    <t>GORMANSTON</t>
  </si>
  <si>
    <t>LAKE MARGARET</t>
  </si>
  <si>
    <t>MACQUARIE HEADS</t>
  </si>
  <si>
    <t>STRAHAN</t>
  </si>
  <si>
    <t>GRANVILLE HARBOUR</t>
  </si>
  <si>
    <t>RENISON BELL</t>
  </si>
  <si>
    <t>TRIAL HARBOUR</t>
  </si>
  <si>
    <t>ZEEHAN</t>
  </si>
  <si>
    <t>COLLINS STREET EAST</t>
  </si>
  <si>
    <t>ST KILDA ROAD</t>
  </si>
  <si>
    <t>ABECKETT STREET</t>
  </si>
  <si>
    <t>COLLINS STREET WEST</t>
  </si>
  <si>
    <t>FLINDERS LANE</t>
  </si>
  <si>
    <t>LAW COURTS</t>
  </si>
  <si>
    <t>LITTLE LONSDALE STREET</t>
  </si>
  <si>
    <t>FLEMING</t>
  </si>
  <si>
    <t>MARRAKAI</t>
  </si>
  <si>
    <t>MILIKAPITI</t>
  </si>
  <si>
    <t>HOLTZE</t>
  </si>
  <si>
    <t>EASTERN MC</t>
  </si>
  <si>
    <t>BRISBANE GPO BOXES</t>
  </si>
  <si>
    <t>Price Per meter</t>
  </si>
  <si>
    <t>Third party Saftey</t>
  </si>
  <si>
    <t>Price per m</t>
  </si>
  <si>
    <t>Additional Requirements</t>
  </si>
  <si>
    <t xml:space="preserve">Permanent Skylight Mesh </t>
  </si>
  <si>
    <t>Permanent FRP Walkway</t>
  </si>
  <si>
    <t>Manual Price</t>
  </si>
  <si>
    <t>Permanent</t>
  </si>
  <si>
    <t xml:space="preserve">Temporary Plywood Covering Skylights </t>
  </si>
  <si>
    <t>Permanent Aluminium Walkway</t>
  </si>
  <si>
    <t>Temporary</t>
  </si>
  <si>
    <t>Levelised</t>
  </si>
  <si>
    <t>Temporary Steel Mesh</t>
  </si>
  <si>
    <t>Permanent Levelled Aluminium Walkway</t>
  </si>
  <si>
    <t>Ventilation Ridges</t>
  </si>
  <si>
    <t>Step Requirements</t>
  </si>
  <si>
    <t>Ladder Access</t>
  </si>
  <si>
    <t>Levelised + Ventilation Ridges</t>
  </si>
  <si>
    <t>Levelised + Ventilation Ridges + Step Requirements</t>
  </si>
  <si>
    <t>Levelised + Ventilation Ridges + Step Requirements + Ladder Access</t>
  </si>
  <si>
    <t>Ventilation Ridges + Step Requirements</t>
  </si>
  <si>
    <t>Ventilation Ridges + Step Requirements + Ladder Access</t>
  </si>
  <si>
    <t>Step Requirements + Ladder Access</t>
  </si>
  <si>
    <t>Router Inclusion</t>
  </si>
  <si>
    <t>LGC Connection</t>
  </si>
  <si>
    <t>Monitoring Options</t>
  </si>
  <si>
    <t>Panel</t>
  </si>
  <si>
    <t>Solar Analytics Generation</t>
  </si>
  <si>
    <t>SMA Based Monitoring Standard</t>
  </si>
  <si>
    <t>25 Year Panel Performance Warranty</t>
  </si>
  <si>
    <t>SMA Energy Meter (Usage + Solar)</t>
  </si>
  <si>
    <t>TV Inclusive</t>
  </si>
  <si>
    <t>30 Year Panel Performance Warranty</t>
  </si>
  <si>
    <t>c/W</t>
  </si>
  <si>
    <t>Fronius Web Monitoring</t>
  </si>
  <si>
    <t>Excluding TV</t>
  </si>
  <si>
    <t>10 Year Panel Product Warranty</t>
  </si>
  <si>
    <t>Percentage</t>
  </si>
  <si>
    <t>Solar Analytics Revenue Grade Generation Metering</t>
  </si>
  <si>
    <t>Solar Edge Monitoring</t>
  </si>
  <si>
    <t>12 Year Panel Product Warranty</t>
  </si>
  <si>
    <t>Solar Analytics Revenue Grade Generation Metering + Consumption</t>
  </si>
  <si>
    <t>Huawei Monitoring</t>
  </si>
  <si>
    <t>15 Year Panel Product Warranty</t>
  </si>
  <si>
    <t>25 Year Panel Product Warranty</t>
  </si>
  <si>
    <t>Solar Analytics Generation (STC/LGC Split)</t>
  </si>
  <si>
    <t>Solar Analytics Generation (STC/LGC Split) + Consumption</t>
  </si>
  <si>
    <t>5 Year Inverter Warranty</t>
  </si>
  <si>
    <t>10 Year Inverter Warranty</t>
  </si>
  <si>
    <t>MANUAL INPUT</t>
  </si>
  <si>
    <t>Metering Gear Choice:</t>
  </si>
  <si>
    <t>Price Pulled to Cost Calculator:</t>
  </si>
  <si>
    <t>5 Years</t>
  </si>
  <si>
    <t>Performance Guarantee</t>
  </si>
  <si>
    <t>WW GEAR PRICING</t>
  </si>
  <si>
    <t>6M-MB standard meter + modbus connection to CET meter</t>
  </si>
  <si>
    <t>5 Year Generation Guarantee</t>
  </si>
  <si>
    <t>Price Per Watt</t>
  </si>
  <si>
    <t>CET Meter + 600A/1500A Billing CTs</t>
  </si>
  <si>
    <t>Set of 3x CT's</t>
  </si>
  <si>
    <t>High gain antenna &amp; mounting kit</t>
  </si>
  <si>
    <t>,</t>
  </si>
  <si>
    <t>A3RM-20 + Rogowskis Consumption</t>
  </si>
  <si>
    <t>Standard A6M meter</t>
  </si>
  <si>
    <t>Solar Analytics Generation PPA or &gt;500kW</t>
  </si>
  <si>
    <t>Solar Analytics Generation + Consumption PPA or &gt;500kW</t>
  </si>
  <si>
    <t>1 Device - 5 year subscription</t>
  </si>
  <si>
    <t>If STC/LGC split; need metering per inverter on LGC system</t>
  </si>
  <si>
    <t>CTs</t>
  </si>
  <si>
    <t>devices</t>
  </si>
  <si>
    <t>subscriptions</t>
  </si>
  <si>
    <t>Antennas</t>
  </si>
  <si>
    <t>Cost Code</t>
  </si>
  <si>
    <t>Cost Type</t>
  </si>
  <si>
    <t>Cost Code Description</t>
  </si>
  <si>
    <t>Manual Calculation</t>
  </si>
  <si>
    <t>Unit Qty</t>
  </si>
  <si>
    <t>UOM</t>
  </si>
  <si>
    <t>Unit Cost</t>
  </si>
  <si>
    <t>Budget Amount</t>
  </si>
  <si>
    <t>5-1110</t>
  </si>
  <si>
    <t>M</t>
  </si>
  <si>
    <t>5-1115</t>
  </si>
  <si>
    <t>5-1120</t>
  </si>
  <si>
    <t>5-1130</t>
  </si>
  <si>
    <t>5-1140</t>
  </si>
  <si>
    <t>5-1149</t>
  </si>
  <si>
    <t>5-1150</t>
  </si>
  <si>
    <t>5-1152</t>
  </si>
  <si>
    <t>5-1153</t>
  </si>
  <si>
    <t>5-1155</t>
  </si>
  <si>
    <t>5-1160</t>
  </si>
  <si>
    <t>5-1170</t>
  </si>
  <si>
    <t>5-1171</t>
  </si>
  <si>
    <t>5-1180</t>
  </si>
  <si>
    <t>5-1190</t>
  </si>
  <si>
    <t>5-2100</t>
  </si>
  <si>
    <t>SVC</t>
  </si>
  <si>
    <t>5-3100</t>
  </si>
  <si>
    <t>5-3200</t>
  </si>
  <si>
    <t>5-3300</t>
  </si>
  <si>
    <t>5-3310</t>
  </si>
  <si>
    <t>5-3320</t>
  </si>
  <si>
    <t>E</t>
  </si>
  <si>
    <t>5-3350</t>
  </si>
  <si>
    <t>O</t>
  </si>
  <si>
    <t>5-3500</t>
  </si>
  <si>
    <t>5-3800</t>
  </si>
  <si>
    <t>5-3901</t>
  </si>
  <si>
    <t>5-3901b</t>
  </si>
  <si>
    <t>5-3902</t>
  </si>
  <si>
    <t>5-3903</t>
  </si>
  <si>
    <t>5-3904</t>
  </si>
  <si>
    <t>5-3905</t>
  </si>
  <si>
    <t>5-5000</t>
  </si>
  <si>
    <t>L</t>
  </si>
  <si>
    <t>5-5100</t>
  </si>
  <si>
    <t>5-5201</t>
  </si>
  <si>
    <t>5-5202</t>
  </si>
  <si>
    <t>5-5250</t>
  </si>
  <si>
    <t>5-5300</t>
  </si>
  <si>
    <t>5-5300a</t>
  </si>
  <si>
    <t>5-5300b</t>
  </si>
  <si>
    <t>5-5300f</t>
  </si>
  <si>
    <t>5-5555</t>
  </si>
  <si>
    <t>5-5555a</t>
  </si>
  <si>
    <t>5-5700</t>
  </si>
  <si>
    <t>5-5700a</t>
  </si>
  <si>
    <t>5-5800</t>
  </si>
  <si>
    <t>5-6000</t>
  </si>
  <si>
    <t>Battery*</t>
  </si>
  <si>
    <t>5-6100</t>
  </si>
  <si>
    <t>EV Charger</t>
  </si>
  <si>
    <t>5-6110</t>
  </si>
  <si>
    <t>EV Charger Install</t>
  </si>
  <si>
    <t>5-6120</t>
  </si>
  <si>
    <t>EV Charger BOS</t>
  </si>
  <si>
    <t>5-6510c</t>
  </si>
  <si>
    <t>5-6510d</t>
  </si>
  <si>
    <t>5-6510e</t>
  </si>
  <si>
    <t>5-9100</t>
  </si>
  <si>
    <t>6- xxxx</t>
  </si>
  <si>
    <t>Solar Only Inverter to PVDB</t>
  </si>
  <si>
    <t>Index</t>
  </si>
  <si>
    <t>Capacity (A) (AS3008 Table 8 col 9)</t>
  </si>
  <si>
    <t>Resistance (Ω/km)</t>
  </si>
  <si>
    <t>Reactance (Ω/km)</t>
  </si>
  <si>
    <t>Impedance (Ω/km)</t>
  </si>
  <si>
    <t>Vdrop Inv (%)</t>
  </si>
  <si>
    <t>Vdrop GPU (%)</t>
  </si>
  <si>
    <t>Minimum Earth (mm2)</t>
  </si>
  <si>
    <t>Based on AS3000 TABLE 5.1</t>
  </si>
  <si>
    <t>AC Kw</t>
  </si>
  <si>
    <t>Active Conductor (mm2)</t>
  </si>
  <si>
    <t>Total Active Conductor (mm2)</t>
  </si>
  <si>
    <t>Min. Copper PE (mm2)</t>
  </si>
  <si>
    <t>Equivalent Aluminium PE (mm2)</t>
  </si>
  <si>
    <t>Nominal Voltage</t>
  </si>
  <si>
    <t>Phases</t>
  </si>
  <si>
    <t>Run Length</t>
  </si>
  <si>
    <t>Required Vdrop</t>
  </si>
  <si>
    <t>Submain Current</t>
  </si>
  <si>
    <t>Current Plus Safety</t>
  </si>
  <si>
    <t>Required Cable (Overall)</t>
  </si>
  <si>
    <t>PVDB to MSB</t>
  </si>
  <si>
    <t>This is cooked, talk to Projects</t>
  </si>
  <si>
    <t>Handover Checklist</t>
  </si>
  <si>
    <t>Name &amp; Size:</t>
  </si>
  <si>
    <t>Sales Rep:</t>
  </si>
  <si>
    <t>Pre Sales:</t>
  </si>
  <si>
    <r>
      <t>Customer</t>
    </r>
    <r>
      <rPr>
        <sz val="11"/>
        <color rgb="FF000000"/>
        <rFont val="Overpass"/>
      </rPr>
      <t> </t>
    </r>
  </si>
  <si>
    <t>Company Details </t>
  </si>
  <si>
    <t>Trading Name </t>
  </si>
  <si>
    <t>Note:</t>
  </si>
  <si>
    <t>ABN </t>
  </si>
  <si>
    <t>Yellow cells have been prepopulated</t>
  </si>
  <si>
    <t>Site Street Address </t>
  </si>
  <si>
    <t>White cells require manual input</t>
  </si>
  <si>
    <t>Billing Address </t>
  </si>
  <si>
    <t>Metering Information </t>
  </si>
  <si>
    <t>Energy Retailer </t>
  </si>
  <si>
    <t>NMI </t>
  </si>
  <si>
    <t>Client Representative (#1) </t>
  </si>
  <si>
    <t>Name </t>
  </si>
  <si>
    <t>Position </t>
  </si>
  <si>
    <t>Mobile </t>
  </si>
  <si>
    <t>Email </t>
  </si>
  <si>
    <t>Client Representative (#2) </t>
  </si>
  <si>
    <t>Accounts Representative </t>
  </si>
  <si>
    <t>Other notes about the client (communication preference, technical knowledge etc.) </t>
  </si>
  <si>
    <t>Was this client referred to us? </t>
  </si>
  <si>
    <t>Existing projects with client?
If so, list major ones: </t>
  </si>
  <si>
    <t>Strategic job?
Are there more potential projects with this client? </t>
  </si>
  <si>
    <r>
      <t>Contract</t>
    </r>
    <r>
      <rPr>
        <sz val="11"/>
        <color rgb="FF000000"/>
        <rFont val="Overpass"/>
      </rPr>
      <t> </t>
    </r>
  </si>
  <si>
    <t>Customer contract or SCS Standard Contract?</t>
  </si>
  <si>
    <t>Capex or PPA? If PPA who is the funder? </t>
  </si>
  <si>
    <t>Any non-standard payment terms? </t>
  </si>
  <si>
    <t>Any non-standard milestones? </t>
  </si>
  <si>
    <t>Any non-standard scope items? </t>
  </si>
  <si>
    <t>Are we claiming STCs? </t>
  </si>
  <si>
    <t>Are we setting up LGCs? </t>
  </si>
  <si>
    <t>Installation/ completion deadline? </t>
  </si>
  <si>
    <t>Liquidated damages? </t>
  </si>
  <si>
    <t>Other </t>
  </si>
  <si>
    <r>
      <t>PV System Design</t>
    </r>
    <r>
      <rPr>
        <sz val="11"/>
        <color rgb="FF000000"/>
        <rFont val="Overpass"/>
      </rPr>
      <t> </t>
    </r>
  </si>
  <si>
    <t>PV Size (kWp) </t>
  </si>
  <si>
    <t>Panels (Number and Manufacturer) </t>
  </si>
  <si>
    <t>Inverter Capacity (kVA) </t>
  </si>
  <si>
    <t>Inverters (Number and Manufacturer) </t>
  </si>
  <si>
    <t>Racking Type </t>
  </si>
  <si>
    <t>Are we locked into a particular brand of panel/inverter? </t>
  </si>
  <si>
    <t>Name of building(s) being installed on. </t>
  </si>
  <si>
    <t>Other special inclusions </t>
  </si>
  <si>
    <t>BESS </t>
  </si>
  <si>
    <t>Optimisers </t>
  </si>
  <si>
    <t>PFC </t>
  </si>
  <si>
    <t>Other? </t>
  </si>
  <si>
    <t>Is there a generator on site? </t>
  </si>
  <si>
    <t>Allowance for variations?
e.g. Is a MSB Upgrade excluded from the quote? </t>
  </si>
  <si>
    <t>Council DA Required? </t>
  </si>
  <si>
    <t>Other:</t>
  </si>
  <si>
    <t>Structural Drawings? </t>
  </si>
  <si>
    <t>Access to the rooftop? </t>
  </si>
  <si>
    <t>Inclusions for temporary/ permanent height safety? </t>
  </si>
  <si>
    <t>Future expansions to be included? </t>
  </si>
  <si>
    <r>
      <t>Scheduling/Housekeeping</t>
    </r>
    <r>
      <rPr>
        <sz val="11"/>
        <color rgb="FF000000"/>
        <rFont val="Overpass"/>
      </rPr>
      <t> </t>
    </r>
  </si>
  <si>
    <t>Are there any important dates we need to be aware of (School holidays, Christmas closure etc) </t>
  </si>
  <si>
    <t>Is there an existing program or agreed completion date? </t>
  </si>
  <si>
    <t>Is the client aware that approval times from councils and DNSPs are outside of our control? </t>
  </si>
  <si>
    <t>Does the client acknowledge that they may not be able to switch the system on until final connection approval is received? </t>
  </si>
  <si>
    <t>Is the client aware that a temporary shutdown will likely be required for the site to connect the solar? </t>
  </si>
  <si>
    <r>
      <t>Monitoring Details</t>
    </r>
    <r>
      <rPr>
        <sz val="11"/>
        <color rgb="FF000000"/>
        <rFont val="Overpass"/>
      </rPr>
      <t> </t>
    </r>
  </si>
  <si>
    <t>Quoted specific yield (kWh/kWp) </t>
  </si>
  <si>
    <t>Expected ROI (years) </t>
  </si>
  <si>
    <t>Panel Product Warranty  </t>
  </si>
  <si>
    <t>Inverter Product Warranty </t>
  </si>
  <si>
    <r>
      <t xml:space="preserve">Monitoring Solar Analytics inclusions
</t>
    </r>
    <r>
      <rPr>
        <i/>
        <sz val="9"/>
        <color rgb="FF000000"/>
        <rFont val="Overpass"/>
      </rPr>
      <t>(Production/ Consumption)</t>
    </r>
    <r>
      <rPr>
        <sz val="10"/>
        <color rgb="FF000000"/>
        <rFont val="Overpass"/>
      </rPr>
      <t>  </t>
    </r>
  </si>
  <si>
    <r>
      <t xml:space="preserve">Inverter-level Monitoring
</t>
    </r>
    <r>
      <rPr>
        <i/>
        <sz val="9"/>
        <color rgb="FF000000"/>
        <rFont val="Overpass"/>
      </rPr>
      <t>(4G dongle etc.) </t>
    </r>
  </si>
  <si>
    <t>Solar Analytics subscription length </t>
  </si>
  <si>
    <t>Subscribe to monthly reports? </t>
  </si>
  <si>
    <t>Service Package inclusions </t>
  </si>
  <si>
    <t>Any other non-standard agreement? </t>
  </si>
  <si>
    <t>Handover Checklist (please include as an attachment): </t>
  </si>
  <si>
    <t>☐ 30% deposit invoice remittance </t>
  </si>
  <si>
    <t>☐ Preliminary site plans </t>
  </si>
  <si>
    <t>☐ Signed SCS/Client contract </t>
  </si>
  <si>
    <t>☐ Signed SCS/Client T&amp;C’s </t>
  </si>
  <si>
    <t>☐ Recent client electricity bill </t>
  </si>
  <si>
    <t>☐ SCS Quote tool in excel format </t>
  </si>
  <si>
    <t>☐ EDA/ES/SFS </t>
  </si>
  <si>
    <t>☐ Gantt if applicable </t>
  </si>
  <si>
    <t>☐ All quotes received during pre-sale (Labour, panels, etc.) </t>
  </si>
  <si>
    <t>INPUTS</t>
  </si>
  <si>
    <t>VALUE</t>
  </si>
  <si>
    <t>Logic to calculation</t>
  </si>
  <si>
    <t>Inclusions</t>
  </si>
  <si>
    <t>Amount</t>
  </si>
  <si>
    <t>Reactive/Proactive/Passive</t>
  </si>
  <si>
    <t>Initial or yearly Cost</t>
  </si>
  <si>
    <t>Basic</t>
  </si>
  <si>
    <t>Comfort</t>
  </si>
  <si>
    <t>Comprehensive</t>
  </si>
  <si>
    <t>Full Service Package</t>
  </si>
  <si>
    <t>Custom</t>
  </si>
  <si>
    <t>Name</t>
  </si>
  <si>
    <t>STANDARD</t>
  </si>
  <si>
    <t>Hardware + install cost</t>
  </si>
  <si>
    <t>4G Consumption Monitoring Installation (optional if not yet installed)</t>
  </si>
  <si>
    <t>Passive</t>
  </si>
  <si>
    <t>Initial</t>
  </si>
  <si>
    <t>Version Number</t>
  </si>
  <si>
    <t>1.0</t>
  </si>
  <si>
    <t>Hardware + install cost (1000/meter)</t>
  </si>
  <si>
    <t>4G Production Monitoring installation (optional if not yet installed)</t>
  </si>
  <si>
    <t>Suburb</t>
  </si>
  <si>
    <t>70% notifying client of what is going wrong</t>
  </si>
  <si>
    <t>System Output Simulation</t>
  </si>
  <si>
    <t>Proactive</t>
  </si>
  <si>
    <t>30% double checking monthly reports/ answering questions</t>
  </si>
  <si>
    <t>General Monitoring</t>
  </si>
  <si>
    <t>Yearly</t>
  </si>
  <si>
    <t>Putting in router, daisy chaining inverters</t>
  </si>
  <si>
    <t>Monthly reports</t>
  </si>
  <si>
    <t>General Site Inputs</t>
  </si>
  <si>
    <t>Hardware + install</t>
  </si>
  <si>
    <t>Onboarding</t>
  </si>
  <si>
    <t>Type of System</t>
  </si>
  <si>
    <t>Majority of time handling issues</t>
  </si>
  <si>
    <t>Inverter Level Monitoring Setup (optional)</t>
  </si>
  <si>
    <t>Size (kW)</t>
  </si>
  <si>
    <t>small time compared to Rect. Mgmt</t>
  </si>
  <si>
    <t>Inverter Level Monitoring (optional)</t>
  </si>
  <si>
    <t>Start Year for Service</t>
  </si>
  <si>
    <t>Helioscope simulation</t>
  </si>
  <si>
    <t>Ongoing SIM FEE</t>
  </si>
  <si>
    <t>Number of Years</t>
  </si>
  <si>
    <t>1.15***** x  price for a service (as most likely a LOT of work)</t>
  </si>
  <si>
    <t>Rectification management</t>
  </si>
  <si>
    <t>Reactive</t>
  </si>
  <si>
    <t>Location (Postcode)</t>
  </si>
  <si>
    <t>Travel Required? Yes/No - put hours?</t>
  </si>
  <si>
    <t>Combination of callout + hourly rate for checking (PVDB, Inverters, Strings)</t>
  </si>
  <si>
    <t>Fault Log</t>
  </si>
  <si>
    <t>Energy Rate ($/kWh)</t>
  </si>
  <si>
    <t>System Health Check (upfront)</t>
  </si>
  <si>
    <t>PPA Rate ($/kWh)</t>
  </si>
  <si>
    <t>For %annual savings cost</t>
  </si>
  <si>
    <t>Annual Health Check (70% of FULL Check)</t>
  </si>
  <si>
    <t>kWh/kWp</t>
  </si>
  <si>
    <t>1% days off</t>
  </si>
  <si>
    <t>Annual System Electrical Check</t>
  </si>
  <si>
    <t>SME? Corporate?</t>
  </si>
  <si>
    <t>Corporate</t>
  </si>
  <si>
    <t>EXTRAS</t>
  </si>
  <si>
    <t>4% of generation, + x% above 90%</t>
  </si>
  <si>
    <t>Call out fees included p.a.</t>
  </si>
  <si>
    <t>Solar Specification Inputs</t>
  </si>
  <si>
    <t>Based on call out + No. panels</t>
  </si>
  <si>
    <t>Parts &amp; Labour included p.a.</t>
  </si>
  <si>
    <t>Ground Mount (GM) Or Roof Mounted (RM)</t>
  </si>
  <si>
    <t>We'll complete LGC application if it h as not been done already</t>
  </si>
  <si>
    <t>90% Uptime Guaranteed</t>
  </si>
  <si>
    <t>MSBs/DBs</t>
  </si>
  <si>
    <t>Generation Guarantee</t>
  </si>
  <si>
    <t>PVDBs</t>
  </si>
  <si>
    <t>System Clean</t>
  </si>
  <si>
    <t>LGC Metering Application</t>
  </si>
  <si>
    <t>Panel size (W) [if not sure, put to 250]</t>
  </si>
  <si>
    <t>Watts</t>
  </si>
  <si>
    <t>LGC Metering Management</t>
  </si>
  <si>
    <t>Panels per string</t>
  </si>
  <si>
    <t>ROOF ACCESS?</t>
  </si>
  <si>
    <t>Inflation factor</t>
  </si>
  <si>
    <t>CASH FLOW</t>
  </si>
  <si>
    <t>YEAR</t>
  </si>
  <si>
    <t>FSP</t>
  </si>
  <si>
    <t>Frequency of Services (per year)</t>
  </si>
  <si>
    <t>Default 1 = once per year</t>
  </si>
  <si>
    <t>Startup (Initial)</t>
  </si>
  <si>
    <t>How many cleans per year</t>
  </si>
  <si>
    <t>READ NOTE</t>
  </si>
  <si>
    <t>YEAR 1 (annual)</t>
  </si>
  <si>
    <t>Service Length Options</t>
  </si>
  <si>
    <t>MARGIN (Standard/ Custom)</t>
  </si>
  <si>
    <t>Generation Guarantee (if applicable)</t>
  </si>
  <si>
    <t>Upfront</t>
  </si>
  <si>
    <t>Annual Fee</t>
  </si>
  <si>
    <t>Calculations</t>
  </si>
  <si>
    <t>p.a. Cost_N Year</t>
  </si>
  <si>
    <t>Annual Savings</t>
  </si>
  <si>
    <t>% of Annual Savings</t>
  </si>
  <si>
    <t>Cleaning Costs p.a. [PER CLEAN]</t>
  </si>
  <si>
    <t>Per Service Cost (approx.)</t>
  </si>
  <si>
    <t>Call out + No. PVDBs + No. inverters + No. Strings + Size</t>
  </si>
  <si>
    <t>Per Service Cost (WITH string Size)</t>
  </si>
  <si>
    <t>Per Service Cost (Ground Mount)</t>
  </si>
  <si>
    <t>Discount on Annual service</t>
  </si>
  <si>
    <t>Monthly increase %</t>
  </si>
  <si>
    <t>Approx No. of Strings (5kW strings)</t>
  </si>
  <si>
    <r>
      <rPr>
        <b/>
        <u/>
        <sz val="14"/>
        <color theme="1"/>
        <rFont val="Calibri"/>
        <family val="2"/>
        <scheme val="minor"/>
      </rPr>
      <t>UPFRONT CAPEX</t>
    </r>
    <r>
      <rPr>
        <b/>
        <sz val="14"/>
        <color theme="1"/>
        <rFont val="Calibri"/>
        <family val="2"/>
        <scheme val="minor"/>
      </rPr>
      <t xml:space="preserve"> (5 YEAR) </t>
    </r>
  </si>
  <si>
    <t>TOTAL ($)</t>
  </si>
  <si>
    <t>Approx. string size (W)</t>
  </si>
  <si>
    <t>No. Strings</t>
  </si>
  <si>
    <t>SCS PRICE (1 yr)  [EX. GST]</t>
  </si>
  <si>
    <t>1 Year_ Cost/Yr</t>
  </si>
  <si>
    <t>No. of Panels</t>
  </si>
  <si>
    <t>SCS PRICE (3 yr)  [EX. GST]</t>
  </si>
  <si>
    <t>3 Year_ Cost/Yr</t>
  </si>
  <si>
    <t>Service Team Inputs</t>
  </si>
  <si>
    <t>Discount</t>
  </si>
  <si>
    <t>Call out fee</t>
  </si>
  <si>
    <t>Includes first hour?</t>
  </si>
  <si>
    <t>SCS PRICE (5 yr)  [EX. GST]</t>
  </si>
  <si>
    <t>5 Year_ Cost/Yr</t>
  </si>
  <si>
    <t>Add. Call outs per year</t>
  </si>
  <si>
    <t>Parts and Labour included.</t>
  </si>
  <si>
    <t>SCS PRICE (10 yr)  [EX. GST]</t>
  </si>
  <si>
    <t>10 Year_Cost/Yr</t>
  </si>
  <si>
    <t>Electrician Rate (Tradesman + Apprentice)</t>
  </si>
  <si>
    <t>per hour</t>
  </si>
  <si>
    <t>Labour Rate (SCS)</t>
  </si>
  <si>
    <t>Ground Mount Discount (% of normal)</t>
  </si>
  <si>
    <t>FOR PRICING!!</t>
  </si>
  <si>
    <t>1 Year</t>
  </si>
  <si>
    <t>3 Year</t>
  </si>
  <si>
    <t>5 Year</t>
  </si>
  <si>
    <t>N Year</t>
  </si>
  <si>
    <t>25 Year</t>
  </si>
  <si>
    <t>Generation Guarantee % (expected probability that we will pay)</t>
  </si>
  <si>
    <t>EWP Hire</t>
  </si>
  <si>
    <t>inflation</t>
  </si>
  <si>
    <t>Monitoring Time</t>
  </si>
  <si>
    <t>hours - 2.5*log (size)</t>
  </si>
  <si>
    <t>OUTPUTS</t>
  </si>
  <si>
    <t>ALL PRICES</t>
  </si>
  <si>
    <t>Monthly Reports</t>
  </si>
  <si>
    <t>Rect. MGMT Time</t>
  </si>
  <si>
    <t>hours - 5*log (size)</t>
  </si>
  <si>
    <t>Per Annum</t>
  </si>
  <si>
    <t>Per Month</t>
  </si>
  <si>
    <t>ROUNDING (0=dollar, -1 = tens, -2 =hundred)</t>
  </si>
  <si>
    <t>30% MARGIN</t>
  </si>
  <si>
    <t>One Clean</t>
  </si>
  <si>
    <t>Two Cleans</t>
  </si>
  <si>
    <t>0% MARGIN</t>
  </si>
  <si>
    <t>Two Clean</t>
  </si>
  <si>
    <t>10 Year</t>
  </si>
  <si>
    <t>Size</t>
  </si>
  <si>
    <t>Address</t>
  </si>
  <si>
    <t>Weeks</t>
  </si>
  <si>
    <t>NSW Metro</t>
  </si>
  <si>
    <t>NSW Rural + Coast</t>
  </si>
  <si>
    <t>QLD Metro</t>
  </si>
  <si>
    <t>QLD Rural + Coast</t>
  </si>
  <si>
    <t>VIC Metro</t>
  </si>
  <si>
    <t>VIC Rural + Coast</t>
  </si>
  <si>
    <t>NT - Alice</t>
  </si>
  <si>
    <t>NT - Darwin</t>
  </si>
  <si>
    <t>WA - Metro</t>
  </si>
  <si>
    <t>WA Rural + Coast</t>
  </si>
  <si>
    <t>Phrase</t>
  </si>
  <si>
    <t xml:space="preserve">Explanation </t>
  </si>
  <si>
    <t>Council Development Application. Needed for all ground mount systems and/or if installation is in heritage zoning</t>
  </si>
  <si>
    <t>Council EDC</t>
  </si>
  <si>
    <t xml:space="preserve">Exempt Development Certificate. Certifies that the development is exempt so does not require a CDC. Only needed in unusual situations - leave out unless requested by the client. </t>
  </si>
  <si>
    <t>RPEQ</t>
  </si>
  <si>
    <t>Registered Professional Engineer of Queensland. Checks system engineering. Required for all Queensland sites.</t>
  </si>
  <si>
    <t>Injection Testing</t>
  </si>
  <si>
    <t>Tests the system to check relay (GPU) response post install. Only required for certain networks (the tool should be set up correctly for each network)</t>
  </si>
  <si>
    <t>Underground scanning</t>
  </si>
  <si>
    <t>Checking for underground pipes/cables etc. Needed for all ground mount systems and/or if using underground cabling.</t>
  </si>
  <si>
    <t>Clenergy (racking company) certifies that their racking is suitable for a specific site if site conditions are outside of standard. Required for unusual roof profiles.</t>
  </si>
  <si>
    <t>Inverter Station Standard</t>
  </si>
  <si>
    <t>Standard inverter station with no extra flashing. Used as a standard for inverter stations that are in a locked switchboard room or similar where access is already restricted</t>
  </si>
  <si>
    <t>Inverter Station Restricted Access</t>
  </si>
  <si>
    <t>Inverter station with extra flashing to prevent access to switches at bottom of the inverter. Needed for sites where inverters are on outside of building or somewhere people can readily access. Also required for all schools</t>
  </si>
  <si>
    <t>Racking Ballasted</t>
  </si>
  <si>
    <t>Ballasted mounting system. Use as a standard for concrete roofs unless roof is not able to support the weight structurally. If using ballasted system also include additional slab scanning (as projects for a price)</t>
  </si>
  <si>
    <t>Racking - Concrete Roof Mounted</t>
  </si>
  <si>
    <t>Mounting for concrete roofs where racking is screwed into concrete. Use for concrete roods that cannot carry the weight of a ballast.</t>
  </si>
  <si>
    <t>Racking - Kliplock addition</t>
  </si>
  <si>
    <t>Kliplock racking. Use for kliplock roofs, with 'base tin installation'</t>
  </si>
  <si>
    <t>Racking - Tilt legs addition</t>
  </si>
  <si>
    <t>Tilt frame racking</t>
  </si>
  <si>
    <t>Racking - Wind Zone C/D</t>
  </si>
  <si>
    <t>Required if installation is in Wind Regions C or D (Generally far North Queensland and coastal, or WA coastal but check online). Includes the cost of extra racking feet in installation.</t>
  </si>
  <si>
    <t xml:space="preserve">Harmonic Filtering </t>
  </si>
  <si>
    <t> Designed to make the current work more efficiently by equalising rapid changes in generation from the solar system.  AC electricity fluctuates and offsets but it's best for the up and down wave to be even in order for the system to work efficently and with longevity.</t>
  </si>
  <si>
    <t>DC String Cabling:</t>
  </si>
  <si>
    <t>Cable that connects panels for strings</t>
  </si>
  <si>
    <t>DC trunk Cabling</t>
  </si>
  <si>
    <t>Cable that goes from DC combiners to Inverters</t>
  </si>
  <si>
    <t>AC Combiner to Mains Cabling</t>
  </si>
  <si>
    <t>Heavy cables connecting AC combiner to Main Distribution board</t>
  </si>
  <si>
    <t>Cable sizing</t>
  </si>
  <si>
    <t>See 'AC Calculator' for indicative sizing</t>
  </si>
  <si>
    <t>Cable tray</t>
  </si>
  <si>
    <t>A space built to protect the cable, either on the roof or to the inverters. Metal or plastic casing for the cables. See 'AC Calculator for indicative sizing</t>
  </si>
  <si>
    <t>Converts the output of multiple DC strings into one string, so that the energy can be transported to the Inverter. Generally required if DC/AC&gt;1.2. Use a painted combiner as standard and stainless in corrosive environments (coastal)</t>
  </si>
  <si>
    <t>Rooftop isolar, generally one per string, allows a string of panels to be manually switched off. Always needed under 240kW (because of standards), not required over 240kW except in VIC</t>
  </si>
  <si>
    <t>Electrical work in Victoria requires an inspection to sign off the work.</t>
  </si>
  <si>
    <t>Existing MSB Connection</t>
  </si>
  <si>
    <t>Refers to the MSB connection. May require upgrade is standard, use other options only if site inspection has been done (speak to Engineer).</t>
  </si>
  <si>
    <t xml:space="preserve">A main switch on the MSB or DB that can be used to manually switch off the solar from the PVDB, also automatically switches off it current goes above a certain amount. 'Requires new' is standard, see 'AC Calculator' for indicative sizing. Use other options if site inspection has been completed or spoken to Engineer </t>
  </si>
  <si>
    <t>GPU (relays)</t>
  </si>
  <si>
    <t>Usually combined in PVDB (basically if the grid is doing something wrong it disconnects the solar). Not needed for systems under 30kW (as in tool). Assume full export except for remote areas and Queensland - check with Engineer</t>
  </si>
  <si>
    <t>Slave GPU</t>
  </si>
  <si>
    <t>A GPU infront of the MSB that can send a signal to the main GPU that is (usually) with the PVDB. Required if the distance between MSB and PVDB is large and you have a generator or the installation is in a network that requires one (Ask Fabio)</t>
  </si>
  <si>
    <t>Internet router. Required if inverter monitoring is used, except for Huawei inveters.</t>
  </si>
  <si>
    <t>Mild Steel</t>
  </si>
  <si>
    <t>Stainless Steel</t>
  </si>
  <si>
    <t>kW or kVA</t>
  </si>
  <si>
    <t>Amount of electricity usage at a single point (instantaneous value)</t>
  </si>
  <si>
    <t xml:space="preserve">Amount of electricity used over a period of time </t>
  </si>
  <si>
    <t>DC</t>
  </si>
  <si>
    <t>Direct Current Power. A constant flow of energy that can come from, for example, batteries and generators such as solar panels.</t>
  </si>
  <si>
    <t>AC</t>
  </si>
  <si>
    <t>Alternating Current. Electricity that flucutates between positive and negative currents. Likely to come from the grid.</t>
  </si>
  <si>
    <t>Converts DC power from the panels to AC power to be used on site</t>
  </si>
  <si>
    <t>Strings</t>
  </si>
  <si>
    <t xml:space="preserve">The electrical connection of panels </t>
  </si>
  <si>
    <t xml:space="preserve">Connected to a pair of panels to boost the voltage of each so they can work independently. Prevents string losses. </t>
  </si>
  <si>
    <t>MPPT (Maximum Power Point tracker)</t>
  </si>
  <si>
    <t>Similar to an optimiser, but applied to a set of panels (more then two). Finds highest power output according to the voltage and current produced by your panels.</t>
  </si>
  <si>
    <t>AC Combiner (board)</t>
  </si>
  <si>
    <t>Converts multiple AC output into one cable</t>
  </si>
  <si>
    <t>PVDB/ GPU Secondary Protection</t>
  </si>
  <si>
    <t> A unit required by Australian industry standards for every large system. This unit will cease the transfer of energy if the system is performing incorrectly, 
for safety reasons.</t>
  </si>
  <si>
    <t>Consumables:</t>
  </si>
  <si>
    <t>Small electrical components purchased for the installer. A material cost relating to a series of small parts. These include heat shrink, lugs, unistruct,
 butane for butane guns, electrical tape, galvanising spary.</t>
  </si>
  <si>
    <t>Zero Export/ Export limiting</t>
  </si>
  <si>
    <t xml:space="preserve"> Any load generation which is not used by the site is usually exported to the grid. If this is not allowed by the grid the MPPT will find a sub optimal power 
point to limit generation. </t>
  </si>
  <si>
    <t>System Monitoring:</t>
  </si>
  <si>
    <t> Methods of recording generation of the solar system. Such as solar analytics, SMA inverter level monitoring.</t>
  </si>
  <si>
    <t> Independent supervisors to ensure installation is adhering to safety requirements.</t>
  </si>
  <si>
    <t>Third party QA</t>
  </si>
  <si>
    <t> Quality assurance provided by an external source, can be required in the quote</t>
  </si>
  <si>
    <t>Term</t>
  </si>
  <si>
    <t>Definition</t>
  </si>
  <si>
    <t>Extremely helpful clients who provide zero problems and assist where possible</t>
  </si>
  <si>
    <t>Typical, co-operative client who doesn't cause any problems</t>
  </si>
  <si>
    <t>The client has particular requirements which impact how we deliver projects. Most clients will fall into this category - think Bunnings or Officeworks</t>
  </si>
  <si>
    <t>No time pressure applied</t>
  </si>
  <si>
    <t>Some time pressure is applied by client or external forces (such as STC submission deadlines). 2-3 months for a 100kW project or 3-4 months for a 300kW project would be considered 'rushed'</t>
  </si>
  <si>
    <t>Significant time pressure is applied by client or external forces - "In before Christmas"</t>
  </si>
  <si>
    <t>Standard, simple new build projects such as warehouses</t>
  </si>
  <si>
    <t>Complex construction projects such as airports where SCS is continually consulted throughout the design process</t>
  </si>
  <si>
    <t>100km from City Centre</t>
  </si>
  <si>
    <t>200km from City Centre</t>
  </si>
  <si>
    <t>300km from City Centre</t>
  </si>
  <si>
    <t>400km from City Centre</t>
  </si>
  <si>
    <t>500km from City Centre</t>
  </si>
  <si>
    <t>600km from City Centre</t>
  </si>
  <si>
    <t>700km from City Centre</t>
  </si>
  <si>
    <t>800km from City Centre</t>
  </si>
  <si>
    <t>Transformer to be installed as a part of the solar project in SCS's scope</t>
  </si>
  <si>
    <t>The client is connected to the grid via transformers &amp; infrastructure that is owned by them (not the DNSP)</t>
  </si>
  <si>
    <t>For &gt;100kW projects, this refers to systems which are sold with SCS claiming both STCs and LGCs</t>
  </si>
  <si>
    <t>No safety measures are imposed beyond that which SCS would typically implement</t>
  </si>
  <si>
    <t>Client will review safety documentation and may implement additional controls. Most large, publically listed companies (Bunnings, Frasers) will fit this category</t>
  </si>
  <si>
    <t>Client will review safety documentation extensively and require custom documents to be drafted. Safety controls implemented are far in excess of the inductry standard. Think MIRVAC or CUB</t>
  </si>
  <si>
    <t>SCS NEW &gt;2020</t>
  </si>
  <si>
    <t>SCS OLD</t>
  </si>
  <si>
    <t>NON SCS</t>
  </si>
  <si>
    <t>HEALTH CHECK</t>
  </si>
  <si>
    <t>ANNUAL CHECK COST BREAKDOWN</t>
  </si>
  <si>
    <t>Inspecting array</t>
  </si>
  <si>
    <t>YES</t>
  </si>
  <si>
    <t>4G Consumption Monitoring Installation</t>
  </si>
  <si>
    <t>Included in SCS Installation</t>
  </si>
  <si>
    <t>Checking for loose end/mid clamps</t>
  </si>
  <si>
    <t>4G Production Monitoring installation</t>
  </si>
  <si>
    <t>cable mgmt</t>
  </si>
  <si>
    <t>NO?</t>
  </si>
  <si>
    <t>Earth string testing</t>
  </si>
  <si>
    <t>NO</t>
  </si>
  <si>
    <t>Inspect isolators</t>
  </si>
  <si>
    <t>Not Required if already installed</t>
  </si>
  <si>
    <t>Inspecting Switchboards</t>
  </si>
  <si>
    <t>Tightening of terminations</t>
  </si>
  <si>
    <t>Thermal Images</t>
  </si>
  <si>
    <t>Inverter Testing</t>
  </si>
  <si>
    <t>Annual Health Check</t>
  </si>
  <si>
    <t>Cleanliness</t>
  </si>
  <si>
    <t>Operation (checking analysis)</t>
  </si>
  <si>
    <t>Strings etc</t>
  </si>
  <si>
    <t>Comms to inverters</t>
  </si>
  <si>
    <t>Comms of 3/4G devices</t>
  </si>
  <si>
    <t>Y?</t>
  </si>
  <si>
    <t>If required</t>
  </si>
  <si>
    <t>Health Check</t>
  </si>
  <si>
    <t>INSPECTION</t>
  </si>
  <si>
    <t>Checked by</t>
  </si>
  <si>
    <t>Array (panels)</t>
  </si>
  <si>
    <t>Mechanical</t>
  </si>
  <si>
    <t>Mid clamps</t>
  </si>
  <si>
    <t>End clamps</t>
  </si>
  <si>
    <t>LABELLING</t>
  </si>
  <si>
    <t>Green PV sticker on switchboards</t>
  </si>
  <si>
    <t>DC labelling</t>
  </si>
  <si>
    <t>SWITCHBOARD</t>
  </si>
  <si>
    <t>Thermal Image</t>
  </si>
  <si>
    <t>AC voltages at the main switch</t>
  </si>
  <si>
    <t>Photo</t>
  </si>
  <si>
    <t>Tightening of all connections</t>
  </si>
  <si>
    <t>ELECTRICAL TESTING</t>
  </si>
  <si>
    <t>Earthing of strings at inverter</t>
  </si>
  <si>
    <t>AC Voltages at the inverters</t>
  </si>
  <si>
    <t>Earthing of strings at DC isolators</t>
  </si>
  <si>
    <t>Column2</t>
  </si>
  <si>
    <t>Column3</t>
  </si>
  <si>
    <t>Column4</t>
  </si>
  <si>
    <t>Staff</t>
  </si>
  <si>
    <t>Initials</t>
  </si>
  <si>
    <t>email</t>
  </si>
  <si>
    <t>Phone</t>
  </si>
  <si>
    <t>NEW</t>
  </si>
  <si>
    <t>NEW@smartcommercialsolar.com.au</t>
  </si>
  <si>
    <t>0000 000 000</t>
  </si>
  <si>
    <t>Kealy Day</t>
  </si>
  <si>
    <t>Anastasi Kotoros</t>
  </si>
  <si>
    <t>AK</t>
  </si>
  <si>
    <t>anastasi@smartcommercialenergy.com.au</t>
  </si>
  <si>
    <t>0402 562 984</t>
  </si>
  <si>
    <t>Peter Whitehouse</t>
  </si>
  <si>
    <t>JV</t>
  </si>
  <si>
    <t>jon@smartcommercialenergy.com.au</t>
  </si>
  <si>
    <t>Paddy Anandbabu</t>
  </si>
  <si>
    <t>Huon Hoogesteger</t>
  </si>
  <si>
    <t>HH</t>
  </si>
  <si>
    <t>huon@smartcommercialenergy.com.au</t>
  </si>
  <si>
    <t>0406 959 259</t>
  </si>
  <si>
    <t>James Duckworth</t>
  </si>
  <si>
    <t>JD</t>
  </si>
  <si>
    <t>james@smartcommercialenergy.com.au</t>
  </si>
  <si>
    <t>0410 313 246</t>
  </si>
  <si>
    <t>Nick Blacklock</t>
  </si>
  <si>
    <t>nickb@smartcommercialenergy.com.au</t>
  </si>
  <si>
    <t>PW</t>
  </si>
  <si>
    <t>peter@smartcommercialenergy.com.au</t>
  </si>
  <si>
    <t>0421 937 745</t>
  </si>
  <si>
    <t>KD</t>
  </si>
  <si>
    <t>kealy@smartcommercialenergy.com.au</t>
  </si>
  <si>
    <t>0435 283 139</t>
  </si>
  <si>
    <t>Zane Chattree</t>
  </si>
  <si>
    <t>ZC</t>
  </si>
  <si>
    <t>zane@smartcommercialenergy.com.au</t>
  </si>
  <si>
    <t>0410 362 305</t>
  </si>
  <si>
    <t>Danishi Katgara</t>
  </si>
  <si>
    <t>DK</t>
  </si>
  <si>
    <t>dani@smartcommercialenergy.com.au</t>
  </si>
  <si>
    <t>0422 982 033</t>
  </si>
  <si>
    <t>0450 302 410</t>
  </si>
  <si>
    <t>Date</t>
  </si>
  <si>
    <t>Change</t>
  </si>
  <si>
    <t>By</t>
  </si>
  <si>
    <t>Added Skips, revised pricing of racking, cable, panels,</t>
  </si>
  <si>
    <t>Revised a lot of pricing. Updated cable and breaker algos.</t>
  </si>
  <si>
    <t>Added different trenching types, changed cable and panel prices, added flagging for ACT and ground mount DAs, had scissor lift access made automatically free if scissor included in lifting, made battery "To Be Reviewed In Future"</t>
  </si>
  <si>
    <t>Increased ground mount cost to ~17c/W on 450W panels</t>
  </si>
  <si>
    <t>Broke down structural categories, added cost for bitumen trenching, edited panel prices, reduced GPU pricing, updated cable prices</t>
  </si>
  <si>
    <t>Update panel prices</t>
  </si>
  <si>
    <t>Updated QLD AFC costs</t>
  </si>
  <si>
    <t>Added racking type to client agreement</t>
  </si>
  <si>
    <t>Added large scale option to consumables, updated panel prices</t>
  </si>
  <si>
    <t>Updated AFC costs, updated module prices, added some HV inverters, added tracker pricing, added Ari and KD as salespeople, made injection testing zero under 30kW, some other minor adjustments</t>
  </si>
  <si>
    <t>This is where V15.0 starts</t>
  </si>
  <si>
    <t>Updated panel prices, increased racking, added sunlock to dropdown</t>
  </si>
  <si>
    <t>V15.1</t>
  </si>
  <si>
    <t>Increased all panel prices in light of Chinese uncertainty</t>
  </si>
  <si>
    <t>V15.2</t>
  </si>
  <si>
    <t>Decreased panels based on Q1 Guidance, adjusted DC isos and DC cable calcs to new 5033, added overheads, removed most of SMA smaller inverters, added 800A breaker</t>
  </si>
  <si>
    <t>V15.3</t>
  </si>
  <si>
    <t>Updated Powercor Costs, increased tilt cost</t>
  </si>
  <si>
    <t>V15.4</t>
  </si>
  <si>
    <t>Updated Westernpower costs, fixed milestone percentage linking, added quote expiry line</t>
  </si>
  <si>
    <t xml:space="preserve">Updated payment milestones </t>
  </si>
  <si>
    <t>VT</t>
  </si>
  <si>
    <t>Energex costs, breaker and cable prices, STC years based on date (repaired), supplied by others and existing breaker set to make zero cost, fronius options identified by number of MPPT.</t>
  </si>
  <si>
    <t>Cable tray costs, improved 'Internal' sheet error checking/stability</t>
  </si>
  <si>
    <t>JF</t>
  </si>
  <si>
    <t>Added Price Increase Forecase and Price Increase Overview. Allowed $4500 for Powercor CT chamber &gt;200kVA</t>
  </si>
  <si>
    <t>Improved Battery multiplier, Updated backend costs, added PPA Funder multiplier</t>
  </si>
  <si>
    <t>Updated STC deeming period to account for 2023 installs from now onwards</t>
  </si>
  <si>
    <t>AD</t>
  </si>
  <si>
    <t>Added waste options, added off-grid option, changed battery options and costs, added floating racking, added HV/LV pickup on grid app line</t>
  </si>
  <si>
    <t>Added carpark indicative, increased walkway prices, updated inverter prices</t>
  </si>
  <si>
    <t>Multiplied DC cable amount by 1.2 to reduce shortfall (real cause TBD), increased standard racking multiplier in AB8 t0 1.4 from 1.2 for same reason, added assessment fee to Endeavour for over 500kVA</t>
  </si>
  <si>
    <t>Re-linked BOS front end section to cost calc, made * point on the AC cable, added drop down for site inspection done or not done, "quote is subject to site inspection" under pricing on front end, updated RPEQ costs, added Genset adjustment internal</t>
  </si>
  <si>
    <t>Increased Ausgrid costs, increased solar analytics costs.</t>
  </si>
  <si>
    <t>Corrected RPEQ to zero under 30kVA, corrected spelling in battery "Firm Price"</t>
  </si>
  <si>
    <t>Added more additional options, deleted cost calc for inverter warranty length, added solaredge 82.8k, updated optimiser costs, deleted doubled up mulitplier on gpu from quantity cell</t>
  </si>
  <si>
    <t>Removed no export option from Energex and Ergon, Updated trina models and prices, made battery overhead include automatically, changed AC cable front end wording, made accommodation and travel say "SCS accommodation", GPU material on front end, trenching added to front end in additions section</t>
  </si>
  <si>
    <t>Increased walkway allowances, added extra costs for Powercor GPUs</t>
  </si>
  <si>
    <t>Added Procore Budgt sheet, added dnsp postcode lookup, made injection testing disappear below 30kW, changed AFC thresholds to 39 and 39.01, made gpu automatic zero at &lt;39</t>
  </si>
  <si>
    <t>Correct additions cells to include margin on all</t>
  </si>
  <si>
    <t>Corrected DNSP names to link correctly</t>
  </si>
  <si>
    <t>Corrected DNSP names, fixed quote checked by list</t>
  </si>
  <si>
    <t>Corrected names for dropdown list of DNSPs, added 4314 to QLD DNSP postcodes</t>
  </si>
  <si>
    <t>Fixed Endeavour (Energy) thing again, updated structural calc, updated Trina price</t>
  </si>
  <si>
    <t>Found and replaced all "Endeavour Energy" in DNSP Postcodes sheet with "Endeavour"</t>
  </si>
  <si>
    <t>Number of connection points assumed now shown on client agreement, DA formula improved, Qleave allowance added to DA allowance for QLD sites, DC cable updated to allow extra if underground is selected.</t>
  </si>
  <si>
    <t>Updated DC cable to differentiate standard to direct buried</t>
  </si>
  <si>
    <t>Added detail to DC cable and cable tray inclusions, changed last Ausnet Services to Ausnet in Postcode Lookup, added 500 for SCS travel in costs, made STCs over 100kW work,</t>
  </si>
  <si>
    <t>Updated AFC costs for all VIC networks besides Powercor. Updated SAPN AFC cost.</t>
  </si>
  <si>
    <t>Added Cable Lengths page to client agreement</t>
  </si>
  <si>
    <t>Updated VIC &gt;200kW AFC costs for GMM supply &amp; install multiplied per connection point
GPU includes added 5k for extra metering chamber tier per connection point
For Western Power sites GPU choice is limited to export limiting options only</t>
  </si>
  <si>
    <t>Added Contingency Budget, updated cable costs, added 2 rail assumption disclaimer to front end</t>
  </si>
  <si>
    <t>Removed LGC/STC 5k allowance. Instead LGC establishment costs are increased and metering costs updated. Allowance for revenue grade metering for PPA and &gt;600kW systems added. If site is in WA Oztron costs and building permits are accounted for in preliminaries.</t>
  </si>
  <si>
    <t>Added EV Charger sheets</t>
  </si>
  <si>
    <t>Updated VIC Jemena and Ausnet grid connection costs</t>
  </si>
  <si>
    <t>Updated front ends</t>
  </si>
  <si>
    <t>Added EV and HV procore budget lines. Changed carpark racking to flat $1.3/W rather than $675/panel</t>
  </si>
  <si>
    <t>module selection front end includes indication of lead time. WW component pricing and formula updated</t>
  </si>
  <si>
    <t>Updated payment terms</t>
  </si>
  <si>
    <t>Changed "Base Tin" wording to "Trimdek"</t>
  </si>
  <si>
    <t>BESS pricing tool integrated</t>
  </si>
  <si>
    <t xml:space="preserve">BESS front end </t>
  </si>
  <si>
    <t>Battery rebate</t>
  </si>
  <si>
    <t>FS</t>
  </si>
  <si>
    <t>update bess logic, prelim sheet, gpu calcs, extended cabling calcs for higher current, removed dc switchgear, existing solar input, DNSP choice based on NMI</t>
  </si>
  <si>
    <t xml:space="preserve">DNSP dropdown list updated. Auto update on freight zone calc. </t>
  </si>
  <si>
    <t>Rectified overwritten markup - added conditional formatting on it</t>
  </si>
  <si>
    <t>BESS front end update</t>
  </si>
  <si>
    <t>STC monitoring calculation updated to account for STC hybrid inverter systesm</t>
  </si>
  <si>
    <t>Changed the order of grid ap and detailed design PC's, included fire BMS exclusion</t>
  </si>
  <si>
    <t xml:space="preserve">Added Sungrow multi-select inverter functionality and fixed Risen 595 wattage </t>
  </si>
  <si>
    <t>STC/LGC split was accounting for hybrid inverters even when not included - fixed</t>
  </si>
  <si>
    <t>added AIKO and fixed service model linking</t>
  </si>
  <si>
    <t>Alu added &amp; Cabling calc Updated (by PA), Smart stack pricing and margin updated, DA requirements for batteries updated</t>
  </si>
  <si>
    <t>PW/PA</t>
  </si>
  <si>
    <t>Included upfront VEECs, placeholder on proposals for legals. Procore budget updates</t>
  </si>
  <si>
    <t>Updated for post may 1st battery rebate change</t>
  </si>
  <si>
    <t>PW/SL</t>
  </si>
  <si>
    <t>Fixed error in cell I49 solar. Inverter submains not getting multiplied by number of inverters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</si>
</sst>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6" formatCode="&quot;$&quot;#,##0;[Red]\-&quot;$&quot;#,##0"/>
    <numFmt numFmtId="8" formatCode="&quot;$&quot;#,##0.00;[Red]\-&quot;$&quot;#,##0.00"/>
    <numFmt numFmtId="44" formatCode="_-&quot;$&quot;* #,##0.00_-;\-&quot;$&quot;* #,##0.00_-;_-&quot;$&quot;* &quot;-&quot;??_-;_-@_-"/>
    <numFmt numFmtId="43" formatCode="_-* #,##0.00_-;\-* #,##0.00_-;_-* &quot;-&quot;??_-;_-@_-"/>
    <numFmt numFmtId="164" formatCode="_(&quot;$&quot;* #,##0.00_);_(&quot;$&quot;* \(#,##0.00\);_(&quot;$&quot;* &quot;-&quot;??_);_(@_)"/>
    <numFmt numFmtId="165" formatCode="_-&quot;$&quot;* #,##0_-;\-&quot;$&quot;* #,##0_-;_-&quot;$&quot;* &quot;-&quot;??_-;_-@_-"/>
    <numFmt numFmtId="166" formatCode="&quot;$&quot;#,##0"/>
    <numFmt numFmtId="167" formatCode="_(&quot;$&quot;* #,##0.0000_);_(&quot;$&quot;* \(#,##0.0000\);_(&quot;$&quot;* &quot;-&quot;??_);_(@_)"/>
    <numFmt numFmtId="168" formatCode="0\ &quot;Weeks&quot;"/>
    <numFmt numFmtId="169" formatCode="0\ &quot;m&quot;"/>
    <numFmt numFmtId="170" formatCode="0.0"/>
    <numFmt numFmtId="171" formatCode="0\ &quot;hours&quot;"/>
    <numFmt numFmtId="172" formatCode="&quot;$&quot;0.00\ &quot;Per Week&quot;"/>
    <numFmt numFmtId="173" formatCode="&quot;$&quot;0.00\ &quot;Per Hour&quot;"/>
    <numFmt numFmtId="174" formatCode="d\.mm\.yyyy"/>
    <numFmt numFmtId="175" formatCode="0\ &quot;Panel Per String&quot;"/>
    <numFmt numFmtId="176" formatCode="_(&quot;$&quot;* #,##0.000_);_(&quot;$&quot;* \(#,##0.000\);_(&quot;$&quot;* &quot;-&quot;??_);_(@_)"/>
    <numFmt numFmtId="177" formatCode="0\ &quot;Units&quot;"/>
    <numFmt numFmtId="178" formatCode="0\ &quot;mm&quot;"/>
    <numFmt numFmtId="179" formatCode="&quot;$&quot;0.00\ &quot;per STC&quot;"/>
    <numFmt numFmtId="180" formatCode="&quot;$&quot;#,#00.00\ &quot;excl GST&quot;"/>
    <numFmt numFmtId="181" formatCode="&quot;$&quot;#,#00.00\ &quot;GST&quot;"/>
    <numFmt numFmtId="182" formatCode="&quot;$&quot;#,#00.00\ &quot;incl GST&quot;"/>
    <numFmt numFmtId="183" formatCode="_-&quot;$&quot;* #,##0.000_-;\-&quot;$&quot;* #,##0.000_-;_-&quot;$&quot;* &quot;-&quot;??_-;_-@_-"/>
    <numFmt numFmtId="184" formatCode="0.0%"/>
    <numFmt numFmtId="185" formatCode="_-&quot;$&quot;* #,##0.0_-;\-&quot;$&quot;* #,##0.0_-;_-&quot;$&quot;* &quot;-&quot;?_-;_-@_-"/>
    <numFmt numFmtId="186" formatCode="_-&quot;$&quot;* #,##0.00000_-;\-&quot;$&quot;* #,##0.00000_-;_-&quot;$&quot;* &quot;-&quot;??_-;_-@_-"/>
    <numFmt numFmtId="187" formatCode="0.000%"/>
    <numFmt numFmtId="188" formatCode="_-&quot;$&quot;* #,##0.000000_-;\-&quot;$&quot;* #,##0.000000_-;_-&quot;$&quot;* &quot;-&quot;??_-;_-@_-"/>
    <numFmt numFmtId="189" formatCode="_(&quot;$&quot;* #,##0_);_(&quot;$&quot;* \(#,##0\);_(&quot;$&quot;* &quot;-&quot;??_);_(@_)"/>
    <numFmt numFmtId="190" formatCode="0.000"/>
    <numFmt numFmtId="191" formatCode="_-* #,##0_-;\-* #,##0_-;_-* &quot;-&quot;??_-;_-@_-"/>
    <numFmt numFmtId="192" formatCode="0\ &quot;kWh&quot;"/>
    <numFmt numFmtId="193" formatCode="0\ &quot;roofs&quot;"/>
    <numFmt numFmtId="194" formatCode="0.0\ &quot;kW&quot;"/>
    <numFmt numFmtId="195" formatCode="&quot;$&quot;#,##0.00"/>
    <numFmt numFmtId="196" formatCode="&quot;$&quot;#,##0.000;[Red]\-&quot;$&quot;#,##0.000"/>
    <numFmt numFmtId="197" formatCode="0\ &quot;kVA&quot;"/>
    <numFmt numFmtId="198" formatCode="0\ &quot;mm2&quot;"/>
    <numFmt numFmtId="199" formatCode="_(&quot;$&quot;* #,##0.0_);_(&quot;$&quot;* \(#,##0.0\);_(&quot;$&quot;* &quot;-&quot;??_);_(@_)"/>
    <numFmt numFmtId="200" formatCode="0\ &quot;Days&quot;"/>
    <numFmt numFmtId="201" formatCode="0\ &quot;Hours&quot;"/>
    <numFmt numFmtId="202" formatCode="0\ &quot;$/kWh&quot;"/>
    <numFmt numFmtId="203" formatCode="0\ &quot;yrs&quot;"/>
    <numFmt numFmtId="204" formatCode="0\ &quot;A&quot;"/>
    <numFmt numFmtId="205" formatCode="0&quot;A AC Breaker&quot;"/>
    <numFmt numFmtId="206" formatCode="0.0000"/>
    <numFmt numFmtId="207" formatCode="0.00\ &quot;kVA&quot;"/>
    <numFmt numFmtId="208" formatCode="0.00000"/>
    <numFmt numFmtId="209" formatCode="0\ &quot;kWp&quot;"/>
    <numFmt numFmtId="210" formatCode="&quot;$&quot;0.00\ &quot;per VEEC&quot;"/>
  </numFmts>
  <fonts count="178">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Overpass"/>
      <family val="2"/>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b/>
      <sz val="12"/>
      <color theme="0"/>
      <name val="Calibri"/>
      <family val="2"/>
      <scheme val="minor"/>
    </font>
    <font>
      <b/>
      <sz val="9"/>
      <color rgb="FF000000"/>
      <name val="Segoe UI"/>
      <family val="2"/>
    </font>
    <font>
      <sz val="9"/>
      <color rgb="FF000000"/>
      <name val="Segoe UI"/>
      <family val="2"/>
    </font>
    <font>
      <sz val="9"/>
      <color rgb="FF363435"/>
      <name val="Segoe UI"/>
      <family val="2"/>
    </font>
    <font>
      <sz val="9"/>
      <color theme="1"/>
      <name val="Segoe UI"/>
      <family val="2"/>
    </font>
    <font>
      <b/>
      <sz val="9"/>
      <color rgb="FF363435"/>
      <name val="Segoe UI"/>
      <family val="2"/>
    </font>
    <font>
      <b/>
      <sz val="9"/>
      <color theme="1"/>
      <name val="Segoe UI"/>
      <family val="2"/>
    </font>
    <font>
      <b/>
      <sz val="9"/>
      <color theme="0"/>
      <name val="Segoe UI"/>
      <family val="2"/>
    </font>
    <font>
      <u/>
      <sz val="12"/>
      <color theme="10"/>
      <name val="Calibri"/>
      <family val="2"/>
      <scheme val="minor"/>
    </font>
    <font>
      <u/>
      <sz val="12"/>
      <color theme="11"/>
      <name val="Calibri"/>
      <family val="2"/>
      <scheme val="minor"/>
    </font>
    <font>
      <b/>
      <sz val="11"/>
      <color theme="1"/>
      <name val="Calibri"/>
      <family val="2"/>
      <scheme val="minor"/>
    </font>
    <font>
      <b/>
      <sz val="11"/>
      <color theme="0"/>
      <name val="Calibri"/>
      <family val="2"/>
      <scheme val="minor"/>
    </font>
    <font>
      <b/>
      <sz val="11"/>
      <color rgb="FF000000"/>
      <name val="Calibri"/>
      <family val="2"/>
      <scheme val="minor"/>
    </font>
    <font>
      <sz val="11"/>
      <color rgb="FF000000"/>
      <name val="Calibri"/>
      <family val="2"/>
      <scheme val="minor"/>
    </font>
    <font>
      <sz val="11"/>
      <name val="Calibri"/>
      <family val="2"/>
      <scheme val="minor"/>
    </font>
    <font>
      <b/>
      <sz val="10"/>
      <name val="Arial"/>
      <family val="2"/>
    </font>
    <font>
      <b/>
      <sz val="10"/>
      <color rgb="FFFFFFFF"/>
      <name val="Arial"/>
      <family val="2"/>
    </font>
    <font>
      <b/>
      <sz val="10"/>
      <color rgb="FF000000"/>
      <name val="Arial"/>
      <family val="2"/>
    </font>
    <font>
      <sz val="10"/>
      <color rgb="FF000000"/>
      <name val="Arial"/>
      <family val="2"/>
    </font>
    <font>
      <sz val="11"/>
      <name val="Arial"/>
      <family val="2"/>
    </font>
    <font>
      <sz val="10"/>
      <color theme="1"/>
      <name val="Arial"/>
      <family val="2"/>
    </font>
    <font>
      <u/>
      <sz val="9"/>
      <color theme="10"/>
      <name val="Segoe UI"/>
      <family val="2"/>
    </font>
    <font>
      <sz val="12"/>
      <color rgb="FF000000"/>
      <name val="Calibri"/>
      <family val="2"/>
      <scheme val="minor"/>
    </font>
    <font>
      <sz val="12"/>
      <name val="Calibri"/>
      <family val="2"/>
      <scheme val="minor"/>
    </font>
    <font>
      <sz val="11"/>
      <color rgb="FF000000"/>
      <name val="Verdana"/>
      <family val="2"/>
    </font>
    <font>
      <sz val="11"/>
      <color rgb="FF3F3F76"/>
      <name val="Calibri"/>
      <family val="2"/>
      <scheme val="minor"/>
    </font>
    <font>
      <b/>
      <sz val="11"/>
      <color rgb="FFFA7D00"/>
      <name val="Calibri"/>
      <family val="2"/>
      <scheme val="minor"/>
    </font>
    <font>
      <b/>
      <sz val="15"/>
      <color theme="3"/>
      <name val="Calibri"/>
      <family val="2"/>
      <scheme val="minor"/>
    </font>
    <font>
      <b/>
      <sz val="13"/>
      <color theme="3"/>
      <name val="Calibri"/>
      <family val="2"/>
      <scheme val="minor"/>
    </font>
    <font>
      <b/>
      <sz val="12"/>
      <color theme="1"/>
      <name val="Overpass Regular"/>
    </font>
    <font>
      <sz val="10"/>
      <color theme="1"/>
      <name val="Overpass Regular"/>
    </font>
    <font>
      <b/>
      <sz val="10"/>
      <color theme="1" tint="0.34998626667073579"/>
      <name val="Overpass Regular"/>
    </font>
    <font>
      <sz val="10"/>
      <color theme="1" tint="0.499984740745262"/>
      <name val="Overpass Regular"/>
    </font>
    <font>
      <sz val="10"/>
      <color theme="1" tint="0.34998626667073579"/>
      <name val="Overpass Regular"/>
    </font>
    <font>
      <sz val="9"/>
      <color theme="1"/>
      <name val="Overpass Regular"/>
    </font>
    <font>
      <b/>
      <sz val="9"/>
      <color theme="1" tint="0.34998626667073579"/>
      <name val="Overpass Regular"/>
    </font>
    <font>
      <sz val="10"/>
      <color theme="1" tint="4.9989318521683403E-2"/>
      <name val="Overpass Regular"/>
    </font>
    <font>
      <b/>
      <sz val="14"/>
      <color theme="1" tint="4.9989318521683403E-2"/>
      <name val="Overpass Regular"/>
    </font>
    <font>
      <b/>
      <sz val="14"/>
      <color theme="1"/>
      <name val="Overpass Regular"/>
    </font>
    <font>
      <sz val="14"/>
      <color theme="1"/>
      <name val="Overpass Regular"/>
    </font>
    <font>
      <sz val="14"/>
      <color theme="1" tint="4.9989318521683403E-2"/>
      <name val="Overpass Regular"/>
    </font>
    <font>
      <sz val="12"/>
      <color theme="1"/>
      <name val="Barlow Regular"/>
    </font>
    <font>
      <sz val="16"/>
      <color theme="1"/>
      <name val="Barlow Regular"/>
    </font>
    <font>
      <sz val="28"/>
      <color theme="1"/>
      <name val="Barlow Regular"/>
    </font>
    <font>
      <sz val="14"/>
      <color theme="0"/>
      <name val="Barlow Regular"/>
    </font>
    <font>
      <sz val="12"/>
      <color theme="1" tint="0.34998626667073579"/>
      <name val="Barlow Regular"/>
    </font>
    <font>
      <sz val="18"/>
      <color theme="1"/>
      <name val="Calibri"/>
      <family val="2"/>
      <scheme val="minor"/>
    </font>
    <font>
      <sz val="9"/>
      <color rgb="FFFF0000"/>
      <name val="Overpass Regular"/>
    </font>
    <font>
      <sz val="9"/>
      <color theme="1" tint="0.499984740745262"/>
      <name val="Overpass Regular"/>
    </font>
    <font>
      <sz val="9"/>
      <color theme="1" tint="4.9989318521683403E-2"/>
      <name val="Overpass Regular"/>
    </font>
    <font>
      <b/>
      <sz val="9"/>
      <color theme="1" tint="4.9989318521683403E-2"/>
      <name val="Overpass Regular"/>
    </font>
    <font>
      <sz val="10"/>
      <color rgb="FFFF0000"/>
      <name val="Overpass Regular"/>
    </font>
    <font>
      <sz val="9"/>
      <color theme="4"/>
      <name val="Overpass Regular"/>
    </font>
    <font>
      <sz val="14"/>
      <color theme="4"/>
      <name val="Overpass Regular"/>
    </font>
    <font>
      <b/>
      <sz val="10"/>
      <color theme="4"/>
      <name val="Overpass Regular"/>
    </font>
    <font>
      <b/>
      <sz val="10"/>
      <color rgb="FFFF0000"/>
      <name val="Overpass Regular"/>
    </font>
    <font>
      <b/>
      <sz val="12"/>
      <color theme="1"/>
      <name val="Calibri"/>
      <family val="2"/>
      <scheme val="minor"/>
    </font>
    <font>
      <sz val="10"/>
      <color rgb="FF00B050"/>
      <name val="Overpass Regular"/>
    </font>
    <font>
      <sz val="8"/>
      <name val="Calibri"/>
      <family val="2"/>
      <scheme val="minor"/>
    </font>
    <font>
      <sz val="11"/>
      <color theme="1" tint="0.34998626667073579"/>
      <name val="Calibri"/>
      <family val="2"/>
      <scheme val="minor"/>
    </font>
    <font>
      <b/>
      <sz val="18"/>
      <color theme="1"/>
      <name val="Calibri"/>
      <family val="2"/>
      <scheme val="minor"/>
    </font>
    <font>
      <sz val="10"/>
      <color theme="1"/>
      <name val="Calibri Light"/>
      <family val="2"/>
      <scheme val="major"/>
    </font>
    <font>
      <i/>
      <sz val="16"/>
      <color theme="1"/>
      <name val="Calibri"/>
      <family val="2"/>
      <scheme val="minor"/>
    </font>
    <font>
      <sz val="12"/>
      <color rgb="FF3F3F76"/>
      <name val="Calibri"/>
      <family val="2"/>
      <scheme val="minor"/>
    </font>
    <font>
      <i/>
      <sz val="14"/>
      <color theme="1"/>
      <name val="Calibri"/>
      <family val="2"/>
      <scheme val="minor"/>
    </font>
    <font>
      <b/>
      <sz val="14"/>
      <color rgb="FF3F3F76"/>
      <name val="Calibri"/>
      <family val="2"/>
      <scheme val="minor"/>
    </font>
    <font>
      <i/>
      <sz val="12"/>
      <color theme="1"/>
      <name val="Calibri"/>
      <family val="2"/>
      <scheme val="minor"/>
    </font>
    <font>
      <i/>
      <sz val="11"/>
      <color theme="1"/>
      <name val="Calibri"/>
      <family val="2"/>
      <scheme val="minor"/>
    </font>
    <font>
      <b/>
      <i/>
      <sz val="11"/>
      <color theme="1"/>
      <name val="Calibri"/>
      <family val="2"/>
      <scheme val="minor"/>
    </font>
    <font>
      <b/>
      <sz val="14"/>
      <color theme="1"/>
      <name val="Calibri"/>
      <family val="2"/>
      <scheme val="minor"/>
    </font>
    <font>
      <b/>
      <i/>
      <sz val="14"/>
      <color rgb="FF9C0006"/>
      <name val="Calibri"/>
      <family val="2"/>
      <scheme val="minor"/>
    </font>
    <font>
      <b/>
      <sz val="16"/>
      <color theme="1"/>
      <name val="Calibri"/>
      <family val="2"/>
      <scheme val="minor"/>
    </font>
    <font>
      <b/>
      <sz val="18"/>
      <color rgb="FFFA7D00"/>
      <name val="Calibri"/>
      <family val="2"/>
      <scheme val="minor"/>
    </font>
    <font>
      <b/>
      <sz val="9"/>
      <color indexed="81"/>
      <name val="Tahoma"/>
      <family val="2"/>
    </font>
    <font>
      <sz val="9"/>
      <color indexed="81"/>
      <name val="Tahoma"/>
      <family val="2"/>
    </font>
    <font>
      <sz val="11"/>
      <color rgb="FF000000"/>
      <name val="Calibri"/>
      <family val="2"/>
    </font>
    <font>
      <sz val="14"/>
      <color rgb="FF3F3F76"/>
      <name val="Calibri"/>
      <family val="2"/>
      <scheme val="minor"/>
    </font>
    <font>
      <sz val="16"/>
      <color theme="1"/>
      <name val="Calibri"/>
      <family val="2"/>
      <scheme val="minor"/>
    </font>
    <font>
      <sz val="11"/>
      <color rgb="FF9C0006"/>
      <name val="Calibri"/>
      <family val="2"/>
      <scheme val="minor"/>
    </font>
    <font>
      <sz val="9"/>
      <color theme="1"/>
      <name val="Calibri"/>
      <family val="2"/>
      <scheme val="minor"/>
    </font>
    <font>
      <sz val="14"/>
      <color theme="1"/>
      <name val="Calibri"/>
      <family val="2"/>
      <scheme val="minor"/>
    </font>
    <font>
      <b/>
      <u/>
      <sz val="14"/>
      <color theme="1"/>
      <name val="Calibri"/>
      <family val="2"/>
      <scheme val="minor"/>
    </font>
    <font>
      <b/>
      <i/>
      <sz val="16"/>
      <color rgb="FFFA7D00"/>
      <name val="Calibri"/>
      <family val="2"/>
      <scheme val="minor"/>
    </font>
    <font>
      <sz val="18"/>
      <color theme="3"/>
      <name val="Calibri Light"/>
      <family val="2"/>
      <scheme val="major"/>
    </font>
    <font>
      <b/>
      <sz val="11"/>
      <color theme="3"/>
      <name val="Calibri"/>
      <family val="2"/>
      <scheme val="minor"/>
    </font>
    <font>
      <sz val="11"/>
      <color rgb="FF9C5700"/>
      <name val="Calibri"/>
      <family val="2"/>
      <scheme val="minor"/>
    </font>
    <font>
      <b/>
      <sz val="11"/>
      <color rgb="FF3F3F3F"/>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color theme="1"/>
      <name val="Overpass"/>
    </font>
    <font>
      <sz val="11"/>
      <name val="Overpass"/>
    </font>
    <font>
      <sz val="10"/>
      <color rgb="FF000000"/>
      <name val="Overpass"/>
    </font>
    <font>
      <i/>
      <sz val="9"/>
      <color rgb="FF000000"/>
      <name val="Overpass"/>
    </font>
    <font>
      <b/>
      <sz val="11"/>
      <color rgb="FF000000"/>
      <name val="Overpass"/>
    </font>
    <font>
      <sz val="11"/>
      <color rgb="FF000000"/>
      <name val="Overpass"/>
    </font>
    <font>
      <b/>
      <sz val="10"/>
      <color rgb="FF000000"/>
      <name val="Overpass"/>
    </font>
    <font>
      <sz val="10"/>
      <color theme="1"/>
      <name val="Overpass"/>
    </font>
    <font>
      <sz val="18"/>
      <color theme="1"/>
      <name val="Overpass"/>
    </font>
    <font>
      <sz val="11"/>
      <name val="Calibri"/>
      <family val="2"/>
    </font>
    <font>
      <u/>
      <sz val="11"/>
      <color theme="10"/>
      <name val="Calibri"/>
      <family val="2"/>
      <scheme val="minor"/>
    </font>
    <font>
      <sz val="11"/>
      <color rgb="FF9C6500"/>
      <name val="Calibri"/>
      <family val="2"/>
      <scheme val="minor"/>
    </font>
    <font>
      <sz val="10"/>
      <name val="Arial"/>
      <family val="2"/>
    </font>
    <font>
      <sz val="11"/>
      <color rgb="FF006100"/>
      <name val="Calibri"/>
      <family val="2"/>
      <scheme val="minor"/>
    </font>
    <font>
      <b/>
      <sz val="18"/>
      <color theme="3"/>
      <name val="Calibri Light"/>
      <family val="2"/>
      <scheme val="major"/>
    </font>
    <font>
      <u/>
      <sz val="9.9"/>
      <color theme="10"/>
      <name val="Calibri"/>
      <family val="2"/>
    </font>
    <font>
      <sz val="10"/>
      <color theme="1"/>
      <name val="Verdana"/>
      <family val="2"/>
    </font>
    <font>
      <b/>
      <sz val="10"/>
      <color theme="1"/>
      <name val="Overpass"/>
    </font>
    <font>
      <sz val="11"/>
      <color rgb="FF646464"/>
      <name val="Overpass"/>
    </font>
    <font>
      <sz val="10"/>
      <color rgb="FF646464"/>
      <name val="Overpass Regular"/>
    </font>
    <font>
      <b/>
      <sz val="10"/>
      <color theme="1" tint="4.9989318521683403E-2"/>
      <name val="Overpass Regular"/>
    </font>
    <font>
      <sz val="10"/>
      <color rgb="FF646464"/>
      <name val="Overpass"/>
    </font>
    <font>
      <b/>
      <sz val="9"/>
      <color rgb="FF000000"/>
      <name val="Tahoma"/>
      <family val="2"/>
    </font>
    <font>
      <sz val="9"/>
      <color rgb="FF000000"/>
      <name val="Tahoma"/>
      <family val="2"/>
    </font>
    <font>
      <b/>
      <sz val="10"/>
      <color theme="1"/>
      <name val="Overpass Regular"/>
    </font>
    <font>
      <sz val="11"/>
      <color rgb="FF525355"/>
      <name val="Calibri"/>
      <family val="2"/>
      <scheme val="minor"/>
    </font>
    <font>
      <sz val="8"/>
      <color rgb="FF525355"/>
      <name val="Calibri"/>
      <family val="2"/>
      <scheme val="minor"/>
    </font>
    <font>
      <sz val="10"/>
      <color rgb="FF525355"/>
      <name val="Overpass"/>
    </font>
    <font>
      <sz val="11"/>
      <color indexed="8"/>
      <name val="Calibri"/>
      <family val="2"/>
      <scheme val="minor"/>
    </font>
    <font>
      <b/>
      <sz val="11"/>
      <name val="Calibri"/>
      <family val="2"/>
      <scheme val="minor"/>
    </font>
    <font>
      <b/>
      <i/>
      <sz val="9"/>
      <color theme="1"/>
      <name val="Overpass Regular"/>
    </font>
    <font>
      <sz val="9"/>
      <name val="Overpass Regular"/>
    </font>
    <font>
      <sz val="26"/>
      <color rgb="FF463282"/>
      <name val="Barlow"/>
    </font>
    <font>
      <b/>
      <sz val="9"/>
      <color theme="1"/>
      <name val="Overpass Regular"/>
    </font>
    <font>
      <b/>
      <sz val="9"/>
      <color theme="4"/>
      <name val="Overpass Regular"/>
    </font>
    <font>
      <sz val="10"/>
      <color theme="1"/>
      <name val="Calibri"/>
      <family val="2"/>
      <scheme val="minor"/>
    </font>
    <font>
      <sz val="11"/>
      <color rgb="FF000000"/>
      <name val="Aptos Narrow"/>
      <family val="2"/>
    </font>
    <font>
      <sz val="8"/>
      <color rgb="FF202124"/>
      <name val="Arial"/>
      <family val="2"/>
    </font>
    <font>
      <b/>
      <sz val="8"/>
      <color rgb="FF202124"/>
      <name val="Arial"/>
      <family val="2"/>
    </font>
    <font>
      <sz val="14"/>
      <color theme="1"/>
      <name val="Barlow Regular"/>
    </font>
    <font>
      <sz val="10"/>
      <color rgb="FF2A2A2A"/>
      <name val="Overpass Regular"/>
    </font>
    <font>
      <i/>
      <sz val="10"/>
      <color theme="1"/>
      <name val="Calibri"/>
      <family val="2"/>
      <scheme val="minor"/>
    </font>
    <font>
      <b/>
      <i/>
      <sz val="11"/>
      <color rgb="FF7F7F7F"/>
      <name val="Calibri"/>
      <family val="2"/>
      <scheme val="minor"/>
    </font>
    <font>
      <b/>
      <sz val="10"/>
      <color theme="1"/>
      <name val="Calibri"/>
      <family val="2"/>
      <scheme val="minor"/>
    </font>
    <font>
      <sz val="11"/>
      <color theme="0"/>
      <name val="Barlow Regular"/>
    </font>
    <font>
      <sz val="10"/>
      <color theme="0"/>
      <name val="Barlow Regular"/>
    </font>
    <font>
      <b/>
      <sz val="10"/>
      <color theme="0"/>
      <name val="Barlow Regular"/>
    </font>
    <font>
      <sz val="9"/>
      <color theme="1"/>
      <name val="Overpass"/>
    </font>
    <font>
      <b/>
      <sz val="10"/>
      <color rgb="FF006100"/>
      <name val="Overpass"/>
    </font>
    <font>
      <sz val="9"/>
      <color theme="1" tint="0.34998626667073579"/>
      <name val="Overpass Regular"/>
    </font>
    <font>
      <b/>
      <sz val="9"/>
      <color rgb="FF3F3F76"/>
      <name val="Overpass Regular"/>
    </font>
    <font>
      <b/>
      <sz val="10"/>
      <color rgb="FF44546A"/>
      <name val="Overpass Regular"/>
    </font>
    <font>
      <sz val="11"/>
      <color theme="5" tint="-0.499984740745262"/>
      <name val="Calibri"/>
      <family val="2"/>
      <scheme val="minor"/>
    </font>
    <font>
      <b/>
      <sz val="11"/>
      <color theme="1"/>
      <name val="Overpass Regular"/>
    </font>
    <font>
      <sz val="10"/>
      <color rgb="FF000000"/>
      <name val="Segoe UI"/>
      <family val="2"/>
    </font>
    <font>
      <sz val="10"/>
      <color rgb="FF3F3F76"/>
      <name val="Overpass"/>
    </font>
    <font>
      <b/>
      <sz val="10"/>
      <color theme="4"/>
      <name val="Overpass"/>
    </font>
    <font>
      <i/>
      <sz val="8"/>
      <color rgb="FF2A2A2A"/>
      <name val="Overpass Regular"/>
    </font>
    <font>
      <sz val="9"/>
      <color theme="1"/>
      <name val="Segoe"/>
    </font>
    <font>
      <b/>
      <sz val="10"/>
      <color theme="1"/>
      <name val="Arial"/>
      <family val="2"/>
    </font>
    <font>
      <b/>
      <sz val="8"/>
      <color theme="1" tint="4.9989318521683403E-2"/>
      <name val="Overpass Regular"/>
    </font>
    <font>
      <b/>
      <sz val="11"/>
      <color theme="1" tint="0.34998626667073579"/>
      <name val="Overpass Regular"/>
    </font>
    <font>
      <b/>
      <sz val="9"/>
      <color theme="1" tint="0.249977111117893"/>
      <name val="Overpass Regular"/>
    </font>
    <font>
      <b/>
      <sz val="11"/>
      <color theme="0"/>
      <name val="Segoe UI"/>
      <family val="2"/>
    </font>
    <font>
      <b/>
      <sz val="11"/>
      <color rgb="FFEE0000"/>
      <name val="Aptos"/>
      <family val="2"/>
    </font>
    <font>
      <b/>
      <i/>
      <sz val="11"/>
      <color theme="1"/>
      <name val="Aptos"/>
      <family val="2"/>
    </font>
    <font>
      <b/>
      <sz val="9"/>
      <color theme="1" tint="0.499984740745262"/>
      <name val="Overpass Regular"/>
    </font>
    <font>
      <b/>
      <sz val="12"/>
      <color theme="1" tint="4.9989318521683403E-2"/>
      <name val="Overpass Regular"/>
    </font>
    <font>
      <b/>
      <sz val="12"/>
      <color theme="4"/>
      <name val="Overpass Regular"/>
    </font>
    <font>
      <sz val="11"/>
      <color theme="1" tint="4.9989318521683403E-2"/>
      <name val="Overpass Regular"/>
    </font>
  </fonts>
  <fills count="82">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
      <patternFill patternType="solid">
        <fgColor rgb="FFC6EFCE"/>
      </patternFill>
    </fill>
    <fill>
      <patternFill patternType="solid">
        <fgColor rgb="FFFFC000"/>
        <bgColor indexed="64"/>
      </patternFill>
    </fill>
    <fill>
      <patternFill patternType="solid">
        <fgColor rgb="FFFFFFFF"/>
        <bgColor indexed="64"/>
      </patternFill>
    </fill>
    <fill>
      <patternFill patternType="solid">
        <fgColor rgb="FF8B807D"/>
        <bgColor indexed="64"/>
      </patternFill>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bgColor theme="9" tint="0.79998168889431442"/>
      </patternFill>
    </fill>
    <fill>
      <patternFill patternType="solid">
        <fgColor rgb="FF463282"/>
        <bgColor theme="9"/>
      </patternFill>
    </fill>
    <fill>
      <patternFill patternType="solid">
        <fgColor rgb="FFE0DBF0"/>
        <bgColor indexed="64"/>
      </patternFill>
    </fill>
    <fill>
      <patternFill patternType="solid">
        <fgColor rgb="FFE0DBF0"/>
        <bgColor theme="9" tint="0.79998168889431442"/>
      </patternFill>
    </fill>
    <fill>
      <patternFill patternType="solid">
        <fgColor rgb="FFE2EFDA"/>
        <bgColor rgb="FFE2EFDA"/>
      </patternFill>
    </fill>
    <fill>
      <patternFill patternType="solid">
        <fgColor theme="6" tint="0.79998168889431442"/>
        <bgColor indexed="64"/>
      </patternFill>
    </fill>
    <fill>
      <patternFill patternType="solid">
        <fgColor rgb="FFFFFFCC"/>
      </patternFill>
    </fill>
    <fill>
      <patternFill patternType="solid">
        <fgColor rgb="FFFFFF00"/>
        <bgColor indexed="64"/>
      </patternFill>
    </fill>
    <fill>
      <patternFill patternType="solid">
        <fgColor rgb="FFFFC7CE"/>
      </patternFill>
    </fill>
    <fill>
      <patternFill patternType="solid">
        <fgColor rgb="FFFF0000"/>
        <bgColor indexed="64"/>
      </patternFill>
    </fill>
    <fill>
      <patternFill patternType="solid">
        <fgColor theme="0" tint="-0.14999847407452621"/>
        <bgColor theme="0" tint="-0.14999847407452621"/>
      </patternFill>
    </fill>
    <fill>
      <patternFill patternType="solid">
        <fgColor theme="1" tint="4.9989318521683403E-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9D9D9"/>
        <bgColor indexed="64"/>
      </patternFill>
    </fill>
    <fill>
      <patternFill patternType="solid">
        <fgColor rgb="FF92D050"/>
        <bgColor indexed="64"/>
      </patternFill>
    </fill>
    <fill>
      <patternFill patternType="solid">
        <fgColor theme="2"/>
        <bgColor indexed="64"/>
      </patternFill>
    </fill>
    <fill>
      <patternFill patternType="solid">
        <fgColor rgb="FFFFD3C8"/>
        <bgColor indexed="64"/>
      </patternFill>
    </fill>
    <fill>
      <patternFill patternType="solid">
        <fgColor rgb="FFF7F7F8"/>
        <bgColor indexed="64"/>
      </patternFill>
    </fill>
    <fill>
      <patternFill patternType="solid">
        <fgColor rgb="FF00B0F0"/>
        <bgColor indexed="64"/>
      </patternFill>
    </fill>
    <fill>
      <patternFill patternType="solid">
        <fgColor theme="2"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C59EE2"/>
        <bgColor theme="9" tint="0.79998168889431442"/>
      </patternFill>
    </fill>
    <fill>
      <patternFill patternType="solid">
        <fgColor theme="7"/>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1" tint="0.249977111117893"/>
        <bgColor indexed="64"/>
      </patternFill>
    </fill>
    <fill>
      <patternFill patternType="solid">
        <fgColor theme="2" tint="-0.249977111117893"/>
        <bgColor indexed="64"/>
      </patternFill>
    </fill>
    <fill>
      <patternFill patternType="solid">
        <fgColor rgb="FF00B050"/>
        <bgColor indexed="64"/>
      </patternFill>
    </fill>
    <fill>
      <patternFill patternType="solid">
        <fgColor theme="9" tint="0.39997558519241921"/>
        <bgColor indexed="64"/>
      </patternFill>
    </fill>
    <fill>
      <patternFill patternType="solid">
        <fgColor rgb="FF757171"/>
        <bgColor indexed="64"/>
      </patternFill>
    </fill>
    <fill>
      <patternFill patternType="solid">
        <fgColor theme="4" tint="-0.249977111117893"/>
        <bgColor indexed="64"/>
      </patternFill>
    </fill>
    <fill>
      <patternFill patternType="solid">
        <fgColor theme="4" tint="-0.249977111117893"/>
        <bgColor theme="9"/>
      </patternFill>
    </fill>
    <fill>
      <patternFill patternType="solid">
        <fgColor theme="7" tint="0.39997558519241921"/>
        <bgColor indexed="64"/>
      </patternFill>
    </fill>
    <fill>
      <patternFill patternType="solid">
        <fgColor rgb="FFC59EE2"/>
        <bgColor indexed="64"/>
      </patternFill>
    </fill>
    <fill>
      <patternFill patternType="solid">
        <fgColor rgb="FFF4A6CF"/>
        <bgColor indexed="64"/>
      </patternFill>
    </fill>
    <fill>
      <patternFill patternType="solid">
        <fgColor rgb="FF99FF99"/>
        <bgColor indexed="64"/>
      </patternFill>
    </fill>
  </fills>
  <borders count="202">
    <border>
      <left/>
      <right/>
      <top/>
      <bottom/>
      <diagonal/>
    </border>
    <border>
      <left style="thin">
        <color auto="1"/>
      </left>
      <right style="thin">
        <color auto="1"/>
      </right>
      <top style="thin">
        <color auto="1"/>
      </top>
      <bottom style="thin">
        <color auto="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right style="thin">
        <color auto="1"/>
      </right>
      <top/>
      <bottom/>
      <diagonal/>
    </border>
    <border>
      <left/>
      <right/>
      <top/>
      <bottom style="thin">
        <color auto="1"/>
      </bottom>
      <diagonal/>
    </border>
    <border>
      <left/>
      <right/>
      <top/>
      <bottom style="medium">
        <color rgb="FF8B807D"/>
      </bottom>
      <diagonal/>
    </border>
    <border>
      <left style="thin">
        <color auto="1"/>
      </left>
      <right style="thin">
        <color auto="1"/>
      </right>
      <top style="thin">
        <color auto="1"/>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auto="1"/>
      </left>
      <right style="thin">
        <color auto="1"/>
      </right>
      <top/>
      <bottom/>
      <diagonal/>
    </border>
    <border>
      <left/>
      <right/>
      <top style="thin">
        <color theme="9" tint="0.39997558519241921"/>
      </top>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bottom style="medium">
        <color auto="1"/>
      </bottom>
      <diagonal/>
    </border>
    <border>
      <left style="thin">
        <color rgb="FF7F7F7F"/>
      </left>
      <right style="thin">
        <color rgb="FF7F7F7F"/>
      </right>
      <top style="thin">
        <color rgb="FF7F7F7F"/>
      </top>
      <bottom style="thin">
        <color rgb="FF7F7F7F"/>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indexed="64"/>
      </left>
      <right style="thin">
        <color indexed="64"/>
      </right>
      <top style="medium">
        <color indexed="64"/>
      </top>
      <bottom style="thin">
        <color indexed="64"/>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style="medium">
        <color indexed="64"/>
      </left>
      <right style="medium">
        <color indexed="64"/>
      </right>
      <top style="thin">
        <color rgb="FF7F7F7F"/>
      </top>
      <bottom style="thin">
        <color rgb="FF7F7F7F"/>
      </bottom>
      <diagonal/>
    </border>
    <border>
      <left/>
      <right/>
      <top/>
      <bottom style="thick">
        <color theme="4"/>
      </bottom>
      <diagonal/>
    </border>
    <border>
      <left/>
      <right/>
      <top/>
      <bottom style="thick">
        <color theme="4" tint="0.499984740745262"/>
      </bottom>
      <diagonal/>
    </border>
    <border>
      <left style="medium">
        <color indexed="64"/>
      </left>
      <right/>
      <top style="medium">
        <color indexed="64"/>
      </top>
      <bottom style="thick">
        <color theme="4"/>
      </bottom>
      <diagonal/>
    </border>
    <border>
      <left style="medium">
        <color indexed="64"/>
      </left>
      <right style="medium">
        <color indexed="64"/>
      </right>
      <top style="medium">
        <color indexed="64"/>
      </top>
      <bottom style="double">
        <color theme="4"/>
      </bottom>
      <diagonal/>
    </border>
    <border>
      <left style="medium">
        <color indexed="64"/>
      </left>
      <right/>
      <top/>
      <bottom style="thick">
        <color theme="4" tint="0.499984740745262"/>
      </bottom>
      <diagonal/>
    </border>
    <border>
      <left style="medium">
        <color indexed="64"/>
      </left>
      <right style="medium">
        <color indexed="64"/>
      </right>
      <top style="thin">
        <color theme="4"/>
      </top>
      <bottom style="double">
        <color theme="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style="thin">
        <color theme="9" tint="0.39997558519241921"/>
      </top>
      <bottom style="thin">
        <color theme="9" tint="0.39997558519241921"/>
      </bottom>
      <diagonal/>
    </border>
    <border>
      <left/>
      <right/>
      <top/>
      <bottom style="medium">
        <color rgb="FF7030A0"/>
      </bottom>
      <diagonal/>
    </border>
    <border>
      <left/>
      <right style="medium">
        <color rgb="FF7030A0"/>
      </right>
      <top/>
      <bottom style="medium">
        <color rgb="FF7030A0"/>
      </bottom>
      <diagonal/>
    </border>
    <border>
      <left/>
      <right style="medium">
        <color rgb="FF7030A0"/>
      </right>
      <top style="thin">
        <color theme="9" tint="0.39997558519241921"/>
      </top>
      <bottom style="thin">
        <color theme="9" tint="0.39997558519241921"/>
      </bottom>
      <diagonal/>
    </border>
    <border>
      <left style="medium">
        <color rgb="FF7030A0"/>
      </left>
      <right/>
      <top/>
      <bottom style="medium">
        <color rgb="FF7030A0"/>
      </bottom>
      <diagonal/>
    </border>
    <border>
      <left style="medium">
        <color rgb="FF7030A0"/>
      </left>
      <right style="thin">
        <color auto="1"/>
      </right>
      <top style="thin">
        <color auto="1"/>
      </top>
      <bottom style="thin">
        <color auto="1"/>
      </bottom>
      <diagonal/>
    </border>
    <border>
      <left style="thin">
        <color theme="9" tint="0.39997558519241921"/>
      </left>
      <right style="medium">
        <color rgb="FF7030A0"/>
      </right>
      <top style="thin">
        <color theme="9" tint="0.39997558519241921"/>
      </top>
      <bottom style="thin">
        <color theme="9" tint="0.39997558519241921"/>
      </bottom>
      <diagonal/>
    </border>
    <border>
      <left style="medium">
        <color theme="1" tint="0.249977111117893"/>
      </left>
      <right/>
      <top/>
      <bottom/>
      <diagonal/>
    </border>
    <border>
      <left/>
      <right/>
      <top/>
      <bottom style="medium">
        <color theme="1" tint="0.249977111117893"/>
      </bottom>
      <diagonal/>
    </border>
    <border>
      <left style="medium">
        <color theme="1" tint="0.249977111117893"/>
      </left>
      <right/>
      <top style="medium">
        <color theme="1" tint="0.249977111117893"/>
      </top>
      <bottom style="medium">
        <color theme="1" tint="0.249977111117893"/>
      </bottom>
      <diagonal/>
    </border>
    <border>
      <left/>
      <right/>
      <top style="medium">
        <color theme="1" tint="0.249977111117893"/>
      </top>
      <bottom style="medium">
        <color theme="1" tint="0.249977111117893"/>
      </bottom>
      <diagonal/>
    </border>
    <border>
      <left/>
      <right style="medium">
        <color theme="1" tint="0.249977111117893"/>
      </right>
      <top style="medium">
        <color theme="1" tint="0.249977111117893"/>
      </top>
      <bottom style="medium">
        <color theme="1" tint="0.249977111117893"/>
      </bottom>
      <diagonal/>
    </border>
    <border>
      <left style="medium">
        <color theme="1" tint="0.249977111117893"/>
      </left>
      <right/>
      <top style="medium">
        <color indexed="64"/>
      </top>
      <bottom/>
      <diagonal/>
    </border>
    <border>
      <left style="medium">
        <color theme="1" tint="0.249977111117893"/>
      </left>
      <right/>
      <top/>
      <bottom style="medium">
        <color indexed="64"/>
      </bottom>
      <diagonal/>
    </border>
    <border>
      <left style="medium">
        <color rgb="FF7030A0"/>
      </left>
      <right style="thin">
        <color theme="9" tint="0.39997558519241921"/>
      </right>
      <top style="thin">
        <color theme="9" tint="0.39997558519241921"/>
      </top>
      <bottom style="thin">
        <color theme="9" tint="0.39997558519241921"/>
      </bottom>
      <diagonal/>
    </border>
    <border>
      <left style="medium">
        <color rgb="FF7030A0"/>
      </left>
      <right/>
      <top style="thin">
        <color theme="9" tint="0.39997558519241921"/>
      </top>
      <bottom style="medium">
        <color rgb="FF7030A0"/>
      </bottom>
      <diagonal/>
    </border>
    <border>
      <left/>
      <right style="medium">
        <color rgb="FF7030A0"/>
      </right>
      <top style="thin">
        <color theme="9" tint="0.39997558519241921"/>
      </top>
      <bottom style="medium">
        <color rgb="FF7030A0"/>
      </bottom>
      <diagonal/>
    </border>
    <border>
      <left style="medium">
        <color rgb="FF7030A0"/>
      </left>
      <right/>
      <top style="thin">
        <color rgb="FFA9D08E"/>
      </top>
      <bottom style="thin">
        <color rgb="FFA9D08E"/>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medium">
        <color indexed="64"/>
      </bottom>
      <diagonal/>
    </border>
    <border>
      <left style="thin">
        <color rgb="FF7F7F7F"/>
      </left>
      <right style="thin">
        <color rgb="FF7F7F7F"/>
      </right>
      <top style="medium">
        <color indexed="64"/>
      </top>
      <bottom style="thin">
        <color rgb="FF7F7F7F"/>
      </bottom>
      <diagonal/>
    </border>
    <border>
      <left style="medium">
        <color auto="1"/>
      </left>
      <right/>
      <top style="thin">
        <color auto="1"/>
      </top>
      <bottom/>
      <diagonal/>
    </border>
    <border>
      <left/>
      <right style="medium">
        <color auto="1"/>
      </right>
      <top style="thin">
        <color auto="1"/>
      </top>
      <bottom/>
      <diagonal/>
    </border>
    <border>
      <left style="medium">
        <color rgb="FF463282"/>
      </left>
      <right/>
      <top style="medium">
        <color rgb="FF463282"/>
      </top>
      <bottom/>
      <diagonal/>
    </border>
    <border>
      <left/>
      <right style="medium">
        <color rgb="FF463282"/>
      </right>
      <top style="medium">
        <color rgb="FF463282"/>
      </top>
      <bottom/>
      <diagonal/>
    </border>
    <border>
      <left style="medium">
        <color rgb="FF463282"/>
      </left>
      <right/>
      <top/>
      <bottom/>
      <diagonal/>
    </border>
    <border>
      <left/>
      <right style="medium">
        <color rgb="FF463282"/>
      </right>
      <top/>
      <bottom/>
      <diagonal/>
    </border>
    <border>
      <left style="medium">
        <color rgb="FF463282"/>
      </left>
      <right/>
      <top/>
      <bottom style="medium">
        <color rgb="FF463282"/>
      </bottom>
      <diagonal/>
    </border>
    <border>
      <left/>
      <right style="medium">
        <color rgb="FF463282"/>
      </right>
      <top/>
      <bottom style="medium">
        <color rgb="FF463282"/>
      </bottom>
      <diagonal/>
    </border>
    <border>
      <left/>
      <right style="thin">
        <color auto="1"/>
      </right>
      <top style="thin">
        <color auto="1"/>
      </top>
      <bottom/>
      <diagonal/>
    </border>
    <border>
      <left/>
      <right style="medium">
        <color rgb="FF7030A0"/>
      </right>
      <top style="thin">
        <color theme="9" tint="0.39997558519241921"/>
      </top>
      <bottom style="thin">
        <color indexed="64"/>
      </bottom>
      <diagonal/>
    </border>
    <border>
      <left style="thin">
        <color auto="1"/>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auto="1"/>
      </top>
      <bottom/>
      <diagonal/>
    </border>
    <border>
      <left style="thin">
        <color rgb="FF7F7F7F"/>
      </left>
      <right style="thin">
        <color rgb="FF7F7F7F"/>
      </right>
      <top style="thin">
        <color rgb="FF7F7F7F"/>
      </top>
      <bottom style="medium">
        <color indexed="64"/>
      </bottom>
      <diagonal/>
    </border>
    <border>
      <left style="thin">
        <color rgb="FFB2B2B2"/>
      </left>
      <right style="medium">
        <color indexed="64"/>
      </right>
      <top style="medium">
        <color indexed="64"/>
      </top>
      <bottom style="thin">
        <color rgb="FFB2B2B2"/>
      </bottom>
      <diagonal/>
    </border>
    <border>
      <left style="thin">
        <color rgb="FFB2B2B2"/>
      </left>
      <right style="medium">
        <color indexed="64"/>
      </right>
      <top style="thin">
        <color rgb="FFB2B2B2"/>
      </top>
      <bottom style="thin">
        <color rgb="FFB2B2B2"/>
      </bottom>
      <diagonal/>
    </border>
    <border>
      <left style="thin">
        <color rgb="FFB2B2B2"/>
      </left>
      <right style="medium">
        <color indexed="64"/>
      </right>
      <top style="thin">
        <color rgb="FFB2B2B2"/>
      </top>
      <bottom style="medium">
        <color indexed="64"/>
      </bottom>
      <diagonal/>
    </border>
    <border>
      <left/>
      <right/>
      <top style="thin">
        <color auto="1"/>
      </top>
      <bottom/>
      <diagonal/>
    </border>
    <border>
      <left style="thin">
        <color rgb="FF7F7F7F"/>
      </left>
      <right style="medium">
        <color indexed="64"/>
      </right>
      <top style="thin">
        <color rgb="FF7F7F7F"/>
      </top>
      <bottom style="thin">
        <color rgb="FF7F7F7F"/>
      </bottom>
      <diagonal/>
    </border>
    <border>
      <left style="thin">
        <color theme="1"/>
      </left>
      <right style="thin">
        <color theme="1"/>
      </right>
      <top style="thin">
        <color theme="1"/>
      </top>
      <bottom/>
      <diagonal/>
    </border>
    <border>
      <left style="thin">
        <color rgb="FF7F7F7F"/>
      </left>
      <right style="medium">
        <color indexed="64"/>
      </right>
      <top style="thin">
        <color rgb="FF7F7F7F"/>
      </top>
      <bottom style="medium">
        <color indexed="64"/>
      </bottom>
      <diagonal/>
    </border>
    <border>
      <left/>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top/>
      <bottom style="double">
        <color indexed="64"/>
      </bottom>
      <diagonal/>
    </border>
    <border>
      <left/>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double">
        <color indexed="64"/>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rgb="FFB2B2B2"/>
      </top>
      <bottom style="medium">
        <color indexed="64"/>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indexed="64"/>
      </left>
      <right style="thin">
        <color indexed="64"/>
      </right>
      <top/>
      <bottom style="medium">
        <color auto="1"/>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auto="1"/>
      </left>
      <right style="medium">
        <color auto="1"/>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auto="1"/>
      </right>
      <top style="medium">
        <color auto="1"/>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auto="1"/>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rgb="FF7030A0"/>
      </right>
      <top style="thin">
        <color theme="9" tint="0.39997558519241921"/>
      </top>
      <bottom/>
      <diagonal/>
    </border>
    <border>
      <left style="thin">
        <color rgb="FF7F7F7F"/>
      </left>
      <right style="thin">
        <color rgb="FF7F7F7F"/>
      </right>
      <top style="medium">
        <color indexed="64"/>
      </top>
      <bottom/>
      <diagonal/>
    </border>
    <border>
      <left style="thin">
        <color theme="1" tint="0.34998626667073579"/>
      </left>
      <right style="thin">
        <color auto="1"/>
      </right>
      <top/>
      <bottom/>
      <diagonal/>
    </border>
    <border>
      <left style="thin">
        <color theme="1" tint="0.34998626667073579"/>
      </left>
      <right/>
      <top style="thin">
        <color theme="1" tint="0.34998626667073579"/>
      </top>
      <bottom style="thin">
        <color theme="1" tint="0.34998626667073579"/>
      </bottom>
      <diagonal/>
    </border>
    <border>
      <left style="thin">
        <color rgb="FF7F7F7F"/>
      </left>
      <right style="thin">
        <color rgb="FF7F7F7F"/>
      </right>
      <top style="thin">
        <color theme="1" tint="0.34998626667073579"/>
      </top>
      <bottom style="medium">
        <color indexed="64"/>
      </bottom>
      <diagonal/>
    </border>
    <border>
      <left style="thin">
        <color auto="1"/>
      </left>
      <right/>
      <top style="thin">
        <color theme="1" tint="0.34998626667073579"/>
      </top>
      <bottom/>
      <diagonal/>
    </border>
    <border>
      <left style="medium">
        <color rgb="FFD9D9E3"/>
      </left>
      <right/>
      <top/>
      <bottom style="medium">
        <color rgb="FFD9D9E3"/>
      </bottom>
      <diagonal/>
    </border>
    <border>
      <left style="thin">
        <color auto="1"/>
      </left>
      <right style="medium">
        <color auto="1"/>
      </right>
      <top/>
      <bottom style="thin">
        <color indexed="64"/>
      </bottom>
      <diagonal/>
    </border>
    <border>
      <left style="medium">
        <color auto="1"/>
      </left>
      <right/>
      <top style="thin">
        <color indexed="64"/>
      </top>
      <bottom style="medium">
        <color indexed="64"/>
      </bottom>
      <diagonal/>
    </border>
    <border>
      <left/>
      <right/>
      <top style="thin">
        <color indexed="64"/>
      </top>
      <bottom style="medium">
        <color indexed="64"/>
      </bottom>
      <diagonal/>
    </border>
    <border>
      <left/>
      <right style="medium">
        <color auto="1"/>
      </right>
      <top style="thin">
        <color indexed="64"/>
      </top>
      <bottom style="medium">
        <color indexed="64"/>
      </bottom>
      <diagonal/>
    </border>
    <border>
      <left style="medium">
        <color rgb="FF7030A0"/>
      </left>
      <right style="medium">
        <color rgb="FF7030A0"/>
      </right>
      <top style="medium">
        <color rgb="FF7030A0"/>
      </top>
      <bottom/>
      <diagonal/>
    </border>
    <border>
      <left style="medium">
        <color rgb="FF7030A0"/>
      </left>
      <right style="medium">
        <color rgb="FF7030A0"/>
      </right>
      <top/>
      <bottom/>
      <diagonal/>
    </border>
    <border>
      <left style="medium">
        <color rgb="FF7030A0"/>
      </left>
      <right style="medium">
        <color rgb="FF7030A0"/>
      </right>
      <top/>
      <bottom style="medium">
        <color rgb="FF7030A0"/>
      </bottom>
      <diagonal/>
    </border>
    <border>
      <left style="medium">
        <color rgb="FF7030A0"/>
      </left>
      <right/>
      <top style="medium">
        <color rgb="FF7030A0"/>
      </top>
      <bottom style="thin">
        <color theme="9" tint="0.39997558519241921"/>
      </bottom>
      <diagonal/>
    </border>
    <border>
      <left/>
      <right style="medium">
        <color rgb="FF7030A0"/>
      </right>
      <top style="medium">
        <color rgb="FF7030A0"/>
      </top>
      <bottom style="thin">
        <color theme="9" tint="0.39997558519241921"/>
      </bottom>
      <diagonal/>
    </border>
    <border>
      <left style="medium">
        <color rgb="FF7030A0"/>
      </left>
      <right/>
      <top style="medium">
        <color rgb="FF7030A0"/>
      </top>
      <bottom style="medium">
        <color rgb="FF7030A0"/>
      </bottom>
      <diagonal/>
    </border>
    <border>
      <left/>
      <right style="medium">
        <color rgb="FF7030A0"/>
      </right>
      <top style="medium">
        <color rgb="FF7030A0"/>
      </top>
      <bottom style="medium">
        <color rgb="FF7030A0"/>
      </bottom>
      <diagonal/>
    </border>
    <border>
      <left style="thin">
        <color theme="9" tint="0.39997558519241921"/>
      </left>
      <right/>
      <top/>
      <bottom style="thin">
        <color theme="9" tint="0.39997558519241921"/>
      </bottom>
      <diagonal/>
    </border>
    <border>
      <left style="medium">
        <color rgb="FF7030A0"/>
      </left>
      <right/>
      <top/>
      <bottom style="medium">
        <color auto="1"/>
      </bottom>
      <diagonal/>
    </border>
    <border>
      <left style="medium">
        <color rgb="FF7030A0"/>
      </left>
      <right/>
      <top style="medium">
        <color auto="1"/>
      </top>
      <bottom/>
      <diagonal/>
    </border>
    <border>
      <left/>
      <right/>
      <top style="thin">
        <color rgb="FFD8D8D8"/>
      </top>
      <bottom style="thin">
        <color rgb="FFD8D8D8"/>
      </bottom>
      <diagonal/>
    </border>
    <border>
      <left style="thin">
        <color rgb="FF452E82"/>
      </left>
      <right style="thin">
        <color rgb="FF452E82"/>
      </right>
      <top/>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right>
      <top style="thin">
        <color theme="4"/>
      </top>
      <bottom/>
      <diagonal/>
    </border>
    <border>
      <left/>
      <right style="thin">
        <color rgb="FF7F7F7F"/>
      </right>
      <top/>
      <bottom/>
      <diagonal/>
    </border>
    <border>
      <left style="thin">
        <color rgb="FF7F7F7F"/>
      </left>
      <right/>
      <top style="thin">
        <color rgb="FF7F7F7F"/>
      </top>
      <bottom/>
      <diagonal/>
    </border>
    <border>
      <left style="thin">
        <color rgb="FF7F7F7F"/>
      </left>
      <right/>
      <top style="thin">
        <color indexed="64"/>
      </top>
      <bottom style="medium">
        <color indexed="64"/>
      </bottom>
      <diagonal/>
    </border>
    <border>
      <left/>
      <right/>
      <top style="medium">
        <color theme="1" tint="0.249977111117893"/>
      </top>
      <bottom style="medium">
        <color auto="1"/>
      </bottom>
      <diagonal/>
    </border>
    <border>
      <left style="thin">
        <color rgb="FF452E82"/>
      </left>
      <right style="thin">
        <color rgb="FF452E82"/>
      </right>
      <top style="thin">
        <color theme="9" tint="0.39997558519241921"/>
      </top>
      <bottom style="thin">
        <color theme="9" tint="0.39997558519241921"/>
      </bottom>
      <diagonal/>
    </border>
    <border>
      <left/>
      <right style="medium">
        <color indexed="64"/>
      </right>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thin">
        <color auto="1"/>
      </left>
      <right/>
      <top style="thin">
        <color rgb="FFB2B2B2"/>
      </top>
      <bottom/>
      <diagonal/>
    </border>
    <border>
      <left/>
      <right/>
      <top style="thin">
        <color rgb="FFB2B2B2"/>
      </top>
      <bottom/>
      <diagonal/>
    </border>
    <border>
      <left/>
      <right style="thin">
        <color rgb="FFB2B2B2"/>
      </right>
      <top style="thin">
        <color rgb="FFB2B2B2"/>
      </top>
      <bottom/>
      <diagonal/>
    </border>
    <border>
      <left style="thin">
        <color auto="1"/>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auto="1"/>
      </left>
      <right style="medium">
        <color indexed="64"/>
      </right>
      <top/>
      <bottom/>
      <diagonal/>
    </border>
    <border>
      <left/>
      <right/>
      <top style="medium">
        <color auto="1"/>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auto="1"/>
      </left>
      <right/>
      <top/>
      <bottom style="thin">
        <color indexed="64"/>
      </bottom>
      <diagonal/>
    </border>
    <border>
      <left style="medium">
        <color rgb="FF7030A0"/>
      </left>
      <right/>
      <top style="thin">
        <color theme="9" tint="0.39997558519241921"/>
      </top>
      <bottom/>
      <diagonal/>
    </border>
    <border>
      <left style="thin">
        <color indexed="64"/>
      </left>
      <right style="medium">
        <color auto="1"/>
      </right>
      <top style="medium">
        <color auto="1"/>
      </top>
      <bottom/>
      <diagonal/>
    </border>
    <border>
      <left style="medium">
        <color indexed="64"/>
      </left>
      <right style="thin">
        <color auto="1"/>
      </right>
      <top/>
      <bottom style="thin">
        <color auto="1"/>
      </bottom>
      <diagonal/>
    </border>
    <border>
      <left style="medium">
        <color indexed="64"/>
      </left>
      <right style="thin">
        <color auto="1"/>
      </right>
      <top style="thin">
        <color auto="1"/>
      </top>
      <bottom/>
      <diagonal/>
    </border>
    <border>
      <left style="medium">
        <color indexed="64"/>
      </left>
      <right/>
      <top style="thin">
        <color theme="9" tint="0.39997558519241921"/>
      </top>
      <bottom style="thin">
        <color theme="9" tint="0.39997558519241921"/>
      </bottom>
      <diagonal/>
    </border>
    <border>
      <left style="thin">
        <color theme="9" tint="0.39997558519241921"/>
      </left>
      <right style="medium">
        <color indexed="64"/>
      </right>
      <top style="thin">
        <color theme="9" tint="0.39997558519241921"/>
      </top>
      <bottom style="thin">
        <color theme="9" tint="0.39997558519241921"/>
      </bottom>
      <diagonal/>
    </border>
    <border>
      <left/>
      <right/>
      <top style="thin">
        <color theme="9" tint="0.39997558519241921"/>
      </top>
      <bottom style="medium">
        <color auto="1"/>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theme="4" tint="0.39997558519241921"/>
      </left>
      <right style="thin">
        <color theme="8"/>
      </right>
      <top style="thin">
        <color theme="4" tint="0.39997558519241921"/>
      </top>
      <bottom style="thin">
        <color theme="4" tint="0.39997558519241921"/>
      </bottom>
      <diagonal/>
    </border>
    <border>
      <left style="thin">
        <color theme="8"/>
      </left>
      <right style="thin">
        <color theme="8"/>
      </right>
      <top style="thin">
        <color theme="4" tint="0.39997558519241921"/>
      </top>
      <bottom style="thin">
        <color theme="4" tint="0.39997558519241921"/>
      </bottom>
      <diagonal/>
    </border>
    <border>
      <left style="thin">
        <color theme="8"/>
      </left>
      <right style="thin">
        <color theme="4" tint="0.39997558519241921"/>
      </right>
      <top style="thin">
        <color theme="4" tint="0.39997558519241921"/>
      </top>
      <bottom style="thin">
        <color theme="4" tint="0.39997558519241921"/>
      </bottom>
      <diagonal/>
    </border>
    <border>
      <left style="thin">
        <color theme="8"/>
      </left>
      <right style="thin">
        <color theme="8"/>
      </right>
      <top style="thin">
        <color theme="8"/>
      </top>
      <bottom style="medium">
        <color theme="8"/>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thin">
        <color theme="1" tint="0.499984740745262"/>
      </left>
      <right style="thin">
        <color theme="1" tint="0.14999847407452621"/>
      </right>
      <top style="thin">
        <color theme="1" tint="0.499984740745262"/>
      </top>
      <bottom style="thin">
        <color theme="1" tint="0.499984740745262"/>
      </bottom>
      <diagonal/>
    </border>
    <border>
      <left style="thin">
        <color theme="1" tint="0.14999847407452621"/>
      </left>
      <right/>
      <top style="thin">
        <color theme="1" tint="0.14999847407452621"/>
      </top>
      <bottom style="thin">
        <color theme="1" tint="0.499984740745262"/>
      </bottom>
      <diagonal/>
    </border>
    <border>
      <left/>
      <right style="thin">
        <color theme="1" tint="0.14999847407452621"/>
      </right>
      <top style="thin">
        <color theme="1" tint="0.14999847407452621"/>
      </top>
      <bottom style="thin">
        <color theme="1" tint="0.499984740745262"/>
      </bottom>
      <diagonal/>
    </border>
    <border>
      <left style="thin">
        <color theme="1" tint="0.14999847407452621"/>
      </left>
      <right style="thin">
        <color theme="1" tint="0.499984740745262"/>
      </right>
      <top style="thin">
        <color theme="1" tint="0.499984740745262"/>
      </top>
      <bottom style="thin">
        <color theme="1" tint="0.499984740745262"/>
      </bottom>
      <diagonal/>
    </border>
    <border>
      <left/>
      <right style="thin">
        <color theme="1" tint="0.14999847407452621"/>
      </right>
      <top style="thin">
        <color theme="1" tint="0.499984740745262"/>
      </top>
      <bottom style="thin">
        <color theme="1" tint="0.499984740745262"/>
      </bottom>
      <diagonal/>
    </border>
    <border>
      <left style="thin">
        <color theme="1" tint="0.14999847407452621"/>
      </left>
      <right style="thin">
        <color theme="1" tint="0.499984740745262"/>
      </right>
      <top/>
      <bottom style="thin">
        <color theme="1" tint="0.14999847407452621"/>
      </bottom>
      <diagonal/>
    </border>
    <border>
      <left/>
      <right style="thin">
        <color theme="1" tint="0.14999847407452621"/>
      </right>
      <top/>
      <bottom style="thin">
        <color theme="1" tint="0.14999847407452621"/>
      </bottom>
      <diagonal/>
    </border>
    <border>
      <left style="medium">
        <color indexed="64"/>
      </left>
      <right/>
      <top style="thin">
        <color theme="9" tint="0.39997558519241921"/>
      </top>
      <bottom style="medium">
        <color indexed="64"/>
      </bottom>
      <diagonal/>
    </border>
    <border>
      <left style="thin">
        <color auto="1"/>
      </left>
      <right style="thin">
        <color auto="1"/>
      </right>
      <top/>
      <bottom style="medium">
        <color indexed="64"/>
      </bottom>
      <diagonal/>
    </border>
    <border>
      <left style="medium">
        <color auto="1"/>
      </left>
      <right style="medium">
        <color auto="1"/>
      </right>
      <top/>
      <bottom style="thin">
        <color indexed="64"/>
      </bottom>
      <diagonal/>
    </border>
    <border>
      <left style="thin">
        <color indexed="64"/>
      </left>
      <right/>
      <top style="thin">
        <color indexed="64"/>
      </top>
      <bottom style="medium">
        <color rgb="FF8B807D"/>
      </bottom>
      <diagonal/>
    </border>
    <border>
      <left/>
      <right/>
      <top style="thin">
        <color indexed="64"/>
      </top>
      <bottom style="medium">
        <color rgb="FF8B807D"/>
      </bottom>
      <diagonal/>
    </border>
    <border>
      <left/>
      <right style="thin">
        <color indexed="64"/>
      </right>
      <top style="thin">
        <color indexed="64"/>
      </top>
      <bottom style="medium">
        <color rgb="FF8B807D"/>
      </bottom>
      <diagonal/>
    </border>
    <border>
      <left style="thin">
        <color indexed="64"/>
      </left>
      <right/>
      <top/>
      <bottom style="medium">
        <color rgb="FF8B807D"/>
      </bottom>
      <diagonal/>
    </border>
    <border>
      <left/>
      <right style="thin">
        <color indexed="64"/>
      </right>
      <top/>
      <bottom style="medium">
        <color rgb="FF8B807D"/>
      </bottom>
      <diagonal/>
    </border>
    <border>
      <left style="thin">
        <color rgb="FF70AD47"/>
      </left>
      <right style="thin">
        <color rgb="FF70AD47"/>
      </right>
      <top/>
      <bottom/>
      <diagonal/>
    </border>
  </borders>
  <cellStyleXfs count="28167">
    <xf numFmtId="0" fontId="0" fillId="0" borderId="0"/>
    <xf numFmtId="164" fontId="16" fillId="0" borderId="0" applyFon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42" fillId="8" borderId="23" applyNumberFormat="0" applyAlignment="0" applyProtection="0"/>
    <xf numFmtId="0" fontId="43" fillId="9" borderId="23" applyNumberFormat="0" applyAlignment="0" applyProtection="0"/>
    <xf numFmtId="0" fontId="14" fillId="0" borderId="0"/>
    <xf numFmtId="0" fontId="13" fillId="0" borderId="0"/>
    <xf numFmtId="9" fontId="15" fillId="0" borderId="0" applyFont="0" applyFill="0" applyBorder="0" applyAlignment="0" applyProtection="0"/>
    <xf numFmtId="0" fontId="44" fillId="0" borderId="33" applyNumberFormat="0" applyFill="0" applyAlignment="0" applyProtection="0"/>
    <xf numFmtId="0" fontId="45" fillId="0" borderId="34" applyNumberFormat="0" applyFill="0" applyAlignment="0" applyProtection="0"/>
    <xf numFmtId="0" fontId="15" fillId="19" borderId="62" applyNumberFormat="0" applyFont="0" applyAlignment="0" applyProtection="0"/>
    <xf numFmtId="44" fontId="12" fillId="0" borderId="0" applyFont="0" applyFill="0" applyBorder="0" applyAlignment="0" applyProtection="0"/>
    <xf numFmtId="9" fontId="12" fillId="0" borderId="0" applyFont="0" applyFill="0" applyBorder="0" applyAlignment="0" applyProtection="0"/>
    <xf numFmtId="0" fontId="95" fillId="21" borderId="0" applyNumberFormat="0" applyBorder="0" applyAlignment="0" applyProtection="0"/>
    <xf numFmtId="0" fontId="95" fillId="21" borderId="0" applyNumberFormat="0" applyBorder="0" applyAlignment="0" applyProtection="0"/>
    <xf numFmtId="0" fontId="11" fillId="0" borderId="0"/>
    <xf numFmtId="0" fontId="11" fillId="19" borderId="62" applyNumberFormat="0" applyFont="0" applyAlignment="0" applyProtection="0"/>
    <xf numFmtId="0" fontId="100" fillId="0" borderId="0" applyNumberFormat="0" applyFill="0" applyBorder="0" applyAlignment="0" applyProtection="0"/>
    <xf numFmtId="0" fontId="101" fillId="0" borderId="97" applyNumberFormat="0" applyFill="0" applyAlignment="0" applyProtection="0"/>
    <xf numFmtId="0" fontId="101" fillId="0" borderId="0" applyNumberFormat="0" applyFill="0" applyBorder="0" applyAlignment="0" applyProtection="0"/>
    <xf numFmtId="0" fontId="102" fillId="32" borderId="0" applyNumberFormat="0" applyBorder="0" applyAlignment="0" applyProtection="0"/>
    <xf numFmtId="0" fontId="103" fillId="9" borderId="98" applyNumberFormat="0" applyAlignment="0" applyProtection="0"/>
    <xf numFmtId="0" fontId="104" fillId="0" borderId="99" applyNumberFormat="0" applyFill="0" applyAlignment="0" applyProtection="0"/>
    <xf numFmtId="0" fontId="28" fillId="33" borderId="100" applyNumberFormat="0" applyAlignment="0" applyProtection="0"/>
    <xf numFmtId="0" fontId="105" fillId="0" borderId="0" applyNumberFormat="0" applyFill="0" applyBorder="0" applyAlignment="0" applyProtection="0"/>
    <xf numFmtId="0" fontId="106" fillId="0" borderId="0" applyNumberFormat="0" applyFill="0" applyBorder="0" applyAlignment="0" applyProtection="0"/>
    <xf numFmtId="0" fontId="27" fillId="0" borderId="101" applyNumberFormat="0" applyFill="0" applyAlignment="0" applyProtection="0"/>
    <xf numFmtId="0" fontId="107" fillId="34"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107" fillId="38"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1" borderId="0" applyNumberFormat="0" applyBorder="0" applyAlignment="0" applyProtection="0"/>
    <xf numFmtId="0" fontId="107" fillId="42"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5" borderId="0" applyNumberFormat="0" applyBorder="0" applyAlignment="0" applyProtection="0"/>
    <xf numFmtId="0" fontId="107" fillId="46"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7" fillId="50"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3" borderId="0" applyNumberFormat="0" applyBorder="0" applyAlignment="0" applyProtection="0"/>
    <xf numFmtId="0" fontId="107" fillId="54"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57"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17" fillId="0" borderId="0"/>
    <xf numFmtId="44" fontId="10" fillId="0" borderId="0" applyFont="0" applyFill="0" applyBorder="0" applyAlignment="0" applyProtection="0"/>
    <xf numFmtId="0" fontId="118" fillId="0" borderId="0" applyNumberFormat="0" applyFill="0" applyBorder="0" applyAlignment="0" applyProtection="0"/>
    <xf numFmtId="0" fontId="119" fillId="32" borderId="0" applyNumberFormat="0" applyBorder="0" applyAlignment="0" applyProtection="0"/>
    <xf numFmtId="0" fontId="120" fillId="0" borderId="0"/>
    <xf numFmtId="0" fontId="10" fillId="19" borderId="62" applyNumberFormat="0" applyFont="0" applyAlignment="0" applyProtection="0"/>
    <xf numFmtId="43" fontId="10" fillId="0" borderId="0" applyFont="0" applyFill="0" applyBorder="0" applyAlignment="0" applyProtection="0"/>
    <xf numFmtId="44" fontId="10" fillId="0" borderId="0" applyFont="0" applyFill="0" applyBorder="0" applyAlignment="0" applyProtection="0"/>
    <xf numFmtId="0" fontId="120" fillId="0" borderId="0"/>
    <xf numFmtId="9" fontId="12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0" fontId="120" fillId="0" borderId="0"/>
    <xf numFmtId="0" fontId="122" fillId="0" borderId="0" applyNumberFormat="0" applyFill="0" applyBorder="0" applyAlignment="0" applyProtection="0"/>
    <xf numFmtId="0" fontId="107" fillId="37" borderId="0" applyNumberFormat="0" applyBorder="0" applyAlignment="0" applyProtection="0"/>
    <xf numFmtId="0" fontId="107" fillId="41" borderId="0" applyNumberFormat="0" applyBorder="0" applyAlignment="0" applyProtection="0"/>
    <xf numFmtId="0" fontId="107" fillId="45" borderId="0" applyNumberFormat="0" applyBorder="0" applyAlignment="0" applyProtection="0"/>
    <xf numFmtId="0" fontId="107" fillId="49" borderId="0" applyNumberFormat="0" applyBorder="0" applyAlignment="0" applyProtection="0"/>
    <xf numFmtId="0" fontId="107" fillId="53" borderId="0" applyNumberFormat="0" applyBorder="0" applyAlignment="0" applyProtection="0"/>
    <xf numFmtId="0" fontId="107" fillId="57" borderId="0" applyNumberFormat="0" applyBorder="0" applyAlignment="0" applyProtection="0"/>
    <xf numFmtId="0" fontId="10" fillId="0" borderId="0"/>
    <xf numFmtId="9" fontId="10" fillId="0" borderId="0" applyFont="0" applyFill="0" applyBorder="0" applyAlignment="0" applyProtection="0"/>
    <xf numFmtId="0" fontId="10" fillId="19" borderId="62" applyNumberFormat="0" applyFont="0" applyAlignment="0" applyProtection="0"/>
    <xf numFmtId="44" fontId="120" fillId="0" borderId="0" applyFont="0" applyFill="0" applyBorder="0" applyAlignment="0" applyProtection="0"/>
    <xf numFmtId="0" fontId="10" fillId="0" borderId="0"/>
    <xf numFmtId="0" fontId="123" fillId="0" borderId="0" applyNumberFormat="0" applyFill="0" applyBorder="0" applyAlignment="0" applyProtection="0">
      <alignment vertical="top"/>
      <protection locked="0"/>
    </xf>
    <xf numFmtId="9" fontId="10" fillId="0" borderId="0" applyFont="0" applyFill="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24"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20" fillId="0" borderId="0"/>
    <xf numFmtId="9" fontId="120" fillId="0" borderId="0" applyFon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44" fontId="120" fillId="0" borderId="0" applyFont="0" applyFill="0" applyBorder="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20" fillId="0" borderId="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9" fontId="120" fillId="0" borderId="0" applyFont="0" applyFill="0" applyBorder="0" applyAlignment="0" applyProtection="0"/>
    <xf numFmtId="44" fontId="120" fillId="0" borderId="0" applyFont="0" applyFill="0" applyBorder="0" applyAlignment="0" applyProtection="0"/>
    <xf numFmtId="0" fontId="12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20" fillId="0" borderId="0"/>
    <xf numFmtId="9" fontId="120" fillId="0" borderId="0" applyFon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44" fontId="120" fillId="0" borderId="0" applyFont="0" applyFill="0" applyBorder="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19" borderId="62" applyNumberFormat="0" applyFont="0" applyAlignment="0" applyProtection="0"/>
    <xf numFmtId="44" fontId="120" fillId="0" borderId="0" applyFont="0" applyFill="0" applyBorder="0" applyAlignment="0" applyProtection="0"/>
    <xf numFmtId="0" fontId="120" fillId="0" borderId="0"/>
    <xf numFmtId="0" fontId="120" fillId="0" borderId="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9" fontId="120" fillId="0" borderId="0" applyFon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20" fillId="0" borderId="0" applyFont="0" applyFill="0" applyBorder="0" applyAlignment="0" applyProtection="0"/>
    <xf numFmtId="9" fontId="120" fillId="0" borderId="0" applyFont="0" applyFill="0" applyBorder="0" applyAlignment="0" applyProtection="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9" fontId="10" fillId="0" borderId="0" applyFont="0" applyFill="0" applyBorder="0" applyAlignment="0" applyProtection="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9" fontId="10" fillId="0" borderId="0" applyFont="0" applyFill="0" applyBorder="0" applyAlignment="0" applyProtection="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0" borderId="0"/>
    <xf numFmtId="0" fontId="10" fillId="19" borderId="62" applyNumberFormat="0" applyFont="0" applyAlignment="0" applyProtection="0"/>
    <xf numFmtId="9"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0" fontId="10" fillId="19" borderId="62" applyNumberFormat="0" applyFont="0" applyAlignment="0" applyProtection="0"/>
    <xf numFmtId="0" fontId="10" fillId="0" borderId="0"/>
    <xf numFmtId="9" fontId="10" fillId="0" borderId="0" applyFont="0" applyFill="0" applyBorder="0" applyAlignment="0" applyProtection="0"/>
    <xf numFmtId="0" fontId="10" fillId="35" borderId="0" applyNumberFormat="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44" fontId="10" fillId="0" borderId="0" applyFont="0" applyFill="0" applyBorder="0" applyAlignment="0" applyProtection="0"/>
    <xf numFmtId="0" fontId="10" fillId="19" borderId="62" applyNumberFormat="0" applyFont="0" applyAlignment="0" applyProtection="0"/>
    <xf numFmtId="0" fontId="10" fillId="35" borderId="0" applyNumberFormat="0" applyBorder="0" applyAlignment="0" applyProtection="0"/>
    <xf numFmtId="0" fontId="10" fillId="36"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3"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6" borderId="0" applyNumberFormat="0" applyBorder="0" applyAlignment="0" applyProtection="0"/>
    <xf numFmtId="0" fontId="10" fillId="0" borderId="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0" fontId="120" fillId="0" borderId="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2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3" fontId="15" fillId="0" borderId="0" applyFont="0" applyFill="0" applyBorder="0" applyAlignment="0" applyProtection="0"/>
    <xf numFmtId="0" fontId="136" fillId="0" borderId="0"/>
    <xf numFmtId="0" fontId="9" fillId="0" borderId="0"/>
    <xf numFmtId="0" fontId="8" fillId="0" borderId="0"/>
    <xf numFmtId="0" fontId="7" fillId="0" borderId="0"/>
    <xf numFmtId="0" fontId="5" fillId="0" borderId="0"/>
    <xf numFmtId="44" fontId="5" fillId="0" borderId="0" applyFont="0" applyFill="0" applyBorder="0" applyAlignment="0" applyProtection="0"/>
    <xf numFmtId="0" fontId="5" fillId="19" borderId="62" applyNumberFormat="0" applyFont="0" applyAlignment="0" applyProtection="0"/>
    <xf numFmtId="0" fontId="4" fillId="0" borderId="0"/>
    <xf numFmtId="44" fontId="15" fillId="0" borderId="0" applyFont="0" applyFill="0" applyBorder="0" applyAlignment="0" applyProtection="0"/>
    <xf numFmtId="44" fontId="15" fillId="0" borderId="0" applyFont="0" applyFill="0" applyBorder="0" applyAlignment="0" applyProtection="0"/>
    <xf numFmtId="0" fontId="3" fillId="0" borderId="0"/>
    <xf numFmtId="0" fontId="3" fillId="0" borderId="0"/>
    <xf numFmtId="44" fontId="12" fillId="0" borderId="0" applyFont="0" applyFill="0" applyBorder="0" applyAlignment="0" applyProtection="0"/>
    <xf numFmtId="0" fontId="3" fillId="0" borderId="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0" borderId="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43"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0" fontId="3" fillId="19" borderId="62" applyNumberFormat="0" applyFont="0" applyAlignment="0" applyProtection="0"/>
    <xf numFmtId="44" fontId="120" fillId="0" borderId="0" applyFont="0" applyFill="0" applyBorder="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44" fontId="120" fillId="0" borderId="0" applyFont="0" applyFill="0" applyBorder="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120" fillId="0" borderId="0" applyFont="0" applyFill="0" applyBorder="0" applyAlignment="0" applyProtection="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44" fontId="120" fillId="0" borderId="0" applyFont="0" applyFill="0" applyBorder="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19" borderId="62" applyNumberFormat="0" applyFont="0" applyAlignment="0" applyProtection="0"/>
    <xf numFmtId="44" fontId="120" fillId="0" borderId="0" applyFont="0" applyFill="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120" fillId="0" borderId="0" applyFont="0" applyFill="0" applyBorder="0" applyAlignment="0" applyProtection="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9" fontId="3" fillId="0" borderId="0" applyFont="0" applyFill="0" applyBorder="0" applyAlignment="0" applyProtection="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9" fontId="3" fillId="0" borderId="0" applyFont="0" applyFill="0" applyBorder="0" applyAlignment="0" applyProtection="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19" borderId="62" applyNumberFormat="0" applyFont="0" applyAlignment="0" applyProtection="0"/>
    <xf numFmtId="9"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19" borderId="62" applyNumberFormat="0" applyFont="0" applyAlignment="0" applyProtection="0"/>
    <xf numFmtId="0" fontId="3" fillId="0" borderId="0"/>
    <xf numFmtId="9" fontId="3" fillId="0" borderId="0" applyFont="0" applyFill="0" applyBorder="0" applyAlignment="0" applyProtection="0"/>
    <xf numFmtId="0" fontId="3" fillId="35" borderId="0" applyNumberFormat="0" applyBorder="0" applyAlignment="0" applyProtection="0"/>
    <xf numFmtId="44" fontId="3" fillId="0" borderId="0" applyFont="0" applyFill="0" applyBorder="0" applyAlignment="0" applyProtection="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2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3" fontId="15" fillId="0" borderId="0" applyFont="0" applyFill="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19" borderId="62" applyNumberFormat="0" applyFont="0" applyAlignment="0" applyProtection="0"/>
    <xf numFmtId="0" fontId="3" fillId="35" borderId="0" applyNumberFormat="0" applyBorder="0" applyAlignment="0" applyProtection="0"/>
    <xf numFmtId="0" fontId="3" fillId="0" borderId="0"/>
    <xf numFmtId="0" fontId="2" fillId="0" borderId="0"/>
    <xf numFmtId="44" fontId="2" fillId="0" borderId="0" applyFont="0" applyFill="0" applyBorder="0" applyAlignment="0" applyProtection="0"/>
    <xf numFmtId="0" fontId="121" fillId="4" borderId="0" applyNumberFormat="0" applyBorder="0" applyAlignment="0" applyProtection="0"/>
  </cellStyleXfs>
  <cellXfs count="1589">
    <xf numFmtId="0" fontId="0" fillId="0" borderId="0" xfId="0"/>
    <xf numFmtId="0" fontId="21" fillId="0" borderId="0" xfId="0" applyFont="1"/>
    <xf numFmtId="0" fontId="23" fillId="0" borderId="0" xfId="0" applyFont="1"/>
    <xf numFmtId="0" fontId="24" fillId="2" borderId="3" xfId="0" applyFont="1" applyFill="1" applyBorder="1" applyAlignment="1">
      <alignment horizontal="center"/>
    </xf>
    <xf numFmtId="0" fontId="0" fillId="3" borderId="3" xfId="0" applyFill="1" applyBorder="1"/>
    <xf numFmtId="0" fontId="0" fillId="0" borderId="3" xfId="0" applyBorder="1"/>
    <xf numFmtId="164" fontId="0" fillId="0" borderId="0" xfId="1" applyFont="1"/>
    <xf numFmtId="0" fontId="17" fillId="2" borderId="4" xfId="0" applyFont="1" applyFill="1" applyBorder="1"/>
    <xf numFmtId="0" fontId="0" fillId="0" borderId="1" xfId="0" applyBorder="1" applyAlignment="1">
      <alignment horizontal="center"/>
    </xf>
    <xf numFmtId="0" fontId="30" fillId="0" borderId="0" xfId="0" applyFont="1"/>
    <xf numFmtId="0" fontId="31" fillId="0" borderId="0" xfId="0" applyFont="1" applyAlignment="1">
      <alignment horizontal="center"/>
    </xf>
    <xf numFmtId="0" fontId="31" fillId="0" borderId="0" xfId="0" applyFont="1"/>
    <xf numFmtId="0" fontId="0" fillId="5" borderId="5" xfId="0" applyFill="1" applyBorder="1" applyAlignment="1">
      <alignment horizontal="center"/>
    </xf>
    <xf numFmtId="0" fontId="0" fillId="5" borderId="1" xfId="0" applyFill="1" applyBorder="1" applyAlignment="1">
      <alignment horizontal="center"/>
    </xf>
    <xf numFmtId="0" fontId="0" fillId="5" borderId="5" xfId="0" applyFill="1" applyBorder="1" applyAlignment="1">
      <alignment horizontal="center" wrapText="1"/>
    </xf>
    <xf numFmtId="0" fontId="36" fillId="5" borderId="1" xfId="0" applyFont="1" applyFill="1" applyBorder="1" applyAlignment="1">
      <alignment horizontal="center" vertical="center" wrapText="1"/>
    </xf>
    <xf numFmtId="0" fontId="38" fillId="0" borderId="0" xfId="6" applyFont="1" applyFill="1"/>
    <xf numFmtId="0" fontId="25" fillId="0" borderId="0" xfId="6" applyFill="1"/>
    <xf numFmtId="0" fontId="19" fillId="0" borderId="1" xfId="0" applyFont="1" applyBorder="1" applyAlignment="1">
      <alignment horizontal="left" vertical="top"/>
    </xf>
    <xf numFmtId="0" fontId="19" fillId="3" borderId="1" xfId="0" applyFont="1" applyFill="1" applyBorder="1" applyAlignment="1">
      <alignment horizontal="left" vertical="top"/>
    </xf>
    <xf numFmtId="0" fontId="39" fillId="0" borderId="12" xfId="0" applyFont="1" applyBorder="1" applyAlignment="1">
      <alignment vertical="center"/>
    </xf>
    <xf numFmtId="0" fontId="39" fillId="0" borderId="20" xfId="0" applyFont="1" applyBorder="1" applyAlignment="1">
      <alignment vertical="center"/>
    </xf>
    <xf numFmtId="0" fontId="0" fillId="0" borderId="0" xfId="0" applyAlignment="1">
      <alignment horizontal="center" vertical="center"/>
    </xf>
    <xf numFmtId="164" fontId="30" fillId="0" borderId="4" xfId="0" applyNumberFormat="1" applyFont="1" applyBorder="1"/>
    <xf numFmtId="0" fontId="24" fillId="2" borderId="2" xfId="0" applyFont="1" applyFill="1" applyBorder="1"/>
    <xf numFmtId="0" fontId="21" fillId="3" borderId="2" xfId="0" applyFont="1" applyFill="1" applyBorder="1"/>
    <xf numFmtId="165" fontId="21" fillId="3" borderId="4" xfId="1" applyNumberFormat="1" applyFont="1" applyFill="1" applyBorder="1"/>
    <xf numFmtId="0" fontId="21" fillId="0" borderId="2" xfId="0" applyFont="1" applyBorder="1"/>
    <xf numFmtId="165" fontId="21" fillId="0" borderId="4" xfId="1" applyNumberFormat="1" applyFont="1" applyBorder="1"/>
    <xf numFmtId="165" fontId="21" fillId="0" borderId="0" xfId="1" applyNumberFormat="1" applyFont="1" applyBorder="1"/>
    <xf numFmtId="0" fontId="24" fillId="2" borderId="17" xfId="0" applyFont="1" applyFill="1" applyBorder="1"/>
    <xf numFmtId="0" fontId="21" fillId="3" borderId="17" xfId="0" applyFont="1" applyFill="1" applyBorder="1"/>
    <xf numFmtId="0" fontId="21" fillId="0" borderId="17" xfId="0" applyFont="1" applyBorder="1"/>
    <xf numFmtId="164" fontId="21" fillId="3" borderId="17" xfId="1" applyFont="1" applyFill="1" applyBorder="1"/>
    <xf numFmtId="164" fontId="21" fillId="0" borderId="17" xfId="1" applyFont="1" applyBorder="1"/>
    <xf numFmtId="168" fontId="21" fillId="3" borderId="17" xfId="0" applyNumberFormat="1" applyFont="1" applyFill="1" applyBorder="1"/>
    <xf numFmtId="171" fontId="21" fillId="0" borderId="17" xfId="0" applyNumberFormat="1" applyFont="1" applyBorder="1"/>
    <xf numFmtId="172" fontId="21" fillId="3" borderId="17" xfId="1" applyNumberFormat="1" applyFont="1" applyFill="1" applyBorder="1"/>
    <xf numFmtId="173" fontId="21" fillId="0" borderId="17" xfId="1" applyNumberFormat="1" applyFont="1" applyBorder="1"/>
    <xf numFmtId="0" fontId="18" fillId="2" borderId="4" xfId="0" applyFont="1" applyFill="1" applyBorder="1"/>
    <xf numFmtId="0" fontId="19" fillId="3" borderId="4" xfId="0" applyFont="1" applyFill="1" applyBorder="1"/>
    <xf numFmtId="0" fontId="19" fillId="0" borderId="4" xfId="0" applyFont="1" applyBorder="1"/>
    <xf numFmtId="0" fontId="47" fillId="0" borderId="0" xfId="0" applyFont="1"/>
    <xf numFmtId="0" fontId="49" fillId="0" borderId="0" xfId="0" applyFont="1" applyAlignment="1">
      <alignment horizontal="left"/>
    </xf>
    <xf numFmtId="164" fontId="47" fillId="0" borderId="0" xfId="0" applyNumberFormat="1" applyFont="1"/>
    <xf numFmtId="10" fontId="47" fillId="0" borderId="0" xfId="19" applyNumberFormat="1" applyFont="1"/>
    <xf numFmtId="0" fontId="55" fillId="0" borderId="0" xfId="0" applyFont="1" applyAlignment="1">
      <alignment vertical="center"/>
    </xf>
    <xf numFmtId="0" fontId="48" fillId="0" borderId="0" xfId="0" applyFont="1" applyAlignment="1">
      <alignment vertical="center"/>
    </xf>
    <xf numFmtId="164" fontId="48" fillId="0" borderId="0" xfId="0" applyNumberFormat="1" applyFont="1" applyAlignment="1">
      <alignment vertical="center"/>
    </xf>
    <xf numFmtId="0" fontId="47" fillId="12" borderId="0" xfId="0" applyFont="1" applyFill="1"/>
    <xf numFmtId="0" fontId="50" fillId="12" borderId="0" xfId="0" applyFont="1" applyFill="1" applyAlignment="1">
      <alignment vertical="center"/>
    </xf>
    <xf numFmtId="0" fontId="47" fillId="10" borderId="29" xfId="0" applyFont="1" applyFill="1" applyBorder="1"/>
    <xf numFmtId="0" fontId="47" fillId="10" borderId="22" xfId="0" applyFont="1" applyFill="1" applyBorder="1"/>
    <xf numFmtId="0" fontId="55" fillId="10" borderId="0" xfId="0" applyFont="1" applyFill="1" applyAlignment="1">
      <alignment horizontal="center" vertical="center"/>
    </xf>
    <xf numFmtId="0" fontId="55" fillId="10" borderId="21" xfId="0" applyFont="1" applyFill="1" applyBorder="1" applyAlignment="1">
      <alignment horizontal="center" vertical="center"/>
    </xf>
    <xf numFmtId="0" fontId="46" fillId="0" borderId="0" xfId="0" applyFont="1"/>
    <xf numFmtId="0" fontId="55" fillId="10" borderId="28" xfId="0" applyFont="1" applyFill="1" applyBorder="1" applyAlignment="1">
      <alignment horizontal="center" vertical="center"/>
    </xf>
    <xf numFmtId="0" fontId="44" fillId="0" borderId="35" xfId="20" applyBorder="1" applyProtection="1">
      <protection locked="0"/>
    </xf>
    <xf numFmtId="164" fontId="27" fillId="0" borderId="36" xfId="1" applyFont="1" applyBorder="1" applyProtection="1">
      <protection locked="0"/>
    </xf>
    <xf numFmtId="0" fontId="45" fillId="0" borderId="37" xfId="21" applyBorder="1" applyProtection="1">
      <protection locked="0"/>
    </xf>
    <xf numFmtId="164" fontId="27" fillId="0" borderId="38" xfId="1" applyFont="1" applyBorder="1" applyProtection="1">
      <protection locked="0"/>
    </xf>
    <xf numFmtId="44" fontId="42" fillId="8" borderId="32" xfId="15" applyNumberFormat="1" applyBorder="1" applyProtection="1">
      <protection locked="0"/>
    </xf>
    <xf numFmtId="0" fontId="0" fillId="0" borderId="28" xfId="0" applyBorder="1" applyProtection="1">
      <protection locked="0"/>
    </xf>
    <xf numFmtId="164" fontId="0" fillId="0" borderId="7" xfId="1" applyFont="1" applyBorder="1" applyProtection="1">
      <protection locked="0"/>
    </xf>
    <xf numFmtId="0" fontId="0" fillId="0" borderId="28" xfId="0" applyBorder="1" applyAlignment="1" applyProtection="1">
      <alignment vertical="top"/>
      <protection locked="0"/>
    </xf>
    <xf numFmtId="0" fontId="0" fillId="0" borderId="28" xfId="0" applyBorder="1" applyAlignment="1" applyProtection="1">
      <alignment horizontal="left"/>
      <protection locked="0"/>
    </xf>
    <xf numFmtId="0" fontId="0" fillId="0" borderId="42" xfId="0" applyBorder="1"/>
    <xf numFmtId="0" fontId="0" fillId="0" borderId="43" xfId="0" applyBorder="1"/>
    <xf numFmtId="0" fontId="18" fillId="0" borderId="42" xfId="0" applyFont="1" applyBorder="1"/>
    <xf numFmtId="0" fontId="19" fillId="0" borderId="42" xfId="0" applyFont="1" applyBorder="1"/>
    <xf numFmtId="164" fontId="0" fillId="0" borderId="0" xfId="1" applyFont="1" applyBorder="1"/>
    <xf numFmtId="164" fontId="0" fillId="0" borderId="43" xfId="1" applyFont="1" applyBorder="1"/>
    <xf numFmtId="0" fontId="18" fillId="2" borderId="44" xfId="0" applyFont="1" applyFill="1" applyBorder="1"/>
    <xf numFmtId="0" fontId="19" fillId="3" borderId="44" xfId="0" applyFont="1" applyFill="1" applyBorder="1"/>
    <xf numFmtId="0" fontId="19" fillId="0" borderId="44" xfId="0" applyFont="1" applyBorder="1"/>
    <xf numFmtId="0" fontId="0" fillId="0" borderId="45" xfId="0" applyBorder="1"/>
    <xf numFmtId="0" fontId="0" fillId="0" borderId="46" xfId="0" applyBorder="1"/>
    <xf numFmtId="0" fontId="21" fillId="3" borderId="44" xfId="0" applyFont="1" applyFill="1" applyBorder="1"/>
    <xf numFmtId="165" fontId="21" fillId="3" borderId="47" xfId="0" applyNumberFormat="1" applyFont="1" applyFill="1" applyBorder="1"/>
    <xf numFmtId="0" fontId="21" fillId="0" borderId="44" xfId="0" applyFont="1" applyBorder="1"/>
    <xf numFmtId="165" fontId="21" fillId="0" borderId="47" xfId="0" applyNumberFormat="1" applyFont="1" applyBorder="1"/>
    <xf numFmtId="164" fontId="21" fillId="0" borderId="47" xfId="0" applyNumberFormat="1" applyFont="1" applyBorder="1"/>
    <xf numFmtId="0" fontId="24" fillId="2" borderId="44" xfId="0" applyFont="1" applyFill="1" applyBorder="1" applyAlignment="1">
      <alignment horizontal="center"/>
    </xf>
    <xf numFmtId="0" fontId="24" fillId="2" borderId="47" xfId="0" applyFont="1" applyFill="1" applyBorder="1" applyAlignment="1">
      <alignment horizontal="center"/>
    </xf>
    <xf numFmtId="0" fontId="0" fillId="3" borderId="44" xfId="0" applyFill="1" applyBorder="1"/>
    <xf numFmtId="0" fontId="0" fillId="3" borderId="47" xfId="0" applyFill="1" applyBorder="1"/>
    <xf numFmtId="0" fontId="0" fillId="0" borderId="44" xfId="0" applyBorder="1"/>
    <xf numFmtId="0" fontId="0" fillId="0" borderId="47" xfId="0" applyBorder="1"/>
    <xf numFmtId="0" fontId="0" fillId="0" borderId="48" xfId="0" applyBorder="1"/>
    <xf numFmtId="0" fontId="19" fillId="3" borderId="43" xfId="0" applyFont="1" applyFill="1" applyBorder="1" applyAlignment="1">
      <alignment horizontal="left" vertical="top"/>
    </xf>
    <xf numFmtId="0" fontId="19" fillId="0" borderId="43" xfId="0" applyFont="1" applyBorder="1" applyAlignment="1">
      <alignment horizontal="left" vertical="top"/>
    </xf>
    <xf numFmtId="0" fontId="39" fillId="0" borderId="0" xfId="0" applyFont="1"/>
    <xf numFmtId="0" fontId="23" fillId="0" borderId="42" xfId="0" applyFont="1" applyBorder="1"/>
    <xf numFmtId="0" fontId="21" fillId="0" borderId="43" xfId="0" applyFont="1" applyBorder="1"/>
    <xf numFmtId="0" fontId="21" fillId="0" borderId="42" xfId="0" applyFont="1" applyBorder="1"/>
    <xf numFmtId="0" fontId="48" fillId="0" borderId="0" xfId="0" applyFont="1" applyAlignment="1">
      <alignment horizontal="left" vertical="center"/>
    </xf>
    <xf numFmtId="164" fontId="47" fillId="10" borderId="54" xfId="0" applyNumberFormat="1" applyFont="1" applyFill="1" applyBorder="1"/>
    <xf numFmtId="164" fontId="47" fillId="10" borderId="55" xfId="0" applyNumberFormat="1" applyFont="1" applyFill="1" applyBorder="1"/>
    <xf numFmtId="164" fontId="48" fillId="0" borderId="51" xfId="0" applyNumberFormat="1" applyFont="1" applyBorder="1" applyAlignment="1">
      <alignment vertical="center"/>
    </xf>
    <xf numFmtId="164" fontId="47" fillId="10" borderId="53" xfId="0" applyNumberFormat="1" applyFont="1" applyFill="1" applyBorder="1"/>
    <xf numFmtId="164" fontId="48" fillId="16" borderId="51" xfId="0" applyNumberFormat="1" applyFont="1" applyFill="1" applyBorder="1" applyAlignment="1">
      <alignment vertical="center"/>
    </xf>
    <xf numFmtId="0" fontId="47" fillId="10" borderId="52" xfId="0" applyFont="1" applyFill="1" applyBorder="1"/>
    <xf numFmtId="0" fontId="51" fillId="10" borderId="28" xfId="0" applyFont="1" applyFill="1" applyBorder="1"/>
    <xf numFmtId="0" fontId="51" fillId="10" borderId="28" xfId="0" applyFont="1" applyFill="1" applyBorder="1" applyAlignment="1">
      <alignment horizontal="right"/>
    </xf>
    <xf numFmtId="0" fontId="67" fillId="10" borderId="28" xfId="0" applyFont="1" applyFill="1" applyBorder="1" applyAlignment="1">
      <alignment horizontal="right" vertical="center"/>
    </xf>
    <xf numFmtId="0" fontId="64" fillId="10" borderId="21" xfId="0" applyFont="1" applyFill="1" applyBorder="1" applyAlignment="1">
      <alignment horizontal="left"/>
    </xf>
    <xf numFmtId="0" fontId="66" fillId="10" borderId="21" xfId="0" applyFont="1" applyFill="1" applyBorder="1" applyAlignment="1">
      <alignment horizontal="left"/>
    </xf>
    <xf numFmtId="0" fontId="66" fillId="10" borderId="21" xfId="0" applyFont="1" applyFill="1" applyBorder="1" applyAlignment="1">
      <alignment horizontal="left" shrinkToFit="1"/>
    </xf>
    <xf numFmtId="167" fontId="48" fillId="0" borderId="0" xfId="0" applyNumberFormat="1" applyFont="1" applyAlignment="1">
      <alignment vertical="center"/>
    </xf>
    <xf numFmtId="164" fontId="48" fillId="0" borderId="24" xfId="0" applyNumberFormat="1" applyFont="1" applyBorder="1" applyAlignment="1">
      <alignment vertical="center"/>
    </xf>
    <xf numFmtId="167" fontId="48" fillId="0" borderId="26" xfId="0" applyNumberFormat="1" applyFont="1" applyBorder="1" applyAlignment="1">
      <alignment vertical="center"/>
    </xf>
    <xf numFmtId="164" fontId="48" fillId="16" borderId="28" xfId="0" applyNumberFormat="1" applyFont="1" applyFill="1" applyBorder="1" applyAlignment="1">
      <alignment vertical="center"/>
    </xf>
    <xf numFmtId="167" fontId="48" fillId="16" borderId="21" xfId="0" applyNumberFormat="1" applyFont="1" applyFill="1" applyBorder="1" applyAlignment="1">
      <alignment vertical="center"/>
    </xf>
    <xf numFmtId="164" fontId="48" fillId="0" borderId="28" xfId="0" applyNumberFormat="1" applyFont="1" applyBorder="1" applyAlignment="1">
      <alignment vertical="center"/>
    </xf>
    <xf numFmtId="167" fontId="48" fillId="0" borderId="21" xfId="0" applyNumberFormat="1" applyFont="1" applyBorder="1" applyAlignment="1">
      <alignment vertical="center"/>
    </xf>
    <xf numFmtId="164" fontId="48" fillId="16" borderId="29" xfId="0" applyNumberFormat="1" applyFont="1" applyFill="1" applyBorder="1" applyAlignment="1">
      <alignment vertical="center"/>
    </xf>
    <xf numFmtId="167" fontId="48" fillId="16" borderId="22" xfId="0" applyNumberFormat="1" applyFont="1" applyFill="1" applyBorder="1" applyAlignment="1">
      <alignment vertical="center"/>
    </xf>
    <xf numFmtId="164" fontId="48" fillId="0" borderId="26" xfId="0" applyNumberFormat="1" applyFont="1" applyBorder="1" applyAlignment="1">
      <alignment vertical="center"/>
    </xf>
    <xf numFmtId="164" fontId="48" fillId="16" borderId="21" xfId="0" applyNumberFormat="1" applyFont="1" applyFill="1" applyBorder="1" applyAlignment="1">
      <alignment vertical="center"/>
    </xf>
    <xf numFmtId="164" fontId="48" fillId="0" borderId="21" xfId="0" applyNumberFormat="1" applyFont="1" applyBorder="1" applyAlignment="1">
      <alignment vertical="center"/>
    </xf>
    <xf numFmtId="164" fontId="48" fillId="16" borderId="22" xfId="0" applyNumberFormat="1" applyFont="1" applyFill="1" applyBorder="1" applyAlignment="1">
      <alignment vertical="center"/>
    </xf>
    <xf numFmtId="164" fontId="48" fillId="15" borderId="28" xfId="0" applyNumberFormat="1" applyFont="1" applyFill="1" applyBorder="1" applyAlignment="1">
      <alignment vertical="center"/>
    </xf>
    <xf numFmtId="164" fontId="48" fillId="15" borderId="21" xfId="0" applyNumberFormat="1" applyFont="1" applyFill="1" applyBorder="1" applyAlignment="1">
      <alignment vertical="center"/>
    </xf>
    <xf numFmtId="164" fontId="48" fillId="0" borderId="29" xfId="0" applyNumberFormat="1" applyFont="1" applyBorder="1" applyAlignment="1">
      <alignment vertical="center"/>
    </xf>
    <xf numFmtId="164" fontId="48" fillId="15" borderId="22" xfId="0" applyNumberFormat="1" applyFont="1" applyFill="1" applyBorder="1" applyAlignment="1">
      <alignment vertical="center"/>
    </xf>
    <xf numFmtId="164" fontId="48" fillId="0" borderId="28" xfId="0" applyNumberFormat="1" applyFont="1" applyBorder="1" applyAlignment="1">
      <alignment horizontal="left" vertical="center"/>
    </xf>
    <xf numFmtId="0" fontId="48" fillId="0" borderId="26" xfId="0" applyFont="1" applyBorder="1" applyAlignment="1">
      <alignment vertical="center"/>
    </xf>
    <xf numFmtId="0" fontId="48" fillId="0" borderId="21" xfId="0" applyFont="1" applyBorder="1" applyAlignment="1">
      <alignment vertical="center"/>
    </xf>
    <xf numFmtId="0" fontId="48" fillId="0" borderId="25" xfId="0" applyFont="1" applyBorder="1" applyAlignment="1">
      <alignment vertical="center"/>
    </xf>
    <xf numFmtId="0" fontId="49" fillId="0" borderId="25" xfId="0" applyFont="1" applyBorder="1" applyAlignment="1">
      <alignment horizontal="left"/>
    </xf>
    <xf numFmtId="164" fontId="48" fillId="0" borderId="56" xfId="0" applyNumberFormat="1" applyFont="1" applyBorder="1" applyAlignment="1">
      <alignment vertical="center"/>
    </xf>
    <xf numFmtId="164" fontId="48" fillId="0" borderId="25" xfId="0" applyNumberFormat="1" applyFont="1" applyBorder="1" applyAlignment="1">
      <alignment vertical="center"/>
    </xf>
    <xf numFmtId="0" fontId="48" fillId="0" borderId="30" xfId="0" applyFont="1" applyBorder="1" applyAlignment="1">
      <alignment vertical="center"/>
    </xf>
    <xf numFmtId="167" fontId="48" fillId="0" borderId="22" xfId="0" applyNumberFormat="1" applyFont="1" applyBorder="1" applyAlignment="1">
      <alignment vertical="center"/>
    </xf>
    <xf numFmtId="0" fontId="64" fillId="10" borderId="21" xfId="0" applyFont="1" applyFill="1" applyBorder="1"/>
    <xf numFmtId="0" fontId="0" fillId="0" borderId="29" xfId="0" applyBorder="1" applyProtection="1">
      <protection locked="0"/>
    </xf>
    <xf numFmtId="0" fontId="53" fillId="10" borderId="22" xfId="0" applyFont="1" applyFill="1" applyBorder="1" applyAlignment="1">
      <alignment horizontal="right"/>
    </xf>
    <xf numFmtId="164" fontId="65" fillId="10" borderId="21" xfId="0" applyNumberFormat="1" applyFont="1" applyFill="1" applyBorder="1" applyAlignment="1">
      <alignment horizontal="left"/>
    </xf>
    <xf numFmtId="164" fontId="51" fillId="10" borderId="21" xfId="1" applyFont="1" applyFill="1" applyBorder="1" applyAlignment="1">
      <alignment horizontal="right"/>
    </xf>
    <xf numFmtId="0" fontId="67" fillId="18" borderId="28" xfId="0" applyFont="1" applyFill="1" applyBorder="1" applyAlignment="1">
      <alignment horizontal="right" vertical="center"/>
    </xf>
    <xf numFmtId="164" fontId="48" fillId="15" borderId="30" xfId="0" applyNumberFormat="1" applyFont="1" applyFill="1" applyBorder="1" applyAlignment="1">
      <alignment vertical="center"/>
    </xf>
    <xf numFmtId="0" fontId="49" fillId="15" borderId="30" xfId="0" applyFont="1" applyFill="1" applyBorder="1" applyAlignment="1">
      <alignment horizontal="left"/>
    </xf>
    <xf numFmtId="0" fontId="48" fillId="16" borderId="30" xfId="0" applyFont="1" applyFill="1" applyBorder="1" applyAlignment="1">
      <alignment vertical="center"/>
    </xf>
    <xf numFmtId="167" fontId="48" fillId="0" borderId="25" xfId="0" applyNumberFormat="1" applyFont="1" applyBorder="1" applyAlignment="1">
      <alignment vertical="center"/>
    </xf>
    <xf numFmtId="167" fontId="48" fillId="16" borderId="30" xfId="0" applyNumberFormat="1" applyFont="1" applyFill="1" applyBorder="1" applyAlignment="1">
      <alignment vertical="center"/>
    </xf>
    <xf numFmtId="0" fontId="72" fillId="16" borderId="52" xfId="0" applyFont="1" applyFill="1" applyBorder="1" applyAlignment="1">
      <alignment vertical="center"/>
    </xf>
    <xf numFmtId="0" fontId="72" fillId="0" borderId="25" xfId="0" applyFont="1" applyBorder="1" applyAlignment="1">
      <alignment vertical="center"/>
    </xf>
    <xf numFmtId="0" fontId="72" fillId="0" borderId="26" xfId="0" applyFont="1" applyBorder="1" applyAlignment="1">
      <alignment vertical="center"/>
    </xf>
    <xf numFmtId="0" fontId="49" fillId="16" borderId="30" xfId="0" applyFont="1" applyFill="1" applyBorder="1" applyAlignment="1">
      <alignment horizontal="left"/>
    </xf>
    <xf numFmtId="164" fontId="48" fillId="16" borderId="30" xfId="0" applyNumberFormat="1" applyFont="1" applyFill="1" applyBorder="1" applyAlignment="1">
      <alignment vertical="center"/>
    </xf>
    <xf numFmtId="0" fontId="72" fillId="16" borderId="21" xfId="0" applyFont="1" applyFill="1" applyBorder="1" applyAlignment="1">
      <alignment vertical="center"/>
    </xf>
    <xf numFmtId="0" fontId="72" fillId="0" borderId="21" xfId="0" applyFont="1" applyBorder="1" applyAlignment="1">
      <alignment vertical="center"/>
    </xf>
    <xf numFmtId="0" fontId="72" fillId="16" borderId="22" xfId="0" applyFont="1" applyFill="1" applyBorder="1" applyAlignment="1">
      <alignment vertical="center"/>
    </xf>
    <xf numFmtId="0" fontId="72" fillId="15" borderId="22" xfId="0" applyFont="1" applyFill="1" applyBorder="1" applyAlignment="1">
      <alignment vertical="center"/>
    </xf>
    <xf numFmtId="164" fontId="19" fillId="3" borderId="4" xfId="1" applyFont="1" applyFill="1" applyBorder="1"/>
    <xf numFmtId="164" fontId="19" fillId="0" borderId="4" xfId="1" applyFont="1" applyBorder="1"/>
    <xf numFmtId="0" fontId="17" fillId="2" borderId="47" xfId="0" applyFont="1" applyFill="1" applyBorder="1"/>
    <xf numFmtId="0" fontId="19" fillId="3" borderId="47" xfId="0" applyFont="1" applyFill="1" applyBorder="1"/>
    <xf numFmtId="0" fontId="19" fillId="0" borderId="47" xfId="0" applyFont="1" applyBorder="1"/>
    <xf numFmtId="164" fontId="19" fillId="3" borderId="47" xfId="1" applyFont="1" applyFill="1" applyBorder="1"/>
    <xf numFmtId="164" fontId="19" fillId="0" borderId="47" xfId="1" applyFont="1" applyBorder="1"/>
    <xf numFmtId="0" fontId="59" fillId="0" borderId="0" xfId="0" applyFont="1" applyAlignment="1">
      <alignment vertical="center"/>
    </xf>
    <xf numFmtId="0" fontId="27" fillId="0" borderId="0" xfId="0" applyFont="1"/>
    <xf numFmtId="0" fontId="24" fillId="2" borderId="44" xfId="0" applyFont="1" applyFill="1" applyBorder="1"/>
    <xf numFmtId="165" fontId="24" fillId="2" borderId="47" xfId="1" applyNumberFormat="1" applyFont="1" applyFill="1" applyBorder="1"/>
    <xf numFmtId="165" fontId="21" fillId="3" borderId="47" xfId="1" applyNumberFormat="1" applyFont="1" applyFill="1" applyBorder="1"/>
    <xf numFmtId="165" fontId="21" fillId="0" borderId="47" xfId="1" applyNumberFormat="1" applyFont="1" applyBorder="1"/>
    <xf numFmtId="0" fontId="19" fillId="3" borderId="42" xfId="0" applyFont="1" applyFill="1" applyBorder="1" applyAlignment="1">
      <alignment horizontal="left" vertical="top"/>
    </xf>
    <xf numFmtId="0" fontId="19" fillId="0" borderId="42" xfId="0" applyFont="1" applyBorder="1" applyAlignment="1">
      <alignment horizontal="left" vertical="top"/>
    </xf>
    <xf numFmtId="0" fontId="19" fillId="3" borderId="48" xfId="0" applyFont="1" applyFill="1" applyBorder="1" applyAlignment="1">
      <alignment horizontal="left" vertical="top"/>
    </xf>
    <xf numFmtId="0" fontId="19" fillId="3" borderId="46" xfId="0" applyFont="1" applyFill="1" applyBorder="1" applyAlignment="1">
      <alignment horizontal="left" vertical="top"/>
    </xf>
    <xf numFmtId="0" fontId="29" fillId="0" borderId="42" xfId="0" applyFont="1" applyBorder="1"/>
    <xf numFmtId="0" fontId="30" fillId="0" borderId="42" xfId="0" applyFont="1" applyBorder="1"/>
    <xf numFmtId="44" fontId="30" fillId="0" borderId="43" xfId="0" applyNumberFormat="1" applyFont="1" applyBorder="1"/>
    <xf numFmtId="164" fontId="30" fillId="0" borderId="43" xfId="0" applyNumberFormat="1" applyFont="1" applyBorder="1"/>
    <xf numFmtId="0" fontId="30" fillId="0" borderId="48" xfId="0" applyFont="1" applyBorder="1"/>
    <xf numFmtId="164" fontId="30" fillId="0" borderId="46" xfId="0" applyNumberFormat="1" applyFont="1" applyBorder="1"/>
    <xf numFmtId="0" fontId="29" fillId="2" borderId="44" xfId="0" applyFont="1" applyFill="1" applyBorder="1"/>
    <xf numFmtId="0" fontId="30" fillId="0" borderId="44" xfId="0" applyFont="1" applyBorder="1"/>
    <xf numFmtId="44" fontId="30" fillId="0" borderId="47" xfId="0" applyNumberFormat="1" applyFont="1" applyBorder="1"/>
    <xf numFmtId="0" fontId="30" fillId="3" borderId="44" xfId="0" applyFont="1" applyFill="1" applyBorder="1"/>
    <xf numFmtId="44" fontId="30" fillId="3" borderId="47" xfId="0" applyNumberFormat="1" applyFont="1" applyFill="1" applyBorder="1"/>
    <xf numFmtId="0" fontId="30" fillId="0" borderId="50" xfId="0" applyFont="1" applyBorder="1"/>
    <xf numFmtId="0" fontId="19" fillId="17" borderId="61" xfId="0" applyFont="1" applyFill="1" applyBorder="1"/>
    <xf numFmtId="0" fontId="19" fillId="0" borderId="61" xfId="0" applyFont="1" applyBorder="1"/>
    <xf numFmtId="0" fontId="21" fillId="0" borderId="59" xfId="0" applyFont="1" applyBorder="1"/>
    <xf numFmtId="165" fontId="21" fillId="0" borderId="60" xfId="1" applyNumberFormat="1" applyFont="1" applyBorder="1"/>
    <xf numFmtId="164" fontId="21" fillId="3" borderId="47" xfId="1" applyFont="1" applyFill="1" applyBorder="1"/>
    <xf numFmtId="164" fontId="21" fillId="0" borderId="47" xfId="1" applyFont="1" applyBorder="1"/>
    <xf numFmtId="0" fontId="41" fillId="0" borderId="42" xfId="0" applyFont="1" applyBorder="1" applyAlignment="1">
      <alignment vertical="center"/>
    </xf>
    <xf numFmtId="165" fontId="21" fillId="0" borderId="43" xfId="1" applyNumberFormat="1" applyFont="1" applyBorder="1"/>
    <xf numFmtId="164" fontId="21" fillId="0" borderId="43" xfId="1" applyFont="1" applyBorder="1"/>
    <xf numFmtId="0" fontId="17" fillId="2" borderId="44" xfId="0" applyFont="1" applyFill="1" applyBorder="1"/>
    <xf numFmtId="0" fontId="41" fillId="3" borderId="44" xfId="0" applyFont="1" applyFill="1" applyBorder="1" applyAlignment="1">
      <alignment vertical="center"/>
    </xf>
    <xf numFmtId="0" fontId="41" fillId="0" borderId="44" xfId="0" applyFont="1" applyBorder="1" applyAlignment="1">
      <alignment vertical="center"/>
    </xf>
    <xf numFmtId="0" fontId="23" fillId="0" borderId="43" xfId="0" applyFont="1" applyBorder="1"/>
    <xf numFmtId="0" fontId="24" fillId="2" borderId="58" xfId="0" applyFont="1" applyFill="1" applyBorder="1"/>
    <xf numFmtId="0" fontId="24" fillId="2" borderId="50" xfId="0" applyFont="1" applyFill="1" applyBorder="1"/>
    <xf numFmtId="0" fontId="21" fillId="3" borderId="58" xfId="0" applyFont="1" applyFill="1" applyBorder="1"/>
    <xf numFmtId="0" fontId="21" fillId="3" borderId="50" xfId="0" applyFont="1" applyFill="1" applyBorder="1"/>
    <xf numFmtId="0" fontId="21" fillId="0" borderId="58" xfId="0" applyFont="1" applyBorder="1"/>
    <xf numFmtId="0" fontId="21" fillId="0" borderId="50" xfId="0" applyFont="1" applyBorder="1"/>
    <xf numFmtId="0" fontId="24" fillId="2" borderId="47" xfId="0" applyFont="1" applyFill="1" applyBorder="1"/>
    <xf numFmtId="0" fontId="24" fillId="2" borderId="42" xfId="0" applyFont="1" applyFill="1" applyBorder="1"/>
    <xf numFmtId="0" fontId="24" fillId="2" borderId="43" xfId="0" applyFont="1" applyFill="1" applyBorder="1"/>
    <xf numFmtId="0" fontId="21" fillId="3" borderId="42" xfId="0" applyFont="1" applyFill="1" applyBorder="1"/>
    <xf numFmtId="164" fontId="21" fillId="3" borderId="43" xfId="1" applyFont="1" applyFill="1" applyBorder="1"/>
    <xf numFmtId="164" fontId="24" fillId="2" borderId="43" xfId="1" applyFont="1" applyFill="1" applyBorder="1"/>
    <xf numFmtId="9" fontId="47" fillId="10" borderId="28" xfId="0" applyNumberFormat="1" applyFont="1" applyFill="1" applyBorder="1" applyAlignment="1">
      <alignment horizontal="right"/>
    </xf>
    <xf numFmtId="9" fontId="53" fillId="10" borderId="28" xfId="0" applyNumberFormat="1" applyFont="1" applyFill="1" applyBorder="1" applyAlignment="1">
      <alignment horizontal="right"/>
    </xf>
    <xf numFmtId="164" fontId="47" fillId="10" borderId="21" xfId="0" applyNumberFormat="1" applyFont="1" applyFill="1" applyBorder="1" applyAlignment="1">
      <alignment horizontal="right"/>
    </xf>
    <xf numFmtId="164" fontId="53" fillId="10" borderId="21" xfId="0" applyNumberFormat="1" applyFont="1" applyFill="1" applyBorder="1" applyAlignment="1">
      <alignment horizontal="right"/>
    </xf>
    <xf numFmtId="164" fontId="0" fillId="0" borderId="0" xfId="0" applyNumberFormat="1"/>
    <xf numFmtId="1" fontId="42" fillId="11" borderId="1" xfId="15" applyNumberFormat="1" applyFill="1" applyBorder="1" applyProtection="1"/>
    <xf numFmtId="0" fontId="72" fillId="0" borderId="21" xfId="0" applyFont="1" applyBorder="1" applyAlignment="1">
      <alignment horizontal="left" vertical="center"/>
    </xf>
    <xf numFmtId="0" fontId="72" fillId="15" borderId="21" xfId="0" applyFont="1" applyFill="1" applyBorder="1" applyAlignment="1">
      <alignment vertical="center"/>
    </xf>
    <xf numFmtId="1" fontId="42" fillId="11" borderId="63" xfId="15" applyNumberFormat="1" applyFill="1" applyBorder="1" applyProtection="1"/>
    <xf numFmtId="0" fontId="42" fillId="8" borderId="64" xfId="15" applyBorder="1" applyAlignment="1">
      <alignment horizontal="left"/>
    </xf>
    <xf numFmtId="1" fontId="42" fillId="11" borderId="27" xfId="15" applyNumberFormat="1" applyFill="1" applyBorder="1" applyProtection="1"/>
    <xf numFmtId="178" fontId="0" fillId="0" borderId="42" xfId="0" applyNumberFormat="1" applyBorder="1"/>
    <xf numFmtId="0" fontId="0" fillId="5" borderId="0" xfId="0" applyFill="1"/>
    <xf numFmtId="165" fontId="21" fillId="5" borderId="0" xfId="1" applyNumberFormat="1" applyFont="1" applyFill="1" applyBorder="1"/>
    <xf numFmtId="0" fontId="19" fillId="5" borderId="0" xfId="0" applyFont="1" applyFill="1"/>
    <xf numFmtId="44" fontId="19" fillId="5" borderId="0" xfId="0" applyNumberFormat="1" applyFont="1" applyFill="1"/>
    <xf numFmtId="0" fontId="21" fillId="5" borderId="0" xfId="0" applyFont="1" applyFill="1"/>
    <xf numFmtId="165" fontId="21" fillId="5" borderId="0" xfId="1" applyNumberFormat="1" applyFont="1" applyFill="1"/>
    <xf numFmtId="0" fontId="24" fillId="2" borderId="0" xfId="0" applyFont="1" applyFill="1"/>
    <xf numFmtId="165" fontId="21" fillId="3" borderId="0" xfId="1" applyNumberFormat="1" applyFont="1" applyFill="1" applyBorder="1"/>
    <xf numFmtId="164" fontId="74" fillId="0" borderId="0" xfId="0" applyNumberFormat="1" applyFont="1"/>
    <xf numFmtId="164" fontId="65" fillId="10" borderId="22" xfId="0" applyNumberFormat="1" applyFont="1" applyFill="1" applyBorder="1" applyAlignment="1">
      <alignment horizontal="left"/>
    </xf>
    <xf numFmtId="0" fontId="0" fillId="0" borderId="69" xfId="0" applyBorder="1"/>
    <xf numFmtId="0" fontId="0" fillId="0" borderId="70" xfId="0" applyBorder="1"/>
    <xf numFmtId="0" fontId="0" fillId="0" borderId="71" xfId="0" applyBorder="1"/>
    <xf numFmtId="0" fontId="0" fillId="0" borderId="72" xfId="0" applyBorder="1"/>
    <xf numFmtId="179" fontId="0" fillId="0" borderId="0" xfId="0" applyNumberFormat="1"/>
    <xf numFmtId="164" fontId="21" fillId="3" borderId="74" xfId="1" applyFont="1" applyFill="1" applyBorder="1"/>
    <xf numFmtId="0" fontId="0" fillId="0" borderId="18" xfId="0" applyBorder="1"/>
    <xf numFmtId="0" fontId="0" fillId="20" borderId="30" xfId="0" applyFill="1" applyBorder="1"/>
    <xf numFmtId="180" fontId="0" fillId="0" borderId="0" xfId="0" applyNumberFormat="1"/>
    <xf numFmtId="181" fontId="0" fillId="0" borderId="0" xfId="0" applyNumberFormat="1"/>
    <xf numFmtId="182" fontId="0" fillId="0" borderId="0" xfId="0" applyNumberFormat="1"/>
    <xf numFmtId="0" fontId="73" fillId="0" borderId="0" xfId="0" applyFont="1"/>
    <xf numFmtId="9" fontId="53" fillId="10" borderId="29" xfId="0" applyNumberFormat="1" applyFont="1" applyFill="1" applyBorder="1" applyAlignment="1">
      <alignment horizontal="right"/>
    </xf>
    <xf numFmtId="0" fontId="72" fillId="15" borderId="30" xfId="0" applyFont="1" applyFill="1" applyBorder="1" applyAlignment="1">
      <alignment vertical="center"/>
    </xf>
    <xf numFmtId="1" fontId="42" fillId="11" borderId="79" xfId="15" applyNumberFormat="1" applyFill="1" applyBorder="1" applyProtection="1"/>
    <xf numFmtId="0" fontId="42" fillId="8" borderId="80" xfId="15" applyBorder="1" applyAlignment="1">
      <alignment horizontal="left"/>
    </xf>
    <xf numFmtId="0" fontId="48" fillId="16" borderId="21" xfId="0" applyFont="1" applyFill="1" applyBorder="1" applyAlignment="1">
      <alignment vertical="center"/>
    </xf>
    <xf numFmtId="0" fontId="48" fillId="16" borderId="25" xfId="0" applyFont="1" applyFill="1" applyBorder="1" applyAlignment="1">
      <alignment vertical="center"/>
    </xf>
    <xf numFmtId="0" fontId="48" fillId="15" borderId="21" xfId="0" applyFont="1" applyFill="1" applyBorder="1" applyAlignment="1">
      <alignment vertical="center"/>
    </xf>
    <xf numFmtId="0" fontId="48" fillId="15" borderId="22" xfId="0" applyFont="1" applyFill="1" applyBorder="1" applyAlignment="1">
      <alignment vertical="center"/>
    </xf>
    <xf numFmtId="164" fontId="48" fillId="16" borderId="24" xfId="0" applyNumberFormat="1" applyFont="1" applyFill="1" applyBorder="1" applyAlignment="1">
      <alignment vertical="center"/>
    </xf>
    <xf numFmtId="167" fontId="48" fillId="16" borderId="25" xfId="0" applyNumberFormat="1" applyFont="1" applyFill="1" applyBorder="1" applyAlignment="1">
      <alignment vertical="center"/>
    </xf>
    <xf numFmtId="164" fontId="48" fillId="16" borderId="26" xfId="0" applyNumberFormat="1" applyFont="1" applyFill="1" applyBorder="1" applyAlignment="1">
      <alignment vertical="center"/>
    </xf>
    <xf numFmtId="0" fontId="0" fillId="0" borderId="28" xfId="0" applyBorder="1"/>
    <xf numFmtId="0" fontId="0" fillId="0" borderId="21" xfId="0" applyBorder="1"/>
    <xf numFmtId="0" fontId="80" fillId="8" borderId="85" xfId="15" applyFont="1" applyBorder="1" applyAlignment="1">
      <alignment horizontal="left"/>
    </xf>
    <xf numFmtId="0" fontId="0" fillId="22" borderId="28" xfId="0" applyFill="1" applyBorder="1"/>
    <xf numFmtId="0" fontId="80" fillId="20" borderId="85" xfId="15" applyFont="1" applyFill="1" applyBorder="1" applyAlignment="1">
      <alignment horizontal="left"/>
    </xf>
    <xf numFmtId="0" fontId="0" fillId="20" borderId="0" xfId="0" applyFill="1"/>
    <xf numFmtId="0" fontId="82" fillId="8" borderId="85" xfId="15" applyFont="1" applyBorder="1" applyAlignment="1">
      <alignment horizontal="left"/>
    </xf>
    <xf numFmtId="0" fontId="0" fillId="0" borderId="29" xfId="0" applyBorder="1"/>
    <xf numFmtId="9" fontId="80" fillId="8" borderId="87" xfId="15" applyNumberFormat="1" applyFont="1" applyBorder="1" applyAlignment="1">
      <alignment horizontal="left"/>
    </xf>
    <xf numFmtId="0" fontId="0" fillId="0" borderId="22" xfId="0" applyBorder="1"/>
    <xf numFmtId="6" fontId="42" fillId="8" borderId="85" xfId="15" applyNumberFormat="1" applyBorder="1"/>
    <xf numFmtId="9" fontId="42" fillId="8" borderId="12" xfId="15" applyNumberFormat="1" applyBorder="1"/>
    <xf numFmtId="9" fontId="42" fillId="8" borderId="23" xfId="15" applyNumberFormat="1"/>
    <xf numFmtId="184" fontId="42" fillId="8" borderId="85" xfId="15" applyNumberFormat="1" applyBorder="1"/>
    <xf numFmtId="1" fontId="89" fillId="24" borderId="23" xfId="16" applyNumberFormat="1" applyFont="1" applyFill="1"/>
    <xf numFmtId="170" fontId="43" fillId="9" borderId="85" xfId="16" applyNumberFormat="1" applyBorder="1"/>
    <xf numFmtId="9" fontId="42" fillId="8" borderId="85" xfId="15" applyNumberFormat="1" applyBorder="1"/>
    <xf numFmtId="1" fontId="43" fillId="9" borderId="23" xfId="16" applyNumberFormat="1"/>
    <xf numFmtId="9" fontId="42" fillId="8" borderId="80" xfId="15" applyNumberFormat="1" applyBorder="1"/>
    <xf numFmtId="2" fontId="43" fillId="9" borderId="85" xfId="16" applyNumberFormat="1" applyBorder="1"/>
    <xf numFmtId="165" fontId="43" fillId="24" borderId="23" xfId="16" applyNumberFormat="1" applyFill="1"/>
    <xf numFmtId="9" fontId="42" fillId="8" borderId="87" xfId="15" applyNumberFormat="1" applyBorder="1"/>
    <xf numFmtId="0" fontId="0" fillId="0" borderId="30" xfId="0" applyBorder="1"/>
    <xf numFmtId="0" fontId="27" fillId="0" borderId="24" xfId="0" applyFont="1" applyBorder="1"/>
    <xf numFmtId="0" fontId="27" fillId="0" borderId="25" xfId="0" applyFont="1" applyBorder="1"/>
    <xf numFmtId="0" fontId="27" fillId="0" borderId="26" xfId="0" applyFont="1" applyBorder="1"/>
    <xf numFmtId="0" fontId="27" fillId="0" borderId="11" xfId="0" applyFont="1" applyBorder="1"/>
    <xf numFmtId="0" fontId="0" fillId="0" borderId="7" xfId="0" applyBorder="1"/>
    <xf numFmtId="0" fontId="0" fillId="22" borderId="0" xfId="0" applyFill="1"/>
    <xf numFmtId="0" fontId="0" fillId="22" borderId="21" xfId="0" applyFill="1" applyBorder="1"/>
    <xf numFmtId="0" fontId="0" fillId="22" borderId="7" xfId="0" applyFill="1" applyBorder="1"/>
    <xf numFmtId="0" fontId="0" fillId="0" borderId="10" xfId="0" applyBorder="1"/>
    <xf numFmtId="0" fontId="0" fillId="0" borderId="12" xfId="0" applyBorder="1" applyAlignment="1">
      <alignment horizontal="center"/>
    </xf>
    <xf numFmtId="0" fontId="92" fillId="0" borderId="0" xfId="0" applyFont="1" applyAlignment="1">
      <alignment vertical="center"/>
    </xf>
    <xf numFmtId="0" fontId="92" fillId="0" borderId="0" xfId="0" applyFont="1" applyAlignment="1">
      <alignment horizontal="center" vertical="center"/>
    </xf>
    <xf numFmtId="8" fontId="92" fillId="0" borderId="0" xfId="0" applyNumberFormat="1" applyFont="1" applyAlignment="1">
      <alignment vertical="center"/>
    </xf>
    <xf numFmtId="164" fontId="48" fillId="15" borderId="29" xfId="0" applyNumberFormat="1" applyFont="1" applyFill="1" applyBorder="1" applyAlignment="1">
      <alignment vertical="center"/>
    </xf>
    <xf numFmtId="165" fontId="0" fillId="0" borderId="0" xfId="23" applyNumberFormat="1" applyFont="1" applyBorder="1"/>
    <xf numFmtId="165" fontId="0" fillId="0" borderId="0" xfId="23" applyNumberFormat="1" applyFont="1"/>
    <xf numFmtId="165" fontId="0" fillId="0" borderId="22" xfId="23" applyNumberFormat="1" applyFont="1" applyBorder="1"/>
    <xf numFmtId="165" fontId="0" fillId="0" borderId="30" xfId="23" applyNumberFormat="1" applyFont="1" applyBorder="1"/>
    <xf numFmtId="165" fontId="0" fillId="0" borderId="29" xfId="23" applyNumberFormat="1" applyFont="1" applyBorder="1"/>
    <xf numFmtId="165" fontId="0" fillId="0" borderId="21" xfId="23" applyNumberFormat="1" applyFont="1" applyBorder="1"/>
    <xf numFmtId="165" fontId="0" fillId="0" borderId="28" xfId="23" applyNumberFormat="1" applyFont="1" applyBorder="1"/>
    <xf numFmtId="44" fontId="42" fillId="8" borderId="85" xfId="23" applyFont="1" applyFill="1" applyBorder="1"/>
    <xf numFmtId="9" fontId="27" fillId="0" borderId="0" xfId="24" applyFont="1"/>
    <xf numFmtId="165" fontId="0" fillId="0" borderId="26" xfId="23" applyNumberFormat="1" applyFont="1" applyBorder="1"/>
    <xf numFmtId="165" fontId="0" fillId="0" borderId="25" xfId="23" applyNumberFormat="1" applyFont="1" applyBorder="1"/>
    <xf numFmtId="165" fontId="0" fillId="0" borderId="24" xfId="23" applyNumberFormat="1" applyFont="1" applyBorder="1"/>
    <xf numFmtId="9" fontId="93" fillId="8" borderId="85" xfId="24" applyFont="1" applyFill="1" applyBorder="1" applyAlignment="1">
      <alignment horizontal="center"/>
    </xf>
    <xf numFmtId="184" fontId="15" fillId="0" borderId="0" xfId="24" applyNumberFormat="1" applyFont="1" applyBorder="1"/>
    <xf numFmtId="184" fontId="83" fillId="0" borderId="0" xfId="24" applyNumberFormat="1" applyFont="1" applyBorder="1"/>
    <xf numFmtId="184" fontId="15" fillId="0" borderId="22" xfId="24" applyNumberFormat="1" applyFont="1" applyBorder="1"/>
    <xf numFmtId="184" fontId="83" fillId="0" borderId="30" xfId="24" applyNumberFormat="1" applyFont="1" applyBorder="1"/>
    <xf numFmtId="184" fontId="15" fillId="0" borderId="30" xfId="24" applyNumberFormat="1" applyFont="1" applyBorder="1"/>
    <xf numFmtId="184" fontId="0" fillId="0" borderId="22" xfId="24" applyNumberFormat="1" applyFont="1" applyBorder="1"/>
    <xf numFmtId="184" fontId="0" fillId="0" borderId="30" xfId="24" applyNumberFormat="1" applyFont="1" applyBorder="1"/>
    <xf numFmtId="1" fontId="42" fillId="8" borderId="85" xfId="23" applyNumberFormat="1" applyFont="1" applyFill="1" applyBorder="1" applyAlignment="1">
      <alignment horizontal="right"/>
    </xf>
    <xf numFmtId="6" fontId="42" fillId="8" borderId="85" xfId="23" applyNumberFormat="1" applyFont="1" applyFill="1" applyBorder="1"/>
    <xf numFmtId="9" fontId="0" fillId="0" borderId="22" xfId="24" applyFont="1" applyBorder="1"/>
    <xf numFmtId="9" fontId="0" fillId="0" borderId="30" xfId="24" applyFont="1" applyBorder="1"/>
    <xf numFmtId="0" fontId="43" fillId="9" borderId="1" xfId="16" applyBorder="1"/>
    <xf numFmtId="44" fontId="43" fillId="9" borderId="1" xfId="16" applyNumberFormat="1" applyBorder="1"/>
    <xf numFmtId="44" fontId="43" fillId="9" borderId="1" xfId="23" applyFont="1" applyFill="1" applyBorder="1"/>
    <xf numFmtId="0" fontId="39" fillId="0" borderId="7" xfId="0" applyFont="1" applyBorder="1" applyAlignment="1">
      <alignment vertical="top"/>
    </xf>
    <xf numFmtId="0" fontId="40" fillId="0" borderId="7" xfId="0" applyFont="1" applyBorder="1" applyAlignment="1">
      <alignment vertical="top"/>
    </xf>
    <xf numFmtId="0" fontId="40" fillId="0" borderId="10" xfId="0" applyFont="1" applyBorder="1" applyAlignment="1">
      <alignment vertical="top"/>
    </xf>
    <xf numFmtId="0" fontId="39" fillId="0" borderId="21" xfId="0" applyFont="1" applyBorder="1" applyAlignment="1">
      <alignment vertical="top" wrapText="1"/>
    </xf>
    <xf numFmtId="0" fontId="39" fillId="0" borderId="21" xfId="0" applyFont="1" applyBorder="1" applyAlignment="1">
      <alignment vertical="top"/>
    </xf>
    <xf numFmtId="0" fontId="39" fillId="0" borderId="22" xfId="0" applyFont="1" applyBorder="1" applyAlignment="1">
      <alignment vertical="top"/>
    </xf>
    <xf numFmtId="0" fontId="42" fillId="11" borderId="64" xfId="15" applyFill="1" applyBorder="1" applyAlignment="1">
      <alignment horizontal="left"/>
    </xf>
    <xf numFmtId="0" fontId="62" fillId="10" borderId="28" xfId="0" applyFont="1" applyFill="1" applyBorder="1" applyAlignment="1">
      <alignment vertical="center"/>
    </xf>
    <xf numFmtId="0" fontId="48" fillId="15" borderId="30" xfId="0" applyFont="1" applyFill="1" applyBorder="1" applyAlignment="1">
      <alignment vertical="center"/>
    </xf>
    <xf numFmtId="167" fontId="48" fillId="15" borderId="30" xfId="0" applyNumberFormat="1" applyFont="1" applyFill="1" applyBorder="1" applyAlignment="1">
      <alignment vertical="center"/>
    </xf>
    <xf numFmtId="14" fontId="0" fillId="0" borderId="0" xfId="0" applyNumberFormat="1"/>
    <xf numFmtId="167" fontId="48" fillId="0" borderId="30" xfId="0" applyNumberFormat="1" applyFont="1" applyBorder="1" applyAlignment="1">
      <alignment vertical="center"/>
    </xf>
    <xf numFmtId="0" fontId="21" fillId="0" borderId="47" xfId="1" applyNumberFormat="1" applyFont="1" applyBorder="1"/>
    <xf numFmtId="0" fontId="72" fillId="0" borderId="30" xfId="0" applyFont="1" applyBorder="1" applyAlignment="1">
      <alignment vertical="center"/>
    </xf>
    <xf numFmtId="164" fontId="48" fillId="0" borderId="57" xfId="0" applyNumberFormat="1" applyFont="1" applyBorder="1" applyAlignment="1">
      <alignment vertical="center"/>
    </xf>
    <xf numFmtId="0" fontId="0" fillId="0" borderId="28" xfId="0" applyBorder="1" applyAlignment="1">
      <alignment horizontal="center"/>
    </xf>
    <xf numFmtId="10" fontId="0" fillId="0" borderId="0" xfId="0" applyNumberFormat="1"/>
    <xf numFmtId="1" fontId="42" fillId="28" borderId="1" xfId="15" applyNumberFormat="1" applyFill="1" applyBorder="1" applyProtection="1"/>
    <xf numFmtId="178" fontId="42" fillId="8" borderId="80" xfId="15" applyNumberFormat="1" applyBorder="1" applyAlignment="1">
      <alignment horizontal="left"/>
    </xf>
    <xf numFmtId="169" fontId="72" fillId="16" borderId="30" xfId="0" applyNumberFormat="1" applyFont="1" applyFill="1" applyBorder="1" applyAlignment="1">
      <alignment vertical="center"/>
    </xf>
    <xf numFmtId="0" fontId="77" fillId="0" borderId="24" xfId="27" applyFont="1" applyBorder="1" applyAlignment="1">
      <alignment horizontal="center"/>
    </xf>
    <xf numFmtId="0" fontId="77" fillId="0" borderId="26" xfId="27" applyFont="1" applyBorder="1" applyAlignment="1">
      <alignment horizontal="center"/>
    </xf>
    <xf numFmtId="0" fontId="11" fillId="0" borderId="0" xfId="27"/>
    <xf numFmtId="0" fontId="97" fillId="0" borderId="28" xfId="27" applyFont="1" applyBorder="1"/>
    <xf numFmtId="0" fontId="97" fillId="0" borderId="21" xfId="27" applyFont="1" applyBorder="1"/>
    <xf numFmtId="6" fontId="11" fillId="0" borderId="0" xfId="27" applyNumberFormat="1"/>
    <xf numFmtId="0" fontId="11" fillId="0" borderId="28" xfId="27" applyBorder="1"/>
    <xf numFmtId="49" fontId="97" fillId="0" borderId="21" xfId="27" applyNumberFormat="1" applyFont="1" applyBorder="1"/>
    <xf numFmtId="0" fontId="79" fillId="0" borderId="28" xfId="27" applyFont="1" applyBorder="1" applyAlignment="1">
      <alignment horizontal="center"/>
    </xf>
    <xf numFmtId="0" fontId="82" fillId="8" borderId="23" xfId="15" applyFont="1" applyAlignment="1">
      <alignment horizontal="center"/>
    </xf>
    <xf numFmtId="2" fontId="27" fillId="0" borderId="0" xfId="27" applyNumberFormat="1" applyFont="1"/>
    <xf numFmtId="0" fontId="11" fillId="22" borderId="28" xfId="27" applyFill="1" applyBorder="1"/>
    <xf numFmtId="0" fontId="11" fillId="20" borderId="28" xfId="27" applyFill="1" applyBorder="1"/>
    <xf numFmtId="44" fontId="80" fillId="8" borderId="23" xfId="23" applyFont="1" applyFill="1" applyBorder="1" applyAlignment="1">
      <alignment horizontal="left"/>
    </xf>
    <xf numFmtId="183" fontId="42" fillId="8" borderId="85" xfId="23" applyNumberFormat="1" applyFont="1" applyFill="1" applyBorder="1" applyAlignment="1">
      <alignment horizontal="left"/>
    </xf>
    <xf numFmtId="0" fontId="84" fillId="0" borderId="28" xfId="27" applyFont="1" applyBorder="1"/>
    <xf numFmtId="0" fontId="42" fillId="8" borderId="23" xfId="15"/>
    <xf numFmtId="0" fontId="86" fillId="0" borderId="25" xfId="27" applyFont="1" applyBorder="1"/>
    <xf numFmtId="0" fontId="87" fillId="21" borderId="25" xfId="26" applyFont="1" applyBorder="1"/>
    <xf numFmtId="6" fontId="0" fillId="21" borderId="0" xfId="26" applyNumberFormat="1" applyFont="1" applyBorder="1"/>
    <xf numFmtId="6" fontId="0" fillId="21" borderId="21" xfId="26" applyNumberFormat="1" applyFont="1" applyBorder="1"/>
    <xf numFmtId="1" fontId="15" fillId="0" borderId="0" xfId="27" applyNumberFormat="1" applyFont="1"/>
    <xf numFmtId="184" fontId="42" fillId="8" borderId="89" xfId="24" applyNumberFormat="1" applyFont="1" applyFill="1" applyBorder="1"/>
    <xf numFmtId="0" fontId="11" fillId="0" borderId="29" xfId="27" applyBorder="1"/>
    <xf numFmtId="0" fontId="11" fillId="0" borderId="1" xfId="27" applyBorder="1"/>
    <xf numFmtId="1" fontId="89" fillId="24" borderId="85" xfId="16" applyNumberFormat="1" applyFont="1" applyFill="1" applyBorder="1"/>
    <xf numFmtId="0" fontId="27" fillId="0" borderId="1" xfId="27" applyFont="1" applyBorder="1"/>
    <xf numFmtId="0" fontId="85" fillId="0" borderId="1" xfId="27" applyFont="1" applyBorder="1"/>
    <xf numFmtId="1" fontId="43" fillId="9" borderId="85" xfId="16" applyNumberFormat="1" applyBorder="1"/>
    <xf numFmtId="165" fontId="99" fillId="24" borderId="23" xfId="16" applyNumberFormat="1" applyFont="1" applyFill="1"/>
    <xf numFmtId="165" fontId="11" fillId="0" borderId="0" xfId="27" applyNumberFormat="1"/>
    <xf numFmtId="0" fontId="84" fillId="0" borderId="1" xfId="27" applyFont="1" applyBorder="1"/>
    <xf numFmtId="183" fontId="83" fillId="0" borderId="30" xfId="23" applyNumberFormat="1" applyFont="1" applyBorder="1"/>
    <xf numFmtId="183" fontId="83" fillId="0" borderId="22" xfId="23" applyNumberFormat="1" applyFont="1" applyBorder="1"/>
    <xf numFmtId="183" fontId="11" fillId="0" borderId="0" xfId="27" applyNumberFormat="1"/>
    <xf numFmtId="165" fontId="43" fillId="24" borderId="85" xfId="16" applyNumberFormat="1" applyFill="1" applyBorder="1"/>
    <xf numFmtId="1" fontId="11" fillId="0" borderId="1" xfId="27" applyNumberFormat="1" applyBorder="1"/>
    <xf numFmtId="185" fontId="11" fillId="0" borderId="0" xfId="27" applyNumberFormat="1"/>
    <xf numFmtId="0" fontId="11" fillId="5" borderId="28" xfId="27" applyFill="1" applyBorder="1"/>
    <xf numFmtId="0" fontId="84" fillId="18" borderId="28" xfId="27" applyFont="1" applyFill="1" applyBorder="1"/>
    <xf numFmtId="1" fontId="11" fillId="0" borderId="0" xfId="27" applyNumberFormat="1"/>
    <xf numFmtId="0" fontId="27" fillId="5" borderId="28" xfId="27" applyFont="1" applyFill="1" applyBorder="1"/>
    <xf numFmtId="0" fontId="84" fillId="5" borderId="28" xfId="27" applyFont="1" applyFill="1" applyBorder="1"/>
    <xf numFmtId="0" fontId="11" fillId="5" borderId="29" xfId="27" applyFill="1" applyBorder="1"/>
    <xf numFmtId="0" fontId="84" fillId="0" borderId="0" xfId="27" applyFont="1"/>
    <xf numFmtId="9" fontId="11" fillId="0" borderId="0" xfId="27" applyNumberFormat="1"/>
    <xf numFmtId="165" fontId="11" fillId="0" borderId="76" xfId="27" applyNumberFormat="1" applyBorder="1"/>
    <xf numFmtId="165" fontId="11" fillId="0" borderId="84" xfId="27" applyNumberFormat="1" applyBorder="1"/>
    <xf numFmtId="165" fontId="11" fillId="0" borderId="73" xfId="27" applyNumberFormat="1" applyBorder="1"/>
    <xf numFmtId="165" fontId="11" fillId="0" borderId="75" xfId="27" applyNumberFormat="1" applyBorder="1"/>
    <xf numFmtId="165" fontId="11" fillId="0" borderId="13" xfId="27" applyNumberFormat="1" applyBorder="1"/>
    <xf numFmtId="165" fontId="11" fillId="0" borderId="6" xfId="27" applyNumberFormat="1" applyBorder="1"/>
    <xf numFmtId="165" fontId="11" fillId="0" borderId="14" xfId="27" applyNumberFormat="1" applyBorder="1"/>
    <xf numFmtId="165" fontId="11" fillId="0" borderId="9" xfId="27" applyNumberFormat="1" applyBorder="1"/>
    <xf numFmtId="170" fontId="11" fillId="0" borderId="0" xfId="27" applyNumberFormat="1"/>
    <xf numFmtId="0" fontId="0" fillId="0" borderId="0" xfId="0" applyAlignment="1">
      <alignment wrapText="1"/>
    </xf>
    <xf numFmtId="0" fontId="96" fillId="0" borderId="0" xfId="0" applyFont="1" applyAlignment="1">
      <alignment wrapText="1"/>
    </xf>
    <xf numFmtId="0" fontId="78" fillId="0" borderId="24" xfId="0" applyFont="1" applyBorder="1" applyAlignment="1">
      <alignment wrapText="1"/>
    </xf>
    <xf numFmtId="0" fontId="78" fillId="0" borderId="25" xfId="0" applyFont="1" applyBorder="1" applyAlignment="1">
      <alignment wrapText="1"/>
    </xf>
    <xf numFmtId="0" fontId="78" fillId="0" borderId="26" xfId="0" applyFont="1" applyBorder="1" applyAlignment="1">
      <alignment wrapText="1"/>
    </xf>
    <xf numFmtId="0" fontId="78" fillId="0" borderId="0" xfId="0" applyFont="1" applyAlignment="1">
      <alignment wrapText="1"/>
    </xf>
    <xf numFmtId="0" fontId="15" fillId="0" borderId="0" xfId="0" applyFont="1"/>
    <xf numFmtId="6" fontId="0" fillId="0" borderId="0" xfId="0" applyNumberFormat="1"/>
    <xf numFmtId="6" fontId="84" fillId="0" borderId="0" xfId="0" applyNumberFormat="1" applyFont="1"/>
    <xf numFmtId="0" fontId="15" fillId="20" borderId="0" xfId="0" applyFont="1" applyFill="1"/>
    <xf numFmtId="6" fontId="0" fillId="20" borderId="0" xfId="0" applyNumberFormat="1" applyFill="1"/>
    <xf numFmtId="0" fontId="83" fillId="0" borderId="0" xfId="0" applyFont="1"/>
    <xf numFmtId="0" fontId="83" fillId="23" borderId="86" xfId="0" applyFont="1" applyFill="1" applyBorder="1"/>
    <xf numFmtId="6" fontId="0" fillId="23" borderId="86" xfId="0" applyNumberFormat="1" applyFill="1" applyBorder="1"/>
    <xf numFmtId="0" fontId="0" fillId="23" borderId="86" xfId="0" applyFill="1" applyBorder="1"/>
    <xf numFmtId="0" fontId="0" fillId="23" borderId="21" xfId="0" applyFill="1" applyBorder="1"/>
    <xf numFmtId="0" fontId="27" fillId="0" borderId="24" xfId="0" applyFont="1" applyBorder="1" applyAlignment="1">
      <alignment horizontal="left"/>
    </xf>
    <xf numFmtId="0" fontId="73" fillId="0" borderId="25" xfId="0" applyFont="1" applyBorder="1"/>
    <xf numFmtId="0" fontId="86" fillId="0" borderId="25" xfId="0" applyFont="1" applyBorder="1"/>
    <xf numFmtId="0" fontId="86" fillId="0" borderId="26" xfId="0" applyFont="1" applyBorder="1"/>
    <xf numFmtId="2" fontId="0" fillId="0" borderId="28" xfId="0" applyNumberFormat="1" applyBorder="1" applyAlignment="1">
      <alignment horizontal="left"/>
    </xf>
    <xf numFmtId="0" fontId="0" fillId="20" borderId="62" xfId="28" applyFont="1" applyFill="1"/>
    <xf numFmtId="1" fontId="15" fillId="0" borderId="0" xfId="0" applyNumberFormat="1" applyFont="1"/>
    <xf numFmtId="170" fontId="15" fillId="0" borderId="0" xfId="0" applyNumberFormat="1" applyFont="1"/>
    <xf numFmtId="1" fontId="15" fillId="0" borderId="21" xfId="0" applyNumberFormat="1" applyFont="1" applyBorder="1"/>
    <xf numFmtId="0" fontId="86" fillId="0" borderId="88" xfId="0" applyFont="1" applyBorder="1" applyAlignment="1">
      <alignment horizontal="center"/>
    </xf>
    <xf numFmtId="1" fontId="83" fillId="0" borderId="0" xfId="0" applyNumberFormat="1" applyFont="1"/>
    <xf numFmtId="0" fontId="15" fillId="0" borderId="25" xfId="0" applyFont="1" applyBorder="1"/>
    <xf numFmtId="1" fontId="15" fillId="0" borderId="25" xfId="0" applyNumberFormat="1" applyFont="1" applyBorder="1"/>
    <xf numFmtId="1" fontId="15" fillId="0" borderId="26" xfId="0" applyNumberFormat="1" applyFont="1" applyBorder="1"/>
    <xf numFmtId="0" fontId="15" fillId="0" borderId="90" xfId="0" applyFont="1" applyBorder="1"/>
    <xf numFmtId="1" fontId="86" fillId="0" borderId="90" xfId="0" applyNumberFormat="1" applyFont="1" applyBorder="1"/>
    <xf numFmtId="1" fontId="86" fillId="0" borderId="94" xfId="0" applyNumberFormat="1" applyFont="1" applyBorder="1"/>
    <xf numFmtId="0" fontId="15" fillId="0" borderId="30" xfId="0" applyFont="1" applyBorder="1"/>
    <xf numFmtId="0" fontId="77" fillId="0" borderId="91" xfId="0" applyFont="1" applyBorder="1"/>
    <xf numFmtId="0" fontId="63" fillId="0" borderId="91" xfId="0" applyFont="1" applyBorder="1"/>
    <xf numFmtId="0" fontId="88" fillId="0" borderId="91" xfId="0" applyFont="1" applyBorder="1"/>
    <xf numFmtId="0" fontId="97" fillId="0" borderId="0" xfId="0" applyFont="1"/>
    <xf numFmtId="0" fontId="0" fillId="0" borderId="25" xfId="0" applyBorder="1"/>
    <xf numFmtId="0" fontId="73" fillId="0" borderId="30" xfId="0" applyFont="1" applyBorder="1"/>
    <xf numFmtId="9" fontId="0" fillId="0" borderId="30" xfId="0" applyNumberFormat="1" applyBorder="1"/>
    <xf numFmtId="0" fontId="94" fillId="0" borderId="91" xfId="0" applyFont="1" applyBorder="1"/>
    <xf numFmtId="0" fontId="77" fillId="0" borderId="0" xfId="0" applyFont="1" applyAlignment="1">
      <alignment horizontal="center" vertical="center"/>
    </xf>
    <xf numFmtId="0" fontId="0" fillId="0" borderId="24" xfId="0" applyBorder="1" applyAlignment="1">
      <alignment horizontal="center"/>
    </xf>
    <xf numFmtId="0" fontId="0" fillId="0" borderId="26" xfId="0" applyBorder="1"/>
    <xf numFmtId="1" fontId="0" fillId="0" borderId="1" xfId="0" applyNumberFormat="1" applyBorder="1"/>
    <xf numFmtId="1" fontId="0" fillId="0" borderId="92" xfId="0" applyNumberFormat="1" applyBorder="1"/>
    <xf numFmtId="1" fontId="0" fillId="0" borderId="0" xfId="0" applyNumberFormat="1"/>
    <xf numFmtId="1" fontId="0" fillId="0" borderId="63" xfId="0" applyNumberFormat="1" applyBorder="1"/>
    <xf numFmtId="1" fontId="0" fillId="0" borderId="93" xfId="0" applyNumberFormat="1" applyBorder="1"/>
    <xf numFmtId="2" fontId="0" fillId="0" borderId="0" xfId="0" applyNumberFormat="1"/>
    <xf numFmtId="0" fontId="69" fillId="27" borderId="21" xfId="0" applyFont="1" applyFill="1" applyBorder="1" applyAlignment="1">
      <alignment horizontal="left"/>
    </xf>
    <xf numFmtId="44" fontId="0" fillId="0" borderId="0" xfId="0" applyNumberFormat="1"/>
    <xf numFmtId="0" fontId="47" fillId="10" borderId="54" xfId="0" applyFont="1" applyFill="1" applyBorder="1"/>
    <xf numFmtId="0" fontId="108" fillId="0" borderId="0" xfId="0" applyFont="1"/>
    <xf numFmtId="0" fontId="110" fillId="0" borderId="0" xfId="0" applyFont="1" applyAlignment="1">
      <alignment vertical="center" wrapText="1"/>
    </xf>
    <xf numFmtId="0" fontId="110" fillId="0" borderId="0" xfId="0" applyFont="1" applyAlignment="1">
      <alignment horizontal="left" vertical="center" wrapText="1"/>
    </xf>
    <xf numFmtId="0" fontId="111" fillId="0" borderId="0" xfId="0" applyFont="1" applyAlignment="1">
      <alignment horizontal="left" vertical="center" wrapText="1"/>
    </xf>
    <xf numFmtId="0" fontId="112" fillId="0" borderId="0" xfId="0" applyFont="1" applyAlignment="1">
      <alignment vertical="center" wrapText="1"/>
    </xf>
    <xf numFmtId="0" fontId="114" fillId="0" borderId="0" xfId="0" applyFont="1" applyAlignment="1">
      <alignment vertical="center" wrapText="1"/>
    </xf>
    <xf numFmtId="0" fontId="108" fillId="0" borderId="0" xfId="0" applyFont="1" applyAlignment="1">
      <alignment vertical="center"/>
    </xf>
    <xf numFmtId="0" fontId="115" fillId="0" borderId="0" xfId="0" applyFont="1" applyAlignment="1">
      <alignment horizontal="right"/>
    </xf>
    <xf numFmtId="0" fontId="110" fillId="0" borderId="112" xfId="0" applyFont="1" applyBorder="1" applyAlignment="1">
      <alignment vertical="center" wrapText="1"/>
    </xf>
    <xf numFmtId="0" fontId="114" fillId="0" borderId="0" xfId="0" applyFont="1" applyAlignment="1">
      <alignment horizontal="left" vertical="center" wrapText="1"/>
    </xf>
    <xf numFmtId="0" fontId="125" fillId="0" borderId="0" xfId="0" applyFont="1"/>
    <xf numFmtId="0" fontId="115" fillId="0" borderId="0" xfId="0" applyFont="1"/>
    <xf numFmtId="0" fontId="115" fillId="0" borderId="0" xfId="0" applyFont="1" applyAlignment="1">
      <alignment horizontal="left"/>
    </xf>
    <xf numFmtId="164" fontId="19" fillId="0" borderId="0" xfId="1" applyFont="1" applyBorder="1"/>
    <xf numFmtId="164" fontId="15" fillId="0" borderId="0" xfId="1" applyFont="1"/>
    <xf numFmtId="184" fontId="0" fillId="0" borderId="0" xfId="19" applyNumberFormat="1" applyFont="1"/>
    <xf numFmtId="187" fontId="0" fillId="0" borderId="0" xfId="19" applyNumberFormat="1" applyFont="1"/>
    <xf numFmtId="164" fontId="48" fillId="0" borderId="1" xfId="0" applyNumberFormat="1" applyFont="1" applyBorder="1" applyAlignment="1">
      <alignment vertical="center"/>
    </xf>
    <xf numFmtId="0" fontId="42" fillId="8" borderId="1" xfId="15" applyBorder="1" applyAlignment="1">
      <alignment horizontal="left"/>
    </xf>
    <xf numFmtId="0" fontId="42" fillId="8" borderId="27" xfId="15" applyBorder="1" applyAlignment="1">
      <alignment horizontal="left"/>
    </xf>
    <xf numFmtId="164" fontId="47" fillId="10" borderId="1" xfId="0" applyNumberFormat="1" applyFont="1" applyFill="1" applyBorder="1"/>
    <xf numFmtId="164" fontId="47" fillId="0" borderId="1" xfId="1" applyFont="1" applyBorder="1"/>
    <xf numFmtId="44" fontId="47" fillId="0" borderId="1" xfId="0" applyNumberFormat="1" applyFont="1" applyBorder="1"/>
    <xf numFmtId="0" fontId="47" fillId="10" borderId="1" xfId="0" applyFont="1" applyFill="1" applyBorder="1"/>
    <xf numFmtId="44" fontId="47" fillId="10" borderId="1" xfId="0" applyNumberFormat="1" applyFont="1" applyFill="1" applyBorder="1"/>
    <xf numFmtId="184" fontId="47" fillId="10" borderId="1" xfId="19" applyNumberFormat="1" applyFont="1" applyFill="1" applyBorder="1"/>
    <xf numFmtId="8" fontId="0" fillId="0" borderId="0" xfId="0" applyNumberFormat="1"/>
    <xf numFmtId="0" fontId="47" fillId="0" borderId="1" xfId="0" applyFont="1" applyBorder="1"/>
    <xf numFmtId="10" fontId="47" fillId="0" borderId="1" xfId="19" applyNumberFormat="1" applyFont="1" applyBorder="1"/>
    <xf numFmtId="186" fontId="47" fillId="0" borderId="1" xfId="0" applyNumberFormat="1" applyFont="1" applyBorder="1"/>
    <xf numFmtId="188" fontId="47" fillId="0" borderId="1" xfId="0" applyNumberFormat="1" applyFont="1" applyBorder="1"/>
    <xf numFmtId="10" fontId="47" fillId="10" borderId="1" xfId="19" applyNumberFormat="1" applyFont="1" applyFill="1" applyBorder="1"/>
    <xf numFmtId="176" fontId="48" fillId="15" borderId="21" xfId="0" applyNumberFormat="1" applyFont="1" applyFill="1" applyBorder="1" applyAlignment="1">
      <alignment vertical="center"/>
    </xf>
    <xf numFmtId="164" fontId="21" fillId="0" borderId="47" xfId="1" applyFont="1" applyFill="1" applyBorder="1"/>
    <xf numFmtId="0" fontId="49" fillId="0" borderId="1" xfId="0" applyFont="1" applyBorder="1" applyAlignment="1">
      <alignment horizontal="left"/>
    </xf>
    <xf numFmtId="0" fontId="48" fillId="0" borderId="1" xfId="0" applyFont="1" applyBorder="1" applyAlignment="1">
      <alignment vertical="center"/>
    </xf>
    <xf numFmtId="0" fontId="49" fillId="15" borderId="1" xfId="0" applyFont="1" applyFill="1" applyBorder="1" applyAlignment="1">
      <alignment horizontal="left"/>
    </xf>
    <xf numFmtId="0" fontId="48" fillId="15" borderId="1" xfId="0" applyFont="1" applyFill="1" applyBorder="1" applyAlignment="1">
      <alignment vertical="center"/>
    </xf>
    <xf numFmtId="0" fontId="49" fillId="0" borderId="27" xfId="0" applyFont="1" applyBorder="1" applyAlignment="1">
      <alignment horizontal="left"/>
    </xf>
    <xf numFmtId="0" fontId="48" fillId="0" borderId="27" xfId="0" applyFont="1" applyBorder="1" applyAlignment="1">
      <alignment vertical="center"/>
    </xf>
    <xf numFmtId="0" fontId="42" fillId="8" borderId="63" xfId="15" applyBorder="1" applyAlignment="1">
      <alignment horizontal="left"/>
    </xf>
    <xf numFmtId="0" fontId="49" fillId="15" borderId="63" xfId="0" applyFont="1" applyFill="1" applyBorder="1" applyAlignment="1">
      <alignment horizontal="left"/>
    </xf>
    <xf numFmtId="9" fontId="0" fillId="0" borderId="0" xfId="0" applyNumberFormat="1"/>
    <xf numFmtId="189" fontId="126" fillId="0" borderId="0" xfId="1" applyNumberFormat="1" applyFont="1"/>
    <xf numFmtId="0" fontId="47" fillId="0" borderId="30" xfId="0" applyFont="1" applyBorder="1"/>
    <xf numFmtId="0" fontId="52" fillId="10" borderId="30" xfId="0" applyFont="1" applyFill="1" applyBorder="1" applyAlignment="1">
      <alignment horizontal="right" vertical="center"/>
    </xf>
    <xf numFmtId="0" fontId="55" fillId="10" borderId="30" xfId="0" applyFont="1" applyFill="1" applyBorder="1" applyAlignment="1">
      <alignment horizontal="center" vertical="center"/>
    </xf>
    <xf numFmtId="164" fontId="47" fillId="0" borderId="0" xfId="1" applyFont="1" applyBorder="1"/>
    <xf numFmtId="44" fontId="47" fillId="0" borderId="0" xfId="0" applyNumberFormat="1" applyFont="1"/>
    <xf numFmtId="184" fontId="47" fillId="0" borderId="0" xfId="19" applyNumberFormat="1" applyFont="1" applyFill="1" applyBorder="1"/>
    <xf numFmtId="190" fontId="47" fillId="0" borderId="1" xfId="0" applyNumberFormat="1" applyFont="1" applyBorder="1"/>
    <xf numFmtId="0" fontId="53" fillId="12" borderId="0" xfId="0" applyFont="1" applyFill="1"/>
    <xf numFmtId="0" fontId="53" fillId="0" borderId="5" xfId="0" applyFont="1" applyBorder="1"/>
    <xf numFmtId="0" fontId="47" fillId="0" borderId="5" xfId="0" applyFont="1" applyBorder="1"/>
    <xf numFmtId="0" fontId="53" fillId="10" borderId="28" xfId="0" applyFont="1" applyFill="1" applyBorder="1"/>
    <xf numFmtId="0" fontId="53" fillId="10" borderId="21" xfId="0" applyFont="1" applyFill="1" applyBorder="1"/>
    <xf numFmtId="0" fontId="54" fillId="10" borderId="28" xfId="0" applyFont="1" applyFill="1" applyBorder="1" applyAlignment="1">
      <alignment vertical="center"/>
    </xf>
    <xf numFmtId="0" fontId="55" fillId="10" borderId="21" xfId="0" applyFont="1" applyFill="1" applyBorder="1" applyAlignment="1">
      <alignment vertical="center"/>
    </xf>
    <xf numFmtId="0" fontId="47" fillId="10" borderId="21" xfId="0" applyFont="1" applyFill="1" applyBorder="1"/>
    <xf numFmtId="0" fontId="47" fillId="60" borderId="21" xfId="0" applyFont="1" applyFill="1" applyBorder="1" applyAlignment="1">
      <alignment horizontal="right"/>
    </xf>
    <xf numFmtId="186" fontId="53" fillId="60" borderId="21" xfId="0" applyNumberFormat="1" applyFont="1" applyFill="1" applyBorder="1"/>
    <xf numFmtId="0" fontId="47" fillId="10" borderId="28" xfId="0" applyFont="1" applyFill="1" applyBorder="1"/>
    <xf numFmtId="0" fontId="56" fillId="10" borderId="28" xfId="0" applyFont="1" applyFill="1" applyBorder="1" applyAlignment="1">
      <alignment horizontal="center"/>
    </xf>
    <xf numFmtId="0" fontId="56" fillId="10" borderId="21" xfId="0" applyFont="1" applyFill="1" applyBorder="1" applyAlignment="1">
      <alignment horizontal="center"/>
    </xf>
    <xf numFmtId="0" fontId="46" fillId="10" borderId="30" xfId="0" applyFont="1" applyFill="1" applyBorder="1"/>
    <xf numFmtId="0" fontId="47" fillId="10" borderId="30" xfId="0" applyFont="1" applyFill="1" applyBorder="1"/>
    <xf numFmtId="0" fontId="47" fillId="0" borderId="0" xfId="0" applyFont="1" applyAlignment="1">
      <alignment horizontal="center" wrapText="1"/>
    </xf>
    <xf numFmtId="10" fontId="51" fillId="10" borderId="21" xfId="19" applyNumberFormat="1" applyFont="1" applyFill="1" applyBorder="1" applyAlignment="1">
      <alignment horizontal="right"/>
    </xf>
    <xf numFmtId="167" fontId="51" fillId="10" borderId="21" xfId="1" applyNumberFormat="1" applyFont="1" applyFill="1" applyBorder="1" applyAlignment="1">
      <alignment horizontal="right"/>
    </xf>
    <xf numFmtId="191" fontId="0" fillId="0" borderId="0" xfId="14104" applyNumberFormat="1" applyFont="1"/>
    <xf numFmtId="0" fontId="42" fillId="8" borderId="115" xfId="15" applyBorder="1" applyAlignment="1">
      <alignment horizontal="left"/>
    </xf>
    <xf numFmtId="0" fontId="42" fillId="8" borderId="117" xfId="15" applyBorder="1" applyAlignment="1">
      <alignment horizontal="left"/>
    </xf>
    <xf numFmtId="0" fontId="49" fillId="15" borderId="116" xfId="0" applyFont="1" applyFill="1" applyBorder="1" applyAlignment="1">
      <alignment horizontal="left"/>
    </xf>
    <xf numFmtId="0" fontId="49" fillId="0" borderId="116" xfId="0" applyFont="1" applyBorder="1" applyAlignment="1">
      <alignment horizontal="left"/>
    </xf>
    <xf numFmtId="0" fontId="42" fillId="8" borderId="119" xfId="15" applyBorder="1" applyAlignment="1">
      <alignment horizontal="left"/>
    </xf>
    <xf numFmtId="0" fontId="42" fillId="8" borderId="118" xfId="15" applyBorder="1" applyAlignment="1">
      <alignment horizontal="left"/>
    </xf>
    <xf numFmtId="164" fontId="47" fillId="0" borderId="0" xfId="1" applyFont="1"/>
    <xf numFmtId="0" fontId="62" fillId="10" borderId="0" xfId="0" applyFont="1" applyFill="1" applyAlignment="1">
      <alignment vertical="center"/>
    </xf>
    <xf numFmtId="0" fontId="47" fillId="10" borderId="0" xfId="0" applyFont="1" applyFill="1"/>
    <xf numFmtId="184" fontId="47" fillId="0" borderId="1" xfId="19" applyNumberFormat="1" applyFont="1" applyBorder="1"/>
    <xf numFmtId="0" fontId="53" fillId="10" borderId="0" xfId="0" applyFont="1" applyFill="1"/>
    <xf numFmtId="44" fontId="47" fillId="0" borderId="1" xfId="1" applyNumberFormat="1" applyFont="1" applyBorder="1"/>
    <xf numFmtId="0" fontId="47" fillId="0" borderId="5" xfId="0" quotePrefix="1" applyFont="1" applyBorder="1"/>
    <xf numFmtId="0" fontId="57" fillId="10" borderId="0" xfId="0" applyFont="1" applyFill="1"/>
    <xf numFmtId="0" fontId="54" fillId="18" borderId="0" xfId="0" applyFont="1" applyFill="1" applyAlignment="1">
      <alignment horizontal="right" vertical="center"/>
    </xf>
    <xf numFmtId="0" fontId="54" fillId="10" borderId="0" xfId="0" applyFont="1" applyFill="1" applyAlignment="1">
      <alignment horizontal="right" vertical="center"/>
    </xf>
    <xf numFmtId="174" fontId="57" fillId="10" borderId="0" xfId="0" applyNumberFormat="1" applyFont="1" applyFill="1" applyAlignment="1">
      <alignment horizontal="left"/>
    </xf>
    <xf numFmtId="0" fontId="54" fillId="10" borderId="0" xfId="0" applyFont="1" applyFill="1" applyAlignment="1">
      <alignment horizontal="center" vertical="center"/>
    </xf>
    <xf numFmtId="0" fontId="57" fillId="10" borderId="0" xfId="0" applyFont="1" applyFill="1" applyAlignment="1">
      <alignment horizontal="left"/>
    </xf>
    <xf numFmtId="0" fontId="51" fillId="10" borderId="0" xfId="0" applyFont="1" applyFill="1" applyAlignment="1">
      <alignment horizontal="right"/>
    </xf>
    <xf numFmtId="0" fontId="52" fillId="10" borderId="0" xfId="0" applyFont="1" applyFill="1" applyAlignment="1">
      <alignment horizontal="right" vertical="center"/>
    </xf>
    <xf numFmtId="0" fontId="51" fillId="10" borderId="0" xfId="0" applyFont="1" applyFill="1" applyAlignment="1">
      <alignment horizontal="right" vertical="center"/>
    </xf>
    <xf numFmtId="0" fontId="127" fillId="10" borderId="0" xfId="0" applyFont="1" applyFill="1" applyAlignment="1">
      <alignment horizontal="left" vertical="center"/>
    </xf>
    <xf numFmtId="0" fontId="48" fillId="15" borderId="0" xfId="0" applyFont="1" applyFill="1" applyAlignment="1">
      <alignment vertical="center"/>
    </xf>
    <xf numFmtId="0" fontId="42" fillId="8" borderId="23" xfId="15" applyAlignment="1">
      <alignment horizontal="left"/>
    </xf>
    <xf numFmtId="0" fontId="49" fillId="15" borderId="0" xfId="0" applyFont="1" applyFill="1" applyAlignment="1">
      <alignment horizontal="left"/>
    </xf>
    <xf numFmtId="167" fontId="48" fillId="15" borderId="0" xfId="0" applyNumberFormat="1" applyFont="1" applyFill="1" applyAlignment="1">
      <alignment vertical="center"/>
    </xf>
    <xf numFmtId="0" fontId="58" fillId="10" borderId="0" xfId="0" applyFont="1" applyFill="1"/>
    <xf numFmtId="0" fontId="48" fillId="13" borderId="0" xfId="0" applyFont="1" applyFill="1" applyAlignment="1">
      <alignment vertical="center"/>
    </xf>
    <xf numFmtId="0" fontId="49" fillId="13" borderId="0" xfId="0" applyFont="1" applyFill="1" applyAlignment="1">
      <alignment horizontal="left"/>
    </xf>
    <xf numFmtId="0" fontId="72" fillId="13" borderId="0" xfId="0" applyFont="1" applyFill="1" applyAlignment="1">
      <alignment vertical="center"/>
    </xf>
    <xf numFmtId="164" fontId="48" fillId="13" borderId="0" xfId="0" applyNumberFormat="1" applyFont="1" applyFill="1" applyAlignment="1">
      <alignment vertical="center"/>
    </xf>
    <xf numFmtId="167" fontId="48" fillId="13" borderId="0" xfId="0" applyNumberFormat="1" applyFont="1" applyFill="1" applyAlignment="1">
      <alignment vertical="center"/>
    </xf>
    <xf numFmtId="0" fontId="48" fillId="16" borderId="0" xfId="0" applyFont="1" applyFill="1" applyAlignment="1">
      <alignment vertical="center"/>
    </xf>
    <xf numFmtId="0" fontId="72" fillId="16" borderId="0" xfId="0" applyFont="1" applyFill="1" applyAlignment="1">
      <alignment vertical="center"/>
    </xf>
    <xf numFmtId="167" fontId="48" fillId="16" borderId="0" xfId="0" applyNumberFormat="1" applyFont="1" applyFill="1" applyAlignment="1">
      <alignment vertical="center"/>
    </xf>
    <xf numFmtId="0" fontId="72" fillId="0" borderId="0" xfId="0" applyFont="1" applyAlignment="1">
      <alignment vertical="center"/>
    </xf>
    <xf numFmtId="164" fontId="48" fillId="16" borderId="0" xfId="0" applyNumberFormat="1" applyFont="1" applyFill="1" applyAlignment="1">
      <alignment vertical="center"/>
    </xf>
    <xf numFmtId="0" fontId="49" fillId="16" borderId="0" xfId="0" applyFont="1" applyFill="1" applyAlignment="1">
      <alignment horizontal="left"/>
    </xf>
    <xf numFmtId="0" fontId="49" fillId="10" borderId="0" xfId="0" applyFont="1" applyFill="1" applyAlignment="1">
      <alignment horizontal="left"/>
    </xf>
    <xf numFmtId="0" fontId="48" fillId="10" borderId="0" xfId="0" applyFont="1" applyFill="1" applyAlignment="1">
      <alignment vertical="center"/>
    </xf>
    <xf numFmtId="0" fontId="72" fillId="10" borderId="0" xfId="0" applyFont="1" applyFill="1" applyAlignment="1">
      <alignment vertical="center"/>
    </xf>
    <xf numFmtId="164" fontId="48" fillId="10" borderId="0" xfId="0" applyNumberFormat="1" applyFont="1" applyFill="1" applyAlignment="1">
      <alignment vertical="center"/>
    </xf>
    <xf numFmtId="167" fontId="48" fillId="10" borderId="0" xfId="0" applyNumberFormat="1" applyFont="1" applyFill="1" applyAlignment="1">
      <alignment vertical="center"/>
    </xf>
    <xf numFmtId="169" fontId="72" fillId="16" borderId="0" xfId="0" applyNumberFormat="1" applyFont="1" applyFill="1" applyAlignment="1">
      <alignment vertical="center"/>
    </xf>
    <xf numFmtId="169" fontId="72" fillId="0" borderId="0" xfId="0" applyNumberFormat="1" applyFont="1" applyAlignment="1">
      <alignment vertical="center"/>
    </xf>
    <xf numFmtId="0" fontId="62" fillId="10" borderId="0" xfId="0" applyFont="1" applyFill="1"/>
    <xf numFmtId="0" fontId="42" fillId="11" borderId="23" xfId="15" applyFill="1" applyAlignment="1">
      <alignment horizontal="left"/>
    </xf>
    <xf numFmtId="0" fontId="68" fillId="10" borderId="0" xfId="0" applyFont="1" applyFill="1"/>
    <xf numFmtId="164" fontId="48" fillId="15" borderId="0" xfId="0" applyNumberFormat="1" applyFont="1" applyFill="1" applyAlignment="1">
      <alignment vertical="center"/>
    </xf>
    <xf numFmtId="164" fontId="48" fillId="0" borderId="0" xfId="1" applyFont="1" applyBorder="1"/>
    <xf numFmtId="0" fontId="46" fillId="10" borderId="0" xfId="0" applyFont="1" applyFill="1"/>
    <xf numFmtId="164" fontId="47" fillId="10" borderId="0" xfId="0" applyNumberFormat="1" applyFont="1" applyFill="1"/>
    <xf numFmtId="0" fontId="47" fillId="0" borderId="22" xfId="0" applyFont="1" applyBorder="1"/>
    <xf numFmtId="14" fontId="42" fillId="8" borderId="23" xfId="15" applyNumberFormat="1" applyAlignment="1">
      <alignment horizontal="right" vertical="center"/>
    </xf>
    <xf numFmtId="14" fontId="42" fillId="31" borderId="23" xfId="15" applyNumberFormat="1" applyFill="1" applyAlignment="1">
      <alignment horizontal="right"/>
    </xf>
    <xf numFmtId="0" fontId="27" fillId="0" borderId="1" xfId="0" applyFont="1" applyBorder="1"/>
    <xf numFmtId="0" fontId="0" fillId="0" borderId="1" xfId="0" applyBorder="1"/>
    <xf numFmtId="0" fontId="40" fillId="0" borderId="0" xfId="0" applyFont="1" applyAlignment="1">
      <alignment vertical="top"/>
    </xf>
    <xf numFmtId="0" fontId="39" fillId="0" borderId="0" xfId="0" applyFont="1" applyAlignment="1">
      <alignment vertical="top"/>
    </xf>
    <xf numFmtId="0" fontId="25" fillId="27" borderId="0" xfId="6" applyFill="1"/>
    <xf numFmtId="0" fontId="42" fillId="31" borderId="1" xfId="15" applyFill="1" applyBorder="1" applyAlignment="1">
      <alignment horizontal="left"/>
    </xf>
    <xf numFmtId="0" fontId="9" fillId="0" borderId="0" xfId="14106"/>
    <xf numFmtId="0" fontId="137" fillId="60" borderId="0" xfId="14106" applyFont="1" applyFill="1"/>
    <xf numFmtId="0" fontId="31" fillId="60" borderId="0" xfId="14106" applyFont="1" applyFill="1"/>
    <xf numFmtId="0" fontId="31" fillId="0" borderId="0" xfId="14106" applyFont="1"/>
    <xf numFmtId="0" fontId="31" fillId="60" borderId="120" xfId="14106" applyFont="1" applyFill="1" applyBorder="1"/>
    <xf numFmtId="0" fontId="31" fillId="62" borderId="0" xfId="14106" applyFont="1" applyFill="1" applyAlignment="1">
      <alignment vertical="center" wrapText="1"/>
    </xf>
    <xf numFmtId="177" fontId="71" fillId="27" borderId="81" xfId="22" applyNumberFormat="1" applyFont="1" applyFill="1" applyBorder="1" applyAlignment="1">
      <alignment vertical="center"/>
    </xf>
    <xf numFmtId="177" fontId="71" fillId="27" borderId="82" xfId="22" applyNumberFormat="1" applyFont="1" applyFill="1" applyBorder="1" applyAlignment="1">
      <alignment vertical="center"/>
    </xf>
    <xf numFmtId="169" fontId="71" fillId="27" borderId="82" xfId="22" applyNumberFormat="1" applyFont="1" applyFill="1" applyBorder="1" applyAlignment="1">
      <alignment vertical="center"/>
    </xf>
    <xf numFmtId="169" fontId="71" fillId="27" borderId="83" xfId="22" applyNumberFormat="1" applyFont="1" applyFill="1" applyBorder="1" applyAlignment="1">
      <alignment vertical="center"/>
    </xf>
    <xf numFmtId="169" fontId="71" fillId="27" borderId="81" xfId="22" applyNumberFormat="1" applyFont="1" applyFill="1" applyBorder="1" applyAlignment="1">
      <alignment vertical="center"/>
    </xf>
    <xf numFmtId="0" fontId="71" fillId="27" borderId="96" xfId="22" applyNumberFormat="1" applyFont="1" applyFill="1" applyBorder="1" applyAlignment="1">
      <alignment vertical="center"/>
    </xf>
    <xf numFmtId="0" fontId="48" fillId="27" borderId="22" xfId="0" applyFont="1" applyFill="1" applyBorder="1" applyAlignment="1">
      <alignment vertical="center"/>
    </xf>
    <xf numFmtId="0" fontId="48" fillId="27" borderId="121" xfId="0" applyFont="1" applyFill="1" applyBorder="1" applyAlignment="1">
      <alignment vertical="center"/>
    </xf>
    <xf numFmtId="192" fontId="42" fillId="27" borderId="1" xfId="15" applyNumberFormat="1" applyFill="1" applyBorder="1" applyAlignment="1">
      <alignment horizontal="left"/>
    </xf>
    <xf numFmtId="0" fontId="138" fillId="27" borderId="21" xfId="0" applyFont="1" applyFill="1" applyBorder="1" applyAlignment="1">
      <alignment horizontal="center" vertical="center"/>
    </xf>
    <xf numFmtId="44" fontId="47" fillId="10" borderId="21" xfId="0" applyNumberFormat="1" applyFont="1" applyFill="1" applyBorder="1"/>
    <xf numFmtId="193" fontId="71" fillId="27" borderId="1" xfId="0" applyNumberFormat="1" applyFont="1" applyFill="1" applyBorder="1" applyAlignment="1">
      <alignment vertical="center"/>
    </xf>
    <xf numFmtId="0" fontId="71" fillId="27" borderId="1" xfId="0" applyFont="1" applyFill="1" applyBorder="1" applyAlignment="1">
      <alignment vertical="center"/>
    </xf>
    <xf numFmtId="0" fontId="42" fillId="11" borderId="80" xfId="15" applyFill="1" applyBorder="1" applyAlignment="1">
      <alignment horizontal="left"/>
    </xf>
    <xf numFmtId="0" fontId="48" fillId="16" borderId="22" xfId="0" applyFont="1" applyFill="1" applyBorder="1" applyAlignment="1">
      <alignment vertical="center"/>
    </xf>
    <xf numFmtId="0" fontId="72" fillId="16" borderId="30" xfId="0" applyFont="1" applyFill="1" applyBorder="1" applyAlignment="1">
      <alignment vertical="center"/>
    </xf>
    <xf numFmtId="0" fontId="42" fillId="10" borderId="23" xfId="15" applyFill="1" applyAlignment="1">
      <alignment horizontal="left"/>
    </xf>
    <xf numFmtId="2" fontId="47" fillId="10" borderId="0" xfId="0" applyNumberFormat="1" applyFont="1" applyFill="1"/>
    <xf numFmtId="0" fontId="0" fillId="0" borderId="31" xfId="0" applyBorder="1"/>
    <xf numFmtId="0" fontId="0" fillId="0" borderId="88" xfId="0" applyBorder="1"/>
    <xf numFmtId="0" fontId="0" fillId="0" borderId="12" xfId="0" applyBorder="1"/>
    <xf numFmtId="164" fontId="0" fillId="0" borderId="20" xfId="0" applyNumberFormat="1" applyBorder="1"/>
    <xf numFmtId="49" fontId="0" fillId="0" borderId="0" xfId="0" applyNumberFormat="1"/>
    <xf numFmtId="0" fontId="55" fillId="10" borderId="123" xfId="0" applyFont="1" applyFill="1" applyBorder="1" applyAlignment="1">
      <alignment horizontal="center" vertical="center"/>
    </xf>
    <xf numFmtId="0" fontId="141" fillId="10" borderId="29" xfId="0" applyFont="1" applyFill="1" applyBorder="1" applyAlignment="1">
      <alignment horizontal="right"/>
    </xf>
    <xf numFmtId="0" fontId="51" fillId="18" borderId="122" xfId="0" applyFont="1" applyFill="1" applyBorder="1" applyAlignment="1">
      <alignment horizontal="right"/>
    </xf>
    <xf numFmtId="176" fontId="69" fillId="27" borderId="124" xfId="1" applyNumberFormat="1" applyFont="1" applyFill="1" applyBorder="1" applyAlignment="1">
      <alignment horizontal="right"/>
    </xf>
    <xf numFmtId="0" fontId="141" fillId="18" borderId="123" xfId="0" applyFont="1" applyFill="1" applyBorder="1" applyAlignment="1">
      <alignment horizontal="right"/>
    </xf>
    <xf numFmtId="184" fontId="142" fillId="27" borderId="30" xfId="19" applyNumberFormat="1" applyFont="1" applyFill="1" applyBorder="1" applyAlignment="1">
      <alignment horizontal="right"/>
    </xf>
    <xf numFmtId="189" fontId="51" fillId="10" borderId="22" xfId="1" applyNumberFormat="1" applyFont="1" applyFill="1" applyBorder="1" applyAlignment="1">
      <alignment horizontal="right"/>
    </xf>
    <xf numFmtId="0" fontId="72" fillId="15" borderId="0" xfId="0" applyFont="1" applyFill="1" applyAlignment="1">
      <alignment vertical="center"/>
    </xf>
    <xf numFmtId="0" fontId="48" fillId="15" borderId="63" xfId="0" applyFont="1" applyFill="1" applyBorder="1" applyAlignment="1">
      <alignment vertical="center"/>
    </xf>
    <xf numFmtId="0" fontId="27" fillId="0" borderId="125" xfId="0" applyFont="1" applyBorder="1"/>
    <xf numFmtId="0" fontId="21" fillId="3" borderId="128" xfId="0" applyFont="1" applyFill="1" applyBorder="1"/>
    <xf numFmtId="165" fontId="21" fillId="3" borderId="129" xfId="1" applyNumberFormat="1" applyFont="1" applyFill="1" applyBorder="1"/>
    <xf numFmtId="0" fontId="143" fillId="0" borderId="1" xfId="0" applyFont="1" applyBorder="1"/>
    <xf numFmtId="44" fontId="143" fillId="0" borderId="1" xfId="0" applyNumberFormat="1" applyFont="1" applyBorder="1"/>
    <xf numFmtId="165" fontId="143" fillId="0" borderId="1" xfId="0" applyNumberFormat="1" applyFont="1" applyBorder="1"/>
    <xf numFmtId="166" fontId="0" fillId="0" borderId="0" xfId="0" applyNumberFormat="1"/>
    <xf numFmtId="195" fontId="0" fillId="0" borderId="0" xfId="0" applyNumberFormat="1"/>
    <xf numFmtId="0" fontId="0" fillId="61" borderId="0" xfId="0" applyFill="1"/>
    <xf numFmtId="195" fontId="0" fillId="59" borderId="0" xfId="0" applyNumberFormat="1" applyFill="1"/>
    <xf numFmtId="0" fontId="0" fillId="26" borderId="0" xfId="0" applyFill="1"/>
    <xf numFmtId="169" fontId="0" fillId="61" borderId="0" xfId="0" applyNumberFormat="1" applyFill="1"/>
    <xf numFmtId="195" fontId="0" fillId="26" borderId="0" xfId="0" applyNumberFormat="1" applyFill="1"/>
    <xf numFmtId="0" fontId="30" fillId="0" borderId="1" xfId="0" applyFont="1" applyBorder="1"/>
    <xf numFmtId="0" fontId="145" fillId="0" borderId="0" xfId="0" applyFont="1" applyAlignment="1">
      <alignment vertical="center" wrapText="1"/>
    </xf>
    <xf numFmtId="0" fontId="146" fillId="0" borderId="0" xfId="0" applyFont="1" applyAlignment="1">
      <alignment vertical="center" wrapText="1"/>
    </xf>
    <xf numFmtId="176" fontId="0" fillId="0" borderId="0" xfId="1" applyNumberFormat="1" applyFont="1" applyFill="1" applyBorder="1"/>
    <xf numFmtId="0" fontId="24" fillId="2" borderId="19" xfId="0" applyFont="1" applyFill="1" applyBorder="1" applyAlignment="1">
      <alignment horizontal="center"/>
    </xf>
    <xf numFmtId="0" fontId="0" fillId="0" borderId="132" xfId="0" applyBorder="1"/>
    <xf numFmtId="0" fontId="73" fillId="20" borderId="39" xfId="0" applyFont="1" applyFill="1" applyBorder="1"/>
    <xf numFmtId="0" fontId="73" fillId="20" borderId="40" xfId="0" applyFont="1" applyFill="1" applyBorder="1"/>
    <xf numFmtId="0" fontId="0" fillId="20" borderId="133" xfId="0" applyFill="1" applyBorder="1"/>
    <xf numFmtId="0" fontId="0" fillId="0" borderId="49" xfId="0" applyBorder="1"/>
    <xf numFmtId="0" fontId="30" fillId="0" borderId="49" xfId="0" applyFont="1" applyBorder="1"/>
    <xf numFmtId="0" fontId="19" fillId="0" borderId="135" xfId="0" applyFont="1" applyBorder="1" applyAlignment="1">
      <alignment horizontal="left" vertical="top"/>
    </xf>
    <xf numFmtId="16" fontId="0" fillId="20" borderId="40" xfId="0" applyNumberFormat="1" applyFill="1" applyBorder="1"/>
    <xf numFmtId="0" fontId="129" fillId="0" borderId="0" xfId="14108" applyFont="1"/>
    <xf numFmtId="0" fontId="7" fillId="0" borderId="0" xfId="14108"/>
    <xf numFmtId="0" fontId="135" fillId="0" borderId="0" xfId="14108" applyFont="1"/>
    <xf numFmtId="0" fontId="140" fillId="0" borderId="0" xfId="14108" applyFont="1"/>
    <xf numFmtId="0" fontId="148" fillId="0" borderId="0" xfId="14108" applyFont="1"/>
    <xf numFmtId="0" fontId="73" fillId="0" borderId="0" xfId="0" applyFont="1" applyAlignment="1">
      <alignment wrapText="1"/>
    </xf>
    <xf numFmtId="0" fontId="0" fillId="60" borderId="0" xfId="0" applyFill="1"/>
    <xf numFmtId="167" fontId="48" fillId="15" borderId="21" xfId="0" applyNumberFormat="1" applyFont="1" applyFill="1" applyBorder="1" applyAlignment="1">
      <alignment vertical="center"/>
    </xf>
    <xf numFmtId="167" fontId="48" fillId="15" borderId="22" xfId="0" applyNumberFormat="1" applyFont="1" applyFill="1" applyBorder="1" applyAlignment="1">
      <alignment vertical="center"/>
    </xf>
    <xf numFmtId="0" fontId="6" fillId="0" borderId="0" xfId="0" applyFont="1" applyAlignment="1">
      <alignment horizontal="right"/>
    </xf>
    <xf numFmtId="0" fontId="24" fillId="2" borderId="14" xfId="0" applyFont="1" applyFill="1" applyBorder="1" applyAlignment="1">
      <alignment horizontal="center"/>
    </xf>
    <xf numFmtId="8" fontId="144" fillId="0" borderId="77" xfId="0" applyNumberFormat="1" applyFont="1" applyBorder="1"/>
    <xf numFmtId="0" fontId="0" fillId="0" borderId="136" xfId="0" applyBorder="1"/>
    <xf numFmtId="184" fontId="47" fillId="0" borderId="28" xfId="0" applyNumberFormat="1" applyFont="1" applyBorder="1" applyAlignment="1">
      <alignment horizontal="right"/>
    </xf>
    <xf numFmtId="184" fontId="47" fillId="10" borderId="28" xfId="0" applyNumberFormat="1" applyFont="1" applyFill="1" applyBorder="1" applyAlignment="1">
      <alignment horizontal="right"/>
    </xf>
    <xf numFmtId="0" fontId="0" fillId="27" borderId="0" xfId="0" applyFill="1"/>
    <xf numFmtId="0" fontId="5" fillId="64" borderId="0" xfId="14109" applyFill="1"/>
    <xf numFmtId="0" fontId="5" fillId="64" borderId="0" xfId="14109" applyFill="1" applyAlignment="1">
      <alignment wrapText="1"/>
    </xf>
    <xf numFmtId="0" fontId="27" fillId="64" borderId="0" xfId="14109" applyFont="1" applyFill="1"/>
    <xf numFmtId="0" fontId="27" fillId="0" borderId="24" xfId="14109" applyFont="1" applyBorder="1"/>
    <xf numFmtId="0" fontId="42" fillId="8" borderId="64" xfId="15" applyBorder="1"/>
    <xf numFmtId="0" fontId="5" fillId="0" borderId="26" xfId="14109" applyBorder="1"/>
    <xf numFmtId="0" fontId="27" fillId="0" borderId="29" xfId="14109" applyFont="1" applyBorder="1"/>
    <xf numFmtId="0" fontId="5" fillId="0" borderId="22" xfId="14109" applyBorder="1"/>
    <xf numFmtId="44" fontId="0" fillId="64" borderId="0" xfId="14110" applyFont="1" applyFill="1"/>
    <xf numFmtId="0" fontId="73" fillId="0" borderId="0" xfId="14109" applyFont="1" applyAlignment="1">
      <alignment wrapText="1"/>
    </xf>
    <xf numFmtId="0" fontId="73" fillId="64" borderId="0" xfId="14109" applyFont="1" applyFill="1" applyAlignment="1">
      <alignment wrapText="1"/>
    </xf>
    <xf numFmtId="0" fontId="73" fillId="65" borderId="139" xfId="14109" applyFont="1" applyFill="1" applyBorder="1" applyAlignment="1">
      <alignment wrapText="1"/>
    </xf>
    <xf numFmtId="0" fontId="5" fillId="0" borderId="0" xfId="14109" applyAlignment="1">
      <alignment wrapText="1"/>
    </xf>
    <xf numFmtId="165" fontId="0" fillId="0" borderId="0" xfId="14110" applyNumberFormat="1" applyFont="1" applyAlignment="1">
      <alignment wrapText="1"/>
    </xf>
    <xf numFmtId="165" fontId="5" fillId="0" borderId="0" xfId="14109" applyNumberFormat="1" applyAlignment="1">
      <alignment wrapText="1"/>
    </xf>
    <xf numFmtId="0" fontId="5" fillId="0" borderId="0" xfId="14109"/>
    <xf numFmtId="0" fontId="5" fillId="66" borderId="140" xfId="14109" applyFill="1" applyBorder="1" applyAlignment="1">
      <alignment wrapText="1"/>
    </xf>
    <xf numFmtId="0" fontId="5" fillId="0" borderId="140" xfId="14109" applyBorder="1" applyAlignment="1">
      <alignment wrapText="1"/>
    </xf>
    <xf numFmtId="165" fontId="0" fillId="64" borderId="0" xfId="14110" applyNumberFormat="1" applyFont="1" applyFill="1" applyAlignment="1">
      <alignment wrapText="1"/>
    </xf>
    <xf numFmtId="0" fontId="17" fillId="65" borderId="141" xfId="14109" applyFont="1" applyFill="1" applyBorder="1" applyAlignment="1">
      <alignment wrapText="1"/>
    </xf>
    <xf numFmtId="0" fontId="17" fillId="65" borderId="139" xfId="14109" applyFont="1" applyFill="1" applyBorder="1" applyAlignment="1">
      <alignment wrapText="1"/>
    </xf>
    <xf numFmtId="0" fontId="17" fillId="65" borderId="142" xfId="14109" applyFont="1" applyFill="1" applyBorder="1" applyAlignment="1">
      <alignment wrapText="1"/>
    </xf>
    <xf numFmtId="0" fontId="17" fillId="65" borderId="143" xfId="14109" applyFont="1" applyFill="1" applyBorder="1" applyAlignment="1">
      <alignment wrapText="1"/>
    </xf>
    <xf numFmtId="165" fontId="0" fillId="0" borderId="142" xfId="14110" applyNumberFormat="1" applyFont="1" applyBorder="1" applyAlignment="1">
      <alignment wrapText="1"/>
    </xf>
    <xf numFmtId="165" fontId="0" fillId="0" borderId="144" xfId="14110" applyNumberFormat="1" applyFont="1" applyBorder="1" applyAlignment="1">
      <alignment wrapText="1"/>
    </xf>
    <xf numFmtId="0" fontId="17" fillId="65" borderId="140" xfId="14109" applyFont="1" applyFill="1" applyBorder="1" applyAlignment="1">
      <alignment wrapText="1"/>
    </xf>
    <xf numFmtId="0" fontId="5" fillId="66" borderId="142" xfId="14109" applyFill="1" applyBorder="1"/>
    <xf numFmtId="165" fontId="0" fillId="66" borderId="143" xfId="14110" applyNumberFormat="1" applyFont="1" applyFill="1" applyBorder="1" applyAlignment="1">
      <alignment wrapText="1"/>
    </xf>
    <xf numFmtId="0" fontId="5" fillId="0" borderId="142" xfId="14109" applyBorder="1"/>
    <xf numFmtId="165" fontId="0" fillId="0" borderId="143" xfId="14110" applyNumberFormat="1" applyFont="1" applyBorder="1" applyAlignment="1">
      <alignment wrapText="1"/>
    </xf>
    <xf numFmtId="165" fontId="0" fillId="0" borderId="0" xfId="14110" applyNumberFormat="1" applyFont="1"/>
    <xf numFmtId="0" fontId="5" fillId="66" borderId="144" xfId="14109" applyFill="1" applyBorder="1" applyAlignment="1">
      <alignment wrapText="1"/>
    </xf>
    <xf numFmtId="0" fontId="5" fillId="66" borderId="144" xfId="14109" applyFill="1" applyBorder="1"/>
    <xf numFmtId="165" fontId="0" fillId="66" borderId="144" xfId="14110" applyNumberFormat="1" applyFont="1" applyFill="1" applyBorder="1" applyAlignment="1">
      <alignment wrapText="1"/>
    </xf>
    <xf numFmtId="1" fontId="5" fillId="0" borderId="0" xfId="14109" applyNumberFormat="1" applyAlignment="1">
      <alignment wrapText="1"/>
    </xf>
    <xf numFmtId="0" fontId="5" fillId="66" borderId="142" xfId="14109" applyFill="1" applyBorder="1" applyAlignment="1">
      <alignment wrapText="1"/>
    </xf>
    <xf numFmtId="165" fontId="0" fillId="66" borderId="142" xfId="14110" applyNumberFormat="1" applyFont="1" applyFill="1" applyBorder="1" applyAlignment="1">
      <alignment wrapText="1"/>
    </xf>
    <xf numFmtId="0" fontId="5" fillId="0" borderId="142" xfId="14109" applyBorder="1" applyAlignment="1">
      <alignment wrapText="1"/>
    </xf>
    <xf numFmtId="0" fontId="17" fillId="65" borderId="0" xfId="14109" applyFont="1" applyFill="1" applyAlignment="1">
      <alignment wrapText="1"/>
    </xf>
    <xf numFmtId="0" fontId="10" fillId="35" borderId="0" xfId="40" applyAlignment="1">
      <alignment wrapText="1"/>
    </xf>
    <xf numFmtId="0" fontId="10" fillId="35" borderId="0" xfId="40"/>
    <xf numFmtId="0" fontId="17" fillId="65" borderId="145" xfId="14109" applyFont="1" applyFill="1" applyBorder="1" applyAlignment="1">
      <alignment wrapText="1"/>
    </xf>
    <xf numFmtId="165" fontId="5" fillId="0" borderId="0" xfId="14109" applyNumberFormat="1"/>
    <xf numFmtId="0" fontId="149" fillId="35" borderId="0" xfId="40" applyFont="1"/>
    <xf numFmtId="0" fontId="76" fillId="8" borderId="23" xfId="15" applyFont="1" applyAlignment="1">
      <alignment horizontal="left"/>
    </xf>
    <xf numFmtId="178" fontId="42" fillId="11" borderId="23" xfId="15" applyNumberFormat="1" applyFill="1" applyAlignment="1">
      <alignment horizontal="left"/>
    </xf>
    <xf numFmtId="1" fontId="42" fillId="11" borderId="16" xfId="15" applyNumberFormat="1" applyFill="1" applyBorder="1" applyProtection="1"/>
    <xf numFmtId="175" fontId="72" fillId="16" borderId="0" xfId="0" applyNumberFormat="1" applyFont="1" applyFill="1" applyAlignment="1">
      <alignment vertical="center"/>
    </xf>
    <xf numFmtId="0" fontId="48" fillId="67" borderId="146" xfId="0" applyFont="1" applyFill="1" applyBorder="1" applyAlignment="1">
      <alignment vertical="center"/>
    </xf>
    <xf numFmtId="0" fontId="48" fillId="67" borderId="30" xfId="0" applyFont="1" applyFill="1" applyBorder="1" applyAlignment="1">
      <alignment vertical="center"/>
    </xf>
    <xf numFmtId="0" fontId="42" fillId="8" borderId="147" xfId="15" applyBorder="1" applyAlignment="1">
      <alignment horizontal="left"/>
    </xf>
    <xf numFmtId="0" fontId="0" fillId="64" borderId="0" xfId="0" applyFill="1"/>
    <xf numFmtId="0" fontId="25" fillId="64" borderId="0" xfId="6" applyFill="1"/>
    <xf numFmtId="0" fontId="10" fillId="39" borderId="1" xfId="44" applyBorder="1"/>
    <xf numFmtId="2" fontId="10" fillId="39" borderId="1" xfId="44" applyNumberFormat="1" applyBorder="1"/>
    <xf numFmtId="9" fontId="10" fillId="39" borderId="1" xfId="44" applyNumberFormat="1" applyBorder="1"/>
    <xf numFmtId="0" fontId="10" fillId="47" borderId="1" xfId="52" applyBorder="1" applyAlignment="1">
      <alignment horizontal="right"/>
    </xf>
    <xf numFmtId="192" fontId="48" fillId="0" borderId="21" xfId="0" applyNumberFormat="1" applyFont="1" applyBorder="1" applyAlignment="1">
      <alignment vertical="center"/>
    </xf>
    <xf numFmtId="0" fontId="10" fillId="35" borderId="1" xfId="40" applyBorder="1"/>
    <xf numFmtId="170" fontId="10" fillId="35" borderId="1" xfId="40" applyNumberFormat="1" applyBorder="1"/>
    <xf numFmtId="10" fontId="10" fillId="35" borderId="1" xfId="40" applyNumberFormat="1" applyBorder="1"/>
    <xf numFmtId="197" fontId="48" fillId="16" borderId="30" xfId="0" applyNumberFormat="1" applyFont="1" applyFill="1" applyBorder="1" applyAlignment="1">
      <alignment vertical="center"/>
    </xf>
    <xf numFmtId="192" fontId="52" fillId="0" borderId="1" xfId="0" applyNumberFormat="1" applyFont="1" applyBorder="1" applyAlignment="1">
      <alignment horizontal="right"/>
    </xf>
    <xf numFmtId="0" fontId="42" fillId="8" borderId="1" xfId="15" applyBorder="1"/>
    <xf numFmtId="189" fontId="52" fillId="0" borderId="1" xfId="0" applyNumberFormat="1" applyFont="1" applyBorder="1"/>
    <xf numFmtId="189" fontId="52" fillId="16" borderId="1" xfId="0" applyNumberFormat="1" applyFont="1" applyFill="1" applyBorder="1" applyAlignment="1">
      <alignment vertical="center"/>
    </xf>
    <xf numFmtId="169" fontId="42" fillId="8" borderId="1" xfId="15" applyNumberFormat="1" applyBorder="1" applyAlignment="1">
      <alignment horizontal="left"/>
    </xf>
    <xf numFmtId="198" fontId="42" fillId="11" borderId="1" xfId="15" applyNumberFormat="1" applyFill="1" applyBorder="1" applyAlignment="1">
      <alignment horizontal="left"/>
    </xf>
    <xf numFmtId="0" fontId="61" fillId="14" borderId="105" xfId="0" applyFont="1" applyFill="1" applyBorder="1" applyAlignment="1">
      <alignment horizontal="center" vertical="center"/>
    </xf>
    <xf numFmtId="0" fontId="152" fillId="14" borderId="27" xfId="0" applyFont="1" applyFill="1" applyBorder="1" applyAlignment="1">
      <alignment horizontal="center" vertical="center"/>
    </xf>
    <xf numFmtId="0" fontId="153" fillId="14" borderId="27" xfId="0" applyFont="1" applyFill="1" applyBorder="1" applyAlignment="1">
      <alignment horizontal="center" vertical="center"/>
    </xf>
    <xf numFmtId="0" fontId="153" fillId="14" borderId="109" xfId="0" applyFont="1" applyFill="1" applyBorder="1" applyAlignment="1">
      <alignment horizontal="center" vertical="center"/>
    </xf>
    <xf numFmtId="0" fontId="52" fillId="0" borderId="95" xfId="0" applyFont="1" applyBorder="1" applyAlignment="1">
      <alignment horizontal="left" vertical="center"/>
    </xf>
    <xf numFmtId="44" fontId="155" fillId="0" borderId="92" xfId="14109" applyNumberFormat="1" applyFont="1" applyBorder="1"/>
    <xf numFmtId="0" fontId="48" fillId="0" borderId="105" xfId="0" applyFont="1" applyBorder="1" applyAlignment="1">
      <alignment horizontal="left" vertical="center"/>
    </xf>
    <xf numFmtId="0" fontId="156" fillId="4" borderId="111" xfId="28166" applyFont="1" applyBorder="1"/>
    <xf numFmtId="165" fontId="156" fillId="4" borderId="93" xfId="28166" applyNumberFormat="1" applyFont="1" applyBorder="1"/>
    <xf numFmtId="189" fontId="48" fillId="0" borderId="109" xfId="0" applyNumberFormat="1" applyFont="1" applyBorder="1"/>
    <xf numFmtId="0" fontId="42" fillId="8" borderId="109" xfId="15" applyBorder="1"/>
    <xf numFmtId="0" fontId="73" fillId="0" borderId="1" xfId="0" applyFont="1" applyBorder="1"/>
    <xf numFmtId="0" fontId="30" fillId="0" borderId="8" xfId="0" applyFont="1" applyBorder="1"/>
    <xf numFmtId="0" fontId="5" fillId="10" borderId="1" xfId="14109" applyFill="1" applyBorder="1"/>
    <xf numFmtId="44" fontId="0" fillId="0" borderId="1" xfId="14110" applyFont="1" applyBorder="1"/>
    <xf numFmtId="0" fontId="27" fillId="0" borderId="105" xfId="14109" applyFont="1" applyBorder="1"/>
    <xf numFmtId="0" fontId="5" fillId="10" borderId="27" xfId="14109" applyFill="1" applyBorder="1"/>
    <xf numFmtId="0" fontId="27" fillId="0" borderId="27" xfId="14109" applyFont="1" applyBorder="1"/>
    <xf numFmtId="0" fontId="27" fillId="10" borderId="109" xfId="14109" applyFont="1" applyFill="1" applyBorder="1"/>
    <xf numFmtId="0" fontId="5" fillId="0" borderId="95" xfId="14109" applyBorder="1"/>
    <xf numFmtId="0" fontId="5" fillId="10" borderId="92" xfId="14109" applyFill="1" applyBorder="1"/>
    <xf numFmtId="0" fontId="5" fillId="0" borderId="111" xfId="14109" applyBorder="1"/>
    <xf numFmtId="0" fontId="5" fillId="10" borderId="63" xfId="14109" applyFill="1" applyBorder="1"/>
    <xf numFmtId="44" fontId="0" fillId="0" borderId="63" xfId="14110" applyFont="1" applyBorder="1"/>
    <xf numFmtId="0" fontId="5" fillId="10" borderId="93" xfId="14109" applyFill="1" applyBorder="1"/>
    <xf numFmtId="0" fontId="0" fillId="3" borderId="150" xfId="0" applyFill="1" applyBorder="1"/>
    <xf numFmtId="0" fontId="0" fillId="3" borderId="77" xfId="0" applyFill="1" applyBorder="1"/>
    <xf numFmtId="0" fontId="30" fillId="0" borderId="77" xfId="0" applyFont="1" applyBorder="1"/>
    <xf numFmtId="8" fontId="144" fillId="0" borderId="78" xfId="0" applyNumberFormat="1" applyFont="1" applyBorder="1"/>
    <xf numFmtId="190" fontId="0" fillId="0" borderId="1" xfId="0" applyNumberFormat="1" applyBorder="1"/>
    <xf numFmtId="0" fontId="4" fillId="0" borderId="0" xfId="14112"/>
    <xf numFmtId="0" fontId="148" fillId="0" borderId="0" xfId="14112" applyFont="1"/>
    <xf numFmtId="0" fontId="129" fillId="0" borderId="0" xfId="14112" applyFont="1"/>
    <xf numFmtId="0" fontId="135" fillId="0" borderId="0" xfId="14112" applyFont="1"/>
    <xf numFmtId="0" fontId="140" fillId="0" borderId="0" xfId="14112" applyFont="1"/>
    <xf numFmtId="199" fontId="0" fillId="0" borderId="0" xfId="1" applyNumberFormat="1" applyFont="1"/>
    <xf numFmtId="0" fontId="0" fillId="0" borderId="0" xfId="0" applyAlignment="1">
      <alignment horizontal="left"/>
    </xf>
    <xf numFmtId="0" fontId="0" fillId="0" borderId="0" xfId="0" applyAlignment="1">
      <alignment horizontal="right"/>
    </xf>
    <xf numFmtId="44" fontId="0" fillId="0" borderId="0" xfId="0" applyNumberFormat="1" applyAlignment="1">
      <alignment horizontal="right"/>
    </xf>
    <xf numFmtId="164" fontId="0" fillId="0" borderId="0" xfId="1" applyFont="1" applyAlignment="1">
      <alignment horizontal="right"/>
    </xf>
    <xf numFmtId="165" fontId="0" fillId="0" borderId="0" xfId="1" applyNumberFormat="1" applyFont="1" applyAlignment="1">
      <alignment horizontal="right"/>
    </xf>
    <xf numFmtId="165" fontId="0" fillId="0" borderId="0" xfId="0" applyNumberFormat="1" applyAlignment="1">
      <alignment horizontal="right"/>
    </xf>
    <xf numFmtId="0" fontId="0" fillId="11" borderId="0" xfId="0" applyFill="1"/>
    <xf numFmtId="164" fontId="0" fillId="11" borderId="0" xfId="1" applyFont="1" applyFill="1" applyAlignment="1">
      <alignment horizontal="right"/>
    </xf>
    <xf numFmtId="0" fontId="0" fillId="11" borderId="0" xfId="0" applyFill="1" applyAlignment="1">
      <alignment horizontal="right"/>
    </xf>
    <xf numFmtId="165" fontId="0" fillId="11" borderId="0" xfId="0" applyNumberFormat="1" applyFill="1" applyAlignment="1">
      <alignment horizontal="right"/>
    </xf>
    <xf numFmtId="0" fontId="19" fillId="0" borderId="0" xfId="0" applyFont="1"/>
    <xf numFmtId="199" fontId="0" fillId="11" borderId="0" xfId="1" applyNumberFormat="1" applyFont="1" applyFill="1"/>
    <xf numFmtId="0" fontId="157" fillId="10" borderId="78" xfId="0" applyFont="1" applyFill="1" applyBorder="1" applyAlignment="1">
      <alignment horizontal="right" vertical="center"/>
    </xf>
    <xf numFmtId="0" fontId="157" fillId="10" borderId="5" xfId="0" applyFont="1" applyFill="1" applyBorder="1" applyAlignment="1">
      <alignment horizontal="right" vertical="center"/>
    </xf>
    <xf numFmtId="0" fontId="23" fillId="0" borderId="0" xfId="0" applyFont="1" applyAlignment="1">
      <alignment horizontal="center"/>
    </xf>
    <xf numFmtId="200" fontId="21" fillId="3" borderId="17" xfId="0" applyNumberFormat="1" applyFont="1" applyFill="1" applyBorder="1"/>
    <xf numFmtId="0" fontId="73" fillId="0" borderId="139" xfId="14109" applyFont="1" applyBorder="1" applyAlignment="1">
      <alignment wrapText="1"/>
    </xf>
    <xf numFmtId="171" fontId="21" fillId="0" borderId="50" xfId="0" applyNumberFormat="1" applyFont="1" applyBorder="1"/>
    <xf numFmtId="0" fontId="158" fillId="8" borderId="1" xfId="15" applyFont="1" applyBorder="1" applyAlignment="1">
      <alignment vertical="center"/>
    </xf>
    <xf numFmtId="189" fontId="155" fillId="0" borderId="92" xfId="14109" applyNumberFormat="1" applyFont="1" applyBorder="1" applyAlignment="1">
      <alignment horizontal="center"/>
    </xf>
    <xf numFmtId="189" fontId="52" fillId="11" borderId="77" xfId="0" applyNumberFormat="1" applyFont="1" applyFill="1" applyBorder="1"/>
    <xf numFmtId="0" fontId="153" fillId="14" borderId="103" xfId="0" applyFont="1" applyFill="1" applyBorder="1" applyAlignment="1">
      <alignment horizontal="center" vertical="center"/>
    </xf>
    <xf numFmtId="189" fontId="52" fillId="15" borderId="106" xfId="0" applyNumberFormat="1" applyFont="1" applyFill="1" applyBorder="1"/>
    <xf numFmtId="0" fontId="153" fillId="14" borderId="11" xfId="0" applyFont="1" applyFill="1" applyBorder="1" applyAlignment="1">
      <alignment horizontal="center" vertical="center"/>
    </xf>
    <xf numFmtId="0" fontId="47" fillId="64" borderId="0" xfId="14109" applyFont="1" applyFill="1" applyAlignment="1">
      <alignment wrapText="1"/>
    </xf>
    <xf numFmtId="0" fontId="47" fillId="64" borderId="0" xfId="14109" applyFont="1" applyFill="1"/>
    <xf numFmtId="44" fontId="0" fillId="0" borderId="43" xfId="0" applyNumberFormat="1" applyBorder="1"/>
    <xf numFmtId="2" fontId="10" fillId="39" borderId="1" xfId="44" applyNumberFormat="1" applyBorder="1" applyAlignment="1">
      <alignment horizontal="right"/>
    </xf>
    <xf numFmtId="0" fontId="27" fillId="15" borderId="1" xfId="14109" applyFont="1" applyFill="1" applyBorder="1"/>
    <xf numFmtId="0" fontId="0" fillId="0" borderId="0" xfId="1" applyNumberFormat="1" applyFont="1" applyFill="1"/>
    <xf numFmtId="199" fontId="0" fillId="0" borderId="0" xfId="1" applyNumberFormat="1" applyFont="1" applyFill="1"/>
    <xf numFmtId="0" fontId="0" fillId="29" borderId="0" xfId="0" applyFill="1"/>
    <xf numFmtId="44" fontId="0" fillId="0" borderId="0" xfId="14113" applyFont="1"/>
    <xf numFmtId="44" fontId="73" fillId="0" borderId="0" xfId="0" applyNumberFormat="1" applyFont="1"/>
    <xf numFmtId="0" fontId="42" fillId="8" borderId="16" xfId="15" applyBorder="1" applyAlignment="1">
      <alignment horizontal="left"/>
    </xf>
    <xf numFmtId="0" fontId="49" fillId="68" borderId="30" xfId="0" applyFont="1" applyFill="1" applyBorder="1" applyAlignment="1">
      <alignment horizontal="left"/>
    </xf>
    <xf numFmtId="0" fontId="48" fillId="68" borderId="22" xfId="0" applyFont="1" applyFill="1" applyBorder="1" applyAlignment="1">
      <alignment vertical="center"/>
    </xf>
    <xf numFmtId="0" fontId="72" fillId="68" borderId="22" xfId="0" applyFont="1" applyFill="1" applyBorder="1" applyAlignment="1">
      <alignment vertical="center"/>
    </xf>
    <xf numFmtId="164" fontId="48" fillId="68" borderId="29" xfId="0" applyNumberFormat="1" applyFont="1" applyFill="1" applyBorder="1" applyAlignment="1">
      <alignment vertical="center"/>
    </xf>
    <xf numFmtId="167" fontId="48" fillId="68" borderId="22" xfId="0" applyNumberFormat="1" applyFont="1" applyFill="1" applyBorder="1" applyAlignment="1">
      <alignment vertical="center"/>
    </xf>
    <xf numFmtId="164" fontId="48" fillId="68" borderId="22" xfId="0" applyNumberFormat="1" applyFont="1" applyFill="1" applyBorder="1" applyAlignment="1">
      <alignment vertical="center"/>
    </xf>
    <xf numFmtId="189" fontId="0" fillId="0" borderId="0" xfId="1" applyNumberFormat="1" applyFont="1" applyBorder="1"/>
    <xf numFmtId="0" fontId="49" fillId="68" borderId="0" xfId="0" applyFont="1" applyFill="1" applyAlignment="1">
      <alignment horizontal="left"/>
    </xf>
    <xf numFmtId="0" fontId="48" fillId="68" borderId="29" xfId="0" applyFont="1" applyFill="1" applyBorder="1" applyAlignment="1">
      <alignment vertical="center"/>
    </xf>
    <xf numFmtId="0" fontId="72" fillId="68" borderId="151" xfId="0" applyFont="1" applyFill="1" applyBorder="1" applyAlignment="1">
      <alignment vertical="center"/>
    </xf>
    <xf numFmtId="0" fontId="48" fillId="68" borderId="28" xfId="0" applyFont="1" applyFill="1" applyBorder="1" applyAlignment="1">
      <alignment vertical="center"/>
    </xf>
    <xf numFmtId="0" fontId="48" fillId="68" borderId="21" xfId="0" applyFont="1" applyFill="1" applyBorder="1" applyAlignment="1">
      <alignment vertical="center"/>
    </xf>
    <xf numFmtId="164" fontId="48" fillId="68" borderId="28" xfId="0" applyNumberFormat="1" applyFont="1" applyFill="1" applyBorder="1" applyAlignment="1">
      <alignment vertical="center"/>
    </xf>
    <xf numFmtId="167" fontId="48" fillId="68" borderId="21" xfId="0" applyNumberFormat="1" applyFont="1" applyFill="1" applyBorder="1" applyAlignment="1">
      <alignment vertical="center"/>
    </xf>
    <xf numFmtId="164" fontId="48" fillId="68" borderId="21" xfId="0" applyNumberFormat="1" applyFont="1" applyFill="1" applyBorder="1" applyAlignment="1">
      <alignment vertical="center"/>
    </xf>
    <xf numFmtId="164" fontId="0" fillId="0" borderId="45" xfId="1" applyFont="1" applyBorder="1"/>
    <xf numFmtId="0" fontId="157" fillId="10" borderId="137" xfId="0" applyFont="1" applyFill="1" applyBorder="1" applyAlignment="1">
      <alignment horizontal="right" vertical="center"/>
    </xf>
    <xf numFmtId="0" fontId="157" fillId="11" borderId="1" xfId="0" applyFont="1" applyFill="1" applyBorder="1" applyAlignment="1">
      <alignment horizontal="right" vertical="center"/>
    </xf>
    <xf numFmtId="0" fontId="52" fillId="15" borderId="111" xfId="0" applyFont="1" applyFill="1" applyBorder="1" applyAlignment="1">
      <alignment vertical="center"/>
    </xf>
    <xf numFmtId="197" fontId="52" fillId="16" borderId="63" xfId="0" applyNumberFormat="1" applyFont="1" applyFill="1" applyBorder="1" applyAlignment="1">
      <alignment horizontal="right"/>
    </xf>
    <xf numFmtId="189" fontId="52" fillId="16" borderId="63" xfId="0" applyNumberFormat="1" applyFont="1" applyFill="1" applyBorder="1" applyAlignment="1">
      <alignment vertical="center"/>
    </xf>
    <xf numFmtId="189" fontId="52" fillId="15" borderId="152" xfId="0" applyNumberFormat="1" applyFont="1" applyFill="1" applyBorder="1"/>
    <xf numFmtId="0" fontId="151" fillId="35" borderId="14" xfId="40" applyFont="1" applyBorder="1" applyAlignment="1">
      <alignment wrapText="1"/>
    </xf>
    <xf numFmtId="0" fontId="27" fillId="10" borderId="27" xfId="14109" applyFont="1" applyFill="1" applyBorder="1"/>
    <xf numFmtId="0" fontId="157" fillId="15" borderId="1" xfId="0" applyFont="1" applyFill="1" applyBorder="1" applyAlignment="1">
      <alignment vertical="center"/>
    </xf>
    <xf numFmtId="0" fontId="52" fillId="10" borderId="1" xfId="0" applyFont="1" applyFill="1" applyBorder="1" applyAlignment="1">
      <alignment horizontal="center" vertical="center"/>
    </xf>
    <xf numFmtId="0" fontId="157" fillId="0" borderId="8" xfId="0" applyFont="1" applyBorder="1" applyAlignment="1">
      <alignment vertical="center"/>
    </xf>
    <xf numFmtId="189" fontId="10" fillId="35" borderId="1" xfId="40" applyNumberFormat="1" applyBorder="1"/>
    <xf numFmtId="202" fontId="10" fillId="35" borderId="1" xfId="40" applyNumberFormat="1" applyBorder="1"/>
    <xf numFmtId="0" fontId="5" fillId="64" borderId="0" xfId="14109" applyFill="1" applyAlignment="1">
      <alignment vertical="center"/>
    </xf>
    <xf numFmtId="0" fontId="10" fillId="39" borderId="1" xfId="44" applyBorder="1" applyAlignment="1">
      <alignment wrapText="1"/>
    </xf>
    <xf numFmtId="183" fontId="10" fillId="39" borderId="1" xfId="44" applyNumberFormat="1" applyBorder="1"/>
    <xf numFmtId="164" fontId="10" fillId="39" borderId="1" xfId="44" applyNumberFormat="1" applyBorder="1"/>
    <xf numFmtId="0" fontId="52" fillId="11" borderId="1" xfId="0" applyFont="1" applyFill="1" applyBorder="1" applyAlignment="1">
      <alignment horizontal="center" vertical="center"/>
    </xf>
    <xf numFmtId="203" fontId="158" fillId="8" borderId="1" xfId="15" applyNumberFormat="1" applyFont="1" applyBorder="1" applyAlignment="1">
      <alignment vertical="center"/>
    </xf>
    <xf numFmtId="0" fontId="149" fillId="19" borderId="102" xfId="14111" applyFont="1" applyBorder="1" applyAlignment="1">
      <alignment horizontal="right"/>
    </xf>
    <xf numFmtId="0" fontId="149" fillId="19" borderId="154" xfId="14111" applyFont="1" applyBorder="1" applyAlignment="1"/>
    <xf numFmtId="0" fontId="52" fillId="10" borderId="1" xfId="0" applyFont="1" applyFill="1" applyBorder="1" applyAlignment="1">
      <alignment vertical="center"/>
    </xf>
    <xf numFmtId="44" fontId="47" fillId="10" borderId="0" xfId="0" applyNumberFormat="1" applyFont="1" applyFill="1"/>
    <xf numFmtId="189" fontId="48" fillId="15" borderId="106" xfId="0" applyNumberFormat="1" applyFont="1" applyFill="1" applyBorder="1"/>
    <xf numFmtId="0" fontId="48" fillId="15" borderId="95" xfId="0" applyFont="1" applyFill="1" applyBorder="1" applyAlignment="1">
      <alignment horizontal="left" vertical="center"/>
    </xf>
    <xf numFmtId="0" fontId="52" fillId="10" borderId="16" xfId="0" applyFont="1" applyFill="1" applyBorder="1" applyAlignment="1">
      <alignment vertical="center"/>
    </xf>
    <xf numFmtId="44" fontId="155" fillId="0" borderId="163" xfId="14109" applyNumberFormat="1" applyFont="1" applyBorder="1"/>
    <xf numFmtId="189" fontId="52" fillId="15" borderId="153" xfId="0" applyNumberFormat="1" applyFont="1" applyFill="1" applyBorder="1"/>
    <xf numFmtId="199" fontId="0" fillId="10" borderId="0" xfId="1" applyNumberFormat="1" applyFont="1" applyFill="1"/>
    <xf numFmtId="0" fontId="0" fillId="10" borderId="0" xfId="0" applyFill="1" applyAlignment="1">
      <alignment horizontal="right"/>
    </xf>
    <xf numFmtId="189" fontId="0" fillId="10" borderId="0" xfId="1" applyNumberFormat="1" applyFont="1" applyFill="1" applyAlignment="1">
      <alignment horizontal="right"/>
    </xf>
    <xf numFmtId="0" fontId="27" fillId="25" borderId="6" xfId="28164" applyFont="1" applyFill="1" applyBorder="1" applyAlignment="1">
      <alignment vertical="top"/>
    </xf>
    <xf numFmtId="166" fontId="0" fillId="25" borderId="8" xfId="28165" applyNumberFormat="1" applyFont="1" applyFill="1" applyBorder="1" applyAlignment="1">
      <alignment horizontal="right" vertical="top"/>
    </xf>
    <xf numFmtId="166" fontId="0" fillId="25" borderId="1" xfId="28165" applyNumberFormat="1" applyFont="1" applyFill="1" applyBorder="1" applyAlignment="1">
      <alignment horizontal="right" vertical="top"/>
    </xf>
    <xf numFmtId="0" fontId="27" fillId="26" borderId="77" xfId="28164" applyFont="1" applyFill="1" applyBorder="1" applyAlignment="1">
      <alignment vertical="top"/>
    </xf>
    <xf numFmtId="166" fontId="0" fillId="26" borderId="1" xfId="28165" applyNumberFormat="1" applyFont="1" applyFill="1" applyBorder="1" applyAlignment="1">
      <alignment horizontal="right" vertical="top"/>
    </xf>
    <xf numFmtId="166" fontId="0" fillId="26" borderId="8" xfId="28165" applyNumberFormat="1" applyFont="1" applyFill="1" applyBorder="1" applyAlignment="1">
      <alignment horizontal="right" vertical="top"/>
    </xf>
    <xf numFmtId="0" fontId="27" fillId="25" borderId="77" xfId="28164" applyFont="1" applyFill="1" applyBorder="1" applyAlignment="1">
      <alignment vertical="top"/>
    </xf>
    <xf numFmtId="0" fontId="2" fillId="25" borderId="1" xfId="28164" applyFill="1" applyBorder="1" applyAlignment="1">
      <alignment vertical="top"/>
    </xf>
    <xf numFmtId="0" fontId="2" fillId="26" borderId="1" xfId="28164" applyFill="1" applyBorder="1" applyAlignment="1">
      <alignment vertical="top"/>
    </xf>
    <xf numFmtId="0" fontId="2" fillId="25" borderId="1" xfId="28164" applyFill="1" applyBorder="1" applyAlignment="1">
      <alignment vertical="center"/>
    </xf>
    <xf numFmtId="49" fontId="69" fillId="27" borderId="21" xfId="0" applyNumberFormat="1" applyFont="1" applyFill="1" applyBorder="1" applyAlignment="1">
      <alignment horizontal="left"/>
    </xf>
    <xf numFmtId="0" fontId="2" fillId="0" borderId="1" xfId="28164" applyBorder="1" applyAlignment="1">
      <alignment vertical="top"/>
    </xf>
    <xf numFmtId="49" fontId="2" fillId="0" borderId="1" xfId="28164" applyNumberFormat="1" applyBorder="1" applyAlignment="1">
      <alignment vertical="top"/>
    </xf>
    <xf numFmtId="0" fontId="0" fillId="70" borderId="1" xfId="0" applyFill="1" applyBorder="1"/>
    <xf numFmtId="49" fontId="0" fillId="0" borderId="1" xfId="0" applyNumberFormat="1" applyBorder="1"/>
    <xf numFmtId="0" fontId="73" fillId="30" borderId="1" xfId="28164" applyFont="1" applyFill="1" applyBorder="1" applyAlignment="1">
      <alignment vertical="top"/>
    </xf>
    <xf numFmtId="0" fontId="42" fillId="11" borderId="23" xfId="15" applyFill="1" applyAlignment="1">
      <alignment horizontal="left" vertical="center"/>
    </xf>
    <xf numFmtId="0" fontId="42" fillId="31" borderId="23" xfId="15" applyFill="1" applyAlignment="1">
      <alignment horizontal="left"/>
    </xf>
    <xf numFmtId="0" fontId="42" fillId="31" borderId="23" xfId="15" applyFill="1" applyAlignment="1">
      <alignment horizontal="left" wrapText="1"/>
    </xf>
    <xf numFmtId="0" fontId="61" fillId="14" borderId="161" xfId="0" applyFont="1" applyFill="1" applyBorder="1" applyAlignment="1">
      <alignment horizontal="center" vertical="center"/>
    </xf>
    <xf numFmtId="0" fontId="61" fillId="14" borderId="165" xfId="0" applyFont="1" applyFill="1" applyBorder="1" applyAlignment="1">
      <alignment horizontal="center" vertical="center"/>
    </xf>
    <xf numFmtId="0" fontId="61" fillId="14" borderId="104" xfId="0" applyFont="1" applyFill="1" applyBorder="1" applyAlignment="1">
      <alignment horizontal="center" vertical="center"/>
    </xf>
    <xf numFmtId="0" fontId="0" fillId="71" borderId="0" xfId="0" applyFill="1"/>
    <xf numFmtId="0" fontId="2" fillId="71" borderId="0" xfId="28164" applyFill="1" applyAlignment="1">
      <alignment vertical="top"/>
    </xf>
    <xf numFmtId="0" fontId="86" fillId="71" borderId="0" xfId="28164" applyFont="1" applyFill="1" applyAlignment="1">
      <alignment vertical="top"/>
    </xf>
    <xf numFmtId="166" fontId="0" fillId="71" borderId="0" xfId="28165" applyNumberFormat="1" applyFont="1" applyFill="1" applyAlignment="1">
      <alignment horizontal="right" vertical="top"/>
    </xf>
    <xf numFmtId="0" fontId="73" fillId="68" borderId="26" xfId="28164" applyFont="1" applyFill="1" applyBorder="1" applyAlignment="1">
      <alignment horizontal="center" vertical="top"/>
    </xf>
    <xf numFmtId="0" fontId="0" fillId="25" borderId="1" xfId="28165" applyNumberFormat="1" applyFont="1" applyFill="1" applyBorder="1" applyAlignment="1">
      <alignment horizontal="right" vertical="top"/>
    </xf>
    <xf numFmtId="0" fontId="159" fillId="0" borderId="105" xfId="0" applyFont="1" applyBorder="1" applyAlignment="1">
      <alignment horizontal="center" vertical="center" wrapText="1"/>
    </xf>
    <xf numFmtId="0" fontId="159" fillId="0" borderId="27" xfId="0" applyFont="1" applyBorder="1" applyAlignment="1">
      <alignment horizontal="center" vertical="center" wrapText="1"/>
    </xf>
    <xf numFmtId="0" fontId="159" fillId="0" borderId="166" xfId="0" applyFont="1" applyBorder="1" applyAlignment="1">
      <alignment horizontal="center" vertical="center" wrapText="1"/>
    </xf>
    <xf numFmtId="0" fontId="159" fillId="0" borderId="162" xfId="0" applyFont="1" applyBorder="1" applyAlignment="1">
      <alignment horizontal="center" vertical="center" wrapText="1"/>
    </xf>
    <xf numFmtId="0" fontId="159" fillId="0" borderId="104" xfId="0" applyFont="1" applyBorder="1" applyAlignment="1">
      <alignment horizontal="left" vertical="center" wrapText="1"/>
    </xf>
    <xf numFmtId="0" fontId="2" fillId="0" borderId="28" xfId="28164" applyBorder="1" applyAlignment="1">
      <alignment vertical="top"/>
    </xf>
    <xf numFmtId="0" fontId="2" fillId="0" borderId="0" xfId="28164" applyAlignment="1">
      <alignment vertical="top"/>
    </xf>
    <xf numFmtId="166" fontId="160" fillId="27" borderId="92" xfId="28164" applyNumberFormat="1" applyFont="1" applyFill="1" applyBorder="1" applyAlignment="1">
      <alignment vertical="top"/>
    </xf>
    <xf numFmtId="0" fontId="160" fillId="27" borderId="92" xfId="28164" applyFont="1" applyFill="1" applyBorder="1" applyAlignment="1">
      <alignment vertical="top"/>
    </xf>
    <xf numFmtId="0" fontId="2" fillId="0" borderId="29" xfId="28164" applyBorder="1" applyAlignment="1">
      <alignment vertical="top"/>
    </xf>
    <xf numFmtId="0" fontId="2" fillId="0" borderId="30" xfId="28164" applyBorder="1" applyAlignment="1">
      <alignment vertical="top"/>
    </xf>
    <xf numFmtId="0" fontId="27" fillId="26" borderId="167" xfId="28164" applyFont="1" applyFill="1" applyBorder="1" applyAlignment="1">
      <alignment vertical="top"/>
    </xf>
    <xf numFmtId="0" fontId="2" fillId="26" borderId="63" xfId="28164" applyFill="1" applyBorder="1" applyAlignment="1">
      <alignment vertical="top"/>
    </xf>
    <xf numFmtId="166" fontId="0" fillId="26" borderId="63" xfId="28165" applyNumberFormat="1" applyFont="1" applyFill="1" applyBorder="1" applyAlignment="1">
      <alignment horizontal="right" vertical="top"/>
    </xf>
    <xf numFmtId="0" fontId="160" fillId="27" borderId="93" xfId="28164" applyFont="1" applyFill="1" applyBorder="1" applyAlignment="1">
      <alignment vertical="top"/>
    </xf>
    <xf numFmtId="0" fontId="0" fillId="12" borderId="0" xfId="0" applyFill="1"/>
    <xf numFmtId="0" fontId="55" fillId="12" borderId="0" xfId="0" applyFont="1" applyFill="1" applyAlignment="1">
      <alignment vertical="center"/>
    </xf>
    <xf numFmtId="0" fontId="56" fillId="12" borderId="0" xfId="0" applyFont="1" applyFill="1" applyAlignment="1">
      <alignment horizontal="center"/>
    </xf>
    <xf numFmtId="197" fontId="142" fillId="27" borderId="21" xfId="0" applyNumberFormat="1" applyFont="1" applyFill="1" applyBorder="1" applyAlignment="1">
      <alignment horizontal="left"/>
    </xf>
    <xf numFmtId="0" fontId="67" fillId="18" borderId="168" xfId="0" applyFont="1" applyFill="1" applyBorder="1" applyAlignment="1">
      <alignment horizontal="right" vertical="center"/>
    </xf>
    <xf numFmtId="0" fontId="138" fillId="27" borderId="151" xfId="0" applyFont="1" applyFill="1" applyBorder="1" applyAlignment="1">
      <alignment horizontal="center" vertical="center"/>
    </xf>
    <xf numFmtId="0" fontId="73" fillId="28" borderId="95" xfId="28164" applyFont="1" applyFill="1" applyBorder="1" applyAlignment="1">
      <alignment horizontal="center" vertical="top"/>
    </xf>
    <xf numFmtId="0" fontId="73" fillId="28" borderId="1" xfId="28164" applyFont="1" applyFill="1" applyBorder="1" applyAlignment="1">
      <alignment horizontal="center" vertical="top" wrapText="1"/>
    </xf>
    <xf numFmtId="0" fontId="73" fillId="28" borderId="1" xfId="28164" applyFont="1" applyFill="1" applyBorder="1" applyAlignment="1">
      <alignment horizontal="center" vertical="top"/>
    </xf>
    <xf numFmtId="0" fontId="73" fillId="28" borderId="92" xfId="28164" applyFont="1" applyFill="1" applyBorder="1" applyAlignment="1">
      <alignment horizontal="center" vertical="top" wrapText="1"/>
    </xf>
    <xf numFmtId="0" fontId="15" fillId="69" borderId="111" xfId="28164" applyFont="1" applyFill="1" applyBorder="1" applyAlignment="1">
      <alignment horizontal="center" vertical="top"/>
    </xf>
    <xf numFmtId="0" fontId="15" fillId="69" borderId="63" xfId="28164" applyFont="1" applyFill="1" applyBorder="1" applyAlignment="1">
      <alignment horizontal="center" vertical="top"/>
    </xf>
    <xf numFmtId="0" fontId="15" fillId="69" borderId="93" xfId="28164" applyFont="1" applyFill="1" applyBorder="1" applyAlignment="1">
      <alignment horizontal="center" vertical="top"/>
    </xf>
    <xf numFmtId="165" fontId="24" fillId="2" borderId="0" xfId="1" applyNumberFormat="1" applyFont="1" applyFill="1" applyBorder="1"/>
    <xf numFmtId="197" fontId="21" fillId="3" borderId="0" xfId="0" applyNumberFormat="1" applyFont="1" applyFill="1" applyAlignment="1">
      <alignment horizontal="right"/>
    </xf>
    <xf numFmtId="197" fontId="21" fillId="0" borderId="0" xfId="0" applyNumberFormat="1" applyFont="1" applyAlignment="1">
      <alignment horizontal="right"/>
    </xf>
    <xf numFmtId="0" fontId="24" fillId="2" borderId="28" xfId="0" applyFont="1" applyFill="1" applyBorder="1"/>
    <xf numFmtId="165" fontId="24" fillId="2" borderId="21" xfId="1" applyNumberFormat="1" applyFont="1" applyFill="1" applyBorder="1"/>
    <xf numFmtId="0" fontId="21" fillId="3" borderId="28" xfId="0" applyFont="1" applyFill="1" applyBorder="1"/>
    <xf numFmtId="165" fontId="21" fillId="3" borderId="21" xfId="1" applyNumberFormat="1" applyFont="1" applyFill="1" applyBorder="1"/>
    <xf numFmtId="0" fontId="21" fillId="0" borderId="28" xfId="0" applyFont="1" applyBorder="1"/>
    <xf numFmtId="165" fontId="21" fillId="0" borderId="21" xfId="1" applyNumberFormat="1" applyFont="1" applyBorder="1"/>
    <xf numFmtId="0" fontId="21" fillId="0" borderId="29" xfId="0" applyFont="1" applyBorder="1"/>
    <xf numFmtId="197" fontId="21" fillId="0" borderId="30" xfId="0" applyNumberFormat="1" applyFont="1" applyBorder="1" applyAlignment="1">
      <alignment horizontal="right"/>
    </xf>
    <xf numFmtId="165" fontId="21" fillId="0" borderId="22" xfId="1" applyNumberFormat="1" applyFont="1" applyBorder="1"/>
    <xf numFmtId="189" fontId="21" fillId="3" borderId="0" xfId="1" applyNumberFormat="1" applyFont="1" applyFill="1" applyBorder="1" applyAlignment="1">
      <alignment horizontal="right"/>
    </xf>
    <xf numFmtId="189" fontId="21" fillId="0" borderId="0" xfId="1" applyNumberFormat="1" applyFont="1" applyBorder="1" applyAlignment="1">
      <alignment horizontal="right"/>
    </xf>
    <xf numFmtId="189" fontId="21" fillId="0" borderId="30" xfId="1" applyNumberFormat="1" applyFont="1" applyBorder="1" applyAlignment="1">
      <alignment horizontal="right"/>
    </xf>
    <xf numFmtId="189" fontId="21" fillId="3" borderId="21" xfId="1" applyNumberFormat="1" applyFont="1" applyFill="1" applyBorder="1" applyAlignment="1">
      <alignment horizontal="right"/>
    </xf>
    <xf numFmtId="165" fontId="21" fillId="0" borderId="30" xfId="1" applyNumberFormat="1" applyFont="1" applyBorder="1"/>
    <xf numFmtId="189" fontId="21" fillId="0" borderId="21" xfId="1" applyNumberFormat="1" applyFont="1" applyBorder="1" applyAlignment="1">
      <alignment horizontal="right"/>
    </xf>
    <xf numFmtId="189" fontId="21" fillId="0" borderId="22" xfId="1" applyNumberFormat="1" applyFont="1" applyBorder="1" applyAlignment="1">
      <alignment horizontal="right"/>
    </xf>
    <xf numFmtId="0" fontId="17" fillId="2" borderId="169" xfId="0" applyFont="1" applyFill="1" applyBorder="1"/>
    <xf numFmtId="0" fontId="17" fillId="2" borderId="114" xfId="0" applyFont="1" applyFill="1" applyBorder="1"/>
    <xf numFmtId="0" fontId="19" fillId="3" borderId="169" xfId="0" applyFont="1" applyFill="1" applyBorder="1" applyAlignment="1">
      <alignment vertical="center"/>
    </xf>
    <xf numFmtId="44" fontId="19" fillId="3" borderId="114" xfId="0" applyNumberFormat="1" applyFont="1" applyFill="1" applyBorder="1" applyAlignment="1">
      <alignment horizontal="left" vertical="center"/>
    </xf>
    <xf numFmtId="0" fontId="19" fillId="0" borderId="169" xfId="0" applyFont="1" applyBorder="1" applyAlignment="1">
      <alignment vertical="center"/>
    </xf>
    <xf numFmtId="165" fontId="19" fillId="0" borderId="114" xfId="0" applyNumberFormat="1" applyFont="1" applyBorder="1" applyAlignment="1">
      <alignment horizontal="left" vertical="center"/>
    </xf>
    <xf numFmtId="0" fontId="19" fillId="3" borderId="44" xfId="0" applyFont="1" applyFill="1" applyBorder="1" applyAlignment="1">
      <alignment vertical="center"/>
    </xf>
    <xf numFmtId="165" fontId="19" fillId="3" borderId="47" xfId="0" applyNumberFormat="1" applyFont="1" applyFill="1" applyBorder="1" applyAlignment="1">
      <alignment horizontal="left" vertical="center"/>
    </xf>
    <xf numFmtId="164" fontId="21" fillId="0" borderId="114" xfId="1" applyFont="1" applyBorder="1" applyAlignment="1">
      <alignment horizontal="left" vertical="center"/>
    </xf>
    <xf numFmtId="165" fontId="19" fillId="3" borderId="114" xfId="0" applyNumberFormat="1" applyFont="1" applyFill="1" applyBorder="1" applyAlignment="1">
      <alignment horizontal="left" vertical="center"/>
    </xf>
    <xf numFmtId="0" fontId="19" fillId="0" borderId="44" xfId="0" applyFont="1" applyBorder="1" applyAlignment="1">
      <alignment vertical="center"/>
    </xf>
    <xf numFmtId="165" fontId="19" fillId="0" borderId="47" xfId="0" applyNumberFormat="1" applyFont="1" applyBorder="1" applyAlignment="1">
      <alignment horizontal="left" vertical="center"/>
    </xf>
    <xf numFmtId="0" fontId="160" fillId="27" borderId="92" xfId="28164" applyFont="1" applyFill="1" applyBorder="1" applyAlignment="1">
      <alignment vertical="top" wrapText="1"/>
    </xf>
    <xf numFmtId="0" fontId="17" fillId="2" borderId="0" xfId="0" applyFont="1" applyFill="1"/>
    <xf numFmtId="0" fontId="17" fillId="2" borderId="28" xfId="0" applyFont="1" applyFill="1" applyBorder="1"/>
    <xf numFmtId="0" fontId="17" fillId="2" borderId="21" xfId="0" applyFont="1" applyFill="1" applyBorder="1"/>
    <xf numFmtId="0" fontId="162" fillId="3" borderId="28" xfId="0" applyFont="1" applyFill="1" applyBorder="1" applyAlignment="1">
      <alignment vertical="center"/>
    </xf>
    <xf numFmtId="0" fontId="162" fillId="0" borderId="28" xfId="0" applyFont="1" applyBorder="1" applyAlignment="1">
      <alignment vertical="center"/>
    </xf>
    <xf numFmtId="0" fontId="162" fillId="0" borderId="29" xfId="0" applyFont="1" applyBorder="1" applyAlignment="1">
      <alignment vertical="center"/>
    </xf>
    <xf numFmtId="0" fontId="159" fillId="0" borderId="8" xfId="0" applyFont="1" applyBorder="1" applyAlignment="1">
      <alignment horizontal="center" vertical="center" wrapText="1"/>
    </xf>
    <xf numFmtId="0" fontId="73" fillId="20" borderId="14" xfId="0" applyFont="1" applyFill="1" applyBorder="1" applyAlignment="1">
      <alignment vertical="top"/>
    </xf>
    <xf numFmtId="204" fontId="21" fillId="3" borderId="21" xfId="1" applyNumberFormat="1" applyFont="1" applyFill="1" applyBorder="1"/>
    <xf numFmtId="1" fontId="21" fillId="0" borderId="21" xfId="1" applyNumberFormat="1" applyFont="1" applyBorder="1"/>
    <xf numFmtId="204" fontId="21" fillId="0" borderId="21" xfId="1" applyNumberFormat="1" applyFont="1" applyBorder="1"/>
    <xf numFmtId="189" fontId="21" fillId="0" borderId="21" xfId="1" applyNumberFormat="1" applyFont="1" applyBorder="1"/>
    <xf numFmtId="0" fontId="162" fillId="3" borderId="29" xfId="0" applyFont="1" applyFill="1" applyBorder="1" applyAlignment="1">
      <alignment vertical="center"/>
    </xf>
    <xf numFmtId="165" fontId="21" fillId="3" borderId="22" xfId="1" applyNumberFormat="1" applyFont="1" applyFill="1" applyBorder="1"/>
    <xf numFmtId="0" fontId="52" fillId="10" borderId="1" xfId="0" applyFont="1" applyFill="1" applyBorder="1" applyAlignment="1">
      <alignment horizontal="right" vertical="center"/>
    </xf>
    <xf numFmtId="205" fontId="157" fillId="11" borderId="1" xfId="0" applyNumberFormat="1" applyFont="1" applyFill="1" applyBorder="1" applyAlignment="1">
      <alignment horizontal="right" vertical="center"/>
    </xf>
    <xf numFmtId="0" fontId="52" fillId="10" borderId="24" xfId="0" applyFont="1" applyFill="1" applyBorder="1" applyAlignment="1">
      <alignment horizontal="right" vertical="center"/>
    </xf>
    <xf numFmtId="0" fontId="52" fillId="10" borderId="28" xfId="0" applyFont="1" applyFill="1" applyBorder="1" applyAlignment="1">
      <alignment horizontal="right" vertical="center"/>
    </xf>
    <xf numFmtId="0" fontId="52" fillId="10" borderId="29" xfId="0" applyFont="1" applyFill="1" applyBorder="1" applyAlignment="1">
      <alignment horizontal="right" vertical="center"/>
    </xf>
    <xf numFmtId="0" fontId="48" fillId="15" borderId="110" xfId="0" applyFont="1" applyFill="1" applyBorder="1" applyAlignment="1">
      <alignment horizontal="left" vertical="center"/>
    </xf>
    <xf numFmtId="189" fontId="48" fillId="15" borderId="170" xfId="0" applyNumberFormat="1" applyFont="1" applyFill="1" applyBorder="1"/>
    <xf numFmtId="0" fontId="48" fillId="0" borderId="95" xfId="0" applyFont="1" applyBorder="1" applyAlignment="1">
      <alignment horizontal="left" vertical="center"/>
    </xf>
    <xf numFmtId="189" fontId="48" fillId="0" borderId="92" xfId="0" applyNumberFormat="1" applyFont="1" applyBorder="1"/>
    <xf numFmtId="0" fontId="0" fillId="0" borderId="24" xfId="0" applyBorder="1"/>
    <xf numFmtId="0" fontId="0" fillId="0" borderId="25" xfId="0" applyBorder="1" applyAlignment="1">
      <alignment horizontal="right"/>
    </xf>
    <xf numFmtId="0" fontId="0" fillId="0" borderId="26" xfId="0" applyBorder="1" applyAlignment="1">
      <alignment horizontal="right"/>
    </xf>
    <xf numFmtId="0" fontId="0" fillId="0" borderId="30" xfId="0" applyBorder="1" applyAlignment="1">
      <alignment horizontal="right"/>
    </xf>
    <xf numFmtId="0" fontId="0" fillId="0" borderId="22" xfId="0" applyBorder="1" applyAlignment="1">
      <alignment horizontal="right"/>
    </xf>
    <xf numFmtId="0" fontId="165" fillId="0" borderId="0" xfId="14112" applyFont="1"/>
    <xf numFmtId="44" fontId="18" fillId="0" borderId="1" xfId="0" applyNumberFormat="1" applyFont="1" applyBorder="1" applyAlignment="1">
      <alignment horizontal="center" vertical="center"/>
    </xf>
    <xf numFmtId="0" fontId="18" fillId="0" borderId="1" xfId="0" applyFont="1" applyBorder="1" applyAlignment="1">
      <alignment horizontal="center" vertical="center"/>
    </xf>
    <xf numFmtId="0" fontId="19" fillId="0" borderId="5" xfId="0" applyFont="1" applyBorder="1" applyAlignment="1">
      <alignment horizontal="left" vertical="top"/>
    </xf>
    <xf numFmtId="44" fontId="18" fillId="0" borderId="95" xfId="0" applyNumberFormat="1" applyFont="1" applyBorder="1" applyAlignment="1">
      <alignment horizontal="center" vertical="center"/>
    </xf>
    <xf numFmtId="165" fontId="18" fillId="0" borderId="92" xfId="1" applyNumberFormat="1" applyFont="1" applyFill="1" applyBorder="1" applyAlignment="1">
      <alignment horizontal="center" vertical="center"/>
    </xf>
    <xf numFmtId="0" fontId="19" fillId="0" borderId="95" xfId="0" applyFont="1" applyBorder="1" applyAlignment="1">
      <alignment horizontal="left" vertical="top"/>
    </xf>
    <xf numFmtId="0" fontId="22" fillId="0" borderId="171" xfId="0" applyFont="1" applyBorder="1" applyAlignment="1">
      <alignment horizontal="left" vertical="top"/>
    </xf>
    <xf numFmtId="0" fontId="0" fillId="0" borderId="171" xfId="0" applyBorder="1"/>
    <xf numFmtId="0" fontId="19" fillId="0" borderId="172" xfId="0" applyFont="1" applyBorder="1" applyAlignment="1">
      <alignment horizontal="left" vertical="top"/>
    </xf>
    <xf numFmtId="164" fontId="0" fillId="0" borderId="88" xfId="0" applyNumberFormat="1" applyBorder="1"/>
    <xf numFmtId="165" fontId="24" fillId="2" borderId="3" xfId="1" applyNumberFormat="1" applyFont="1" applyFill="1" applyBorder="1"/>
    <xf numFmtId="165" fontId="21" fillId="0" borderId="3" xfId="1" applyNumberFormat="1" applyFont="1" applyBorder="1"/>
    <xf numFmtId="165" fontId="21" fillId="3" borderId="3" xfId="1" applyNumberFormat="1" applyFont="1" applyFill="1" applyBorder="1"/>
    <xf numFmtId="0" fontId="24" fillId="2" borderId="173" xfId="0" applyFont="1" applyFill="1" applyBorder="1"/>
    <xf numFmtId="0" fontId="0" fillId="0" borderId="28" xfId="0" applyBorder="1" applyAlignment="1">
      <alignment vertical="top"/>
    </xf>
    <xf numFmtId="0" fontId="21" fillId="0" borderId="174" xfId="0" applyFont="1" applyBorder="1"/>
    <xf numFmtId="0" fontId="21" fillId="3" borderId="174" xfId="0" applyFont="1" applyFill="1" applyBorder="1"/>
    <xf numFmtId="0" fontId="166" fillId="0" borderId="29" xfId="0" applyFont="1" applyBorder="1" applyAlignment="1">
      <alignment vertical="top"/>
    </xf>
    <xf numFmtId="0" fontId="166" fillId="0" borderId="175" xfId="0" applyFont="1" applyBorder="1" applyAlignment="1">
      <alignment vertical="top"/>
    </xf>
    <xf numFmtId="0" fontId="166" fillId="3" borderId="173" xfId="0" applyFont="1" applyFill="1" applyBorder="1" applyAlignment="1">
      <alignment horizontal="center" vertical="center"/>
    </xf>
    <xf numFmtId="0" fontId="166" fillId="0" borderId="28" xfId="0" applyFont="1" applyBorder="1" applyAlignment="1">
      <alignment horizontal="center" vertical="center"/>
    </xf>
    <xf numFmtId="0" fontId="0" fillId="72" borderId="0" xfId="0" applyFill="1"/>
    <xf numFmtId="0" fontId="42" fillId="8" borderId="178" xfId="15" applyBorder="1"/>
    <xf numFmtId="0" fontId="42" fillId="8" borderId="85" xfId="15" applyBorder="1"/>
    <xf numFmtId="0" fontId="43" fillId="9" borderId="178" xfId="16" applyBorder="1"/>
    <xf numFmtId="0" fontId="43" fillId="9" borderId="85" xfId="16" applyBorder="1"/>
    <xf numFmtId="0" fontId="43" fillId="9" borderId="179" xfId="16" applyBorder="1"/>
    <xf numFmtId="0" fontId="43" fillId="9" borderId="87" xfId="16" applyBorder="1"/>
    <xf numFmtId="0" fontId="0" fillId="25" borderId="95" xfId="0" applyFill="1" applyBorder="1"/>
    <xf numFmtId="0" fontId="0" fillId="25" borderId="1" xfId="0" applyFill="1" applyBorder="1"/>
    <xf numFmtId="190" fontId="0" fillId="25" borderId="1" xfId="0" applyNumberFormat="1" applyFill="1" applyBorder="1"/>
    <xf numFmtId="206" fontId="0" fillId="25" borderId="1" xfId="0" applyNumberFormat="1" applyFill="1" applyBorder="1"/>
    <xf numFmtId="10" fontId="0" fillId="25" borderId="1" xfId="19" applyNumberFormat="1" applyFont="1" applyFill="1" applyBorder="1"/>
    <xf numFmtId="10" fontId="0" fillId="25" borderId="92" xfId="19" applyNumberFormat="1" applyFont="1" applyFill="1" applyBorder="1"/>
    <xf numFmtId="0" fontId="0" fillId="74" borderId="95" xfId="0" applyFill="1" applyBorder="1"/>
    <xf numFmtId="0" fontId="0" fillId="74" borderId="1" xfId="0" applyFill="1" applyBorder="1"/>
    <xf numFmtId="190" fontId="0" fillId="74" borderId="1" xfId="0" applyNumberFormat="1" applyFill="1" applyBorder="1"/>
    <xf numFmtId="206" fontId="0" fillId="74" borderId="1" xfId="0" applyNumberFormat="1" applyFill="1" applyBorder="1"/>
    <xf numFmtId="10" fontId="0" fillId="74" borderId="1" xfId="19" applyNumberFormat="1" applyFont="1" applyFill="1" applyBorder="1"/>
    <xf numFmtId="10" fontId="0" fillId="74" borderId="92" xfId="19" applyNumberFormat="1" applyFont="1" applyFill="1" applyBorder="1"/>
    <xf numFmtId="207" fontId="21" fillId="3" borderId="0" xfId="0" applyNumberFormat="1" applyFont="1" applyFill="1" applyAlignment="1">
      <alignment horizontal="right"/>
    </xf>
    <xf numFmtId="207" fontId="21" fillId="0" borderId="0" xfId="0" applyNumberFormat="1" applyFont="1" applyAlignment="1">
      <alignment horizontal="right"/>
    </xf>
    <xf numFmtId="0" fontId="125" fillId="73" borderId="105" xfId="0" applyFont="1" applyFill="1" applyBorder="1" applyAlignment="1">
      <alignment horizontal="center" vertical="center" wrapText="1"/>
    </xf>
    <xf numFmtId="0" fontId="125" fillId="73" borderId="27" xfId="0" applyFont="1" applyFill="1" applyBorder="1" applyAlignment="1">
      <alignment horizontal="center" vertical="center" wrapText="1"/>
    </xf>
    <xf numFmtId="0" fontId="125" fillId="73" borderId="109" xfId="0" applyFont="1" applyFill="1" applyBorder="1" applyAlignment="1">
      <alignment horizontal="center" vertical="center" wrapText="1"/>
    </xf>
    <xf numFmtId="0" fontId="0" fillId="20" borderId="0" xfId="0" applyFill="1" applyAlignment="1">
      <alignment horizontal="right"/>
    </xf>
    <xf numFmtId="189" fontId="5" fillId="64" borderId="0" xfId="14109" applyNumberFormat="1" applyFill="1"/>
    <xf numFmtId="189" fontId="48" fillId="15" borderId="11" xfId="0" applyNumberFormat="1" applyFont="1" applyFill="1" applyBorder="1"/>
    <xf numFmtId="189" fontId="48" fillId="0" borderId="106" xfId="0" applyNumberFormat="1" applyFont="1" applyBorder="1"/>
    <xf numFmtId="10" fontId="48" fillId="0" borderId="152" xfId="19" applyNumberFormat="1" applyFont="1" applyBorder="1"/>
    <xf numFmtId="0" fontId="37" fillId="0" borderId="1" xfId="0" applyFont="1" applyBorder="1" applyAlignment="1">
      <alignment wrapText="1"/>
    </xf>
    <xf numFmtId="0" fontId="37" fillId="0" borderId="1" xfId="0" applyFont="1" applyBorder="1" applyAlignment="1">
      <alignment horizontal="right" wrapText="1"/>
    </xf>
    <xf numFmtId="208" fontId="0" fillId="0" borderId="1" xfId="0" applyNumberFormat="1" applyBorder="1"/>
    <xf numFmtId="0" fontId="167" fillId="0" borderId="1" xfId="0" applyFont="1" applyBorder="1" applyAlignment="1">
      <alignment wrapText="1"/>
    </xf>
    <xf numFmtId="1" fontId="49" fillId="15" borderId="1" xfId="0" applyNumberFormat="1" applyFont="1" applyFill="1" applyBorder="1" applyAlignment="1">
      <alignment horizontal="left"/>
    </xf>
    <xf numFmtId="0" fontId="28" fillId="2" borderId="132" xfId="14109" applyFont="1" applyFill="1" applyBorder="1" applyAlignment="1">
      <alignment wrapText="1"/>
    </xf>
    <xf numFmtId="0" fontId="28" fillId="2" borderId="184" xfId="14109" applyFont="1" applyFill="1" applyBorder="1" applyAlignment="1">
      <alignment wrapText="1"/>
    </xf>
    <xf numFmtId="0" fontId="28" fillId="2" borderId="185" xfId="14109" applyFont="1" applyFill="1" applyBorder="1" applyAlignment="1">
      <alignment wrapText="1"/>
    </xf>
    <xf numFmtId="0" fontId="17" fillId="65" borderId="180" xfId="14109" applyFont="1" applyFill="1" applyBorder="1" applyAlignment="1">
      <alignment wrapText="1"/>
    </xf>
    <xf numFmtId="0" fontId="17" fillId="65" borderId="181" xfId="14109" applyFont="1" applyFill="1" applyBorder="1" applyAlignment="1">
      <alignment wrapText="1"/>
    </xf>
    <xf numFmtId="0" fontId="17" fillId="65" borderId="182" xfId="14109" applyFont="1" applyFill="1" applyBorder="1" applyAlignment="1">
      <alignment wrapText="1"/>
    </xf>
    <xf numFmtId="0" fontId="17" fillId="65" borderId="183" xfId="14109" applyFont="1" applyFill="1" applyBorder="1" applyAlignment="1">
      <alignment wrapText="1"/>
    </xf>
    <xf numFmtId="1" fontId="67" fillId="27" borderId="21" xfId="0" applyNumberFormat="1" applyFont="1" applyFill="1" applyBorder="1" applyAlignment="1">
      <alignment horizontal="left"/>
    </xf>
    <xf numFmtId="1" fontId="80" fillId="8" borderId="85" xfId="15" applyNumberFormat="1" applyFont="1" applyBorder="1" applyAlignment="1">
      <alignment horizontal="left"/>
    </xf>
    <xf numFmtId="190" fontId="0" fillId="3" borderId="1" xfId="0" applyNumberFormat="1" applyFill="1" applyBorder="1"/>
    <xf numFmtId="0" fontId="17" fillId="2" borderId="184" xfId="0" applyFont="1" applyFill="1" applyBorder="1"/>
    <xf numFmtId="0" fontId="24" fillId="2" borderId="184" xfId="0" applyFont="1" applyFill="1" applyBorder="1" applyAlignment="1">
      <alignment horizontal="center"/>
    </xf>
    <xf numFmtId="0" fontId="24" fillId="2" borderId="0" xfId="0" applyFont="1" applyFill="1" applyAlignment="1">
      <alignment horizontal="center"/>
    </xf>
    <xf numFmtId="0" fontId="24" fillId="2" borderId="185" xfId="0" applyFont="1" applyFill="1" applyBorder="1" applyAlignment="1">
      <alignment horizontal="center"/>
    </xf>
    <xf numFmtId="164" fontId="73" fillId="0" borderId="0" xfId="1" applyFont="1"/>
    <xf numFmtId="0" fontId="59" fillId="0" borderId="0" xfId="0" applyFont="1" applyAlignment="1">
      <alignment horizontal="center" vertical="center"/>
    </xf>
    <xf numFmtId="0" fontId="0" fillId="27" borderId="1" xfId="0" applyFill="1" applyBorder="1"/>
    <xf numFmtId="0" fontId="73" fillId="27" borderId="1" xfId="0" applyFont="1" applyFill="1" applyBorder="1"/>
    <xf numFmtId="166" fontId="170" fillId="27" borderId="186" xfId="14109" applyNumberFormat="1" applyFont="1" applyFill="1" applyBorder="1"/>
    <xf numFmtId="0" fontId="52" fillId="27" borderId="189" xfId="0" applyFont="1" applyFill="1" applyBorder="1" applyAlignment="1">
      <alignment horizontal="right" vertical="center"/>
    </xf>
    <xf numFmtId="166" fontId="170" fillId="27" borderId="190" xfId="14109" applyNumberFormat="1" applyFont="1" applyFill="1" applyBorder="1"/>
    <xf numFmtId="0" fontId="52" fillId="27" borderId="191" xfId="0" applyFont="1" applyFill="1" applyBorder="1" applyAlignment="1">
      <alignment horizontal="right" vertical="center"/>
    </xf>
    <xf numFmtId="166" fontId="170" fillId="27" borderId="192" xfId="14109" applyNumberFormat="1" applyFont="1" applyFill="1" applyBorder="1"/>
    <xf numFmtId="0" fontId="5" fillId="75" borderId="0" xfId="14109" applyFill="1" applyAlignment="1">
      <alignment wrapText="1"/>
    </xf>
    <xf numFmtId="10" fontId="0" fillId="25" borderId="77" xfId="19" applyNumberFormat="1" applyFont="1" applyFill="1" applyBorder="1"/>
    <xf numFmtId="170" fontId="0" fillId="25" borderId="1" xfId="0" applyNumberFormat="1" applyFill="1" applyBorder="1"/>
    <xf numFmtId="170" fontId="0" fillId="74" borderId="1" xfId="0" applyNumberFormat="1" applyFill="1" applyBorder="1"/>
    <xf numFmtId="1" fontId="0" fillId="25" borderId="1" xfId="0" applyNumberFormat="1" applyFill="1" applyBorder="1"/>
    <xf numFmtId="1" fontId="0" fillId="74" borderId="1" xfId="0" applyNumberFormat="1" applyFill="1" applyBorder="1"/>
    <xf numFmtId="0" fontId="0" fillId="25" borderId="1" xfId="0" applyFill="1" applyBorder="1" applyAlignment="1">
      <alignment horizontal="right"/>
    </xf>
    <xf numFmtId="0" fontId="0" fillId="74" borderId="1" xfId="0" applyFill="1" applyBorder="1" applyAlignment="1">
      <alignment horizontal="right"/>
    </xf>
    <xf numFmtId="0" fontId="0" fillId="25" borderId="95" xfId="0" applyFill="1" applyBorder="1" applyAlignment="1">
      <alignment horizontal="right"/>
    </xf>
    <xf numFmtId="1" fontId="0" fillId="25" borderId="92" xfId="0" applyNumberFormat="1" applyFill="1" applyBorder="1" applyAlignment="1">
      <alignment horizontal="right"/>
    </xf>
    <xf numFmtId="0" fontId="0" fillId="74" borderId="95" xfId="0" applyFill="1" applyBorder="1" applyAlignment="1">
      <alignment horizontal="right"/>
    </xf>
    <xf numFmtId="1" fontId="0" fillId="74" borderId="92" xfId="0" applyNumberFormat="1" applyFill="1" applyBorder="1" applyAlignment="1">
      <alignment horizontal="right"/>
    </xf>
    <xf numFmtId="1" fontId="0" fillId="25" borderId="92" xfId="0" applyNumberFormat="1" applyFill="1" applyBorder="1"/>
    <xf numFmtId="1" fontId="0" fillId="74" borderId="92" xfId="0" applyNumberFormat="1" applyFill="1" applyBorder="1"/>
    <xf numFmtId="0" fontId="0" fillId="74" borderId="111" xfId="0" applyFill="1" applyBorder="1" applyAlignment="1">
      <alignment horizontal="right"/>
    </xf>
    <xf numFmtId="1" fontId="0" fillId="74" borderId="63" xfId="0" applyNumberFormat="1" applyFill="1" applyBorder="1"/>
    <xf numFmtId="0" fontId="0" fillId="74" borderId="63" xfId="0" applyFill="1" applyBorder="1" applyAlignment="1">
      <alignment horizontal="right"/>
    </xf>
    <xf numFmtId="1" fontId="0" fillId="74" borderId="93" xfId="0" applyNumberFormat="1" applyFill="1" applyBorder="1" applyAlignment="1">
      <alignment horizontal="right"/>
    </xf>
    <xf numFmtId="0" fontId="24" fillId="2" borderId="173" xfId="0" applyFont="1" applyFill="1" applyBorder="1" applyAlignment="1">
      <alignment horizontal="center"/>
    </xf>
    <xf numFmtId="0" fontId="0" fillId="3" borderId="173" xfId="0" applyFill="1" applyBorder="1"/>
    <xf numFmtId="0" fontId="0" fillId="0" borderId="173" xfId="0" applyBorder="1"/>
    <xf numFmtId="0" fontId="0" fillId="0" borderId="193" xfId="0" applyBorder="1"/>
    <xf numFmtId="0" fontId="0" fillId="0" borderId="175" xfId="0" applyBorder="1"/>
    <xf numFmtId="0" fontId="24" fillId="2" borderId="16" xfId="0" applyFont="1" applyFill="1" applyBorder="1" applyAlignment="1">
      <alignment horizontal="center"/>
    </xf>
    <xf numFmtId="0" fontId="10" fillId="0" borderId="18" xfId="44" applyFill="1" applyBorder="1"/>
    <xf numFmtId="195" fontId="10" fillId="0" borderId="18" xfId="44" applyNumberFormat="1" applyFill="1" applyBorder="1"/>
    <xf numFmtId="195" fontId="10" fillId="39" borderId="18" xfId="44" applyNumberFormat="1" applyBorder="1"/>
    <xf numFmtId="195" fontId="0" fillId="0" borderId="18" xfId="0" applyNumberFormat="1" applyBorder="1"/>
    <xf numFmtId="0" fontId="24" fillId="76" borderId="16" xfId="0" applyFont="1" applyFill="1" applyBorder="1" applyAlignment="1">
      <alignment horizontal="center"/>
    </xf>
    <xf numFmtId="0" fontId="24" fillId="76" borderId="163" xfId="0" applyFont="1" applyFill="1" applyBorder="1" applyAlignment="1">
      <alignment horizontal="center"/>
    </xf>
    <xf numFmtId="0" fontId="0" fillId="0" borderId="108" xfId="0" applyBorder="1"/>
    <xf numFmtId="195" fontId="0" fillId="0" borderId="164" xfId="0" applyNumberFormat="1" applyBorder="1"/>
    <xf numFmtId="0" fontId="0" fillId="0" borderId="108" xfId="0" applyBorder="1" applyAlignment="1">
      <alignment horizontal="right"/>
    </xf>
    <xf numFmtId="0" fontId="0" fillId="0" borderId="102" xfId="0" applyBorder="1" applyAlignment="1">
      <alignment horizontal="right"/>
    </xf>
    <xf numFmtId="195" fontId="0" fillId="0" borderId="194" xfId="0" applyNumberFormat="1" applyBorder="1"/>
    <xf numFmtId="195" fontId="0" fillId="0" borderId="154" xfId="0" applyNumberFormat="1" applyBorder="1"/>
    <xf numFmtId="0" fontId="0" fillId="0" borderId="164" xfId="0" applyBorder="1" applyAlignment="1">
      <alignment horizontal="center"/>
    </xf>
    <xf numFmtId="0" fontId="157" fillId="15" borderId="76" xfId="0" applyFont="1" applyFill="1" applyBorder="1" applyAlignment="1">
      <alignment horizontal="right" vertical="center"/>
    </xf>
    <xf numFmtId="0" fontId="52" fillId="10" borderId="14" xfId="0" applyFont="1" applyFill="1" applyBorder="1" applyAlignment="1">
      <alignment horizontal="center" vertical="center"/>
    </xf>
    <xf numFmtId="0" fontId="157" fillId="15" borderId="8" xfId="0" applyFont="1" applyFill="1" applyBorder="1" applyAlignment="1">
      <alignment horizontal="right" vertical="center"/>
    </xf>
    <xf numFmtId="0" fontId="157" fillId="15" borderId="8" xfId="0" applyFont="1" applyFill="1" applyBorder="1" applyAlignment="1">
      <alignment horizontal="center" vertical="center"/>
    </xf>
    <xf numFmtId="189" fontId="52" fillId="0" borderId="8" xfId="0" applyNumberFormat="1" applyFont="1" applyBorder="1"/>
    <xf numFmtId="189" fontId="52" fillId="15" borderId="195" xfId="0" applyNumberFormat="1" applyFont="1" applyFill="1" applyBorder="1"/>
    <xf numFmtId="44" fontId="155" fillId="0" borderId="164" xfId="14109" applyNumberFormat="1" applyFont="1" applyBorder="1"/>
    <xf numFmtId="189" fontId="52" fillId="15" borderId="7" xfId="0" applyNumberFormat="1" applyFont="1" applyFill="1" applyBorder="1"/>
    <xf numFmtId="0" fontId="52" fillId="0" borderId="1" xfId="0" applyFont="1" applyBorder="1" applyAlignment="1">
      <alignment vertical="center"/>
    </xf>
    <xf numFmtId="165" fontId="5" fillId="0" borderId="1" xfId="14109" applyNumberFormat="1" applyBorder="1"/>
    <xf numFmtId="165" fontId="42" fillId="8" borderId="1" xfId="15" applyNumberFormat="1" applyBorder="1"/>
    <xf numFmtId="165" fontId="42" fillId="8" borderId="106" xfId="15" applyNumberFormat="1" applyBorder="1"/>
    <xf numFmtId="0" fontId="73" fillId="0" borderId="77" xfId="0" applyFont="1" applyBorder="1"/>
    <xf numFmtId="0" fontId="73" fillId="0" borderId="78" xfId="0" applyFont="1" applyBorder="1"/>
    <xf numFmtId="0" fontId="73" fillId="0" borderId="5" xfId="0" applyFont="1" applyBorder="1"/>
    <xf numFmtId="0" fontId="0" fillId="0" borderId="76" xfId="0" applyBorder="1"/>
    <xf numFmtId="0" fontId="0" fillId="0" borderId="84" xfId="0" applyBorder="1"/>
    <xf numFmtId="0" fontId="0" fillId="0" borderId="73" xfId="0" applyBorder="1"/>
    <xf numFmtId="0" fontId="0" fillId="0" borderId="75" xfId="0" applyBorder="1"/>
    <xf numFmtId="0" fontId="0" fillId="0" borderId="13" xfId="0" applyBorder="1"/>
    <xf numFmtId="0" fontId="0" fillId="0" borderId="6" xfId="0" applyBorder="1"/>
    <xf numFmtId="0" fontId="0" fillId="0" borderId="14" xfId="0" applyBorder="1"/>
    <xf numFmtId="0" fontId="0" fillId="0" borderId="9" xfId="0" applyBorder="1"/>
    <xf numFmtId="0" fontId="34" fillId="27" borderId="199" xfId="0" applyFont="1" applyFill="1" applyBorder="1" applyAlignment="1">
      <alignment vertical="center" wrapText="1"/>
    </xf>
    <xf numFmtId="0" fontId="34" fillId="27" borderId="15" xfId="0" applyFont="1" applyFill="1" applyBorder="1" applyAlignment="1">
      <alignment vertical="center" wrapText="1"/>
    </xf>
    <xf numFmtId="0" fontId="34" fillId="27" borderId="200" xfId="0" applyFont="1" applyFill="1" applyBorder="1" applyAlignment="1">
      <alignment vertical="center" wrapText="1"/>
    </xf>
    <xf numFmtId="0" fontId="34" fillId="27" borderId="1" xfId="0" applyFont="1" applyFill="1" applyBorder="1" applyAlignment="1">
      <alignment horizontal="center" vertical="center" wrapText="1"/>
    </xf>
    <xf numFmtId="0" fontId="35" fillId="27" borderId="199" xfId="0" applyFont="1" applyFill="1" applyBorder="1" applyAlignment="1">
      <alignment vertical="center" wrapText="1"/>
    </xf>
    <xf numFmtId="0" fontId="35" fillId="27" borderId="15" xfId="0" applyFont="1" applyFill="1" applyBorder="1" applyAlignment="1">
      <alignment vertical="center" wrapText="1"/>
    </xf>
    <xf numFmtId="0" fontId="35" fillId="27" borderId="200" xfId="0" applyFont="1" applyFill="1" applyBorder="1" applyAlignment="1">
      <alignment vertical="center" wrapText="1"/>
    </xf>
    <xf numFmtId="1" fontId="0" fillId="27" borderId="1" xfId="0" applyNumberFormat="1" applyFill="1" applyBorder="1" applyAlignment="1">
      <alignment horizontal="center"/>
    </xf>
    <xf numFmtId="0" fontId="37" fillId="27" borderId="15" xfId="0" applyFont="1" applyFill="1" applyBorder="1" applyAlignment="1">
      <alignment vertical="center" wrapText="1"/>
    </xf>
    <xf numFmtId="0" fontId="35" fillId="27" borderId="6" xfId="0" applyFont="1" applyFill="1" applyBorder="1" applyAlignment="1">
      <alignment vertical="center" wrapText="1"/>
    </xf>
    <xf numFmtId="0" fontId="35" fillId="27" borderId="14" xfId="0" applyFont="1" applyFill="1" applyBorder="1" applyAlignment="1">
      <alignment vertical="center" wrapText="1"/>
    </xf>
    <xf numFmtId="0" fontId="35" fillId="27" borderId="9" xfId="0" applyFont="1" applyFill="1" applyBorder="1" applyAlignment="1">
      <alignment vertical="center" wrapText="1"/>
    </xf>
    <xf numFmtId="0" fontId="25" fillId="72" borderId="0" xfId="6" applyFill="1"/>
    <xf numFmtId="0" fontId="0" fillId="72" borderId="0" xfId="0" applyFill="1" applyAlignment="1">
      <alignment horizontal="center"/>
    </xf>
    <xf numFmtId="0" fontId="73" fillId="72" borderId="0" xfId="0" applyFont="1" applyFill="1" applyAlignment="1">
      <alignment horizontal="center"/>
    </xf>
    <xf numFmtId="0" fontId="31" fillId="72" borderId="0" xfId="0" applyFont="1" applyFill="1" applyAlignment="1">
      <alignment horizontal="center"/>
    </xf>
    <xf numFmtId="0" fontId="73" fillId="27" borderId="28" xfId="0" applyFont="1" applyFill="1" applyBorder="1"/>
    <xf numFmtId="0" fontId="0" fillId="27" borderId="21" xfId="0" applyFill="1" applyBorder="1"/>
    <xf numFmtId="1" fontId="0" fillId="27" borderId="0" xfId="0" applyNumberFormat="1" applyFill="1"/>
    <xf numFmtId="0" fontId="0" fillId="27" borderId="28" xfId="0" applyFill="1" applyBorder="1"/>
    <xf numFmtId="0" fontId="73" fillId="68" borderId="29" xfId="0" applyFont="1" applyFill="1" applyBorder="1"/>
    <xf numFmtId="166" fontId="0" fillId="68" borderId="30" xfId="0" applyNumberFormat="1" applyFill="1" applyBorder="1"/>
    <xf numFmtId="0" fontId="0" fillId="68" borderId="22" xfId="0" applyFill="1" applyBorder="1"/>
    <xf numFmtId="0" fontId="73" fillId="15" borderId="28" xfId="0" applyFont="1" applyFill="1" applyBorder="1"/>
    <xf numFmtId="0" fontId="0" fillId="15" borderId="0" xfId="0" applyFill="1"/>
    <xf numFmtId="0" fontId="0" fillId="15" borderId="21" xfId="0" applyFill="1" applyBorder="1"/>
    <xf numFmtId="1" fontId="0" fillId="15" borderId="0" xfId="0" applyNumberFormat="1" applyFill="1"/>
    <xf numFmtId="0" fontId="73" fillId="80" borderId="29" xfId="0" applyFont="1" applyFill="1" applyBorder="1"/>
    <xf numFmtId="195" fontId="0" fillId="80" borderId="30" xfId="0" applyNumberFormat="1" applyFill="1" applyBorder="1"/>
    <xf numFmtId="0" fontId="0" fillId="80" borderId="22" xfId="0" applyFill="1" applyBorder="1"/>
    <xf numFmtId="0" fontId="173" fillId="72" borderId="0" xfId="0" applyFont="1" applyFill="1" applyAlignment="1">
      <alignment vertical="center"/>
    </xf>
    <xf numFmtId="0" fontId="172" fillId="72" borderId="0" xfId="0" applyFont="1" applyFill="1" applyAlignment="1">
      <alignment horizontal="left" vertical="center"/>
    </xf>
    <xf numFmtId="0" fontId="167" fillId="79" borderId="75" xfId="0" applyFont="1" applyFill="1" applyBorder="1"/>
    <xf numFmtId="0" fontId="167" fillId="79" borderId="0" xfId="0" applyFont="1" applyFill="1"/>
    <xf numFmtId="0" fontId="167" fillId="79" borderId="13" xfId="0" applyFont="1" applyFill="1" applyBorder="1"/>
    <xf numFmtId="0" fontId="37" fillId="15" borderId="75" xfId="0" applyFont="1" applyFill="1" applyBorder="1" applyAlignment="1">
      <alignment horizontal="right"/>
    </xf>
    <xf numFmtId="0" fontId="37" fillId="15" borderId="0" xfId="0" applyFont="1" applyFill="1"/>
    <xf numFmtId="0" fontId="37" fillId="15" borderId="13" xfId="0" applyFont="1" applyFill="1" applyBorder="1" applyAlignment="1">
      <alignment horizontal="right"/>
    </xf>
    <xf numFmtId="0" fontId="37" fillId="15" borderId="6" xfId="0" applyFont="1" applyFill="1" applyBorder="1" applyAlignment="1">
      <alignment horizontal="right"/>
    </xf>
    <xf numFmtId="0" fontId="37" fillId="15" borderId="14" xfId="0" applyFont="1" applyFill="1" applyBorder="1"/>
    <xf numFmtId="0" fontId="37" fillId="15" borderId="9" xfId="0" applyFont="1" applyFill="1" applyBorder="1" applyAlignment="1">
      <alignment horizontal="right"/>
    </xf>
    <xf numFmtId="209" fontId="142" fillId="27" borderId="21" xfId="0" applyNumberFormat="1" applyFont="1" applyFill="1" applyBorder="1" applyAlignment="1">
      <alignment horizontal="left"/>
    </xf>
    <xf numFmtId="1" fontId="65" fillId="10" borderId="26" xfId="0" applyNumberFormat="1" applyFont="1" applyFill="1" applyBorder="1" applyAlignment="1">
      <alignment horizontal="right"/>
    </xf>
    <xf numFmtId="1" fontId="65" fillId="10" borderId="21" xfId="0" applyNumberFormat="1" applyFont="1" applyFill="1" applyBorder="1" applyAlignment="1">
      <alignment horizontal="right"/>
    </xf>
    <xf numFmtId="0" fontId="52" fillId="10" borderId="168" xfId="0" applyFont="1" applyFill="1" applyBorder="1" applyAlignment="1">
      <alignment horizontal="right" vertical="center"/>
    </xf>
    <xf numFmtId="0" fontId="157" fillId="10" borderId="24" xfId="0" applyFont="1" applyFill="1" applyBorder="1" applyAlignment="1">
      <alignment horizontal="right" vertical="center"/>
    </xf>
    <xf numFmtId="0" fontId="157" fillId="10" borderId="28" xfId="0" applyFont="1" applyFill="1" applyBorder="1" applyAlignment="1">
      <alignment horizontal="right" vertical="center"/>
    </xf>
    <xf numFmtId="164" fontId="174" fillId="10" borderId="151" xfId="0" applyNumberFormat="1" applyFont="1" applyFill="1" applyBorder="1" applyAlignment="1">
      <alignment horizontal="left"/>
    </xf>
    <xf numFmtId="164" fontId="174" fillId="10" borderId="26" xfId="0" applyNumberFormat="1" applyFont="1" applyFill="1" applyBorder="1" applyAlignment="1">
      <alignment horizontal="left"/>
    </xf>
    <xf numFmtId="164" fontId="65" fillId="10" borderId="107" xfId="0" applyNumberFormat="1" applyFont="1" applyFill="1" applyBorder="1" applyAlignment="1">
      <alignment horizontal="left"/>
    </xf>
    <xf numFmtId="164" fontId="174" fillId="10" borderId="22" xfId="0" applyNumberFormat="1" applyFont="1" applyFill="1" applyBorder="1" applyAlignment="1">
      <alignment horizontal="left"/>
    </xf>
    <xf numFmtId="0" fontId="157" fillId="10" borderId="28" xfId="0" applyFont="1" applyFill="1" applyBorder="1" applyAlignment="1">
      <alignment horizontal="right" vertical="center" wrapText="1"/>
    </xf>
    <xf numFmtId="0" fontId="157" fillId="10" borderId="137" xfId="0" applyFont="1" applyFill="1" applyBorder="1" applyAlignment="1">
      <alignment horizontal="right" vertical="center" wrapText="1"/>
    </xf>
    <xf numFmtId="0" fontId="128" fillId="25" borderId="76" xfId="0" applyFont="1" applyFill="1" applyBorder="1" applyAlignment="1">
      <alignment horizontal="right"/>
    </xf>
    <xf numFmtId="0" fontId="139" fillId="10" borderId="73" xfId="0" applyFont="1" applyFill="1" applyBorder="1" applyAlignment="1">
      <alignment horizontal="left"/>
    </xf>
    <xf numFmtId="0" fontId="175" fillId="18" borderId="161" xfId="0" applyFont="1" applyFill="1" applyBorder="1" applyAlignment="1">
      <alignment horizontal="right" vertical="center"/>
    </xf>
    <xf numFmtId="194" fontId="176" fillId="27" borderId="104" xfId="0" applyNumberFormat="1" applyFont="1" applyFill="1" applyBorder="1" applyAlignment="1">
      <alignment horizontal="center"/>
    </xf>
    <xf numFmtId="0" fontId="66" fillId="30" borderId="137" xfId="0" applyFont="1" applyFill="1" applyBorder="1" applyAlignment="1">
      <alignment horizontal="right"/>
    </xf>
    <xf numFmtId="0" fontId="69" fillId="27" borderId="107" xfId="0" applyFont="1" applyFill="1" applyBorder="1" applyAlignment="1">
      <alignment horizontal="left"/>
    </xf>
    <xf numFmtId="0" fontId="69" fillId="27" borderId="151" xfId="0" applyFont="1" applyFill="1" applyBorder="1" applyAlignment="1">
      <alignment horizontal="left"/>
    </xf>
    <xf numFmtId="0" fontId="73" fillId="72" borderId="0" xfId="0" applyFont="1" applyFill="1"/>
    <xf numFmtId="0" fontId="0" fillId="25" borderId="0" xfId="0" applyFill="1"/>
    <xf numFmtId="195" fontId="0" fillId="81" borderId="0" xfId="1" applyNumberFormat="1" applyFont="1" applyFill="1" applyBorder="1"/>
    <xf numFmtId="1" fontId="0" fillId="25" borderId="0" xfId="0" applyNumberFormat="1" applyFill="1"/>
    <xf numFmtId="195" fontId="0" fillId="25" borderId="0" xfId="0" applyNumberFormat="1" applyFill="1"/>
    <xf numFmtId="0" fontId="19" fillId="0" borderId="73" xfId="0" applyFont="1" applyBorder="1" applyAlignment="1">
      <alignment horizontal="left" vertical="top"/>
    </xf>
    <xf numFmtId="0" fontId="19" fillId="27" borderId="1" xfId="0" applyFont="1" applyFill="1" applyBorder="1" applyAlignment="1">
      <alignment horizontal="left" vertical="top"/>
    </xf>
    <xf numFmtId="164" fontId="19" fillId="3" borderId="1" xfId="1" applyFont="1" applyFill="1" applyBorder="1" applyAlignment="1">
      <alignment horizontal="left" vertical="top"/>
    </xf>
    <xf numFmtId="164" fontId="19" fillId="0" borderId="1" xfId="1" applyFont="1" applyBorder="1" applyAlignment="1">
      <alignment horizontal="left" vertical="top"/>
    </xf>
    <xf numFmtId="0" fontId="0" fillId="0" borderId="16" xfId="0" applyBorder="1"/>
    <xf numFmtId="191" fontId="19" fillId="0" borderId="1" xfId="14104" applyNumberFormat="1" applyFont="1" applyBorder="1" applyAlignment="1">
      <alignment horizontal="left" vertical="top"/>
    </xf>
    <xf numFmtId="191" fontId="19" fillId="3" borderId="1" xfId="14104" applyNumberFormat="1" applyFont="1" applyFill="1" applyBorder="1" applyAlignment="1">
      <alignment horizontal="left" vertical="top"/>
    </xf>
    <xf numFmtId="0" fontId="19" fillId="23" borderId="73" xfId="0" applyFont="1" applyFill="1" applyBorder="1" applyAlignment="1">
      <alignment horizontal="left" vertical="top"/>
    </xf>
    <xf numFmtId="0" fontId="19" fillId="27" borderId="73" xfId="0" applyFont="1" applyFill="1" applyBorder="1" applyAlignment="1">
      <alignment horizontal="left" vertical="top"/>
    </xf>
    <xf numFmtId="0" fontId="20" fillId="0" borderId="5" xfId="0" applyFont="1" applyBorder="1" applyAlignment="1">
      <alignment horizontal="left" vertical="top"/>
    </xf>
    <xf numFmtId="0" fontId="20" fillId="0" borderId="1" xfId="0" applyFont="1" applyBorder="1" applyAlignment="1">
      <alignment horizontal="left" vertical="top"/>
    </xf>
    <xf numFmtId="0" fontId="20" fillId="0" borderId="73" xfId="0" applyFont="1" applyBorder="1" applyAlignment="1">
      <alignment horizontal="left" vertical="top"/>
    </xf>
    <xf numFmtId="191" fontId="19" fillId="3" borderId="1" xfId="0" applyNumberFormat="1" applyFont="1" applyFill="1" applyBorder="1" applyAlignment="1">
      <alignment horizontal="left" vertical="top"/>
    </xf>
    <xf numFmtId="164" fontId="19" fillId="0" borderId="1" xfId="1" applyFont="1" applyFill="1" applyBorder="1" applyAlignment="1">
      <alignment horizontal="left" vertical="top"/>
    </xf>
    <xf numFmtId="0" fontId="151" fillId="0" borderId="1" xfId="0" applyFont="1" applyBorder="1"/>
    <xf numFmtId="164" fontId="20" fillId="0" borderId="1" xfId="1" applyFont="1" applyFill="1" applyBorder="1" applyAlignment="1">
      <alignment horizontal="left" vertical="top"/>
    </xf>
    <xf numFmtId="166" fontId="0" fillId="27" borderId="0" xfId="0" applyNumberFormat="1" applyFill="1"/>
    <xf numFmtId="0" fontId="24" fillId="2" borderId="169" xfId="0" applyFont="1" applyFill="1" applyBorder="1" applyAlignment="1">
      <alignment horizontal="center"/>
    </xf>
    <xf numFmtId="0" fontId="24" fillId="2" borderId="114" xfId="0" applyFont="1" applyFill="1" applyBorder="1" applyAlignment="1">
      <alignment horizontal="center"/>
    </xf>
    <xf numFmtId="166" fontId="0" fillId="0" borderId="1" xfId="1" applyNumberFormat="1" applyFont="1" applyBorder="1"/>
    <xf numFmtId="166" fontId="0" fillId="0" borderId="1" xfId="0" applyNumberFormat="1" applyBorder="1"/>
    <xf numFmtId="0" fontId="39" fillId="0" borderId="201" xfId="0" applyFont="1" applyBorder="1"/>
    <xf numFmtId="190" fontId="39" fillId="0" borderId="201" xfId="0" applyNumberFormat="1" applyFont="1" applyBorder="1"/>
    <xf numFmtId="8" fontId="39" fillId="0" borderId="201" xfId="0" applyNumberFormat="1" applyFont="1" applyBorder="1"/>
    <xf numFmtId="0" fontId="17" fillId="2" borderId="9" xfId="0" applyFont="1" applyFill="1" applyBorder="1"/>
    <xf numFmtId="0" fontId="17" fillId="2" borderId="8" xfId="0" applyFont="1" applyFill="1" applyBorder="1"/>
    <xf numFmtId="0" fontId="24" fillId="2" borderId="8" xfId="0" applyFont="1" applyFill="1" applyBorder="1" applyAlignment="1">
      <alignment horizontal="center"/>
    </xf>
    <xf numFmtId="0" fontId="24" fillId="2" borderId="6" xfId="0" applyFont="1" applyFill="1" applyBorder="1" applyAlignment="1">
      <alignment horizontal="center"/>
    </xf>
    <xf numFmtId="196" fontId="144" fillId="0" borderId="1" xfId="0" applyNumberFormat="1" applyFont="1" applyBorder="1"/>
    <xf numFmtId="210" fontId="0" fillId="0" borderId="0" xfId="0" applyNumberFormat="1"/>
    <xf numFmtId="195" fontId="0" fillId="81" borderId="0" xfId="0" applyNumberFormat="1" applyFill="1"/>
    <xf numFmtId="180" fontId="0" fillId="5" borderId="0" xfId="0" applyNumberFormat="1" applyFill="1"/>
    <xf numFmtId="181" fontId="0" fillId="5" borderId="0" xfId="0" applyNumberFormat="1" applyFill="1"/>
    <xf numFmtId="182" fontId="0" fillId="5" borderId="0" xfId="0" applyNumberFormat="1" applyFill="1"/>
    <xf numFmtId="0" fontId="17" fillId="2" borderId="184" xfId="14109" applyFont="1" applyFill="1" applyBorder="1" applyAlignment="1">
      <alignment wrapText="1"/>
    </xf>
    <xf numFmtId="176" fontId="1" fillId="0" borderId="78" xfId="1" applyNumberFormat="1" applyFont="1" applyBorder="1"/>
    <xf numFmtId="0" fontId="1" fillId="0" borderId="0" xfId="0" applyFont="1"/>
    <xf numFmtId="0" fontId="1" fillId="64" borderId="0" xfId="14109" applyFont="1" applyFill="1"/>
    <xf numFmtId="0" fontId="1" fillId="64" borderId="0" xfId="14109" applyFont="1" applyFill="1" applyAlignment="1">
      <alignment wrapText="1"/>
    </xf>
    <xf numFmtId="0" fontId="1" fillId="15" borderId="92" xfId="14109" applyFont="1" applyFill="1" applyBorder="1" applyAlignment="1">
      <alignment horizontal="left"/>
    </xf>
    <xf numFmtId="0" fontId="1" fillId="10" borderId="93" xfId="14109" quotePrefix="1" applyFont="1" applyFill="1" applyBorder="1" applyAlignment="1">
      <alignment horizontal="left"/>
    </xf>
    <xf numFmtId="0" fontId="1" fillId="0" borderId="0" xfId="14108" applyFont="1"/>
    <xf numFmtId="0" fontId="1" fillId="0" borderId="0" xfId="14112" applyFont="1"/>
    <xf numFmtId="49" fontId="1" fillId="0" borderId="1" xfId="28164" applyNumberFormat="1" applyFont="1" applyBorder="1" applyAlignment="1">
      <alignment vertical="top"/>
    </xf>
    <xf numFmtId="0" fontId="1" fillId="0" borderId="1" xfId="28164" applyFont="1" applyBorder="1" applyAlignment="1">
      <alignment vertical="top"/>
    </xf>
    <xf numFmtId="0" fontId="1" fillId="71" borderId="0" xfId="28164" applyFont="1" applyFill="1" applyAlignment="1">
      <alignment vertical="top"/>
    </xf>
    <xf numFmtId="0" fontId="1" fillId="71" borderId="0" xfId="28164" applyFont="1" applyFill="1" applyAlignment="1">
      <alignment vertical="top" wrapText="1"/>
    </xf>
    <xf numFmtId="0" fontId="1" fillId="0" borderId="0" xfId="0" applyFont="1" applyAlignment="1">
      <alignment horizontal="right"/>
    </xf>
    <xf numFmtId="15" fontId="1" fillId="20" borderId="0" xfId="0" applyNumberFormat="1" applyFont="1" applyFill="1" applyAlignment="1">
      <alignment horizontal="right"/>
    </xf>
    <xf numFmtId="0" fontId="1" fillId="0" borderId="49" xfId="0" applyFont="1" applyBorder="1"/>
    <xf numFmtId="0" fontId="1" fillId="0" borderId="1" xfId="0" applyFont="1" applyBorder="1"/>
    <xf numFmtId="0" fontId="1" fillId="0" borderId="77" xfId="0" applyFont="1" applyBorder="1"/>
    <xf numFmtId="176" fontId="1" fillId="0" borderId="78" xfId="0" applyNumberFormat="1" applyFont="1" applyBorder="1"/>
    <xf numFmtId="0" fontId="1" fillId="3" borderId="5" xfId="0" applyFont="1" applyFill="1" applyBorder="1"/>
    <xf numFmtId="0" fontId="1" fillId="3" borderId="1" xfId="0" applyFont="1" applyFill="1" applyBorder="1"/>
    <xf numFmtId="0" fontId="1" fillId="3" borderId="77" xfId="0" applyFont="1" applyFill="1" applyBorder="1"/>
    <xf numFmtId="176" fontId="1" fillId="3" borderId="78" xfId="0" applyNumberFormat="1" applyFont="1" applyFill="1" applyBorder="1"/>
    <xf numFmtId="176" fontId="1" fillId="3" borderId="78" xfId="1" applyNumberFormat="1" applyFont="1" applyFill="1" applyBorder="1"/>
    <xf numFmtId="14" fontId="1" fillId="20" borderId="0" xfId="0" applyNumberFormat="1" applyFont="1" applyFill="1" applyAlignment="1">
      <alignment horizontal="right"/>
    </xf>
    <xf numFmtId="16" fontId="1" fillId="0" borderId="0" xfId="0" applyNumberFormat="1" applyFont="1" applyAlignment="1">
      <alignment horizontal="right"/>
    </xf>
    <xf numFmtId="14" fontId="1" fillId="0" borderId="0" xfId="0" applyNumberFormat="1" applyFont="1" applyAlignment="1">
      <alignment horizontal="right"/>
    </xf>
    <xf numFmtId="0" fontId="1" fillId="0" borderId="0" xfId="14109" applyFont="1" applyAlignment="1">
      <alignment wrapText="1"/>
    </xf>
    <xf numFmtId="165" fontId="1" fillId="0" borderId="0" xfId="14109" applyNumberFormat="1" applyFont="1" applyAlignment="1">
      <alignment wrapText="1"/>
    </xf>
    <xf numFmtId="0" fontId="1" fillId="15" borderId="1" xfId="14109" applyFont="1" applyFill="1" applyBorder="1"/>
    <xf numFmtId="189" fontId="1" fillId="15" borderId="1" xfId="1" applyNumberFormat="1" applyFont="1" applyFill="1" applyBorder="1"/>
    <xf numFmtId="164" fontId="1" fillId="15" borderId="1" xfId="1" applyFont="1" applyFill="1" applyBorder="1"/>
    <xf numFmtId="172" fontId="1" fillId="16" borderId="1" xfId="1" applyNumberFormat="1" applyFont="1" applyFill="1" applyBorder="1"/>
    <xf numFmtId="200" fontId="1" fillId="15" borderId="1" xfId="14109" applyNumberFormat="1" applyFont="1" applyFill="1" applyBorder="1"/>
    <xf numFmtId="173" fontId="1" fillId="15" borderId="1" xfId="1" applyNumberFormat="1" applyFont="1" applyFill="1" applyBorder="1"/>
    <xf numFmtId="201" fontId="1" fillId="15" borderId="1" xfId="14109" applyNumberFormat="1" applyFont="1" applyFill="1" applyBorder="1"/>
    <xf numFmtId="0" fontId="1" fillId="39" borderId="1" xfId="44" applyFont="1" applyBorder="1"/>
    <xf numFmtId="189" fontId="1" fillId="69" borderId="1" xfId="1" applyNumberFormat="1" applyFont="1" applyFill="1" applyBorder="1"/>
    <xf numFmtId="164" fontId="1" fillId="39" borderId="1" xfId="1" applyFont="1" applyFill="1" applyBorder="1" applyAlignment="1">
      <alignment horizontal="right"/>
    </xf>
    <xf numFmtId="164" fontId="1" fillId="69" borderId="1" xfId="1" applyFont="1" applyFill="1" applyBorder="1"/>
    <xf numFmtId="0" fontId="1" fillId="0" borderId="0" xfId="14109" applyFont="1"/>
    <xf numFmtId="165" fontId="1" fillId="0" borderId="142" xfId="1" applyNumberFormat="1" applyFont="1" applyBorder="1" applyAlignment="1">
      <alignment wrapText="1"/>
    </xf>
    <xf numFmtId="164" fontId="1" fillId="39" borderId="1" xfId="1" applyFont="1" applyFill="1" applyBorder="1"/>
    <xf numFmtId="0" fontId="1" fillId="35" borderId="1" xfId="40" applyFont="1" applyBorder="1"/>
    <xf numFmtId="189" fontId="1" fillId="39" borderId="1" xfId="1" applyNumberFormat="1" applyFont="1" applyFill="1" applyBorder="1"/>
    <xf numFmtId="189" fontId="1" fillId="35" borderId="1" xfId="1" applyNumberFormat="1" applyFont="1" applyFill="1" applyBorder="1"/>
    <xf numFmtId="0" fontId="1" fillId="66" borderId="144" xfId="14109" applyFont="1" applyFill="1" applyBorder="1" applyAlignment="1">
      <alignment wrapText="1"/>
    </xf>
    <xf numFmtId="164" fontId="1" fillId="0" borderId="0" xfId="1" applyFont="1"/>
    <xf numFmtId="164" fontId="1" fillId="64" borderId="0" xfId="1" applyFont="1" applyFill="1"/>
    <xf numFmtId="165" fontId="1" fillId="0" borderId="0" xfId="14109" applyNumberFormat="1" applyFont="1"/>
    <xf numFmtId="0" fontId="1" fillId="66" borderId="142" xfId="14109" applyFont="1" applyFill="1" applyBorder="1" applyAlignment="1">
      <alignment wrapText="1"/>
    </xf>
    <xf numFmtId="189" fontId="1" fillId="35" borderId="0" xfId="1" applyNumberFormat="1" applyFont="1" applyFill="1"/>
    <xf numFmtId="189" fontId="1" fillId="0" borderId="0" xfId="1" applyNumberFormat="1" applyFont="1"/>
    <xf numFmtId="0" fontId="1" fillId="35" borderId="0" xfId="40" applyFont="1"/>
    <xf numFmtId="189" fontId="1" fillId="0" borderId="0" xfId="1" applyNumberFormat="1" applyFont="1" applyAlignment="1">
      <alignment wrapText="1"/>
    </xf>
    <xf numFmtId="0" fontId="1" fillId="35" borderId="0" xfId="40" applyFont="1" applyAlignment="1">
      <alignment wrapText="1"/>
    </xf>
    <xf numFmtId="189" fontId="1" fillId="0" borderId="0" xfId="1" applyNumberFormat="1" applyFont="1" applyFill="1" applyAlignment="1">
      <alignment wrapText="1"/>
    </xf>
    <xf numFmtId="0" fontId="1" fillId="3" borderId="3" xfId="14109" applyFont="1" applyFill="1" applyBorder="1" applyAlignment="1">
      <alignment wrapText="1"/>
    </xf>
    <xf numFmtId="189" fontId="1" fillId="3" borderId="3" xfId="1" applyNumberFormat="1" applyFont="1" applyFill="1" applyBorder="1" applyAlignment="1">
      <alignment wrapText="1"/>
    </xf>
    <xf numFmtId="0" fontId="1" fillId="3" borderId="3" xfId="14109" applyFont="1" applyFill="1" applyBorder="1"/>
    <xf numFmtId="0" fontId="1" fillId="0" borderId="3" xfId="14109" applyFont="1" applyBorder="1" applyAlignment="1">
      <alignment wrapText="1"/>
    </xf>
    <xf numFmtId="189" fontId="1" fillId="0" borderId="3" xfId="1" applyNumberFormat="1" applyFont="1" applyBorder="1" applyAlignment="1">
      <alignment wrapText="1"/>
    </xf>
    <xf numFmtId="0" fontId="1" fillId="0" borderId="3" xfId="14109" applyFont="1" applyBorder="1"/>
    <xf numFmtId="0" fontId="1" fillId="0" borderId="19" xfId="14109" applyFont="1" applyBorder="1" applyAlignment="1">
      <alignment wrapText="1"/>
    </xf>
    <xf numFmtId="189" fontId="1" fillId="0" borderId="19" xfId="1" applyNumberFormat="1" applyFont="1" applyBorder="1" applyAlignment="1">
      <alignment wrapText="1"/>
    </xf>
    <xf numFmtId="0" fontId="1" fillId="0" borderId="19" xfId="14109" applyFont="1" applyBorder="1"/>
    <xf numFmtId="0" fontId="1" fillId="0" borderId="126" xfId="0" applyFont="1" applyBorder="1"/>
    <xf numFmtId="0" fontId="1" fillId="0" borderId="127" xfId="0" applyFont="1" applyBorder="1"/>
    <xf numFmtId="0" fontId="67" fillId="18" borderId="28" xfId="0" applyFont="1" applyFill="1" applyBorder="1" applyAlignment="1">
      <alignment vertical="top"/>
    </xf>
    <xf numFmtId="0" fontId="163" fillId="10" borderId="0" xfId="15" applyFont="1" applyFill="1" applyBorder="1" applyAlignment="1">
      <alignment vertical="center"/>
    </xf>
    <xf numFmtId="169" fontId="164" fillId="10" borderId="0" xfId="22" applyNumberFormat="1" applyFont="1" applyFill="1" applyBorder="1" applyAlignment="1">
      <alignment vertical="center"/>
    </xf>
    <xf numFmtId="1" fontId="163" fillId="10" borderId="0" xfId="15" applyNumberFormat="1" applyFont="1" applyFill="1" applyBorder="1" applyAlignment="1" applyProtection="1">
      <alignment vertical="center"/>
    </xf>
    <xf numFmtId="0" fontId="73" fillId="31" borderId="0" xfId="0" applyFont="1" applyFill="1"/>
    <xf numFmtId="0" fontId="0" fillId="31" borderId="0" xfId="0" applyFill="1"/>
    <xf numFmtId="0" fontId="73" fillId="25" borderId="161" xfId="0" applyFont="1" applyFill="1" applyBorder="1" applyAlignment="1">
      <alignment horizontal="center"/>
    </xf>
    <xf numFmtId="0" fontId="73" fillId="25" borderId="165" xfId="0" applyFont="1" applyFill="1" applyBorder="1" applyAlignment="1">
      <alignment horizontal="center"/>
    </xf>
    <xf numFmtId="0" fontId="73" fillId="25" borderId="104" xfId="0" applyFont="1" applyFill="1" applyBorder="1" applyAlignment="1">
      <alignment horizontal="center"/>
    </xf>
    <xf numFmtId="0" fontId="0" fillId="25" borderId="28" xfId="0" applyFill="1" applyBorder="1" applyAlignment="1">
      <alignment horizontal="center"/>
    </xf>
    <xf numFmtId="0" fontId="0" fillId="25" borderId="0" xfId="0" applyFill="1" applyAlignment="1">
      <alignment horizontal="center"/>
    </xf>
    <xf numFmtId="0" fontId="0" fillId="25" borderId="21" xfId="0" applyFill="1" applyBorder="1" applyAlignment="1">
      <alignment horizontal="center"/>
    </xf>
    <xf numFmtId="0" fontId="0" fillId="25" borderId="29" xfId="0" applyFill="1" applyBorder="1" applyAlignment="1">
      <alignment horizontal="center"/>
    </xf>
    <xf numFmtId="0" fontId="0" fillId="25" borderId="30" xfId="0" applyFill="1" applyBorder="1" applyAlignment="1">
      <alignment horizontal="center"/>
    </xf>
    <xf numFmtId="0" fontId="0" fillId="25" borderId="22" xfId="0" applyFill="1" applyBorder="1" applyAlignment="1">
      <alignment horizontal="center"/>
    </xf>
    <xf numFmtId="0" fontId="0" fillId="81" borderId="0" xfId="0" applyFill="1" applyAlignment="1">
      <alignment horizontal="center"/>
    </xf>
    <xf numFmtId="1" fontId="0" fillId="25" borderId="0" xfId="0" applyNumberFormat="1" applyFill="1" applyAlignment="1">
      <alignment horizontal="center"/>
    </xf>
    <xf numFmtId="0" fontId="67" fillId="18" borderId="66" xfId="0" applyFont="1" applyFill="1" applyBorder="1" applyAlignment="1">
      <alignment vertical="top"/>
    </xf>
    <xf numFmtId="0" fontId="67" fillId="18" borderId="21" xfId="0" applyFont="1" applyFill="1" applyBorder="1" applyAlignment="1">
      <alignment vertical="top"/>
    </xf>
    <xf numFmtId="0" fontId="177" fillId="10" borderId="21" xfId="0" applyFont="1" applyFill="1" applyBorder="1" applyAlignment="1">
      <alignment horizontal="left" shrinkToFit="1"/>
    </xf>
    <xf numFmtId="0" fontId="62" fillId="10" borderId="24" xfId="0" applyFont="1" applyFill="1" applyBorder="1" applyAlignment="1">
      <alignment horizontal="center" vertical="center"/>
    </xf>
    <xf numFmtId="0" fontId="62" fillId="10" borderId="29" xfId="0" applyFont="1" applyFill="1" applyBorder="1" applyAlignment="1">
      <alignment horizontal="center" vertical="center"/>
    </xf>
    <xf numFmtId="0" fontId="47" fillId="0" borderId="0" xfId="0" applyFont="1" applyAlignment="1">
      <alignment horizontal="center" wrapText="1"/>
    </xf>
    <xf numFmtId="0" fontId="62" fillId="0" borderId="24" xfId="0" applyFont="1" applyBorder="1" applyAlignment="1">
      <alignment horizontal="center" vertical="center"/>
    </xf>
    <xf numFmtId="0" fontId="62" fillId="0" borderId="28" xfId="0" applyFont="1" applyBorder="1" applyAlignment="1">
      <alignment horizontal="center" vertical="center"/>
    </xf>
    <xf numFmtId="0" fontId="62" fillId="0" borderId="29" xfId="0" applyFont="1" applyBorder="1" applyAlignment="1">
      <alignment horizontal="center" vertical="center"/>
    </xf>
    <xf numFmtId="0" fontId="60" fillId="0" borderId="24" xfId="0" applyFont="1" applyBorder="1" applyAlignment="1">
      <alignment horizontal="center"/>
    </xf>
    <xf numFmtId="0" fontId="60" fillId="0" borderId="25" xfId="0" applyFont="1" applyBorder="1" applyAlignment="1">
      <alignment horizontal="center"/>
    </xf>
    <xf numFmtId="0" fontId="60" fillId="0" borderId="26" xfId="0" applyFont="1" applyBorder="1" applyAlignment="1">
      <alignment horizontal="center"/>
    </xf>
    <xf numFmtId="0" fontId="60" fillId="0" borderId="28" xfId="0" applyFont="1" applyBorder="1" applyAlignment="1">
      <alignment horizontal="center"/>
    </xf>
    <xf numFmtId="0" fontId="60" fillId="0" borderId="0" xfId="0" applyFont="1" applyAlignment="1">
      <alignment horizontal="center"/>
    </xf>
    <xf numFmtId="0" fontId="60" fillId="0" borderId="21" xfId="0" applyFont="1" applyBorder="1" applyAlignment="1">
      <alignment horizontal="center"/>
    </xf>
    <xf numFmtId="0" fontId="61" fillId="14" borderId="161" xfId="0" applyFont="1" applyFill="1" applyBorder="1" applyAlignment="1">
      <alignment horizontal="center" vertical="center"/>
    </xf>
    <xf numFmtId="0" fontId="61" fillId="14" borderId="165" xfId="0" applyFont="1" applyFill="1" applyBorder="1" applyAlignment="1">
      <alignment horizontal="center" vertical="center"/>
    </xf>
    <xf numFmtId="0" fontId="62" fillId="10" borderId="28" xfId="0" applyFont="1" applyFill="1" applyBorder="1" applyAlignment="1">
      <alignment horizontal="center" vertical="center"/>
    </xf>
    <xf numFmtId="0" fontId="62" fillId="10" borderId="24" xfId="0" applyFont="1" applyFill="1" applyBorder="1" applyAlignment="1">
      <alignment horizontal="center" vertical="center" wrapText="1"/>
    </xf>
    <xf numFmtId="0" fontId="62" fillId="10" borderId="28" xfId="0" applyFont="1" applyFill="1" applyBorder="1" applyAlignment="1">
      <alignment horizontal="center" vertical="center" wrapText="1"/>
    </xf>
    <xf numFmtId="0" fontId="62" fillId="10" borderId="29" xfId="0" applyFont="1" applyFill="1" applyBorder="1" applyAlignment="1">
      <alignment horizontal="center" vertical="center" wrapText="1"/>
    </xf>
    <xf numFmtId="0" fontId="55" fillId="31" borderId="31" xfId="0" applyFont="1" applyFill="1" applyBorder="1" applyAlignment="1">
      <alignment horizontal="center" vertical="center"/>
    </xf>
    <xf numFmtId="0" fontId="55" fillId="31" borderId="20" xfId="0" applyFont="1" applyFill="1" applyBorder="1" applyAlignment="1">
      <alignment horizontal="center" vertical="center"/>
    </xf>
    <xf numFmtId="0" fontId="55" fillId="31" borderId="88" xfId="0" applyFont="1" applyFill="1" applyBorder="1" applyAlignment="1">
      <alignment horizontal="center" vertical="center"/>
    </xf>
    <xf numFmtId="0" fontId="54" fillId="31" borderId="31" xfId="0" applyFont="1" applyFill="1" applyBorder="1" applyAlignment="1">
      <alignment horizontal="center" vertical="center"/>
    </xf>
    <xf numFmtId="0" fontId="54" fillId="31" borderId="20" xfId="0" applyFont="1" applyFill="1" applyBorder="1" applyAlignment="1">
      <alignment horizontal="center" vertical="center"/>
    </xf>
    <xf numFmtId="0" fontId="70" fillId="27" borderId="0" xfId="0" applyFont="1" applyFill="1" applyAlignment="1">
      <alignment horizontal="left"/>
    </xf>
    <xf numFmtId="0" fontId="168" fillId="30" borderId="28" xfId="0" applyFont="1" applyFill="1" applyBorder="1" applyAlignment="1">
      <alignment horizontal="left" vertical="center"/>
    </xf>
    <xf numFmtId="0" fontId="132" fillId="0" borderId="5" xfId="0" applyFont="1" applyBorder="1" applyAlignment="1">
      <alignment horizontal="center"/>
    </xf>
    <xf numFmtId="0" fontId="132" fillId="0" borderId="1" xfId="0" applyFont="1" applyBorder="1" applyAlignment="1">
      <alignment horizontal="center"/>
    </xf>
    <xf numFmtId="0" fontId="128" fillId="0" borderId="5" xfId="0" applyFont="1" applyBorder="1" applyAlignment="1">
      <alignment horizontal="center"/>
    </xf>
    <xf numFmtId="0" fontId="128" fillId="0" borderId="1" xfId="0" applyFont="1" applyBorder="1" applyAlignment="1">
      <alignment horizontal="center"/>
    </xf>
    <xf numFmtId="0" fontId="139" fillId="27" borderId="1" xfId="0" applyFont="1" applyFill="1" applyBorder="1" applyAlignment="1">
      <alignment horizontal="left" vertical="top" wrapText="1"/>
    </xf>
    <xf numFmtId="0" fontId="62" fillId="10" borderId="11" xfId="0" applyFont="1" applyFill="1" applyBorder="1" applyAlignment="1">
      <alignment horizontal="center" vertical="center"/>
    </xf>
    <xf numFmtId="0" fontId="62" fillId="10" borderId="7" xfId="0" applyFont="1" applyFill="1" applyBorder="1" applyAlignment="1">
      <alignment horizontal="center" vertical="center"/>
    </xf>
    <xf numFmtId="0" fontId="62" fillId="10" borderId="10" xfId="0" applyFont="1" applyFill="1" applyBorder="1" applyAlignment="1">
      <alignment horizontal="center" vertical="center"/>
    </xf>
    <xf numFmtId="1" fontId="134" fillId="61" borderId="65" xfId="15" applyNumberFormat="1" applyFont="1" applyFill="1" applyBorder="1" applyAlignment="1" applyProtection="1">
      <alignment horizontal="center" vertical="center" wrapText="1"/>
    </xf>
    <xf numFmtId="1" fontId="134" fillId="61" borderId="29" xfId="15" applyNumberFormat="1" applyFont="1" applyFill="1" applyBorder="1" applyAlignment="1" applyProtection="1">
      <alignment horizontal="center" vertical="center" wrapText="1"/>
    </xf>
    <xf numFmtId="1" fontId="133" fillId="10" borderId="66" xfId="15" applyNumberFormat="1" applyFont="1" applyFill="1" applyBorder="1" applyAlignment="1" applyProtection="1">
      <alignment horizontal="center" vertical="center" wrapText="1"/>
    </xf>
    <xf numFmtId="1" fontId="133" fillId="10" borderId="22" xfId="15" applyNumberFormat="1" applyFont="1" applyFill="1" applyBorder="1" applyAlignment="1" applyProtection="1">
      <alignment horizontal="center" vertical="center" wrapText="1"/>
    </xf>
    <xf numFmtId="0" fontId="42" fillId="11" borderId="77" xfId="15" applyFill="1" applyBorder="1" applyAlignment="1">
      <alignment horizontal="right"/>
    </xf>
    <xf numFmtId="0" fontId="42" fillId="11" borderId="5" xfId="15" applyFill="1" applyBorder="1" applyAlignment="1">
      <alignment horizontal="right"/>
    </xf>
    <xf numFmtId="0" fontId="42" fillId="11" borderId="148" xfId="15" applyFill="1" applyBorder="1" applyAlignment="1">
      <alignment horizontal="right"/>
    </xf>
    <xf numFmtId="0" fontId="42" fillId="11" borderId="138" xfId="15" applyFill="1" applyBorder="1" applyAlignment="1">
      <alignment horizontal="right"/>
    </xf>
    <xf numFmtId="0" fontId="62" fillId="10" borderId="65" xfId="0" applyFont="1" applyFill="1" applyBorder="1" applyAlignment="1">
      <alignment horizontal="center" vertical="center"/>
    </xf>
    <xf numFmtId="0" fontId="161" fillId="5" borderId="77" xfId="0" applyFont="1" applyFill="1" applyBorder="1" applyAlignment="1">
      <alignment horizontal="left"/>
    </xf>
    <xf numFmtId="0" fontId="161" fillId="5" borderId="78" xfId="0" applyFont="1" applyFill="1" applyBorder="1" applyAlignment="1">
      <alignment horizontal="left"/>
    </xf>
    <xf numFmtId="0" fontId="161" fillId="5" borderId="5" xfId="0" applyFont="1" applyFill="1" applyBorder="1" applyAlignment="1">
      <alignment horizontal="left"/>
    </xf>
    <xf numFmtId="0" fontId="47" fillId="28" borderId="137" xfId="0" applyFont="1" applyFill="1" applyBorder="1" applyAlignment="1">
      <alignment horizontal="left"/>
    </xf>
    <xf numFmtId="0" fontId="47" fillId="28" borderId="78" xfId="0" applyFont="1" applyFill="1" applyBorder="1" applyAlignment="1">
      <alignment horizontal="left"/>
    </xf>
    <xf numFmtId="164" fontId="48" fillId="0" borderId="0" xfId="0" applyNumberFormat="1" applyFont="1" applyAlignment="1">
      <alignment horizontal="center" vertical="center"/>
    </xf>
    <xf numFmtId="0" fontId="169" fillId="10" borderId="187" xfId="0" applyFont="1" applyFill="1" applyBorder="1" applyAlignment="1">
      <alignment horizontal="center" vertical="center"/>
    </xf>
    <xf numFmtId="0" fontId="169" fillId="10" borderId="188" xfId="0" applyFont="1" applyFill="1" applyBorder="1" applyAlignment="1">
      <alignment horizontal="center" vertical="center"/>
    </xf>
    <xf numFmtId="9" fontId="52" fillId="0" borderId="11" xfId="19" applyFont="1" applyBorder="1" applyAlignment="1">
      <alignment horizontal="center" vertical="center"/>
    </xf>
    <xf numFmtId="9" fontId="52" fillId="0" borderId="10" xfId="19" applyFont="1" applyBorder="1" applyAlignment="1">
      <alignment horizontal="center" vertical="center"/>
    </xf>
    <xf numFmtId="0" fontId="157" fillId="15" borderId="1" xfId="0" applyFont="1" applyFill="1" applyBorder="1" applyAlignment="1">
      <alignment horizontal="right" vertical="center"/>
    </xf>
    <xf numFmtId="0" fontId="52" fillId="10" borderId="73" xfId="0" applyFont="1" applyFill="1" applyBorder="1" applyAlignment="1">
      <alignment horizontal="center" vertical="center" wrapText="1"/>
    </xf>
    <xf numFmtId="0" fontId="52" fillId="10" borderId="13" xfId="0" applyFont="1" applyFill="1" applyBorder="1" applyAlignment="1">
      <alignment horizontal="center" vertical="center"/>
    </xf>
    <xf numFmtId="44" fontId="155" fillId="0" borderId="92" xfId="14109" applyNumberFormat="1" applyFont="1" applyBorder="1" applyAlignment="1">
      <alignment horizontal="center" vertical="center"/>
    </xf>
    <xf numFmtId="44" fontId="155" fillId="0" borderId="93" xfId="14109" applyNumberFormat="1" applyFont="1" applyBorder="1" applyAlignment="1">
      <alignment horizontal="center" vertical="center"/>
    </xf>
    <xf numFmtId="0" fontId="157" fillId="0" borderId="1" xfId="0" applyFont="1" applyBorder="1" applyAlignment="1">
      <alignment horizontal="right" vertical="center"/>
    </xf>
    <xf numFmtId="165" fontId="155" fillId="0" borderId="92" xfId="14109" applyNumberFormat="1" applyFont="1" applyBorder="1" applyAlignment="1">
      <alignment horizontal="center"/>
    </xf>
    <xf numFmtId="0" fontId="155" fillId="0" borderId="92" xfId="14109" applyFont="1" applyBorder="1" applyAlignment="1">
      <alignment horizontal="center"/>
    </xf>
    <xf numFmtId="0" fontId="52" fillId="10" borderId="1" xfId="0" applyFont="1" applyFill="1" applyBorder="1" applyAlignment="1">
      <alignment horizontal="center" vertical="center"/>
    </xf>
    <xf numFmtId="0" fontId="157" fillId="15" borderId="77" xfId="0" applyFont="1" applyFill="1" applyBorder="1" applyAlignment="1">
      <alignment horizontal="right" vertical="center"/>
    </xf>
    <xf numFmtId="0" fontId="157" fillId="15" borderId="5" xfId="0" applyFont="1" applyFill="1" applyBorder="1" applyAlignment="1">
      <alignment horizontal="right" vertical="center"/>
    </xf>
    <xf numFmtId="0" fontId="157" fillId="10" borderId="77" xfId="0" applyFont="1" applyFill="1" applyBorder="1" applyAlignment="1">
      <alignment horizontal="right" vertical="center"/>
    </xf>
    <xf numFmtId="0" fontId="157" fillId="10" borderId="5" xfId="0" applyFont="1" applyFill="1" applyBorder="1" applyAlignment="1">
      <alignment horizontal="right" vertical="center"/>
    </xf>
    <xf numFmtId="0" fontId="157" fillId="10" borderId="1" xfId="0" applyFont="1" applyFill="1" applyBorder="1" applyAlignment="1">
      <alignment horizontal="right" vertical="center"/>
    </xf>
    <xf numFmtId="0" fontId="157" fillId="11" borderId="77" xfId="0" applyFont="1" applyFill="1" applyBorder="1" applyAlignment="1">
      <alignment horizontal="right" vertical="center"/>
    </xf>
    <xf numFmtId="0" fontId="157" fillId="11" borderId="5" xfId="0" applyFont="1" applyFill="1" applyBorder="1" applyAlignment="1">
      <alignment horizontal="right" vertical="center"/>
    </xf>
    <xf numFmtId="169" fontId="42" fillId="8" borderId="77" xfId="15" applyNumberFormat="1" applyBorder="1" applyAlignment="1">
      <alignment horizontal="left"/>
    </xf>
    <xf numFmtId="169" fontId="42" fillId="8" borderId="5" xfId="15" applyNumberFormat="1" applyBorder="1" applyAlignment="1">
      <alignment horizontal="left"/>
    </xf>
    <xf numFmtId="0" fontId="52" fillId="10" borderId="163" xfId="0" applyFont="1" applyFill="1" applyBorder="1" applyAlignment="1">
      <alignment horizontal="center" vertical="center" wrapText="1"/>
    </xf>
    <xf numFmtId="0" fontId="52" fillId="10" borderId="164" xfId="0" applyFont="1" applyFill="1" applyBorder="1" applyAlignment="1">
      <alignment horizontal="center" vertical="center"/>
    </xf>
    <xf numFmtId="0" fontId="157" fillId="15" borderId="77" xfId="0" applyFont="1" applyFill="1" applyBorder="1" applyAlignment="1">
      <alignment horizontal="center" vertical="center"/>
    </xf>
    <xf numFmtId="0" fontId="157" fillId="15" borderId="5" xfId="0" applyFont="1" applyFill="1" applyBorder="1" applyAlignment="1">
      <alignment horizontal="center" vertical="center"/>
    </xf>
    <xf numFmtId="0" fontId="52" fillId="0" borderId="161" xfId="0" applyFont="1" applyBorder="1" applyAlignment="1">
      <alignment horizontal="right" vertical="center"/>
    </xf>
    <xf numFmtId="0" fontId="52" fillId="0" borderId="162" xfId="0" applyFont="1" applyBorder="1" applyAlignment="1">
      <alignment horizontal="right" vertical="center"/>
    </xf>
    <xf numFmtId="0" fontId="52" fillId="15" borderId="137" xfId="0" applyFont="1" applyFill="1" applyBorder="1" applyAlignment="1">
      <alignment horizontal="right" vertical="center"/>
    </xf>
    <xf numFmtId="0" fontId="52" fillId="15" borderId="5" xfId="0" applyFont="1" applyFill="1" applyBorder="1" applyAlignment="1">
      <alignment horizontal="right" vertical="center"/>
    </xf>
    <xf numFmtId="0" fontId="50" fillId="11" borderId="16" xfId="0" applyFont="1" applyFill="1" applyBorder="1" applyAlignment="1">
      <alignment horizontal="center" vertical="center"/>
    </xf>
    <xf numFmtId="0" fontId="50" fillId="11" borderId="8" xfId="0" applyFont="1" applyFill="1" applyBorder="1" applyAlignment="1">
      <alignment horizontal="center" vertical="center"/>
    </xf>
    <xf numFmtId="0" fontId="84" fillId="19" borderId="155" xfId="14111" applyFont="1" applyBorder="1" applyAlignment="1">
      <alignment horizontal="left" vertical="top"/>
    </xf>
    <xf numFmtId="0" fontId="84" fillId="19" borderId="156" xfId="14111" applyFont="1" applyBorder="1" applyAlignment="1">
      <alignment horizontal="left" vertical="top"/>
    </xf>
    <xf numFmtId="0" fontId="84" fillId="19" borderId="157" xfId="14111" applyFont="1" applyBorder="1" applyAlignment="1">
      <alignment horizontal="left" vertical="top"/>
    </xf>
    <xf numFmtId="0" fontId="84" fillId="19" borderId="158" xfId="14111" applyFont="1" applyBorder="1" applyAlignment="1">
      <alignment horizontal="left" vertical="top"/>
    </xf>
    <xf numFmtId="0" fontId="84" fillId="19" borderId="159" xfId="14111" applyFont="1" applyBorder="1" applyAlignment="1">
      <alignment horizontal="left" vertical="top"/>
    </xf>
    <xf numFmtId="0" fontId="84" fillId="19" borderId="160" xfId="14111" applyFont="1" applyBorder="1" applyAlignment="1">
      <alignment horizontal="left" vertical="top"/>
    </xf>
    <xf numFmtId="0" fontId="27" fillId="10" borderId="16" xfId="14109" applyFont="1" applyFill="1" applyBorder="1" applyAlignment="1">
      <alignment horizontal="center" vertical="center"/>
    </xf>
    <xf numFmtId="0" fontId="27" fillId="10" borderId="8" xfId="14109" applyFont="1" applyFill="1" applyBorder="1" applyAlignment="1">
      <alignment horizontal="center" vertical="center"/>
    </xf>
    <xf numFmtId="0" fontId="84" fillId="19" borderId="155" xfId="14111" applyFont="1" applyBorder="1" applyAlignment="1">
      <alignment horizontal="left" vertical="top" wrapText="1"/>
    </xf>
    <xf numFmtId="0" fontId="84" fillId="19" borderId="156" xfId="14111" applyFont="1" applyBorder="1" applyAlignment="1">
      <alignment horizontal="left" vertical="top" wrapText="1"/>
    </xf>
    <xf numFmtId="0" fontId="84" fillId="19" borderId="157" xfId="14111" applyFont="1" applyBorder="1" applyAlignment="1">
      <alignment horizontal="left" vertical="top" wrapText="1"/>
    </xf>
    <xf numFmtId="0" fontId="84" fillId="19" borderId="158" xfId="14111" applyFont="1" applyBorder="1" applyAlignment="1">
      <alignment horizontal="left" vertical="top" wrapText="1"/>
    </xf>
    <xf numFmtId="0" fontId="84" fillId="19" borderId="159" xfId="14111" applyFont="1" applyBorder="1" applyAlignment="1">
      <alignment horizontal="left" vertical="top" wrapText="1"/>
    </xf>
    <xf numFmtId="0" fontId="84" fillId="19" borderId="160" xfId="14111" applyFont="1" applyBorder="1" applyAlignment="1">
      <alignment horizontal="left" vertical="top" wrapText="1"/>
    </xf>
    <xf numFmtId="0" fontId="154" fillId="14" borderId="149" xfId="0" applyFont="1" applyFill="1" applyBorder="1" applyAlignment="1">
      <alignment horizontal="center" vertical="center"/>
    </xf>
    <xf numFmtId="0" fontId="52" fillId="10" borderId="84" xfId="0" applyFont="1" applyFill="1" applyBorder="1" applyAlignment="1">
      <alignment horizontal="center" vertical="center" wrapText="1"/>
    </xf>
    <xf numFmtId="0" fontId="52" fillId="10" borderId="0" xfId="0" applyFont="1" applyFill="1" applyAlignment="1">
      <alignment horizontal="center" vertical="center" wrapText="1"/>
    </xf>
    <xf numFmtId="0" fontId="52" fillId="0" borderId="122" xfId="0" applyFont="1" applyBorder="1" applyAlignment="1">
      <alignment horizontal="right" vertical="center"/>
    </xf>
    <xf numFmtId="0" fontId="52" fillId="0" borderId="138" xfId="0" applyFont="1" applyBorder="1" applyAlignment="1">
      <alignment horizontal="right" vertical="center"/>
    </xf>
    <xf numFmtId="0" fontId="132" fillId="15" borderId="31" xfId="0" applyFont="1" applyFill="1" applyBorder="1" applyAlignment="1">
      <alignment horizontal="center"/>
    </xf>
    <xf numFmtId="0" fontId="132" fillId="15" borderId="20" xfId="0" applyFont="1" applyFill="1" applyBorder="1" applyAlignment="1">
      <alignment horizontal="center"/>
    </xf>
    <xf numFmtId="0" fontId="52" fillId="0" borderId="77" xfId="0" applyFont="1" applyBorder="1" applyAlignment="1">
      <alignment horizontal="right" vertical="center"/>
    </xf>
    <xf numFmtId="0" fontId="52" fillId="0" borderId="5" xfId="0" applyFont="1" applyBorder="1" applyAlignment="1">
      <alignment horizontal="right" vertical="center"/>
    </xf>
    <xf numFmtId="0" fontId="88" fillId="0" borderId="0" xfId="0" applyFont="1" applyAlignment="1">
      <alignment horizontal="center"/>
    </xf>
    <xf numFmtId="0" fontId="77" fillId="0" borderId="0" xfId="0" applyFont="1" applyAlignment="1">
      <alignment horizontal="center"/>
    </xf>
    <xf numFmtId="0" fontId="73" fillId="22" borderId="0" xfId="0" applyFont="1" applyFill="1" applyAlignment="1">
      <alignment horizontal="center"/>
    </xf>
    <xf numFmtId="0" fontId="73" fillId="63" borderId="0" xfId="0" applyFont="1" applyFill="1" applyAlignment="1">
      <alignment horizontal="center"/>
    </xf>
    <xf numFmtId="0" fontId="73" fillId="5" borderId="0" xfId="0" applyFont="1" applyFill="1" applyAlignment="1">
      <alignment horizontal="center"/>
    </xf>
    <xf numFmtId="0" fontId="73" fillId="68" borderId="0" xfId="0" applyFont="1" applyFill="1" applyAlignment="1">
      <alignment horizontal="center"/>
    </xf>
    <xf numFmtId="0" fontId="73" fillId="0" borderId="1" xfId="0" applyFont="1" applyBorder="1" applyAlignment="1">
      <alignment horizontal="center"/>
    </xf>
    <xf numFmtId="0" fontId="0" fillId="0" borderId="1" xfId="0" applyBorder="1" applyAlignment="1">
      <alignment horizontal="center" vertical="center" wrapText="1"/>
    </xf>
    <xf numFmtId="0" fontId="21" fillId="3" borderId="0" xfId="0" applyFont="1" applyFill="1" applyAlignment="1">
      <alignment horizontal="left"/>
    </xf>
    <xf numFmtId="0" fontId="21" fillId="3" borderId="21" xfId="0" applyFont="1" applyFill="1" applyBorder="1" applyAlignment="1">
      <alignment horizontal="left"/>
    </xf>
    <xf numFmtId="0" fontId="21" fillId="0" borderId="0" xfId="0" applyFont="1" applyAlignment="1">
      <alignment horizontal="left"/>
    </xf>
    <xf numFmtId="0" fontId="21" fillId="0" borderId="21" xfId="0" applyFont="1" applyBorder="1" applyAlignment="1">
      <alignment horizontal="left"/>
    </xf>
    <xf numFmtId="0" fontId="55" fillId="68" borderId="161" xfId="28164" applyFont="1" applyFill="1" applyBorder="1" applyAlignment="1">
      <alignment horizontal="center" vertical="top"/>
    </xf>
    <xf numFmtId="0" fontId="55" fillId="68" borderId="165" xfId="28164" applyFont="1" applyFill="1" applyBorder="1" applyAlignment="1">
      <alignment horizontal="center" vertical="top"/>
    </xf>
    <xf numFmtId="0" fontId="59" fillId="0" borderId="39" xfId="0" applyFont="1" applyBorder="1" applyAlignment="1">
      <alignment horizontal="center" vertical="center"/>
    </xf>
    <xf numFmtId="0" fontId="59" fillId="0" borderId="41" xfId="0" applyFont="1" applyBorder="1" applyAlignment="1">
      <alignment horizontal="center" vertical="center"/>
    </xf>
    <xf numFmtId="0" fontId="59" fillId="0" borderId="42" xfId="0" applyFont="1" applyBorder="1" applyAlignment="1">
      <alignment horizontal="center" vertical="center"/>
    </xf>
    <xf numFmtId="0" fontId="59" fillId="0" borderId="43" xfId="0" applyFont="1" applyBorder="1" applyAlignment="1">
      <alignment horizontal="center" vertical="center"/>
    </xf>
    <xf numFmtId="0" fontId="59" fillId="0" borderId="24" xfId="0" applyFont="1" applyBorder="1" applyAlignment="1">
      <alignment horizontal="center" vertical="center" wrapText="1"/>
    </xf>
    <xf numFmtId="0" fontId="59" fillId="0" borderId="25" xfId="0" applyFont="1" applyBorder="1" applyAlignment="1">
      <alignment horizontal="center" vertical="center" wrapText="1"/>
    </xf>
    <xf numFmtId="0" fontId="59" fillId="0" borderId="26" xfId="0" applyFont="1" applyBorder="1" applyAlignment="1">
      <alignment horizontal="center" vertical="center" wrapText="1"/>
    </xf>
    <xf numFmtId="0" fontId="59" fillId="0" borderId="28" xfId="0" applyFont="1" applyBorder="1" applyAlignment="1">
      <alignment horizontal="center" vertical="center" wrapText="1"/>
    </xf>
    <xf numFmtId="0" fontId="59" fillId="0" borderId="0" xfId="0" applyFont="1" applyAlignment="1">
      <alignment horizontal="center" vertical="center" wrapText="1"/>
    </xf>
    <xf numFmtId="0" fontId="59" fillId="0" borderId="21" xfId="0" applyFont="1" applyBorder="1" applyAlignment="1">
      <alignment horizontal="center" vertical="center" wrapText="1"/>
    </xf>
    <xf numFmtId="0" fontId="21" fillId="0" borderId="30" xfId="0" applyFont="1" applyBorder="1" applyAlignment="1">
      <alignment horizontal="left"/>
    </xf>
    <xf numFmtId="0" fontId="21" fillId="0" borderId="22" xfId="0" applyFont="1" applyBorder="1" applyAlignment="1">
      <alignment horizontal="left"/>
    </xf>
    <xf numFmtId="165" fontId="24" fillId="2" borderId="0" xfId="1" applyNumberFormat="1" applyFont="1" applyFill="1" applyBorder="1" applyAlignment="1">
      <alignment horizontal="center"/>
    </xf>
    <xf numFmtId="165" fontId="24" fillId="2" borderId="21" xfId="1" applyNumberFormat="1" applyFont="1" applyFill="1" applyBorder="1" applyAlignment="1">
      <alignment horizontal="center"/>
    </xf>
    <xf numFmtId="0" fontId="59" fillId="0" borderId="40" xfId="0" applyFont="1" applyBorder="1" applyAlignment="1">
      <alignment horizontal="center" vertical="center"/>
    </xf>
    <xf numFmtId="0" fontId="59" fillId="0" borderId="0" xfId="0" applyFont="1" applyAlignment="1">
      <alignment horizontal="center" vertical="center"/>
    </xf>
    <xf numFmtId="0" fontId="0" fillId="70" borderId="42" xfId="0" applyFill="1" applyBorder="1" applyAlignment="1">
      <alignment horizontal="center"/>
    </xf>
    <xf numFmtId="0" fontId="0" fillId="70" borderId="0" xfId="0" applyFill="1" applyAlignment="1">
      <alignment horizontal="center"/>
    </xf>
    <xf numFmtId="0" fontId="0" fillId="70" borderId="43" xfId="0" applyFill="1" applyBorder="1" applyAlignment="1">
      <alignment horizontal="center"/>
    </xf>
    <xf numFmtId="0" fontId="27" fillId="20" borderId="43" xfId="0" applyFont="1" applyFill="1" applyBorder="1" applyAlignment="1">
      <alignment horizontal="center" wrapText="1"/>
    </xf>
    <xf numFmtId="0" fontId="147" fillId="0" borderId="125" xfId="0" applyFont="1" applyBorder="1" applyAlignment="1">
      <alignment horizontal="center" vertical="center"/>
    </xf>
    <xf numFmtId="0" fontId="147" fillId="0" borderId="126" xfId="0" applyFont="1" applyBorder="1" applyAlignment="1">
      <alignment horizontal="center" vertical="center"/>
    </xf>
    <xf numFmtId="0" fontId="147" fillId="0" borderId="127" xfId="0" applyFont="1" applyBorder="1" applyAlignment="1">
      <alignment horizontal="center" vertical="center"/>
    </xf>
    <xf numFmtId="0" fontId="73" fillId="63" borderId="39" xfId="0" applyFont="1" applyFill="1" applyBorder="1" applyAlignment="1">
      <alignment horizontal="center" vertical="center" wrapText="1"/>
    </xf>
    <xf numFmtId="0" fontId="73" fillId="63" borderId="41" xfId="0" applyFont="1" applyFill="1" applyBorder="1" applyAlignment="1">
      <alignment horizontal="center" vertical="center"/>
    </xf>
    <xf numFmtId="0" fontId="73" fillId="63" borderId="42" xfId="0" applyFont="1" applyFill="1" applyBorder="1" applyAlignment="1">
      <alignment horizontal="center" vertical="center"/>
    </xf>
    <xf numFmtId="0" fontId="73" fillId="63" borderId="43" xfId="0" applyFont="1" applyFill="1" applyBorder="1" applyAlignment="1">
      <alignment horizontal="center" vertical="center"/>
    </xf>
    <xf numFmtId="0" fontId="73" fillId="63" borderId="48" xfId="0" applyFont="1" applyFill="1" applyBorder="1" applyAlignment="1">
      <alignment horizontal="center" vertical="center"/>
    </xf>
    <xf numFmtId="0" fontId="73" fillId="63" borderId="46" xfId="0" applyFont="1" applyFill="1" applyBorder="1" applyAlignment="1">
      <alignment horizontal="center" vertical="center"/>
    </xf>
    <xf numFmtId="0" fontId="59" fillId="0" borderId="134" xfId="0" applyFont="1" applyBorder="1" applyAlignment="1">
      <alignment horizontal="center" vertical="center"/>
    </xf>
    <xf numFmtId="0" fontId="59" fillId="0" borderId="25" xfId="0" applyFont="1" applyBorder="1" applyAlignment="1">
      <alignment horizontal="center" vertical="center"/>
    </xf>
    <xf numFmtId="0" fontId="59" fillId="0" borderId="67" xfId="0" applyFont="1" applyBorder="1" applyAlignment="1">
      <alignment horizontal="center" vertical="center"/>
    </xf>
    <xf numFmtId="0" fontId="59" fillId="0" borderId="68" xfId="0" applyFont="1" applyBorder="1" applyAlignment="1">
      <alignment horizontal="center" vertical="center"/>
    </xf>
    <xf numFmtId="0" fontId="59" fillId="0" borderId="69" xfId="0" applyFont="1" applyBorder="1" applyAlignment="1">
      <alignment horizontal="center" vertical="center"/>
    </xf>
    <xf numFmtId="0" fontId="59" fillId="0" borderId="70" xfId="0" applyFont="1" applyBorder="1" applyAlignment="1">
      <alignment horizontal="center" vertical="center"/>
    </xf>
    <xf numFmtId="0" fontId="59" fillId="0" borderId="24" xfId="0" applyFont="1" applyBorder="1" applyAlignment="1">
      <alignment horizontal="center" vertical="center"/>
    </xf>
    <xf numFmtId="0" fontId="59" fillId="0" borderId="26" xfId="0" applyFont="1" applyBorder="1" applyAlignment="1">
      <alignment horizontal="center" vertical="center"/>
    </xf>
    <xf numFmtId="0" fontId="59" fillId="0" borderId="28" xfId="0" applyFont="1" applyBorder="1" applyAlignment="1">
      <alignment horizontal="center" vertical="center"/>
    </xf>
    <xf numFmtId="0" fontId="59" fillId="0" borderId="21" xfId="0" applyFont="1" applyBorder="1" applyAlignment="1">
      <alignment horizontal="center" vertical="center"/>
    </xf>
    <xf numFmtId="0" fontId="150" fillId="0" borderId="1" xfId="37" applyFont="1" applyBorder="1" applyAlignment="1">
      <alignment horizontal="center" wrapText="1"/>
    </xf>
    <xf numFmtId="49" fontId="106" fillId="0" borderId="1" xfId="37" applyNumberFormat="1" applyBorder="1" applyAlignment="1">
      <alignment horizontal="left" vertical="top" wrapText="1"/>
    </xf>
    <xf numFmtId="0" fontId="73" fillId="39" borderId="1" xfId="44" applyFont="1" applyBorder="1" applyAlignment="1">
      <alignment horizontal="center"/>
    </xf>
    <xf numFmtId="0" fontId="73" fillId="35" borderId="1" xfId="40" applyFont="1" applyBorder="1" applyAlignment="1">
      <alignment horizontal="center"/>
    </xf>
    <xf numFmtId="0" fontId="151" fillId="35" borderId="0" xfId="40" applyFont="1" applyBorder="1" applyAlignment="1">
      <alignment horizontal="center" wrapText="1"/>
    </xf>
    <xf numFmtId="0" fontId="151" fillId="35" borderId="14" xfId="40" applyFont="1" applyBorder="1" applyAlignment="1">
      <alignment horizontal="center" wrapText="1"/>
    </xf>
    <xf numFmtId="0" fontId="24" fillId="77" borderId="110" xfId="0" applyFont="1" applyFill="1" applyBorder="1" applyAlignment="1">
      <alignment horizontal="center"/>
    </xf>
    <xf numFmtId="0" fontId="24" fillId="77" borderId="108" xfId="0" applyFont="1" applyFill="1" applyBorder="1" applyAlignment="1">
      <alignment horizontal="center"/>
    </xf>
    <xf numFmtId="0" fontId="0" fillId="0" borderId="39" xfId="0"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8" xfId="0" applyBorder="1" applyAlignment="1">
      <alignment horizontal="center" vertical="center"/>
    </xf>
    <xf numFmtId="0" fontId="0" fillId="0" borderId="0" xfId="0" applyAlignment="1">
      <alignment horizontal="center" vertical="center"/>
    </xf>
    <xf numFmtId="0" fontId="0" fillId="0" borderId="21" xfId="0" applyBorder="1" applyAlignment="1">
      <alignment horizontal="center" vertical="center"/>
    </xf>
    <xf numFmtId="0" fontId="171" fillId="2" borderId="25" xfId="0" applyFont="1" applyFill="1" applyBorder="1" applyAlignment="1">
      <alignment horizontal="center"/>
    </xf>
    <xf numFmtId="0" fontId="171" fillId="76" borderId="25" xfId="0" applyFont="1" applyFill="1" applyBorder="1" applyAlignment="1">
      <alignment horizontal="center"/>
    </xf>
    <xf numFmtId="0" fontId="171" fillId="76" borderId="26" xfId="0" applyFont="1" applyFill="1" applyBorder="1" applyAlignment="1">
      <alignment horizontal="center"/>
    </xf>
    <xf numFmtId="0" fontId="17" fillId="2" borderId="24" xfId="0" applyFont="1" applyFill="1" applyBorder="1" applyAlignment="1">
      <alignment horizontal="center"/>
    </xf>
    <xf numFmtId="0" fontId="17" fillId="2" borderId="26" xfId="0" applyFont="1" applyFill="1" applyBorder="1" applyAlignment="1">
      <alignment horizontal="center"/>
    </xf>
    <xf numFmtId="0" fontId="0" fillId="0" borderId="0" xfId="0" applyAlignment="1">
      <alignment horizontal="center"/>
    </xf>
    <xf numFmtId="0" fontId="0" fillId="0" borderId="40" xfId="0" applyBorder="1" applyAlignment="1">
      <alignment horizontal="center" vertical="center"/>
    </xf>
    <xf numFmtId="0" fontId="73" fillId="81" borderId="0" xfId="0" applyFont="1" applyFill="1" applyAlignment="1">
      <alignment horizontal="center"/>
    </xf>
    <xf numFmtId="0" fontId="73" fillId="79" borderId="24" xfId="0" applyFont="1" applyFill="1" applyBorder="1" applyAlignment="1">
      <alignment horizontal="center"/>
    </xf>
    <xf numFmtId="0" fontId="73" fillId="79" borderId="25" xfId="0" applyFont="1" applyFill="1" applyBorder="1" applyAlignment="1">
      <alignment horizontal="center"/>
    </xf>
    <xf numFmtId="0" fontId="73" fillId="79" borderId="26" xfId="0" applyFont="1" applyFill="1" applyBorder="1" applyAlignment="1">
      <alignment horizontal="center"/>
    </xf>
    <xf numFmtId="0" fontId="73" fillId="78" borderId="24" xfId="0" applyFont="1" applyFill="1" applyBorder="1" applyAlignment="1">
      <alignment horizontal="center"/>
    </xf>
    <xf numFmtId="0" fontId="73" fillId="78" borderId="25" xfId="0" applyFont="1" applyFill="1" applyBorder="1" applyAlignment="1">
      <alignment horizontal="center"/>
    </xf>
    <xf numFmtId="0" fontId="73" fillId="78" borderId="26" xfId="0" applyFont="1" applyFill="1" applyBorder="1" applyAlignment="1">
      <alignment horizontal="center"/>
    </xf>
    <xf numFmtId="0" fontId="73" fillId="0" borderId="14" xfId="0" applyFont="1" applyBorder="1" applyAlignment="1">
      <alignment horizontal="center"/>
    </xf>
    <xf numFmtId="0" fontId="33" fillId="7" borderId="196" xfId="0" applyFont="1" applyFill="1" applyBorder="1" applyAlignment="1">
      <alignment horizontal="center" vertical="center" wrapText="1"/>
    </xf>
    <xf numFmtId="0" fontId="33" fillId="7" borderId="197" xfId="0" applyFont="1" applyFill="1" applyBorder="1" applyAlignment="1">
      <alignment horizontal="center" vertical="center" wrapText="1"/>
    </xf>
    <xf numFmtId="0" fontId="33" fillId="7" borderId="198" xfId="0" applyFont="1" applyFill="1" applyBorder="1" applyAlignment="1">
      <alignment horizontal="center" vertical="center" wrapText="1"/>
    </xf>
    <xf numFmtId="0" fontId="32" fillId="6" borderId="77" xfId="0" applyFont="1" applyFill="1" applyBorder="1" applyAlignment="1">
      <alignment horizontal="center" vertical="center"/>
    </xf>
    <xf numFmtId="0" fontId="32" fillId="6" borderId="78" xfId="0" applyFont="1" applyFill="1" applyBorder="1" applyAlignment="1">
      <alignment horizontal="center" vertical="center"/>
    </xf>
    <xf numFmtId="0" fontId="32" fillId="6" borderId="5" xfId="0" applyFont="1" applyFill="1" applyBorder="1" applyAlignment="1">
      <alignment horizontal="center" vertical="center"/>
    </xf>
    <xf numFmtId="0" fontId="73" fillId="29" borderId="0" xfId="0" applyFont="1" applyFill="1" applyAlignment="1">
      <alignment horizontal="center"/>
    </xf>
    <xf numFmtId="0" fontId="73" fillId="79" borderId="76" xfId="0" applyFont="1" applyFill="1" applyBorder="1" applyAlignment="1">
      <alignment horizontal="center"/>
    </xf>
    <xf numFmtId="0" fontId="73" fillId="79" borderId="84" xfId="0" applyFont="1" applyFill="1" applyBorder="1" applyAlignment="1">
      <alignment horizontal="center"/>
    </xf>
    <xf numFmtId="0" fontId="73" fillId="79" borderId="73" xfId="0" applyFont="1" applyFill="1" applyBorder="1" applyAlignment="1">
      <alignment horizontal="center"/>
    </xf>
    <xf numFmtId="0" fontId="73" fillId="81" borderId="24" xfId="0" applyFont="1" applyFill="1" applyBorder="1" applyAlignment="1">
      <alignment horizontal="center"/>
    </xf>
    <xf numFmtId="0" fontId="73" fillId="81" borderId="25" xfId="0" applyFont="1" applyFill="1" applyBorder="1" applyAlignment="1">
      <alignment horizontal="center"/>
    </xf>
    <xf numFmtId="0" fontId="73" fillId="81" borderId="26" xfId="0" applyFont="1" applyFill="1" applyBorder="1" applyAlignment="1">
      <alignment horizontal="center"/>
    </xf>
    <xf numFmtId="0" fontId="73" fillId="0" borderId="77" xfId="0" applyFont="1" applyBorder="1" applyAlignment="1">
      <alignment horizontal="center"/>
    </xf>
    <xf numFmtId="0" fontId="73" fillId="0" borderId="5" xfId="0" applyFont="1" applyBorder="1" applyAlignment="1">
      <alignment horizontal="center"/>
    </xf>
    <xf numFmtId="0" fontId="27" fillId="0" borderId="130" xfId="0" applyFont="1" applyBorder="1" applyAlignment="1">
      <alignment horizontal="center"/>
    </xf>
    <xf numFmtId="0" fontId="27" fillId="0" borderId="131" xfId="0" applyFont="1" applyBorder="1" applyAlignment="1">
      <alignment horizontal="center"/>
    </xf>
    <xf numFmtId="0" fontId="137" fillId="9" borderId="176" xfId="16" applyFont="1" applyBorder="1" applyAlignment="1">
      <alignment horizontal="center"/>
    </xf>
    <xf numFmtId="0" fontId="137" fillId="9" borderId="177" xfId="16" applyFont="1" applyBorder="1" applyAlignment="1">
      <alignment horizontal="center"/>
    </xf>
    <xf numFmtId="0" fontId="83" fillId="72" borderId="30" xfId="0" applyFont="1" applyFill="1" applyBorder="1" applyAlignment="1">
      <alignment horizontal="center"/>
    </xf>
    <xf numFmtId="0" fontId="109" fillId="0" borderId="0" xfId="0" applyFont="1" applyAlignment="1">
      <alignment horizontal="left" vertical="center" wrapText="1"/>
    </xf>
    <xf numFmtId="0" fontId="115" fillId="27" borderId="95" xfId="0" applyFont="1" applyFill="1" applyBorder="1" applyAlignment="1">
      <alignment vertical="center"/>
    </xf>
    <xf numFmtId="0" fontId="115" fillId="27" borderId="1" xfId="0" applyFont="1" applyFill="1" applyBorder="1" applyAlignment="1">
      <alignment vertical="center"/>
    </xf>
    <xf numFmtId="0" fontId="115" fillId="27" borderId="92" xfId="0" applyFont="1" applyFill="1" applyBorder="1" applyAlignment="1">
      <alignment vertical="center"/>
    </xf>
    <xf numFmtId="0" fontId="115" fillId="0" borderId="111" xfId="0" applyFont="1" applyBorder="1" applyAlignment="1">
      <alignment vertical="center"/>
    </xf>
    <xf numFmtId="0" fontId="115" fillId="0" borderId="63" xfId="0" applyFont="1" applyBorder="1" applyAlignment="1">
      <alignment vertical="center"/>
    </xf>
    <xf numFmtId="0" fontId="115" fillId="0" borderId="93" xfId="0" applyFont="1" applyBorder="1" applyAlignment="1">
      <alignment vertical="center"/>
    </xf>
    <xf numFmtId="0" fontId="115" fillId="0" borderId="105" xfId="0" applyFont="1" applyBorder="1" applyAlignment="1">
      <alignment vertical="center"/>
    </xf>
    <xf numFmtId="0" fontId="115" fillId="0" borderId="27" xfId="0" applyFont="1" applyBorder="1" applyAlignment="1">
      <alignment vertical="center"/>
    </xf>
    <xf numFmtId="0" fontId="115" fillId="0" borderId="109" xfId="0" applyFont="1" applyBorder="1" applyAlignment="1">
      <alignment vertical="center"/>
    </xf>
    <xf numFmtId="0" fontId="110" fillId="0" borderId="12" xfId="0" applyFont="1" applyBorder="1" applyAlignment="1">
      <alignment horizontal="left" vertical="center" wrapText="1"/>
    </xf>
    <xf numFmtId="0" fontId="110" fillId="27" borderId="12" xfId="0" applyFont="1" applyFill="1" applyBorder="1" applyAlignment="1">
      <alignment vertical="center" wrapText="1"/>
    </xf>
    <xf numFmtId="0" fontId="110" fillId="0" borderId="12" xfId="0" applyFont="1" applyBorder="1" applyAlignment="1">
      <alignment vertical="center" wrapText="1"/>
    </xf>
    <xf numFmtId="0" fontId="110" fillId="27" borderId="12" xfId="0" applyFont="1" applyFill="1" applyBorder="1" applyAlignment="1">
      <alignment horizontal="left" vertical="center" wrapText="1"/>
    </xf>
    <xf numFmtId="0" fontId="108" fillId="0" borderId="12" xfId="0" applyFont="1" applyBorder="1"/>
    <xf numFmtId="0" fontId="110" fillId="10" borderId="12" xfId="0" applyFont="1" applyFill="1" applyBorder="1" applyAlignment="1">
      <alignment horizontal="left" vertical="center" wrapText="1"/>
    </xf>
    <xf numFmtId="0" fontId="112" fillId="58" borderId="12" xfId="0" applyFont="1" applyFill="1" applyBorder="1" applyAlignment="1">
      <alignment vertical="center" wrapText="1"/>
    </xf>
    <xf numFmtId="0" fontId="110" fillId="27" borderId="31" xfId="0" applyFont="1" applyFill="1" applyBorder="1" applyAlignment="1">
      <alignment vertical="center" wrapText="1"/>
    </xf>
    <xf numFmtId="0" fontId="110" fillId="27" borderId="88" xfId="0" applyFont="1" applyFill="1" applyBorder="1" applyAlignment="1">
      <alignment vertical="center" wrapText="1"/>
    </xf>
    <xf numFmtId="0" fontId="110" fillId="0" borderId="88" xfId="0" applyFont="1" applyBorder="1" applyAlignment="1">
      <alignment vertical="center" wrapText="1"/>
    </xf>
    <xf numFmtId="0" fontId="110" fillId="0" borderId="20" xfId="0" applyFont="1" applyBorder="1" applyAlignment="1">
      <alignment vertical="center" wrapText="1"/>
    </xf>
    <xf numFmtId="0" fontId="110" fillId="27" borderId="113" xfId="0" applyFont="1" applyFill="1" applyBorder="1" applyAlignment="1">
      <alignment vertical="center" wrapText="1"/>
    </xf>
    <xf numFmtId="0" fontId="110" fillId="27" borderId="31" xfId="0" applyFont="1" applyFill="1" applyBorder="1" applyAlignment="1">
      <alignment vertical="top" wrapText="1"/>
    </xf>
    <xf numFmtId="0" fontId="110" fillId="27" borderId="88" xfId="0" applyFont="1" applyFill="1" applyBorder="1" applyAlignment="1">
      <alignment vertical="top" wrapText="1"/>
    </xf>
    <xf numFmtId="0" fontId="110" fillId="0" borderId="103" xfId="0" applyFont="1" applyBorder="1" applyAlignment="1">
      <alignment vertical="center" wrapText="1"/>
    </xf>
    <xf numFmtId="0" fontId="110" fillId="0" borderId="105" xfId="0" applyFont="1" applyBorder="1" applyAlignment="1">
      <alignment vertical="center" wrapText="1"/>
    </xf>
    <xf numFmtId="0" fontId="110" fillId="0" borderId="104" xfId="0" applyFont="1" applyBorder="1" applyAlignment="1">
      <alignment vertical="center" wrapText="1"/>
    </xf>
    <xf numFmtId="0" fontId="110" fillId="27" borderId="10" xfId="0" applyFont="1" applyFill="1" applyBorder="1" applyAlignment="1">
      <alignment vertical="center" wrapText="1"/>
    </xf>
    <xf numFmtId="0" fontId="110" fillId="27" borderId="102" xfId="0" applyFont="1" applyFill="1" applyBorder="1" applyAlignment="1">
      <alignment vertical="center" wrapText="1"/>
    </xf>
    <xf numFmtId="0" fontId="110" fillId="27" borderId="22" xfId="0" applyFont="1" applyFill="1" applyBorder="1" applyAlignment="1">
      <alignment vertical="center" wrapText="1"/>
    </xf>
    <xf numFmtId="0" fontId="110" fillId="0" borderId="22" xfId="0" applyFont="1" applyBorder="1" applyAlignment="1">
      <alignment vertical="center" wrapText="1"/>
    </xf>
    <xf numFmtId="0" fontId="110" fillId="0" borderId="10" xfId="0" applyFont="1" applyBorder="1" applyAlignment="1">
      <alignment vertical="center" wrapText="1"/>
    </xf>
    <xf numFmtId="1" fontId="110" fillId="27" borderId="22" xfId="0" applyNumberFormat="1" applyFont="1" applyFill="1" applyBorder="1" applyAlignment="1">
      <alignment vertical="center" wrapText="1"/>
    </xf>
    <xf numFmtId="1" fontId="110" fillId="27" borderId="12" xfId="0" applyNumberFormat="1" applyFont="1" applyFill="1" applyBorder="1" applyAlignment="1">
      <alignment horizontal="left" vertical="center" wrapText="1"/>
    </xf>
    <xf numFmtId="0" fontId="110" fillId="27" borderId="22" xfId="0" applyFont="1" applyFill="1" applyBorder="1" applyAlignment="1">
      <alignment horizontal="left" vertical="center" wrapText="1"/>
    </xf>
    <xf numFmtId="0" fontId="110" fillId="27" borderId="10" xfId="0" applyFont="1" applyFill="1" applyBorder="1" applyAlignment="1">
      <alignment horizontal="left" vertical="center" wrapText="1"/>
    </xf>
    <xf numFmtId="0" fontId="110" fillId="27" borderId="104" xfId="0" applyFont="1" applyFill="1" applyBorder="1" applyAlignment="1">
      <alignment horizontal="left" vertical="center" wrapText="1"/>
    </xf>
    <xf numFmtId="0" fontId="110" fillId="27" borderId="103" xfId="0" applyFont="1" applyFill="1" applyBorder="1" applyAlignment="1">
      <alignment horizontal="left" vertical="center" wrapText="1"/>
    </xf>
    <xf numFmtId="0" fontId="110" fillId="10" borderId="21" xfId="0" applyFont="1" applyFill="1" applyBorder="1" applyAlignment="1">
      <alignment horizontal="left" vertical="center" wrapText="1"/>
    </xf>
    <xf numFmtId="0" fontId="110" fillId="10" borderId="7" xfId="0" applyFont="1" applyFill="1" applyBorder="1" applyAlignment="1">
      <alignment horizontal="left" vertical="center" wrapText="1"/>
    </xf>
    <xf numFmtId="0" fontId="110" fillId="27" borderId="107" xfId="0" applyFont="1" applyFill="1" applyBorder="1" applyAlignment="1">
      <alignment horizontal="left" vertical="center" wrapText="1"/>
    </xf>
    <xf numFmtId="0" fontId="110" fillId="27" borderId="106" xfId="0" applyFont="1" applyFill="1" applyBorder="1" applyAlignment="1">
      <alignment horizontal="left" vertical="center" wrapText="1"/>
    </xf>
    <xf numFmtId="0" fontId="110" fillId="0" borderId="103" xfId="0" applyFont="1" applyBorder="1" applyAlignment="1">
      <alignment horizontal="left" vertical="center" wrapText="1"/>
    </xf>
    <xf numFmtId="0" fontId="110" fillId="0" borderId="105" xfId="0" applyFont="1" applyBorder="1" applyAlignment="1">
      <alignment horizontal="left" vertical="center" wrapText="1"/>
    </xf>
    <xf numFmtId="0" fontId="110" fillId="0" borderId="7" xfId="0" applyFont="1" applyBorder="1" applyAlignment="1">
      <alignment horizontal="left" vertical="center" wrapText="1"/>
    </xf>
    <xf numFmtId="0" fontId="110" fillId="0" borderId="108" xfId="0" applyFont="1" applyBorder="1" applyAlignment="1">
      <alignment horizontal="left" vertical="center" wrapText="1"/>
    </xf>
    <xf numFmtId="0" fontId="110" fillId="0" borderId="106" xfId="0" applyFont="1" applyBorder="1" applyAlignment="1">
      <alignment horizontal="left" vertical="center" wrapText="1"/>
    </xf>
    <xf numFmtId="0" fontId="110" fillId="0" borderId="95" xfId="0" applyFont="1" applyBorder="1" applyAlignment="1">
      <alignment horizontal="left" vertical="center" wrapText="1"/>
    </xf>
    <xf numFmtId="0" fontId="110" fillId="0" borderId="10" xfId="0" applyFont="1" applyBorder="1" applyAlignment="1">
      <alignment horizontal="left" vertical="center" wrapText="1"/>
    </xf>
    <xf numFmtId="0" fontId="110" fillId="0" borderId="102" xfId="0" applyFont="1" applyBorder="1" applyAlignment="1">
      <alignment horizontal="left" vertical="center" wrapText="1"/>
    </xf>
    <xf numFmtId="0" fontId="110" fillId="0" borderId="109" xfId="0" applyFont="1" applyBorder="1" applyAlignment="1">
      <alignment horizontal="left" vertical="center" wrapText="1"/>
    </xf>
    <xf numFmtId="0" fontId="110" fillId="0" borderId="107" xfId="0" applyFont="1" applyBorder="1" applyAlignment="1">
      <alignment horizontal="left" vertical="center" wrapText="1"/>
    </xf>
    <xf numFmtId="0" fontId="110" fillId="0" borderId="22" xfId="0" applyFont="1" applyBorder="1" applyAlignment="1">
      <alignment horizontal="left" vertical="center" wrapText="1"/>
    </xf>
    <xf numFmtId="0" fontId="110" fillId="0" borderId="104" xfId="0" applyFont="1" applyBorder="1" applyAlignment="1">
      <alignment horizontal="left" vertical="center" wrapText="1"/>
    </xf>
    <xf numFmtId="0" fontId="110" fillId="0" borderId="21" xfId="0" applyFont="1" applyBorder="1" applyAlignment="1">
      <alignment horizontal="left" vertical="center" wrapText="1"/>
    </xf>
    <xf numFmtId="0" fontId="110" fillId="0" borderId="11" xfId="0" applyFont="1" applyBorder="1" applyAlignment="1">
      <alignment horizontal="left" vertical="center" wrapText="1"/>
    </xf>
    <xf numFmtId="0" fontId="110" fillId="0" borderId="110" xfId="0" applyFont="1" applyBorder="1" applyAlignment="1">
      <alignment horizontal="left" vertical="center" wrapText="1"/>
    </xf>
    <xf numFmtId="0" fontId="116" fillId="0" borderId="0" xfId="0" applyFont="1" applyAlignment="1">
      <alignment horizontal="center"/>
    </xf>
    <xf numFmtId="0" fontId="115" fillId="0" borderId="30" xfId="0" applyFont="1" applyBorder="1"/>
    <xf numFmtId="0" fontId="115" fillId="27" borderId="0" xfId="0" applyFont="1" applyFill="1"/>
    <xf numFmtId="0" fontId="110" fillId="0" borderId="102" xfId="0" applyFont="1" applyBorder="1" applyAlignment="1">
      <alignment vertical="center" wrapText="1"/>
    </xf>
    <xf numFmtId="0" fontId="110" fillId="10" borderId="104" xfId="0" applyFont="1" applyFill="1" applyBorder="1" applyAlignment="1">
      <alignment vertical="center" wrapText="1"/>
    </xf>
    <xf numFmtId="0" fontId="110" fillId="10" borderId="103" xfId="0" applyFont="1" applyFill="1" applyBorder="1" applyAlignment="1">
      <alignment vertical="center" wrapText="1"/>
    </xf>
    <xf numFmtId="0" fontId="77" fillId="0" borderId="24" xfId="0" applyFont="1" applyBorder="1" applyAlignment="1">
      <alignment horizontal="center" vertical="center"/>
    </xf>
    <xf numFmtId="0" fontId="77" fillId="0" borderId="29" xfId="0" applyFont="1" applyBorder="1" applyAlignment="1">
      <alignment horizontal="center" vertical="center"/>
    </xf>
    <xf numFmtId="0" fontId="77" fillId="0" borderId="11" xfId="0" applyFont="1" applyBorder="1" applyAlignment="1">
      <alignment horizontal="center" vertical="center"/>
    </xf>
    <xf numFmtId="0" fontId="77" fillId="0" borderId="7" xfId="0" applyFont="1" applyBorder="1" applyAlignment="1">
      <alignment horizontal="center" vertical="center"/>
    </xf>
    <xf numFmtId="0" fontId="86" fillId="29" borderId="95" xfId="0" applyFont="1" applyFill="1" applyBorder="1" applyAlignment="1">
      <alignment horizontal="center" vertical="center"/>
    </xf>
    <xf numFmtId="0" fontId="77" fillId="0" borderId="28" xfId="0" applyFont="1" applyBorder="1" applyAlignment="1">
      <alignment horizontal="center" vertical="center"/>
    </xf>
    <xf numFmtId="0" fontId="79" fillId="0" borderId="24" xfId="27" applyFont="1" applyBorder="1" applyAlignment="1">
      <alignment horizontal="center"/>
    </xf>
    <xf numFmtId="0" fontId="79" fillId="0" borderId="26" xfId="27" applyFont="1" applyBorder="1" applyAlignment="1">
      <alignment horizontal="center"/>
    </xf>
    <xf numFmtId="0" fontId="0" fillId="0" borderId="0" xfId="0" applyAlignment="1">
      <alignment horizontal="center" wrapText="1"/>
    </xf>
    <xf numFmtId="0" fontId="81" fillId="0" borderId="28" xfId="27" applyFont="1" applyBorder="1" applyAlignment="1">
      <alignment horizontal="center"/>
    </xf>
    <xf numFmtId="0" fontId="81" fillId="0" borderId="21" xfId="27" applyFont="1" applyBorder="1" applyAlignment="1">
      <alignment horizontal="center"/>
    </xf>
    <xf numFmtId="0" fontId="86" fillId="0" borderId="31" xfId="0" applyFont="1" applyBorder="1" applyAlignment="1">
      <alignment horizontal="center"/>
    </xf>
    <xf numFmtId="0" fontId="86" fillId="0" borderId="88" xfId="0" applyFont="1" applyBorder="1" applyAlignment="1">
      <alignment horizontal="center"/>
    </xf>
    <xf numFmtId="0" fontId="88" fillId="0" borderId="24" xfId="0" applyFont="1" applyBorder="1" applyAlignment="1">
      <alignment horizontal="center" vertical="center"/>
    </xf>
    <xf numFmtId="0" fontId="88" fillId="0" borderId="28" xfId="0" applyFont="1" applyBorder="1" applyAlignment="1">
      <alignment horizontal="center" vertical="center"/>
    </xf>
    <xf numFmtId="0" fontId="88" fillId="0" borderId="29" xfId="0" applyFont="1" applyBorder="1" applyAlignment="1">
      <alignment horizontal="center" vertical="center"/>
    </xf>
    <xf numFmtId="0" fontId="81" fillId="0" borderId="1" xfId="27" applyFont="1" applyBorder="1" applyAlignment="1">
      <alignment horizontal="center"/>
    </xf>
    <xf numFmtId="0" fontId="73" fillId="0" borderId="16" xfId="0" applyFont="1" applyBorder="1" applyAlignment="1">
      <alignment horizontal="center" vertical="center"/>
    </xf>
    <xf numFmtId="0" fontId="73" fillId="0" borderId="8" xfId="0" applyFont="1" applyBorder="1" applyAlignment="1">
      <alignment horizontal="center" vertical="center"/>
    </xf>
    <xf numFmtId="0" fontId="73" fillId="0" borderId="18" xfId="0" applyFont="1" applyBorder="1" applyAlignment="1">
      <alignment horizontal="center" vertical="center"/>
    </xf>
    <xf numFmtId="0" fontId="27" fillId="0" borderId="16" xfId="0" applyFont="1" applyBorder="1" applyAlignment="1">
      <alignment horizontal="center" vertical="center"/>
    </xf>
    <xf numFmtId="0" fontId="27" fillId="0" borderId="18" xfId="0" applyFont="1" applyBorder="1" applyAlignment="1">
      <alignment horizontal="center" vertical="center"/>
    </xf>
    <xf numFmtId="0" fontId="27" fillId="0" borderId="8" xfId="0" applyFont="1" applyBorder="1" applyAlignment="1">
      <alignment horizontal="center" vertical="center"/>
    </xf>
    <xf numFmtId="0" fontId="0" fillId="0" borderId="28" xfId="0" applyBorder="1" applyAlignment="1">
      <alignment horizontal="center"/>
    </xf>
    <xf numFmtId="0" fontId="0" fillId="0" borderId="21"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center"/>
    </xf>
    <xf numFmtId="0" fontId="0" fillId="0" borderId="31" xfId="0" applyBorder="1" applyAlignment="1">
      <alignment horizontal="center"/>
    </xf>
    <xf numFmtId="0" fontId="0" fillId="0" borderId="88" xfId="0" applyBorder="1" applyAlignment="1">
      <alignment horizontal="center"/>
    </xf>
    <xf numFmtId="0" fontId="0" fillId="0" borderId="20" xfId="0" applyBorder="1" applyAlignment="1">
      <alignment horizontal="center"/>
    </xf>
  </cellXfs>
  <cellStyles count="28167">
    <cellStyle name="20% - Accent1" xfId="40" builtinId="30" customBuiltin="1"/>
    <cellStyle name="20% - Accent1 10 2" xfId="2223" xr:uid="{3835781C-0446-4674-AD8A-40B75B716D96}"/>
    <cellStyle name="20% - Accent1 10 2 2" xfId="4412" xr:uid="{89921EF8-2EB9-4EB9-AE50-8CADEBA96ACB}"/>
    <cellStyle name="20% - Accent1 10 2 2 2" xfId="18462" xr:uid="{E9AAA528-4725-470E-AA14-F50B5F42A602}"/>
    <cellStyle name="20% - Accent1 10 2 3" xfId="16272" xr:uid="{62B69B07-4F21-4EB1-AA2B-1A00669169B4}"/>
    <cellStyle name="20% - Accent1 10 3" xfId="3316" xr:uid="{A506204B-9F8A-4379-B877-EF233D11C8C4}"/>
    <cellStyle name="20% - Accent1 10 3 2" xfId="17368" xr:uid="{B38C3FA5-7985-4E61-8569-597DD12EE225}"/>
    <cellStyle name="20% - Accent1 10 4" xfId="15174" xr:uid="{0B0DC05D-EAC1-491A-B68A-F4F2B1E1F59A}"/>
    <cellStyle name="20% - Accent1 11" xfId="1181" xr:uid="{D515BAE9-4280-4FAC-9A88-60CAD34FCC6C}"/>
    <cellStyle name="20% - Accent1 11 2" xfId="3375" xr:uid="{48C630DB-BFDD-4D2B-A9A2-6339262779AA}"/>
    <cellStyle name="20% - Accent1 11 2 2" xfId="17427" xr:uid="{78D7BBCF-C898-48B4-BAAC-AFBE41CE7AA2}"/>
    <cellStyle name="20% - Accent1 11 3" xfId="15232" xr:uid="{AA44C244-2A05-4BCB-AEC7-7F5C3131E71B}"/>
    <cellStyle name="20% - Accent1 12" xfId="2279" xr:uid="{44ADE932-10F3-4785-8519-4F69EFD8DA94}"/>
    <cellStyle name="20% - Accent1 12 2" xfId="16329" xr:uid="{03A02B4A-8470-47F2-8D89-FA4E94C2610B}"/>
    <cellStyle name="20% - Accent1 13" xfId="4470" xr:uid="{C6E1CB94-3CF6-442D-8E7E-190FF11B4CFA}"/>
    <cellStyle name="20% - Accent1 13 2" xfId="18521" xr:uid="{DD33A9FA-360E-4C6D-9514-17E2CF6CA8C5}"/>
    <cellStyle name="20% - Accent1 14 2" xfId="28162" xr:uid="{6D415D96-850A-4E23-A7B7-E79DE5EF0C97}"/>
    <cellStyle name="20% - Accent1 15" xfId="14120" xr:uid="{86C46469-BA98-43BD-BEAD-11EFE1216D3B}"/>
    <cellStyle name="20% - Accent1 2" xfId="93" xr:uid="{1C9259C6-22DC-4C6A-8F16-5584F548C1F1}"/>
    <cellStyle name="20% - Accent1 2 10" xfId="2296" xr:uid="{0D5B021A-67BE-40C5-8705-2C0CC34744C9}"/>
    <cellStyle name="20% - Accent1 2 10 2" xfId="16347" xr:uid="{E1C21A37-C9C8-4D21-9C34-1BFC7593236C}"/>
    <cellStyle name="20% - Accent1 2 11" xfId="4490" xr:uid="{2D6D5975-434D-4159-A357-7270313A3023}"/>
    <cellStyle name="20% - Accent1 2 11 2" xfId="18541" xr:uid="{D6188703-1DAA-4B8C-840B-3D27A6B3C937}"/>
    <cellStyle name="20% - Accent1 2 12" xfId="14153" xr:uid="{17693A20-B3A7-4978-B4E8-994485DB2001}"/>
    <cellStyle name="20% - Accent1 2 2" xfId="112" xr:uid="{D82EF790-EB13-4CC4-A45C-85AA59785AAA}"/>
    <cellStyle name="20% - Accent1 2 2 10" xfId="4510" xr:uid="{83B6E018-3F31-4C27-A869-28B88DCFC48E}"/>
    <cellStyle name="20% - Accent1 2 2 10 2" xfId="18561" xr:uid="{EE351A8A-2325-47A9-82FD-0AE396F1D464}"/>
    <cellStyle name="20% - Accent1 2 2 11" xfId="14172" xr:uid="{697EEEFD-DD58-421F-A59B-0B8D9C506FDC}"/>
    <cellStyle name="20% - Accent1 2 2 2" xfId="227" xr:uid="{368AD667-D9CE-4DA2-A418-4E1523FBFAD6}"/>
    <cellStyle name="20% - Accent1 2 2 2 2" xfId="404" xr:uid="{9F81CD55-65E6-42A4-94D6-CD12084487EB}"/>
    <cellStyle name="20% - Accent1 2 2 2 2 2" xfId="758" xr:uid="{ADA5B1CC-0CA7-4FAF-AA03-F54FBD23DA0B}"/>
    <cellStyle name="20% - Accent1 2 2 2 2 2 2" xfId="1859" xr:uid="{3B48AEAA-2E32-4DC8-B8AA-5335F4B6F268}"/>
    <cellStyle name="20% - Accent1 2 2 2 2 2 2 2" xfId="4048" xr:uid="{D443869B-4993-4662-BF91-1258BD70F7A0}"/>
    <cellStyle name="20% - Accent1 2 2 2 2 2 2 2 2" xfId="18100" xr:uid="{3E81C351-FF04-435C-A3B8-C49BA44DC975}"/>
    <cellStyle name="20% - Accent1 2 2 2 2 2 2 3" xfId="15908" xr:uid="{365E87A8-A0AA-4742-874B-9F985625B818}"/>
    <cellStyle name="20% - Accent1 2 2 2 2 2 3" xfId="2950" xr:uid="{F04CFEDE-36A1-4445-A369-C695B605B93A}"/>
    <cellStyle name="20% - Accent1 2 2 2 2 2 3 2" xfId="17002" xr:uid="{0BE17155-B8D7-49CC-9086-31926AE41629}"/>
    <cellStyle name="20% - Accent1 2 2 2 2 2 4" xfId="14809" xr:uid="{B6CFE52B-9AFE-4EAF-8BAD-F863CE8BB6B9}"/>
    <cellStyle name="20% - Accent1 2 2 2 2 3" xfId="1105" xr:uid="{9802D098-347D-4CDF-8CCC-6AC104F7EC4B}"/>
    <cellStyle name="20% - Accent1 2 2 2 2 3 2" xfId="2204" xr:uid="{08EB174C-57F0-45FC-9D1F-11A176DC0F80}"/>
    <cellStyle name="20% - Accent1 2 2 2 2 3 2 2" xfId="4393" xr:uid="{378B1621-2763-48ED-83CC-B3724C4CFD33}"/>
    <cellStyle name="20% - Accent1 2 2 2 2 3 2 2 2" xfId="18443" xr:uid="{98737780-F6DE-40E9-B523-88BB13C1BE94}"/>
    <cellStyle name="20% - Accent1 2 2 2 2 3 2 3" xfId="16253" xr:uid="{939A0C7F-97EC-494F-906C-BC85BA0A0435}"/>
    <cellStyle name="20% - Accent1 2 2 2 2 3 3" xfId="3297" xr:uid="{DFF608B8-7017-435C-AD3C-547EAC5C48F4}"/>
    <cellStyle name="20% - Accent1 2 2 2 2 3 3 2" xfId="17349" xr:uid="{A177255B-C71A-4F0A-B3F8-E1F95DDE4732}"/>
    <cellStyle name="20% - Accent1 2 2 2 2 3 4" xfId="15155" xr:uid="{534BE994-830F-45D1-A69C-5EEEB7BAF0CF}"/>
    <cellStyle name="20% - Accent1 2 2 2 2 4" xfId="1685" xr:uid="{36CA1994-5E7E-406D-B0E6-2E3F263859A5}"/>
    <cellStyle name="20% - Accent1 2 2 2 2 4 2" xfId="3875" xr:uid="{89EF439E-9887-4834-AB48-49AA06AC2326}"/>
    <cellStyle name="20% - Accent1 2 2 2 2 4 2 2" xfId="17928" xr:uid="{B0B95ABC-76A7-4765-B6B2-6CE700281B5E}"/>
    <cellStyle name="20% - Accent1 2 2 2 2 4 3" xfId="15734" xr:uid="{047D2CC4-F942-4185-A1BE-300EF1E9F6DC}"/>
    <cellStyle name="20% - Accent1 2 2 2 2 5" xfId="2604" xr:uid="{B753DA39-E2A0-4765-B05F-044DB0381847}"/>
    <cellStyle name="20% - Accent1 2 2 2 2 5 2" xfId="16655" xr:uid="{708744F8-5917-4718-91BB-85EE36811C48}"/>
    <cellStyle name="20% - Accent1 2 2 2 2 6" xfId="4970" xr:uid="{18F97438-E6CF-418C-B36C-1D4BF7AEFBDB}"/>
    <cellStyle name="20% - Accent1 2 2 2 2 6 2" xfId="19022" xr:uid="{1B8D20DC-53A1-4618-BB57-180F9802F4D2}"/>
    <cellStyle name="20% - Accent1 2 2 2 2 7" xfId="14461" xr:uid="{0095A2BA-6CD1-4E5B-A1B4-DA31F6F68A68}"/>
    <cellStyle name="20% - Accent1 2 2 2 3" xfId="578" xr:uid="{146EA1FD-CEBD-4C9A-9178-30AAD1F706AB}"/>
    <cellStyle name="20% - Accent1 2 2 2 3 2" xfId="1511" xr:uid="{293B3496-597E-4870-A7E2-814EA11A8005}"/>
    <cellStyle name="20% - Accent1 2 2 2 3 2 2" xfId="3701" xr:uid="{CDD483F2-5A8D-4731-A546-10BAA53ABBFF}"/>
    <cellStyle name="20% - Accent1 2 2 2 3 2 2 2" xfId="17754" xr:uid="{615AC478-6614-40E3-8D17-F2BD42B05FDF}"/>
    <cellStyle name="20% - Accent1 2 2 2 3 2 3" xfId="15560" xr:uid="{1302CA19-F44F-4474-8571-ED788434ACCD}"/>
    <cellStyle name="20% - Accent1 2 2 2 3 3" xfId="2777" xr:uid="{D570B75A-BF98-4F38-B2F9-35C0B020A337}"/>
    <cellStyle name="20% - Accent1 2 2 2 3 3 2" xfId="16828" xr:uid="{12119B43-5D53-4555-B9DB-366C69E8728F}"/>
    <cellStyle name="20% - Accent1 2 2 2 3 4" xfId="4796" xr:uid="{80268C02-46CE-4622-A059-E5A84E990DC9}"/>
    <cellStyle name="20% - Accent1 2 2 2 3 4 2" xfId="18848" xr:uid="{A3934098-B432-479E-988C-F70C209CDDB8}"/>
    <cellStyle name="20% - Accent1 2 2 2 3 5" xfId="14633" xr:uid="{93ABBCC1-5D5A-4EAA-8E3B-AA76FE124FFD}"/>
    <cellStyle name="20% - Accent1 2 2 2 4" xfId="931" xr:uid="{B96C9A80-3CB9-47BD-8440-D2A2597EAA29}"/>
    <cellStyle name="20% - Accent1 2 2 2 4 2" xfId="2030" xr:uid="{2468030D-55C5-442F-B8BA-2F29AB342F8F}"/>
    <cellStyle name="20% - Accent1 2 2 2 4 2 2" xfId="4219" xr:uid="{197E5E6B-6395-4508-9CE9-573949F91FFA}"/>
    <cellStyle name="20% - Accent1 2 2 2 4 2 2 2" xfId="18270" xr:uid="{1C56F346-9994-43C0-9401-993DB26018AE}"/>
    <cellStyle name="20% - Accent1 2 2 2 4 2 3" xfId="16079" xr:uid="{CA978DF5-5712-4738-B23D-29FA0A7C642D}"/>
    <cellStyle name="20% - Accent1 2 2 2 4 3" xfId="3123" xr:uid="{C3F85AD9-86CA-4E0C-96E5-C517F1DF4586}"/>
    <cellStyle name="20% - Accent1 2 2 2 4 3 2" xfId="17175" xr:uid="{E9728751-B9A4-4721-A512-3503883AB90D}"/>
    <cellStyle name="20% - Accent1 2 2 2 4 4" xfId="14981" xr:uid="{25634ADE-BCF5-4D9E-BDEF-E9E1E673FD51}"/>
    <cellStyle name="20% - Accent1 2 2 2 5" xfId="1338" xr:uid="{8D6581B5-9444-4B5F-B20A-4568F4605348}"/>
    <cellStyle name="20% - Accent1 2 2 2 5 2" xfId="3529" xr:uid="{D8F0BB1C-04E0-448C-8A94-4DA076918DCF}"/>
    <cellStyle name="20% - Accent1 2 2 2 5 2 2" xfId="17581" xr:uid="{5783D31A-3BC3-4167-B119-92B3EEC20752}"/>
    <cellStyle name="20% - Accent1 2 2 2 5 3" xfId="15387" xr:uid="{876559FC-AB04-4C48-A9A9-02B5DB82EE19}"/>
    <cellStyle name="20% - Accent1 2 2 2 6" xfId="2430" xr:uid="{02396BD1-82C8-4409-A5BB-BB38BB842C63}"/>
    <cellStyle name="20% - Accent1 2 2 2 6 2" xfId="16481" xr:uid="{68C83D71-B33D-4219-A045-84DF7454E8FC}"/>
    <cellStyle name="20% - Accent1 2 2 2 7" xfId="4623" xr:uid="{8FADE351-213F-40F1-AE57-B36B939D6075}"/>
    <cellStyle name="20% - Accent1 2 2 2 7 2" xfId="18675" xr:uid="{144E20A4-BB7F-4DF1-A7AF-ADB78D3F17AF}"/>
    <cellStyle name="20% - Accent1 2 2 2 8" xfId="14286" xr:uid="{33CA6A0D-1D44-45BC-B3A6-67AE3F4AF667}"/>
    <cellStyle name="20% - Accent1 2 2 3" xfId="170" xr:uid="{80A1DAB7-DF70-42EA-8FF7-095E112A84B1}"/>
    <cellStyle name="20% - Accent1 2 2 3 2" xfId="347" xr:uid="{0B37F84B-03E1-471F-A3C4-09663D80ED92}"/>
    <cellStyle name="20% - Accent1 2 2 3 2 2" xfId="701" xr:uid="{0F4E7F05-A0BF-4E6B-A81C-552BAD64C24C}"/>
    <cellStyle name="20% - Accent1 2 2 3 2 2 2" xfId="1802" xr:uid="{105CA363-63C9-4CCC-9D8A-53B80E9D1F2C}"/>
    <cellStyle name="20% - Accent1 2 2 3 2 2 2 2" xfId="3991" xr:uid="{B5D45B26-E953-4E8B-B82B-AA874B8710D1}"/>
    <cellStyle name="20% - Accent1 2 2 3 2 2 2 2 2" xfId="18043" xr:uid="{1D150E20-EA7E-41BB-9592-5164757082C1}"/>
    <cellStyle name="20% - Accent1 2 2 3 2 2 2 3" xfId="15851" xr:uid="{0485728A-3C79-4E00-9CDC-8E7923CFFE11}"/>
    <cellStyle name="20% - Accent1 2 2 3 2 2 3" xfId="2893" xr:uid="{A93C6106-9147-45D0-AC73-E594C1AB6C7F}"/>
    <cellStyle name="20% - Accent1 2 2 3 2 2 3 2" xfId="16945" xr:uid="{7AC7F6FA-3D62-4A86-BDA9-15498EBCA362}"/>
    <cellStyle name="20% - Accent1 2 2 3 2 2 4" xfId="14752" xr:uid="{1D27E086-C6F1-4193-AFE0-5CFC68928CD3}"/>
    <cellStyle name="20% - Accent1 2 2 3 2 3" xfId="1048" xr:uid="{66CFFA74-45C0-4151-9B5C-36666A5C3698}"/>
    <cellStyle name="20% - Accent1 2 2 3 2 3 2" xfId="2147" xr:uid="{5289C816-A1EA-4CA4-8EC8-72BDDF4EC822}"/>
    <cellStyle name="20% - Accent1 2 2 3 2 3 2 2" xfId="4336" xr:uid="{5B27C3C2-0064-4CEF-B511-6FA9D2F0FBC6}"/>
    <cellStyle name="20% - Accent1 2 2 3 2 3 2 2 2" xfId="18386" xr:uid="{5B50CC12-C938-4786-80EC-3A3EAFFF0229}"/>
    <cellStyle name="20% - Accent1 2 2 3 2 3 2 3" xfId="16196" xr:uid="{7D564A1F-530D-460C-839C-2979DB1F0272}"/>
    <cellStyle name="20% - Accent1 2 2 3 2 3 3" xfId="3240" xr:uid="{AF03A1A4-DE80-4830-BE35-0C6BB6B0E4AD}"/>
    <cellStyle name="20% - Accent1 2 2 3 2 3 3 2" xfId="17292" xr:uid="{77B69849-08C1-4A4C-A47F-06907718F877}"/>
    <cellStyle name="20% - Accent1 2 2 3 2 3 4" xfId="15098" xr:uid="{FB28FFEA-9EFF-4171-829C-EEDF6A814386}"/>
    <cellStyle name="20% - Accent1 2 2 3 2 4" xfId="1628" xr:uid="{D8AF6F9F-16F6-48A3-9658-3EC66455B2B3}"/>
    <cellStyle name="20% - Accent1 2 2 3 2 4 2" xfId="3818" xr:uid="{BFDCEBEA-745C-4FCD-BE96-94EA9BF46C7C}"/>
    <cellStyle name="20% - Accent1 2 2 3 2 4 2 2" xfId="17871" xr:uid="{E76BBDE9-C6E4-48D7-B70E-D742146D6EC7}"/>
    <cellStyle name="20% - Accent1 2 2 3 2 4 3" xfId="15677" xr:uid="{7BD86ADE-6B27-4EA1-BD7F-85687E4332C2}"/>
    <cellStyle name="20% - Accent1 2 2 3 2 5" xfId="2547" xr:uid="{16D0C309-4A68-4FB1-BF55-288C12A3C398}"/>
    <cellStyle name="20% - Accent1 2 2 3 2 5 2" xfId="16598" xr:uid="{FB0FE485-4BA4-4085-B66B-D6F22446F4BB}"/>
    <cellStyle name="20% - Accent1 2 2 3 2 6" xfId="4913" xr:uid="{499321BE-BC30-4CDE-B566-554599C74160}"/>
    <cellStyle name="20% - Accent1 2 2 3 2 6 2" xfId="18965" xr:uid="{8C099B89-D357-4EE9-A4A2-F2B020073E59}"/>
    <cellStyle name="20% - Accent1 2 2 3 2 7" xfId="14404" xr:uid="{A62A55D7-54A4-42C0-B8DA-DB57463C32D8}"/>
    <cellStyle name="20% - Accent1 2 2 3 3" xfId="521" xr:uid="{B36C397D-862B-4507-BCAE-40B627E48238}"/>
    <cellStyle name="20% - Accent1 2 2 3 3 2" xfId="1454" xr:uid="{A779ABBB-AF18-413F-B2C6-B831977A21D4}"/>
    <cellStyle name="20% - Accent1 2 2 3 3 2 2" xfId="3644" xr:uid="{900D8D46-71D8-4A0C-A2DE-BC35E5BBE95D}"/>
    <cellStyle name="20% - Accent1 2 2 3 3 2 2 2" xfId="17697" xr:uid="{623EEA58-B5BE-4C2D-9500-1F63663B6520}"/>
    <cellStyle name="20% - Accent1 2 2 3 3 2 3" xfId="15503" xr:uid="{AA6634E6-10F9-4F13-BFD9-7BB11795BCCA}"/>
    <cellStyle name="20% - Accent1 2 2 3 3 3" xfId="2720" xr:uid="{DD93C65C-E0C3-44F0-985B-79E74A3946C1}"/>
    <cellStyle name="20% - Accent1 2 2 3 3 3 2" xfId="16771" xr:uid="{D85DD459-9AA2-4FCB-8FDD-5E593A553356}"/>
    <cellStyle name="20% - Accent1 2 2 3 3 4" xfId="4739" xr:uid="{ED840D7B-18FE-4CB0-931B-0F741B536029}"/>
    <cellStyle name="20% - Accent1 2 2 3 3 4 2" xfId="18791" xr:uid="{7A06AECA-363E-419D-B174-0E2D8CA66705}"/>
    <cellStyle name="20% - Accent1 2 2 3 3 5" xfId="14576" xr:uid="{6F8F4DBC-770B-47E9-A738-551542951D15}"/>
    <cellStyle name="20% - Accent1 2 2 3 4" xfId="874" xr:uid="{640833E9-2E35-453B-B83B-C7215E5C178F}"/>
    <cellStyle name="20% - Accent1 2 2 3 4 2" xfId="1973" xr:uid="{634BC255-E47D-4DE1-84F0-81F1FDF13B1A}"/>
    <cellStyle name="20% - Accent1 2 2 3 4 2 2" xfId="4162" xr:uid="{A5CCFBFD-70A5-4947-A368-5B3D42FBA78A}"/>
    <cellStyle name="20% - Accent1 2 2 3 4 2 2 2" xfId="18213" xr:uid="{184E0811-78FB-4DD0-B3EC-69CE38184ACF}"/>
    <cellStyle name="20% - Accent1 2 2 3 4 2 3" xfId="16022" xr:uid="{52B07F9C-4A5B-46EB-A510-8565FAB950EE}"/>
    <cellStyle name="20% - Accent1 2 2 3 4 3" xfId="3066" xr:uid="{072A6151-D107-4042-84C2-04052792878E}"/>
    <cellStyle name="20% - Accent1 2 2 3 4 3 2" xfId="17118" xr:uid="{CCB76153-83C1-4838-99DC-5409E61B52BB}"/>
    <cellStyle name="20% - Accent1 2 2 3 4 4" xfId="14924" xr:uid="{2CD32F4F-7422-4582-8BE3-99F4E8BF1500}"/>
    <cellStyle name="20% - Accent1 2 2 3 5" xfId="1282" xr:uid="{CAE9AA20-F4D0-421C-AEA0-8303C64CB751}"/>
    <cellStyle name="20% - Accent1 2 2 3 5 2" xfId="3472" xr:uid="{4AF3C91D-4998-48AF-8E9B-03342F81930A}"/>
    <cellStyle name="20% - Accent1 2 2 3 5 2 2" xfId="17524" xr:uid="{5AFABA9E-C85D-4EA5-8CCD-3EC7FDE90A89}"/>
    <cellStyle name="20% - Accent1 2 2 3 5 3" xfId="15330" xr:uid="{8A5F02B3-999B-46CC-9A9F-45DC95C63BA9}"/>
    <cellStyle name="20% - Accent1 2 2 3 6" xfId="2373" xr:uid="{F7A1A31B-5578-422E-992B-2EDD9BE22856}"/>
    <cellStyle name="20% - Accent1 2 2 3 6 2" xfId="16424" xr:uid="{423FF577-E63A-4883-B1DB-5CC20DD810D7}"/>
    <cellStyle name="20% - Accent1 2 2 3 7" xfId="4566" xr:uid="{1750113B-3B71-464F-90C4-5285C04A4D9F}"/>
    <cellStyle name="20% - Accent1 2 2 3 7 2" xfId="18618" xr:uid="{8A83DEFB-18A7-4CC2-8A3A-AEA94DB74BF9}"/>
    <cellStyle name="20% - Accent1 2 2 3 8" xfId="14229" xr:uid="{6DFB0EB5-CE14-4E87-895C-C1CF2198D911}"/>
    <cellStyle name="20% - Accent1 2 2 4" xfId="290" xr:uid="{CB8C57C9-4FE4-4986-8CC4-76F9DB921A4F}"/>
    <cellStyle name="20% - Accent1 2 2 4 2" xfId="644" xr:uid="{9B8F2629-69B6-4418-8E7C-98CE15B4ABE1}"/>
    <cellStyle name="20% - Accent1 2 2 4 2 2" xfId="1746" xr:uid="{E73B2D1C-6F43-4774-81AD-32F42E8872C9}"/>
    <cellStyle name="20% - Accent1 2 2 4 2 2 2" xfId="3934" xr:uid="{35050ABA-A2B1-49A0-88FA-100A0246E87B}"/>
    <cellStyle name="20% - Accent1 2 2 4 2 2 2 2" xfId="17986" xr:uid="{9D3446B1-D2DB-4D0A-A89C-871D3C9B5139}"/>
    <cellStyle name="20% - Accent1 2 2 4 2 2 3" xfId="15794" xr:uid="{3204EC6E-AC37-46EC-A634-241CE32710E3}"/>
    <cellStyle name="20% - Accent1 2 2 4 2 3" xfId="2837" xr:uid="{8604BE19-4B5D-4528-A8A1-BAA3639635D2}"/>
    <cellStyle name="20% - Accent1 2 2 4 2 3 2" xfId="16888" xr:uid="{149AEA0F-70C8-49EE-8D75-D8BEC26D240F}"/>
    <cellStyle name="20% - Accent1 2 2 4 2 4" xfId="14695" xr:uid="{FECE9FA9-9BA5-4D7C-9C82-F5118933F7BC}"/>
    <cellStyle name="20% - Accent1 2 2 4 3" xfId="991" xr:uid="{5B89EF53-D501-4407-889E-A71D6BB6DBDF}"/>
    <cellStyle name="20% - Accent1 2 2 4 3 2" xfId="2090" xr:uid="{066568AF-04AE-4F08-BACD-0BD6224F8CA8}"/>
    <cellStyle name="20% - Accent1 2 2 4 3 2 2" xfId="4279" xr:uid="{A9CFB798-E203-416E-8241-E99C72F43915}"/>
    <cellStyle name="20% - Accent1 2 2 4 3 2 2 2" xfId="18330" xr:uid="{C73167EF-06B1-4D11-9EEA-78FE4597E494}"/>
    <cellStyle name="20% - Accent1 2 2 4 3 2 3" xfId="16139" xr:uid="{002FFD78-E2E3-47E3-887E-FA3B88EFFC74}"/>
    <cellStyle name="20% - Accent1 2 2 4 3 3" xfId="3183" xr:uid="{57FB1658-5607-4807-9ED4-7C1302957620}"/>
    <cellStyle name="20% - Accent1 2 2 4 3 3 2" xfId="17235" xr:uid="{FB69B3BA-5EB8-4ECD-B9E4-F489E90586D8}"/>
    <cellStyle name="20% - Accent1 2 2 4 3 4" xfId="15041" xr:uid="{965EA77B-429D-4CF0-BC70-5B44C53DA99A}"/>
    <cellStyle name="20% - Accent1 2 2 4 4" xfId="1571" xr:uid="{191FA521-B0F4-4C14-9FEE-06CA3BB42687}"/>
    <cellStyle name="20% - Accent1 2 2 4 4 2" xfId="3761" xr:uid="{7305CA64-CB7E-4472-BDB1-B8E32718074A}"/>
    <cellStyle name="20% - Accent1 2 2 4 4 2 2" xfId="17814" xr:uid="{AB412EA2-CD0D-484C-A958-8DCA0E512BC6}"/>
    <cellStyle name="20% - Accent1 2 2 4 4 3" xfId="15620" xr:uid="{F828E61F-E3E1-4D75-A7BC-14DB8A0BC722}"/>
    <cellStyle name="20% - Accent1 2 2 4 5" xfId="2490" xr:uid="{3F2275D4-BFB1-46B3-9924-487678BF0C56}"/>
    <cellStyle name="20% - Accent1 2 2 4 5 2" xfId="16541" xr:uid="{E3985CC5-1A0A-45E5-AD59-72800A2571B7}"/>
    <cellStyle name="20% - Accent1 2 2 4 6" xfId="4856" xr:uid="{219A1C98-449A-4234-B641-17AD7E6579CA}"/>
    <cellStyle name="20% - Accent1 2 2 4 6 2" xfId="18908" xr:uid="{A628446B-0F71-46FD-B92D-A521DDEB2F57}"/>
    <cellStyle name="20% - Accent1 2 2 4 7" xfId="14347" xr:uid="{B7F7E864-4F2A-4830-9ACB-8BE9237A43E2}"/>
    <cellStyle name="20% - Accent1 2 2 5" xfId="464" xr:uid="{4E81E828-4F32-4F44-BF23-A8D17F643935}"/>
    <cellStyle name="20% - Accent1 2 2 5 2" xfId="1397" xr:uid="{4B948205-0B68-499C-B244-16113ED9CF69}"/>
    <cellStyle name="20% - Accent1 2 2 5 2 2" xfId="3587" xr:uid="{F49B196A-18E7-49F4-B193-F87DC5FDCEF8}"/>
    <cellStyle name="20% - Accent1 2 2 5 2 2 2" xfId="17640" xr:uid="{F92F6732-2C4D-4016-88C8-C17C1D87C98C}"/>
    <cellStyle name="20% - Accent1 2 2 5 2 3" xfId="15446" xr:uid="{90B018E1-5022-470E-9AF1-88B1B2004C7E}"/>
    <cellStyle name="20% - Accent1 2 2 5 3" xfId="2663" xr:uid="{39EEE4AA-0FEC-425D-89EF-B7D33180FA75}"/>
    <cellStyle name="20% - Accent1 2 2 5 3 2" xfId="16714" xr:uid="{4458F205-7EED-45A7-98B4-0CFB0E29E610}"/>
    <cellStyle name="20% - Accent1 2 2 5 4" xfId="4682" xr:uid="{716DA15A-0366-4FD0-AA10-71E73DCF724F}"/>
    <cellStyle name="20% - Accent1 2 2 5 4 2" xfId="18734" xr:uid="{548674C7-9AC2-456D-B315-079F9572C7C7}"/>
    <cellStyle name="20% - Accent1 2 2 5 5" xfId="14519" xr:uid="{ECD6F8E1-8BD8-4A44-A53E-A32AAA3C1CF4}"/>
    <cellStyle name="20% - Accent1 2 2 6" xfId="817" xr:uid="{D01C37F4-87E1-46B5-A273-98020FCFEA30}"/>
    <cellStyle name="20% - Accent1 2 2 6 2" xfId="1916" xr:uid="{C71F282C-88EA-479A-AD46-3870E56DF580}"/>
    <cellStyle name="20% - Accent1 2 2 6 2 2" xfId="4105" xr:uid="{8CD31DB1-ADDF-4086-8BE2-131F14DD33D2}"/>
    <cellStyle name="20% - Accent1 2 2 6 2 2 2" xfId="18157" xr:uid="{FDEEA28D-92C9-4BBF-AF7D-344690A0EC11}"/>
    <cellStyle name="20% - Accent1 2 2 6 2 3" xfId="15965" xr:uid="{A7C6C297-70BF-4526-8D3F-2CE641A70FA5}"/>
    <cellStyle name="20% - Accent1 2 2 6 3" xfId="3009" xr:uid="{7631C50C-29E1-4AE1-B446-C45CA2ED8F83}"/>
    <cellStyle name="20% - Accent1 2 2 6 3 2" xfId="17061" xr:uid="{EAFCEFD1-6F71-4DAE-BC12-1D7175BC6A2E}"/>
    <cellStyle name="20% - Accent1 2 2 6 4" xfId="14867" xr:uid="{987DAF8A-7E64-46C1-8DE6-F48577ABB527}"/>
    <cellStyle name="20% - Accent1 2 2 7" xfId="1161" xr:uid="{1D69CDD8-512F-45B9-9C62-A5034A4DCBDA}"/>
    <cellStyle name="20% - Accent1 2 2 7 2 2 2" xfId="18500" xr:uid="{B9CA9964-42B9-4031-8065-9DBE931CFD2D}"/>
    <cellStyle name="20% - Accent1 2 2 7 2 3" xfId="16310" xr:uid="{340399C3-6537-498A-AD49-1D8BFA77C5E6}"/>
    <cellStyle name="20% - Accent1 2 2 7 3" xfId="3354" xr:uid="{CFF9770B-B561-4F70-8A44-23B31DE0F2C7}"/>
    <cellStyle name="20% - Accent1 2 2 7 3 2" xfId="17406" xr:uid="{795A2842-4F76-4507-8159-F691F4239160}"/>
    <cellStyle name="20% - Accent1 2 2 7 4" xfId="15212" xr:uid="{F6F8FEA5-1D67-42A0-AED7-D5FE77694FAA}"/>
    <cellStyle name="20% - Accent1 2 2 8" xfId="1225" xr:uid="{D483B297-81A2-4C98-A7CD-BEC3B251BA34}"/>
    <cellStyle name="20% - Accent1 2 2 8 2" xfId="3415" xr:uid="{190FC0F8-72F7-447E-A4FA-B98657CD0934}"/>
    <cellStyle name="20% - Accent1 2 2 8 2 2" xfId="17467" xr:uid="{6206151E-D91A-4A66-B998-39813CCF4627}"/>
    <cellStyle name="20% - Accent1 2 2 8 3" xfId="15273" xr:uid="{97A1A990-A8A1-45B6-BED3-F7DF321593E4}"/>
    <cellStyle name="20% - Accent1 2 2 9" xfId="2316" xr:uid="{7688FB54-6126-439F-B150-657FD65ED423}"/>
    <cellStyle name="20% - Accent1 2 2 9 2" xfId="16367" xr:uid="{2A45B6A9-DBB9-4F12-92CB-D3548EB9E8BD}"/>
    <cellStyle name="20% - Accent1 2 3" xfId="207" xr:uid="{B138CCAF-8AD1-4D83-953B-93FE67C17312}"/>
    <cellStyle name="20% - Accent1 2 3 2" xfId="384" xr:uid="{CB983C4B-1F8C-42B3-92F3-611C65780598}"/>
    <cellStyle name="20% - Accent1 2 3 2 2" xfId="738" xr:uid="{BA38F1FF-2246-4A52-85E1-B917C4770AC2}"/>
    <cellStyle name="20% - Accent1 2 3 2 2 2" xfId="1839" xr:uid="{4B985671-9B83-4F10-A7A0-C1DECBD5F5CE}"/>
    <cellStyle name="20% - Accent1 2 3 2 2 2 2" xfId="4028" xr:uid="{46BC1CF7-AA1D-4658-A0FF-00E25C8CF5A9}"/>
    <cellStyle name="20% - Accent1 2 3 2 2 2 2 2" xfId="18080" xr:uid="{5FB28DE8-A5F1-4FCB-AE83-2073B4B27CB9}"/>
    <cellStyle name="20% - Accent1 2 3 2 2 2 3" xfId="15888" xr:uid="{95A016A4-5555-4BE8-8620-7D6D7CD142D9}"/>
    <cellStyle name="20% - Accent1 2 3 2 2 3" xfId="2930" xr:uid="{80861A23-B064-452E-B92F-2FFAA0A0D56A}"/>
    <cellStyle name="20% - Accent1 2 3 2 2 3 2" xfId="16982" xr:uid="{8CC5A6E0-DEE2-4203-B07F-274C56425548}"/>
    <cellStyle name="20% - Accent1 2 3 2 2 4" xfId="14789" xr:uid="{090B1C80-55BB-4D09-8691-B585F20E7C9A}"/>
    <cellStyle name="20% - Accent1 2 3 2 3" xfId="1085" xr:uid="{80DFDE33-9E86-4427-AF0C-0A5C7297C596}"/>
    <cellStyle name="20% - Accent1 2 3 2 3 2" xfId="2184" xr:uid="{1466A932-34FA-4CF9-B930-CF86372D90B5}"/>
    <cellStyle name="20% - Accent1 2 3 2 3 2 2" xfId="4373" xr:uid="{B111AE4E-F260-44D3-A9D9-1F27CC92E091}"/>
    <cellStyle name="20% - Accent1 2 3 2 3 2 2 2" xfId="18423" xr:uid="{7FD0D7FE-943F-4467-8A8F-2095A6CA4191}"/>
    <cellStyle name="20% - Accent1 2 3 2 3 2 3" xfId="16233" xr:uid="{083C0DDD-BE97-4CFF-828B-4CF676FE25DB}"/>
    <cellStyle name="20% - Accent1 2 3 2 3 3" xfId="3277" xr:uid="{0FA8468E-01BD-4E4C-8F07-9F51502C6CB3}"/>
    <cellStyle name="20% - Accent1 2 3 2 3 3 2" xfId="17329" xr:uid="{C23CAE97-9A2B-42A6-ADB3-E24C970B0F9E}"/>
    <cellStyle name="20% - Accent1 2 3 2 3 4" xfId="15135" xr:uid="{39DCF16F-65C5-4B87-B5DE-573733C868AC}"/>
    <cellStyle name="20% - Accent1 2 3 2 4" xfId="1665" xr:uid="{5ABE6889-C845-4E9B-B482-EBA70BA56912}"/>
    <cellStyle name="20% - Accent1 2 3 2 4 2" xfId="3855" xr:uid="{D3324F78-3A87-42D7-A443-1740D05F58D9}"/>
    <cellStyle name="20% - Accent1 2 3 2 4 2 2" xfId="17908" xr:uid="{B2116CCD-F331-4374-A693-814C2501C895}"/>
    <cellStyle name="20% - Accent1 2 3 2 4 3" xfId="15714" xr:uid="{C196AA6B-3F98-4C6A-B442-A1EE4B9125FB}"/>
    <cellStyle name="20% - Accent1 2 3 2 5" xfId="2584" xr:uid="{3334F856-71CD-4E4D-A30C-07DBAB53B1EA}"/>
    <cellStyle name="20% - Accent1 2 3 2 5 2" xfId="16635" xr:uid="{679D8615-5251-4A48-9930-C09EAE7B68AA}"/>
    <cellStyle name="20% - Accent1 2 3 2 6" xfId="4950" xr:uid="{DA015197-0D16-4B83-9B1D-CA100F691E82}"/>
    <cellStyle name="20% - Accent1 2 3 2 6 2" xfId="19002" xr:uid="{AA690654-1F24-4ED2-95A6-5A138EDAC96E}"/>
    <cellStyle name="20% - Accent1 2 3 2 7" xfId="14441" xr:uid="{58CF1552-C202-4C90-8C79-9926101B6655}"/>
    <cellStyle name="20% - Accent1 2 3 3" xfId="558" xr:uid="{0412F7C1-D388-4524-95A3-F4AA77E434E8}"/>
    <cellStyle name="20% - Accent1 2 3 3 2" xfId="1491" xr:uid="{B6C8B548-55E8-4D7B-B36E-0E16AE756238}"/>
    <cellStyle name="20% - Accent1 2 3 3 2 2" xfId="3681" xr:uid="{AC07C060-5887-4B50-9D5D-F6B510BB0B1D}"/>
    <cellStyle name="20% - Accent1 2 3 3 2 2 2" xfId="17734" xr:uid="{1EDCD922-B034-4A0A-B50E-E7CDFC0CEF2B}"/>
    <cellStyle name="20% - Accent1 2 3 3 2 3" xfId="15540" xr:uid="{692C0BFE-E0B6-4568-AC89-9F4F575647EA}"/>
    <cellStyle name="20% - Accent1 2 3 3 3" xfId="2757" xr:uid="{7D007A56-F454-4092-9112-8FE5CA1BCAA0}"/>
    <cellStyle name="20% - Accent1 2 3 3 3 2" xfId="16808" xr:uid="{5A23EA7C-C77A-4AD8-9E1C-21BBC8D6DB39}"/>
    <cellStyle name="20% - Accent1 2 3 3 4" xfId="4776" xr:uid="{5AB37F4C-4CF8-47D8-929A-317717184706}"/>
    <cellStyle name="20% - Accent1 2 3 3 4 2" xfId="18828" xr:uid="{B928B95F-2C5E-4460-810B-403E9A890DBB}"/>
    <cellStyle name="20% - Accent1 2 3 3 5" xfId="14613" xr:uid="{1957F32E-C036-4C9D-9E02-85DEF3C3BBE1}"/>
    <cellStyle name="20% - Accent1 2 3 4" xfId="911" xr:uid="{AAEA27D2-47F3-4F9B-B2FC-0164D5797539}"/>
    <cellStyle name="20% - Accent1 2 3 4 2" xfId="2010" xr:uid="{F8EF048E-72A7-4DAD-9D41-EC04693BD929}"/>
    <cellStyle name="20% - Accent1 2 3 4 2 2" xfId="4199" xr:uid="{5A2F1700-8BF5-409A-B8BE-9AD0DDBF4B2E}"/>
    <cellStyle name="20% - Accent1 2 3 4 2 2 2" xfId="18250" xr:uid="{FBFAC05E-50CD-4901-9F44-A6E373963A65}"/>
    <cellStyle name="20% - Accent1 2 3 4 2 3" xfId="16059" xr:uid="{73DE404A-8B4E-4FC8-916E-82C605E1C189}"/>
    <cellStyle name="20% - Accent1 2 3 4 3" xfId="3103" xr:uid="{E8EB90DF-0F5F-4CBE-A56B-6C4E547F89A9}"/>
    <cellStyle name="20% - Accent1 2 3 4 3 2" xfId="17155" xr:uid="{871845F9-459B-4522-91A6-5A32915A97E4}"/>
    <cellStyle name="20% - Accent1 2 3 4 4" xfId="14961" xr:uid="{71A4A717-E13F-494C-93B8-E31B2F40966D}"/>
    <cellStyle name="20% - Accent1 2 3 5" xfId="1318" xr:uid="{F18A1319-5243-486D-8143-6FAC0F2C6E0C}"/>
    <cellStyle name="20% - Accent1 2 3 5 2" xfId="3509" xr:uid="{23D35ADC-BD94-4A0C-A269-B545705DD52F}"/>
    <cellStyle name="20% - Accent1 2 3 5 2 2" xfId="17561" xr:uid="{632C321D-7D00-496B-9D22-1F293CACEF54}"/>
    <cellStyle name="20% - Accent1 2 3 5 3" xfId="15367" xr:uid="{4F34E430-6A52-4560-B97C-BC6A5BFF454C}"/>
    <cellStyle name="20% - Accent1 2 3 6" xfId="2410" xr:uid="{35369163-8246-469E-86A0-9FE04504AFA5}"/>
    <cellStyle name="20% - Accent1 2 3 6 2" xfId="16461" xr:uid="{97C223F0-A31C-4C19-AE63-4FDD505C0AE5}"/>
    <cellStyle name="20% - Accent1 2 3 7" xfId="4603" xr:uid="{51758875-FCFC-44FA-81A3-4F4F57AEB1F0}"/>
    <cellStyle name="20% - Accent1 2 3 7 2" xfId="18655" xr:uid="{C4427738-91C2-492A-904B-34D4F29C32C0}"/>
    <cellStyle name="20% - Accent1 2 3 8" xfId="14266" xr:uid="{15C991D2-93C1-45E0-8F26-6875D0A67061}"/>
    <cellStyle name="20% - Accent1 2 4" xfId="150" xr:uid="{FD07B054-DA91-465F-ACFE-695BEEB88DA3}"/>
    <cellStyle name="20% - Accent1 2 4 2" xfId="327" xr:uid="{75664F41-1462-46E0-B13D-EADE678A7525}"/>
    <cellStyle name="20% - Accent1 2 4 2 2" xfId="681" xr:uid="{1FA2564C-35AA-4FB4-A540-F7508940691B}"/>
    <cellStyle name="20% - Accent1 2 4 2 2 2" xfId="1782" xr:uid="{3F0BBBA7-0121-44BA-948F-E98F4B55A255}"/>
    <cellStyle name="20% - Accent1 2 4 2 2 2 2" xfId="3971" xr:uid="{DA244C16-4C4A-468A-BA4C-3820B4801313}"/>
    <cellStyle name="20% - Accent1 2 4 2 2 2 2 2" xfId="18023" xr:uid="{91CF9056-695D-4A40-8098-344584D1A030}"/>
    <cellStyle name="20% - Accent1 2 4 2 2 2 3" xfId="15831" xr:uid="{AA2EE592-9A90-48FE-9E5A-25DB72AA1589}"/>
    <cellStyle name="20% - Accent1 2 4 2 2 3" xfId="2873" xr:uid="{980DA9A1-D672-4456-8369-5ED31C3BD4B3}"/>
    <cellStyle name="20% - Accent1 2 4 2 2 3 2" xfId="16925" xr:uid="{2F19A1BD-FF19-487F-9EE2-B83A874611A5}"/>
    <cellStyle name="20% - Accent1 2 4 2 2 4" xfId="14732" xr:uid="{66421BBD-E6AD-4644-83DF-E59DCAC63F74}"/>
    <cellStyle name="20% - Accent1 2 4 2 3" xfId="1028" xr:uid="{D29CE104-21D5-4BCB-BF6B-A4B2590B62D3}"/>
    <cellStyle name="20% - Accent1 2 4 2 3 2" xfId="2127" xr:uid="{449B0FB8-7926-4B59-996D-9F2550E2D50D}"/>
    <cellStyle name="20% - Accent1 2 4 2 3 2 2" xfId="4316" xr:uid="{DF63CB47-F321-420A-B45F-090C143F1F30}"/>
    <cellStyle name="20% - Accent1 2 4 2 3 2 2 2" xfId="18366" xr:uid="{733E6B62-E2AE-4B92-9BDB-E23FEA0C341B}"/>
    <cellStyle name="20% - Accent1 2 4 2 3 2 3" xfId="16176" xr:uid="{13D56921-E44A-49C0-80DB-5CD08DC12005}"/>
    <cellStyle name="20% - Accent1 2 4 2 3 3" xfId="3220" xr:uid="{9E07ADF9-1F62-4AFB-BD48-461245F72E06}"/>
    <cellStyle name="20% - Accent1 2 4 2 3 3 2" xfId="17272" xr:uid="{1AB44186-4AD1-4E2C-AB1B-33B7B1C50FF2}"/>
    <cellStyle name="20% - Accent1 2 4 2 3 4" xfId="15078" xr:uid="{468B1B78-C709-48ED-9931-2F028A74A4DC}"/>
    <cellStyle name="20% - Accent1 2 4 2 4" xfId="1608" xr:uid="{B07EBB5A-7919-420C-95F7-4832071796DF}"/>
    <cellStyle name="20% - Accent1 2 4 2 4 2" xfId="3798" xr:uid="{B2A1FADE-44DE-4C19-9121-B2A85B0D1CA4}"/>
    <cellStyle name="20% - Accent1 2 4 2 4 2 2" xfId="17851" xr:uid="{8DBD9230-E43F-4831-8AE0-989FB3B73405}"/>
    <cellStyle name="20% - Accent1 2 4 2 4 3" xfId="15657" xr:uid="{C34699F7-0859-4659-83FE-4A1C43811C89}"/>
    <cellStyle name="20% - Accent1 2 4 2 5" xfId="2527" xr:uid="{0502FA6C-00FD-465C-ABF9-4273070443D4}"/>
    <cellStyle name="20% - Accent1 2 4 2 5 2" xfId="16578" xr:uid="{BC32C2C0-181D-49F4-A11E-CC53DAE39683}"/>
    <cellStyle name="20% - Accent1 2 4 2 6" xfId="4893" xr:uid="{A07FC9CA-A832-4A05-A77C-059A8E7B863A}"/>
    <cellStyle name="20% - Accent1 2 4 2 6 2" xfId="18945" xr:uid="{43DFAD02-2A63-427C-8EC6-FC4BF3AB7295}"/>
    <cellStyle name="20% - Accent1 2 4 2 7" xfId="14384" xr:uid="{6186A4AA-9009-4AD1-BB0C-B0DF60749D53}"/>
    <cellStyle name="20% - Accent1 2 4 3" xfId="501" xr:uid="{5BD76C93-CA2B-4DE3-A727-7C54586B15CE}"/>
    <cellStyle name="20% - Accent1 2 4 3 2" xfId="1434" xr:uid="{5A28C27B-2B76-4FD3-8917-2A350978A6C4}"/>
    <cellStyle name="20% - Accent1 2 4 3 2 2" xfId="3624" xr:uid="{9B4C5507-AD3E-4230-A939-16A6C51ABC66}"/>
    <cellStyle name="20% - Accent1 2 4 3 2 2 2" xfId="17677" xr:uid="{455465EB-D69E-4E78-9ECC-B2347719D785}"/>
    <cellStyle name="20% - Accent1 2 4 3 2 3" xfId="15483" xr:uid="{CDFE0324-707E-438A-B3CD-073AF346D942}"/>
    <cellStyle name="20% - Accent1 2 4 3 3" xfId="2700" xr:uid="{F89FE526-8EDE-4847-B0F7-E528446B1386}"/>
    <cellStyle name="20% - Accent1 2 4 3 3 2" xfId="16751" xr:uid="{5E08941B-5F63-49A7-AF5D-A2EFBC7CA174}"/>
    <cellStyle name="20% - Accent1 2 4 3 4" xfId="4719" xr:uid="{5184CE9A-7FFE-4C3E-A87C-7F6FAB385442}"/>
    <cellStyle name="20% - Accent1 2 4 3 4 2" xfId="18771" xr:uid="{559340C5-31AC-4E89-8060-D6638072327F}"/>
    <cellStyle name="20% - Accent1 2 4 3 5" xfId="14556" xr:uid="{D36A6BC0-BD64-4033-BEF9-5C90ADD72531}"/>
    <cellStyle name="20% - Accent1 2 4 4" xfId="854" xr:uid="{33FAA3CE-3052-4B26-A74C-E0D010D1BC01}"/>
    <cellStyle name="20% - Accent1 2 4 4 2" xfId="1953" xr:uid="{4C8ED2EF-5810-4914-929F-297004F6E3D8}"/>
    <cellStyle name="20% - Accent1 2 4 4 2 2" xfId="4142" xr:uid="{8980248A-1B01-48A0-9012-C3EFD1337CAA}"/>
    <cellStyle name="20% - Accent1 2 4 4 2 3" xfId="16002" xr:uid="{44F986CF-B4E8-4ACB-9FB7-3FFD3301D1AE}"/>
    <cellStyle name="20% - Accent1 2 4 4 3" xfId="3046" xr:uid="{34595445-486C-483E-8B08-492AA6280492}"/>
    <cellStyle name="20% - Accent1 2 4 4 3 2" xfId="17098" xr:uid="{A2B438E8-A01F-4E84-9504-8992534CA8FD}"/>
    <cellStyle name="20% - Accent1 2 4 4 4" xfId="14904" xr:uid="{A5C1154B-0ABA-4DD4-B6CD-ED350B2ADD76}"/>
    <cellStyle name="20% - Accent1 2 4 5" xfId="1262" xr:uid="{D6160B0D-A61D-4794-BC6B-AAB40BE7CA6D}"/>
    <cellStyle name="20% - Accent1 2 4 5 2" xfId="3452" xr:uid="{CAF861CE-9D84-438E-BE16-2ADFE5AAF998}"/>
    <cellStyle name="20% - Accent1 2 4 5 2 2" xfId="17504" xr:uid="{9C49EFDB-6704-4065-A5B0-02B1FFC9509B}"/>
    <cellStyle name="20% - Accent1 2 4 5 3" xfId="15310" xr:uid="{2F608C06-AEFF-40D1-ACCB-583B83E0A2E7}"/>
    <cellStyle name="20% - Accent1 2 4 6" xfId="2353" xr:uid="{19D5BA60-1C6E-4C6D-9D87-95284B11BC6B}"/>
    <cellStyle name="20% - Accent1 2 4 6 2" xfId="16404" xr:uid="{3F94DD6C-CCA6-4234-BE20-99160269C449}"/>
    <cellStyle name="20% - Accent1 2 4 7" xfId="4546" xr:uid="{6C65CA78-D7C0-435C-A62D-8D99A0088A1F}"/>
    <cellStyle name="20% - Accent1 2 4 7 2" xfId="18598" xr:uid="{DE1F9271-ABD9-4662-AC3E-FF64861922CA}"/>
    <cellStyle name="20% - Accent1 2 4 8" xfId="14209" xr:uid="{DA8F68E1-112B-4215-9765-717BB2CCAFEC}"/>
    <cellStyle name="20% - Accent1 2 5" xfId="270" xr:uid="{33746A32-FCF5-4AD6-8CCA-7AD87A1A6B0B}"/>
    <cellStyle name="20% - Accent1 2 5 2" xfId="624" xr:uid="{FD45975C-B4FF-40DB-B300-0C1A8D95C7A5}"/>
    <cellStyle name="20% - Accent1 2 5 2 2" xfId="1726" xr:uid="{DF6D83C0-4D65-49C1-864F-42D940D8CBF0}"/>
    <cellStyle name="20% - Accent1 2 5 2 2 2" xfId="3914" xr:uid="{684860F5-5A42-45FD-A3E1-CAD40EE72F8F}"/>
    <cellStyle name="20% - Accent1 2 5 2 2 2 2" xfId="17966" xr:uid="{C3700EDE-51A8-4F7B-B39E-FD580D83DA26}"/>
    <cellStyle name="20% - Accent1 2 5 2 2 3" xfId="15774" xr:uid="{18428A9E-DD44-41AE-83EC-6638EF51510C}"/>
    <cellStyle name="20% - Accent1 2 5 2 3" xfId="2817" xr:uid="{3566662D-95F5-487E-BF82-4C3978C7B408}"/>
    <cellStyle name="20% - Accent1 2 5 2 3 2" xfId="16868" xr:uid="{BC025530-604F-45D0-9EC3-6DA2A22D718F}"/>
    <cellStyle name="20% - Accent1 2 5 2 4" xfId="14675" xr:uid="{24B7479D-12B8-4654-A1C8-795E8E0495CE}"/>
    <cellStyle name="20% - Accent1 2 5 3" xfId="971" xr:uid="{0A1E4CAE-0A4E-4096-9356-B9299B5BD6C5}"/>
    <cellStyle name="20% - Accent1 2 5 3 2" xfId="2070" xr:uid="{D647538B-AE93-43AE-819E-007E6271E733}"/>
    <cellStyle name="20% - Accent1 2 5 3 2 2" xfId="4259" xr:uid="{BD93BCCF-7A5A-48FE-B043-77B96BD89154}"/>
    <cellStyle name="20% - Accent1 2 5 3 2 2 2" xfId="18310" xr:uid="{81A3392B-32FD-4EA3-B59D-4165AE2C08E5}"/>
    <cellStyle name="20% - Accent1 2 5 3 2 3" xfId="16119" xr:uid="{85987F67-CA79-4D6C-A2A1-CF6A8818680F}"/>
    <cellStyle name="20% - Accent1 2 5 3 3" xfId="3163" xr:uid="{4EF73C64-15AA-4A83-A895-1AEC71626282}"/>
    <cellStyle name="20% - Accent1 2 5 3 3 2" xfId="17215" xr:uid="{3CBD32C3-33D5-4DFC-831E-053B7B8EB565}"/>
    <cellStyle name="20% - Accent1 2 5 3 4" xfId="15021" xr:uid="{F51447C6-F61D-4CDB-A97B-234BCEBD7BA6}"/>
    <cellStyle name="20% - Accent1 2 5 4" xfId="1551" xr:uid="{81EE1B04-67F9-460A-B013-669E3F4E4A7F}"/>
    <cellStyle name="20% - Accent1 2 5 4 2" xfId="3741" xr:uid="{C26449EA-BE0D-41BB-8FBD-B1ECA29ED8B4}"/>
    <cellStyle name="20% - Accent1 2 5 4 2 2" xfId="17794" xr:uid="{F5AA840B-1F8F-4812-A182-E6598182DDAF}"/>
    <cellStyle name="20% - Accent1 2 5 4 3" xfId="15600" xr:uid="{E482CD79-5D88-4103-8559-C5E8555D452B}"/>
    <cellStyle name="20% - Accent1 2 5 5" xfId="2470" xr:uid="{987DBA95-2B17-42C8-B11C-4A7504A69169}"/>
    <cellStyle name="20% - Accent1 2 5 5 2" xfId="16521" xr:uid="{4A2EDC36-1C95-4689-B8F9-E398FACA314F}"/>
    <cellStyle name="20% - Accent1 2 5 6" xfId="4836" xr:uid="{71E8C571-6635-4C6D-8601-09FAEF5CF223}"/>
    <cellStyle name="20% - Accent1 2 5 6 2" xfId="18888" xr:uid="{57F28677-6C80-4A9E-8DE7-ED2BB8BA8657}"/>
    <cellStyle name="20% - Accent1 2 5 7" xfId="14327" xr:uid="{59E3841B-B3E6-4B6A-B56B-C5E8E095C429}"/>
    <cellStyle name="20% - Accent1 2 6" xfId="444" xr:uid="{735E5D5E-E353-4B2D-AD68-2512449C94C7}"/>
    <cellStyle name="20% - Accent1 2 6 2" xfId="1377" xr:uid="{4D7D2C5A-D87E-44B8-905F-7A2B620F45DB}"/>
    <cellStyle name="20% - Accent1 2 6 2 2" xfId="3567" xr:uid="{E9D5840F-12FB-477E-B53E-C9B13ABA8E79}"/>
    <cellStyle name="20% - Accent1 2 6 2 2 2" xfId="17620" xr:uid="{0299E59C-5703-436A-A884-2DE3A76690FC}"/>
    <cellStyle name="20% - Accent1 2 6 2 3" xfId="15426" xr:uid="{82DD0CEC-2B7D-4121-96BA-F9E1A8469999}"/>
    <cellStyle name="20% - Accent1 2 6 3" xfId="2643" xr:uid="{0BF5AEF2-D5B7-43EE-872F-590C0001F135}"/>
    <cellStyle name="20% - Accent1 2 6 3 2" xfId="16694" xr:uid="{EDADCBE8-0794-4F33-AB38-39BCC8478459}"/>
    <cellStyle name="20% - Accent1 2 6 4" xfId="4662" xr:uid="{17F4BD29-EA7A-41DC-9CAB-11A39FA5273A}"/>
    <cellStyle name="20% - Accent1 2 6 4 2" xfId="18714" xr:uid="{3D72E514-7716-48A6-8A7F-E493873EE8F1}"/>
    <cellStyle name="20% - Accent1 2 6 5" xfId="14499" xr:uid="{F6F6D88A-6964-4842-91C8-33CB4684CAFA}"/>
    <cellStyle name="20% - Accent1 2 7" xfId="797" xr:uid="{7C8CD149-1806-472A-A63C-9C0D07F6C36B}"/>
    <cellStyle name="20% - Accent1 2 7 2" xfId="1896" xr:uid="{7D6197C0-1E77-4118-B5A2-BC0748F3FDBB}"/>
    <cellStyle name="20% - Accent1 2 7 2 2" xfId="4085" xr:uid="{3BCAF459-8429-4505-BFB3-B142D812DBB6}"/>
    <cellStyle name="20% - Accent1 2 7 2 2 2" xfId="18137" xr:uid="{DC4ECD48-F82A-4F59-9D7A-2A462E6B4CFE}"/>
    <cellStyle name="20% - Accent1 2 7 2 3" xfId="15945" xr:uid="{76485F1B-E820-4623-82C0-17A3E35AA61A}"/>
    <cellStyle name="20% - Accent1 2 7 3" xfId="2989" xr:uid="{FF1EE7EB-883D-44DE-AB21-17D2D6AF09F3}"/>
    <cellStyle name="20% - Accent1 2 7 3 2" xfId="17041" xr:uid="{2CC0CF83-A5D5-467A-847C-95C0D49E496E}"/>
    <cellStyle name="20% - Accent1 2 7 4" xfId="14847" xr:uid="{AC96398C-22D8-4BB4-8E1A-923AF19C9430}"/>
    <cellStyle name="20% - Accent1 2 8" xfId="1141" xr:uid="{2925FF19-2B63-4D77-AC38-7C32D7406248}"/>
    <cellStyle name="20% - Accent1 2 8 2" xfId="2241" xr:uid="{51EBE8CD-9180-4EE4-8379-6461442850FF}"/>
    <cellStyle name="20% - Accent1 2 8 2 2" xfId="4430" xr:uid="{6C844F7A-84B5-4727-9F15-FF84EBACD034}"/>
    <cellStyle name="20% - Accent1 2 8 2 2 2" xfId="18480" xr:uid="{E5F8D243-2359-49BF-8E70-CB1945EC9CF3}"/>
    <cellStyle name="20% - Accent1 2 8 2 3" xfId="16290" xr:uid="{F57B4A08-9569-4DAD-A1FC-7D283071EEA0}"/>
    <cellStyle name="20% - Accent1 2 8 3" xfId="3334" xr:uid="{E013AEBD-7EFE-42D8-B79C-A4ADD8D08633}"/>
    <cellStyle name="20% - Accent1 2 8 3 2" xfId="17386" xr:uid="{28AFD220-1C8A-4AC3-A2F3-04BCFB6EF871}"/>
    <cellStyle name="20% - Accent1 2 8 4" xfId="15192" xr:uid="{187AFD74-B8F7-4C76-9CD1-7B96AA62E76B}"/>
    <cellStyle name="20% - Accent1 2 9" xfId="1205" xr:uid="{4BCC64EE-CBE4-47C6-B439-2B0C6BB5C957}"/>
    <cellStyle name="20% - Accent1 2 9 2" xfId="3395" xr:uid="{031A51D9-8336-4F61-8E8E-0072B09DC108}"/>
    <cellStyle name="20% - Accent1 2 9 2 2" xfId="17447" xr:uid="{B31C8EE9-E9F0-46BC-ACA6-EF33F742F7D2}"/>
    <cellStyle name="20% - Accent1 2 9 3" xfId="15253" xr:uid="{087A37D9-984D-4D06-90B5-DFBBA6739E4E}"/>
    <cellStyle name="20% - Accent1 3" xfId="118" xr:uid="{EA2F3349-E321-4F55-BDB9-A793F4CF9FAD}"/>
    <cellStyle name="20% - Accent1 3 10" xfId="4516" xr:uid="{DB5451C3-17CF-4D9D-B7B7-3CDEB71D147D}"/>
    <cellStyle name="20% - Accent1 3 10 2" xfId="18567" xr:uid="{A88B71BA-E139-4A58-BF39-38952EF428F2}"/>
    <cellStyle name="20% - Accent1 3 11" xfId="14178" xr:uid="{E5C96EA9-BE98-402C-A162-A9DC1A6A6F49}"/>
    <cellStyle name="20% - Accent1 3 2" xfId="233" xr:uid="{80743252-092C-495F-A6BB-0E01C4E47663}"/>
    <cellStyle name="20% - Accent1 3 2 2" xfId="410" xr:uid="{FCEBB56C-216F-4E20-9641-54712CB03764}"/>
    <cellStyle name="20% - Accent1 3 2 2 2" xfId="764" xr:uid="{B7221689-024F-4092-8873-7DA028557E8D}"/>
    <cellStyle name="20% - Accent1 3 2 2 2 2" xfId="1865" xr:uid="{434D5F9D-A06E-4764-BCF5-8E445F0F52A1}"/>
    <cellStyle name="20% - Accent1 3 2 2 2 2 2" xfId="4054" xr:uid="{428B13B6-B7BD-4F62-8551-15822C350A51}"/>
    <cellStyle name="20% - Accent1 3 2 2 2 2 2 2" xfId="18106" xr:uid="{26F44F86-CC9E-4C08-815A-B1DFDEF6C2B8}"/>
    <cellStyle name="20% - Accent1 3 2 2 2 2 3" xfId="15914" xr:uid="{F11594B6-0B8F-4A8D-8793-9228E6F22D91}"/>
    <cellStyle name="20% - Accent1 3 2 2 2 3" xfId="2956" xr:uid="{400A2D99-9D37-44FD-8D19-606DC2268273}"/>
    <cellStyle name="20% - Accent1 3 2 2 2 3 2" xfId="17008" xr:uid="{B4140694-07CE-40A9-95FC-51052ACC6976}"/>
    <cellStyle name="20% - Accent1 3 2 2 2 4" xfId="14815" xr:uid="{6EED897B-8C19-4D92-9C9D-F175DE48CB9A}"/>
    <cellStyle name="20% - Accent1 3 2 2 3" xfId="1111" xr:uid="{7BBA8E65-2C62-43BA-A199-EB19A643786D}"/>
    <cellStyle name="20% - Accent1 3 2 2 3 2" xfId="2210" xr:uid="{309E8CBA-2890-45C7-8814-679310FAA04E}"/>
    <cellStyle name="20% - Accent1 3 2 2 3 2 2" xfId="4399" xr:uid="{AE9B02C0-E2A3-4746-98B6-84D170A0456F}"/>
    <cellStyle name="20% - Accent1 3 2 2 3 2 2 2" xfId="18449" xr:uid="{D0AC8EA0-1F81-4B54-BC16-2C0595089606}"/>
    <cellStyle name="20% - Accent1 3 2 2 3 2 3" xfId="16259" xr:uid="{AF48285F-ACA8-40C3-ADB0-0EF4B4EE5048}"/>
    <cellStyle name="20% - Accent1 3 2 2 3 3" xfId="3303" xr:uid="{A4A1ADAA-9630-48A8-95D7-AC7BC1E4C039}"/>
    <cellStyle name="20% - Accent1 3 2 2 3 3 2" xfId="17355" xr:uid="{EB02B2B1-7265-4D3E-83CB-194AE37A740A}"/>
    <cellStyle name="20% - Accent1 3 2 2 3 4" xfId="15161" xr:uid="{2BAC44FA-E633-4A0D-84A8-BBB3BA0CFD7E}"/>
    <cellStyle name="20% - Accent1 3 2 2 4" xfId="1691" xr:uid="{BE6C4228-57B8-4445-AA51-FE8AD9F1E522}"/>
    <cellStyle name="20% - Accent1 3 2 2 4 2" xfId="3881" xr:uid="{5A71C6E2-82B8-47ED-B232-09846F0A8AFD}"/>
    <cellStyle name="20% - Accent1 3 2 2 4 2 2" xfId="17934" xr:uid="{ADBE233D-451D-4E25-B122-DD6A38774950}"/>
    <cellStyle name="20% - Accent1 3 2 2 4 3" xfId="15740" xr:uid="{03D1E4F2-0BAC-4E42-AF70-8414AA47ECBA}"/>
    <cellStyle name="20% - Accent1 3 2 2 5" xfId="2610" xr:uid="{C47F0C34-FA01-4D71-AC49-72F9D8968C22}"/>
    <cellStyle name="20% - Accent1 3 2 2 5 2" xfId="16661" xr:uid="{FDCB912A-92DA-4BFF-800C-37253947711F}"/>
    <cellStyle name="20% - Accent1 3 2 2 6" xfId="4976" xr:uid="{AC6F980F-0108-4E64-845A-3590BE710989}"/>
    <cellStyle name="20% - Accent1 3 2 2 6 2" xfId="19028" xr:uid="{C1A683CB-2552-4EEC-9587-B3C6946CEF65}"/>
    <cellStyle name="20% - Accent1 3 2 2 7" xfId="14467" xr:uid="{BB519772-AF0D-4DAA-9A35-C6F2B52692C5}"/>
    <cellStyle name="20% - Accent1 3 2 3" xfId="584" xr:uid="{4516E354-6CEC-4286-A75F-4D0161199C60}"/>
    <cellStyle name="20% - Accent1 3 2 3 2" xfId="1517" xr:uid="{F37DFF6B-706A-4ADD-B1DE-2EAC732D18AC}"/>
    <cellStyle name="20% - Accent1 3 2 3 2 2" xfId="3707" xr:uid="{020C56F4-1CB1-4C2D-B076-D4B9951F7A32}"/>
    <cellStyle name="20% - Accent1 3 2 3 2 2 2" xfId="17760" xr:uid="{12EFC5EF-8E32-47C4-B569-C326B2EB1571}"/>
    <cellStyle name="20% - Accent1 3 2 3 2 3" xfId="15566" xr:uid="{50175F8B-FDB1-4185-A699-E2B9CC9A9E40}"/>
    <cellStyle name="20% - Accent1 3 2 3 3" xfId="2783" xr:uid="{64931328-A2C6-4832-9B93-8E6519B923A5}"/>
    <cellStyle name="20% - Accent1 3 2 3 3 2" xfId="16834" xr:uid="{F79A4EF3-2BC0-4BAE-BA62-885B89586609}"/>
    <cellStyle name="20% - Accent1 3 2 3 4" xfId="4802" xr:uid="{8CEC08CD-B4FE-4347-BB35-E7A4A2C983FA}"/>
    <cellStyle name="20% - Accent1 3 2 3 4 2" xfId="18854" xr:uid="{0046A7AA-3710-429E-9004-13214CC67597}"/>
    <cellStyle name="20% - Accent1 3 2 3 5" xfId="14639" xr:uid="{26298249-AD92-4F58-842B-31783DA8E356}"/>
    <cellStyle name="20% - Accent1 3 2 4" xfId="937" xr:uid="{994A1E2D-F339-4BAA-8006-BF223A2A205A}"/>
    <cellStyle name="20% - Accent1 3 2 4 2" xfId="2036" xr:uid="{DC4401B0-0EB5-4E8F-ACF4-D8E4371994FD}"/>
    <cellStyle name="20% - Accent1 3 2 4 2 2" xfId="4225" xr:uid="{2C354F18-5EE9-4B75-A098-DE2C32C6A5DD}"/>
    <cellStyle name="20% - Accent1 3 2 4 2 2 2" xfId="18276" xr:uid="{C7FE9B7C-664A-4F3D-979E-6CA23E254784}"/>
    <cellStyle name="20% - Accent1 3 2 4 2 3" xfId="16085" xr:uid="{3900806C-F460-4A6C-8B9B-4E555AE2B134}"/>
    <cellStyle name="20% - Accent1 3 2 4 3" xfId="3129" xr:uid="{690E1B64-FE9B-4BEA-89B9-0BDDC31D787F}"/>
    <cellStyle name="20% - Accent1 3 2 4 3 2" xfId="17181" xr:uid="{FBAD4B5D-3455-4E58-9552-836726F13BA0}"/>
    <cellStyle name="20% - Accent1 3 2 4 4" xfId="14987" xr:uid="{14B22037-FA4A-44CC-AA5D-6C921A8EE125}"/>
    <cellStyle name="20% - Accent1 3 2 5" xfId="1344" xr:uid="{D1EF1E89-FFED-4349-9C55-F0D0ECBA520C}"/>
    <cellStyle name="20% - Accent1 3 2 5 2" xfId="3535" xr:uid="{6FF86C0B-D788-4D7B-AFBE-F06F9F1A3BFE}"/>
    <cellStyle name="20% - Accent1 3 2 5 2 2" xfId="17587" xr:uid="{D9B22B0C-EDBC-40C7-AA88-6CBE6F177F06}"/>
    <cellStyle name="20% - Accent1 3 2 5 3" xfId="15393" xr:uid="{7871652A-4AC2-498A-AD3F-1BDCC194F881}"/>
    <cellStyle name="20% - Accent1 3 2 6" xfId="2436" xr:uid="{24196376-832A-4AA3-856B-B9CF8ACEF080}"/>
    <cellStyle name="20% - Accent1 3 2 6 2" xfId="16487" xr:uid="{D070744E-0C82-4513-B0ED-443E35CBB077}"/>
    <cellStyle name="20% - Accent1 3 2 7" xfId="4629" xr:uid="{B6DF1217-0474-4FF2-8E87-EEE185F06416}"/>
    <cellStyle name="20% - Accent1 3 2 7 2" xfId="18681" xr:uid="{3B694FFB-3FBE-4F5C-91E6-695FD74C8A2F}"/>
    <cellStyle name="20% - Accent1 3 2 8" xfId="14292" xr:uid="{8D58237F-0F46-456D-8CF9-16733A84DDCE}"/>
    <cellStyle name="20% - Accent1 3 3" xfId="176" xr:uid="{6105BC1D-C1E7-4A36-83C4-8DAF719ED437}"/>
    <cellStyle name="20% - Accent1 3 3 2" xfId="353" xr:uid="{42037F2F-D94B-47E9-8647-6588676CFD20}"/>
    <cellStyle name="20% - Accent1 3 3 2 2" xfId="707" xr:uid="{834309DF-8FF6-48C8-B2F7-D9DA0D290F72}"/>
    <cellStyle name="20% - Accent1 3 3 2 2 2" xfId="1808" xr:uid="{D37FCC60-325E-4213-A27E-131CC8997BF4}"/>
    <cellStyle name="20% - Accent1 3 3 2 2 2 2" xfId="3997" xr:uid="{FC94D0F3-64C6-4DF2-8E5F-04AEB22E6B22}"/>
    <cellStyle name="20% - Accent1 3 3 2 2 2 2 2" xfId="18049" xr:uid="{D1821472-EB31-419B-85BB-89720E59063C}"/>
    <cellStyle name="20% - Accent1 3 3 2 2 2 3" xfId="15857" xr:uid="{D3EC8940-5E8A-413F-8DB6-CD100E626E04}"/>
    <cellStyle name="20% - Accent1 3 3 2 2 3" xfId="2899" xr:uid="{CF4BBCAB-546F-4765-8FFB-35DF3230BC0D}"/>
    <cellStyle name="20% - Accent1 3 3 2 2 3 2" xfId="16951" xr:uid="{D8DEDE77-FC29-4BDD-B3D1-D9222E484E17}"/>
    <cellStyle name="20% - Accent1 3 3 2 2 4" xfId="14758" xr:uid="{FD004C1C-EFB0-43AD-B8B9-1009929A3EA2}"/>
    <cellStyle name="20% - Accent1 3 3 2 3" xfId="1054" xr:uid="{BBB21967-9065-4900-90D7-0C71B7C7A997}"/>
    <cellStyle name="20% - Accent1 3 3 2 3 2" xfId="2153" xr:uid="{1AF0D2FD-CA76-440B-8823-00F843DB94AF}"/>
    <cellStyle name="20% - Accent1 3 3 2 3 2 2" xfId="4342" xr:uid="{36D44B6B-1B05-4B02-95E9-DD090ABCAEF1}"/>
    <cellStyle name="20% - Accent1 3 3 2 3 2 2 2" xfId="18392" xr:uid="{60048EED-37C9-4BF9-9622-29FF5E377081}"/>
    <cellStyle name="20% - Accent1 3 3 2 3 2 3" xfId="16202" xr:uid="{C69DE3A4-03E3-41BB-9CBC-1B77C80870ED}"/>
    <cellStyle name="20% - Accent1 3 3 2 3 3" xfId="3246" xr:uid="{AC701064-69CA-479A-9680-77E60A40FD01}"/>
    <cellStyle name="20% - Accent1 3 3 2 3 3 2" xfId="17298" xr:uid="{DC7D5FC4-975E-4C5B-979A-79D50F0835FB}"/>
    <cellStyle name="20% - Accent1 3 3 2 3 4" xfId="15104" xr:uid="{1EC6E87B-815F-4AA6-80DD-84ACD6484229}"/>
    <cellStyle name="20% - Accent1 3 3 2 4" xfId="1634" xr:uid="{3E005667-38A1-4AE2-930A-58BF01BDF6F8}"/>
    <cellStyle name="20% - Accent1 3 3 2 4 2" xfId="3824" xr:uid="{89323A64-D4D2-42AD-A097-98F3CE79D62E}"/>
    <cellStyle name="20% - Accent1 3 3 2 4 2 2" xfId="17877" xr:uid="{22C9646F-3A3A-464E-BC08-535892AFD7F2}"/>
    <cellStyle name="20% - Accent1 3 3 2 4 3" xfId="15683" xr:uid="{CCF05E90-58CE-4F5F-95CF-3DCC1B8CDB6F}"/>
    <cellStyle name="20% - Accent1 3 3 2 5" xfId="2553" xr:uid="{90D42884-9711-4E7A-A924-0259A221B736}"/>
    <cellStyle name="20% - Accent1 3 3 2 5 2" xfId="16604" xr:uid="{CE39A310-7F04-4A72-9502-0775B29398ED}"/>
    <cellStyle name="20% - Accent1 3 3 2 6" xfId="4919" xr:uid="{4BF0CDDB-0E79-4135-916E-77B1D2B920D8}"/>
    <cellStyle name="20% - Accent1 3 3 2 6 2" xfId="18971" xr:uid="{5A9337FF-EB0E-47F7-AB5B-29C6FD28DB07}"/>
    <cellStyle name="20% - Accent1 3 3 2 7" xfId="14410" xr:uid="{19AFB773-634B-43BA-AF6C-5230289508E7}"/>
    <cellStyle name="20% - Accent1 3 3 3" xfId="527" xr:uid="{86630E08-7731-46C1-AD0F-0DA102CA2F5D}"/>
    <cellStyle name="20% - Accent1 3 3 3 2" xfId="1460" xr:uid="{BAAAA7C2-24EB-4AF9-B27C-FD54D6E2E46A}"/>
    <cellStyle name="20% - Accent1 3 3 3 2 2" xfId="3650" xr:uid="{C7BF0576-8186-41AE-9685-2AE12D22F0F8}"/>
    <cellStyle name="20% - Accent1 3 3 3 2 2 2" xfId="17703" xr:uid="{BF97C43A-5073-40B8-9E36-9F65269AA9BE}"/>
    <cellStyle name="20% - Accent1 3 3 3 2 3" xfId="15509" xr:uid="{AE93DC0A-B867-4737-80FD-48FD89AEA091}"/>
    <cellStyle name="20% - Accent1 3 3 3 3" xfId="2726" xr:uid="{D01DDA85-1B16-40D9-BFFB-20EF034FA570}"/>
    <cellStyle name="20% - Accent1 3 3 3 3 2" xfId="16777" xr:uid="{D09EDC17-EB31-47F2-93A6-40DCAF023ECA}"/>
    <cellStyle name="20% - Accent1 3 3 3 4" xfId="4745" xr:uid="{D0DA01F3-5070-421F-B5D2-041C5DB704B8}"/>
    <cellStyle name="20% - Accent1 3 3 3 4 2" xfId="18797" xr:uid="{2EF85FD5-F817-475D-B0BC-4A4AB15F5FEC}"/>
    <cellStyle name="20% - Accent1 3 3 3 5" xfId="14582" xr:uid="{939572D9-8142-4C23-A0D5-FB686E186F61}"/>
    <cellStyle name="20% - Accent1 3 3 4" xfId="880" xr:uid="{37D74DD7-264A-4D56-8A03-C1A88173FE50}"/>
    <cellStyle name="20% - Accent1 3 3 4 2" xfId="1979" xr:uid="{863CBB99-E72E-4115-94AE-9E4D82C13E70}"/>
    <cellStyle name="20% - Accent1 3 3 4 2 2" xfId="4168" xr:uid="{ECABF47A-CA78-45F9-A4B5-D4D8D759FC5F}"/>
    <cellStyle name="20% - Accent1 3 3 4 2 2 2" xfId="18219" xr:uid="{EC77E0D3-6BD2-4619-A5F4-7D16F95B39A3}"/>
    <cellStyle name="20% - Accent1 3 3 4 2 3" xfId="16028" xr:uid="{A5913A7C-B404-4DB2-9552-A790A6DC7F3A}"/>
    <cellStyle name="20% - Accent1 3 3 4 3" xfId="3072" xr:uid="{8FDB889A-CF95-47C7-BB08-D1F06BCF09B7}"/>
    <cellStyle name="20% - Accent1 3 3 4 3 2" xfId="17124" xr:uid="{C43CEBB0-453E-49C0-A86C-30F0281990A3}"/>
    <cellStyle name="20% - Accent1 3 3 4 4" xfId="14930" xr:uid="{0B48CB3D-728B-46F6-BD1D-364ED8411847}"/>
    <cellStyle name="20% - Accent1 3 3 5" xfId="1288" xr:uid="{5D6F06CC-FC36-49C9-9568-27A42F3A7E94}"/>
    <cellStyle name="20% - Accent1 3 3 5 2" xfId="3478" xr:uid="{2E8BADCE-3601-4AAC-B250-9E42426D9082}"/>
    <cellStyle name="20% - Accent1 3 3 5 2 2" xfId="17530" xr:uid="{2EE8D3FD-9A69-4639-8DD8-FF44F8A23622}"/>
    <cellStyle name="20% - Accent1 3 3 5 3" xfId="15336" xr:uid="{BE340D58-2366-4FA6-8C60-95D032C46F20}"/>
    <cellStyle name="20% - Accent1 3 3 6" xfId="2379" xr:uid="{B0B22320-00F8-45F0-82AA-02123021446D}"/>
    <cellStyle name="20% - Accent1 3 3 6 2" xfId="16430" xr:uid="{F809260D-1499-4A46-91E0-BF992D407D85}"/>
    <cellStyle name="20% - Accent1 3 3 7" xfId="4572" xr:uid="{8C23BF48-0503-4CFF-A464-C18A26C4AE59}"/>
    <cellStyle name="20% - Accent1 3 3 7 2" xfId="18624" xr:uid="{675D137C-6C93-47E9-B10A-748924743411}"/>
    <cellStyle name="20% - Accent1 3 3 8" xfId="14235" xr:uid="{1A5ABB07-7555-4BF9-8F91-51D5CAB9488B}"/>
    <cellStyle name="20% - Accent1 3 4" xfId="296" xr:uid="{98C42674-CD92-4663-B1DE-E5DFFE4C4231}"/>
    <cellStyle name="20% - Accent1 3 4 2" xfId="650" xr:uid="{5FC6CC5C-5FEA-4B5A-AC84-1CC98A47C2F3}"/>
    <cellStyle name="20% - Accent1 3 4 2 2" xfId="1752" xr:uid="{3B755164-DEC1-4384-89B5-7EA6947A7C18}"/>
    <cellStyle name="20% - Accent1 3 4 2 2 2" xfId="3940" xr:uid="{DD6A0A31-1A4F-49A4-B38F-DC9411873A46}"/>
    <cellStyle name="20% - Accent1 3 4 2 2 2 2" xfId="17992" xr:uid="{48A09063-F283-456D-9ADA-32DD6E94DA9B}"/>
    <cellStyle name="20% - Accent1 3 4 2 2 3" xfId="15800" xr:uid="{B083481A-BF92-4C00-93DD-FE94E8B7A22C}"/>
    <cellStyle name="20% - Accent1 3 4 2 3" xfId="2843" xr:uid="{E3F1A18A-D58F-4F41-93C1-C45251511C1F}"/>
    <cellStyle name="20% - Accent1 3 4 2 3 2" xfId="16894" xr:uid="{C98E96EA-C46D-4973-A1A8-4639E7E0FE60}"/>
    <cellStyle name="20% - Accent1 3 4 2 4" xfId="14701" xr:uid="{32B7B551-241C-4660-AA3A-C003D2425BB8}"/>
    <cellStyle name="20% - Accent1 3 4 3" xfId="997" xr:uid="{7213ED56-9337-40AD-89B0-00EB2783FFA6}"/>
    <cellStyle name="20% - Accent1 3 4 3 2" xfId="2096" xr:uid="{9740BD9C-5F66-4607-B353-5C61B62B382C}"/>
    <cellStyle name="20% - Accent1 3 4 3 2 2" xfId="4285" xr:uid="{4176CA23-3F3B-4FB3-A535-658D22820F32}"/>
    <cellStyle name="20% - Accent1 3 4 3 2 2 2" xfId="18336" xr:uid="{983FD552-7F4E-44D2-8B7C-0D04FE503E3D}"/>
    <cellStyle name="20% - Accent1 3 4 3 2 3" xfId="16145" xr:uid="{488C6EFA-D7F1-4B5B-9C6C-21F439CB606F}"/>
    <cellStyle name="20% - Accent1 3 4 3 3" xfId="3189" xr:uid="{3A361DD8-8127-41B2-A01E-B1E43E1A911F}"/>
    <cellStyle name="20% - Accent1 3 4 3 3 2" xfId="17241" xr:uid="{2ECD4640-095D-4663-A78D-F6C836A3DBF9}"/>
    <cellStyle name="20% - Accent1 3 4 3 4" xfId="15047" xr:uid="{7633696B-3972-4A5C-A9A3-FD50A8CE888A}"/>
    <cellStyle name="20% - Accent1 3 4 4" xfId="1577" xr:uid="{AB90DB31-362C-47C9-B22E-5B9A5177024E}"/>
    <cellStyle name="20% - Accent1 3 4 4 2" xfId="3767" xr:uid="{6E8FB0AC-2990-4052-A04B-B1BD3D95972E}"/>
    <cellStyle name="20% - Accent1 3 4 4 2 2" xfId="17820" xr:uid="{61B95D40-A54B-4D9D-AFFC-416A1B3C3BE6}"/>
    <cellStyle name="20% - Accent1 3 4 4 3" xfId="15626" xr:uid="{8B9E00DE-7FD5-4179-8395-A2AABCF93FDD}"/>
    <cellStyle name="20% - Accent1 3 4 5" xfId="2496" xr:uid="{57536A76-B55A-4E75-94F4-B23905F70C59}"/>
    <cellStyle name="20% - Accent1 3 4 5 2" xfId="16547" xr:uid="{7EA1C32F-1F69-4218-BF72-3144A276CEBF}"/>
    <cellStyle name="20% - Accent1 3 4 6" xfId="4862" xr:uid="{BACE5316-97A5-44DA-80E9-22931669A95C}"/>
    <cellStyle name="20% - Accent1 3 4 6 2" xfId="18914" xr:uid="{296BCFB7-9ED1-4B23-A184-A4281DDF78C5}"/>
    <cellStyle name="20% - Accent1 3 4 7" xfId="14353" xr:uid="{E970D6A8-4E4A-4507-9F82-271A3D1EB04A}"/>
    <cellStyle name="20% - Accent1 3 5" xfId="470" xr:uid="{D515C065-7C6A-4A32-AB9C-5A98F08680F4}"/>
    <cellStyle name="20% - Accent1 3 5 2" xfId="1403" xr:uid="{70F5CD09-682E-461A-88CF-3757506A9ADB}"/>
    <cellStyle name="20% - Accent1 3 5 2 2" xfId="3593" xr:uid="{462A3B75-B4E0-438A-BF79-4CA7A4D29A42}"/>
    <cellStyle name="20% - Accent1 3 5 2 2 2" xfId="17646" xr:uid="{1A69463A-A570-49AF-A8AE-5DBD7E12D376}"/>
    <cellStyle name="20% - Accent1 3 5 2 3" xfId="15452" xr:uid="{AE697A1E-C3B8-4D04-BB64-BDC5BDD8E43E}"/>
    <cellStyle name="20% - Accent1 3 5 3" xfId="2669" xr:uid="{801D821A-F4FB-441A-92CC-178EB6EF0ACC}"/>
    <cellStyle name="20% - Accent1 3 5 3 2" xfId="16720" xr:uid="{27AEDF25-6C95-40C2-BDA7-F22F983562CA}"/>
    <cellStyle name="20% - Accent1 3 5 4" xfId="4688" xr:uid="{0E8C6700-7DD8-4C8A-96C6-B61E1847E4B3}"/>
    <cellStyle name="20% - Accent1 3 5 4 2" xfId="18740" xr:uid="{79886735-72CC-4C13-923B-2ED1364712C6}"/>
    <cellStyle name="20% - Accent1 3 5 5" xfId="14525" xr:uid="{9C2E13F3-AEE9-4C07-B3AD-580AECF5DF1E}"/>
    <cellStyle name="20% - Accent1 3 6" xfId="823" xr:uid="{FFC3F333-00C5-45B2-A226-4F95E86A703B}"/>
    <cellStyle name="20% - Accent1 3 6 2" xfId="1922" xr:uid="{9E5485D5-56F8-4820-84C1-D8434687F6BF}"/>
    <cellStyle name="20% - Accent1 3 6 2 2" xfId="4111" xr:uid="{D99DE8C9-1A19-40AB-8D2C-E12AA0623668}"/>
    <cellStyle name="20% - Accent1 3 6 2 2 2" xfId="18163" xr:uid="{544EF26D-E867-4755-98C8-F65B33692FFC}"/>
    <cellStyle name="20% - Accent1 3 6 2 3" xfId="15971" xr:uid="{04BD8354-7639-4F20-9284-AE0010C42A26}"/>
    <cellStyle name="20% - Accent1 3 6 3" xfId="3015" xr:uid="{86F819A0-5B67-405E-871F-F4015D5F3BB7}"/>
    <cellStyle name="20% - Accent1 3 6 3 2" xfId="17067" xr:uid="{54BA0F6C-2365-4637-BD0B-87A4EDF30845}"/>
    <cellStyle name="20% - Accent1 3 6 4" xfId="14873" xr:uid="{2A4471A5-F7AF-440C-B2C0-8ABA5A2251C1}"/>
    <cellStyle name="20% - Accent1 3 7" xfId="1167" xr:uid="{4459ABF1-0D3A-4EC0-B2FD-BE94FE51F4E3}"/>
    <cellStyle name="20% - Accent1 3 7 2" xfId="2266" xr:uid="{FE0EB08A-5978-4860-AA7C-2AAF6642BB26}"/>
    <cellStyle name="20% - Accent1 3 7 2 2" xfId="4455" xr:uid="{AADFE5FE-6B92-4048-9148-6891CA850EB4}"/>
    <cellStyle name="20% - Accent1 3 7 2 2 2" xfId="18506" xr:uid="{B643C233-B0A4-4D6A-9B15-E15566EDBFEE}"/>
    <cellStyle name="20% - Accent1 3 7 2 3" xfId="16316" xr:uid="{E6CCFDB0-1FA1-4AFB-9AE0-E071587EB46A}"/>
    <cellStyle name="20% - Accent1 3 7 3" xfId="3360" xr:uid="{F47B45E6-FE82-4D76-9F61-417134A0E616}"/>
    <cellStyle name="20% - Accent1 3 7 3 2" xfId="17412" xr:uid="{944491C1-6575-4383-8A10-AD7C80533B00}"/>
    <cellStyle name="20% - Accent1 3 7 4" xfId="15218" xr:uid="{2DF0178A-D347-4D04-BA99-B75CB057654E}"/>
    <cellStyle name="20% - Accent1 3 8" xfId="1231" xr:uid="{BFF9C6BE-E483-46C4-AB89-41775BB3F4DB}"/>
    <cellStyle name="20% - Accent1 3 8 2" xfId="3421" xr:uid="{2296A755-8BC4-486F-BDF8-E38A35984AB7}"/>
    <cellStyle name="20% - Accent1 3 8 2 2" xfId="17473" xr:uid="{D56CC850-5993-4A55-B020-57A011ACBDDB}"/>
    <cellStyle name="20% - Accent1 3 8 3" xfId="15279" xr:uid="{97280C5B-BBDB-4771-AC9E-6FC7B33D3852}"/>
    <cellStyle name="20% - Accent1 3 9" xfId="2322" xr:uid="{8366653D-4FB0-4959-BF7D-C69CB8A08F8A}"/>
    <cellStyle name="20% - Accent1 3 9 2" xfId="16373" xr:uid="{968D6F9D-2C40-46E1-B582-F476A9CF163F}"/>
    <cellStyle name="20% - Accent1 4" xfId="94" xr:uid="{AE0C8601-828D-44A9-BAAF-4DBA0F11A6FC}"/>
    <cellStyle name="20% - Accent1 4 10" xfId="4492" xr:uid="{FEAF804B-D07A-49ED-8B0B-6E325CD7BE28}"/>
    <cellStyle name="20% - Accent1 4 10 2" xfId="18543" xr:uid="{7F726094-21B8-4FFD-8732-B51869E0515C}"/>
    <cellStyle name="20% - Accent1 4 11" xfId="14154" xr:uid="{1E754D09-3C82-4250-978A-C81A02EC2A24}"/>
    <cellStyle name="20% - Accent1 4 2" xfId="209" xr:uid="{433174A9-01F9-4022-9B14-03FAF545DBC4}"/>
    <cellStyle name="20% - Accent1 4 2 2" xfId="386" xr:uid="{F4906D64-31C2-43E8-8991-0AE06E214282}"/>
    <cellStyle name="20% - Accent1 4 2 2 2" xfId="740" xr:uid="{22B41603-4002-4A1A-98B2-D272E85130CE}"/>
    <cellStyle name="20% - Accent1 4 2 2 2 2" xfId="1841" xr:uid="{F57F56DF-E96E-4661-A36F-C8947EC4CA36}"/>
    <cellStyle name="20% - Accent1 4 2 2 2 2 2" xfId="4030" xr:uid="{F4FE7820-7695-4E32-8065-448E1E7BB1AA}"/>
    <cellStyle name="20% - Accent1 4 2 2 2 2 2 2" xfId="18082" xr:uid="{4F9CF5C6-5633-4170-821C-B04BFEFBB522}"/>
    <cellStyle name="20% - Accent1 4 2 2 2 2 3" xfId="15890" xr:uid="{D1039E2A-B7F4-4892-B48D-48FBD3CA5D31}"/>
    <cellStyle name="20% - Accent1 4 2 2 2 3" xfId="2932" xr:uid="{D9026437-DE2E-4962-837C-C74DF32B8ABC}"/>
    <cellStyle name="20% - Accent1 4 2 2 2 3 2" xfId="16984" xr:uid="{5D1A9EED-3545-450D-AFA3-E60B9976A729}"/>
    <cellStyle name="20% - Accent1 4 2 2 2 4" xfId="14791" xr:uid="{05231545-4BDD-4F40-ACC1-7506EC88C66C}"/>
    <cellStyle name="20% - Accent1 4 2 2 3" xfId="1087" xr:uid="{DC8FFAF8-CD5F-44BD-AC8D-97F8DF62A07E}"/>
    <cellStyle name="20% - Accent1 4 2 2 3 2" xfId="2186" xr:uid="{3EF415EF-14D5-4036-816D-5D37CF321D36}"/>
    <cellStyle name="20% - Accent1 4 2 2 3 2 2" xfId="4375" xr:uid="{FD4E7E0B-A074-4B3F-8A49-62F697622810}"/>
    <cellStyle name="20% - Accent1 4 2 2 3 2 2 2" xfId="18425" xr:uid="{40204B96-8440-4969-8C81-B7928C9FE82D}"/>
    <cellStyle name="20% - Accent1 4 2 2 3 2 3" xfId="16235" xr:uid="{F7BE0D3B-B467-4AAA-9750-D1741BB6D92B}"/>
    <cellStyle name="20% - Accent1 4 2 2 3 3" xfId="3279" xr:uid="{F6E85868-5C25-42DC-AB27-1F04C7B607C1}"/>
    <cellStyle name="20% - Accent1 4 2 2 3 3 2" xfId="17331" xr:uid="{E35DE3B2-B9CC-408C-A3EE-0F84C2238CE7}"/>
    <cellStyle name="20% - Accent1 4 2 2 3 4" xfId="15137" xr:uid="{F524D495-660D-4805-9F14-0DA225134B02}"/>
    <cellStyle name="20% - Accent1 4 2 2 4" xfId="1667" xr:uid="{B31A81BF-109C-44CD-A165-DC95FD8FE04B}"/>
    <cellStyle name="20% - Accent1 4 2 2 4 2" xfId="3857" xr:uid="{394776DD-A0DD-4010-88B5-7BBED1B00B10}"/>
    <cellStyle name="20% - Accent1 4 2 2 4 2 2" xfId="17910" xr:uid="{C9771D04-55D8-4A77-906B-55466AED3BEC}"/>
    <cellStyle name="20% - Accent1 4 2 2 4 3" xfId="15716" xr:uid="{ACE31E6B-50EA-429C-A8B1-5E00CC870FF7}"/>
    <cellStyle name="20% - Accent1 4 2 2 5" xfId="2586" xr:uid="{730AC19A-1914-451C-A8B0-FBDB2DE54890}"/>
    <cellStyle name="20% - Accent1 4 2 2 5 2" xfId="16637" xr:uid="{5429F0F6-AD0F-43B2-AA01-F586F25B7630}"/>
    <cellStyle name="20% - Accent1 4 2 2 6" xfId="4952" xr:uid="{F384536C-25F0-4157-AB1F-3DF6EBB5F922}"/>
    <cellStyle name="20% - Accent1 4 2 2 6 2" xfId="19004" xr:uid="{D3093BC7-05BD-424E-BA77-43C72170412B}"/>
    <cellStyle name="20% - Accent1 4 2 2 7" xfId="14443" xr:uid="{E733A816-A9FC-4DC3-94A0-A58308B7D5B5}"/>
    <cellStyle name="20% - Accent1 4 2 3" xfId="560" xr:uid="{04833101-867C-4C01-884C-71FAC1C1576E}"/>
    <cellStyle name="20% - Accent1 4 2 3 2" xfId="1493" xr:uid="{21BBE51C-AD19-4858-9352-354811A1CC20}"/>
    <cellStyle name="20% - Accent1 4 2 3 2 2" xfId="3683" xr:uid="{5BA119AE-25CA-46F9-99F9-1C2C38B61DDE}"/>
    <cellStyle name="20% - Accent1 4 2 3 2 2 2" xfId="17736" xr:uid="{2F8B4D8B-766F-4F28-9F36-22E494E2EAEB}"/>
    <cellStyle name="20% - Accent1 4 2 3 2 3" xfId="15542" xr:uid="{9BC64E05-1577-44C0-8308-E57A571CC0FD}"/>
    <cellStyle name="20% - Accent1 4 2 3 3" xfId="2759" xr:uid="{92C9D1CD-B87E-49B7-A3AB-F4D1E7E0E34B}"/>
    <cellStyle name="20% - Accent1 4 2 3 3 2" xfId="16810" xr:uid="{6661E005-2F7D-4F30-A7B6-128CC86E78DC}"/>
    <cellStyle name="20% - Accent1 4 2 3 4" xfId="4778" xr:uid="{EA5A92AB-4265-4C3E-9F75-C75748E539F7}"/>
    <cellStyle name="20% - Accent1 4 2 3 4 2" xfId="18830" xr:uid="{02709849-CDC8-460F-BE82-E9DA352D738A}"/>
    <cellStyle name="20% - Accent1 4 2 3 5" xfId="14615" xr:uid="{BC1A02DF-9B70-410C-B2E8-34C0A10327B7}"/>
    <cellStyle name="20% - Accent1 4 2 4" xfId="913" xr:uid="{9401C6BA-251D-499E-ACCE-F8AF9D4684C8}"/>
    <cellStyle name="20% - Accent1 4 2 4 2" xfId="2012" xr:uid="{D36BC476-605A-40E4-AD3D-30791F2EE265}"/>
    <cellStyle name="20% - Accent1 4 2 4 2 2" xfId="4201" xr:uid="{60E19B23-2DB4-4C99-8B9B-02C81E1B4D22}"/>
    <cellStyle name="20% - Accent1 4 2 4 2 2 2" xfId="18252" xr:uid="{5679372C-DC64-4025-80D2-3F46D2B40864}"/>
    <cellStyle name="20% - Accent1 4 2 4 2 3" xfId="16061" xr:uid="{2CB845C9-ED63-42D3-8BD8-2A29CB1EE4F4}"/>
    <cellStyle name="20% - Accent1 4 2 4 3" xfId="3105" xr:uid="{1A780340-186B-4CFF-9896-0F774CC79F9C}"/>
    <cellStyle name="20% - Accent1 4 2 4 3 2" xfId="17157" xr:uid="{2D61461E-F941-464D-A8B5-ECD7808A7664}"/>
    <cellStyle name="20% - Accent1 4 2 4 4" xfId="14963" xr:uid="{CAE6A6FF-91AB-46DE-9BC5-31B8F0F7C498}"/>
    <cellStyle name="20% - Accent1 4 2 5" xfId="1320" xr:uid="{31C8080D-FD22-45A6-A880-CDF7DC39178D}"/>
    <cellStyle name="20% - Accent1 4 2 5 2" xfId="3511" xr:uid="{DE9041C6-C80E-4119-AF71-D5C06139167B}"/>
    <cellStyle name="20% - Accent1 4 2 5 2 2" xfId="17563" xr:uid="{64D9EAC1-70EC-4852-BD02-0471191D0378}"/>
    <cellStyle name="20% - Accent1 4 2 5 3" xfId="15369" xr:uid="{DA8C6A0D-A5B9-4C70-8836-CF7688F98BD6}"/>
    <cellStyle name="20% - Accent1 4 2 6" xfId="2412" xr:uid="{D7DD09CA-C7C5-46A4-A658-11CB90CFC6F2}"/>
    <cellStyle name="20% - Accent1 4 2 6 2" xfId="16463" xr:uid="{4C7BBA20-F2B7-4450-8FDC-0DB1339C45CF}"/>
    <cellStyle name="20% - Accent1 4 2 7" xfId="4605" xr:uid="{514E57F9-5B5D-486A-B1C1-96CA0D927E1F}"/>
    <cellStyle name="20% - Accent1 4 2 7 2" xfId="18657" xr:uid="{08D2BD9B-48B8-48CD-AAFE-72403A57884F}"/>
    <cellStyle name="20% - Accent1 4 2 8" xfId="14268" xr:uid="{699005F6-F363-4999-9D73-1419B4031F44}"/>
    <cellStyle name="20% - Accent1 4 3" xfId="152" xr:uid="{933B22A7-C412-43D9-8762-C92E45D1E15F}"/>
    <cellStyle name="20% - Accent1 4 3 2" xfId="329" xr:uid="{101CB880-65C6-403E-92DE-35E297E1FC7B}"/>
    <cellStyle name="20% - Accent1 4 3 2 2" xfId="683" xr:uid="{8D927568-04D5-4ACC-B1B6-908A279587A7}"/>
    <cellStyle name="20% - Accent1 4 3 2 2 2" xfId="1784" xr:uid="{CCFDB483-E1E0-4B85-B0FF-B62ACBCA7277}"/>
    <cellStyle name="20% - Accent1 4 3 2 2 2 2" xfId="3973" xr:uid="{602BE91A-6D69-401D-A0E6-A0AA14D0B793}"/>
    <cellStyle name="20% - Accent1 4 3 2 2 2 2 2" xfId="18025" xr:uid="{99097020-4141-4054-9607-55AF1235082E}"/>
    <cellStyle name="20% - Accent1 4 3 2 2 2 3" xfId="15833" xr:uid="{128F3D12-2D3B-4C85-80B9-9508ADA98A6C}"/>
    <cellStyle name="20% - Accent1 4 3 2 2 3" xfId="2875" xr:uid="{380CF998-94F2-4629-883C-5762C7F64AD4}"/>
    <cellStyle name="20% - Accent1 4 3 2 2 3 2" xfId="16927" xr:uid="{581B328F-0898-474F-BC79-8AF47EE56010}"/>
    <cellStyle name="20% - Accent1 4 3 2 2 4" xfId="14734" xr:uid="{5656883D-E865-4FAF-A445-A09391C52339}"/>
    <cellStyle name="20% - Accent1 4 3 2 3" xfId="1030" xr:uid="{8D4FDE04-18A4-4CD9-8B80-56CA916FB344}"/>
    <cellStyle name="20% - Accent1 4 3 2 3 2" xfId="2129" xr:uid="{54954C13-2BBC-4CEC-8FB1-8189A9CFFE77}"/>
    <cellStyle name="20% - Accent1 4 3 2 3 2 2" xfId="4318" xr:uid="{616BAD2C-A9F2-4FEE-B915-3F844035AAC1}"/>
    <cellStyle name="20% - Accent1 4 3 2 3 2 2 2" xfId="18368" xr:uid="{99FF1807-0A66-4677-ACAE-F39F1639C0F4}"/>
    <cellStyle name="20% - Accent1 4 3 2 3 2 3" xfId="16178" xr:uid="{B7D916D1-9600-4A36-BFCF-7342C8B76001}"/>
    <cellStyle name="20% - Accent1 4 3 2 3 3" xfId="3222" xr:uid="{FC89C230-98A4-481D-8CD0-ACB4A12794C0}"/>
    <cellStyle name="20% - Accent1 4 3 2 3 3 2" xfId="17274" xr:uid="{9D2DD28C-9A2A-498C-9028-21956CD3EA9C}"/>
    <cellStyle name="20% - Accent1 4 3 2 3 4" xfId="15080" xr:uid="{7AEF8BE4-1074-493C-A330-76493FF5CC55}"/>
    <cellStyle name="20% - Accent1 4 3 2 4" xfId="1610" xr:uid="{EE09BC98-86D0-4DB7-AB16-CE942DA375DF}"/>
    <cellStyle name="20% - Accent1 4 3 2 4 2" xfId="3800" xr:uid="{3E0F500E-0A8C-4981-94CE-27873D2B9989}"/>
    <cellStyle name="20% - Accent1 4 3 2 4 2 2" xfId="17853" xr:uid="{6DB3244E-EAA1-4485-8E15-7764A5C66CAE}"/>
    <cellStyle name="20% - Accent1 4 3 2 4 3" xfId="15659" xr:uid="{EC1B049E-5D99-4691-82F5-024753CC0D8A}"/>
    <cellStyle name="20% - Accent1 4 3 2 5" xfId="2529" xr:uid="{A0342176-8033-4AB5-955B-53030955E3D9}"/>
    <cellStyle name="20% - Accent1 4 3 2 5 2" xfId="16580" xr:uid="{5795F2FE-A32C-4CE1-83F3-05B52AEE0393}"/>
    <cellStyle name="20% - Accent1 4 3 2 6" xfId="4895" xr:uid="{ED0363AE-9FF8-4218-BF75-3A2917FAEA83}"/>
    <cellStyle name="20% - Accent1 4 3 2 6 2" xfId="18947" xr:uid="{FC5A0953-6D20-4D93-92C2-3C73B747C54E}"/>
    <cellStyle name="20% - Accent1 4 3 2 7" xfId="14386" xr:uid="{E63A3C25-21D1-4946-A39A-217A9CBF8C67}"/>
    <cellStyle name="20% - Accent1 4 3 3" xfId="503" xr:uid="{60579912-3F8B-4595-8744-01D073001483}"/>
    <cellStyle name="20% - Accent1 4 3 3 2" xfId="1436" xr:uid="{36C0C071-8E7B-41D0-BA18-91E698E61AFA}"/>
    <cellStyle name="20% - Accent1 4 3 3 2 2" xfId="3626" xr:uid="{9C6E2E3B-FA73-42F4-BCA5-27A698462089}"/>
    <cellStyle name="20% - Accent1 4 3 3 2 2 2" xfId="17679" xr:uid="{3A55246B-FF08-417B-96E7-4D68D25F9A13}"/>
    <cellStyle name="20% - Accent1 4 3 3 2 3" xfId="15485" xr:uid="{DEA43176-BDCA-4C03-9DD0-EDEAE1458E8E}"/>
    <cellStyle name="20% - Accent1 4 3 3 3" xfId="2702" xr:uid="{B2BBCBD8-BF51-4B24-B166-2B7E5F1F2FC5}"/>
    <cellStyle name="20% - Accent1 4 3 3 3 2" xfId="16753" xr:uid="{F479E588-AEDC-44AD-AA5E-8F8F5D1DEFCF}"/>
    <cellStyle name="20% - Accent1 4 3 3 4" xfId="4721" xr:uid="{DB91A076-5292-421E-8130-CD22DD7D021E}"/>
    <cellStyle name="20% - Accent1 4 3 3 4 2" xfId="18773" xr:uid="{827B58A4-4FF1-4D1A-A129-BAD99AEAEA9D}"/>
    <cellStyle name="20% - Accent1 4 3 3 5" xfId="14558" xr:uid="{4A597CD6-B3FA-45D1-AC8B-792F3F712480}"/>
    <cellStyle name="20% - Accent1 4 3 4" xfId="856" xr:uid="{1E7636B1-897D-4E71-8AF6-1F3EE17A1A8F}"/>
    <cellStyle name="20% - Accent1 4 3 4 2" xfId="1955" xr:uid="{604792DD-9239-4D23-A039-1DE99BE63C55}"/>
    <cellStyle name="20% - Accent1 4 3 4 2 2" xfId="4144" xr:uid="{5340D48F-D5C3-404E-848E-57791BB22A3A}"/>
    <cellStyle name="20% - Accent1 4 3 4 2 2 2" xfId="18195" xr:uid="{12733569-0B78-4487-A22A-3C2B0E9595C6}"/>
    <cellStyle name="20% - Accent1 4 3 4 2 3" xfId="16004" xr:uid="{18F16384-B017-49BF-BF83-A24730D742C5}"/>
    <cellStyle name="20% - Accent1 4 3 4 3" xfId="3048" xr:uid="{D721F591-2846-4243-B9A6-1600481741C4}"/>
    <cellStyle name="20% - Accent1 4 3 4 3 2" xfId="17100" xr:uid="{2305346C-43F1-49D0-BA94-ABAC264548D6}"/>
    <cellStyle name="20% - Accent1 4 3 4 4" xfId="14906" xr:uid="{6B94CAD4-1531-4732-A03B-819949B062D7}"/>
    <cellStyle name="20% - Accent1 4 3 5" xfId="1264" xr:uid="{02FBBD82-4C9C-4BA8-8561-4C5BE7C0217C}"/>
    <cellStyle name="20% - Accent1 4 3 5 2" xfId="3454" xr:uid="{BD427CA7-ECB5-4C1D-9E24-8E3942A90C2A}"/>
    <cellStyle name="20% - Accent1 4 3 5 2 2" xfId="17506" xr:uid="{ECD047C2-FD1D-41EB-9936-EFC2870D9A60}"/>
    <cellStyle name="20% - Accent1 4 3 5 3" xfId="15312" xr:uid="{08CD7199-3888-4157-8903-96FD948A6DA7}"/>
    <cellStyle name="20% - Accent1 4 3 6" xfId="2355" xr:uid="{D8696742-8B71-4C0B-ACA8-74F920B894D2}"/>
    <cellStyle name="20% - Accent1 4 3 6 2" xfId="16406" xr:uid="{EC30A233-BDFC-4F66-92DA-9B388A4A5A69}"/>
    <cellStyle name="20% - Accent1 4 3 7" xfId="4548" xr:uid="{DB2BF6E9-FE23-4ABC-81CC-A491928ED171}"/>
    <cellStyle name="20% - Accent1 4 3 7 2" xfId="18600" xr:uid="{F6D28B0B-2931-42C9-BA59-11588D39BE5E}"/>
    <cellStyle name="20% - Accent1 4 3 8" xfId="14211" xr:uid="{6D5A3B4D-C93C-432B-9800-8E51082405C3}"/>
    <cellStyle name="20% - Accent1 4 4" xfId="272" xr:uid="{EAE19BCE-0445-4D5E-B6E3-8E771E18B5D0}"/>
    <cellStyle name="20% - Accent1 4 4 2" xfId="626" xr:uid="{095E0383-DCB6-4CD6-88CE-261619F25152}"/>
    <cellStyle name="20% - Accent1 4 4 2 2" xfId="1728" xr:uid="{DB8897E9-23F3-46D7-8EC2-394CB896C641}"/>
    <cellStyle name="20% - Accent1 4 4 2 2 2" xfId="3916" xr:uid="{2E380524-74A6-4E40-8F4D-894A3FC1F92E}"/>
    <cellStyle name="20% - Accent1 4 4 2 2 2 2" xfId="17968" xr:uid="{025CA5C9-C6FE-47A9-B359-00F8AB5FCAD4}"/>
    <cellStyle name="20% - Accent1 4 4 2 2 3" xfId="15776" xr:uid="{FA728D55-43CD-4874-A8BF-44A9A9AC6D50}"/>
    <cellStyle name="20% - Accent1 4 4 2 3" xfId="2819" xr:uid="{DD620C5E-7829-46C2-9CD7-CDB1B61D6B6E}"/>
    <cellStyle name="20% - Accent1 4 4 2 3 2" xfId="16870" xr:uid="{7C58E5BC-45A2-40F6-A130-889693607C9D}"/>
    <cellStyle name="20% - Accent1 4 4 2 4" xfId="14677" xr:uid="{EA6FE860-DCD5-4294-B6BD-43F583C66911}"/>
    <cellStyle name="20% - Accent1 4 4 3" xfId="973" xr:uid="{123D3627-03C4-48D4-84DF-D56135F17376}"/>
    <cellStyle name="20% - Accent1 4 4 3 2" xfId="2072" xr:uid="{37AEBA13-86A7-4501-A8A8-A82FB8AD5ABB}"/>
    <cellStyle name="20% - Accent1 4 4 3 2 2" xfId="4261" xr:uid="{5230445B-2E7C-40BB-8FF9-BE08FF70C13F}"/>
    <cellStyle name="20% - Accent1 4 4 3 2 2 2" xfId="18312" xr:uid="{10BAAA6C-A51C-4FFB-96F6-0220F4E085A8}"/>
    <cellStyle name="20% - Accent1 4 4 3 2 3" xfId="16121" xr:uid="{BD55D4B8-A428-4C72-A767-C7313BC8EB57}"/>
    <cellStyle name="20% - Accent1 4 4 3 3" xfId="3165" xr:uid="{25FD91DA-7DAE-4AC9-AC00-F0331B16B927}"/>
    <cellStyle name="20% - Accent1 4 4 3 3 2" xfId="17217" xr:uid="{DAA28215-7036-474F-8E8E-D83E74BF23E9}"/>
    <cellStyle name="20% - Accent1 4 4 3 4" xfId="15023" xr:uid="{05D84855-E077-4575-A9F8-A138B1A9C0BE}"/>
    <cellStyle name="20% - Accent1 4 4 4" xfId="1553" xr:uid="{7D3A88A0-B761-4B99-A05C-D7CA274531BD}"/>
    <cellStyle name="20% - Accent1 4 4 4 2" xfId="3743" xr:uid="{3278E59F-ADDA-43E9-B7E6-50862EAEAD6B}"/>
    <cellStyle name="20% - Accent1 4 4 4 2 2" xfId="17796" xr:uid="{F79A7E16-B301-4A4D-B247-5F852269401D}"/>
    <cellStyle name="20% - Accent1 4 4 4 3" xfId="15602" xr:uid="{AFB5ECF7-486C-43D3-B728-FF4D0B2B0869}"/>
    <cellStyle name="20% - Accent1 4 4 5" xfId="2472" xr:uid="{18444B75-120E-47B7-8565-A4AED586CD8B}"/>
    <cellStyle name="20% - Accent1 4 4 5 2" xfId="16523" xr:uid="{B61A4714-5332-4938-BF72-FE1F256CCFD0}"/>
    <cellStyle name="20% - Accent1 4 4 6" xfId="4838" xr:uid="{8E89463E-C269-4F95-B26F-C8E4D8F31387}"/>
    <cellStyle name="20% - Accent1 4 4 6 2" xfId="18890" xr:uid="{C71C9CE0-BCF0-48A0-B2A5-2C3F728BF21C}"/>
    <cellStyle name="20% - Accent1 4 4 7" xfId="14329" xr:uid="{C7F9843D-E3DF-477C-B1B4-C176CD7073F2}"/>
    <cellStyle name="20% - Accent1 4 5" xfId="446" xr:uid="{8310AEEB-47E8-4AA2-9BB1-17640714A430}"/>
    <cellStyle name="20% - Accent1 4 5 2" xfId="1379" xr:uid="{605044F5-7D14-42CB-96A9-574DE9C6E6CC}"/>
    <cellStyle name="20% - Accent1 4 5 2 2" xfId="3569" xr:uid="{2D0C7855-13A8-4384-8169-AC4A74F6A2C7}"/>
    <cellStyle name="20% - Accent1 4 5 2 2 2" xfId="17622" xr:uid="{94F94A4A-C068-4878-96AB-B301E168A417}"/>
    <cellStyle name="20% - Accent1 4 5 2 3" xfId="15428" xr:uid="{0444BE9A-EAB1-4B3F-92AC-743003560267}"/>
    <cellStyle name="20% - Accent1 4 5 3" xfId="2645" xr:uid="{E8D0DBBB-0264-4A08-BEAA-527E6234DE81}"/>
    <cellStyle name="20% - Accent1 4 5 3 2" xfId="16696" xr:uid="{14D2C64D-834E-4677-942C-9FF9DD563E8D}"/>
    <cellStyle name="20% - Accent1 4 5 4" xfId="4664" xr:uid="{CA8E05E8-A82D-4A7C-AFBD-6DF2214601E2}"/>
    <cellStyle name="20% - Accent1 4 5 4 2" xfId="18716" xr:uid="{94F5B88F-7ADF-4961-84B6-EDCE52FEC678}"/>
    <cellStyle name="20% - Accent1 4 5 5" xfId="14501" xr:uid="{15E7DA9C-9317-4869-B0BD-B92056328EB5}"/>
    <cellStyle name="20% - Accent1 4 6" xfId="799" xr:uid="{8BF87ABB-3AB4-429D-975B-67ED28552FE5}"/>
    <cellStyle name="20% - Accent1 4 6 2" xfId="1898" xr:uid="{33678873-3953-44AA-91FD-65DD8D77268C}"/>
    <cellStyle name="20% - Accent1 4 6 2 2" xfId="4087" xr:uid="{C07EBB2D-20E1-4E34-9850-F5D4A02DE82D}"/>
    <cellStyle name="20% - Accent1 4 6 2 2 2" xfId="18139" xr:uid="{75198B38-1791-46DB-BEA8-6132E7AB6818}"/>
    <cellStyle name="20% - Accent1 4 6 2 3" xfId="15947" xr:uid="{E22E5CE2-A44C-417B-962F-A1C8F28B75A1}"/>
    <cellStyle name="20% - Accent1 4 6 3" xfId="2991" xr:uid="{C1C863F9-2D51-4B99-B32C-9D902DBA391C}"/>
    <cellStyle name="20% - Accent1 4 6 3 2" xfId="17043" xr:uid="{E6BB3AFB-EC1F-4D4E-8D36-CDB3DE53D2F8}"/>
    <cellStyle name="20% - Accent1 4 6 4" xfId="14849" xr:uid="{B7E3A188-5F1F-4826-92FF-22D8995BF409}"/>
    <cellStyle name="20% - Accent1 4 7" xfId="1143" xr:uid="{40738189-69DF-458C-9B30-DA4A5E19606A}"/>
    <cellStyle name="20% - Accent1 4 7 2" xfId="2243" xr:uid="{30FC4D38-7BA5-4E07-8113-BD3CF4039C86}"/>
    <cellStyle name="20% - Accent1 4 7 2 2" xfId="4432" xr:uid="{57D6E319-7D58-4E6E-961F-6B0A860E8A8B}"/>
    <cellStyle name="20% - Accent1 4 7 2 2 2" xfId="18482" xr:uid="{89BD2C30-4CC1-42EA-A24D-545620E8CA8F}"/>
    <cellStyle name="20% - Accent1 4 7 2 3" xfId="16292" xr:uid="{219A828A-4328-4807-88DD-3F6023D1F9E1}"/>
    <cellStyle name="20% - Accent1 4 7 3" xfId="3336" xr:uid="{72B2DB30-94BE-442E-A66C-D3FDE4000EE4}"/>
    <cellStyle name="20% - Accent1 4 7 3 2" xfId="17388" xr:uid="{6FE82DAE-1D67-462A-8B45-9895C6F52B84}"/>
    <cellStyle name="20% - Accent1 4 7 4" xfId="15194" xr:uid="{C4491B74-A0B1-4BFD-A204-4C5544A75EC7}"/>
    <cellStyle name="20% - Accent1 4 8" xfId="1207" xr:uid="{5EC15C93-6E32-4B2D-836C-5E5B2DA7E453}"/>
    <cellStyle name="20% - Accent1 4 8 2" xfId="3397" xr:uid="{1AC91B9D-728A-4720-8EAF-7B279A2A5A51}"/>
    <cellStyle name="20% - Accent1 4 8 2 2" xfId="17449" xr:uid="{390EDC3F-3583-4EE7-865E-5266B03A0665}"/>
    <cellStyle name="20% - Accent1 4 8 3" xfId="15255" xr:uid="{4BF37507-CBF4-41CE-8B2D-B2590A46EF38}"/>
    <cellStyle name="20% - Accent1 4 9" xfId="2298" xr:uid="{1957A502-016F-4A60-B3C0-2AC94AF4E4B1}"/>
    <cellStyle name="20% - Accent1 4 9 2" xfId="16349" xr:uid="{D4774E32-CF06-498B-A97D-F5BF3B09E07C}"/>
    <cellStyle name="20% - Accent1 5" xfId="189" xr:uid="{92CD4E01-D3E1-444B-81D2-EC4CB77AF6D1}"/>
    <cellStyle name="20% - Accent1 5 2" xfId="366" xr:uid="{D70F48A1-2264-49BB-A2D8-EA6381FD128E}"/>
    <cellStyle name="20% - Accent1 5 2 2" xfId="720" xr:uid="{D8982ACC-AB08-44FA-AD2C-571E205E9963}"/>
    <cellStyle name="20% - Accent1 5 2 2 2" xfId="1821" xr:uid="{85352F09-AD80-4340-A0BB-8D22817A800E}"/>
    <cellStyle name="20% - Accent1 5 2 2 2 2" xfId="4010" xr:uid="{1122575F-1AD0-41FA-9624-DC49EF9156E8}"/>
    <cellStyle name="20% - Accent1 5 2 2 2 2 2" xfId="18062" xr:uid="{93973FC3-7913-480F-A33B-F28347DDB83B}"/>
    <cellStyle name="20% - Accent1 5 2 2 2 3" xfId="15870" xr:uid="{A6A3C419-9945-4438-AA60-BE9691A703BF}"/>
    <cellStyle name="20% - Accent1 5 2 2 3" xfId="2912" xr:uid="{C12B9EE5-4701-4390-97DA-F5B635AF2B86}"/>
    <cellStyle name="20% - Accent1 5 2 2 3 2" xfId="16964" xr:uid="{97CF8E41-11BA-4892-9F45-AC46C534384B}"/>
    <cellStyle name="20% - Accent1 5 2 2 4" xfId="14771" xr:uid="{32465C8F-0B40-4935-ACDD-2321F36D3EEC}"/>
    <cellStyle name="20% - Accent1 5 2 3" xfId="1067" xr:uid="{CDB7C0BF-43F8-454E-B285-CE18C82F20F9}"/>
    <cellStyle name="20% - Accent1 5 2 3 2" xfId="2166" xr:uid="{CE4E1C8C-4938-4878-8FB7-7BA98E3ED559}"/>
    <cellStyle name="20% - Accent1 5 2 3 2 2" xfId="4355" xr:uid="{2EAB09FE-98C5-4190-AD99-1CB9204BB06A}"/>
    <cellStyle name="20% - Accent1 5 2 3 2 2 2" xfId="18405" xr:uid="{D9409BD5-28FF-443B-BD70-80B3E9B41A2B}"/>
    <cellStyle name="20% - Accent1 5 2 3 2 3" xfId="16215" xr:uid="{7A7909ED-1936-4CDA-A051-F95414A88176}"/>
    <cellStyle name="20% - Accent1 5 2 3 3" xfId="3259" xr:uid="{124671BF-F4FF-4774-B22F-45945F160A56}"/>
    <cellStyle name="20% - Accent1 5 2 3 3 2" xfId="17311" xr:uid="{F7FF98E2-97E6-4752-B7CA-B5A1E6629D25}"/>
    <cellStyle name="20% - Accent1 5 2 3 4" xfId="15117" xr:uid="{EB27ECD7-83BB-4BEA-AC9C-3A50C5A34B13}"/>
    <cellStyle name="20% - Accent1 5 2 4" xfId="1647" xr:uid="{D1E47AC6-DDC2-4072-B178-78BEF7909410}"/>
    <cellStyle name="20% - Accent1 5 2 4 2" xfId="3837" xr:uid="{044D5D8F-EF89-4DE1-A176-B5BAFED68806}"/>
    <cellStyle name="20% - Accent1 5 2 4 2 2" xfId="17890" xr:uid="{D6FC4969-6CE0-4D07-B0B4-689EBBB7E32F}"/>
    <cellStyle name="20% - Accent1 5 2 4 3" xfId="15696" xr:uid="{B314CBD4-59F4-45A8-9948-E9D5FF84642D}"/>
    <cellStyle name="20% - Accent1 5 2 5" xfId="2566" xr:uid="{6C2C24F0-D8A0-466A-A2F8-ADEEA1037F56}"/>
    <cellStyle name="20% - Accent1 5 2 5 2" xfId="16617" xr:uid="{5817A2E4-3982-4182-B197-3E6BDAB5F3C4}"/>
    <cellStyle name="20% - Accent1 5 2 6" xfId="4932" xr:uid="{2EC1A5D5-F1E7-48A4-91B1-04AB4DDB09E7}"/>
    <cellStyle name="20% - Accent1 5 2 6 2" xfId="18984" xr:uid="{09636CA7-7717-4112-A4F9-86C4DEC63346}"/>
    <cellStyle name="20% - Accent1 5 2 7" xfId="14423" xr:uid="{98EFF3BE-CDAB-4740-849F-3A54305D5702}"/>
    <cellStyle name="20% - Accent1 5 3" xfId="540" xr:uid="{3DF3CE56-8595-4DBC-AB68-88367746F3F6}"/>
    <cellStyle name="20% - Accent1 5 3 2" xfId="1473" xr:uid="{2496F2A8-76DB-4E0D-98C6-CC4156632F58}"/>
    <cellStyle name="20% - Accent1 5 3 2 2" xfId="3663" xr:uid="{AD1484B6-28B4-4C1B-A85E-6B5D2A3CFFBD}"/>
    <cellStyle name="20% - Accent1 5 3 2 2 2" xfId="17716" xr:uid="{6D44AAD0-405C-4403-A97A-B27322DC734C}"/>
    <cellStyle name="20% - Accent1 5 3 2 3" xfId="15522" xr:uid="{65B77474-BCB7-4824-9B44-EF10BB2F9ECE}"/>
    <cellStyle name="20% - Accent1 5 3 3" xfId="2739" xr:uid="{11905E58-2CDC-4AB9-AF11-68AC939DA94D}"/>
    <cellStyle name="20% - Accent1 5 3 3 2" xfId="16790" xr:uid="{B3FB67AC-18DA-431C-B80F-C47788AB1F25}"/>
    <cellStyle name="20% - Accent1 5 3 4" xfId="4758" xr:uid="{150FA9E4-6CA6-491A-B44C-2EF91F604D96}"/>
    <cellStyle name="20% - Accent1 5 3 4 2" xfId="18810" xr:uid="{5C5278DE-4B3B-48EE-8EA6-06E0FB94703A}"/>
    <cellStyle name="20% - Accent1 5 3 5" xfId="14595" xr:uid="{235C7DCF-C207-490E-90A4-EFAE4DD8A6F0}"/>
    <cellStyle name="20% - Accent1 5 4" xfId="893" xr:uid="{3CBCBDE9-448D-4003-A12A-B39513A67CB5}"/>
    <cellStyle name="20% - Accent1 5 4 2" xfId="1992" xr:uid="{98C63B81-5B22-486A-8BA7-3E7E2272B214}"/>
    <cellStyle name="20% - Accent1 5 4 2 2" xfId="4181" xr:uid="{9AF82249-D490-4886-BC8C-7E786685F9A2}"/>
    <cellStyle name="20% - Accent1 5 4 2 2 2" xfId="18232" xr:uid="{DAF568B5-12EE-4E42-A737-CD509CA88A8A}"/>
    <cellStyle name="20% - Accent1 5 4 2 3" xfId="16041" xr:uid="{3EEAF45D-0B15-4E0A-A065-9BAC75AA2595}"/>
    <cellStyle name="20% - Accent1 5 4 3" xfId="3085" xr:uid="{4D9BD437-DD8F-4A2A-8BF4-30D18C30A51C}"/>
    <cellStyle name="20% - Accent1 5 4 3 2" xfId="17137" xr:uid="{36A44C7D-2601-4B1D-ACC6-7C3D2DEE2717}"/>
    <cellStyle name="20% - Accent1 5 4 4" xfId="14943" xr:uid="{8434B385-DF80-4A43-8091-8D0451E0D60F}"/>
    <cellStyle name="20% - Accent1 5 5" xfId="1300" xr:uid="{4E6C0E38-302D-4A58-BE4D-02508C37A704}"/>
    <cellStyle name="20% - Accent1 5 5 2" xfId="3491" xr:uid="{EE040FAE-0847-4CA9-96D8-DCE9BD4E4796}"/>
    <cellStyle name="20% - Accent1 5 5 2 2" xfId="17543" xr:uid="{758306D2-EC26-430D-9789-F79BEC4583DC}"/>
    <cellStyle name="20% - Accent1 5 5 3" xfId="15349" xr:uid="{6BA3D250-FBE8-4407-8AE9-D06FC932F700}"/>
    <cellStyle name="20% - Accent1 5 6" xfId="2392" xr:uid="{B7DE0D08-662F-4904-93D9-DCFFAF4C4C38}"/>
    <cellStyle name="20% - Accent1 5 6 2" xfId="16443" xr:uid="{740B8B58-7D83-4316-93AA-BC30A7970138}"/>
    <cellStyle name="20% - Accent1 5 7" xfId="4585" xr:uid="{CC0D37B5-B1E4-4D80-B9E3-6083DB3853FD}"/>
    <cellStyle name="20% - Accent1 5 7 2" xfId="18637" xr:uid="{1D6AD89D-FCE7-4E9D-8298-AA764AF7D9EC}"/>
    <cellStyle name="20% - Accent1 5 8" xfId="14248" xr:uid="{06291663-19F4-4F1F-AE47-251D4B37A436}"/>
    <cellStyle name="20% - Accent1 6" xfId="132" xr:uid="{11C9F971-58E2-4298-95FE-F9EC23F9F87E}"/>
    <cellStyle name="20% - Accent1 6 2" xfId="309" xr:uid="{E670FF3F-74F3-43E1-8BE6-4F19A872D695}"/>
    <cellStyle name="20% - Accent1 6 2 2" xfId="663" xr:uid="{5C9BE94E-99D3-4724-B34D-72EEB0B09F50}"/>
    <cellStyle name="20% - Accent1 6 2 2 2 2" xfId="3953" xr:uid="{5E53DDAB-E1FA-45C8-80F3-0C94C62C04B5}"/>
    <cellStyle name="20% - Accent1 6 2 2 2 2 2" xfId="18005" xr:uid="{A7D55031-0CA0-4DA8-B8B9-9BB8CD40AFA8}"/>
    <cellStyle name="20% - Accent1 6 2 2 2 3" xfId="15813" xr:uid="{3F76C815-0520-4A67-8115-F296FDF728D3}"/>
    <cellStyle name="20% - Accent1 6 2 2 3 2" xfId="16907" xr:uid="{D7B6258E-BB83-4573-8A25-1F016AADF090}"/>
    <cellStyle name="20% - Accent1 6 2 2 4" xfId="14714" xr:uid="{8F09A884-13E2-4BD6-8DF5-E0D9ECED9B1F}"/>
    <cellStyle name="20% - Accent1 6 2 3" xfId="1010" xr:uid="{DD766EC6-AE18-4C2A-A2AF-99F7EDC2AC83}"/>
    <cellStyle name="20% - Accent1 6 2 3 2" xfId="2109" xr:uid="{2AA0334B-E5AD-4F67-B043-47DCE1261CDD}"/>
    <cellStyle name="20% - Accent1 6 2 3 2 2" xfId="4298" xr:uid="{4A7E35F3-EE3F-4C8A-A12D-3C48D60BC67B}"/>
    <cellStyle name="20% - Accent1 6 2 3 2 2 2" xfId="18348" xr:uid="{7FB5BB8F-7954-4186-AFC7-DF11DEDE8C2F}"/>
    <cellStyle name="20% - Accent1 6 2 3 2 3" xfId="16158" xr:uid="{30194864-EF20-4ABC-AFDF-A8BEC95F7CC9}"/>
    <cellStyle name="20% - Accent1 6 2 3 3" xfId="3202" xr:uid="{8638395C-C6D7-4AA2-A037-DD8945C8B86B}"/>
    <cellStyle name="20% - Accent1 6 2 3 3 2" xfId="17254" xr:uid="{D6144990-CA42-4469-855B-A6A70117A0F1}"/>
    <cellStyle name="20% - Accent1 6 2 3 4" xfId="15060" xr:uid="{72EE3289-315D-4B63-B6AF-627FFB1722AB}"/>
    <cellStyle name="20% - Accent1 6 2 4" xfId="1590" xr:uid="{C5BD1626-03D4-4866-996A-BA3EC219B8CB}"/>
    <cellStyle name="20% - Accent1 6 2 4 2" xfId="3780" xr:uid="{21C38716-63BE-430A-95FB-DE204DA61FC0}"/>
    <cellStyle name="20% - Accent1 6 2 4 2 2" xfId="17833" xr:uid="{DF2510FC-107E-4A22-BC62-1D9490173023}"/>
    <cellStyle name="20% - Accent1 6 2 4 3" xfId="15639" xr:uid="{19790416-2955-4D36-B6C5-A87760CC2BA0}"/>
    <cellStyle name="20% - Accent1 6 2 5" xfId="2509" xr:uid="{DE8F8D13-9006-4E60-AC99-FBA9851E93FF}"/>
    <cellStyle name="20% - Accent1 6 2 5 2" xfId="16560" xr:uid="{B894A266-70F9-479D-8861-CF052B0CDA24}"/>
    <cellStyle name="20% - Accent1 6 2 6" xfId="4875" xr:uid="{9FBC4622-7ED4-4D9D-A8FE-A54CB4EA8E15}"/>
    <cellStyle name="20% - Accent1 6 2 6 2" xfId="18927" xr:uid="{C3C34227-F926-4BB1-A5C3-EBABDADA883B}"/>
    <cellStyle name="20% - Accent1 6 2 7" xfId="14366" xr:uid="{4B8FC0DD-1DA9-43D8-9EA4-0CE9A16A7160}"/>
    <cellStyle name="20% - Accent1 6 3" xfId="483" xr:uid="{BA5970A6-C0FA-405B-AA52-9F7E15E38FB7}"/>
    <cellStyle name="20% - Accent1 6 3 2" xfId="1416" xr:uid="{7DFDBC67-2B68-4E2F-B06A-14A3D603AD12}"/>
    <cellStyle name="20% - Accent1 6 3 2 2" xfId="3606" xr:uid="{AA87F02A-52EB-4A76-95CC-D81A158FE1A4}"/>
    <cellStyle name="20% - Accent1 6 3 2 2 2" xfId="17659" xr:uid="{AA25DC75-7AF3-449A-92E6-B25A9AD13DFE}"/>
    <cellStyle name="20% - Accent1 6 3 2 3" xfId="15465" xr:uid="{7C003E48-C252-416C-84E6-D6D5F5EE7D8D}"/>
    <cellStyle name="20% - Accent1 6 3 3" xfId="2682" xr:uid="{83F966CC-C315-41FD-B194-AE3AAC6F4250}"/>
    <cellStyle name="20% - Accent1 6 3 3 2" xfId="16733" xr:uid="{7D3583D9-8FC9-4A8C-B14B-60543EBB5EBE}"/>
    <cellStyle name="20% - Accent1 6 3 4" xfId="4701" xr:uid="{26906BF5-3523-45CD-9B06-C9C57DCAB7BF}"/>
    <cellStyle name="20% - Accent1 6 3 4 2" xfId="18753" xr:uid="{C5B4CCF8-9A20-43E9-9291-B8F72D030F0B}"/>
    <cellStyle name="20% - Accent1 6 3 5" xfId="14538" xr:uid="{04CE1A2C-E1E0-49B7-BC84-FC12B38EF514}"/>
    <cellStyle name="20% - Accent1 6 4" xfId="836" xr:uid="{D0AEBCB9-A8BE-47ED-833E-D7041281F32E}"/>
    <cellStyle name="20% - Accent1 6 4 2" xfId="1935" xr:uid="{36FF1BDB-E0A4-478F-8787-04AF0B9FC39E}"/>
    <cellStyle name="20% - Accent1 6 4 2 2" xfId="4124" xr:uid="{E303008E-E0CA-46FD-A02C-B9510A99CABF}"/>
    <cellStyle name="20% - Accent1 6 4 2 2 2" xfId="18176" xr:uid="{FA78A5B0-59D5-4070-9E29-B35185925D1B}"/>
    <cellStyle name="20% - Accent1 6 4 2 3" xfId="15984" xr:uid="{87B903A7-5A74-4ABE-A794-3A46E6AC6417}"/>
    <cellStyle name="20% - Accent1 6 4 3" xfId="3028" xr:uid="{55A7E039-F7DA-4396-B878-62C11A220A29}"/>
    <cellStyle name="20% - Accent1 6 4 3 2" xfId="17080" xr:uid="{18996DA9-5F6C-4C93-B9CD-4D816AE7AA13}"/>
    <cellStyle name="20% - Accent1 6 4 4" xfId="14886" xr:uid="{09A5D7F5-188D-4731-873A-CCDB7D77B7BC}"/>
    <cellStyle name="20% - Accent1 6 5" xfId="1244" xr:uid="{24E6D853-B998-47EA-8419-35C7A7E8FF86}"/>
    <cellStyle name="20% - Accent1 6 5 2" xfId="3434" xr:uid="{4B3CCB7A-0B04-4989-917D-E87B7CBA48A9}"/>
    <cellStyle name="20% - Accent1 6 5 2 2" xfId="17486" xr:uid="{6CCF018B-5C88-4F1B-89DF-C7FFEA00BB30}"/>
    <cellStyle name="20% - Accent1 6 5 3" xfId="15292" xr:uid="{1ACC7863-D942-4A23-AC14-C7D05D0F87DB}"/>
    <cellStyle name="20% - Accent1 6 6" xfId="2335" xr:uid="{0912A6ED-B196-4AAB-B519-6C6B707E7321}"/>
    <cellStyle name="20% - Accent1 6 6 2" xfId="16386" xr:uid="{7292EBE8-B187-44CC-A81C-2C7CFE77D129}"/>
    <cellStyle name="20% - Accent1 6 7" xfId="4528" xr:uid="{A24002DB-BC19-4E8D-9E6B-8331B90A1F91}"/>
    <cellStyle name="20% - Accent1 6 7 2" xfId="18580" xr:uid="{DFF3AC3E-0024-46A9-850E-95557A7FDA7C}"/>
    <cellStyle name="20% - Accent1 6 8" xfId="14191" xr:uid="{7CD6B578-358F-4509-A0BF-0A5F08FE9D5B}"/>
    <cellStyle name="20% - Accent1 7" xfId="249" xr:uid="{607F98B7-1276-419D-8116-55C988CC0B44}"/>
    <cellStyle name="20% - Accent1 7 2" xfId="603" xr:uid="{2BA67733-1E45-4AA1-B7B0-0590FDFCA182}"/>
    <cellStyle name="20% - Accent1 7 2 2" xfId="1708" xr:uid="{D9EA9355-2B8F-46CF-9E0D-98FF1C523104}"/>
    <cellStyle name="20% - Accent1 7 2 2 2" xfId="3896" xr:uid="{66A6F537-3D81-4EE2-9CED-255A181F3366}"/>
    <cellStyle name="20% - Accent1 7 2 2 2 2" xfId="17948" xr:uid="{B844DF54-5463-4A24-9AA2-F0F226DE93CA}"/>
    <cellStyle name="20% - Accent1 7 2 2 3" xfId="15756" xr:uid="{EF7849AC-02F1-40DD-BD04-E7D943535E47}"/>
    <cellStyle name="20% - Accent1 7 2 3" xfId="2799" xr:uid="{379EB9AD-115D-4D10-A710-DE3F10B18448}"/>
    <cellStyle name="20% - Accent1 7 2 3 2" xfId="16850" xr:uid="{03C09156-B398-4FA2-86C8-FAC8C1D25122}"/>
    <cellStyle name="20% - Accent1 7 2 4" xfId="14656" xr:uid="{A2FEEB29-A638-4226-8273-604AC0F4829A}"/>
    <cellStyle name="20% - Accent1 7 3" xfId="953" xr:uid="{E7BE6DD0-709C-4A8F-92AF-B9B218667BAE}"/>
    <cellStyle name="20% - Accent1 7 3 2" xfId="2052" xr:uid="{61C5556A-90AB-4E62-912D-E21D70705372}"/>
    <cellStyle name="20% - Accent1 7 3 2 2" xfId="4241" xr:uid="{5068D9C8-D5FC-4774-B12A-63D0020FDE7D}"/>
    <cellStyle name="20% - Accent1 7 3 2 2 2" xfId="18292" xr:uid="{F4827070-FD13-431F-B425-5161077BDD3B}"/>
    <cellStyle name="20% - Accent1 7 3 2 3" xfId="16101" xr:uid="{F4ACFCC9-2D18-4521-9B1E-C2A4482427B7}"/>
    <cellStyle name="20% - Accent1 7 3 3" xfId="3145" xr:uid="{974C460A-5796-49F0-95E8-E3DF36DF82A3}"/>
    <cellStyle name="20% - Accent1 7 3 3 2" xfId="17197" xr:uid="{ABDD5645-0E43-4A91-8E75-DC3D0A066C8D}"/>
    <cellStyle name="20% - Accent1 7 3 4" xfId="15003" xr:uid="{19E9D54E-36BE-4E01-A681-881C78F97201}"/>
    <cellStyle name="20% - Accent1 7 4" xfId="1533" xr:uid="{58DADAC3-EFE6-474D-B339-1355F66FBEAE}"/>
    <cellStyle name="20% - Accent1 7 4 2" xfId="3723" xr:uid="{B9ED721A-13B4-4465-B9BD-C6FCC8C9BCE4}"/>
    <cellStyle name="20% - Accent1 7 4 2 2" xfId="17776" xr:uid="{592DF15C-C066-4A27-AE26-B466BED58B07}"/>
    <cellStyle name="20% - Accent1 7 4 3" xfId="15582" xr:uid="{8A0F910D-BF34-4725-AE12-4FE77F66D9B7}"/>
    <cellStyle name="20% - Accent1 7 5" xfId="2452" xr:uid="{B9298053-A6A3-4A4D-A298-C03415B4198D}"/>
    <cellStyle name="20% - Accent1 7 5 2" xfId="16503" xr:uid="{9197F726-6B6B-4718-BC52-428F6A9F2948}"/>
    <cellStyle name="20% - Accent1 7 6" xfId="4818" xr:uid="{8CC406B6-2D33-4301-B79D-B86245DEE92B}"/>
    <cellStyle name="20% - Accent1 7 6 2" xfId="18870" xr:uid="{A6B62864-A12C-41D4-9FDC-776291715732}"/>
    <cellStyle name="20% - Accent1 7 7" xfId="14308" xr:uid="{B5CE68C8-73A3-4B5D-B1EA-B9D6882A98C8}"/>
    <cellStyle name="20% - Accent1 8" xfId="425" xr:uid="{E97DD803-B318-4E6D-AEB4-30AAD1271845}"/>
    <cellStyle name="20% - Accent1 8 2" xfId="1359" xr:uid="{3C99F2B9-A249-46B1-92D3-62EEA9DB1D3B}"/>
    <cellStyle name="20% - Accent1 8 2 2 2" xfId="17602" xr:uid="{24CB3A88-4B36-45B3-9BB7-DECCE136E959}"/>
    <cellStyle name="20% - Accent1 8 2 3" xfId="15408" xr:uid="{D4BC41EE-4CBB-4673-B8D5-53697CEABD1C}"/>
    <cellStyle name="20% - Accent1 8 3" xfId="2625" xr:uid="{702085DD-C3F0-4FD4-980F-FF534E72A06F}"/>
    <cellStyle name="20% - Accent1 8 3 2" xfId="16676" xr:uid="{20388CF9-ACBE-4B77-991F-270BEB6AD29E}"/>
    <cellStyle name="20% - Accent1 8 4" xfId="4644" xr:uid="{02B12FC7-0525-4DD4-8729-DAA98594E131}"/>
    <cellStyle name="20% - Accent1 8 4 2" xfId="18696" xr:uid="{255A92A2-C9EE-4D0F-A6BF-AE06BBD84854}"/>
    <cellStyle name="20% - Accent1 8 5" xfId="14481" xr:uid="{2F0E04A0-030A-43E0-85BF-4BA18851F52D}"/>
    <cellStyle name="20% - Accent1 9" xfId="779" xr:uid="{10121A4F-0066-457C-8FA7-73EE9F04492E}"/>
    <cellStyle name="20% - Accent1 9 2" xfId="1880" xr:uid="{57914ED7-F643-4BD8-97C5-F983D909B1BD}"/>
    <cellStyle name="20% - Accent1 9 2 2" xfId="4069" xr:uid="{9C9D31E9-873B-443E-AC8B-9932759B2041}"/>
    <cellStyle name="20% - Accent1 9 2 2 2" xfId="18121" xr:uid="{270A1769-10FD-4521-89ED-40454318ECEE}"/>
    <cellStyle name="20% - Accent1 9 2 3" xfId="15929" xr:uid="{6400EBBF-DFE7-4130-99B6-12E9347A6053}"/>
    <cellStyle name="20% - Accent1 9 3" xfId="2971" xr:uid="{6F77E272-63A0-4FB8-A098-7128ECE8F445}"/>
    <cellStyle name="20% - Accent1 9 3 2" xfId="17023" xr:uid="{F7DE1EE2-1098-400B-ACCD-CE095229734B}"/>
    <cellStyle name="20% - Accent1 9 4" xfId="14829" xr:uid="{D2B93B28-6B0A-4D39-BD79-83DCD3D9ADB5}"/>
    <cellStyle name="20% - Accent2" xfId="44" builtinId="34" customBuiltin="1"/>
    <cellStyle name="20% - Accent2 10" xfId="1188" xr:uid="{34209DB1-4342-42BA-A1D2-05ADE3BB1CDC}"/>
    <cellStyle name="20% - Accent2 10 2" xfId="3379" xr:uid="{21DF2452-4B52-4C70-8940-93BC6E0A6B69}"/>
    <cellStyle name="20% - Accent2 10 2 2" xfId="17431" xr:uid="{57728D26-8C8F-4A62-A710-2AA529D8EC69}"/>
    <cellStyle name="20% - Accent2 10 3" xfId="15237" xr:uid="{89491AB3-CD5B-4D22-B8AE-70E2022DB2BD}"/>
    <cellStyle name="20% - Accent2 11 2" xfId="16331" xr:uid="{A383A4B7-9092-40CF-97BB-1475E0DF400D}"/>
    <cellStyle name="20% - Accent2 12" xfId="4474" xr:uid="{BE909FCE-E86C-4CBB-BD5B-EA5533E26452}"/>
    <cellStyle name="20% - Accent2 12 2" xfId="18525" xr:uid="{B7CF8656-7CA3-441C-8CBD-E5F5A6867F56}"/>
    <cellStyle name="20% - Accent2 13" xfId="14123" xr:uid="{86B88568-557A-4562-A5CA-2ADE176B9AB5}"/>
    <cellStyle name="20% - Accent2 2" xfId="120" xr:uid="{5535B453-58CC-4462-B582-617CEDB7E5C0}"/>
    <cellStyle name="20% - Accent2 2 10" xfId="4518" xr:uid="{7C5A8595-9557-4432-979F-8005AEB07D83}"/>
    <cellStyle name="20% - Accent2 2 10 2" xfId="18569" xr:uid="{62E5549E-D977-48A2-BFC9-8E646C84E791}"/>
    <cellStyle name="20% - Accent2 2 11" xfId="14180" xr:uid="{57CE65BA-310B-452A-B04B-E4BA0FABFDC0}"/>
    <cellStyle name="20% - Accent2 2 2" xfId="235" xr:uid="{81AFDB01-1765-4F13-8B52-AC474D4DEB36}"/>
    <cellStyle name="20% - Accent2 2 2 2" xfId="412" xr:uid="{C7D03E6B-CFD5-4301-8D3E-477298E89954}"/>
    <cellStyle name="20% - Accent2 2 2 2 2" xfId="766" xr:uid="{51246F9D-9396-4E98-B424-87D0F3A67595}"/>
    <cellStyle name="20% - Accent2 2 2 2 2 2" xfId="1867" xr:uid="{9B42FFAC-BE31-42A8-A2F2-CF6B27F563EB}"/>
    <cellStyle name="20% - Accent2 2 2 2 2 2 2" xfId="4056" xr:uid="{A6BA83F5-F35C-4C5C-8C80-4E65409AAE62}"/>
    <cellStyle name="20% - Accent2 2 2 2 2 2 2 2" xfId="18108" xr:uid="{C5EDC6D7-83CA-4BC5-A366-A3F6B71F063D}"/>
    <cellStyle name="20% - Accent2 2 2 2 2 2 3" xfId="15916" xr:uid="{E7AEC988-59BC-4BAA-97F1-53254F93E5E9}"/>
    <cellStyle name="20% - Accent2 2 2 2 2 3" xfId="2958" xr:uid="{146B9EBB-4B79-43B7-A226-7A36214DACDD}"/>
    <cellStyle name="20% - Accent2 2 2 2 2 3 2" xfId="17010" xr:uid="{3B5AF58A-08DA-4BE1-8CF7-4A92533C10B9}"/>
    <cellStyle name="20% - Accent2 2 2 2 3" xfId="1113" xr:uid="{9AD65BD1-0120-4DC4-BCA5-D61492E1420E}"/>
    <cellStyle name="20% - Accent2 2 2 2 3 2" xfId="2212" xr:uid="{6709CE71-68DE-48CE-A3C5-47D63D86E0C5}"/>
    <cellStyle name="20% - Accent2 2 2 2 3 2 2" xfId="4401" xr:uid="{889A762F-ECE5-4C42-9DF3-4F7125AAABB1}"/>
    <cellStyle name="20% - Accent2 2 2 2 3 2 2 2" xfId="18451" xr:uid="{C9C814B8-DB0D-4359-B5BF-288E4BA642FC}"/>
    <cellStyle name="20% - Accent2 2 2 2 3 2 3" xfId="16261" xr:uid="{C73D08EE-262F-4049-9A6B-02209008ED80}"/>
    <cellStyle name="20% - Accent2 2 2 2 3 3" xfId="3305" xr:uid="{1D544716-DF5F-4BFE-9894-B272699B8EC0}"/>
    <cellStyle name="20% - Accent2 2 2 2 3 3 2" xfId="17357" xr:uid="{FDA2E4B4-4D70-40DE-9DE5-D9BD1B2C3491}"/>
    <cellStyle name="20% - Accent2 2 2 2 3 4" xfId="15163" xr:uid="{35E31A62-08A0-4390-90EB-349E3C97A0A8}"/>
    <cellStyle name="20% - Accent2 2 2 2 4" xfId="1693" xr:uid="{8C5DF708-7B9F-444B-B45E-248E0CDAB34B}"/>
    <cellStyle name="20% - Accent2 2 2 2 4 2" xfId="3883" xr:uid="{671C24C7-DF23-4482-A287-000B149A3CC9}"/>
    <cellStyle name="20% - Accent2 2 2 2 4 3" xfId="15742" xr:uid="{C00A77CE-F111-4B13-AE4F-9F25BBC8AA42}"/>
    <cellStyle name="20% - Accent2 2 2 2 5" xfId="2612" xr:uid="{E1B3FA51-1A5E-4B31-AF41-D04C9E162629}"/>
    <cellStyle name="20% - Accent2 2 2 2 5 2" xfId="16663" xr:uid="{EA3A55FF-92FD-4F25-B31C-887BBD751609}"/>
    <cellStyle name="20% - Accent2 2 2 2 6" xfId="4978" xr:uid="{CAD74C63-3341-4FBD-B50D-1DC3D8D4838C}"/>
    <cellStyle name="20% - Accent2 2 2 2 6 2" xfId="19030" xr:uid="{865DA57F-AA6F-4003-900F-EDD4FA5F5B82}"/>
    <cellStyle name="20% - Accent2 2 2 3" xfId="586" xr:uid="{F5DA08FE-EE4C-49F8-9F44-99EE80A594DE}"/>
    <cellStyle name="20% - Accent2 2 2 3 2" xfId="1519" xr:uid="{8A0E9150-3618-497F-B20E-5498FC057C88}"/>
    <cellStyle name="20% - Accent2 2 2 3 2 2" xfId="3709" xr:uid="{BCBB22F0-0FCB-4E17-965F-6D4D295A17DA}"/>
    <cellStyle name="20% - Accent2 2 2 3 2 2 2" xfId="17762" xr:uid="{D3076D20-3D7E-4893-98BA-F56F7173BEC9}"/>
    <cellStyle name="20% - Accent2 2 2 3 2 3" xfId="15568" xr:uid="{30EC4468-B3FA-437A-8152-657BB35FFB2C}"/>
    <cellStyle name="20% - Accent2 2 2 3 3" xfId="2785" xr:uid="{C55D0437-02C7-4D3A-84B6-D4ECE0EEEFB9}"/>
    <cellStyle name="20% - Accent2 2 2 3 3 2" xfId="16836" xr:uid="{4462AD19-4C29-4033-A492-E1DC1C8F6CA1}"/>
    <cellStyle name="20% - Accent2 2 2 3 4" xfId="4804" xr:uid="{F862B5B9-8E04-44D3-832B-6F8CB6E57373}"/>
    <cellStyle name="20% - Accent2 2 2 3 4 2" xfId="18856" xr:uid="{6DE085BE-C5F1-46A1-8DDF-8B074052E928}"/>
    <cellStyle name="20% - Accent2 2 2 3 5" xfId="14641" xr:uid="{F1208F01-A296-4AF1-B569-A59845A3111B}"/>
    <cellStyle name="20% - Accent2 2 2 4" xfId="939" xr:uid="{1D5B5C94-1F28-49A5-847A-8A63F5C9C5C4}"/>
    <cellStyle name="20% - Accent2 2 2 4 2" xfId="2038" xr:uid="{877ED09C-0F89-4FB0-9DCE-E2BC466CC736}"/>
    <cellStyle name="20% - Accent2 2 2 4 2 2" xfId="4227" xr:uid="{E595CC3F-E802-43CD-97BF-8E1C0457D0E2}"/>
    <cellStyle name="20% - Accent2 2 2 4 2 2 2" xfId="18278" xr:uid="{AA17BFFF-E659-4573-817D-419B57A016E1}"/>
    <cellStyle name="20% - Accent2 2 2 4 2 3" xfId="16087" xr:uid="{54E7AB9A-8157-4F7A-9017-BF58860FEB00}"/>
    <cellStyle name="20% - Accent2 2 2 4 3" xfId="3131" xr:uid="{47716A99-7514-4F44-B369-39DD4D74D321}"/>
    <cellStyle name="20% - Accent2 2 2 4 3 2" xfId="17183" xr:uid="{4A9CD2AB-883D-4A7A-8B7D-6AEBD87BACDB}"/>
    <cellStyle name="20% - Accent2 2 2 4 4" xfId="14989" xr:uid="{2B1F0CB1-06E9-47EC-A795-6042060F8886}"/>
    <cellStyle name="20% - Accent2 2 2 5" xfId="1346" xr:uid="{7DFCFCB5-D3D9-45D6-893C-FF99752D1F04}"/>
    <cellStyle name="20% - Accent2 2 2 5 2" xfId="3537" xr:uid="{DF451AFB-6001-4B71-ADAE-FB0CCAB32A93}"/>
    <cellStyle name="20% - Accent2 2 2 5 2 2" xfId="17589" xr:uid="{9A96496F-9AF4-40DD-808B-E259EAB45558}"/>
    <cellStyle name="20% - Accent2 2 2 5 3" xfId="15395" xr:uid="{B0831E98-6E89-4226-9488-9655E63B54F8}"/>
    <cellStyle name="20% - Accent2 2 2 6" xfId="2438" xr:uid="{ECA29B1F-146F-4964-90A0-F5E5A53FA869}"/>
    <cellStyle name="20% - Accent2 2 2 6 2" xfId="16489" xr:uid="{D5860C73-602F-4C9C-8991-415AA38E02BC}"/>
    <cellStyle name="20% - Accent2 2 2 7" xfId="4631" xr:uid="{5586F217-7134-4D22-B8B8-296C6A880F58}"/>
    <cellStyle name="20% - Accent2 2 2 7 2" xfId="18683" xr:uid="{4DF12F61-A9C3-4CB6-A5D6-738D53BBEB35}"/>
    <cellStyle name="20% - Accent2 2 2 8" xfId="14294" xr:uid="{6328FA15-96CD-428B-B4E6-1343AAA13E6D}"/>
    <cellStyle name="20% - Accent2 2 3" xfId="178" xr:uid="{6AA2CB52-A223-4C49-A393-3238846D3A1E}"/>
    <cellStyle name="20% - Accent2 2 3 2" xfId="355" xr:uid="{24E6C723-EEB3-46FA-8065-5AE85AFC59D7}"/>
    <cellStyle name="20% - Accent2 2 3 2 2" xfId="709" xr:uid="{E9DAC14A-C292-4A1F-8866-3ECF0E386411}"/>
    <cellStyle name="20% - Accent2 2 3 2 2 2" xfId="1810" xr:uid="{62254980-65BD-4F5F-8F45-FAFDBAEFC2F9}"/>
    <cellStyle name="20% - Accent2 2 3 2 2 2 2" xfId="3999" xr:uid="{DA5AD2BA-EC97-4FAA-AA27-08DDB875AF03}"/>
    <cellStyle name="20% - Accent2 2 3 2 2 2 2 2" xfId="18051" xr:uid="{21E69B0E-DA27-47A2-8777-974D534795F5}"/>
    <cellStyle name="20% - Accent2 2 3 2 2 2 3" xfId="15859" xr:uid="{7F56A414-709E-4D9C-8B39-A3098CC45BC7}"/>
    <cellStyle name="20% - Accent2 2 3 2 2 3" xfId="2901" xr:uid="{676BC026-2D78-4DA5-8621-0186CAC159C5}"/>
    <cellStyle name="20% - Accent2 2 3 2 2 3 2" xfId="16953" xr:uid="{DBD9441A-AC19-47F8-9644-E13893F93B52}"/>
    <cellStyle name="20% - Accent2 2 3 2 2 4" xfId="14760" xr:uid="{D2DB76BA-1620-4037-BAD4-318AAF48285F}"/>
    <cellStyle name="20% - Accent2 2 3 2 3" xfId="1056" xr:uid="{CBBCD4C0-4586-4701-A84F-C244043449B4}"/>
    <cellStyle name="20% - Accent2 2 3 2 3 2" xfId="2155" xr:uid="{21666A2F-0A78-4E8D-8575-1587E615EFC6}"/>
    <cellStyle name="20% - Accent2 2 3 2 3 2 2" xfId="4344" xr:uid="{62885E59-CA21-4C36-ACFA-1743FADE43BA}"/>
    <cellStyle name="20% - Accent2 2 3 2 3 2 2 2" xfId="18394" xr:uid="{BFEFA0EF-D938-4D64-B5F4-BA1D1A526A15}"/>
    <cellStyle name="20% - Accent2 2 3 2 3 2 3" xfId="16204" xr:uid="{DEBE0EC0-2371-466B-9B6E-F432D009A7F2}"/>
    <cellStyle name="20% - Accent2 2 3 2 3 3" xfId="3248" xr:uid="{D9AA119E-55E1-40C5-A082-5E46D6718C96}"/>
    <cellStyle name="20% - Accent2 2 3 2 3 3 2" xfId="17300" xr:uid="{4F8E5938-B95C-422C-8507-B2998FF02EF1}"/>
    <cellStyle name="20% - Accent2 2 3 2 3 4" xfId="15106" xr:uid="{A80C0279-6A1E-445A-9CC7-BC688BBD3801}"/>
    <cellStyle name="20% - Accent2 2 3 2 4" xfId="1636" xr:uid="{A797C55D-6457-41E7-9796-C98459C9CF60}"/>
    <cellStyle name="20% - Accent2 2 3 2 4 2" xfId="3826" xr:uid="{22712CE4-3FC2-480B-A2C6-E36A1A3A8E3C}"/>
    <cellStyle name="20% - Accent2 2 3 2 4 2 2" xfId="17879" xr:uid="{15B272EB-9135-4F27-B793-17B27097912E}"/>
    <cellStyle name="20% - Accent2 2 3 2 4 3" xfId="15685" xr:uid="{C11FDCB1-4A5A-4B7B-B027-C09BAEFAD30C}"/>
    <cellStyle name="20% - Accent2 2 3 2 5" xfId="2555" xr:uid="{B1262AF2-E330-4D2A-A431-F026B52FDF37}"/>
    <cellStyle name="20% - Accent2 2 3 2 5 2" xfId="16606" xr:uid="{CB7C8986-C11E-491F-9EE6-416BF1D02381}"/>
    <cellStyle name="20% - Accent2 2 3 2 6" xfId="4921" xr:uid="{F51C2620-A57E-44E8-B219-8F906A644B44}"/>
    <cellStyle name="20% - Accent2 2 3 2 6 2" xfId="18973" xr:uid="{FC745085-7EDA-4A00-999E-C27D9AEFEEC3}"/>
    <cellStyle name="20% - Accent2 2 3 2 7" xfId="14412" xr:uid="{253FDC58-A403-421A-8890-EBAA34CFD6AA}"/>
    <cellStyle name="20% - Accent2 2 3 3" xfId="529" xr:uid="{055A4279-DA62-45D8-BB9E-7C1F0C4FC45B}"/>
    <cellStyle name="20% - Accent2 2 3 3 2" xfId="1462" xr:uid="{9B6241C5-9C75-43BB-87EB-AEFE929FF753}"/>
    <cellStyle name="20% - Accent2 2 3 3 2 2" xfId="3652" xr:uid="{3D282ED4-70E6-4C9B-B95A-704F318A50E1}"/>
    <cellStyle name="20% - Accent2 2 3 3 2 2 2" xfId="17705" xr:uid="{B12D8501-484E-4F6E-99D2-E502DD95881D}"/>
    <cellStyle name="20% - Accent2 2 3 3 2 3" xfId="15511" xr:uid="{F2D9FBDE-34F5-4C0C-816A-8BB206FF0995}"/>
    <cellStyle name="20% - Accent2 2 3 3 3" xfId="2728" xr:uid="{6551A0D4-DE5F-4210-9AAA-3D9FBB65194D}"/>
    <cellStyle name="20% - Accent2 2 3 3 3 2" xfId="16779" xr:uid="{22C848E5-326C-4A1F-8939-4D366A1C41C5}"/>
    <cellStyle name="20% - Accent2 2 3 3 4" xfId="4747" xr:uid="{B7A28528-AD62-464A-A209-792E1EED59D4}"/>
    <cellStyle name="20% - Accent2 2 3 3 4 2" xfId="18799" xr:uid="{9AEE27EA-A858-4CA6-8170-D716CCA8F3D9}"/>
    <cellStyle name="20% - Accent2 2 3 3 5" xfId="14584" xr:uid="{2EC6273C-6B8C-488A-9562-6137336B767A}"/>
    <cellStyle name="20% - Accent2 2 3 4" xfId="882" xr:uid="{91F28660-2C94-4D64-8062-BD6036B47DFC}"/>
    <cellStyle name="20% - Accent2 2 3 4 2" xfId="1981" xr:uid="{54BAFB24-4E55-45AE-82CA-20F64F2D1E0C}"/>
    <cellStyle name="20% - Accent2 2 3 4 2 2" xfId="4170" xr:uid="{541C4EB2-6E89-40D0-9643-CE53D470D3B0}"/>
    <cellStyle name="20% - Accent2 2 3 4 2 2 2" xfId="18221" xr:uid="{64781135-FAE0-40E2-A807-9DF74EE88DCD}"/>
    <cellStyle name="20% - Accent2 2 3 4 2 3" xfId="16030" xr:uid="{EB771FB4-02CA-48C7-B50C-400B949D4CE1}"/>
    <cellStyle name="20% - Accent2 2 3 4 3" xfId="3074" xr:uid="{3DE06AD8-65D8-4C56-8B7F-6DAD326CBF5B}"/>
    <cellStyle name="20% - Accent2 2 3 4 3 2" xfId="17126" xr:uid="{74D7CFA4-C66E-4DD4-BFE2-4DD237461F5E}"/>
    <cellStyle name="20% - Accent2 2 3 4 4" xfId="14932" xr:uid="{139CF46B-E93A-446D-83F2-2B97F97D6F9C}"/>
    <cellStyle name="20% - Accent2 2 3 5 2" xfId="3480" xr:uid="{E145A1C5-E456-4A90-81C9-97429B494CF4}"/>
    <cellStyle name="20% - Accent2 2 3 5 2 2" xfId="17532" xr:uid="{13D20BCD-B76D-4D9B-BB79-BE3592894F32}"/>
    <cellStyle name="20% - Accent2 2 3 5 3" xfId="15338" xr:uid="{760729B1-22E3-4799-BEB2-B69ABC97EF17}"/>
    <cellStyle name="20% - Accent2 2 3 6" xfId="2381" xr:uid="{21BB1C4B-CE28-430B-99DA-82B2BEB6341E}"/>
    <cellStyle name="20% - Accent2 2 3 6 2" xfId="16432" xr:uid="{7310D14D-26E2-4925-A50A-9035E92B7AF6}"/>
    <cellStyle name="20% - Accent2 2 3 7" xfId="4574" xr:uid="{B0F08865-455F-48E4-9191-29A919F6DEBD}"/>
    <cellStyle name="20% - Accent2 2 3 7 2" xfId="18626" xr:uid="{C90BF44F-5935-40A4-B22F-82B709CA841E}"/>
    <cellStyle name="20% - Accent2 2 3 8" xfId="14237" xr:uid="{67E7F82B-6F05-4C37-80F3-21B4863A5775}"/>
    <cellStyle name="20% - Accent2 2 4" xfId="298" xr:uid="{E163919F-C5EA-460F-A91C-FB3932326D66}"/>
    <cellStyle name="20% - Accent2 2 4 2" xfId="652" xr:uid="{BC181A5E-0EDC-4A77-9C36-58EFB576BB3F}"/>
    <cellStyle name="20% - Accent2 2 4 2 2" xfId="1754" xr:uid="{65EA6A1C-FCC2-4C51-94BE-73BA7126B586}"/>
    <cellStyle name="20% - Accent2 2 4 2 2 2" xfId="3942" xr:uid="{F82331F8-EB66-4689-AB16-1F168E45036D}"/>
    <cellStyle name="20% - Accent2 2 4 2 2 2 2" xfId="17994" xr:uid="{0DEF4917-F623-421A-A604-38E9CB243D83}"/>
    <cellStyle name="20% - Accent2 2 4 2 2 3" xfId="15802" xr:uid="{6E977276-E1F7-45F7-A784-4D3D40F7B91F}"/>
    <cellStyle name="20% - Accent2 2 4 2 3" xfId="2845" xr:uid="{A26223CB-81C5-46F6-AFD4-A2C677579B53}"/>
    <cellStyle name="20% - Accent2 2 4 2 3 2" xfId="16896" xr:uid="{89CE9A57-4172-4330-961E-34DC0F9EB2F0}"/>
    <cellStyle name="20% - Accent2 2 4 2 4" xfId="14703" xr:uid="{CC563017-695D-4F8E-B21D-88D41EAA9AD3}"/>
    <cellStyle name="20% - Accent2 2 4 3" xfId="999" xr:uid="{E297763F-0133-45AC-A3A9-141362C83983}"/>
    <cellStyle name="20% - Accent2 2 4 3 2" xfId="2098" xr:uid="{5D028493-9EC9-4A50-923C-CD4FE34062BE}"/>
    <cellStyle name="20% - Accent2 2 4 3 2 2" xfId="4287" xr:uid="{B35F7C64-5C91-4074-9A75-B777912BDA9C}"/>
    <cellStyle name="20% - Accent2 2 4 3 2 3" xfId="16147" xr:uid="{BBF7C65D-1C0E-498B-B8F4-A8F7931A9528}"/>
    <cellStyle name="20% - Accent2 2 4 3 3" xfId="3191" xr:uid="{59A7DE70-8C9A-4780-8CEC-3CE904841E0D}"/>
    <cellStyle name="20% - Accent2 2 4 3 3 2" xfId="17243" xr:uid="{5E49F6B9-A947-4B36-AC0E-163D518A0BF2}"/>
    <cellStyle name="20% - Accent2 2 4 3 4" xfId="15049" xr:uid="{40ABDBE7-A23B-4F4B-ADB0-BAE521DE4215}"/>
    <cellStyle name="20% - Accent2 2 4 4" xfId="1579" xr:uid="{07828EDF-C118-4E2E-8024-724940AB8271}"/>
    <cellStyle name="20% - Accent2 2 4 4 2" xfId="3769" xr:uid="{B049F413-9864-4C91-8FE8-72CE87C3870A}"/>
    <cellStyle name="20% - Accent2 2 4 4 2 2" xfId="17822" xr:uid="{2BBE8E37-0C3C-4BB8-9C6C-05F2D54141D3}"/>
    <cellStyle name="20% - Accent2 2 4 4 3" xfId="15628" xr:uid="{E0653039-5124-4F8D-8BD0-088795FD0379}"/>
    <cellStyle name="20% - Accent2 2 4 5" xfId="2498" xr:uid="{8CFCAF42-0AC5-4225-B21E-79FB4D6B6E98}"/>
    <cellStyle name="20% - Accent2 2 4 5 2" xfId="16549" xr:uid="{45C2E52E-1527-43AE-9D1F-2AF86E7DB76C}"/>
    <cellStyle name="20% - Accent2 2 4 6" xfId="4864" xr:uid="{D6176613-19C7-40FC-8FFE-A49A239DF947}"/>
    <cellStyle name="20% - Accent2 2 4 6 2" xfId="18916" xr:uid="{264E571E-89B5-4042-BFDE-A3C234C9EC4A}"/>
    <cellStyle name="20% - Accent2 2 4 7" xfId="14355" xr:uid="{0B623306-0526-45BF-87D9-E983B87B84AA}"/>
    <cellStyle name="20% - Accent2 2 5" xfId="472" xr:uid="{CB950C70-A3F2-401A-8A0F-C876C9EF0FD5}"/>
    <cellStyle name="20% - Accent2 2 5 2" xfId="1405" xr:uid="{89B61490-9DE1-49AD-B4A3-39E1EA9E5EF9}"/>
    <cellStyle name="20% - Accent2 2 5 2 2" xfId="3595" xr:uid="{26E4A511-7A45-485D-A79F-F777938AA867}"/>
    <cellStyle name="20% - Accent2 2 5 2 2 2" xfId="17648" xr:uid="{58D33E86-5C76-4823-A844-F320776B4DAD}"/>
    <cellStyle name="20% - Accent2 2 5 2 3" xfId="15454" xr:uid="{FC84A839-0C9E-45EF-90D5-83218A9C8118}"/>
    <cellStyle name="20% - Accent2 2 5 3" xfId="2671" xr:uid="{CB24B9A9-90A5-4646-A05A-E275544C5615}"/>
    <cellStyle name="20% - Accent2 2 5 3 2" xfId="16722" xr:uid="{27ADFABF-0523-4992-B7A5-B5D286A23769}"/>
    <cellStyle name="20% - Accent2 2 5 4" xfId="4690" xr:uid="{F7D1817C-D8EB-4D5D-9038-B923175B7537}"/>
    <cellStyle name="20% - Accent2 2 5 4 2" xfId="18742" xr:uid="{2A8AA857-6813-4BEF-823E-9A63FDBECD36}"/>
    <cellStyle name="20% - Accent2 2 5 5" xfId="14527" xr:uid="{E3FD9A13-FE77-494D-A477-820A7C3EBB5E}"/>
    <cellStyle name="20% - Accent2 2 6" xfId="825" xr:uid="{5D276F10-65A2-4727-87A8-813ED2F145D7}"/>
    <cellStyle name="20% - Accent2 2 6 2" xfId="1924" xr:uid="{216B2F1D-1A33-4CBC-BB64-14144CAD9D5A}"/>
    <cellStyle name="20% - Accent2 2 6 2 2" xfId="4113" xr:uid="{592ACE34-FA37-46DE-88CF-49C408E5479A}"/>
    <cellStyle name="20% - Accent2 2 6 2 2 2" xfId="18165" xr:uid="{A92D7022-D367-4D66-BC3F-C4640B027C0B}"/>
    <cellStyle name="20% - Accent2 2 6 2 3" xfId="15973" xr:uid="{9ADC1946-40E3-4CE4-8CE8-42D8E2C0250D}"/>
    <cellStyle name="20% - Accent2 2 6 3" xfId="3017" xr:uid="{65AC874B-30AA-4BBB-951E-A3E50C172741}"/>
    <cellStyle name="20% - Accent2 2 6 3 2" xfId="17069" xr:uid="{5EB18E1C-0A5A-47C8-B723-7ED9E6CA3E66}"/>
    <cellStyle name="20% - Accent2 2 6 4" xfId="14875" xr:uid="{5CC87CA4-EF7F-41F7-86DA-B4AABD6C31F1}"/>
    <cellStyle name="20% - Accent2 2 7" xfId="1169" xr:uid="{5DAA63C6-61BD-4640-8E8F-4738111EC26C}"/>
    <cellStyle name="20% - Accent2 2 7 2" xfId="2268" xr:uid="{D03B6DCA-8144-41CD-A9D1-ABF4BB2416F0}"/>
    <cellStyle name="20% - Accent2 2 7 2 2" xfId="4457" xr:uid="{BC4AAACB-0BE1-440A-82B4-6FF5916F9B57}"/>
    <cellStyle name="20% - Accent2 2 7 2 2 2" xfId="18508" xr:uid="{A15E9484-4F74-499E-8FEE-66E9632C2F5F}"/>
    <cellStyle name="20% - Accent2 2 7 2 3" xfId="16318" xr:uid="{9F21CBDB-7669-4ABA-AC3F-339B915F187C}"/>
    <cellStyle name="20% - Accent2 2 7 3" xfId="3362" xr:uid="{75C42E25-5440-4E61-A7A0-B5881A0E7C16}"/>
    <cellStyle name="20% - Accent2 2 7 3 2" xfId="17414" xr:uid="{B264B7C8-8CE2-4A0E-A8B2-38701B0A5B93}"/>
    <cellStyle name="20% - Accent2 2 7 4" xfId="15220" xr:uid="{E16D94B8-3DD8-4944-AA52-16D0DC959244}"/>
    <cellStyle name="20% - Accent2 2 8" xfId="1233" xr:uid="{68BCBD2E-8649-4055-96B8-702FB670DCEA}"/>
    <cellStyle name="20% - Accent2 2 8 2" xfId="3423" xr:uid="{8361302D-DA95-4899-9B8A-05285E7B03DA}"/>
    <cellStyle name="20% - Accent2 2 8 2 2" xfId="17475" xr:uid="{9EE4D4B0-3357-4476-8674-24C6855AB5E2}"/>
    <cellStyle name="20% - Accent2 2 8 3" xfId="15281" xr:uid="{2E18D50A-25FA-46E8-8A75-755AF6A79D86}"/>
    <cellStyle name="20% - Accent2 2 9" xfId="2324" xr:uid="{FAC9CBB6-983F-45DC-9782-3A131C284531}"/>
    <cellStyle name="20% - Accent2 2 9 2" xfId="16375" xr:uid="{9B2466C8-2A8A-4DF6-ACC0-B30A3150D70E}"/>
    <cellStyle name="20% - Accent2 3" xfId="96" xr:uid="{B7EB260B-331D-4E49-9784-B304542CBD58}"/>
    <cellStyle name="20% - Accent2 3 10" xfId="4494" xr:uid="{F029F459-DF06-4A25-9662-027FF99B0538}"/>
    <cellStyle name="20% - Accent2 3 10 2" xfId="18545" xr:uid="{629B178D-7344-4748-83E0-2F091DA4B6E4}"/>
    <cellStyle name="20% - Accent2 3 11" xfId="14156" xr:uid="{118D028E-9C19-4311-A123-091CD9BE9CED}"/>
    <cellStyle name="20% - Accent2 3 2" xfId="211" xr:uid="{AF0AF78E-4CB4-43C4-870F-3D82AA435132}"/>
    <cellStyle name="20% - Accent2 3 2 2" xfId="388" xr:uid="{66E5E381-CF12-40A4-AECC-F2DB5D247C2F}"/>
    <cellStyle name="20% - Accent2 3 2 2 2" xfId="742" xr:uid="{E57FC846-FF8D-4CE8-B06C-7C2C18FAB4BC}"/>
    <cellStyle name="20% - Accent2 3 2 2 2 2" xfId="1843" xr:uid="{9CDA37F7-9D64-48B4-931F-D6E3CB16533F}"/>
    <cellStyle name="20% - Accent2 3 2 2 2 2 2" xfId="4032" xr:uid="{BC81E76D-FDD7-44BD-9316-22864650D40A}"/>
    <cellStyle name="20% - Accent2 3 2 2 2 2 2 2" xfId="18084" xr:uid="{4537248B-D19D-4198-829C-89727E56E40B}"/>
    <cellStyle name="20% - Accent2 3 2 2 2 2 3" xfId="15892" xr:uid="{1AB0AE7C-4C62-481F-BC9D-307CD0830EFD}"/>
    <cellStyle name="20% - Accent2 3 2 2 2 3" xfId="2934" xr:uid="{ED0D6B3D-2809-49D2-B9F9-199D2AD2961F}"/>
    <cellStyle name="20% - Accent2 3 2 2 2 3 2" xfId="16986" xr:uid="{E7F4D79A-5104-4877-BCC8-AC86435010A1}"/>
    <cellStyle name="20% - Accent2 3 2 2 2 4" xfId="14793" xr:uid="{AE16D082-6102-4FB9-955A-C561CC90B699}"/>
    <cellStyle name="20% - Accent2 3 2 2 3" xfId="1089" xr:uid="{92FDD61F-7A03-4170-BEC0-0BEB95230F8E}"/>
    <cellStyle name="20% - Accent2 3 2 2 3 2" xfId="2188" xr:uid="{B4C64AAA-C582-4929-8BD8-676ADE6E9BC8}"/>
    <cellStyle name="20% - Accent2 3 2 2 3 2 2" xfId="4377" xr:uid="{4E3A337A-FB5D-4CE6-A171-C3D379471145}"/>
    <cellStyle name="20% - Accent2 3 2 2 3 2 2 2" xfId="18427" xr:uid="{E05A8158-09F7-41A7-822F-0C24A68B8AF7}"/>
    <cellStyle name="20% - Accent2 3 2 2 3 2 3" xfId="16237" xr:uid="{5F6134A5-4ED4-437F-953A-72C067F50A4A}"/>
    <cellStyle name="20% - Accent2 3 2 2 3 3" xfId="3281" xr:uid="{CC6117B7-A5D8-4A6A-8EBD-A6A86FF65C04}"/>
    <cellStyle name="20% - Accent2 3 2 2 3 3 2" xfId="17333" xr:uid="{1965D0F1-F470-4DA8-819F-E0D90C87D0CD}"/>
    <cellStyle name="20% - Accent2 3 2 2 3 4" xfId="15139" xr:uid="{CABF959C-3D5C-4F29-8258-2559F06E0E63}"/>
    <cellStyle name="20% - Accent2 3 2 2 4" xfId="1669" xr:uid="{9CDF960B-9EE0-4FCB-BCF0-F7BE9CB15139}"/>
    <cellStyle name="20% - Accent2 3 2 2 4 2" xfId="3859" xr:uid="{D00F1235-0E5E-4DF7-B005-55BCF5732BD3}"/>
    <cellStyle name="20% - Accent2 3 2 2 4 2 2" xfId="17912" xr:uid="{5A1CA065-5FDA-4453-9622-C2E79E9A9544}"/>
    <cellStyle name="20% - Accent2 3 2 2 4 3" xfId="15718" xr:uid="{02063CFF-2D9E-4B7A-8B88-503F83340BAA}"/>
    <cellStyle name="20% - Accent2 3 2 2 5" xfId="2588" xr:uid="{F11C7747-E2AE-424F-AC7A-5A2E6DCA328A}"/>
    <cellStyle name="20% - Accent2 3 2 2 5 2" xfId="16639" xr:uid="{4839C797-8B49-45D2-8C1C-5A97B89CD06B}"/>
    <cellStyle name="20% - Accent2 3 2 2 6" xfId="4954" xr:uid="{70C83466-D2D6-4645-825C-E45C8FCC6059}"/>
    <cellStyle name="20% - Accent2 3 2 2 6 2" xfId="19006" xr:uid="{50E513FF-5607-47A7-9C95-1601FE985A06}"/>
    <cellStyle name="20% - Accent2 3 2 2 7" xfId="14445" xr:uid="{BB0C236E-B839-4C5C-BDED-42ABA5E214C2}"/>
    <cellStyle name="20% - Accent2 3 2 3" xfId="562" xr:uid="{2FC8AC50-7584-4D15-8627-754E7286BA66}"/>
    <cellStyle name="20% - Accent2 3 2 3 2" xfId="1495" xr:uid="{3D7466A2-97B0-42FB-BCDF-E58587D88895}"/>
    <cellStyle name="20% - Accent2 3 2 3 2 2" xfId="3685" xr:uid="{C9B5C106-27CC-42F6-B0B2-A61721D698C8}"/>
    <cellStyle name="20% - Accent2 3 2 3 2 2 2" xfId="17738" xr:uid="{AFE89B67-D80C-4901-AA02-4554CE08C8FD}"/>
    <cellStyle name="20% - Accent2 3 2 3 2 3" xfId="15544" xr:uid="{5CFB5AAB-30AB-4225-8F47-EEF5778695C9}"/>
    <cellStyle name="20% - Accent2 3 2 3 3" xfId="2761" xr:uid="{C4885F35-E9CA-445A-8F39-8E9E40F727F8}"/>
    <cellStyle name="20% - Accent2 3 2 3 3 2" xfId="16812" xr:uid="{0E423AA9-68CF-48F2-AC44-6F26FBAF6565}"/>
    <cellStyle name="20% - Accent2 3 2 3 4" xfId="4780" xr:uid="{2B36DF6D-F19A-418D-B059-2153D489FC7A}"/>
    <cellStyle name="20% - Accent2 3 2 3 4 2" xfId="18832" xr:uid="{0CE91EB5-AC40-4E83-BF7F-12A75F70744E}"/>
    <cellStyle name="20% - Accent2 3 2 3 5" xfId="14617" xr:uid="{019FA9DD-7C82-437F-9BBF-06ED5A0B833D}"/>
    <cellStyle name="20% - Accent2 3 2 4" xfId="915" xr:uid="{053B4934-3BC3-4E35-B6F9-1B2043639520}"/>
    <cellStyle name="20% - Accent2 3 2 4 2" xfId="2014" xr:uid="{18E6083B-4E00-44E3-B8DC-6A9C3DE60A44}"/>
    <cellStyle name="20% - Accent2 3 2 4 2 2" xfId="4203" xr:uid="{05A8626C-5496-4566-88A9-330C495E152B}"/>
    <cellStyle name="20% - Accent2 3 2 4 2 2 2" xfId="18254" xr:uid="{BABDED2A-954A-4415-A799-152F78F0FEAE}"/>
    <cellStyle name="20% - Accent2 3 2 4 2 3" xfId="16063" xr:uid="{58846738-A551-4F19-8F6B-853B84DF9A34}"/>
    <cellStyle name="20% - Accent2 3 2 4 3" xfId="3107" xr:uid="{BF66FB23-12A9-486F-8B98-B968576C056B}"/>
    <cellStyle name="20% - Accent2 3 2 4 3 2" xfId="17159" xr:uid="{1DA75454-F8FA-4881-A939-F557D26055C1}"/>
    <cellStyle name="20% - Accent2 3 2 4 4" xfId="14965" xr:uid="{2C3CE567-5387-4EE7-AE7B-C330B5391946}"/>
    <cellStyle name="20% - Accent2 3 2 5" xfId="1322" xr:uid="{534F2924-2B6B-435D-8E6D-AFF7B4FF7731}"/>
    <cellStyle name="20% - Accent2 3 2 5 2" xfId="3513" xr:uid="{DF756BCB-884E-476E-B797-349BC4AB643B}"/>
    <cellStyle name="20% - Accent2 3 2 5 2 2" xfId="17565" xr:uid="{167E563D-9C1F-44EE-90C4-33D7E8021B13}"/>
    <cellStyle name="20% - Accent2 3 2 5 3" xfId="15371" xr:uid="{75B72451-0BC1-4E95-8F70-6F176EA34183}"/>
    <cellStyle name="20% - Accent2 3 2 6" xfId="2414" xr:uid="{DB3A1A26-FF1C-4646-B159-B2E96D3514CA}"/>
    <cellStyle name="20% - Accent2 3 2 6 2" xfId="16465" xr:uid="{4B98F428-058A-4972-BAE1-E5DE4A092874}"/>
    <cellStyle name="20% - Accent2 3 2 7" xfId="4607" xr:uid="{BB28FDDB-38B4-4035-A37F-4549067F9559}"/>
    <cellStyle name="20% - Accent2 3 2 7 2" xfId="18659" xr:uid="{64B6ACA4-E821-4822-9F9A-A0F2397390F8}"/>
    <cellStyle name="20% - Accent2 3 2 8" xfId="14270" xr:uid="{406B2AFF-6A77-4E26-B355-6F002DC06930}"/>
    <cellStyle name="20% - Accent2 3 3" xfId="154" xr:uid="{CA55BEBC-69EB-4101-BDA4-4F0D57605DE1}"/>
    <cellStyle name="20% - Accent2 3 3 2" xfId="331" xr:uid="{12925EA0-5DFF-4596-9733-C5DF919E069F}"/>
    <cellStyle name="20% - Accent2 3 3 2 2" xfId="685" xr:uid="{0F0D2D42-80FC-4F40-8D2D-875895B8D00D}"/>
    <cellStyle name="20% - Accent2 3 3 2 2 2" xfId="1786" xr:uid="{779F39E8-F7E0-4556-83EB-F66EF24CBBB7}"/>
    <cellStyle name="20% - Accent2 3 3 2 2 2 2" xfId="3975" xr:uid="{2CE07008-7B27-4964-8FF8-3BC48EF3B69B}"/>
    <cellStyle name="20% - Accent2 3 3 2 2 2 2 2" xfId="18027" xr:uid="{CA011F84-684E-4299-AD8F-929DFD23DEF5}"/>
    <cellStyle name="20% - Accent2 3 3 2 2 2 3" xfId="15835" xr:uid="{F2513822-6AEB-49C2-AE07-55E0E24C9688}"/>
    <cellStyle name="20% - Accent2 3 3 2 2 3" xfId="2877" xr:uid="{D48C48AC-5C20-45C8-AA32-AB816078A38E}"/>
    <cellStyle name="20% - Accent2 3 3 2 2 3 2" xfId="16929" xr:uid="{0D30A7B8-4EB6-45EB-8B3C-CF1C1AA2EF9C}"/>
    <cellStyle name="20% - Accent2 3 3 2 2 4" xfId="14736" xr:uid="{DCD60E32-D735-4D38-8825-869BEEE8BB36}"/>
    <cellStyle name="20% - Accent2 3 3 2 3" xfId="1032" xr:uid="{C613A327-F0B2-48F1-BDC0-BDF5EED36990}"/>
    <cellStyle name="20% - Accent2 3 3 2 3 2" xfId="2131" xr:uid="{BA118C89-948A-485B-A005-585B8B1F9160}"/>
    <cellStyle name="20% - Accent2 3 3 2 3 2 2" xfId="4320" xr:uid="{63F56093-2899-4824-A286-459040598F82}"/>
    <cellStyle name="20% - Accent2 3 3 2 3 2 2 2" xfId="18370" xr:uid="{A6E835BD-F20A-455D-8E49-6B3B1D53FB98}"/>
    <cellStyle name="20% - Accent2 3 3 2 3 2 3" xfId="16180" xr:uid="{305EC955-618C-476C-B694-4D39B7FBFC94}"/>
    <cellStyle name="20% - Accent2 3 3 2 3 3" xfId="3224" xr:uid="{F7E08ECF-9C57-4222-A250-59368D428E79}"/>
    <cellStyle name="20% - Accent2 3 3 2 3 3 2" xfId="17276" xr:uid="{5C854E04-B17E-41E4-BC07-7EEB7502EBC6}"/>
    <cellStyle name="20% - Accent2 3 3 2 3 4" xfId="15082" xr:uid="{8D4640E8-F3A8-4357-B8CE-51D0C3CF8181}"/>
    <cellStyle name="20% - Accent2 3 3 2 4" xfId="1612" xr:uid="{5464E935-09CC-421D-BF0F-DFD021BA4514}"/>
    <cellStyle name="20% - Accent2 3 3 2 4 2" xfId="3802" xr:uid="{97FB3C9A-3744-4903-9128-77F232A641FB}"/>
    <cellStyle name="20% - Accent2 3 3 2 4 2 2" xfId="17855" xr:uid="{FC40BDCF-7C8A-43D3-8A8B-C724D5FBFE63}"/>
    <cellStyle name="20% - Accent2 3 3 2 4 3" xfId="15661" xr:uid="{8F6F4D6B-5569-4E69-AB04-02602B12ED3B}"/>
    <cellStyle name="20% - Accent2 3 3 2 5" xfId="2531" xr:uid="{E1AFA8CE-DB67-4958-95C9-5BAC07F43FBC}"/>
    <cellStyle name="20% - Accent2 3 3 2 5 2" xfId="16582" xr:uid="{68507BF6-9376-489F-8384-12413074005F}"/>
    <cellStyle name="20% - Accent2 3 3 2 6" xfId="4897" xr:uid="{E8A01EB8-60EA-41E8-A421-57E56980ADA3}"/>
    <cellStyle name="20% - Accent2 3 3 2 6 2" xfId="18949" xr:uid="{5972B6B9-1681-474E-9BE5-52D3A42645DA}"/>
    <cellStyle name="20% - Accent2 3 3 2 7" xfId="14388" xr:uid="{CBA1F73D-F985-4859-B2FB-6905F5AA432C}"/>
    <cellStyle name="20% - Accent2 3 3 3" xfId="505" xr:uid="{BD93B62A-B6FB-41EE-9B46-29C4CFC017AB}"/>
    <cellStyle name="20% - Accent2 3 3 3 2" xfId="1438" xr:uid="{8A83BF2E-0891-4650-8BB2-9DF9FA8DD761}"/>
    <cellStyle name="20% - Accent2 3 3 3 2 2" xfId="3628" xr:uid="{C87F4460-C371-43E2-A0BE-7CA37A86F49C}"/>
    <cellStyle name="20% - Accent2 3 3 3 2 2 2" xfId="17681" xr:uid="{13D6F86D-6E38-4820-BCB8-8611A8D6DA3F}"/>
    <cellStyle name="20% - Accent2 3 3 3 2 3" xfId="15487" xr:uid="{4926776B-EB6C-437D-A41D-15532A67D8B5}"/>
    <cellStyle name="20% - Accent2 3 3 3 3" xfId="2704" xr:uid="{CF5343BB-53E1-4278-B45F-8754C960979A}"/>
    <cellStyle name="20% - Accent2 3 3 3 3 2" xfId="16755" xr:uid="{D4CC22EB-E322-46C1-BF13-DC71E950394A}"/>
    <cellStyle name="20% - Accent2 3 3 3 4" xfId="4723" xr:uid="{09A32C4B-09B8-4A67-A1AB-4CBE7D419F56}"/>
    <cellStyle name="20% - Accent2 3 3 3 4 2" xfId="18775" xr:uid="{0C1B76A1-77CB-4B9E-AC8A-BAF478EFB48F}"/>
    <cellStyle name="20% - Accent2 3 3 3 5" xfId="14560" xr:uid="{5E4A4ACC-577C-46D9-98E1-C45D19703F69}"/>
    <cellStyle name="20% - Accent2 3 3 4" xfId="858" xr:uid="{D8D2D67B-9FC9-4348-AD6F-5985BE486528}"/>
    <cellStyle name="20% - Accent2 3 3 4 2" xfId="1957" xr:uid="{60F07418-77A7-43D9-9E0B-8E25F8CFD788}"/>
    <cellStyle name="20% - Accent2 3 3 4 2 2" xfId="4146" xr:uid="{6834501A-17D1-4FBB-B210-1ACBF21C0055}"/>
    <cellStyle name="20% - Accent2 3 3 4 2 2 2" xfId="18197" xr:uid="{AEB2EC8E-7F6D-4AD3-A429-441C3B93AFBC}"/>
    <cellStyle name="20% - Accent2 3 3 4 2 3" xfId="16006" xr:uid="{E2C7DF70-4EC0-4C02-ABAD-B7B650F16D95}"/>
    <cellStyle name="20% - Accent2 3 3 4 3" xfId="3050" xr:uid="{AA8F7B92-522B-4501-B9D8-D6DF3299C9C5}"/>
    <cellStyle name="20% - Accent2 3 3 4 3 2" xfId="17102" xr:uid="{469DAE40-A9B3-4238-9D95-EB3B965EA224}"/>
    <cellStyle name="20% - Accent2 3 3 4 4" xfId="14908" xr:uid="{5CD14C5D-3A00-4BF8-9BAF-13FF10D1E976}"/>
    <cellStyle name="20% - Accent2 3 3 5" xfId="1266" xr:uid="{BA5656B5-F3AE-4D6B-82DF-823FC031173B}"/>
    <cellStyle name="20% - Accent2 3 3 5 2" xfId="3456" xr:uid="{B90940C2-3357-4BE6-8335-EAF6D03DCD0A}"/>
    <cellStyle name="20% - Accent2 3 3 5 2 2" xfId="17508" xr:uid="{A6729DF9-3C8A-410E-85C0-1B428A9B96A4}"/>
    <cellStyle name="20% - Accent2 3 3 5 3" xfId="15314" xr:uid="{55C9C48C-D939-4D24-8358-18FE0D44F723}"/>
    <cellStyle name="20% - Accent2 3 3 6" xfId="2357" xr:uid="{A76DEB9E-C0E5-4D7C-B203-595FA99A9D2B}"/>
    <cellStyle name="20% - Accent2 3 3 6 2" xfId="16408" xr:uid="{8C1841E8-DD9B-48F5-9104-C95D491327F7}"/>
    <cellStyle name="20% - Accent2 3 3 7" xfId="4550" xr:uid="{7B7590B9-6530-4898-8849-055C122FBD34}"/>
    <cellStyle name="20% - Accent2 3 3 7 2" xfId="18602" xr:uid="{0E840B0F-F54F-41CB-88CB-D241C5258872}"/>
    <cellStyle name="20% - Accent2 3 3 8" xfId="14213" xr:uid="{D643E1B2-A5DA-43C5-A3C2-C0EDD279ABB2}"/>
    <cellStyle name="20% - Accent2 3 4" xfId="274" xr:uid="{A6647FAF-6536-4D87-87C5-7726E6A27D9B}"/>
    <cellStyle name="20% - Accent2 3 4 2" xfId="628" xr:uid="{91202FBB-6BAA-4121-8B0A-A57672CEF3F8}"/>
    <cellStyle name="20% - Accent2 3 4 2 2" xfId="1730" xr:uid="{73A4BE63-40AA-44EB-BC00-79EE48C71523}"/>
    <cellStyle name="20% - Accent2 3 4 2 2 2" xfId="3918" xr:uid="{18F7C1CD-04AF-4012-95FF-B2EFECD718C3}"/>
    <cellStyle name="20% - Accent2 3 4 2 2 2 2" xfId="17970" xr:uid="{D4CB629C-41C6-4927-8852-0C8966479833}"/>
    <cellStyle name="20% - Accent2 3 4 2 2 3" xfId="15778" xr:uid="{EA3A9D96-15E9-4E3F-9FF4-4615A502B457}"/>
    <cellStyle name="20% - Accent2 3 4 2 3" xfId="2821" xr:uid="{F0817696-AF39-434D-B273-6D1EFFD129FE}"/>
    <cellStyle name="20% - Accent2 3 4 2 3 2" xfId="16872" xr:uid="{7A48C160-9F77-4263-9F83-C929A97F2E88}"/>
    <cellStyle name="20% - Accent2 3 4 2 4" xfId="14679" xr:uid="{8C315D86-C083-4EC7-9EE9-07ADD23A17E1}"/>
    <cellStyle name="20% - Accent2 3 4 3" xfId="975" xr:uid="{D604B999-8C51-43D6-93E0-5C6BEFBF87FE}"/>
    <cellStyle name="20% - Accent2 3 4 3 2" xfId="2074" xr:uid="{4C03274C-3098-426F-BE95-136F516C150A}"/>
    <cellStyle name="20% - Accent2 3 4 3 2 2" xfId="4263" xr:uid="{573F0466-4B85-4E3C-B977-3E4B0D7647FB}"/>
    <cellStyle name="20% - Accent2 3 4 3 2 2 2" xfId="18314" xr:uid="{42593800-31F7-46C5-A97C-1BFA4D29FA6B}"/>
    <cellStyle name="20% - Accent2 3 4 3 2 3" xfId="16123" xr:uid="{DC63D7BD-E215-454A-933C-3CCF79D1A54F}"/>
    <cellStyle name="20% - Accent2 3 4 3 3" xfId="3167" xr:uid="{D31ACE08-390D-49A8-866C-E11CD9C5F166}"/>
    <cellStyle name="20% - Accent2 3 4 3 3 2" xfId="17219" xr:uid="{7796E485-673C-461C-ADF8-EA25CFDA2A6F}"/>
    <cellStyle name="20% - Accent2 3 4 3 4" xfId="15025" xr:uid="{D79499C9-6A1C-44CF-BE99-AB434A542E1C}"/>
    <cellStyle name="20% - Accent2 3 4 4" xfId="1555" xr:uid="{A8EC091E-9B15-4EA2-9FEC-B9ACCEF18C48}"/>
    <cellStyle name="20% - Accent2 3 4 4 2" xfId="3745" xr:uid="{3EDBC40F-416F-4624-97DF-2A7C272512B7}"/>
    <cellStyle name="20% - Accent2 3 4 4 2 2" xfId="17798" xr:uid="{2585FD64-0463-4216-A260-2186A81D086E}"/>
    <cellStyle name="20% - Accent2 3 4 4 3" xfId="15604" xr:uid="{81CDE464-E115-4D5E-B39F-021259589EE7}"/>
    <cellStyle name="20% - Accent2 3 4 5" xfId="2474" xr:uid="{AE5BB68B-75A6-4743-A242-2AA2E127A7C9}"/>
    <cellStyle name="20% - Accent2 3 4 5 2" xfId="16525" xr:uid="{1CF861E3-8577-4F37-8677-4A466C508A44}"/>
    <cellStyle name="20% - Accent2 3 4 6" xfId="4840" xr:uid="{2B28DAA5-9EA7-4D35-8CEE-6A76BC2F6277}"/>
    <cellStyle name="20% - Accent2 3 4 6 2" xfId="18892" xr:uid="{6392C981-FB69-43DA-A8AB-A8398A5474EA}"/>
    <cellStyle name="20% - Accent2 3 4 7" xfId="14331" xr:uid="{9751B1AB-9CE9-4160-B131-3C93E9533464}"/>
    <cellStyle name="20% - Accent2 3 5" xfId="448" xr:uid="{8CBBFBFF-064D-4FB0-9E7C-BD95E063238B}"/>
    <cellStyle name="20% - Accent2 3 5 2" xfId="1381" xr:uid="{E074A0B8-DA08-4C13-A39D-8B7C31178DC9}"/>
    <cellStyle name="20% - Accent2 3 5 2 2" xfId="3571" xr:uid="{DBA77682-3820-4313-AB35-F895B8DE8839}"/>
    <cellStyle name="20% - Accent2 3 5 2 2 2" xfId="17624" xr:uid="{0CA1DBB9-E5E5-4208-9A6D-8E9EF46E25DF}"/>
    <cellStyle name="20% - Accent2 3 5 2 3" xfId="15430" xr:uid="{A809A981-BB81-4AD7-AF4D-4900B5495C31}"/>
    <cellStyle name="20% - Accent2 3 5 3" xfId="2647" xr:uid="{708C1DFB-6C08-4618-A919-D2F84B06595E}"/>
    <cellStyle name="20% - Accent2 3 5 3 2" xfId="16698" xr:uid="{61C8162D-5D86-4BA2-989F-14BC920FBF1D}"/>
    <cellStyle name="20% - Accent2 3 5 4" xfId="4666" xr:uid="{AF5D2961-A566-4032-A600-A2609D494285}"/>
    <cellStyle name="20% - Accent2 3 5 4 2" xfId="18718" xr:uid="{09A3A5EB-8A26-4EA4-8AAA-F55B1D813CF7}"/>
    <cellStyle name="20% - Accent2 3 5 5" xfId="14503" xr:uid="{B55FDB14-5FA0-4AE4-B76D-B38E247FBBA8}"/>
    <cellStyle name="20% - Accent2 3 6" xfId="801" xr:uid="{7A93EC80-EF86-47D2-BC5C-E0E964822DC0}"/>
    <cellStyle name="20% - Accent2 3 6 2" xfId="1900" xr:uid="{2623163F-B534-48D4-874D-433955D9212A}"/>
    <cellStyle name="20% - Accent2 3 6 2 2" xfId="4089" xr:uid="{248EA5D0-F1C2-4908-9E6F-BF5A3912BDDA}"/>
    <cellStyle name="20% - Accent2 3 6 2 2 2" xfId="18141" xr:uid="{7DD9F33B-009C-40F8-B421-CE965D45F7DC}"/>
    <cellStyle name="20% - Accent2 3 6 2 3" xfId="15949" xr:uid="{05609195-0637-47DF-A4E5-AA02606B7732}"/>
    <cellStyle name="20% - Accent2 3 6 3" xfId="2993" xr:uid="{28C8A647-D2A6-4120-97E5-115AD5541377}"/>
    <cellStyle name="20% - Accent2 3 6 3 2" xfId="17045" xr:uid="{376E4AE8-CE71-47E6-A671-52242609A5D1}"/>
    <cellStyle name="20% - Accent2 3 6 4" xfId="14851" xr:uid="{B917FC22-A0BA-4FD4-9600-A4748F14EE56}"/>
    <cellStyle name="20% - Accent2 3 7" xfId="1145" xr:uid="{5335CF85-2E30-4DEE-81F7-DCDDF2BB54D6}"/>
    <cellStyle name="20% - Accent2 3 7 2" xfId="2245" xr:uid="{334C4D3D-4C3E-479B-98C2-8AB5863BFA01}"/>
    <cellStyle name="20% - Accent2 3 7 2 2" xfId="4434" xr:uid="{1B7013B5-CDBE-4752-A211-5E2081A085DB}"/>
    <cellStyle name="20% - Accent2 3 7 2 2 2" xfId="18484" xr:uid="{073B2987-B86D-4675-B7A2-52FAD5832C3D}"/>
    <cellStyle name="20% - Accent2 3 7 2 3" xfId="16294" xr:uid="{F2D0EDB6-9BD5-44F5-8888-C09A180FE6AD}"/>
    <cellStyle name="20% - Accent2 3 7 3" xfId="3338" xr:uid="{4FF2F45E-2C98-4D6F-8CAB-AF268D2B4001}"/>
    <cellStyle name="20% - Accent2 3 7 3 2" xfId="17390" xr:uid="{EF041A17-A9F2-4501-BD3B-189A7FBB0CE7}"/>
    <cellStyle name="20% - Accent2 3 7 4" xfId="15196" xr:uid="{5076133F-F9D1-41F6-802A-126DE0699770}"/>
    <cellStyle name="20% - Accent2 3 8" xfId="1209" xr:uid="{6B473491-E87C-43B3-B20B-860DD8219166}"/>
    <cellStyle name="20% - Accent2 3 8 2" xfId="3399" xr:uid="{C9C53D62-2F08-479E-BAEA-50F8BD4ACD93}"/>
    <cellStyle name="20% - Accent2 3 8 2 2" xfId="17451" xr:uid="{1E5B681E-B284-45ED-86C0-4D63F683622F}"/>
    <cellStyle name="20% - Accent2 3 8 3" xfId="15257" xr:uid="{A83A24CD-A6A1-4370-924D-8F0F55F8B60A}"/>
    <cellStyle name="20% - Accent2 3 9" xfId="2300" xr:uid="{BC26F497-52F8-462A-9293-7BACFA9F0553}"/>
    <cellStyle name="20% - Accent2 3 9 2" xfId="16351" xr:uid="{FE4EC1B6-2C63-4400-B62D-A11B816BBE98}"/>
    <cellStyle name="20% - Accent2 4" xfId="191" xr:uid="{0D1DF6B1-52E5-48F2-B67F-F44204633605}"/>
    <cellStyle name="20% - Accent2 4 2" xfId="368" xr:uid="{0F748CDA-3BB6-4292-B5E7-1DF953F511B4}"/>
    <cellStyle name="20% - Accent2 4 2 2" xfId="722" xr:uid="{5583FC38-A374-4A92-9407-E68F481C4208}"/>
    <cellStyle name="20% - Accent2 4 2 2 2" xfId="1823" xr:uid="{ED32025F-DE10-4304-918A-8AADD05B30F3}"/>
    <cellStyle name="20% - Accent2 4 2 2 2 2" xfId="4012" xr:uid="{E4517AB3-8457-4889-AE98-59BEAA8D9A3E}"/>
    <cellStyle name="20% - Accent2 4 2 2 2 2 2" xfId="18064" xr:uid="{E7181610-84BF-4678-A280-BC5885CDB9B2}"/>
    <cellStyle name="20% - Accent2 4 2 2 2 3" xfId="15872" xr:uid="{9C15954C-4AF6-42CB-BB1F-02909DA401C8}"/>
    <cellStyle name="20% - Accent2 4 2 2 3" xfId="2914" xr:uid="{39D2D3E0-E302-4695-B5C5-E3EF2C39753A}"/>
    <cellStyle name="20% - Accent2 4 2 2 3 2" xfId="16966" xr:uid="{EFA82F2A-C1B5-4C0D-8747-29476F9E53A1}"/>
    <cellStyle name="20% - Accent2 4 2 2 4" xfId="14773" xr:uid="{0B223607-6C7E-4041-A4AF-0C8AEF08C37C}"/>
    <cellStyle name="20% - Accent2 4 2 3" xfId="1069" xr:uid="{C368E6A5-7ED5-4349-9E32-933F9BDB4DFB}"/>
    <cellStyle name="20% - Accent2 4 2 3 2" xfId="2168" xr:uid="{E3C776EE-90B5-4531-9D1A-8ED2D09FA298}"/>
    <cellStyle name="20% - Accent2 4 2 3 2 2" xfId="4357" xr:uid="{751F7992-43BE-4418-9E1F-4D1B2D80F5C8}"/>
    <cellStyle name="20% - Accent2 4 2 3 2 2 2" xfId="18407" xr:uid="{4B49F5A7-C480-4F1D-B27B-9EB71D56591F}"/>
    <cellStyle name="20% - Accent2 4 2 3 2 3" xfId="16217" xr:uid="{E4E8891C-30A2-44D9-AA1A-A65527D152CF}"/>
    <cellStyle name="20% - Accent2 4 2 3 3" xfId="3261" xr:uid="{F70C8A6B-4DF2-4E78-9F93-77253D82575F}"/>
    <cellStyle name="20% - Accent2 4 2 3 3 2" xfId="17313" xr:uid="{119F4FDA-7CA0-48C2-90B8-9F90BD02BA59}"/>
    <cellStyle name="20% - Accent2 4 2 3 4" xfId="15119" xr:uid="{D998D696-22EE-4A3D-90B9-66ABA72A4A88}"/>
    <cellStyle name="20% - Accent2 4 2 4" xfId="1649" xr:uid="{0D6AF8CC-46B3-4C2F-9712-A0E6E89D38C5}"/>
    <cellStyle name="20% - Accent2 4 2 4 2" xfId="3839" xr:uid="{18EF5D9C-628B-4EAD-B81B-A2B0084E238B}"/>
    <cellStyle name="20% - Accent2 4 2 4 2 2" xfId="17892" xr:uid="{68043963-2693-4EA3-B5C9-6A1F6C46E011}"/>
    <cellStyle name="20% - Accent2 4 2 4 3" xfId="15698" xr:uid="{5895E1B4-2FEF-43B7-8818-32D0EDF3C605}"/>
    <cellStyle name="20% - Accent2 4 2 5" xfId="2568" xr:uid="{EEB76FBB-ECF2-4172-BA39-42A071F5A78B}"/>
    <cellStyle name="20% - Accent2 4 2 5 2" xfId="16619" xr:uid="{6E94BAAB-3E51-4761-90B6-3B3EF2BB7068}"/>
    <cellStyle name="20% - Accent2 4 2 6" xfId="4934" xr:uid="{AEA7B703-B0D6-4BA5-A9EA-3B5CB358CBDA}"/>
    <cellStyle name="20% - Accent2 4 2 6 2" xfId="18986" xr:uid="{55C9DF00-89FF-4E8C-A225-9B6C132FA2A4}"/>
    <cellStyle name="20% - Accent2 4 2 7" xfId="14425" xr:uid="{F9AF13B0-F1B0-4659-90A3-2BA90D0626B1}"/>
    <cellStyle name="20% - Accent2 4 3" xfId="542" xr:uid="{3C161876-B925-44BF-B633-0CDD7B96F662}"/>
    <cellStyle name="20% - Accent2 4 3 2" xfId="1475" xr:uid="{36785CB5-3766-4964-8BC3-DD7BAA4C7722}"/>
    <cellStyle name="20% - Accent2 4 3 2 2" xfId="3665" xr:uid="{8F010811-FE78-43B0-9619-125A6873E171}"/>
    <cellStyle name="20% - Accent2 4 3 2 2 2" xfId="17718" xr:uid="{A26D6669-E793-4B8F-9202-75445C113136}"/>
    <cellStyle name="20% - Accent2 4 3 2 3" xfId="15524" xr:uid="{CE24AB72-E18B-4BD9-9F15-D3E5171F4EF4}"/>
    <cellStyle name="20% - Accent2 4 3 3" xfId="2741" xr:uid="{B4477373-220C-4D26-818B-B619476C10FF}"/>
    <cellStyle name="20% - Accent2 4 3 3 2" xfId="16792" xr:uid="{1CD24859-A01D-4A6A-B4EC-FBC9B75F7C6A}"/>
    <cellStyle name="20% - Accent2 4 3 4" xfId="4760" xr:uid="{333A2765-FBD1-4BBF-859C-F0A779CAB499}"/>
    <cellStyle name="20% - Accent2 4 3 4 2" xfId="18812" xr:uid="{917D89E3-0B43-4AF9-B720-B0CF0512DFFB}"/>
    <cellStyle name="20% - Accent2 4 3 5" xfId="14597" xr:uid="{A373D080-7AFE-4B54-A64D-5A3308B0B4A2}"/>
    <cellStyle name="20% - Accent2 4 4" xfId="895" xr:uid="{8AD5A34B-A065-4CAD-A064-3EA2C9F42ED7}"/>
    <cellStyle name="20% - Accent2 4 4 2" xfId="1994" xr:uid="{7B48458B-2B2A-4162-9DB0-A90926D66ECA}"/>
    <cellStyle name="20% - Accent2 4 4 2 2" xfId="4183" xr:uid="{7A2AE543-27F8-410F-ACD9-68D09438994D}"/>
    <cellStyle name="20% - Accent2 4 4 2 2 2" xfId="18234" xr:uid="{72436423-9F8A-4F21-82C2-2A81EDA1840D}"/>
    <cellStyle name="20% - Accent2 4 4 2 3" xfId="16043" xr:uid="{86A4869C-D98D-4D23-9328-8D491E4A5A60}"/>
    <cellStyle name="20% - Accent2 4 4 3" xfId="3087" xr:uid="{A0070E20-4DF0-4FC5-B1D7-409203D5D883}"/>
    <cellStyle name="20% - Accent2 4 4 3 2" xfId="17139" xr:uid="{A4B7AF94-44E2-486B-B4EF-591793999742}"/>
    <cellStyle name="20% - Accent2 4 4 4" xfId="14945" xr:uid="{141F9794-B2F9-42A7-8CD8-1D1D9D6ED90E}"/>
    <cellStyle name="20% - Accent2 4 5" xfId="1302" xr:uid="{05FB2541-94C2-44C0-8EA7-A0F6E325483A}"/>
    <cellStyle name="20% - Accent2 4 5 2" xfId="3493" xr:uid="{37DE1512-70E7-4CB9-A4E2-12AD384EE4BF}"/>
    <cellStyle name="20% - Accent2 4 5 2 2" xfId="17545" xr:uid="{8AEBD28A-03C4-4DF2-A5A0-F54E8C530CF0}"/>
    <cellStyle name="20% - Accent2 4 5 3" xfId="15351" xr:uid="{4F4873B9-943E-47D7-B310-8FAED01BCB45}"/>
    <cellStyle name="20% - Accent2 4 6" xfId="2394" xr:uid="{441B3415-DB95-43D7-A68F-D2F38676835F}"/>
    <cellStyle name="20% - Accent2 4 6 2" xfId="16445" xr:uid="{527DB6C9-CE2A-4689-A2EE-61F4C1499BCC}"/>
    <cellStyle name="20% - Accent2 4 7" xfId="4587" xr:uid="{9456D3EF-6652-4608-B384-0EC4280EF837}"/>
    <cellStyle name="20% - Accent2 4 7 2" xfId="18639" xr:uid="{9B4082CA-1154-43C1-8197-7F109AB0EF99}"/>
    <cellStyle name="20% - Accent2 4 8" xfId="14250" xr:uid="{2DE5A802-6DF5-4B98-B042-F0D0DC6E3101}"/>
    <cellStyle name="20% - Accent2 5" xfId="134" xr:uid="{E6272478-3497-4F31-8210-C0BC8748C6D3}"/>
    <cellStyle name="20% - Accent2 5 2" xfId="311" xr:uid="{DBADC986-84D2-46D7-8EB0-5657C20334C9}"/>
    <cellStyle name="20% - Accent2 5 2 2" xfId="665" xr:uid="{A8185EE2-229D-41A6-8634-4D7EC84389D1}"/>
    <cellStyle name="20% - Accent2 5 2 2 2" xfId="1766" xr:uid="{2C6C4D59-DD43-4DD6-94D5-08AB3F3E8EB0}"/>
    <cellStyle name="20% - Accent2 5 2 2 2 2" xfId="3955" xr:uid="{0FBF78E9-42FF-41F5-9682-971759C274A6}"/>
    <cellStyle name="20% - Accent2 5 2 2 2 2 2" xfId="18007" xr:uid="{590D5C90-95F3-4184-AC61-249521A1BE2B}"/>
    <cellStyle name="20% - Accent2 5 2 2 2 3" xfId="15815" xr:uid="{522130DA-0843-4759-B95D-BF36EE0F23AB}"/>
    <cellStyle name="20% - Accent2 5 2 2 3" xfId="2857" xr:uid="{58D6A9BB-ABA7-4F08-A9ED-3B41A927C085}"/>
    <cellStyle name="20% - Accent2 5 2 2 3 2" xfId="16909" xr:uid="{D04E17B2-C5C2-4251-B3D8-57D7791394B9}"/>
    <cellStyle name="20% - Accent2 5 2 2 4" xfId="14716" xr:uid="{A0871631-9128-4CD0-A185-2029F03EE1BE}"/>
    <cellStyle name="20% - Accent2 5 2 3" xfId="1012" xr:uid="{9DCCA798-6FE3-4F87-BA07-02A421E71501}"/>
    <cellStyle name="20% - Accent2 5 2 3 2" xfId="2111" xr:uid="{B04FD8CE-6853-4721-A7BC-03DCB540442F}"/>
    <cellStyle name="20% - Accent2 5 2 3 2 2" xfId="4300" xr:uid="{802B7CC3-0C62-432A-AAAE-27E13CC8820B}"/>
    <cellStyle name="20% - Accent2 5 2 3 2 2 2" xfId="18350" xr:uid="{F6AC8344-6981-4F09-A079-D0AA98A28A06}"/>
    <cellStyle name="20% - Accent2 5 2 3 2 3" xfId="16160" xr:uid="{A2664239-23DC-4F0F-9908-1B382D063109}"/>
    <cellStyle name="20% - Accent2 5 2 3 3" xfId="3204" xr:uid="{A66C4412-C463-49B1-8DDA-97027948260D}"/>
    <cellStyle name="20% - Accent2 5 2 3 3 2" xfId="17256" xr:uid="{522D8CD6-FD87-45AE-BD73-B8257D2D273E}"/>
    <cellStyle name="20% - Accent2 5 2 3 4" xfId="15062" xr:uid="{0964221E-32AB-404A-B5B7-822C87552AD4}"/>
    <cellStyle name="20% - Accent2 5 2 4" xfId="1592" xr:uid="{1BD0F754-2DB1-488C-8B89-208D5C820331}"/>
    <cellStyle name="20% - Accent2 5 2 4 2" xfId="3782" xr:uid="{5408B22A-230F-4CB0-8A23-2A877CBDB18E}"/>
    <cellStyle name="20% - Accent2 5 2 4 2 2" xfId="17835" xr:uid="{48892F6A-6842-4528-9533-DA1F24B27DBD}"/>
    <cellStyle name="20% - Accent2 5 2 4 3" xfId="15641" xr:uid="{F17E3435-9D3F-4BA5-B493-D9BB2C3B2DE1}"/>
    <cellStyle name="20% - Accent2 5 2 5" xfId="2511" xr:uid="{01519350-8E1C-4A9C-B4B9-F6075DE8B929}"/>
    <cellStyle name="20% - Accent2 5 2 5 2" xfId="16562" xr:uid="{26C6F484-1429-4520-834F-7FDC990691F2}"/>
    <cellStyle name="20% - Accent2 5 2 6" xfId="4877" xr:uid="{94619FD5-0B3A-41FC-8F03-8F51B0ED4E99}"/>
    <cellStyle name="20% - Accent2 5 2 6 2" xfId="18929" xr:uid="{04D23DEB-B4BC-470C-A36A-87A7EBB72C8E}"/>
    <cellStyle name="20% - Accent2 5 2 7" xfId="14368" xr:uid="{1A470777-B23C-4F58-B0F0-220A7A402150}"/>
    <cellStyle name="20% - Accent2 5 3" xfId="485" xr:uid="{E4E8F577-85E6-4C1D-ABEB-9F4883958D09}"/>
    <cellStyle name="20% - Accent2 5 3 2" xfId="1418" xr:uid="{316867BC-69B7-4550-91FC-ACFD5276E512}"/>
    <cellStyle name="20% - Accent2 5 3 2 2" xfId="3608" xr:uid="{74844772-97DC-492D-83EB-E12F48CEEEFB}"/>
    <cellStyle name="20% - Accent2 5 3 2 2 2" xfId="17661" xr:uid="{5FD7A002-E305-45F3-90CE-6EB4779BD6D8}"/>
    <cellStyle name="20% - Accent2 5 3 2 3" xfId="15467" xr:uid="{9FE0D3CA-AABC-4A56-AE0E-63B6C3739274}"/>
    <cellStyle name="20% - Accent2 5 3 3" xfId="2684" xr:uid="{54560DAB-FF9C-4034-9E2E-D1D408762123}"/>
    <cellStyle name="20% - Accent2 5 3 3 2" xfId="16735" xr:uid="{F3D8D390-0B02-4261-9897-005B0D5AC43E}"/>
    <cellStyle name="20% - Accent2 5 3 4" xfId="4703" xr:uid="{0BDE34FE-D97B-467D-A3F4-FFB9400468CE}"/>
    <cellStyle name="20% - Accent2 5 3 4 2" xfId="18755" xr:uid="{9F2E49BC-289B-4E24-86CB-533580FCBCD2}"/>
    <cellStyle name="20% - Accent2 5 3 5" xfId="14540" xr:uid="{B05625E4-9773-430F-9346-2BFAE9B10FA0}"/>
    <cellStyle name="20% - Accent2 5 4" xfId="838" xr:uid="{F60FB302-2CD2-49BA-9BF8-634272E12ABA}"/>
    <cellStyle name="20% - Accent2 5 4 2" xfId="1937" xr:uid="{73A0607E-2B17-4F64-B985-118B3F4518BF}"/>
    <cellStyle name="20% - Accent2 5 4 2 2" xfId="4126" xr:uid="{26F9288B-67D0-41F6-9949-CD15BF0A305E}"/>
    <cellStyle name="20% - Accent2 5 4 2 2 2" xfId="18178" xr:uid="{EC57FC5A-3C2A-4BE6-8941-FB00E5CF26E8}"/>
    <cellStyle name="20% - Accent2 5 4 2 3" xfId="15986" xr:uid="{8618D3DD-9262-43A1-B5F3-7DA2CC229B62}"/>
    <cellStyle name="20% - Accent2 5 4 3" xfId="3030" xr:uid="{9A774726-8E9E-4E1B-B08A-B0F15357E86F}"/>
    <cellStyle name="20% - Accent2 5 4 3 2" xfId="17082" xr:uid="{FB6600BB-A097-4216-AF32-E2757C9592F2}"/>
    <cellStyle name="20% - Accent2 5 4 4" xfId="14888" xr:uid="{6B0163A9-47C6-4CAE-9B15-FDE0DF50DA55}"/>
    <cellStyle name="20% - Accent2 5 5" xfId="1246" xr:uid="{A3BB45EC-DD2E-41F2-A297-3CB64D1C319A}"/>
    <cellStyle name="20% - Accent2 5 5 2" xfId="3436" xr:uid="{F5AC595B-9BA0-49DC-A963-85719E3556BB}"/>
    <cellStyle name="20% - Accent2 5 5 2 2" xfId="17488" xr:uid="{04EDA570-5DF2-498A-84C6-31671B7A7A4D}"/>
    <cellStyle name="20% - Accent2 5 5 3" xfId="15294" xr:uid="{5E8DD752-95E6-4928-B913-3A495982D9A6}"/>
    <cellStyle name="20% - Accent2 5 6" xfId="2337" xr:uid="{4A30FA73-0007-4206-9221-114B0167ADBE}"/>
    <cellStyle name="20% - Accent2 5 6 2" xfId="16388" xr:uid="{AE825DD3-C863-4054-9333-296C1DBF4222}"/>
    <cellStyle name="20% - Accent2 5 7" xfId="4530" xr:uid="{D661F91E-1E13-4FA5-98EC-5DD346E520CC}"/>
    <cellStyle name="20% - Accent2 5 7 2" xfId="18582" xr:uid="{1B510AD5-B3B5-4A48-915E-A7CC6702EB0C}"/>
    <cellStyle name="20% - Accent2 5 8" xfId="14193" xr:uid="{F1EC8E9D-B6CA-4149-B238-B2CAC3D67ED8}"/>
    <cellStyle name="20% - Accent2 6" xfId="251" xr:uid="{A7055014-2309-492A-9743-D5E3706CED54}"/>
    <cellStyle name="20% - Accent2 6 2" xfId="605" xr:uid="{1530DBD0-CBCC-496B-BE5A-AFC315E01536}"/>
    <cellStyle name="20% - Accent2 6 2 2" xfId="1710" xr:uid="{3C3A6D08-54F2-4EF1-A943-62DA9C7DA461}"/>
    <cellStyle name="20% - Accent2 6 2 2 2" xfId="3898" xr:uid="{726B4FEF-CF00-451B-BD66-048AE78B8E7C}"/>
    <cellStyle name="20% - Accent2 6 2 2 2 2" xfId="17950" xr:uid="{4024E6E3-2BB0-45B9-B33A-FB0D82CE8AD4}"/>
    <cellStyle name="20% - Accent2 6 2 2 3" xfId="15758" xr:uid="{D1D17A01-962D-4696-B2F6-C94F735BB015}"/>
    <cellStyle name="20% - Accent2 6 2 3" xfId="2801" xr:uid="{D1A923BA-A8CA-457B-9B55-F0D56F785E01}"/>
    <cellStyle name="20% - Accent2 6 2 3 2" xfId="16852" xr:uid="{3DFD1DF7-63FF-4DF0-A37C-427BD83C749B}"/>
    <cellStyle name="20% - Accent2 6 2 4" xfId="14658" xr:uid="{EF034F51-9E38-4D72-8573-8E639C104787}"/>
    <cellStyle name="20% - Accent2 6 3" xfId="955" xr:uid="{B223CD3E-DBB2-493A-9710-6880F88C3860}"/>
    <cellStyle name="20% - Accent2 6 3 2" xfId="2054" xr:uid="{98536607-8C58-45B7-AFBE-E4A4B8A61DAD}"/>
    <cellStyle name="20% - Accent2 6 3 2 2" xfId="4243" xr:uid="{1229BF10-7864-4E3A-928B-BDDA575A8B58}"/>
    <cellStyle name="20% - Accent2 6 3 2 2 2" xfId="18294" xr:uid="{085A37AF-A978-496E-90AC-298617E75E76}"/>
    <cellStyle name="20% - Accent2 6 3 2 3" xfId="16103" xr:uid="{1DF01AC2-978E-4607-86E7-ACDAB103883A}"/>
    <cellStyle name="20% - Accent2 6 3 3" xfId="3147" xr:uid="{7A155F08-3CDF-4533-8F1A-1AB6A434B154}"/>
    <cellStyle name="20% - Accent2 6 3 3 2" xfId="17199" xr:uid="{07D1A727-FC74-4A20-94BA-1616118B7947}"/>
    <cellStyle name="20% - Accent2 6 3 4" xfId="15005" xr:uid="{B9000AB5-B3FF-4ACC-AA4F-A410EED4B909}"/>
    <cellStyle name="20% - Accent2 6 4" xfId="1535" xr:uid="{2A4563A6-C327-4DBB-9FAB-6D0B6B518573}"/>
    <cellStyle name="20% - Accent2 6 4 2" xfId="3725" xr:uid="{9F762B29-ADB3-4FC9-8B21-CB9E000046F8}"/>
    <cellStyle name="20% - Accent2 6 4 2 2" xfId="17778" xr:uid="{27ADC4A2-8D78-43EE-89BD-AD02A85A26CF}"/>
    <cellStyle name="20% - Accent2 6 4 3" xfId="15584" xr:uid="{8C92A004-D0A1-46C7-9D48-0F536453699C}"/>
    <cellStyle name="20% - Accent2 6 5" xfId="2454" xr:uid="{6477BA72-80B8-473A-8C17-0B4EB7F65847}"/>
    <cellStyle name="20% - Accent2 6 5 2" xfId="16505" xr:uid="{A9AAFA27-1D5F-40CF-B160-501F4E2F8172}"/>
    <cellStyle name="20% - Accent2 6 6" xfId="4820" xr:uid="{5322378E-32C8-4F13-BD50-AD22CC36B577}"/>
    <cellStyle name="20% - Accent2 6 6 2" xfId="18872" xr:uid="{EFCC6493-D9B3-40B8-ADDC-D06F270BCB52}"/>
    <cellStyle name="20% - Accent2 6 7" xfId="14310" xr:uid="{03F54000-231A-469A-BB62-CCC62D7E4687}"/>
    <cellStyle name="20% - Accent2 7" xfId="427" xr:uid="{B5640E47-F541-406B-BD57-9C347E3D00B7}"/>
    <cellStyle name="20% - Accent2 7 2" xfId="1361" xr:uid="{5A735817-C166-4A12-89D4-FE21E0CB653C}"/>
    <cellStyle name="20% - Accent2 7 2 2" xfId="3551" xr:uid="{5907A237-5D9A-4D22-AA5F-49CFCB5DB546}"/>
    <cellStyle name="20% - Accent2 7 2 2 2" xfId="17604" xr:uid="{B880AEBD-432A-40BE-A86C-57475934D7F3}"/>
    <cellStyle name="20% - Accent2 7 2 3" xfId="15410" xr:uid="{2FD8331E-1059-4AD9-BF72-B00A8C429BBE}"/>
    <cellStyle name="20% - Accent2 7 3" xfId="2627" xr:uid="{868E1D24-2981-4BA4-823C-B5CF0D3DD5E3}"/>
    <cellStyle name="20% - Accent2 7 3 2" xfId="16678" xr:uid="{6E74F667-AD4B-4236-80B8-CC6A9F97E924}"/>
    <cellStyle name="20% - Accent2 7 4" xfId="4646" xr:uid="{A09EF436-CF2E-41B7-B6A9-8C8C4ADBC39B}"/>
    <cellStyle name="20% - Accent2 7 4 2" xfId="18698" xr:uid="{DAF4B64C-C145-452D-BA89-0E71B0C2E759}"/>
    <cellStyle name="20% - Accent2 7 5" xfId="14483" xr:uid="{DF02809B-9029-41C5-A745-F173CE46E224}"/>
    <cellStyle name="20% - Accent2 8" xfId="781" xr:uid="{21678DE6-2F48-4D58-B958-D713E82FF0DF}"/>
    <cellStyle name="20% - Accent2 8 2" xfId="1882" xr:uid="{73D28619-DC7E-45F8-B35A-AE74D81F1956}"/>
    <cellStyle name="20% - Accent2 8 2 2" xfId="4071" xr:uid="{6E629E55-D746-4E70-ADCD-B5A1E6336140}"/>
    <cellStyle name="20% - Accent2 8 2 2 2" xfId="18123" xr:uid="{44412FF6-1F4B-49BC-B87F-AA6031145324}"/>
    <cellStyle name="20% - Accent2 8 2 3" xfId="15931" xr:uid="{4B46E24D-9E79-4F12-9E2C-3AF4DEA233F5}"/>
    <cellStyle name="20% - Accent2 8 3" xfId="2973" xr:uid="{18BE35D1-AC87-4EE1-8752-2919AD8619CC}"/>
    <cellStyle name="20% - Accent2 8 3 2" xfId="17025" xr:uid="{FBE058D8-110D-49A9-AF25-431BA45EB368}"/>
    <cellStyle name="20% - Accent2 8 4" xfId="14831" xr:uid="{BEB73377-8F9F-46D3-949E-5E2EF39D1F2B}"/>
    <cellStyle name="20% - Accent2 9" xfId="1125" xr:uid="{607F513A-6F0B-4A67-A923-BBC22D99C200}"/>
    <cellStyle name="20% - Accent2 9 2" xfId="2225" xr:uid="{A20E3116-B314-40F7-8C8C-943AC46FD253}"/>
    <cellStyle name="20% - Accent2 9 2 2" xfId="4414" xr:uid="{C1C27DE4-EF73-4EA2-B6E8-65B2DA855E3E}"/>
    <cellStyle name="20% - Accent2 9 2 2 2" xfId="18464" xr:uid="{182944EC-4D71-446A-A8D4-3DAF591DB453}"/>
    <cellStyle name="20% - Accent2 9 2 3" xfId="16274" xr:uid="{287A7442-31C0-48AC-A14E-1CD0BA4C7252}"/>
    <cellStyle name="20% - Accent2 9 3" xfId="3318" xr:uid="{7C44998D-F7BD-4AFF-A9A6-2977CA10AFF0}"/>
    <cellStyle name="20% - Accent2 9 3 2" xfId="17370" xr:uid="{7FF3D333-25B1-4535-B8C6-04DD9ADFE388}"/>
    <cellStyle name="20% - Accent2 9 4" xfId="15176" xr:uid="{48C9FD60-3C7C-487F-9273-CC7A97ACBBC3}"/>
    <cellStyle name="20% - Accent3" xfId="48" builtinId="38" customBuiltin="1"/>
    <cellStyle name="20% - Accent3 10" xfId="1190" xr:uid="{488C03BD-53A1-4857-9D29-0B556306B15A}"/>
    <cellStyle name="20% - Accent3 10 2" xfId="3381" xr:uid="{B1B77D60-AFCD-47DB-816D-A0E7B1E1AD50}"/>
    <cellStyle name="20% - Accent3 10 2 2" xfId="17433" xr:uid="{289168A1-EB73-40C0-86E6-F70E96E8AD53}"/>
    <cellStyle name="20% - Accent3 10 3" xfId="15239" xr:uid="{94ADACB3-CA3F-4808-84AD-8F0DE52D5CBF}"/>
    <cellStyle name="20% - Accent3 11" xfId="2282" xr:uid="{210A9646-5204-4E65-A1A3-026BDA234BED}"/>
    <cellStyle name="20% - Accent3 11 2" xfId="16333" xr:uid="{7985D251-45E1-4A0D-9823-8F8751F246DA}"/>
    <cellStyle name="20% - Accent3 12" xfId="4476" xr:uid="{C35E1022-82B8-4EF0-8527-2A2C9C86BE5B}"/>
    <cellStyle name="20% - Accent3 12 2" xfId="18527" xr:uid="{E6C6B4AD-6620-4017-B477-D8C8CCC937C8}"/>
    <cellStyle name="20% - Accent3 13" xfId="14126" xr:uid="{5550A5A6-28F5-45ED-B528-AC047BF8E31D}"/>
    <cellStyle name="20% - Accent3 2" xfId="122" xr:uid="{DF1A2DB6-3197-4D5B-8667-52AB07DA289F}"/>
    <cellStyle name="20% - Accent3 2 10" xfId="4520" xr:uid="{63C09580-D6A0-4567-87E5-23BC0AE085DF}"/>
    <cellStyle name="20% - Accent3 2 10 2" xfId="18571" xr:uid="{DBD0A6DE-4852-49A9-B542-F0423C07102C}"/>
    <cellStyle name="20% - Accent3 2 11" xfId="14182" xr:uid="{E98FE774-05CC-4692-AAA1-AA14200AF123}"/>
    <cellStyle name="20% - Accent3 2 2" xfId="237" xr:uid="{DC59FA7D-D7D3-4071-AF42-32F5B56FF4DE}"/>
    <cellStyle name="20% - Accent3 2 2 2" xfId="414" xr:uid="{1A0E05B1-AA73-4790-B60A-62C73185E26D}"/>
    <cellStyle name="20% - Accent3 2 2 2 2" xfId="768" xr:uid="{7E2402A0-E9EE-469E-9EDF-0A029260A9A3}"/>
    <cellStyle name="20% - Accent3 2 2 2 2 2" xfId="1869" xr:uid="{26C65F87-2688-4900-B22C-FE96ADC49DC0}"/>
    <cellStyle name="20% - Accent3 2 2 2 2 2 2" xfId="4058" xr:uid="{6DEED992-8B0B-4F3C-82EC-347EE6970F97}"/>
    <cellStyle name="20% - Accent3 2 2 2 2 2 2 2" xfId="18110" xr:uid="{75BCAF91-F9F6-403A-8516-1667E27F9748}"/>
    <cellStyle name="20% - Accent3 2 2 2 2 2 3" xfId="15918" xr:uid="{BD2ED4B5-FBE4-4DE6-8ACE-5525FEFD60BC}"/>
    <cellStyle name="20% - Accent3 2 2 2 2 3" xfId="2960" xr:uid="{A6E9CB83-8236-4D8A-812A-D2174DA97A91}"/>
    <cellStyle name="20% - Accent3 2 2 2 2 3 2" xfId="17012" xr:uid="{4F62FB49-219F-4E57-83D6-49D63327BCD3}"/>
    <cellStyle name="20% - Accent3 2 2 2 2 4" xfId="14818" xr:uid="{FCB18A02-A744-46FA-9098-A264E785795B}"/>
    <cellStyle name="20% - Accent3 2 2 2 3" xfId="1115" xr:uid="{05454663-47FD-449D-BDF1-8C7EE876CE6B}"/>
    <cellStyle name="20% - Accent3 2 2 2 3 2" xfId="2214" xr:uid="{33FA0312-5261-41FB-9816-74857C888A1F}"/>
    <cellStyle name="20% - Accent3 2 2 2 3 2 2" xfId="4403" xr:uid="{9CAEDA26-A08C-4DAF-BF1E-B21F345DB536}"/>
    <cellStyle name="20% - Accent3 2 2 2 3 2 2 2" xfId="18453" xr:uid="{9BF07A65-BCC4-406C-BA3C-6F065C54B668}"/>
    <cellStyle name="20% - Accent3 2 2 2 3 2 3" xfId="16263" xr:uid="{7DC9BADE-C463-4EB7-BA17-69CEC89F42A9}"/>
    <cellStyle name="20% - Accent3 2 2 2 3 3" xfId="3307" xr:uid="{992EB459-574D-4ACE-9393-01551FF1EB46}"/>
    <cellStyle name="20% - Accent3 2 2 2 3 3 2" xfId="17359" xr:uid="{F64FC2C9-EB42-4C87-86FF-878876FA2F58}"/>
    <cellStyle name="20% - Accent3 2 2 2 3 4" xfId="15165" xr:uid="{89C3C8DC-624E-48F4-861F-9EA79EF6AB5F}"/>
    <cellStyle name="20% - Accent3 2 2 2 4" xfId="1695" xr:uid="{555D686B-5362-4687-8F10-39AD0C9D83A2}"/>
    <cellStyle name="20% - Accent3 2 2 2 4 2" xfId="3885" xr:uid="{C24B8135-16C8-43CC-A147-7304E1069664}"/>
    <cellStyle name="20% - Accent3 2 2 2 4 2 2" xfId="17937" xr:uid="{2D0BDDD7-FA28-440C-9FB1-EDBAA27A3D88}"/>
    <cellStyle name="20% - Accent3 2 2 2 4 3" xfId="15744" xr:uid="{1969D1EB-905B-45F6-A719-DE40D7456E11}"/>
    <cellStyle name="20% - Accent3 2 2 2 5" xfId="2614" xr:uid="{E228F2DD-343E-4B25-AAD7-FC1DFA8D2A72}"/>
    <cellStyle name="20% - Accent3 2 2 2 5 2" xfId="16665" xr:uid="{6303E9FC-34F3-4BB5-851E-ABC157F5A9A5}"/>
    <cellStyle name="20% - Accent3 2 2 2 6" xfId="4980" xr:uid="{29BC6CD8-A987-4E36-A4E4-75D196AE3B51}"/>
    <cellStyle name="20% - Accent3 2 2 2 6 2" xfId="19032" xr:uid="{4D552D35-2CFB-4E9E-BB73-238202A01F6A}"/>
    <cellStyle name="20% - Accent3 2 2 2 7" xfId="14470" xr:uid="{598CD273-8939-4946-B3D1-E84A9074ED47}"/>
    <cellStyle name="20% - Accent3 2 2 3" xfId="588" xr:uid="{040EB9E1-97FD-494A-BADA-039C27BEB246}"/>
    <cellStyle name="20% - Accent3 2 2 3 2" xfId="1521" xr:uid="{F00FE2F8-FB54-4260-9170-5C9AF2CD76A7}"/>
    <cellStyle name="20% - Accent3 2 2 3 2 2" xfId="3711" xr:uid="{D0D3C64B-8253-401F-9C09-E735B3E16038}"/>
    <cellStyle name="20% - Accent3 2 2 3 2 2 2" xfId="17764" xr:uid="{D2C3BDDC-920C-4EEA-AD46-8E3C53C07CE1}"/>
    <cellStyle name="20% - Accent3 2 2 3 2 3" xfId="15570" xr:uid="{C5F6BB2C-E5DF-466F-8639-60B6EBB241E9}"/>
    <cellStyle name="20% - Accent3 2 2 3 3" xfId="2787" xr:uid="{799F680F-2C2D-4ADB-ACDA-6DD778A45F35}"/>
    <cellStyle name="20% - Accent3 2 2 3 3 2" xfId="16838" xr:uid="{AF208072-9AE8-432D-AC44-371A1F04829A}"/>
    <cellStyle name="20% - Accent3 2 2 3 4" xfId="4806" xr:uid="{CB5985BC-B41C-48D4-BE22-569AAB088D64}"/>
    <cellStyle name="20% - Accent3 2 2 3 4 2" xfId="18858" xr:uid="{0B948A1E-129D-43B2-BE7A-29EF52A7DCDF}"/>
    <cellStyle name="20% - Accent3 2 2 3 5" xfId="14643" xr:uid="{EE17BC6F-C7F4-4136-8AF0-FBE2A905C5E9}"/>
    <cellStyle name="20% - Accent3 2 2 4" xfId="941" xr:uid="{0688B62A-A5AB-4B37-9ADA-A60D2E1F2586}"/>
    <cellStyle name="20% - Accent3 2 2 4 2" xfId="2040" xr:uid="{59914D5E-D5CF-400C-8AD8-EBC2328C9C1E}"/>
    <cellStyle name="20% - Accent3 2 2 4 2 2" xfId="4229" xr:uid="{1EFBA205-9ED9-469E-B171-505E439602C4}"/>
    <cellStyle name="20% - Accent3 2 2 4 2 2 2" xfId="18280" xr:uid="{F7DA28EE-2A20-48D5-97E6-657567B46C10}"/>
    <cellStyle name="20% - Accent3 2 2 4 2 3" xfId="16089" xr:uid="{CFB07CBD-F1B8-4A53-A160-45B3056F7AEB}"/>
    <cellStyle name="20% - Accent3 2 2 4 3" xfId="3133" xr:uid="{883B5216-18DB-4D98-A1C9-5E397754271D}"/>
    <cellStyle name="20% - Accent3 2 2 4 3 2" xfId="17185" xr:uid="{1447EEAF-92A3-47DF-9CB3-6F1C4053045B}"/>
    <cellStyle name="20% - Accent3 2 2 4 4" xfId="14991" xr:uid="{FE81F020-FFA9-4B27-A899-28DDE2FBACE4}"/>
    <cellStyle name="20% - Accent3 2 2 5" xfId="1348" xr:uid="{48D6E6DE-6179-45ED-9818-62EFC7802557}"/>
    <cellStyle name="20% - Accent3 2 2 5 2" xfId="3539" xr:uid="{EF5D83B5-F50C-4EFA-8B9D-3C90E4E422F1}"/>
    <cellStyle name="20% - Accent3 2 2 5 2 2" xfId="17591" xr:uid="{C623CB30-F45B-4B5A-A333-61D2D2CA700F}"/>
    <cellStyle name="20% - Accent3 2 2 5 3" xfId="15397" xr:uid="{61D595C9-1E24-45E7-A974-16ED0C6E68F9}"/>
    <cellStyle name="20% - Accent3 2 2 6" xfId="2440" xr:uid="{DAFC3E33-E0BF-4CEA-A3DE-622CBF23AC3A}"/>
    <cellStyle name="20% - Accent3 2 2 6 2" xfId="16491" xr:uid="{855566A6-3598-4DF7-A106-9EF22C024E16}"/>
    <cellStyle name="20% - Accent3 2 2 7" xfId="4633" xr:uid="{7B958712-648E-4254-A0D5-829B2BD22982}"/>
    <cellStyle name="20% - Accent3 2 2 7 2" xfId="18685" xr:uid="{A54F0B81-7EBE-4CA7-BE9B-5CDC8F753929}"/>
    <cellStyle name="20% - Accent3 2 2 8" xfId="14296" xr:uid="{EB41E328-813C-44DC-86D0-A885C9A12E4C}"/>
    <cellStyle name="20% - Accent3 2 3" xfId="180" xr:uid="{5166CD65-3109-41D8-AEB5-6114EFA15258}"/>
    <cellStyle name="20% - Accent3 2 3 2" xfId="357" xr:uid="{8B8D1C88-B400-4AB8-8D8F-A0CC7CA7715B}"/>
    <cellStyle name="20% - Accent3 2 3 2 2" xfId="711" xr:uid="{396A0F2E-5EF2-4915-9CB9-80F1B9B03F8A}"/>
    <cellStyle name="20% - Accent3 2 3 2 2 2" xfId="1812" xr:uid="{4FFD6244-434D-46EF-9320-A33A8A9A1A90}"/>
    <cellStyle name="20% - Accent3 2 3 2 2 2 2" xfId="4001" xr:uid="{ADC27227-CECC-4D3F-BC53-032167970757}"/>
    <cellStyle name="20% - Accent3 2 3 2 2 2 2 2" xfId="18053" xr:uid="{E74F3C52-4CFC-4C00-B2DF-A425398F4C0F}"/>
    <cellStyle name="20% - Accent3 2 3 2 2 2 3" xfId="15861" xr:uid="{722D82EC-58D5-4DD3-8885-B82D2B340898}"/>
    <cellStyle name="20% - Accent3 2 3 2 2 3" xfId="2903" xr:uid="{A6852A0E-F783-451E-881C-2F6A6A3F0EBC}"/>
    <cellStyle name="20% - Accent3 2 3 2 2 3 2" xfId="16955" xr:uid="{68B94336-7C1C-4ED8-A5CD-024A870F98A1}"/>
    <cellStyle name="20% - Accent3 2 3 2 2 4" xfId="14762" xr:uid="{73F21D02-1546-49DB-8F51-EC79185E7EA4}"/>
    <cellStyle name="20% - Accent3 2 3 2 3" xfId="1058" xr:uid="{A8064459-A5AD-4028-8C55-7B2E46AD1F62}"/>
    <cellStyle name="20% - Accent3 2 3 2 3 2" xfId="2157" xr:uid="{84AA1782-F49D-4BD9-B2D5-C9793FEE3C23}"/>
    <cellStyle name="20% - Accent3 2 3 2 3 2 2" xfId="4346" xr:uid="{440BDFCA-31C7-433C-9943-906DD6FA2CA4}"/>
    <cellStyle name="20% - Accent3 2 3 2 3 2 2 2" xfId="18396" xr:uid="{CBFF9AB7-E413-4DE9-A961-DFFDEAB7AADF}"/>
    <cellStyle name="20% - Accent3 2 3 2 3 2 3" xfId="16206" xr:uid="{392F8D3E-2036-4D41-B451-88C5BA84F736}"/>
    <cellStyle name="20% - Accent3 2 3 2 3 3" xfId="3250" xr:uid="{D6D61F82-20A9-4602-AA02-EC747F0238C0}"/>
    <cellStyle name="20% - Accent3 2 3 2 3 3 2" xfId="17302" xr:uid="{A5EB313E-862F-466E-B99E-7F511BCEF028}"/>
    <cellStyle name="20% - Accent3 2 3 2 3 4" xfId="15108" xr:uid="{1F0B3CDD-85EA-4A92-B72B-DBAEE785DF93}"/>
    <cellStyle name="20% - Accent3 2 3 2 4" xfId="1638" xr:uid="{709D0EB3-06F2-4DF9-A387-9C9E74F8B728}"/>
    <cellStyle name="20% - Accent3 2 3 2 4 2" xfId="3828" xr:uid="{717B0D3D-5268-4117-BF96-01C189000459}"/>
    <cellStyle name="20% - Accent3 2 3 2 4 2 2" xfId="17881" xr:uid="{28C82F77-EBD8-461C-BA27-69BA12BF084F}"/>
    <cellStyle name="20% - Accent3 2 3 2 4 3" xfId="15687" xr:uid="{EA2C4273-62C7-479E-9392-C86AA49DD510}"/>
    <cellStyle name="20% - Accent3 2 3 2 5" xfId="2557" xr:uid="{C7AB7E0A-4B54-4738-AAE0-BE8F3F3AD7E8}"/>
    <cellStyle name="20% - Accent3 2 3 2 5 2" xfId="16608" xr:uid="{46D6F405-5C21-417E-8C2B-11E4667197DB}"/>
    <cellStyle name="20% - Accent3 2 3 2 6" xfId="4923" xr:uid="{08279893-D614-4427-BE81-6B76F0436EC6}"/>
    <cellStyle name="20% - Accent3 2 3 2 6 2" xfId="18975" xr:uid="{8F4632A0-D1DF-40C3-AFE6-0BB45A6F6CB0}"/>
    <cellStyle name="20% - Accent3 2 3 2 7" xfId="14414" xr:uid="{F99122A8-B3E3-417C-B8EC-3B42459087AB}"/>
    <cellStyle name="20% - Accent3 2 3 3" xfId="531" xr:uid="{E069C062-4977-4612-9AE5-2FD3AE384860}"/>
    <cellStyle name="20% - Accent3 2 3 3 2" xfId="1464" xr:uid="{899DF286-16CD-4870-922C-8AB04C829563}"/>
    <cellStyle name="20% - Accent3 2 3 3 2 2" xfId="3654" xr:uid="{254E81B7-E424-40DC-8810-9F970717CBF0}"/>
    <cellStyle name="20% - Accent3 2 3 3 2 2 2" xfId="17707" xr:uid="{62D62597-F7E1-46AF-98FE-AA0F79026ABA}"/>
    <cellStyle name="20% - Accent3 2 3 3 2 3" xfId="15513" xr:uid="{03AFCA71-3977-4342-80A3-8B8E770ACF4A}"/>
    <cellStyle name="20% - Accent3 2 3 3 3" xfId="2730" xr:uid="{868477F6-BB1F-4374-AE90-911D1B9DE11C}"/>
    <cellStyle name="20% - Accent3 2 3 3 3 2" xfId="16781" xr:uid="{9F468958-E46D-47CD-A49B-8E987B18E7C8}"/>
    <cellStyle name="20% - Accent3 2 3 3 4" xfId="4749" xr:uid="{E9B1D54F-6ACE-4CCD-A809-ACBCF13A2DD8}"/>
    <cellStyle name="20% - Accent3 2 3 3 4 2" xfId="18801" xr:uid="{561EBC12-113B-46A7-BFE4-EF6DBFDF5437}"/>
    <cellStyle name="20% - Accent3 2 3 3 5" xfId="14586" xr:uid="{278E38FA-8E98-436C-8343-2C09AE43D628}"/>
    <cellStyle name="20% - Accent3 2 3 4" xfId="884" xr:uid="{5F65F5D9-CB11-4F2B-A1A1-E38B5CF011C4}"/>
    <cellStyle name="20% - Accent3 2 3 4 2" xfId="1983" xr:uid="{247E4BE4-EDB6-43D8-AF11-CD414F87D385}"/>
    <cellStyle name="20% - Accent3 2 3 4 2 2" xfId="4172" xr:uid="{18B1B987-7923-4831-9D82-63C65F966A71}"/>
    <cellStyle name="20% - Accent3 2 3 4 2 2 2" xfId="18223" xr:uid="{93A3E910-A147-4031-8A3B-585397BB1F4C}"/>
    <cellStyle name="20% - Accent3 2 3 4 2 3" xfId="16032" xr:uid="{72AF27A1-58EB-4C37-82E1-7BAA38C3AFEB}"/>
    <cellStyle name="20% - Accent3 2 3 4 3" xfId="3076" xr:uid="{049AC6D4-4E8A-4754-AE17-0D8C8274F59D}"/>
    <cellStyle name="20% - Accent3 2 3 4 3 2" xfId="17128" xr:uid="{A8523C6E-720C-4FB3-8CD6-48161C99F229}"/>
    <cellStyle name="20% - Accent3 2 3 4 4" xfId="14934" xr:uid="{55EBAEDD-6A4E-4C53-AF13-2E521EF0EB1E}"/>
    <cellStyle name="20% - Accent3 2 3 5" xfId="1291" xr:uid="{E9085535-9F6C-41B3-9B2F-D6893E6E012B}"/>
    <cellStyle name="20% - Accent3 2 3 5 2" xfId="3482" xr:uid="{FF61C7C7-0485-4E3A-97C9-6F533282B494}"/>
    <cellStyle name="20% - Accent3 2 3 5 2 2" xfId="17534" xr:uid="{DB31E911-709E-450C-AD81-358B4444FB05}"/>
    <cellStyle name="20% - Accent3 2 3 5 3" xfId="15340" xr:uid="{7253F990-2847-40AD-BC50-F1564383DD71}"/>
    <cellStyle name="20% - Accent3 2 3 6" xfId="2383" xr:uid="{4B9DE09C-F012-4DB5-9549-0FD1A1EF1FE2}"/>
    <cellStyle name="20% - Accent3 2 3 6 2" xfId="16434" xr:uid="{B2F77C50-CF0E-4E0F-84B0-D5588624CBF8}"/>
    <cellStyle name="20% - Accent3 2 3 7" xfId="4576" xr:uid="{18EDF20D-BEDC-4B9E-97F4-18CFBC974CB2}"/>
    <cellStyle name="20% - Accent3 2 3 7 2" xfId="18628" xr:uid="{EE92199D-7DAD-47A5-9726-538ECCC047C9}"/>
    <cellStyle name="20% - Accent3 2 3 8" xfId="14239" xr:uid="{9E949BF0-41F9-4384-A5D6-B780EF8ACF97}"/>
    <cellStyle name="20% - Accent3 2 4" xfId="300" xr:uid="{9A1734D5-9885-4F9D-841B-3AAFD4CD3451}"/>
    <cellStyle name="20% - Accent3 2 4 2" xfId="654" xr:uid="{D39417C6-F609-4826-90FA-79DBDE1EE7BF}"/>
    <cellStyle name="20% - Accent3 2 4 2 2" xfId="1756" xr:uid="{D50970AA-2990-443A-94EC-5F49B07A1B1A}"/>
    <cellStyle name="20% - Accent3 2 4 2 2 2" xfId="3944" xr:uid="{418879F2-FCFC-4B2A-A7F8-C905AB3BA52F}"/>
    <cellStyle name="20% - Accent3 2 4 2 2 2 2" xfId="17996" xr:uid="{42B73303-8DB1-484A-A511-66BA08E0A7F5}"/>
    <cellStyle name="20% - Accent3 2 4 2 2 3" xfId="15804" xr:uid="{4DEA1867-9152-42BB-9577-DC1093F5870A}"/>
    <cellStyle name="20% - Accent3 2 4 2 3" xfId="2847" xr:uid="{BEA80C71-5105-4F0D-B057-4DB31DAAA471}"/>
    <cellStyle name="20% - Accent3 2 4 2 3 2" xfId="16898" xr:uid="{B104EF42-6E2A-4DCF-9C0C-C5E9A027754B}"/>
    <cellStyle name="20% - Accent3 2 4 2 4" xfId="14705" xr:uid="{5E621CC3-87AA-44A2-8EF3-ABBB6D4C4647}"/>
    <cellStyle name="20% - Accent3 2 4 3" xfId="1001" xr:uid="{561550D9-9C15-40F6-9A4E-A788799C4969}"/>
    <cellStyle name="20% - Accent3 2 4 3 2" xfId="2100" xr:uid="{B6330D80-A199-4DC1-9D34-646EC9D07F5A}"/>
    <cellStyle name="20% - Accent3 2 4 3 2 2" xfId="4289" xr:uid="{B642B462-730F-405B-87CE-011EB2E66D64}"/>
    <cellStyle name="20% - Accent3 2 4 3 2 2 2" xfId="18339" xr:uid="{D0B93F6B-3B5D-4E4A-914F-270203144624}"/>
    <cellStyle name="20% - Accent3 2 4 3 2 3" xfId="16149" xr:uid="{22CEF636-E451-4F78-89BB-850222A1C2AC}"/>
    <cellStyle name="20% - Accent3 2 4 3 3" xfId="3193" xr:uid="{414A345D-6C4B-4B8C-A5CA-D76C23D28A93}"/>
    <cellStyle name="20% - Accent3 2 4 3 3 2" xfId="17245" xr:uid="{48E3291E-C494-4F99-BA36-F195673AFEE5}"/>
    <cellStyle name="20% - Accent3 2 4 3 4" xfId="15051" xr:uid="{0488E38B-356D-4F79-AA3F-6D3D56CFB26A}"/>
    <cellStyle name="20% - Accent3 2 4 4" xfId="1581" xr:uid="{9BDA23A5-FB9B-4275-AA9C-1C6A076DFE44}"/>
    <cellStyle name="20% - Accent3 2 4 4 2" xfId="3771" xr:uid="{6C2500ED-6346-47D4-8BD9-16E500863EC7}"/>
    <cellStyle name="20% - Accent3 2 4 4 2 2" xfId="17824" xr:uid="{3B877694-EE16-43D5-9135-5DAA1849FE6E}"/>
    <cellStyle name="20% - Accent3 2 4 4 3" xfId="15630" xr:uid="{0ECA030D-9951-4A7D-B938-991E2A702CA5}"/>
    <cellStyle name="20% - Accent3 2 4 5" xfId="2500" xr:uid="{8828D04A-9DC6-42D2-8A72-018B54B12732}"/>
    <cellStyle name="20% - Accent3 2 4 5 2" xfId="16551" xr:uid="{05D472C2-F1BE-4789-8440-1BA4A9A846AE}"/>
    <cellStyle name="20% - Accent3 2 4 6" xfId="4866" xr:uid="{43CC7ED0-0B5D-49CE-B591-B117952D6F4A}"/>
    <cellStyle name="20% - Accent3 2 4 6 2" xfId="18918" xr:uid="{AAB0B236-CECA-412E-8971-CE6CCA7D5A5A}"/>
    <cellStyle name="20% - Accent3 2 4 7" xfId="14357" xr:uid="{DE8F66ED-AAAD-4344-A35E-1AEA909396C2}"/>
    <cellStyle name="20% - Accent3 2 5" xfId="474" xr:uid="{217AB9D1-CCF4-43F8-B170-C65B7C7C532D}"/>
    <cellStyle name="20% - Accent3 2 5 2" xfId="1407" xr:uid="{273CA7C6-4C46-4AA2-8A07-366B3D03E278}"/>
    <cellStyle name="20% - Accent3 2 5 2 2" xfId="3597" xr:uid="{15C107D5-F797-4F1A-9CCD-AE14D23B8989}"/>
    <cellStyle name="20% - Accent3 2 5 2 2 2" xfId="17650" xr:uid="{5EFF1015-3E36-4913-BC16-B6ACA065A6B4}"/>
    <cellStyle name="20% - Accent3 2 5 2 3" xfId="15456" xr:uid="{8155370A-DE6A-4569-97EE-12EB97BC61C7}"/>
    <cellStyle name="20% - Accent3 2 5 3" xfId="2673" xr:uid="{5486C6DF-BBD6-4DFD-B1AF-BC291A35DFEE}"/>
    <cellStyle name="20% - Accent3 2 5 3 2" xfId="16724" xr:uid="{9405D03B-1590-49F7-BE07-06ACDBDE7180}"/>
    <cellStyle name="20% - Accent3 2 5 4" xfId="4692" xr:uid="{8268710A-F81C-497C-91D0-0CBBF1E3C550}"/>
    <cellStyle name="20% - Accent3 2 5 4 2" xfId="18744" xr:uid="{039FB15F-8651-41DA-B7C9-04CD28C0D2B0}"/>
    <cellStyle name="20% - Accent3 2 5 5" xfId="14529" xr:uid="{6732BAFA-C6CC-442B-9572-7BCBDE35B571}"/>
    <cellStyle name="20% - Accent3 2 6" xfId="827" xr:uid="{C0A49F71-166E-49B7-ACB4-D8FA4F6F7669}"/>
    <cellStyle name="20% - Accent3 2 6 2" xfId="1926" xr:uid="{DE5AE584-9629-46CE-B5A0-E61AC5D76CE7}"/>
    <cellStyle name="20% - Accent3 2 6 2 2" xfId="4115" xr:uid="{949F9382-B835-4AA7-9188-0BD71F84EC7E}"/>
    <cellStyle name="20% - Accent3 2 6 2 2 2" xfId="18167" xr:uid="{EE1EF041-354F-402F-AFA8-9213C3EC4381}"/>
    <cellStyle name="20% - Accent3 2 6 2 3" xfId="15975" xr:uid="{7BA9FAE1-798F-4901-B599-FDBA79F3CD73}"/>
    <cellStyle name="20% - Accent3 2 6 3" xfId="3019" xr:uid="{EF6AB08C-B5C6-442D-891F-190EB428A68C}"/>
    <cellStyle name="20% - Accent3 2 6 3 2" xfId="17071" xr:uid="{B0D59709-5276-4D15-AF72-2C1614F33325}"/>
    <cellStyle name="20% - Accent3 2 6 4" xfId="14877" xr:uid="{354E9E8C-2633-4402-8FB7-DE795BA7810D}"/>
    <cellStyle name="20% - Accent3 2 7" xfId="1171" xr:uid="{5057AF99-D177-4F04-8D69-49D6F040FD8A}"/>
    <cellStyle name="20% - Accent3 2 7 2" xfId="2270" xr:uid="{BAD84992-AAC7-4654-BDE6-8205D45D3309}"/>
    <cellStyle name="20% - Accent3 2 7 2 2" xfId="4459" xr:uid="{AD580B3A-0E36-4273-A782-35B287D2C3D5}"/>
    <cellStyle name="20% - Accent3 2 7 2 2 2" xfId="18510" xr:uid="{F95D2936-A44E-43B7-A902-87E412297613}"/>
    <cellStyle name="20% - Accent3 2 7 2 3" xfId="16320" xr:uid="{0AF52518-F7CB-4BCB-A369-26F9E11A82AB}"/>
    <cellStyle name="20% - Accent3 2 7 3" xfId="3364" xr:uid="{A0E480A2-29EA-42E9-9625-C8D20B05B0E0}"/>
    <cellStyle name="20% - Accent3 2 7 3 2" xfId="17416" xr:uid="{B78700A1-FF23-40E4-A29F-1625B7298066}"/>
    <cellStyle name="20% - Accent3 2 7 4" xfId="15222" xr:uid="{4A577763-843B-4C07-80C5-68747DB40504}"/>
    <cellStyle name="20% - Accent3 2 8" xfId="1235" xr:uid="{3FDAE0A0-4494-42E1-97BF-55BCDD8BBFA6}"/>
    <cellStyle name="20% - Accent3 2 8 2" xfId="3425" xr:uid="{51C96B34-DD77-43FE-BAF5-30DF62A3D3B4}"/>
    <cellStyle name="20% - Accent3 2 8 2 2" xfId="17477" xr:uid="{6956F57E-54D7-4550-B8C5-AA373626139D}"/>
    <cellStyle name="20% - Accent3 2 8 3" xfId="15283" xr:uid="{639B928C-63E9-40F2-94D0-D973D8100A1B}"/>
    <cellStyle name="20% - Accent3 2 9" xfId="2326" xr:uid="{3D732366-D68B-4F36-ACF0-861E569021AF}"/>
    <cellStyle name="20% - Accent3 2 9 2" xfId="16377" xr:uid="{E46E3934-B909-4DB6-B80A-E587EEC2831F}"/>
    <cellStyle name="20% - Accent3 3" xfId="98" xr:uid="{1E20C441-C06E-4194-94F0-FB11EE03756E}"/>
    <cellStyle name="20% - Accent3 3 10" xfId="4496" xr:uid="{CE6BDFA9-E38C-4BF1-BCB5-9604AB53B222}"/>
    <cellStyle name="20% - Accent3 3 10 2" xfId="18547" xr:uid="{5CA0105B-F212-4BA6-A02F-5BDC894F9B8E}"/>
    <cellStyle name="20% - Accent3 3 11" xfId="14158" xr:uid="{781E30DC-3374-44FE-BB31-B2885E61AC8A}"/>
    <cellStyle name="20% - Accent3 3 2" xfId="213" xr:uid="{B01DE778-4426-4A57-BD2B-3AC979FB3EC2}"/>
    <cellStyle name="20% - Accent3 3 2 2" xfId="390" xr:uid="{8075AB8E-5C39-41F7-8F2D-3FA7565E5FF1}"/>
    <cellStyle name="20% - Accent3 3 2 2 2" xfId="744" xr:uid="{9C6B00BA-389C-414F-829D-D71B2DAECA39}"/>
    <cellStyle name="20% - Accent3 3 2 2 2 2" xfId="1845" xr:uid="{5350A566-DDA9-4DFB-9808-93A750555C9A}"/>
    <cellStyle name="20% - Accent3 3 2 2 2 2 2" xfId="4034" xr:uid="{72B07B04-D985-461B-A90D-3BA9BD29F673}"/>
    <cellStyle name="20% - Accent3 3 2 2 2 2 2 2" xfId="18086" xr:uid="{B3A4BCC7-3E21-4F73-ABE2-F0021579EE4F}"/>
    <cellStyle name="20% - Accent3 3 2 2 2 2 3" xfId="15894" xr:uid="{A5D5BBA5-0C46-4F50-A0C4-AA89AADFB039}"/>
    <cellStyle name="20% - Accent3 3 2 2 2 3" xfId="2936" xr:uid="{351F53B4-867A-4638-9C6F-60B4F26943E7}"/>
    <cellStyle name="20% - Accent3 3 2 2 2 3 2" xfId="16988" xr:uid="{30242597-4B91-4BE8-8910-B1D16402F764}"/>
    <cellStyle name="20% - Accent3 3 2 2 2 4" xfId="14795" xr:uid="{CC1420FB-7979-4550-A73C-2BAFEF611CDB}"/>
    <cellStyle name="20% - Accent3 3 2 2 3" xfId="1091" xr:uid="{964B0A95-7CF6-4DD6-8B46-4EDEFBAF11BA}"/>
    <cellStyle name="20% - Accent3 3 2 2 3 2" xfId="2190" xr:uid="{AC7EF837-C409-49E8-B0DE-DDAF57A1327F}"/>
    <cellStyle name="20% - Accent3 3 2 2 3 2 2" xfId="4379" xr:uid="{B560C14C-6B30-4935-8E62-935E5518866A}"/>
    <cellStyle name="20% - Accent3 3 2 2 3 2 2 2" xfId="18429" xr:uid="{7928629C-1351-4FC8-8FD5-3CF6A49A32BB}"/>
    <cellStyle name="20% - Accent3 3 2 2 3 2 3" xfId="16239" xr:uid="{9EAC05DF-9055-4D75-9A07-1B50860925EB}"/>
    <cellStyle name="20% - Accent3 3 2 2 3 3" xfId="3283" xr:uid="{4045BF9B-6D42-4618-8949-3BE6E479DA5A}"/>
    <cellStyle name="20% - Accent3 3 2 2 3 3 2" xfId="17335" xr:uid="{878C9C2F-EDDC-4CFB-A017-16B3347042CA}"/>
    <cellStyle name="20% - Accent3 3 2 2 3 4" xfId="15141" xr:uid="{10F71F70-55F1-49A6-B898-999DD48F2994}"/>
    <cellStyle name="20% - Accent3 3 2 2 4" xfId="1671" xr:uid="{7222B2D5-A10F-4BF5-9C60-1A813471E40F}"/>
    <cellStyle name="20% - Accent3 3 2 2 4 2" xfId="3861" xr:uid="{626C7DC7-55A0-4F80-9B95-4F5AFB9EC2BE}"/>
    <cellStyle name="20% - Accent3 3 2 2 4 2 2" xfId="17914" xr:uid="{AB7BA563-EE81-4120-A5DB-CFC4684D2642}"/>
    <cellStyle name="20% - Accent3 3 2 2 4 3" xfId="15720" xr:uid="{537D406A-11D7-460C-957D-E693AAE137FE}"/>
    <cellStyle name="20% - Accent3 3 2 2 5" xfId="2590" xr:uid="{E86F5E78-174F-4B05-B6FA-399FEAEADDED}"/>
    <cellStyle name="20% - Accent3 3 2 2 5 2" xfId="16641" xr:uid="{3F527703-8BBD-43AE-BF8B-16902AADF917}"/>
    <cellStyle name="20% - Accent3 3 2 2 6" xfId="4956" xr:uid="{3CF726CF-53D2-4321-93C3-E12539D39C81}"/>
    <cellStyle name="20% - Accent3 3 2 2 6 2" xfId="19008" xr:uid="{A5DF97A6-851F-4C02-9B58-D1A3C8618A18}"/>
    <cellStyle name="20% - Accent3 3 2 2 7" xfId="14447" xr:uid="{E3E5591C-CA4A-4228-913B-38D8F939482C}"/>
    <cellStyle name="20% - Accent3 3 2 3" xfId="564" xr:uid="{6E1BD788-CBAE-446D-875C-654915602022}"/>
    <cellStyle name="20% - Accent3 3 2 3 2" xfId="1497" xr:uid="{063FCA59-5CD3-4517-BF38-01D8EF5407C9}"/>
    <cellStyle name="20% - Accent3 3 2 3 2 2" xfId="3687" xr:uid="{FCB34DCD-6CEA-4AEE-B74E-1EB307BC18ED}"/>
    <cellStyle name="20% - Accent3 3 2 3 2 2 2" xfId="17740" xr:uid="{3372BB2C-3F50-4D1E-B514-E231BEDC1A0F}"/>
    <cellStyle name="20% - Accent3 3 2 3 2 3" xfId="15546" xr:uid="{477A8C7D-FCB6-4363-9BB4-D0E5DF5E2CFE}"/>
    <cellStyle name="20% - Accent3 3 2 3 3" xfId="2763" xr:uid="{B0775F3F-AAA6-4D82-842A-4AA54F1293E8}"/>
    <cellStyle name="20% - Accent3 3 2 3 3 2" xfId="16814" xr:uid="{8C2540D7-F4B1-4618-A34E-7816A0B97DEB}"/>
    <cellStyle name="20% - Accent3 3 2 3 4" xfId="4782" xr:uid="{0E809B6C-5F4A-4C55-A132-1D08CDCC900C}"/>
    <cellStyle name="20% - Accent3 3 2 3 4 2" xfId="18834" xr:uid="{10CFE94D-2E46-4680-BC8E-1DD73C48A6AB}"/>
    <cellStyle name="20% - Accent3 3 2 3 5" xfId="14619" xr:uid="{19548721-9091-42A6-9EDE-6B9DA446DE7B}"/>
    <cellStyle name="20% - Accent3 3 2 4" xfId="917" xr:uid="{A8AC74D1-BE67-44F6-9098-4607D0E49485}"/>
    <cellStyle name="20% - Accent3 3 2 4 2" xfId="2016" xr:uid="{FBCFB7A5-0255-46BC-974A-6B2CB4B0D37A}"/>
    <cellStyle name="20% - Accent3 3 2 4 2 2" xfId="4205" xr:uid="{D161E9E6-B446-4829-8486-3CFB687FD528}"/>
    <cellStyle name="20% - Accent3 3 2 4 2 2 2" xfId="18256" xr:uid="{988EA7E1-4F69-41E8-8E3E-0BCD1B503960}"/>
    <cellStyle name="20% - Accent3 3 2 4 2 3" xfId="16065" xr:uid="{9FBE6509-6A6C-4960-82DF-E0A950D9F918}"/>
    <cellStyle name="20% - Accent3 3 2 4 3" xfId="3109" xr:uid="{8A956C1F-9845-44E0-B845-AF738135AAFC}"/>
    <cellStyle name="20% - Accent3 3 2 4 3 2" xfId="17161" xr:uid="{D40AD415-78C3-432F-9989-CAC9EAC5C2DA}"/>
    <cellStyle name="20% - Accent3 3 2 4 4" xfId="14967" xr:uid="{C0CFDC4B-E779-4D2E-9D83-DFB0A9B99B76}"/>
    <cellStyle name="20% - Accent3 3 2 5" xfId="1324" xr:uid="{0E118551-BB57-4633-AAB7-E38F363AD2CD}"/>
    <cellStyle name="20% - Accent3 3 2 5 2" xfId="3515" xr:uid="{5D8ED6DB-D9A2-4C1C-86DD-E17BF711B9F8}"/>
    <cellStyle name="20% - Accent3 3 2 5 2 2" xfId="17567" xr:uid="{13C41C66-CFD8-42C3-85A5-D199D661CD7D}"/>
    <cellStyle name="20% - Accent3 3 2 5 3" xfId="15373" xr:uid="{A36882DC-C31A-4C65-8171-F787BCD7E217}"/>
    <cellStyle name="20% - Accent3 3 2 6" xfId="2416" xr:uid="{2B5D7087-1B4D-4F44-93F6-6191116D2129}"/>
    <cellStyle name="20% - Accent3 3 2 6 2" xfId="16467" xr:uid="{33DD1A01-C3FD-4769-9E6C-2C67C22C404B}"/>
    <cellStyle name="20% - Accent3 3 2 7" xfId="4609" xr:uid="{3D1992E7-2310-4466-8C1A-44D5D55D92B7}"/>
    <cellStyle name="20% - Accent3 3 2 7 2" xfId="18661" xr:uid="{94E4ADBC-7959-4254-812A-40ADCC2C9CAA}"/>
    <cellStyle name="20% - Accent3 3 2 8" xfId="14272" xr:uid="{97912B64-51A2-40F7-93B6-362C77A1840D}"/>
    <cellStyle name="20% - Accent3 3 3" xfId="156" xr:uid="{71BF0DAD-D71A-43A9-B434-74CD08993F7F}"/>
    <cellStyle name="20% - Accent3 3 3 2" xfId="333" xr:uid="{30A03758-CD23-4647-8251-34C29EB4B9D4}"/>
    <cellStyle name="20% - Accent3 3 3 2 2" xfId="687" xr:uid="{A210A7D8-0A03-42F2-BE3A-2A25AAA3F0A6}"/>
    <cellStyle name="20% - Accent3 3 3 2 2 2" xfId="1788" xr:uid="{EF011AA3-20E6-49B4-81E6-E6F73E31C5A8}"/>
    <cellStyle name="20% - Accent3 3 3 2 2 2 2" xfId="3977" xr:uid="{20168D49-0B21-40F8-B7F0-D4A3C1E6A3B0}"/>
    <cellStyle name="20% - Accent3 3 3 2 2 2 2 2" xfId="18029" xr:uid="{6BFD5C5B-C9E0-4346-8527-918498735545}"/>
    <cellStyle name="20% - Accent3 3 3 2 2 2 3" xfId="15837" xr:uid="{12BAB9B3-B89B-4828-B335-EE871BA48BAE}"/>
    <cellStyle name="20% - Accent3 3 3 2 2 3" xfId="2879" xr:uid="{18F6352D-E52C-44AF-8B81-63502B849F79}"/>
    <cellStyle name="20% - Accent3 3 3 2 2 3 2" xfId="16931" xr:uid="{55B787C6-86AF-46DF-8C41-6540C16AC980}"/>
    <cellStyle name="20% - Accent3 3 3 2 2 4" xfId="14738" xr:uid="{D58FA409-2E42-4E4D-B56A-244321CC09F3}"/>
    <cellStyle name="20% - Accent3 3 3 2 3" xfId="1034" xr:uid="{7ADFCF5E-3870-4DB0-92C8-A04D955A30C7}"/>
    <cellStyle name="20% - Accent3 3 3 2 3 2" xfId="2133" xr:uid="{CBFB62DD-FC64-485F-B6CA-5120A44653F2}"/>
    <cellStyle name="20% - Accent3 3 3 2 3 2 2" xfId="4322" xr:uid="{B58850D9-8E7F-490F-A8D5-263832C90FEC}"/>
    <cellStyle name="20% - Accent3 3 3 2 3 2 2 2" xfId="18372" xr:uid="{682AF206-FB94-4612-899A-41E32813D6D6}"/>
    <cellStyle name="20% - Accent3 3 3 2 3 2 3" xfId="16182" xr:uid="{CF91E8FB-1D11-433A-9A66-970599B09AE2}"/>
    <cellStyle name="20% - Accent3 3 3 2 3 3" xfId="3226" xr:uid="{0BF48ABB-AC16-4F9A-B7D6-4DCD006D5B01}"/>
    <cellStyle name="20% - Accent3 3 3 2 3 3 2" xfId="17278" xr:uid="{B682DB78-316F-4FAA-B039-6CF5D6F3532E}"/>
    <cellStyle name="20% - Accent3 3 3 2 3 4" xfId="15084" xr:uid="{96FA061E-8885-41F1-9956-9A374D8E599C}"/>
    <cellStyle name="20% - Accent3 3 3 2 4" xfId="1614" xr:uid="{BF0311E8-F421-4D69-BE68-4A1AC4489EF2}"/>
    <cellStyle name="20% - Accent3 3 3 2 4 2" xfId="3804" xr:uid="{3780F64C-9C55-4747-9774-F82FE7536AFB}"/>
    <cellStyle name="20% - Accent3 3 3 2 4 2 2" xfId="17857" xr:uid="{D563C428-68CC-40C5-881A-FD05B4FEE82E}"/>
    <cellStyle name="20% - Accent3 3 3 2 4 3" xfId="15663" xr:uid="{D4BE7B21-13E9-4850-ADB7-71ED126B8FFF}"/>
    <cellStyle name="20% - Accent3 3 3 2 5" xfId="2533" xr:uid="{F3652FED-146A-4AB9-9472-FF3FD558DC4F}"/>
    <cellStyle name="20% - Accent3 3 3 2 5 2" xfId="16584" xr:uid="{5F2C354D-334B-4DEA-9D2F-54BED98BB941}"/>
    <cellStyle name="20% - Accent3 3 3 2 6" xfId="4899" xr:uid="{822CCEF5-5984-498A-9962-6D5DB27B72A8}"/>
    <cellStyle name="20% - Accent3 3 3 2 6 2" xfId="18951" xr:uid="{EA8A0FEA-3DF4-4E5B-BE16-A801381E0922}"/>
    <cellStyle name="20% - Accent3 3 3 2 7" xfId="14390" xr:uid="{8BFC28BC-BEC7-4F4C-9727-A73C0F68586B}"/>
    <cellStyle name="20% - Accent3 3 3 3" xfId="507" xr:uid="{EF06C9D2-7C93-4B4A-A810-415E3842BFFF}"/>
    <cellStyle name="20% - Accent3 3 3 3 2" xfId="1440" xr:uid="{09645919-F2C1-4792-8BAA-D90454AA9482}"/>
    <cellStyle name="20% - Accent3 3 3 3 2 2" xfId="3630" xr:uid="{CFFC8431-D853-4CC3-965A-B79B8CB4BD9D}"/>
    <cellStyle name="20% - Accent3 3 3 3 2 2 2" xfId="17683" xr:uid="{286B7F53-3267-4BC0-912C-6984351CC50B}"/>
    <cellStyle name="20% - Accent3 3 3 3 2 3" xfId="15489" xr:uid="{7812BCDE-7DF0-4F09-9A39-81381FF728DE}"/>
    <cellStyle name="20% - Accent3 3 3 3 3" xfId="2706" xr:uid="{AE64A066-7F18-42F0-8E8D-339DDE585D51}"/>
    <cellStyle name="20% - Accent3 3 3 3 3 2" xfId="16757" xr:uid="{748EC346-EEB3-4D70-95FD-6F84A56D6BDB}"/>
    <cellStyle name="20% - Accent3 3 3 3 4" xfId="4725" xr:uid="{425E725A-82EE-4FB6-A349-21CA3EAB8B9D}"/>
    <cellStyle name="20% - Accent3 3 3 3 4 2" xfId="18777" xr:uid="{CE2DFF39-3EC1-4A77-9347-B5582ED1AD81}"/>
    <cellStyle name="20% - Accent3 3 3 3 5" xfId="14562" xr:uid="{658E673C-80AC-49AB-BF67-1A73CEF4089C}"/>
    <cellStyle name="20% - Accent3 3 3 4" xfId="860" xr:uid="{50573F7D-EE24-46E3-9B30-F10731D358EA}"/>
    <cellStyle name="20% - Accent3 3 3 4 2" xfId="1959" xr:uid="{415DB187-2DCC-48FB-B4BC-8EE164BCF6F9}"/>
    <cellStyle name="20% - Accent3 3 3 4 2 2" xfId="4148" xr:uid="{9FBB3252-70F1-4CC3-8E7C-1F9699F19302}"/>
    <cellStyle name="20% - Accent3 3 3 4 2 2 2" xfId="18199" xr:uid="{5861005D-B178-4F17-B41C-EF4C7FAD0EA6}"/>
    <cellStyle name="20% - Accent3 3 3 4 2 3" xfId="16008" xr:uid="{91D475C0-6C6E-4484-9BB4-B1B9EE1F9858}"/>
    <cellStyle name="20% - Accent3 3 3 4 3" xfId="3052" xr:uid="{A969D7E7-6669-4B22-9D01-95EEADD84D10}"/>
    <cellStyle name="20% - Accent3 3 3 4 3 2" xfId="17104" xr:uid="{806EAA11-E94B-4ABC-9750-6FD2876B4280}"/>
    <cellStyle name="20% - Accent3 3 3 4 4" xfId="14910" xr:uid="{5544F504-1DE7-4097-9BC1-44EFB4F84F4B}"/>
    <cellStyle name="20% - Accent3 3 3 5" xfId="1268" xr:uid="{1E85697B-49FB-40D0-9730-6F2114B9AA4C}"/>
    <cellStyle name="20% - Accent3 3 3 5 2" xfId="3458" xr:uid="{2CA96B1D-72CB-4A7E-884D-691399DBA535}"/>
    <cellStyle name="20% - Accent3 3 3 5 2 2" xfId="17510" xr:uid="{36BCA3F1-3B2E-43F5-876A-757C8028EBAE}"/>
    <cellStyle name="20% - Accent3 3 3 5 3" xfId="15316" xr:uid="{63361BA6-8DD8-4F8B-81ED-95A9953E87B4}"/>
    <cellStyle name="20% - Accent3 3 3 6" xfId="2359" xr:uid="{698F986B-DDAB-4BD2-80A6-5966EAE7142D}"/>
    <cellStyle name="20% - Accent3 3 3 6 2" xfId="16410" xr:uid="{6699F2FC-3729-4A31-8B7B-17735CFBC47D}"/>
    <cellStyle name="20% - Accent3 3 3 7" xfId="4552" xr:uid="{99D728EC-BBDD-41E1-B7FB-C6E97540EF62}"/>
    <cellStyle name="20% - Accent3 3 3 7 2" xfId="18604" xr:uid="{539DAD93-64C1-4F23-B5FD-601C72C4A548}"/>
    <cellStyle name="20% - Accent3 3 3 8" xfId="14215" xr:uid="{00751661-3B11-4967-84F4-106039159C4A}"/>
    <cellStyle name="20% - Accent3 3 4" xfId="276" xr:uid="{3DF45434-8A47-4270-87BE-7FA854302BDA}"/>
    <cellStyle name="20% - Accent3 3 4 2" xfId="630" xr:uid="{C6CA2AD8-FAA3-45D7-9B5C-9DD4D0639D5A}"/>
    <cellStyle name="20% - Accent3 3 4 2 2" xfId="1732" xr:uid="{F70B955E-7071-4B7F-86A2-1E0F16F36DC8}"/>
    <cellStyle name="20% - Accent3 3 4 2 2 2" xfId="3920" xr:uid="{0489B340-849A-41EA-A233-E7E883F537BE}"/>
    <cellStyle name="20% - Accent3 3 4 2 2 2 2" xfId="17972" xr:uid="{17ACE3DD-B29D-47CD-A4D8-7E6937FF8404}"/>
    <cellStyle name="20% - Accent3 3 4 2 2 3" xfId="15780" xr:uid="{708B0594-B1DA-4821-943A-1FE9CD2173A0}"/>
    <cellStyle name="20% - Accent3 3 4 2 3" xfId="2823" xr:uid="{251DC2EE-44B0-4231-9C6C-DE9D6A3BCDB5}"/>
    <cellStyle name="20% - Accent3 3 4 2 3 2" xfId="16874" xr:uid="{9A467346-94D5-4382-B682-DA53817289DE}"/>
    <cellStyle name="20% - Accent3 3 4 2 4" xfId="14681" xr:uid="{0C40A427-B364-41EF-BC94-BD2FC32F192F}"/>
    <cellStyle name="20% - Accent3 3 4 3" xfId="977" xr:uid="{C12A433D-68C8-455D-829F-5B1EB66AF5A9}"/>
    <cellStyle name="20% - Accent3 3 4 3 2" xfId="2076" xr:uid="{19BA484D-CE75-4EC3-A72B-37A5786041C7}"/>
    <cellStyle name="20% - Accent3 3 4 3 2 2" xfId="4265" xr:uid="{DDA91868-964A-4E10-A9C5-70A28C57045D}"/>
    <cellStyle name="20% - Accent3 3 4 3 2 2 2" xfId="18316" xr:uid="{75CC1886-AFC3-408F-806B-C991F0C70BA4}"/>
    <cellStyle name="20% - Accent3 3 4 3 2 3" xfId="16125" xr:uid="{BE672FB4-EB57-4F90-9477-CBA350D583CF}"/>
    <cellStyle name="20% - Accent3 3 4 3 3" xfId="3169" xr:uid="{DD9DE0A6-A8EC-4961-9A83-1A0F961A2D17}"/>
    <cellStyle name="20% - Accent3 3 4 3 3 2" xfId="17221" xr:uid="{134CA847-80B4-48F9-B144-B80838177586}"/>
    <cellStyle name="20% - Accent3 3 4 3 4" xfId="15027" xr:uid="{A331E7DD-48A2-43E2-A396-9BB4EE302658}"/>
    <cellStyle name="20% - Accent3 3 4 4" xfId="1557" xr:uid="{AC08B719-5AB9-4BD1-9F5B-D4346E3E8792}"/>
    <cellStyle name="20% - Accent3 3 4 4 2" xfId="3747" xr:uid="{DE8F714C-1107-4200-AC9A-DC2A2647FA99}"/>
    <cellStyle name="20% - Accent3 3 4 4 2 2" xfId="17800" xr:uid="{E1F0866F-B7BE-497B-B8D0-84EC66F8FE0D}"/>
    <cellStyle name="20% - Accent3 3 4 4 3" xfId="15606" xr:uid="{45152A35-0D0F-40E2-88C8-1D38020E415E}"/>
    <cellStyle name="20% - Accent3 3 4 5" xfId="2476" xr:uid="{16544889-0B24-44F9-8D4F-757F0DC1D5DD}"/>
    <cellStyle name="20% - Accent3 3 4 5 2" xfId="16527" xr:uid="{AA406412-26C2-4EAD-A6CB-A2F483DEB172}"/>
    <cellStyle name="20% - Accent3 3 4 6" xfId="4842" xr:uid="{09316F39-AF5F-44C1-85A7-B1DADB6BB29A}"/>
    <cellStyle name="20% - Accent3 3 4 6 2" xfId="18894" xr:uid="{A987513C-F2EF-40E7-8C68-B714EEB343E2}"/>
    <cellStyle name="20% - Accent3 3 4 7" xfId="14333" xr:uid="{E20BCCA2-BAB2-4252-9050-BE42C3B0E9B4}"/>
    <cellStyle name="20% - Accent3 3 5" xfId="450" xr:uid="{A4045D69-DCA8-40DF-8E8B-D665965970F7}"/>
    <cellStyle name="20% - Accent3 3 5 2" xfId="1383" xr:uid="{0E9FA899-C8D1-4B68-9B30-C49745D9C74D}"/>
    <cellStyle name="20% - Accent3 3 5 2 2" xfId="3573" xr:uid="{646F5081-D0B3-4740-B337-95F8F3441D21}"/>
    <cellStyle name="20% - Accent3 3 5 2 2 2" xfId="17626" xr:uid="{D492AB2C-D22C-430B-B54D-39566451F5CD}"/>
    <cellStyle name="20% - Accent3 3 5 2 3" xfId="15432" xr:uid="{0F96C9E9-B0E2-4CD4-B9C0-C36DC34888EF}"/>
    <cellStyle name="20% - Accent3 3 5 3" xfId="2649" xr:uid="{327534BE-D341-41A1-AFA3-2902FF1D7977}"/>
    <cellStyle name="20% - Accent3 3 5 3 2" xfId="16700" xr:uid="{A1A42E9B-6CB7-4FA2-8A5F-26187BDFDDEE}"/>
    <cellStyle name="20% - Accent3 3 5 4" xfId="4668" xr:uid="{F9464D9E-1B18-4ADA-A1DE-25399C76477A}"/>
    <cellStyle name="20% - Accent3 3 5 4 2" xfId="18720" xr:uid="{929EF8BC-CFCC-45EE-A0B4-2789ED8744FA}"/>
    <cellStyle name="20% - Accent3 3 5 5" xfId="14505" xr:uid="{678F0625-273D-471E-A420-7E11A0DBE893}"/>
    <cellStyle name="20% - Accent3 3 6" xfId="803" xr:uid="{462759D6-8CC9-48C3-BAF4-6D9EF00C7232}"/>
    <cellStyle name="20% - Accent3 3 6 2" xfId="1902" xr:uid="{17661AAC-1FD4-44BB-B870-FFAB020E57E1}"/>
    <cellStyle name="20% - Accent3 3 6 2 2" xfId="4091" xr:uid="{946BEE7A-FCA0-4A55-A14F-8EB83363B278}"/>
    <cellStyle name="20% - Accent3 3 6 2 2 2" xfId="18143" xr:uid="{10A511B6-A6E7-420B-AC1F-97F8E71B79AD}"/>
    <cellStyle name="20% - Accent3 3 6 2 3" xfId="15951" xr:uid="{E120F610-B02F-4B3E-8F8E-1D3E8E627C2C}"/>
    <cellStyle name="20% - Accent3 3 6 3" xfId="2995" xr:uid="{99F8BCBE-21B6-4D50-8324-7F88151F367D}"/>
    <cellStyle name="20% - Accent3 3 6 3 2" xfId="17047" xr:uid="{A5D4A49D-FEE8-4213-9DEF-802CA6239772}"/>
    <cellStyle name="20% - Accent3 3 6 4" xfId="14853" xr:uid="{70745944-D22F-4C5D-B7AF-74D62B11B194}"/>
    <cellStyle name="20% - Accent3 3 7" xfId="1147" xr:uid="{959D28BA-7310-489A-A62B-3336B6A7F54D}"/>
    <cellStyle name="20% - Accent3 3 7 2" xfId="2247" xr:uid="{A5E1EBF7-4EF8-432A-8C27-3AD5AA39A449}"/>
    <cellStyle name="20% - Accent3 3 7 2 2" xfId="4436" xr:uid="{F1A7E771-17B8-43A6-9CB7-7B9D0D87ACFE}"/>
    <cellStyle name="20% - Accent3 3 7 2 2 2" xfId="18486" xr:uid="{8C69D374-754F-4FA4-A253-D783771ED761}"/>
    <cellStyle name="20% - Accent3 3 7 2 3" xfId="16296" xr:uid="{247E92C7-98CA-4F92-BF92-F6F0EE4C8549}"/>
    <cellStyle name="20% - Accent3 3 7 3" xfId="3340" xr:uid="{EA7277A1-0255-429D-9B7C-0D9C6D29BBC6}"/>
    <cellStyle name="20% - Accent3 3 7 3 2" xfId="17392" xr:uid="{1CC8FB8E-F0A8-4379-AACE-9B7661443B2D}"/>
    <cellStyle name="20% - Accent3 3 7 4" xfId="15198" xr:uid="{8F6A23C2-E7ED-4FA1-ACFF-434C0F963E25}"/>
    <cellStyle name="20% - Accent3 3 8" xfId="1211" xr:uid="{F75DAEC9-6F29-486F-853A-0EF03F7E5A58}"/>
    <cellStyle name="20% - Accent3 3 8 2" xfId="3401" xr:uid="{AE950E0C-8BE3-4371-AB31-B95461736AF0}"/>
    <cellStyle name="20% - Accent3 3 8 2 2" xfId="17453" xr:uid="{714C1604-B897-41CC-8863-6C2F12D3774E}"/>
    <cellStyle name="20% - Accent3 3 8 3" xfId="15259" xr:uid="{9E076A1A-AB0C-480C-A976-BE6C72366BAC}"/>
    <cellStyle name="20% - Accent3 3 9" xfId="2302" xr:uid="{AFDBFC9C-4623-49A4-AAD4-76EDE395D720}"/>
    <cellStyle name="20% - Accent3 3 9 2" xfId="16353" xr:uid="{BD8BE453-4E94-4A97-95ED-96E390625BA1}"/>
    <cellStyle name="20% - Accent3 4" xfId="193" xr:uid="{2947132B-AEC9-41D9-8717-A23B75A1F486}"/>
    <cellStyle name="20% - Accent3 4 2" xfId="370" xr:uid="{D12A4009-5F65-4C45-82C3-174C9BB14BD5}"/>
    <cellStyle name="20% - Accent3 4 2 2" xfId="724" xr:uid="{62928D77-372B-4CCA-9416-1A552F978A2A}"/>
    <cellStyle name="20% - Accent3 4 2 2 2" xfId="1825" xr:uid="{5F593E13-ECDA-4944-B2DF-7F44897E8D60}"/>
    <cellStyle name="20% - Accent3 4 2 2 2 2" xfId="4014" xr:uid="{1B146241-551C-4778-9B16-7F7AFCE955EC}"/>
    <cellStyle name="20% - Accent3 4 2 2 2 2 2" xfId="18066" xr:uid="{E1F4FB01-E7C4-4339-A20C-2A29BCAEEAD6}"/>
    <cellStyle name="20% - Accent3 4 2 2 2 3" xfId="15874" xr:uid="{0572ACA0-C82F-4ADB-9E3C-DE631CBCA3F9}"/>
    <cellStyle name="20% - Accent3 4 2 2 3" xfId="2916" xr:uid="{51F101A3-853B-419D-9CD6-C95582340993}"/>
    <cellStyle name="20% - Accent3 4 2 2 3 2" xfId="16968" xr:uid="{E6A38945-8BF4-479B-88E1-E4EADED06493}"/>
    <cellStyle name="20% - Accent3 4 2 2 4" xfId="14775" xr:uid="{E81B9852-EA9D-4757-B228-6E9F29FC0595}"/>
    <cellStyle name="20% - Accent3 4 2 3" xfId="1071" xr:uid="{ED7C7C7F-203B-4F4A-969A-4D2EE5418A27}"/>
    <cellStyle name="20% - Accent3 4 2 3 2" xfId="2170" xr:uid="{22895BDF-B8F6-49DB-A23C-21CEBAF94EA0}"/>
    <cellStyle name="20% - Accent3 4 2 3 2 2" xfId="4359" xr:uid="{9BFD90F5-FF85-4A4D-AD5C-295BAA241FC6}"/>
    <cellStyle name="20% - Accent3 4 2 3 2 2 2" xfId="18409" xr:uid="{BB0AF671-1CF8-48FF-B0BE-AE86F002536D}"/>
    <cellStyle name="20% - Accent3 4 2 3 2 3" xfId="16219" xr:uid="{5D40DAE0-8EEF-408E-A839-32986CD6EE84}"/>
    <cellStyle name="20% - Accent3 4 2 3 3" xfId="3263" xr:uid="{6D91DBEE-0D93-411B-9821-2D426107C27D}"/>
    <cellStyle name="20% - Accent3 4 2 3 3 2" xfId="17315" xr:uid="{016F4BB6-627A-45F2-84AF-1E7F4EE0D344}"/>
    <cellStyle name="20% - Accent3 4 2 3 4" xfId="15121" xr:uid="{142751BF-68BB-4844-97F1-0B325943F6AF}"/>
    <cellStyle name="20% - Accent3 4 2 4" xfId="1651" xr:uid="{F4D40EA0-2E5E-47B7-BD27-5C4E54BF0076}"/>
    <cellStyle name="20% - Accent3 4 2 4 2" xfId="3841" xr:uid="{10D8149E-FF9D-4919-85F2-859B627A4A12}"/>
    <cellStyle name="20% - Accent3 4 2 4 2 2" xfId="17894" xr:uid="{095E85BD-93E6-45E4-B6C7-FEEEC72DF0AA}"/>
    <cellStyle name="20% - Accent3 4 2 4 3" xfId="15700" xr:uid="{17FF07C7-001D-431B-B151-B1E1311A9976}"/>
    <cellStyle name="20% - Accent3 4 2 5" xfId="2570" xr:uid="{59A8AFB4-84DF-4445-A961-B13E907166E4}"/>
    <cellStyle name="20% - Accent3 4 2 5 2" xfId="16621" xr:uid="{4F890829-3225-4D3B-8F7C-F3F56EC485E1}"/>
    <cellStyle name="20% - Accent3 4 2 6" xfId="4936" xr:uid="{7924A5AD-93BF-4B65-830D-9A03BEB9030C}"/>
    <cellStyle name="20% - Accent3 4 2 6 2" xfId="18988" xr:uid="{06ECEEF7-5D45-4869-A603-979A8E135253}"/>
    <cellStyle name="20% - Accent3 4 2 7" xfId="14427" xr:uid="{4BBCB970-2D67-4F44-89BB-0BF3F69059F6}"/>
    <cellStyle name="20% - Accent3 4 3" xfId="544" xr:uid="{7D996BB4-98C2-44A9-987B-7993E08DC9D5}"/>
    <cellStyle name="20% - Accent3 4 3 2" xfId="1477" xr:uid="{C5BD7A9E-1B23-481E-9219-304FFCFA2496}"/>
    <cellStyle name="20% - Accent3 4 3 2 2" xfId="3667" xr:uid="{A3206B4D-BF1E-47AF-B5CE-7AD823DB0286}"/>
    <cellStyle name="20% - Accent3 4 3 2 2 2" xfId="17720" xr:uid="{7EC81E24-0774-42E2-A2E9-B0D841D2E516}"/>
    <cellStyle name="20% - Accent3 4 3 2 3" xfId="15526" xr:uid="{62ECAA11-56B5-4984-85E6-E15F33ADC3D2}"/>
    <cellStyle name="20% - Accent3 4 3 3" xfId="2743" xr:uid="{5F7BA2B8-83F5-4998-A12C-B71494F2A38B}"/>
    <cellStyle name="20% - Accent3 4 3 3 2" xfId="16794" xr:uid="{0E2EA911-8444-4FAF-BD22-3D7C86ACBF4F}"/>
    <cellStyle name="20% - Accent3 4 3 4" xfId="4762" xr:uid="{E491533B-F25C-486D-BE30-C4E8DA703EFE}"/>
    <cellStyle name="20% - Accent3 4 3 4 2" xfId="18814" xr:uid="{E132EED7-CBDF-45DF-9FCB-8DF3EBF4906E}"/>
    <cellStyle name="20% - Accent3 4 3 5" xfId="14599" xr:uid="{9F61EAA4-59C8-4372-9339-28F0BCADFAE4}"/>
    <cellStyle name="20% - Accent3 4 4" xfId="897" xr:uid="{535F2257-7241-4BC3-900C-2EEEC494B8D8}"/>
    <cellStyle name="20% - Accent3 4 4 2" xfId="1996" xr:uid="{60C41CB5-0186-4D5A-A8AD-326C114B3310}"/>
    <cellStyle name="20% - Accent3 4 4 2 2" xfId="4185" xr:uid="{2E4D434E-59CA-454B-8DD1-84C7A9C44542}"/>
    <cellStyle name="20% - Accent3 4 4 2 2 2" xfId="18236" xr:uid="{F69F9FC5-4939-45A3-AE89-12F99117118C}"/>
    <cellStyle name="20% - Accent3 4 4 2 3" xfId="16045" xr:uid="{44BB272D-F11B-4868-B5B4-17D77F0B6FA9}"/>
    <cellStyle name="20% - Accent3 4 4 3" xfId="3089" xr:uid="{BCE6FE61-BBCB-4FDD-B675-E4D1635F9DF9}"/>
    <cellStyle name="20% - Accent3 4 4 3 2" xfId="17141" xr:uid="{089BB7AF-35DC-4C0A-AB30-B28FC46D1932}"/>
    <cellStyle name="20% - Accent3 4 4 4" xfId="14947" xr:uid="{5DED3237-FEAD-429D-A1A4-8433DB5FC967}"/>
    <cellStyle name="20% - Accent3 4 5" xfId="1304" xr:uid="{4E971198-B710-4376-B60A-4351B4A5D595}"/>
    <cellStyle name="20% - Accent3 4 5 2" xfId="3495" xr:uid="{44C4FF2B-C0C8-4C97-BC91-445424AE4F2A}"/>
    <cellStyle name="20% - Accent3 4 5 2 2" xfId="17547" xr:uid="{A31DDB8B-EED1-4113-9EF6-0062D3E517B2}"/>
    <cellStyle name="20% - Accent3 4 5 3" xfId="15353" xr:uid="{C705F9DF-CA4C-4BBB-9044-952B63033BCD}"/>
    <cellStyle name="20% - Accent3 4 6" xfId="2396" xr:uid="{B46B3CDD-07E7-4270-9C27-2E13CE31D47D}"/>
    <cellStyle name="20% - Accent3 4 6 2" xfId="16447" xr:uid="{CC30D2EB-BCF7-42EB-8DC9-8E3B845C4F9C}"/>
    <cellStyle name="20% - Accent3 4 7" xfId="4589" xr:uid="{2F8D25F0-07F8-4E90-9785-79702FD076C0}"/>
    <cellStyle name="20% - Accent3 4 7 2" xfId="18641" xr:uid="{7460E557-B360-4862-BF6E-A54FC9D9AF08}"/>
    <cellStyle name="20% - Accent3 4 8" xfId="14252" xr:uid="{B897DA29-2AEE-448E-9004-11C537A84667}"/>
    <cellStyle name="20% - Accent3 5" xfId="136" xr:uid="{9D0B18F4-90AE-4A6E-9718-C4FD5D9F3482}"/>
    <cellStyle name="20% - Accent3 5 2" xfId="313" xr:uid="{C0A826D3-A4A3-4F9D-B883-6D9CD5EE9F16}"/>
    <cellStyle name="20% - Accent3 5 2 2" xfId="667" xr:uid="{9C27A0E3-E3B4-43D8-B02C-C97C13F74967}"/>
    <cellStyle name="20% - Accent3 5 2 2 2" xfId="1768" xr:uid="{A2A14B97-8B8B-40BA-886C-47133F3EC8E1}"/>
    <cellStyle name="20% - Accent3 5 2 2 2 2" xfId="3957" xr:uid="{5B743242-915D-4667-A350-40FE78F4FD45}"/>
    <cellStyle name="20% - Accent3 5 2 2 2 2 2" xfId="18009" xr:uid="{52B347F2-BD3B-4FB2-BEB0-2ADE4B561946}"/>
    <cellStyle name="20% - Accent3 5 2 2 2 3" xfId="15817" xr:uid="{F10F6E15-4EDA-484F-9D47-E6B58578D0C6}"/>
    <cellStyle name="20% - Accent3 5 2 2 3" xfId="2859" xr:uid="{32037D33-EB8D-4E1C-B5FA-0C6D9B0B357A}"/>
    <cellStyle name="20% - Accent3 5 2 2 3 2" xfId="16911" xr:uid="{978E2910-C159-4A24-BE34-36D165FF67AA}"/>
    <cellStyle name="20% - Accent3 5 2 2 4" xfId="14718" xr:uid="{42FF768C-D411-48F3-9053-C3A0158B22A1}"/>
    <cellStyle name="20% - Accent3 5 2 3" xfId="1014" xr:uid="{621C5831-FA5E-4922-975A-7E5741401E65}"/>
    <cellStyle name="20% - Accent3 5 2 3 2" xfId="2113" xr:uid="{48FC8C26-6D0E-4CF7-BC18-9676E9B381BF}"/>
    <cellStyle name="20% - Accent3 5 2 3 2 2" xfId="4302" xr:uid="{AFC4640F-7B9D-402B-8D1E-D7EB05A8A1AE}"/>
    <cellStyle name="20% - Accent3 5 2 3 2 2 2" xfId="18352" xr:uid="{B169A16D-5995-47B9-BF4D-FB6CEABDABF7}"/>
    <cellStyle name="20% - Accent3 5 2 3 2 3" xfId="16162" xr:uid="{B1180CDC-7106-439F-8846-A08C64388750}"/>
    <cellStyle name="20% - Accent3 5 2 3 3" xfId="3206" xr:uid="{E7E7CD83-27BA-495E-B9C4-F980931DD8AE}"/>
    <cellStyle name="20% - Accent3 5 2 3 3 2" xfId="17258" xr:uid="{60420439-1B5C-408A-B03D-3B543E2A8A23}"/>
    <cellStyle name="20% - Accent3 5 2 3 4" xfId="15064" xr:uid="{B70970E6-73E0-41A5-83EE-354FD7E54DC9}"/>
    <cellStyle name="20% - Accent3 5 2 4" xfId="1594" xr:uid="{350C3BF2-AAA7-45E3-A1BF-8D19AD7C23F1}"/>
    <cellStyle name="20% - Accent3 5 2 4 2" xfId="3784" xr:uid="{233B2819-083B-4BE4-A2E2-07BA4B553600}"/>
    <cellStyle name="20% - Accent3 5 2 4 2 2" xfId="17837" xr:uid="{022B70C3-B4E4-4E66-BA2D-20B3CF16E43E}"/>
    <cellStyle name="20% - Accent3 5 2 4 3" xfId="15643" xr:uid="{36D5951F-5C48-487B-AFE3-DC0E31A2F61E}"/>
    <cellStyle name="20% - Accent3 5 2 5" xfId="2513" xr:uid="{0769EF91-E4E4-4E2E-9EE7-6F277A513F9A}"/>
    <cellStyle name="20% - Accent3 5 2 5 2" xfId="16564" xr:uid="{6CCC0C22-BE84-422C-8140-AE90560D30AB}"/>
    <cellStyle name="20% - Accent3 5 2 6" xfId="4879" xr:uid="{E927E62A-1FB9-4F61-BDFE-EE0C1C89D2D9}"/>
    <cellStyle name="20% - Accent3 5 2 6 2" xfId="18931" xr:uid="{8F57A602-4388-4198-8FEC-A92F7C44CB43}"/>
    <cellStyle name="20% - Accent3 5 2 7" xfId="14370" xr:uid="{F5DBF1C8-431E-45ED-8A6B-8A1E7EB7A7B7}"/>
    <cellStyle name="20% - Accent3 5 3" xfId="487" xr:uid="{19A21003-3510-4E80-9BA0-E22C75B5934D}"/>
    <cellStyle name="20% - Accent3 5 3 2" xfId="1420" xr:uid="{9DE02986-DDF6-4EC5-BA19-371D2FA791D0}"/>
    <cellStyle name="20% - Accent3 5 3 2 2" xfId="3610" xr:uid="{C484D5E3-8E54-4923-9E34-D660BEC4940E}"/>
    <cellStyle name="20% - Accent3 5 3 2 2 2" xfId="17663" xr:uid="{B6979689-AE63-4755-B92F-85C9BE169C9B}"/>
    <cellStyle name="20% - Accent3 5 3 2 3" xfId="15469" xr:uid="{8D0F8A55-6531-4959-B93B-305930EE893A}"/>
    <cellStyle name="20% - Accent3 5 3 3" xfId="2686" xr:uid="{3AA9E5A7-7D61-4D37-8834-5D564A4EE95A}"/>
    <cellStyle name="20% - Accent3 5 3 3 2" xfId="16737" xr:uid="{E273A3EA-5700-4700-A8AF-D018EEEB441A}"/>
    <cellStyle name="20% - Accent3 5 3 4" xfId="4705" xr:uid="{24F828C6-50A4-402A-9935-BB52BB3739CC}"/>
    <cellStyle name="20% - Accent3 5 3 4 2" xfId="18757" xr:uid="{9159AB6A-1A39-436B-B9D7-818666182761}"/>
    <cellStyle name="20% - Accent3 5 3 5" xfId="14542" xr:uid="{0EFAC508-2072-4FBB-A79D-06EB247CE03C}"/>
    <cellStyle name="20% - Accent3 5 4" xfId="840" xr:uid="{7B2569B1-4551-4DB5-A727-310EDD7DDE01}"/>
    <cellStyle name="20% - Accent3 5 4 2" xfId="1939" xr:uid="{D1AB7C19-21FF-41D3-8767-6ED05555A0B0}"/>
    <cellStyle name="20% - Accent3 5 4 2 2" xfId="4128" xr:uid="{8513C992-8682-4A13-9AF4-DE9FFD21B411}"/>
    <cellStyle name="20% - Accent3 5 4 2 2 2" xfId="18180" xr:uid="{13A37793-1B1B-46B6-976B-E0E44EFBB405}"/>
    <cellStyle name="20% - Accent3 5 4 2 3" xfId="15988" xr:uid="{3FA901F3-725D-44AA-8AFE-121BD55AB778}"/>
    <cellStyle name="20% - Accent3 5 4 3" xfId="3032" xr:uid="{3ACC863C-5902-44B2-9EDC-8E4F6F42B8BE}"/>
    <cellStyle name="20% - Accent3 5 4 3 2" xfId="17084" xr:uid="{5403FCEB-93F1-4240-9168-4CDC87D60C76}"/>
    <cellStyle name="20% - Accent3 5 4 4" xfId="14890" xr:uid="{6E813F9A-34B1-4C7A-8AF5-998052F1D57C}"/>
    <cellStyle name="20% - Accent3 5 5" xfId="1248" xr:uid="{F4D065E5-5F7C-4E16-A3CD-5F0BDD6D9FB6}"/>
    <cellStyle name="20% - Accent3 5 5 2" xfId="3438" xr:uid="{D855B8EA-8504-41C4-AC7B-C8DC0C75A36C}"/>
    <cellStyle name="20% - Accent3 5 5 2 2" xfId="17490" xr:uid="{56F4774C-2C5B-44B2-B199-0E1807442331}"/>
    <cellStyle name="20% - Accent3 5 5 3" xfId="15296" xr:uid="{382BF5AF-10B8-4643-9A29-4C679B90F1CA}"/>
    <cellStyle name="20% - Accent3 5 6" xfId="2339" xr:uid="{12E70EAF-188E-483C-AFE0-DD701839D813}"/>
    <cellStyle name="20% - Accent3 5 6 2" xfId="16390" xr:uid="{D3C6C0DB-C545-4DA5-BD17-AADF7F401C6E}"/>
    <cellStyle name="20% - Accent3 5 7" xfId="4532" xr:uid="{C608C6C1-D460-4559-A3BE-11D534D601A2}"/>
    <cellStyle name="20% - Accent3 5 7 2" xfId="18584" xr:uid="{49272489-9A66-41DD-8225-FB429BD41025}"/>
    <cellStyle name="20% - Accent3 5 8" xfId="14195" xr:uid="{988434F8-F1BE-4F3D-8D81-AF6CCF3F05F2}"/>
    <cellStyle name="20% - Accent3 6" xfId="253" xr:uid="{F79FF007-A322-4B93-A97B-DB484842AF72}"/>
    <cellStyle name="20% - Accent3 6 2" xfId="607" xr:uid="{5D89B302-D3A7-47E5-8691-D0D19FF14C8D}"/>
    <cellStyle name="20% - Accent3 6 2 2" xfId="1712" xr:uid="{A4E69B6C-E2E3-4726-BBBD-165544766836}"/>
    <cellStyle name="20% - Accent3 6 2 2 2" xfId="3900" xr:uid="{E0D4D89F-FF3E-4A9D-BAD5-F4882EAAEB47}"/>
    <cellStyle name="20% - Accent3 6 2 2 2 2" xfId="17952" xr:uid="{5057DDF0-3B6D-4BC4-B230-F3DD62EAEFBC}"/>
    <cellStyle name="20% - Accent3 6 2 2 3" xfId="15760" xr:uid="{65AC4B3B-EC98-4E4A-99B9-086BF95F3104}"/>
    <cellStyle name="20% - Accent3 6 2 3" xfId="2803" xr:uid="{0FCD9C33-D40B-48AE-BDD0-204351FDAF16}"/>
    <cellStyle name="20% - Accent3 6 2 3 2" xfId="16854" xr:uid="{597AB98E-F2D7-4895-B4A8-E9FEFBFC2FB4}"/>
    <cellStyle name="20% - Accent3 6 2 4" xfId="14660" xr:uid="{D047A2AB-09D8-4AE6-89A2-1A005CD051C0}"/>
    <cellStyle name="20% - Accent3 6 3" xfId="957" xr:uid="{66118048-79EB-4AF3-9975-5AD96918FC4D}"/>
    <cellStyle name="20% - Accent3 6 3 2" xfId="2056" xr:uid="{1EEC3B59-953C-4F59-BABA-D421794C5F30}"/>
    <cellStyle name="20% - Accent3 6 3 2 2" xfId="4245" xr:uid="{EB52287C-D014-49F1-9A58-B22BF4862A40}"/>
    <cellStyle name="20% - Accent3 6 3 2 2 2" xfId="18296" xr:uid="{C3DADC16-D55C-4C1C-868C-A7A7A2F8FA6D}"/>
    <cellStyle name="20% - Accent3 6 3 2 3" xfId="16105" xr:uid="{2F4D5ACE-6BCF-4A4B-9358-6BF5DCB2984C}"/>
    <cellStyle name="20% - Accent3 6 3 3" xfId="3149" xr:uid="{216797B4-0CE2-46F5-86D6-C76AFA7469A0}"/>
    <cellStyle name="20% - Accent3 6 3 3 2" xfId="17201" xr:uid="{5A82B4DA-DAA5-4199-9AC8-CDF7805FF055}"/>
    <cellStyle name="20% - Accent3 6 3 4" xfId="15007" xr:uid="{74556D81-415A-4ED3-A276-A7DCDB01AEF5}"/>
    <cellStyle name="20% - Accent3 6 4" xfId="1537" xr:uid="{086EA1A4-1B5C-4331-94DA-98D8EA6EBD61}"/>
    <cellStyle name="20% - Accent3 6 4 2" xfId="3727" xr:uid="{A991C346-5EA0-489D-9E07-66950D8DFE47}"/>
    <cellStyle name="20% - Accent3 6 4 2 2" xfId="17780" xr:uid="{B39D89A2-95BD-4AE0-B9EA-58C05CFC4428}"/>
    <cellStyle name="20% - Accent3 6 4 3" xfId="15586" xr:uid="{4B5C7927-6F65-4FD0-A7CE-A51EF6629193}"/>
    <cellStyle name="20% - Accent3 6 5" xfId="2456" xr:uid="{7FCF9A62-1CC6-440E-86A5-4E937AFE8413}"/>
    <cellStyle name="20% - Accent3 6 5 2" xfId="16507" xr:uid="{9B08B0D5-463F-4C78-A69E-93C71DCD1891}"/>
    <cellStyle name="20% - Accent3 6 6" xfId="4822" xr:uid="{DE1C5A59-BDD3-4263-9F01-30151C0B0F48}"/>
    <cellStyle name="20% - Accent3 6 6 2" xfId="18874" xr:uid="{6611BED3-9806-415C-99FC-5B5B6E55D4C4}"/>
    <cellStyle name="20% - Accent3 6 7" xfId="14312" xr:uid="{AB1276A2-5A77-4AC2-B90B-36A1BF0CCE79}"/>
    <cellStyle name="20% - Accent3 7" xfId="429" xr:uid="{B6D4E5A5-5D93-484A-8149-1E8F71711A26}"/>
    <cellStyle name="20% - Accent3 7 2" xfId="1363" xr:uid="{A92BBC0B-52C8-488D-9F7B-4727FC7E4954}"/>
    <cellStyle name="20% - Accent3 7 2 2" xfId="3553" xr:uid="{6BF7560D-8951-4FF6-ABF0-C2E72DEF4F75}"/>
    <cellStyle name="20% - Accent3 7 2 2 2" xfId="17606" xr:uid="{4C5AEECC-3C8E-4E0E-BB2D-2D378D7FA617}"/>
    <cellStyle name="20% - Accent3 7 2 3" xfId="15412" xr:uid="{49563BEC-F088-47F9-B709-1B539C96B03F}"/>
    <cellStyle name="20% - Accent3 7 3" xfId="2629" xr:uid="{C9F8A200-4301-4F4C-9BA7-46DE348A3300}"/>
    <cellStyle name="20% - Accent3 7 3 2" xfId="16680" xr:uid="{02D26380-6C2B-46E5-9DAC-1A91EC81CCE0}"/>
    <cellStyle name="20% - Accent3 7 4" xfId="4648" xr:uid="{51596390-02F5-4D6D-8A29-46DAEC55D55B}"/>
    <cellStyle name="20% - Accent3 7 4 2" xfId="18700" xr:uid="{448C1322-A05F-482F-AAB7-1F8D0B2C053E}"/>
    <cellStyle name="20% - Accent3 7 5" xfId="14485" xr:uid="{44855473-5CC2-4681-9A4A-8B3EEEF6E063}"/>
    <cellStyle name="20% - Accent3 8" xfId="783" xr:uid="{2D24056E-5905-4E0A-935A-AFE66291F06D}"/>
    <cellStyle name="20% - Accent3 8 2" xfId="1884" xr:uid="{84908B2D-403B-48D4-9297-EB2218AE3B3E}"/>
    <cellStyle name="20% - Accent3 8 2 2" xfId="4073" xr:uid="{8BFF388C-60F7-4552-AE7F-90C3B02D787A}"/>
    <cellStyle name="20% - Accent3 8 2 2 2" xfId="18125" xr:uid="{AA255993-EB42-4198-B551-EB3911AD140D}"/>
    <cellStyle name="20% - Accent3 8 2 3" xfId="15933" xr:uid="{1D38583B-EE09-4526-8051-A11DC11B7FC1}"/>
    <cellStyle name="20% - Accent3 8 3" xfId="2975" xr:uid="{E98FCC8C-8589-4290-9ACB-18E41ACE766A}"/>
    <cellStyle name="20% - Accent3 8 3 2" xfId="17027" xr:uid="{CC5C0826-8307-4957-8725-15A0645041D7}"/>
    <cellStyle name="20% - Accent3 8 4" xfId="14833" xr:uid="{2A3CF645-F41E-40A9-B4ED-4672C3746EB0}"/>
    <cellStyle name="20% - Accent3 9" xfId="1127" xr:uid="{000749BB-F9B3-40E9-AE84-FA3363C88EBA}"/>
    <cellStyle name="20% - Accent3 9 2" xfId="2227" xr:uid="{34E5CE48-1AC3-4EFC-A1FA-E2BF3529779E}"/>
    <cellStyle name="20% - Accent3 9 2 2" xfId="4416" xr:uid="{CC0F94FE-6687-41D6-B998-85DC8F246163}"/>
    <cellStyle name="20% - Accent3 9 2 2 2" xfId="18466" xr:uid="{DB3F9372-C29F-4F37-88EE-7D3C20B48840}"/>
    <cellStyle name="20% - Accent3 9 2 3" xfId="16276" xr:uid="{CFE95A1F-EA26-47DE-87E7-7F00730E6154}"/>
    <cellStyle name="20% - Accent3 9 3" xfId="3320" xr:uid="{BDD14C94-8453-4401-B672-BBBEC4BA9995}"/>
    <cellStyle name="20% - Accent3 9 3 2" xfId="17372" xr:uid="{DEE67999-704E-4986-B9DA-BE846D164C60}"/>
    <cellStyle name="20% - Accent3 9 4" xfId="15178" xr:uid="{3C07A1C2-2A7F-4B40-8714-EFA8DD99F8F2}"/>
    <cellStyle name="20% - Accent4" xfId="52" builtinId="42" customBuiltin="1"/>
    <cellStyle name="20% - Accent4 10" xfId="1192" xr:uid="{FE122816-5F7E-42B5-99EB-140D590F5931}"/>
    <cellStyle name="20% - Accent4 10 2" xfId="3383" xr:uid="{CD3F1C41-030D-4809-A63A-95E47C67CAEB}"/>
    <cellStyle name="20% - Accent4 10 2 2" xfId="17435" xr:uid="{70C2247E-E1C5-43A9-82BB-9B6A9325829F}"/>
    <cellStyle name="20% - Accent4 10 3" xfId="15241" xr:uid="{6A8071D0-1C6F-4EB8-B13B-72D1475258B3}"/>
    <cellStyle name="20% - Accent4 11" xfId="2284" xr:uid="{FD33D309-46A9-4C3B-98DE-708AE65AAC10}"/>
    <cellStyle name="20% - Accent4 11 2" xfId="16335" xr:uid="{F08DEA69-163C-461D-A667-35A0CD65A5F7}"/>
    <cellStyle name="20% - Accent4 12" xfId="4478" xr:uid="{D357A9DC-515E-4B4F-B2AD-BCB97594325B}"/>
    <cellStyle name="20% - Accent4 12 2" xfId="18529" xr:uid="{CECEE202-ECB1-4B54-9B5E-F7BA828363D1}"/>
    <cellStyle name="20% - Accent4 13" xfId="14129" xr:uid="{2559609D-ADA2-4363-B8E0-0F3BF4B9A8E0}"/>
    <cellStyle name="20% - Accent4 2" xfId="124" xr:uid="{0B67C634-2DEF-4436-A6C0-7B7AF0F495AA}"/>
    <cellStyle name="20% - Accent4 2 10 2" xfId="18573" xr:uid="{FFC3A650-1A6D-4954-85DD-56126DFD266F}"/>
    <cellStyle name="20% - Accent4 2 11" xfId="14184" xr:uid="{F7066717-64FA-43BF-A2A8-3AC02B3397E0}"/>
    <cellStyle name="20% - Accent4 2 2" xfId="239" xr:uid="{F1B12D8C-61A6-446A-91F8-9F79B7164C2A}"/>
    <cellStyle name="20% - Accent4 2 2 2" xfId="416" xr:uid="{CCC7C229-40FF-48C9-8076-C84CD01AE430}"/>
    <cellStyle name="20% - Accent4 2 2 2 2" xfId="770" xr:uid="{76BF65F8-1711-4A6C-B676-0C387E84FF56}"/>
    <cellStyle name="20% - Accent4 2 2 2 2 2" xfId="1871" xr:uid="{216BDC8D-CE36-47D2-827F-CA9AAD565735}"/>
    <cellStyle name="20% - Accent4 2 2 2 2 2 2" xfId="4060" xr:uid="{020E5510-9161-4998-8403-77B23E0CF25A}"/>
    <cellStyle name="20% - Accent4 2 2 2 2 2 2 2" xfId="18112" xr:uid="{1E19A29C-7B4E-4CBD-B69A-8A5E6C95F594}"/>
    <cellStyle name="20% - Accent4 2 2 2 2 2 3" xfId="15920" xr:uid="{F6BF1529-AEAD-4730-9EB1-7D0CDB5AC416}"/>
    <cellStyle name="20% - Accent4 2 2 2 2 3" xfId="2962" xr:uid="{258CBC22-7A7A-4530-83E5-4D190C093E40}"/>
    <cellStyle name="20% - Accent4 2 2 2 2 3 2" xfId="17014" xr:uid="{11C2B5EC-0393-47B0-B836-323C846B3B0E}"/>
    <cellStyle name="20% - Accent4 2 2 2 2 4" xfId="14820" xr:uid="{DC08D8ED-76D5-4416-8A6C-8291072B3124}"/>
    <cellStyle name="20% - Accent4 2 2 2 3" xfId="1117" xr:uid="{C9A6A2F8-CC7A-462F-AF5D-1E05DD08841B}"/>
    <cellStyle name="20% - Accent4 2 2 2 3 2" xfId="2216" xr:uid="{DDCFD708-D7AE-4E97-B33D-476EFBDB1C17}"/>
    <cellStyle name="20% - Accent4 2 2 2 3 2 2" xfId="4405" xr:uid="{2BFF876E-BA58-4891-AC60-812D46C8077A}"/>
    <cellStyle name="20% - Accent4 2 2 2 3 2 2 2" xfId="18455" xr:uid="{B07A5BD5-22AB-4702-B647-C98E18DA041F}"/>
    <cellStyle name="20% - Accent4 2 2 2 3 2 3" xfId="16265" xr:uid="{C6678A4F-AC20-4D34-83E0-09026E3A3DA0}"/>
    <cellStyle name="20% - Accent4 2 2 2 3 3" xfId="3309" xr:uid="{884EE601-A21E-48A0-A152-7F23AB5CF82B}"/>
    <cellStyle name="20% - Accent4 2 2 2 3 3 2" xfId="17361" xr:uid="{1D6B2D05-EB47-45D7-B6BE-090FFAA67E87}"/>
    <cellStyle name="20% - Accent4 2 2 2 3 4" xfId="15167" xr:uid="{DD7C5A02-0E6A-4FC0-9B88-C6C51BC87180}"/>
    <cellStyle name="20% - Accent4 2 2 2 4" xfId="1697" xr:uid="{021F581F-7C24-416E-B338-9744F8585D27}"/>
    <cellStyle name="20% - Accent4 2 2 2 4 2" xfId="3887" xr:uid="{1E8BA572-935C-43B0-B2F5-EBCB302CB9B1}"/>
    <cellStyle name="20% - Accent4 2 2 2 4 2 2" xfId="17939" xr:uid="{29BD5399-B13C-4B95-8BA9-35A0ECDB522E}"/>
    <cellStyle name="20% - Accent4 2 2 2 4 3" xfId="15746" xr:uid="{E3A14879-23F1-48DD-B4C5-5D7B2D1AF0E0}"/>
    <cellStyle name="20% - Accent4 2 2 2 5" xfId="2616" xr:uid="{B267C5EA-D39F-4455-9C58-D9F43C34291C}"/>
    <cellStyle name="20% - Accent4 2 2 2 5 2" xfId="16667" xr:uid="{29192552-7AB3-457B-97CF-5CECEBA86547}"/>
    <cellStyle name="20% - Accent4 2 2 2 6" xfId="4982" xr:uid="{4557BB00-CF3F-4DAD-8022-D560E7CF9145}"/>
    <cellStyle name="20% - Accent4 2 2 2 6 2" xfId="19034" xr:uid="{C1B61C66-F558-4107-A3CC-75838FE33AE9}"/>
    <cellStyle name="20% - Accent4 2 2 2 7" xfId="14472" xr:uid="{22058253-0703-4F03-B389-4FE8A61B0389}"/>
    <cellStyle name="20% - Accent4 2 2 3" xfId="590" xr:uid="{57F657D4-8775-419B-9388-E6C76B7AC62E}"/>
    <cellStyle name="20% - Accent4 2 2 3 2" xfId="1523" xr:uid="{1288645B-DE7F-429F-AF27-F6C0A9F1228A}"/>
    <cellStyle name="20% - Accent4 2 2 3 2 2" xfId="3713" xr:uid="{0ED8AB4D-CB00-4382-85BF-85F1B55C6738}"/>
    <cellStyle name="20% - Accent4 2 2 3 2 2 2" xfId="17766" xr:uid="{2986DF70-4182-4933-B237-A66BC27AB9BF}"/>
    <cellStyle name="20% - Accent4 2 2 3 2 3" xfId="15572" xr:uid="{EC7AB25C-3A3C-4C4D-9447-D4312FBA7E8B}"/>
    <cellStyle name="20% - Accent4 2 2 3 3" xfId="2789" xr:uid="{1B9AE5C9-7701-4712-8A47-544E756A0A55}"/>
    <cellStyle name="20% - Accent4 2 2 3 3 2" xfId="16840" xr:uid="{E8A828D6-50F8-4743-A5C6-4984EFBAAB4C}"/>
    <cellStyle name="20% - Accent4 2 2 3 4" xfId="4808" xr:uid="{1E0CC637-3980-4344-A451-5A68860B328E}"/>
    <cellStyle name="20% - Accent4 2 2 3 4 2" xfId="18860" xr:uid="{F4676303-8DAE-47CA-873E-E0B18E0AC96D}"/>
    <cellStyle name="20% - Accent4 2 2 3 5" xfId="14645" xr:uid="{DA9172FC-2460-4ED5-8AE3-16A28AB34764}"/>
    <cellStyle name="20% - Accent4 2 2 4" xfId="943" xr:uid="{30695D55-5D89-4AAD-AFF5-5B76C8553929}"/>
    <cellStyle name="20% - Accent4 2 2 4 2" xfId="2042" xr:uid="{B7FF2604-E42B-4217-B400-6F0D019A7AE8}"/>
    <cellStyle name="20% - Accent4 2 2 4 2 2" xfId="4231" xr:uid="{41CF0890-34CE-4915-B9E1-90858AB0EE60}"/>
    <cellStyle name="20% - Accent4 2 2 4 2 2 2" xfId="18282" xr:uid="{AA809B47-8126-45AB-BB36-7C34D75A6387}"/>
    <cellStyle name="20% - Accent4 2 2 4 2 3" xfId="16091" xr:uid="{DE097808-8D64-41CA-AAB6-40E99F8FAB6D}"/>
    <cellStyle name="20% - Accent4 2 2 4 3" xfId="3135" xr:uid="{42367139-5230-477D-9599-C07DF1520074}"/>
    <cellStyle name="20% - Accent4 2 2 4 3 2" xfId="17187" xr:uid="{1CCD9BB3-8DF2-4BEA-8AD4-2C5D5BD7D322}"/>
    <cellStyle name="20% - Accent4 2 2 4 4" xfId="14993" xr:uid="{28ED197C-EFA7-41B2-B99B-BCAB70729893}"/>
    <cellStyle name="20% - Accent4 2 2 5" xfId="1350" xr:uid="{B30E51AB-29DC-45BB-A039-589B7EF6CC59}"/>
    <cellStyle name="20% - Accent4 2 2 5 2" xfId="3541" xr:uid="{2B78326F-0AE0-4D5B-8071-BA8BC194B01A}"/>
    <cellStyle name="20% - Accent4 2 2 5 2 2" xfId="17593" xr:uid="{0AF6A9B5-3C39-43E2-94A3-0538A91B992A}"/>
    <cellStyle name="20% - Accent4 2 2 5 3" xfId="15399" xr:uid="{97DE485A-4A36-41CF-9B66-ED2A87D13662}"/>
    <cellStyle name="20% - Accent4 2 2 6" xfId="2442" xr:uid="{CCA8215D-AEB3-4DAA-A8AD-2DF630556AC9}"/>
    <cellStyle name="20% - Accent4 2 2 6 2" xfId="16493" xr:uid="{454B4DFA-8BCC-4E93-B309-FD556168D5DC}"/>
    <cellStyle name="20% - Accent4 2 2 7" xfId="4635" xr:uid="{99038A02-416E-4E96-B956-00FF391C512B}"/>
    <cellStyle name="20% - Accent4 2 2 7 2" xfId="18687" xr:uid="{F6EE0A61-1F22-4592-B97E-163A9CF185C0}"/>
    <cellStyle name="20% - Accent4 2 2 8" xfId="14298" xr:uid="{AB7CF55A-0377-414A-9A99-567B1495DF79}"/>
    <cellStyle name="20% - Accent4 2 3" xfId="182" xr:uid="{8BEE723C-E66E-4D27-BCAE-2D68EB783CE2}"/>
    <cellStyle name="20% - Accent4 2 3 2" xfId="359" xr:uid="{BAF07F48-18C6-48FA-8217-6A0F8E7EC18C}"/>
    <cellStyle name="20% - Accent4 2 3 2 2" xfId="713" xr:uid="{57B51C1A-6E6A-414F-AE83-0D5D9E54457C}"/>
    <cellStyle name="20% - Accent4 2 3 2 2 2" xfId="1814" xr:uid="{CB37570A-03E5-4B33-AED9-03A8EE479ABD}"/>
    <cellStyle name="20% - Accent4 2 3 2 2 2 2" xfId="4003" xr:uid="{11036758-ECE5-44DD-A7E8-6EAF68C623DE}"/>
    <cellStyle name="20% - Accent4 2 3 2 2 2 2 2" xfId="18055" xr:uid="{F87817F4-815C-4518-A89C-0A6E96ABEFB1}"/>
    <cellStyle name="20% - Accent4 2 3 2 2 2 3" xfId="15863" xr:uid="{820D6025-240B-4C1F-A60A-932D03249AD4}"/>
    <cellStyle name="20% - Accent4 2 3 2 2 3" xfId="2905" xr:uid="{BE547F07-5F10-4E36-B168-2009E9F58376}"/>
    <cellStyle name="20% - Accent4 2 3 2 2 3 2" xfId="16957" xr:uid="{AF9BE53C-82AB-4137-80B2-6E92D0563815}"/>
    <cellStyle name="20% - Accent4 2 3 2 2 4" xfId="14764" xr:uid="{FA146382-20E3-4518-A173-F8E271DE4F10}"/>
    <cellStyle name="20% - Accent4 2 3 2 3" xfId="1060" xr:uid="{737F2B26-5029-4464-A53A-E0F56D7C04DA}"/>
    <cellStyle name="20% - Accent4 2 3 2 3 2" xfId="2159" xr:uid="{DF06A8A3-BB95-4F7A-A0D0-8589B2B25E9A}"/>
    <cellStyle name="20% - Accent4 2 3 2 3 2 2" xfId="4348" xr:uid="{9779C171-34C0-4586-B271-2738CECF93BC}"/>
    <cellStyle name="20% - Accent4 2 3 2 3 2 2 2" xfId="18398" xr:uid="{E178F543-DF4D-4601-8197-03C138251A21}"/>
    <cellStyle name="20% - Accent4 2 3 2 3 2 3" xfId="16208" xr:uid="{2207DD35-EF97-439B-9AAC-50ED3F3BF095}"/>
    <cellStyle name="20% - Accent4 2 3 2 3 3" xfId="3252" xr:uid="{FDCA7BD7-841D-43EC-90B7-BF55882B0964}"/>
    <cellStyle name="20% - Accent4 2 3 2 3 3 2" xfId="17304" xr:uid="{D6EBC4EF-5AB8-42C0-B9C4-581FE2FC7C1C}"/>
    <cellStyle name="20% - Accent4 2 3 2 3 4" xfId="15110" xr:uid="{33C3F212-CA13-44FC-8389-73E91E811810}"/>
    <cellStyle name="20% - Accent4 2 3 2 4" xfId="1640" xr:uid="{8BE37ECE-A00D-443B-9F5D-6512EADAC3D0}"/>
    <cellStyle name="20% - Accent4 2 3 2 4 2" xfId="3830" xr:uid="{D90A0704-0824-4BE8-A477-9153D2F128E2}"/>
    <cellStyle name="20% - Accent4 2 3 2 4 2 2" xfId="17883" xr:uid="{6D997882-3EFC-4BC0-B798-5AA1A015F2ED}"/>
    <cellStyle name="20% - Accent4 2 3 2 4 3" xfId="15689" xr:uid="{9CF62CBB-BEFD-4E72-A902-4B4ADBE25329}"/>
    <cellStyle name="20% - Accent4 2 3 2 5" xfId="2559" xr:uid="{BDD21EA3-DA89-458C-BC52-8E3BD7DC3F98}"/>
    <cellStyle name="20% - Accent4 2 3 2 5 2" xfId="16610" xr:uid="{30DEAF20-4783-4B7C-8C3B-12B190202B77}"/>
    <cellStyle name="20% - Accent4 2 3 2 6" xfId="4925" xr:uid="{2A454268-7EEC-4409-99EC-B64D48CE5279}"/>
    <cellStyle name="20% - Accent4 2 3 2 6 2" xfId="18977" xr:uid="{258A38B2-EA8A-4B9B-AF13-E9E6DD9DE2EE}"/>
    <cellStyle name="20% - Accent4 2 3 2 7" xfId="14416" xr:uid="{6AB28E74-0B2E-4DF7-99D1-8C6814E89D64}"/>
    <cellStyle name="20% - Accent4 2 3 3" xfId="533" xr:uid="{6E0DEE3F-C560-43B4-BFF5-48BF3ED04B16}"/>
    <cellStyle name="20% - Accent4 2 3 3 2" xfId="1466" xr:uid="{DCC2CB55-326E-47BD-84AC-85C3009AC08C}"/>
    <cellStyle name="20% - Accent4 2 3 3 2 2" xfId="3656" xr:uid="{CCCB76B3-F1CB-4534-9A32-1864464972C4}"/>
    <cellStyle name="20% - Accent4 2 3 3 2 2 2" xfId="17709" xr:uid="{0DC833D5-1550-4579-B48E-C98D996356CC}"/>
    <cellStyle name="20% - Accent4 2 3 3 2 3" xfId="15515" xr:uid="{1D8D0263-03A7-4ADE-8C69-F271971A6B75}"/>
    <cellStyle name="20% - Accent4 2 3 3 3" xfId="2732" xr:uid="{8A7068A2-6739-4611-9189-D5C4CD61A0D0}"/>
    <cellStyle name="20% - Accent4 2 3 3 3 2" xfId="16783" xr:uid="{B9A802E6-E28D-4B4C-B6A6-3165E30B03AB}"/>
    <cellStyle name="20% - Accent4 2 3 3 4" xfId="4751" xr:uid="{A267702F-68A3-4662-A674-11E8A4C3AEA1}"/>
    <cellStyle name="20% - Accent4 2 3 3 4 2" xfId="18803" xr:uid="{EF5EBED8-72A3-4212-A279-C01D0589F65B}"/>
    <cellStyle name="20% - Accent4 2 3 3 5" xfId="14588" xr:uid="{069BCC87-0758-49EA-9133-D10FFD585338}"/>
    <cellStyle name="20% - Accent4 2 3 4" xfId="886" xr:uid="{6C712781-260A-4351-B8A5-A415DBE964CA}"/>
    <cellStyle name="20% - Accent4 2 3 4 2" xfId="1985" xr:uid="{5820FBDB-ACAB-4B0C-872C-A0BA81063B7E}"/>
    <cellStyle name="20% - Accent4 2 3 4 2 2" xfId="4174" xr:uid="{1F13C880-EA12-4EB4-86E3-A38FF6838458}"/>
    <cellStyle name="20% - Accent4 2 3 4 2 2 2" xfId="18225" xr:uid="{2831C1DB-C786-413B-ABEF-AEE59302121D}"/>
    <cellStyle name="20% - Accent4 2 3 4 2 3" xfId="16034" xr:uid="{A82D8A54-E75B-40B0-99DA-ADD69D2F2DF4}"/>
    <cellStyle name="20% - Accent4 2 3 4 3" xfId="3078" xr:uid="{1E926778-EC5C-4363-8FAE-01A40D642DD8}"/>
    <cellStyle name="20% - Accent4 2 3 4 3 2" xfId="17130" xr:uid="{F2AE1B6F-7CCA-4DF3-ADA5-9A0BE7361602}"/>
    <cellStyle name="20% - Accent4 2 3 4 4" xfId="14936" xr:uid="{C1A8D11E-5065-4C75-97D4-72B0704EA3DC}"/>
    <cellStyle name="20% - Accent4 2 3 5" xfId="1293" xr:uid="{0DDD61EA-C751-4B25-B669-A5C4AA92DD5F}"/>
    <cellStyle name="20% - Accent4 2 3 5 2" xfId="3484" xr:uid="{D7515FB5-FD2A-4513-AB1F-01058EFB1B09}"/>
    <cellStyle name="20% - Accent4 2 3 5 2 2" xfId="17536" xr:uid="{DE1D2343-4E0F-4A04-AE82-B41AACCC22DD}"/>
    <cellStyle name="20% - Accent4 2 3 5 3" xfId="15342" xr:uid="{145382FC-AE49-4268-8DAD-4EA0B436CC91}"/>
    <cellStyle name="20% - Accent4 2 3 6" xfId="2385" xr:uid="{2C3C1DC4-C0F3-46D0-B42B-07178DCB8EE2}"/>
    <cellStyle name="20% - Accent4 2 3 6 2" xfId="16436" xr:uid="{FA976548-867F-4BD5-B106-ADEFB4A0C8D7}"/>
    <cellStyle name="20% - Accent4 2 3 7" xfId="4578" xr:uid="{EAD83306-CE22-4169-89BB-051F07FE0774}"/>
    <cellStyle name="20% - Accent4 2 3 7 2" xfId="18630" xr:uid="{221DFD7F-A576-412F-8388-BB8C410485F0}"/>
    <cellStyle name="20% - Accent4 2 3 8" xfId="14241" xr:uid="{64DA496A-7E15-4D93-93B6-527CDF549F23}"/>
    <cellStyle name="20% - Accent4 2 4" xfId="302" xr:uid="{5CC71250-5218-417D-B1C1-5F6C2B798EB7}"/>
    <cellStyle name="20% - Accent4 2 4 2" xfId="656" xr:uid="{0768C5F3-34B7-43F3-AEF4-6110C3BF436D}"/>
    <cellStyle name="20% - Accent4 2 4 2 2" xfId="1758" xr:uid="{F36E8732-1B8F-473A-BF71-57962C0E5455}"/>
    <cellStyle name="20% - Accent4 2 4 2 2 2" xfId="3946" xr:uid="{2CD1F91A-78E6-43DB-9942-8F1634721B0F}"/>
    <cellStyle name="20% - Accent4 2 4 2 2 2 2" xfId="17998" xr:uid="{9E5EBC06-AE29-496F-A4FA-DB5E7EED30DD}"/>
    <cellStyle name="20% - Accent4 2 4 2 2 3" xfId="15806" xr:uid="{4B11F5D6-ACB2-42D8-B56A-4B3454A9E162}"/>
    <cellStyle name="20% - Accent4 2 4 2 3" xfId="2849" xr:uid="{BC2C0BDD-DE66-4144-ABE1-707356C97A11}"/>
    <cellStyle name="20% - Accent4 2 4 2 3 2" xfId="16900" xr:uid="{B4E02360-46C8-4854-B9AF-09CA5906B03A}"/>
    <cellStyle name="20% - Accent4 2 4 2 4" xfId="14707" xr:uid="{09A546C2-179E-4A39-96F5-9053125D0D6E}"/>
    <cellStyle name="20% - Accent4 2 4 3" xfId="1003" xr:uid="{A81E0968-4F13-49D7-A280-A6587C4D25A9}"/>
    <cellStyle name="20% - Accent4 2 4 3 2" xfId="2102" xr:uid="{925E389A-3E81-4E14-9431-E7DDD5E4CB61}"/>
    <cellStyle name="20% - Accent4 2 4 3 2 2" xfId="4291" xr:uid="{712108AD-CA1C-4EA4-B50A-B3067D576EBC}"/>
    <cellStyle name="20% - Accent4 2 4 3 2 2 2" xfId="18341" xr:uid="{254C2D58-FDE9-41AB-963E-60B41A8F439F}"/>
    <cellStyle name="20% - Accent4 2 4 3 2 3" xfId="16151" xr:uid="{60CE283C-20B0-4023-BFF9-827C78715994}"/>
    <cellStyle name="20% - Accent4 2 4 3 3" xfId="3195" xr:uid="{C09DDCFC-4A0A-413C-88AA-8021D12DA07E}"/>
    <cellStyle name="20% - Accent4 2 4 3 3 2" xfId="17247" xr:uid="{0D5722CF-33A8-4D05-B404-0D2058CF994C}"/>
    <cellStyle name="20% - Accent4 2 4 3 4" xfId="15053" xr:uid="{8BA481E7-B049-4E33-A8C2-1F8F672A7BA5}"/>
    <cellStyle name="20% - Accent4 2 4 4" xfId="1583" xr:uid="{B525FDDB-3010-4346-8A39-DF9EBC21E2FD}"/>
    <cellStyle name="20% - Accent4 2 4 4 2" xfId="3773" xr:uid="{4CB15455-152F-468C-835E-9919499C0438}"/>
    <cellStyle name="20% - Accent4 2 4 4 2 2" xfId="17826" xr:uid="{24CAE12A-77CF-463A-B626-894E3E1DAB0B}"/>
    <cellStyle name="20% - Accent4 2 4 4 3" xfId="15632" xr:uid="{ABA3E12B-3B08-4D83-A42D-7220D7576241}"/>
    <cellStyle name="20% - Accent4 2 4 5" xfId="2502" xr:uid="{667FDB48-2E41-4EF1-96B3-13173A502BF6}"/>
    <cellStyle name="20% - Accent4 2 4 5 2" xfId="16553" xr:uid="{8DDDA9B4-B901-45E2-884C-E4DF434A0C71}"/>
    <cellStyle name="20% - Accent4 2 4 6" xfId="4868" xr:uid="{CCE6C630-9935-4E78-BAAC-30683303A25C}"/>
    <cellStyle name="20% - Accent4 2 4 6 2" xfId="18920" xr:uid="{A0BC8DA9-46E1-4A2E-BFE5-3C796EA5B802}"/>
    <cellStyle name="20% - Accent4 2 4 7" xfId="14359" xr:uid="{BF4969CB-EBCC-4402-94C4-470DE0845EE4}"/>
    <cellStyle name="20% - Accent4 2 5" xfId="476" xr:uid="{3F44B45D-6EBF-4EE2-8D09-8E9F87E39E5E}"/>
    <cellStyle name="20% - Accent4 2 5 2" xfId="1409" xr:uid="{73D93917-837E-46BC-9E02-9909D33D0876}"/>
    <cellStyle name="20% - Accent4 2 5 2 2" xfId="3599" xr:uid="{A0C551E6-8BE3-42B5-B72C-4B81FEBFAA9D}"/>
    <cellStyle name="20% - Accent4 2 5 2 2 2" xfId="17652" xr:uid="{CF9DBE3F-44A1-4B5E-86A4-7DAE7AD7D673}"/>
    <cellStyle name="20% - Accent4 2 5 2 3" xfId="15458" xr:uid="{9D3BC8DD-810B-4AA7-B012-5EACD93400EE}"/>
    <cellStyle name="20% - Accent4 2 5 3" xfId="2675" xr:uid="{E1F242D5-57CA-4EB9-8DE8-4BC0645D4605}"/>
    <cellStyle name="20% - Accent4 2 5 3 2" xfId="16726" xr:uid="{E43B4DF3-61FD-4430-B3DE-CBAA674B8403}"/>
    <cellStyle name="20% - Accent4 2 5 4" xfId="4694" xr:uid="{14DA5144-56AA-4A22-8276-BBF3917A533D}"/>
    <cellStyle name="20% - Accent4 2 5 4 2" xfId="18746" xr:uid="{093906C8-8817-4EEA-8374-5AD28E0F20F0}"/>
    <cellStyle name="20% - Accent4 2 5 5" xfId="14531" xr:uid="{AB16485A-C4CC-4BE4-AEF4-F9B640572CE8}"/>
    <cellStyle name="20% - Accent4 2 6" xfId="829" xr:uid="{859AAEAB-496C-446D-80AE-6C7523FF6EAD}"/>
    <cellStyle name="20% - Accent4 2 6 2" xfId="1928" xr:uid="{B3841BD3-99B5-4D5A-A02B-C0F332709DE7}"/>
    <cellStyle name="20% - Accent4 2 6 2 2" xfId="4117" xr:uid="{1D94F375-CB2D-41C9-944A-34B0586783A6}"/>
    <cellStyle name="20% - Accent4 2 6 2 2 2" xfId="18169" xr:uid="{D0A99943-59FE-40BB-9755-12D7497C8E79}"/>
    <cellStyle name="20% - Accent4 2 6 2 3" xfId="15977" xr:uid="{A34BC5C4-53F5-4E59-84C4-B52FFD52DD05}"/>
    <cellStyle name="20% - Accent4 2 6 3" xfId="3021" xr:uid="{86BBC673-88C7-460E-B109-D4C2D03DCAE9}"/>
    <cellStyle name="20% - Accent4 2 6 3 2" xfId="17073" xr:uid="{376B0961-30A0-4079-9A1F-6E1B746EE24D}"/>
    <cellStyle name="20% - Accent4 2 6 4" xfId="14879" xr:uid="{CEC3BB7C-E477-479A-8413-2266A692BB92}"/>
    <cellStyle name="20% - Accent4 2 7" xfId="1173" xr:uid="{5A3D7202-92FC-492D-BAC2-563239BA35F4}"/>
    <cellStyle name="20% - Accent4 2 7 2" xfId="2272" xr:uid="{FCD9553B-26B4-4942-A43A-0A08AE6A7195}"/>
    <cellStyle name="20% - Accent4 2 7 2 2" xfId="4461" xr:uid="{3F72648A-F2C0-4B67-BB0D-514440C0C3CC}"/>
    <cellStyle name="20% - Accent4 2 7 2 2 2" xfId="18512" xr:uid="{81E0582B-2BB4-44AB-82F0-A7C6BA440500}"/>
    <cellStyle name="20% - Accent4 2 7 2 3" xfId="16322" xr:uid="{91D92EF5-56FA-424A-9720-C40163EEB2F9}"/>
    <cellStyle name="20% - Accent4 2 7 3" xfId="3366" xr:uid="{0BA08061-5818-4BC6-BAC0-215BDD2A12DD}"/>
    <cellStyle name="20% - Accent4 2 7 3 2" xfId="17418" xr:uid="{F3660AE6-2DF7-459D-B35F-15E85EA78F11}"/>
    <cellStyle name="20% - Accent4 2 7 4" xfId="15224" xr:uid="{1E899D18-138A-4EED-B551-2BCE6D678C20}"/>
    <cellStyle name="20% - Accent4 2 8" xfId="1237" xr:uid="{196CF46B-8401-40D5-B095-35FAB009B031}"/>
    <cellStyle name="20% - Accent4 2 8 2" xfId="3427" xr:uid="{27D2AD29-462B-4A3D-8C29-D040B4CD3EA5}"/>
    <cellStyle name="20% - Accent4 2 8 2 2" xfId="17479" xr:uid="{30668AD9-0D32-4D6D-9730-6CDDD1A392E2}"/>
    <cellStyle name="20% - Accent4 2 8 3" xfId="15285" xr:uid="{FCC36EE6-3140-464C-AFD4-DC82B486A989}"/>
    <cellStyle name="20% - Accent4 2 9" xfId="2328" xr:uid="{1B875A44-E79C-4C31-AA0A-C1062F7832BD}"/>
    <cellStyle name="20% - Accent4 2 9 2" xfId="16379" xr:uid="{13FBD2A0-C307-4C92-85A5-93D3479580D2}"/>
    <cellStyle name="20% - Accent4 3" xfId="100" xr:uid="{D3FB8889-4EBF-41F8-9301-E93A75CA7D86}"/>
    <cellStyle name="20% - Accent4 3 10" xfId="4498" xr:uid="{874DF894-573E-4D5F-B1B5-1D492D54D66D}"/>
    <cellStyle name="20% - Accent4 3 10 2" xfId="18549" xr:uid="{15E971DF-7116-4936-A53C-C742FBEB2C45}"/>
    <cellStyle name="20% - Accent4 3 11" xfId="14160" xr:uid="{35393E48-E4A9-4AA3-8FD3-CA3E9E783408}"/>
    <cellStyle name="20% - Accent4 3 2" xfId="215" xr:uid="{7D4488E0-4CCB-4DF5-AC2A-F1C0C23F08C4}"/>
    <cellStyle name="20% - Accent4 3 2 2" xfId="392" xr:uid="{6E4CD32F-DC84-483B-A6F8-576B8A24C9CA}"/>
    <cellStyle name="20% - Accent4 3 2 2 2" xfId="746" xr:uid="{BEEA5384-9AEC-4CED-9685-1540B04E187C}"/>
    <cellStyle name="20% - Accent4 3 2 2 2 2" xfId="1847" xr:uid="{BA9B53DC-48CF-406C-A903-70813FD13E6C}"/>
    <cellStyle name="20% - Accent4 3 2 2 2 2 2" xfId="4036" xr:uid="{7D7EF6AF-9263-417A-AD63-65F3844DC975}"/>
    <cellStyle name="20% - Accent4 3 2 2 2 2 2 2" xfId="18088" xr:uid="{9E9C96E2-125D-476E-88BC-6A23999ABECF}"/>
    <cellStyle name="20% - Accent4 3 2 2 2 2 3" xfId="15896" xr:uid="{0AD6FC60-BF0F-4C0D-8E30-BAD53F214056}"/>
    <cellStyle name="20% - Accent4 3 2 2 2 3" xfId="2938" xr:uid="{03F8A51E-D24D-4B2E-B830-910B2E11E64C}"/>
    <cellStyle name="20% - Accent4 3 2 2 2 3 2" xfId="16990" xr:uid="{24C37ECB-63DD-4780-99B9-1C8B68CB32BC}"/>
    <cellStyle name="20% - Accent4 3 2 2 2 4" xfId="14797" xr:uid="{B0037B62-42D9-4F0C-9C12-284424334423}"/>
    <cellStyle name="20% - Accent4 3 2 2 3" xfId="1093" xr:uid="{4099F89A-19E7-4883-99E7-AA335834F5C5}"/>
    <cellStyle name="20% - Accent4 3 2 2 3 2" xfId="2192" xr:uid="{5598E600-3CE1-4024-BA4C-203B42206493}"/>
    <cellStyle name="20% - Accent4 3 2 2 3 2 2" xfId="4381" xr:uid="{85FDBC18-896D-4DAF-9CF8-81CAF1D32765}"/>
    <cellStyle name="20% - Accent4 3 2 2 3 2 2 2" xfId="18431" xr:uid="{D49CF3F6-66C5-490F-9A7B-E098127B2F23}"/>
    <cellStyle name="20% - Accent4 3 2 2 3 2 3" xfId="16241" xr:uid="{D3549256-DEF4-4936-930E-3DDBE4E6F11A}"/>
    <cellStyle name="20% - Accent4 3 2 2 3 3" xfId="3285" xr:uid="{45B4282F-A957-4B35-A525-CF1395FC1448}"/>
    <cellStyle name="20% - Accent4 3 2 2 3 3 2" xfId="17337" xr:uid="{D50C0C83-9116-414B-951A-CF4B4BBF9892}"/>
    <cellStyle name="20% - Accent4 3 2 2 3 4" xfId="15143" xr:uid="{F3D2F566-E888-4C69-A8B9-9095ABD96E26}"/>
    <cellStyle name="20% - Accent4 3 2 2 4" xfId="1673" xr:uid="{8F0717CA-B03E-4FBC-AB9F-7B9D547D5A6D}"/>
    <cellStyle name="20% - Accent4 3 2 2 4 2" xfId="3863" xr:uid="{4FA8C6B1-4D82-46E0-8F8C-C4587BA72907}"/>
    <cellStyle name="20% - Accent4 3 2 2 4 2 2" xfId="17916" xr:uid="{186F0264-05AF-43FA-84E9-2022501F677C}"/>
    <cellStyle name="20% - Accent4 3 2 2 4 3" xfId="15722" xr:uid="{04D388EC-2000-4C63-809E-3D3E337E2C64}"/>
    <cellStyle name="20% - Accent4 3 2 2 5" xfId="2592" xr:uid="{5230CD8E-0315-4D16-8ABD-43F1D1A5B5C5}"/>
    <cellStyle name="20% - Accent4 3 2 2 5 2" xfId="16643" xr:uid="{C4EC701D-0415-41D7-8515-5C512C8E46F3}"/>
    <cellStyle name="20% - Accent4 3 2 2 6" xfId="4958" xr:uid="{71367FB3-948B-48CE-BD59-713AB61093B0}"/>
    <cellStyle name="20% - Accent4 3 2 2 6 2" xfId="19010" xr:uid="{35791A76-C9B9-4F2F-AC8C-581534C381CC}"/>
    <cellStyle name="20% - Accent4 3 2 2 7" xfId="14449" xr:uid="{5A4F039F-F306-4C7B-A5DA-A6D2448DB5A3}"/>
    <cellStyle name="20% - Accent4 3 2 3" xfId="566" xr:uid="{C0D84181-408D-421B-8821-1F51B24003A2}"/>
    <cellStyle name="20% - Accent4 3 2 3 2" xfId="1499" xr:uid="{DB88F1EB-6C39-4CE9-A794-D0051D7C87CA}"/>
    <cellStyle name="20% - Accent4 3 2 3 2 2" xfId="3689" xr:uid="{5811BD74-7F70-4940-B361-86F9C30B7823}"/>
    <cellStyle name="20% - Accent4 3 2 3 2 2 2" xfId="17742" xr:uid="{F3E29EDC-BC39-421A-96B3-9DE60754C402}"/>
    <cellStyle name="20% - Accent4 3 2 3 2 3" xfId="15548" xr:uid="{7A2D0491-D1AA-48AA-BFAD-02D6F2E99CC4}"/>
    <cellStyle name="20% - Accent4 3 2 3 3" xfId="2765" xr:uid="{5ECA3A3A-61E1-4629-A787-F5F6EAA5A295}"/>
    <cellStyle name="20% - Accent4 3 2 3 3 2" xfId="16816" xr:uid="{06A61B4D-86FE-4EC9-B04D-A86C7D1D0F6F}"/>
    <cellStyle name="20% - Accent4 3 2 3 4" xfId="4784" xr:uid="{E2A3F8BC-2919-4238-8F8B-599FA230AC06}"/>
    <cellStyle name="20% - Accent4 3 2 3 4 2" xfId="18836" xr:uid="{3B1D99D0-16AE-40C7-A51B-E8C7448239D4}"/>
    <cellStyle name="20% - Accent4 3 2 3 5" xfId="14621" xr:uid="{D46A696C-EA6D-4F3E-97E7-778F32934A4F}"/>
    <cellStyle name="20% - Accent4 3 2 4" xfId="919" xr:uid="{7A5AE903-8B8A-46EA-B5EB-558B8E7769C5}"/>
    <cellStyle name="20% - Accent4 3 2 4 2" xfId="2018" xr:uid="{0F1A1D30-40CB-4310-A56F-D8FD23F00E58}"/>
    <cellStyle name="20% - Accent4 3 2 4 2 2" xfId="4207" xr:uid="{2FBDAAAE-24BD-406B-87DC-28B0F42253A5}"/>
    <cellStyle name="20% - Accent4 3 2 4 2 2 2" xfId="18258" xr:uid="{575822D7-4F75-4965-B25C-382FC91F5FA7}"/>
    <cellStyle name="20% - Accent4 3 2 4 2 3" xfId="16067" xr:uid="{93D50F6A-1880-494F-A5F9-2A3DD5B79434}"/>
    <cellStyle name="20% - Accent4 3 2 4 3" xfId="3111" xr:uid="{D232022F-4779-47FD-A75F-9A64C058BC3E}"/>
    <cellStyle name="20% - Accent4 3 2 4 3 2" xfId="17163" xr:uid="{310A0C45-3FEB-41D8-A234-A7BF53B3995D}"/>
    <cellStyle name="20% - Accent4 3 2 4 4" xfId="14969" xr:uid="{7F80D781-75CA-42F9-A83B-38881B98BC46}"/>
    <cellStyle name="20% - Accent4 3 2 5" xfId="1326" xr:uid="{2809EB45-E668-4677-9023-FB9DE6C014BA}"/>
    <cellStyle name="20% - Accent4 3 2 5 2" xfId="3517" xr:uid="{2BE0CD4C-2B7D-40EB-A7BB-BA3AA06CFD73}"/>
    <cellStyle name="20% - Accent4 3 2 5 2 2" xfId="17569" xr:uid="{FD7EF856-306A-46BA-B35D-210851296D7B}"/>
    <cellStyle name="20% - Accent4 3 2 5 3" xfId="15375" xr:uid="{371C6B1E-679E-4339-864D-B133C7F6902B}"/>
    <cellStyle name="20% - Accent4 3 2 6" xfId="2418" xr:uid="{BE6E6823-FDB1-4559-85F9-442F618DF59D}"/>
    <cellStyle name="20% - Accent4 3 2 6 2" xfId="16469" xr:uid="{5C731281-1C89-4868-B562-628410C2D2D3}"/>
    <cellStyle name="20% - Accent4 3 2 7" xfId="4611" xr:uid="{5A42E73D-75A0-47D3-B4A3-10B4DC102B52}"/>
    <cellStyle name="20% - Accent4 3 2 7 2" xfId="18663" xr:uid="{FE5AAC13-49BB-43D4-A15D-B7F18EF6E9C9}"/>
    <cellStyle name="20% - Accent4 3 2 8" xfId="14274" xr:uid="{7A3895B9-4919-4A39-AB42-A5273E67BFF0}"/>
    <cellStyle name="20% - Accent4 3 3" xfId="158" xr:uid="{CCBF05A3-03B8-4DA1-A0AA-41C6BCD4B87F}"/>
    <cellStyle name="20% - Accent4 3 3 2" xfId="335" xr:uid="{6DC0961D-42E4-4C8D-8C9F-D6B4602B8698}"/>
    <cellStyle name="20% - Accent4 3 3 2 2" xfId="689" xr:uid="{98EE3D57-A0FE-44DB-87A1-DAB403F0F41A}"/>
    <cellStyle name="20% - Accent4 3 3 2 2 2" xfId="1790" xr:uid="{95F0DC36-09EB-406A-8AB0-4339DDC6BA83}"/>
    <cellStyle name="20% - Accent4 3 3 2 2 2 2" xfId="3979" xr:uid="{09826323-136A-4193-928F-2E6F0D1620E6}"/>
    <cellStyle name="20% - Accent4 3 3 2 2 2 2 2" xfId="18031" xr:uid="{A70620C1-4E98-473C-9029-25B230C56D48}"/>
    <cellStyle name="20% - Accent4 3 3 2 2 2 3" xfId="15839" xr:uid="{CF241FEE-9F70-48FE-B9E1-3AAF093FB128}"/>
    <cellStyle name="20% - Accent4 3 3 2 2 3" xfId="2881" xr:uid="{6374EB4E-C13D-4057-ABB6-8BB9879A04E5}"/>
    <cellStyle name="20% - Accent4 3 3 2 2 3 2" xfId="16933" xr:uid="{3F143130-D9D9-412B-A1EE-FD8B71F851EE}"/>
    <cellStyle name="20% - Accent4 3 3 2 2 4" xfId="14740" xr:uid="{6369B67C-0498-453F-A86A-98F6F1B90A2B}"/>
    <cellStyle name="20% - Accent4 3 3 2 3" xfId="1036" xr:uid="{4441E546-AD34-45EB-88B2-E24A18CB35FA}"/>
    <cellStyle name="20% - Accent4 3 3 2 3 2" xfId="2135" xr:uid="{BD7B0B2A-BC3A-425B-B301-E9749F54AEE6}"/>
    <cellStyle name="20% - Accent4 3 3 2 3 2 2" xfId="4324" xr:uid="{B0543EF1-31D0-47AF-B363-6BA1FC3B0BF1}"/>
    <cellStyle name="20% - Accent4 3 3 2 3 2 2 2" xfId="18374" xr:uid="{F945ED48-D1B6-452C-9C37-06E71759604B}"/>
    <cellStyle name="20% - Accent4 3 3 2 3 2 3" xfId="16184" xr:uid="{3549B7EC-112C-4E69-8E9B-437D52DF9005}"/>
    <cellStyle name="20% - Accent4 3 3 2 3 3" xfId="3228" xr:uid="{01FDA807-0401-4A11-AE5D-C06A7F679B28}"/>
    <cellStyle name="20% - Accent4 3 3 2 3 3 2" xfId="17280" xr:uid="{DC0A42EB-DF38-4DD2-BD0A-ED9FBE8BBD56}"/>
    <cellStyle name="20% - Accent4 3 3 2 3 4" xfId="15086" xr:uid="{A1F5CAA6-4E0A-4511-8A65-018DDD2EC729}"/>
    <cellStyle name="20% - Accent4 3 3 2 4" xfId="1616" xr:uid="{864C548C-99E0-4A20-AC9F-BC0B455D7CB2}"/>
    <cellStyle name="20% - Accent4 3 3 2 4 2" xfId="3806" xr:uid="{10272035-F44B-46BE-9016-1CE0BEDF1F06}"/>
    <cellStyle name="20% - Accent4 3 3 2 4 2 2" xfId="17859" xr:uid="{DEEBA534-E7BF-4922-B8EA-3AE42DA50DE7}"/>
    <cellStyle name="20% - Accent4 3 3 2 4 3" xfId="15665" xr:uid="{172ACEBD-C7F4-48B5-808A-12A0D2F63786}"/>
    <cellStyle name="20% - Accent4 3 3 2 5" xfId="2535" xr:uid="{DC7BC3E6-6A75-4939-A6EA-B40699B02A4C}"/>
    <cellStyle name="20% - Accent4 3 3 2 5 2" xfId="16586" xr:uid="{A4BD6CAE-B8BB-4F22-91C3-4BE1DA02CA60}"/>
    <cellStyle name="20% - Accent4 3 3 2 6" xfId="4901" xr:uid="{81CA100A-8A36-4D51-A3FB-E16054889150}"/>
    <cellStyle name="20% - Accent4 3 3 2 6 2" xfId="18953" xr:uid="{439CD5D3-8AF0-4A5B-A7DA-1E4CD9267BC1}"/>
    <cellStyle name="20% - Accent4 3 3 2 7" xfId="14392" xr:uid="{22DD9643-D48D-4A52-BD18-D69F00E90CF5}"/>
    <cellStyle name="20% - Accent4 3 3 3" xfId="509" xr:uid="{B5372D2F-1B43-4031-B52D-56DCF052F040}"/>
    <cellStyle name="20% - Accent4 3 3 3 2" xfId="1442" xr:uid="{A7C9D007-7F6E-492F-BF35-FF5ABCDC5247}"/>
    <cellStyle name="20% - Accent4 3 3 3 2 2" xfId="3632" xr:uid="{60C6CF32-99C9-4F8B-B259-402B707D8324}"/>
    <cellStyle name="20% - Accent4 3 3 3 2 2 2" xfId="17685" xr:uid="{FF4516E4-BF6F-49FF-897B-15225AE75C7D}"/>
    <cellStyle name="20% - Accent4 3 3 3 2 3" xfId="15491" xr:uid="{C89A9260-8717-49EB-9BFD-6FD5D2024F71}"/>
    <cellStyle name="20% - Accent4 3 3 3 3" xfId="2708" xr:uid="{FFB3A255-57DF-4BDA-B9FF-A78D7A8E909A}"/>
    <cellStyle name="20% - Accent4 3 3 3 3 2" xfId="16759" xr:uid="{BEC43406-0C38-48CB-BAF0-2F82A9FFF2D9}"/>
    <cellStyle name="20% - Accent4 3 3 3 4" xfId="4727" xr:uid="{BC571597-A78E-46DC-BBCC-22915F36CAC3}"/>
    <cellStyle name="20% - Accent4 3 3 3 4 2" xfId="18779" xr:uid="{E9555106-DE31-47C9-8C2E-C73CEECB097C}"/>
    <cellStyle name="20% - Accent4 3 3 3 5" xfId="14564" xr:uid="{482040D5-15CD-4E99-909F-B1619905CB53}"/>
    <cellStyle name="20% - Accent4 3 3 4" xfId="862" xr:uid="{00BFCA70-FBE2-48A9-ACFF-3B9EF424E916}"/>
    <cellStyle name="20% - Accent4 3 3 4 2" xfId="1961" xr:uid="{1EBB5992-5AE6-4796-A608-28AD82033B38}"/>
    <cellStyle name="20% - Accent4 3 3 4 2 2" xfId="4150" xr:uid="{9F0891F0-E60C-42F0-B606-4A76B7CA947B}"/>
    <cellStyle name="20% - Accent4 3 3 4 2 2 2" xfId="18201" xr:uid="{F6329DC7-AE28-4286-BE33-77D5D49FE38F}"/>
    <cellStyle name="20% - Accent4 3 3 4 2 3" xfId="16010" xr:uid="{8B5E709E-6F77-410E-9D05-8AE5D3ADC213}"/>
    <cellStyle name="20% - Accent4 3 3 4 3" xfId="3054" xr:uid="{3CC11FA8-45DE-475B-9B12-2EC7227992E0}"/>
    <cellStyle name="20% - Accent4 3 3 4 3 2" xfId="17106" xr:uid="{FF476EF4-FF14-4527-8E0D-2AFBC47B1427}"/>
    <cellStyle name="20% - Accent4 3 3 4 4" xfId="14912" xr:uid="{91514512-A4B0-4004-9749-B976EB10E9DD}"/>
    <cellStyle name="20% - Accent4 3 3 5" xfId="1270" xr:uid="{7B1BB7CC-C80D-44FC-AFE8-4DD25D9EBA8C}"/>
    <cellStyle name="20% - Accent4 3 3 5 2" xfId="3460" xr:uid="{C5AAF4B1-3DED-4E1B-ACA6-207E83FCBA6C}"/>
    <cellStyle name="20% - Accent4 3 3 5 2 2" xfId="17512" xr:uid="{5096C552-4DC3-4096-A5DA-3C64FC551F10}"/>
    <cellStyle name="20% - Accent4 3 3 5 3" xfId="15318" xr:uid="{D6378B7E-2962-4F21-8EF4-FD60D7A0FCF2}"/>
    <cellStyle name="20% - Accent4 3 3 6" xfId="2361" xr:uid="{B8D5DCA3-B210-42FB-A18D-DC41F200CD81}"/>
    <cellStyle name="20% - Accent4 3 3 6 2" xfId="16412" xr:uid="{D9E7A7EA-6DB2-48A7-9DF8-2D88EB955416}"/>
    <cellStyle name="20% - Accent4 3 3 7" xfId="4554" xr:uid="{0B9F14C5-9941-4461-B6BE-A73D0AC3247B}"/>
    <cellStyle name="20% - Accent4 3 3 7 2" xfId="18606" xr:uid="{A4B1BCCE-16E1-4F2B-84D4-2063F10B29B8}"/>
    <cellStyle name="20% - Accent4 3 3 8" xfId="14217" xr:uid="{B8154E4D-5EC9-4F71-A178-F90D684F707C}"/>
    <cellStyle name="20% - Accent4 3 4" xfId="278" xr:uid="{839D9749-1582-4099-AABD-0D0B0F86C86B}"/>
    <cellStyle name="20% - Accent4 3 4 2" xfId="632" xr:uid="{24BC7964-8B2B-459A-B239-BD928320D24A}"/>
    <cellStyle name="20% - Accent4 3 4 2 2" xfId="1734" xr:uid="{4576EDE3-D910-4404-9BC3-E684E0D84591}"/>
    <cellStyle name="20% - Accent4 3 4 2 2 2" xfId="3922" xr:uid="{FA45D757-2F33-425C-8525-72F06657A290}"/>
    <cellStyle name="20% - Accent4 3 4 2 2 2 2" xfId="17974" xr:uid="{FEDD07FF-F917-4460-995E-AF93AC6D7F1D}"/>
    <cellStyle name="20% - Accent4 3 4 2 2 3" xfId="15782" xr:uid="{BAF06B58-6E34-4141-AFB8-E7A3B730A5DC}"/>
    <cellStyle name="20% - Accent4 3 4 2 3" xfId="2825" xr:uid="{FE7AC94A-ED30-445D-9F85-A10E60624895}"/>
    <cellStyle name="20% - Accent4 3 4 2 3 2" xfId="16876" xr:uid="{0E993FF0-4D28-46A5-AA79-F427363F883F}"/>
    <cellStyle name="20% - Accent4 3 4 2 4" xfId="14683" xr:uid="{AEFAACEC-5B08-4B75-B605-0BDC239C73ED}"/>
    <cellStyle name="20% - Accent4 3 4 3" xfId="979" xr:uid="{92850083-1D20-42FD-8D4C-166742F685ED}"/>
    <cellStyle name="20% - Accent4 3 4 3 2" xfId="2078" xr:uid="{4E064B9A-A2A2-4D99-9AF0-80CF35082554}"/>
    <cellStyle name="20% - Accent4 3 4 3 2 2" xfId="4267" xr:uid="{3C06D3FC-AB1C-4910-BBFF-86EA040B09A2}"/>
    <cellStyle name="20% - Accent4 3 4 3 2 2 2" xfId="18318" xr:uid="{0C33A59D-0C5B-4BC6-8925-754238A83D90}"/>
    <cellStyle name="20% - Accent4 3 4 3 2 3" xfId="16127" xr:uid="{5D098B39-0C06-4953-9C6E-413F3C36FF2D}"/>
    <cellStyle name="20% - Accent4 3 4 3 3" xfId="3171" xr:uid="{D06A6474-D107-443D-A280-B9AD1ABAC9D0}"/>
    <cellStyle name="20% - Accent4 3 4 3 3 2" xfId="17223" xr:uid="{80FDCB80-47A2-4265-8852-87E41BC5532E}"/>
    <cellStyle name="20% - Accent4 3 4 3 4" xfId="15029" xr:uid="{3EF5DE2E-0A17-43A6-8751-847C8856A1DA}"/>
    <cellStyle name="20% - Accent4 3 4 4" xfId="1559" xr:uid="{A67E4CE8-7616-4CA3-979B-3DC9205D9E34}"/>
    <cellStyle name="20% - Accent4 3 4 4 2" xfId="3749" xr:uid="{F279B589-10C7-411C-B624-A42C2BCF8DEF}"/>
    <cellStyle name="20% - Accent4 3 4 4 2 2" xfId="17802" xr:uid="{D0AB89F0-8309-499E-819C-9EC832623397}"/>
    <cellStyle name="20% - Accent4 3 4 4 3" xfId="15608" xr:uid="{8FBDC064-B34F-4DD6-9569-CA68FB7AF000}"/>
    <cellStyle name="20% - Accent4 3 4 5" xfId="2478" xr:uid="{8B0CE2DA-C9A7-4EA4-A2B6-C9EE3FB0435E}"/>
    <cellStyle name="20% - Accent4 3 4 5 2" xfId="16529" xr:uid="{11C003EB-4C97-493F-9C9C-06D4B35A724D}"/>
    <cellStyle name="20% - Accent4 3 4 6" xfId="4844" xr:uid="{4C056633-175A-4D21-8A49-1DD84E9F139E}"/>
    <cellStyle name="20% - Accent4 3 4 6 2" xfId="18896" xr:uid="{0F1E93B0-D19A-4E22-87E4-1AD27D81EECD}"/>
    <cellStyle name="20% - Accent4 3 4 7" xfId="14335" xr:uid="{17735E29-F3AE-4139-A6D4-8C33A46A00AB}"/>
    <cellStyle name="20% - Accent4 3 5" xfId="452" xr:uid="{2B640DBA-C19C-4DDF-8474-BF82DEB7D0BB}"/>
    <cellStyle name="20% - Accent4 3 5 2" xfId="1385" xr:uid="{B7180A96-38EB-4FBA-9AC7-845E8B8A9F51}"/>
    <cellStyle name="20% - Accent4 3 5 2 2" xfId="3575" xr:uid="{2D845150-E8AD-4E09-A58B-A1FDBDF85BD9}"/>
    <cellStyle name="20% - Accent4 3 5 2 2 2" xfId="17628" xr:uid="{47E66CB8-ED8D-4C98-BCEA-70FC0F32E88D}"/>
    <cellStyle name="20% - Accent4 3 5 2 3" xfId="15434" xr:uid="{23974CB4-0B61-427F-9123-A8EA23AF4277}"/>
    <cellStyle name="20% - Accent4 3 5 3" xfId="2651" xr:uid="{6BA991B6-A4C4-439B-BF0F-DD28F55820BC}"/>
    <cellStyle name="20% - Accent4 3 5 3 2" xfId="16702" xr:uid="{CB5652E0-3C99-449A-8A36-4308060CAF1D}"/>
    <cellStyle name="20% - Accent4 3 5 4" xfId="4670" xr:uid="{995DF6F5-88A5-4B75-BC88-86BD50EB7A82}"/>
    <cellStyle name="20% - Accent4 3 5 4 2" xfId="18722" xr:uid="{4B6F1C10-CBCB-4BB9-9462-B90AD47BD8EA}"/>
    <cellStyle name="20% - Accent4 3 5 5" xfId="14507" xr:uid="{652E28E9-CE03-4AB0-A0E3-C32247BFD670}"/>
    <cellStyle name="20% - Accent4 3 6" xfId="805" xr:uid="{5C58D21E-57A2-44E6-8A39-B1D86070E9D0}"/>
    <cellStyle name="20% - Accent4 3 6 2" xfId="1904" xr:uid="{FF30AB4E-C33F-4213-AECC-A197F986502D}"/>
    <cellStyle name="20% - Accent4 3 6 2 2" xfId="4093" xr:uid="{F8A5D032-662D-4FAA-A132-B7FEB888D906}"/>
    <cellStyle name="20% - Accent4 3 6 2 2 2" xfId="18145" xr:uid="{2C989633-9FD1-4A3F-B7ED-A4A18C4A6D67}"/>
    <cellStyle name="20% - Accent4 3 6 2 3" xfId="15953" xr:uid="{65E4153A-E8EC-44E1-86EE-B33DE8416450}"/>
    <cellStyle name="20% - Accent4 3 6 3" xfId="2997" xr:uid="{EE9563C3-ABC2-40A1-9493-230EBF9EA147}"/>
    <cellStyle name="20% - Accent4 3 6 3 2" xfId="17049" xr:uid="{4B2A4911-4C5F-4D16-B5DD-D8891E68E7E6}"/>
    <cellStyle name="20% - Accent4 3 6 4" xfId="14855" xr:uid="{E2231AB4-6884-455C-A1E6-D09109CC8B3E}"/>
    <cellStyle name="20% - Accent4 3 7" xfId="1149" xr:uid="{77DB2B83-0E2A-4781-B9BE-869505518627}"/>
    <cellStyle name="20% - Accent4 3 7 2" xfId="2249" xr:uid="{7FE3CFEA-4681-4E73-BC8B-B8A89540748B}"/>
    <cellStyle name="20% - Accent4 3 7 2 2" xfId="4438" xr:uid="{F43E16B3-2FB5-477D-B4F8-8EA2C89EA5AE}"/>
    <cellStyle name="20% - Accent4 3 7 2 2 2" xfId="18488" xr:uid="{35B9F2F6-49FD-456B-B6F8-D53DBDC5F182}"/>
    <cellStyle name="20% - Accent4 3 7 2 3" xfId="16298" xr:uid="{1E0519CF-5C30-43E6-9590-5D8AF7AE617C}"/>
    <cellStyle name="20% - Accent4 3 7 3" xfId="3342" xr:uid="{61C57FCA-3E11-4324-AB8A-5DFD40E77C2A}"/>
    <cellStyle name="20% - Accent4 3 7 3 2" xfId="17394" xr:uid="{D09DB3FF-19C2-463F-9395-3CFD1FD15AA4}"/>
    <cellStyle name="20% - Accent4 3 7 4" xfId="15200" xr:uid="{9DABC02C-EE83-494B-A540-B5860A47B1D5}"/>
    <cellStyle name="20% - Accent4 3 8" xfId="1213" xr:uid="{BA802B5B-E8DB-4345-86CD-2AA92B8DD43F}"/>
    <cellStyle name="20% - Accent4 3 8 2" xfId="3403" xr:uid="{300360F3-DC0E-44D1-853D-4B20BC189CEA}"/>
    <cellStyle name="20% - Accent4 3 8 2 2" xfId="17455" xr:uid="{FA8AA5FB-DECE-41EE-BB14-15922324DBFF}"/>
    <cellStyle name="20% - Accent4 3 8 3" xfId="15261" xr:uid="{F3D0FC41-7EDD-427A-A02F-A37E0C804FE2}"/>
    <cellStyle name="20% - Accent4 3 9" xfId="2304" xr:uid="{DB63C690-F81E-4FE4-9C4C-C2D8A838D3FA}"/>
    <cellStyle name="20% - Accent4 3 9 2" xfId="16355" xr:uid="{22A01F88-3536-4CCB-89C0-B6F966B6B75E}"/>
    <cellStyle name="20% - Accent4 4" xfId="195" xr:uid="{9A2979F3-0123-4CFA-9128-0885A89C66A8}"/>
    <cellStyle name="20% - Accent4 4 2" xfId="372" xr:uid="{61E1EE02-0904-4972-A855-7732219CDB42}"/>
    <cellStyle name="20% - Accent4 4 2 2" xfId="726" xr:uid="{D87DBEC1-7AA2-4EF1-8E61-7C2617BE7148}"/>
    <cellStyle name="20% - Accent4 4 2 2 2" xfId="1827" xr:uid="{040F6087-F51A-4670-9A74-77E95FCD0024}"/>
    <cellStyle name="20% - Accent4 4 2 2 2 2" xfId="4016" xr:uid="{3924AAFC-C76B-4D7D-B85B-D47829494CF2}"/>
    <cellStyle name="20% - Accent4 4 2 2 2 2 2" xfId="18068" xr:uid="{D31F358A-1186-4D4C-AEF5-7DCAD1290D62}"/>
    <cellStyle name="20% - Accent4 4 2 2 2 3" xfId="15876" xr:uid="{F59F000F-8E1A-4323-ABDB-FAF04EB35AF2}"/>
    <cellStyle name="20% - Accent4 4 2 2 3" xfId="2918" xr:uid="{D9786B49-B5CE-48B6-8030-D0A1069F6FDB}"/>
    <cellStyle name="20% - Accent4 4 2 2 3 2" xfId="16970" xr:uid="{E3F2BDF8-A1C9-4207-8483-9D095ACC3D4C}"/>
    <cellStyle name="20% - Accent4 4 2 2 4" xfId="14777" xr:uid="{BACEBC03-59CD-49E9-B3DB-91FC22CFCB45}"/>
    <cellStyle name="20% - Accent4 4 2 3" xfId="1073" xr:uid="{D834513D-51EE-4356-BB17-7EEB61BFA4D5}"/>
    <cellStyle name="20% - Accent4 4 2 3 2" xfId="2172" xr:uid="{D986388D-1AF4-4173-A7C0-7B6C5C124559}"/>
    <cellStyle name="20% - Accent4 4 2 3 2 2" xfId="4361" xr:uid="{957604FC-7E7F-4053-A45E-9D348BD56BDB}"/>
    <cellStyle name="20% - Accent4 4 2 3 2 2 2" xfId="18411" xr:uid="{DB696EDB-0F88-4E95-A383-EE681E5D176A}"/>
    <cellStyle name="20% - Accent4 4 2 3 2 3" xfId="16221" xr:uid="{7ECCFDCA-F491-4C4A-A1D5-1B87F131CE65}"/>
    <cellStyle name="20% - Accent4 4 2 3 3" xfId="3265" xr:uid="{77F597FD-A735-4A35-B50C-22890E90F004}"/>
    <cellStyle name="20% - Accent4 4 2 3 3 2" xfId="17317" xr:uid="{92EA5560-B6A8-4D3C-AAC5-5F91F8DE453F}"/>
    <cellStyle name="20% - Accent4 4 2 3 4" xfId="15123" xr:uid="{B09075B1-BBE3-4972-A315-458E1663D5B6}"/>
    <cellStyle name="20% - Accent4 4 2 4" xfId="1653" xr:uid="{DB56F138-37D1-4C9F-B28C-51F3F0164DD1}"/>
    <cellStyle name="20% - Accent4 4 2 4 2" xfId="3843" xr:uid="{5A477DEF-7226-4CC5-8F90-2ABB5C166A02}"/>
    <cellStyle name="20% - Accent4 4 2 4 2 2" xfId="17896" xr:uid="{5418A1EC-D9B5-4AD7-92F9-584E069C1CAB}"/>
    <cellStyle name="20% - Accent4 4 2 4 3" xfId="15702" xr:uid="{67156EB7-0A35-4C9A-97D7-C6B4B686866E}"/>
    <cellStyle name="20% - Accent4 4 2 5" xfId="2572" xr:uid="{5118C1BF-77EE-4EEB-8F85-5F4823B96C96}"/>
    <cellStyle name="20% - Accent4 4 2 5 2" xfId="16623" xr:uid="{CDB56131-B980-4EA7-AEEB-688727D93073}"/>
    <cellStyle name="20% - Accent4 4 2 6" xfId="4938" xr:uid="{AB3681AF-D3D5-449C-A025-BAA7D4885ECA}"/>
    <cellStyle name="20% - Accent4 4 2 6 2" xfId="18990" xr:uid="{FDBBF245-6E03-40BF-A860-FF96F6AF67F0}"/>
    <cellStyle name="20% - Accent4 4 2 7" xfId="14429" xr:uid="{46E03F7A-2193-454E-AD5A-060524312F47}"/>
    <cellStyle name="20% - Accent4 4 3" xfId="546" xr:uid="{FD4083A0-3CEA-40A8-95F1-118CBBA7E708}"/>
    <cellStyle name="20% - Accent4 4 3 2" xfId="1479" xr:uid="{5B3D7495-9322-4919-AC1B-47D758BD0B86}"/>
    <cellStyle name="20% - Accent4 4 3 2 2" xfId="3669" xr:uid="{0799592B-473E-49EC-A94E-DB2B09AC77F7}"/>
    <cellStyle name="20% - Accent4 4 3 2 2 2" xfId="17722" xr:uid="{0A65976A-91DA-47A8-8AD0-7E7BA88861EA}"/>
    <cellStyle name="20% - Accent4 4 3 2 3" xfId="15528" xr:uid="{08FB39C3-F498-445C-B16B-ECD43E682E61}"/>
    <cellStyle name="20% - Accent4 4 3 3" xfId="2745" xr:uid="{680BA746-D760-4232-B13E-7593556004DB}"/>
    <cellStyle name="20% - Accent4 4 3 3 2" xfId="16796" xr:uid="{8E20BB6E-6CEA-4DB5-9FB9-2E703B2533C9}"/>
    <cellStyle name="20% - Accent4 4 3 4" xfId="4764" xr:uid="{D2B826E4-5C4A-45DF-84F8-44A97414AB60}"/>
    <cellStyle name="20% - Accent4 4 3 4 2" xfId="18816" xr:uid="{2A571EE5-F7F3-4FDB-8190-8511AB9369B0}"/>
    <cellStyle name="20% - Accent4 4 3 5" xfId="14601" xr:uid="{9A4DF6E5-235D-4C29-8632-60CF3DBEB7D2}"/>
    <cellStyle name="20% - Accent4 4 4" xfId="899" xr:uid="{8099C12D-88BD-4359-82CE-EBD14074E0D8}"/>
    <cellStyle name="20% - Accent4 4 4 2" xfId="1998" xr:uid="{F3914FCC-AA34-4244-8939-404B4C641055}"/>
    <cellStyle name="20% - Accent4 4 4 2 2" xfId="4187" xr:uid="{43CB55F9-9576-4526-9B34-5AFF35254907}"/>
    <cellStyle name="20% - Accent4 4 4 2 2 2" xfId="18238" xr:uid="{C69B4940-A7B4-4EF4-89A1-3993138EC9AA}"/>
    <cellStyle name="20% - Accent4 4 4 2 3" xfId="16047" xr:uid="{853D01CE-A89D-4607-818A-F755947515A1}"/>
    <cellStyle name="20% - Accent4 4 4 3" xfId="3091" xr:uid="{460997C6-1CA1-47AB-8387-D8948EF6382C}"/>
    <cellStyle name="20% - Accent4 4 4 3 2" xfId="17143" xr:uid="{3A6A9316-E2F9-47DE-9AF7-AF750924B490}"/>
    <cellStyle name="20% - Accent4 4 4 4" xfId="14949" xr:uid="{85B805A3-E813-4A5E-9DF4-1B11778DE0D5}"/>
    <cellStyle name="20% - Accent4 4 5" xfId="1306" xr:uid="{521B6C4F-337E-4B07-A5B4-C1DC8BD95AFB}"/>
    <cellStyle name="20% - Accent4 4 5 2" xfId="3497" xr:uid="{0DE6E0A5-AB89-44EF-A167-C07802160DE1}"/>
    <cellStyle name="20% - Accent4 4 5 2 2" xfId="17549" xr:uid="{5F75448A-7007-4501-8D91-98CE8E7DFD7E}"/>
    <cellStyle name="20% - Accent4 4 5 3" xfId="15355" xr:uid="{095C1264-7559-4724-9270-41B53E383CDE}"/>
    <cellStyle name="20% - Accent4 4 6" xfId="2398" xr:uid="{7AD4C722-D4AF-451F-B6DF-5B530DBD90F5}"/>
    <cellStyle name="20% - Accent4 4 6 2" xfId="16449" xr:uid="{76B6D7D5-0E77-4011-9C15-C358CA8BE13D}"/>
    <cellStyle name="20% - Accent4 4 7" xfId="4591" xr:uid="{ACC45D5E-3876-4B75-BD0D-D4AA0E7C80E2}"/>
    <cellStyle name="20% - Accent4 4 7 2" xfId="18643" xr:uid="{038613E7-374A-42A8-BE2D-0C637676D732}"/>
    <cellStyle name="20% - Accent4 4 8" xfId="14254" xr:uid="{FBEDD5F6-1F31-49BE-9CB0-CA4D487205D7}"/>
    <cellStyle name="20% - Accent4 5" xfId="138" xr:uid="{D2D7360F-307B-421B-A937-7320ED0E8292}"/>
    <cellStyle name="20% - Accent4 5 2" xfId="315" xr:uid="{6B3E52C9-B593-4558-AC4F-35EB4B1B92D9}"/>
    <cellStyle name="20% - Accent4 5 2 2" xfId="669" xr:uid="{DCB07846-44EA-47C1-82A8-FB2440E6C9CB}"/>
    <cellStyle name="20% - Accent4 5 2 2 2" xfId="1770" xr:uid="{5472BC30-479F-4A2B-AD4C-AB55A8BB12B1}"/>
    <cellStyle name="20% - Accent4 5 2 2 2 2" xfId="3959" xr:uid="{27A0F8EA-FD36-4189-935C-C6E15B3974E6}"/>
    <cellStyle name="20% - Accent4 5 2 2 2 2 2" xfId="18011" xr:uid="{2E2CF928-9E68-4632-ADDC-39D68C113BBE}"/>
    <cellStyle name="20% - Accent4 5 2 2 2 3" xfId="15819" xr:uid="{E7D0DB27-6FCE-4767-830B-DA094E9FF154}"/>
    <cellStyle name="20% - Accent4 5 2 2 3" xfId="2861" xr:uid="{90A712EA-938F-4147-84C2-00B5BB58C1F6}"/>
    <cellStyle name="20% - Accent4 5 2 2 3 2" xfId="16913" xr:uid="{03A46AF9-7C93-41FA-84A1-6DC9E75A192E}"/>
    <cellStyle name="20% - Accent4 5 2 2 4" xfId="14720" xr:uid="{1A35C637-6E79-43D9-B2D5-C4E68E8B8281}"/>
    <cellStyle name="20% - Accent4 5 2 3" xfId="1016" xr:uid="{9566FAB9-EA79-4C5A-A14C-81D3B6FC9C6B}"/>
    <cellStyle name="20% - Accent4 5 2 3 2" xfId="2115" xr:uid="{23DAB0C8-C241-4C61-A07D-D42EC94E942C}"/>
    <cellStyle name="20% - Accent4 5 2 3 2 2" xfId="4304" xr:uid="{9253AB18-F8D5-4230-BF23-613EADAFD77C}"/>
    <cellStyle name="20% - Accent4 5 2 3 2 2 2" xfId="18354" xr:uid="{AF57902C-298E-4E1F-8F07-C784D014ED06}"/>
    <cellStyle name="20% - Accent4 5 2 3 2 3" xfId="16164" xr:uid="{91454BDF-3AE9-41AB-9CCC-30D95B8EFAC6}"/>
    <cellStyle name="20% - Accent4 5 2 3 3" xfId="3208" xr:uid="{82E876F2-AA3D-4275-B708-4B204AAB5D10}"/>
    <cellStyle name="20% - Accent4 5 2 3 3 2" xfId="17260" xr:uid="{C6E057CF-DF54-4A60-98C6-DD457EDAF280}"/>
    <cellStyle name="20% - Accent4 5 2 3 4" xfId="15066" xr:uid="{0609338C-C51A-4C88-B870-D1AED57A990D}"/>
    <cellStyle name="20% - Accent4 5 2 4" xfId="1596" xr:uid="{2BF86E75-6E92-4EF0-8F05-4B8B2DC80B72}"/>
    <cellStyle name="20% - Accent4 5 2 4 2" xfId="3786" xr:uid="{714375A3-4FCD-4A0E-9FFF-CA3354FA4676}"/>
    <cellStyle name="20% - Accent4 5 2 4 2 2" xfId="17839" xr:uid="{D73D4805-F756-4D17-89A3-2C5734AF228A}"/>
    <cellStyle name="20% - Accent4 5 2 4 3" xfId="15645" xr:uid="{A4EB2FA9-58CE-4017-9050-B001CCA80C42}"/>
    <cellStyle name="20% - Accent4 5 2 5" xfId="2515" xr:uid="{5024EACD-AA04-46E8-A398-E4E3959038BB}"/>
    <cellStyle name="20% - Accent4 5 2 5 2" xfId="16566" xr:uid="{E889E323-AA3C-424E-A413-CB9ACCB8F758}"/>
    <cellStyle name="20% - Accent4 5 2 6" xfId="4881" xr:uid="{D47AA7F1-DFA0-474D-9292-B266E56C9775}"/>
    <cellStyle name="20% - Accent4 5 2 6 2" xfId="18933" xr:uid="{209B1E68-DC01-49A5-93E6-FB4EED3E8D42}"/>
    <cellStyle name="20% - Accent4 5 2 7" xfId="14372" xr:uid="{34C44B90-FA7F-4488-958F-E285F1E200B6}"/>
    <cellStyle name="20% - Accent4 5 3" xfId="489" xr:uid="{FF314379-0A07-492A-B524-7FD5125B1545}"/>
    <cellStyle name="20% - Accent4 5 3 2" xfId="1422" xr:uid="{D1857A23-6235-4128-87C9-0F18B4344E6C}"/>
    <cellStyle name="20% - Accent4 5 3 2 2" xfId="3612" xr:uid="{BCE54F7B-26BE-4FEC-9C39-B6F31A0A0A85}"/>
    <cellStyle name="20% - Accent4 5 3 2 2 2" xfId="17665" xr:uid="{83DD59CA-6422-452B-9B95-E008AF784108}"/>
    <cellStyle name="20% - Accent4 5 3 2 3" xfId="15471" xr:uid="{DED4C35E-5625-4C2D-B0BA-5F7CB0657A4A}"/>
    <cellStyle name="20% - Accent4 5 3 3" xfId="2688" xr:uid="{C8B8B7A4-623E-4A16-B542-F8E5EFBFB4CD}"/>
    <cellStyle name="20% - Accent4 5 3 3 2" xfId="16739" xr:uid="{A3A5707F-C7AF-40E8-9DA2-26FD2AE66C26}"/>
    <cellStyle name="20% - Accent4 5 3 4" xfId="4707" xr:uid="{C7E59293-97DB-4809-A661-835D367D4876}"/>
    <cellStyle name="20% - Accent4 5 3 4 2" xfId="18759" xr:uid="{1EF39658-EBA8-4BB0-9513-109D043096C0}"/>
    <cellStyle name="20% - Accent4 5 3 5" xfId="14544" xr:uid="{59A9D568-36AE-436B-8961-03A0607F29FA}"/>
    <cellStyle name="20% - Accent4 5 4" xfId="842" xr:uid="{977EEACE-866A-4BBA-9D52-D3C0B8BE228C}"/>
    <cellStyle name="20% - Accent4 5 4 2" xfId="1941" xr:uid="{EF95AD05-D11B-4B34-A576-95DEE213317C}"/>
    <cellStyle name="20% - Accent4 5 4 2 2" xfId="4130" xr:uid="{BBE88F3A-3A4C-4D91-A355-13C16107A85A}"/>
    <cellStyle name="20% - Accent4 5 4 2 2 2" xfId="18182" xr:uid="{7F9011B5-C542-4656-9E97-0BB4151F90DC}"/>
    <cellStyle name="20% - Accent4 5 4 2 3" xfId="15990" xr:uid="{40BFBDB3-6980-49E7-B43C-B7799673C8E3}"/>
    <cellStyle name="20% - Accent4 5 4 3" xfId="3034" xr:uid="{547DE505-8126-4DD6-81D9-0FA8B3DB322F}"/>
    <cellStyle name="20% - Accent4 5 4 3 2" xfId="17086" xr:uid="{8FD3FF54-F60D-4B0A-89F5-F325E9539705}"/>
    <cellStyle name="20% - Accent4 5 4 4" xfId="14892" xr:uid="{B3CB5B7C-7B87-4A0C-AA34-644334470BD8}"/>
    <cellStyle name="20% - Accent4 5 5" xfId="1250" xr:uid="{F2F94BEA-C3B9-4200-86F4-D2901E01A056}"/>
    <cellStyle name="20% - Accent4 5 5 2" xfId="3440" xr:uid="{C5BBE695-0956-4BDB-9B6F-56D0BE0EC2F7}"/>
    <cellStyle name="20% - Accent4 5 5 2 2" xfId="17492" xr:uid="{FE420D3C-88FB-48CA-9B7F-B117EAC994F1}"/>
    <cellStyle name="20% - Accent4 5 5 3" xfId="15298" xr:uid="{BEA29F1E-2957-474E-AC0F-9DCEDACA75C1}"/>
    <cellStyle name="20% - Accent4 5 6" xfId="2341" xr:uid="{F0EB1773-8B86-4011-A938-886522382813}"/>
    <cellStyle name="20% - Accent4 5 6 2" xfId="16392" xr:uid="{D5EC5627-B966-4227-BE17-12D4782B7C34}"/>
    <cellStyle name="20% - Accent4 5 7" xfId="4534" xr:uid="{C1B45E59-DF0C-4EDB-B987-DC6C0994F7AD}"/>
    <cellStyle name="20% - Accent4 5 7 2" xfId="18586" xr:uid="{1E995B63-EE3F-48FC-B627-821F5A8E361F}"/>
    <cellStyle name="20% - Accent4 5 8" xfId="14197" xr:uid="{FF354682-F384-4603-A71E-9680A49259F2}"/>
    <cellStyle name="20% - Accent4 6" xfId="255" xr:uid="{D650EC96-CE41-4E7E-B6E0-2EAFB627F9DD}"/>
    <cellStyle name="20% - Accent4 6 2" xfId="609" xr:uid="{CB9694C4-4BB7-460B-9039-EB83FDEEE34F}"/>
    <cellStyle name="20% - Accent4 6 2 2" xfId="1714" xr:uid="{B184785B-591B-449A-B8A0-97278D944672}"/>
    <cellStyle name="20% - Accent4 6 2 2 2" xfId="3902" xr:uid="{6F66A21A-0DBB-47CA-AF5E-BA8549D537C8}"/>
    <cellStyle name="20% - Accent4 6 2 2 2 2" xfId="17954" xr:uid="{7CB7C0E6-09C1-48C4-B2D9-049A7957F042}"/>
    <cellStyle name="20% - Accent4 6 2 2 3" xfId="15762" xr:uid="{F977D7EC-5754-4C59-9A1C-9A4FC354708C}"/>
    <cellStyle name="20% - Accent4 6 2 3" xfId="2805" xr:uid="{6634578E-DBFA-46C3-B780-3FBE6E86EBF3}"/>
    <cellStyle name="20% - Accent4 6 2 3 2" xfId="16856" xr:uid="{90D2B3F7-CA6D-4AD8-A7E2-90D05FD3DC80}"/>
    <cellStyle name="20% - Accent4 6 2 4" xfId="14662" xr:uid="{8A0D6ABD-EB0F-490F-A981-AA07E238CDA5}"/>
    <cellStyle name="20% - Accent4 6 3" xfId="959" xr:uid="{43DA583C-034D-4DE0-9B63-17BF9F58691F}"/>
    <cellStyle name="20% - Accent4 6 3 2" xfId="2058" xr:uid="{528D276F-BC71-439C-96F1-D1FECED9B142}"/>
    <cellStyle name="20% - Accent4 6 3 2 2" xfId="4247" xr:uid="{F6094A48-091E-47C2-AA5C-1B37B66788C5}"/>
    <cellStyle name="20% - Accent4 6 3 2 2 2" xfId="18298" xr:uid="{0E5B9BD3-E3BE-4A68-8AB1-97D89CFDD41A}"/>
    <cellStyle name="20% - Accent4 6 3 2 3" xfId="16107" xr:uid="{ED2C6BDD-2747-4B0D-B759-BB4E303CCBAE}"/>
    <cellStyle name="20% - Accent4 6 3 3" xfId="3151" xr:uid="{D73B3DDE-B30E-4705-B342-D75D7C4BEB2B}"/>
    <cellStyle name="20% - Accent4 6 3 3 2" xfId="17203" xr:uid="{F507E2CC-BBDE-4893-AF60-1F8F62AE9034}"/>
    <cellStyle name="20% - Accent4 6 3 4" xfId="15009" xr:uid="{897591A7-E820-4D35-96B8-3F30BABAC221}"/>
    <cellStyle name="20% - Accent4 6 4" xfId="1539" xr:uid="{9F18C6D6-16ED-45B9-917A-E953EBFBAC3B}"/>
    <cellStyle name="20% - Accent4 6 4 2" xfId="3729" xr:uid="{65C17CB4-4354-44EA-B6CD-9BC4C8F5AD2A}"/>
    <cellStyle name="20% - Accent4 6 4 2 2" xfId="17782" xr:uid="{63CE5337-69E9-4D48-B16B-7426B6232146}"/>
    <cellStyle name="20% - Accent4 6 4 3" xfId="15588" xr:uid="{C32DAF38-29D0-4194-93EA-CA5AA3CAEB74}"/>
    <cellStyle name="20% - Accent4 6 5" xfId="2458" xr:uid="{AB2D04EE-1DFD-4DFC-BF62-E3F9C89336F5}"/>
    <cellStyle name="20% - Accent4 6 5 2" xfId="16509" xr:uid="{FCEBA366-CB3D-4FA1-ABB9-85CE61C0C847}"/>
    <cellStyle name="20% - Accent4 6 6" xfId="4824" xr:uid="{BC5BADC0-FBBF-4B34-B1DC-7F7CCDBA5A1C}"/>
    <cellStyle name="20% - Accent4 6 6 2" xfId="18876" xr:uid="{A6705540-632B-43D0-BF64-DA0C03574847}"/>
    <cellStyle name="20% - Accent4 6 7" xfId="14314" xr:uid="{85E3269B-531C-4595-B86C-EA16D6FF9E6D}"/>
    <cellStyle name="20% - Accent4 7" xfId="431" xr:uid="{5240C32C-C56D-412D-9452-4F55DCFD140C}"/>
    <cellStyle name="20% - Accent4 7 2" xfId="1365" xr:uid="{F72147BB-4EA6-4165-B2F5-BD8EDA814B40}"/>
    <cellStyle name="20% - Accent4 7 2 2" xfId="3555" xr:uid="{8DBC5A70-4737-401F-AD37-920C0DB96AEC}"/>
    <cellStyle name="20% - Accent4 7 2 2 2" xfId="17608" xr:uid="{17645DEE-8F3D-49D0-85FB-9F6F05950C5C}"/>
    <cellStyle name="20% - Accent4 7 2 3" xfId="15414" xr:uid="{7113F339-C43D-4E64-9F4D-464BAA043605}"/>
    <cellStyle name="20% - Accent4 7 3" xfId="2631" xr:uid="{F17A78F5-7D3C-46E8-9532-5A077B6105B1}"/>
    <cellStyle name="20% - Accent4 7 3 2" xfId="16682" xr:uid="{32D0FD9F-EDD7-4E60-B7D9-F09825E26C18}"/>
    <cellStyle name="20% - Accent4 7 4" xfId="4650" xr:uid="{165BABB9-EB30-4DD0-BEE1-25FEE6B4EBFC}"/>
    <cellStyle name="20% - Accent4 7 4 2" xfId="18702" xr:uid="{E5110A30-6DE7-4324-A6D9-19A0A676BBBC}"/>
    <cellStyle name="20% - Accent4 7 5" xfId="14487" xr:uid="{CEA13B79-1119-42E0-941C-E10C2ECE807B}"/>
    <cellStyle name="20% - Accent4 8" xfId="785" xr:uid="{CC8D33EE-033A-431F-BC42-8FE21F66BFA9}"/>
    <cellStyle name="20% - Accent4 8 2" xfId="1886" xr:uid="{CE1798BB-69EE-40EC-8D18-D9EE7585AE69}"/>
    <cellStyle name="20% - Accent4 8 2 2" xfId="4075" xr:uid="{A2F7D518-C8C8-4EA0-9EC9-FEB46F1D0247}"/>
    <cellStyle name="20% - Accent4 8 2 2 2" xfId="18127" xr:uid="{EEF318B9-E662-4A78-853A-F230B5696E1B}"/>
    <cellStyle name="20% - Accent4 8 2 3" xfId="15935" xr:uid="{F2264D5A-A1DE-4F30-B398-8CD0F0F29460}"/>
    <cellStyle name="20% - Accent4 8 3" xfId="2977" xr:uid="{7B65DFEE-53F7-4EB2-B7FE-4762D44C9400}"/>
    <cellStyle name="20% - Accent4 8 3 2" xfId="17029" xr:uid="{ADF7B3FA-591D-4948-896D-B58708F65641}"/>
    <cellStyle name="20% - Accent4 8 4" xfId="14835" xr:uid="{5241AAC5-8422-40ED-A7D4-ED703B483E98}"/>
    <cellStyle name="20% - Accent4 9" xfId="1129" xr:uid="{1DBCB299-25E3-4BB9-B2BD-64F1BCBAF359}"/>
    <cellStyle name="20% - Accent4 9 2" xfId="2229" xr:uid="{6ED9FA12-CAF9-4510-8992-2A41E7037E17}"/>
    <cellStyle name="20% - Accent4 9 2 2" xfId="4418" xr:uid="{5C92805D-03DA-4255-8BE9-F757DCE3776F}"/>
    <cellStyle name="20% - Accent4 9 2 2 2" xfId="18468" xr:uid="{85AAA2BF-2911-4A96-9894-69F7BA47B20B}"/>
    <cellStyle name="20% - Accent4 9 2 3" xfId="16278" xr:uid="{2A0B96F8-273F-4284-BD8A-466F2D903783}"/>
    <cellStyle name="20% - Accent4 9 3" xfId="3322" xr:uid="{077AA594-8748-4E02-AF92-A128A9C2B3CD}"/>
    <cellStyle name="20% - Accent4 9 3 2" xfId="17374" xr:uid="{796CD3D7-4C5F-482B-90CB-08D6C3ED525F}"/>
    <cellStyle name="20% - Accent4 9 4" xfId="15180" xr:uid="{4A6C29B0-995B-433C-9597-BECB443D8E46}"/>
    <cellStyle name="20% - Accent5" xfId="56" builtinId="46" customBuiltin="1"/>
    <cellStyle name="20% - Accent5 10" xfId="1194" xr:uid="{5319CF40-1BC8-4039-9914-D4F51231382D}"/>
    <cellStyle name="20% - Accent5 10 2" xfId="3385" xr:uid="{3D36BF4B-CCC3-492E-A34D-07E499B1CAE1}"/>
    <cellStyle name="20% - Accent5 10 2 2" xfId="17437" xr:uid="{1AEF93F7-C5C9-4B0F-826A-06A9F62CA49F}"/>
    <cellStyle name="20% - Accent5 10 3" xfId="15243" xr:uid="{B6EB1E70-5924-4057-984C-06FF1CAE253E}"/>
    <cellStyle name="20% - Accent5 11" xfId="2286" xr:uid="{03D050B1-649E-4886-A16D-5B4E1B558437}"/>
    <cellStyle name="20% - Accent5 11 2" xfId="16337" xr:uid="{190F69AA-D102-45D1-A751-BD7221152447}"/>
    <cellStyle name="20% - Accent5 12" xfId="4480" xr:uid="{122D2C9B-72EF-4057-B1E5-E224860DE034}"/>
    <cellStyle name="20% - Accent5 12 2" xfId="18531" xr:uid="{C5F31A23-26DD-4D7F-BFD3-319B541B3715}"/>
    <cellStyle name="20% - Accent5 13" xfId="14132" xr:uid="{EEBD14DF-3042-4EB9-A364-2F7F69978F8C}"/>
    <cellStyle name="20% - Accent5 2" xfId="126" xr:uid="{457EF30B-B3D1-4C93-9B08-872B1A5A355E}"/>
    <cellStyle name="20% - Accent5 2 10" xfId="4523" xr:uid="{F6AD2D56-7B74-4D81-9768-81B0CBB485AF}"/>
    <cellStyle name="20% - Accent5 2 10 2" xfId="18575" xr:uid="{AEEFC758-F297-4B5A-A08C-8B1EC21A58EB}"/>
    <cellStyle name="20% - Accent5 2 11" xfId="14186" xr:uid="{A0FD1E02-4A19-4C51-A313-4BAF489262BB}"/>
    <cellStyle name="20% - Accent5 2 2" xfId="241" xr:uid="{9D11114A-AA30-403C-9052-054FFC631D6F}"/>
    <cellStyle name="20% - Accent5 2 2 2" xfId="418" xr:uid="{670691B2-0032-4A7A-B0A5-A6C3AE2C1203}"/>
    <cellStyle name="20% - Accent5 2 2 2 2" xfId="772" xr:uid="{223E5061-0EB3-4B0E-9AC2-5B8E983FA11E}"/>
    <cellStyle name="20% - Accent5 2 2 2 2 2" xfId="1873" xr:uid="{B1B114DF-9978-4B7D-B192-67F4EE096D86}"/>
    <cellStyle name="20% - Accent5 2 2 2 2 2 2" xfId="4062" xr:uid="{020D6476-9644-4CA6-8FB2-F4B82A083CB5}"/>
    <cellStyle name="20% - Accent5 2 2 2 2 2 2 2" xfId="18114" xr:uid="{6C1505E8-6C1E-4926-B747-0C57F97D3188}"/>
    <cellStyle name="20% - Accent5 2 2 2 2 2 3" xfId="15922" xr:uid="{27205ABD-163A-4E13-842C-B1CB74DAF5BF}"/>
    <cellStyle name="20% - Accent5 2 2 2 2 3" xfId="2964" xr:uid="{F2D92203-30F1-4FFD-9F06-3F515B7F7115}"/>
    <cellStyle name="20% - Accent5 2 2 2 2 3 2" xfId="17016" xr:uid="{B22633BA-13E7-45ED-88F9-5AD4AA2E0BDF}"/>
    <cellStyle name="20% - Accent5 2 2 2 2 4" xfId="14822" xr:uid="{BFBE74F4-120C-4DF4-A01D-E4E7D714071B}"/>
    <cellStyle name="20% - Accent5 2 2 2 3" xfId="1119" xr:uid="{F65D5246-ED6B-45AE-B3B0-93B5D0A82557}"/>
    <cellStyle name="20% - Accent5 2 2 2 3 2" xfId="2218" xr:uid="{96E8FF6B-C2D5-40CE-A917-EAC6C5D773A5}"/>
    <cellStyle name="20% - Accent5 2 2 2 3 2 2" xfId="4407" xr:uid="{1D5BA3B9-4086-4ABC-8048-53DF9B50F52B}"/>
    <cellStyle name="20% - Accent5 2 2 2 3 2 2 2" xfId="18457" xr:uid="{38F837FF-18C9-4C57-8FAB-FB37D2FC4807}"/>
    <cellStyle name="20% - Accent5 2 2 2 3 2 3" xfId="16267" xr:uid="{C85B2662-8538-4747-A5C2-6F4B95A41213}"/>
    <cellStyle name="20% - Accent5 2 2 2 3 3" xfId="3311" xr:uid="{B709C537-E85C-4155-8478-88F31E2FD2DB}"/>
    <cellStyle name="20% - Accent5 2 2 2 3 3 2" xfId="17363" xr:uid="{BE608C29-20A3-4B00-868A-11D081036663}"/>
    <cellStyle name="20% - Accent5 2 2 2 3 4" xfId="15169" xr:uid="{A71C1CED-D385-46BD-9753-401A815DBC4E}"/>
    <cellStyle name="20% - Accent5 2 2 2 4" xfId="1699" xr:uid="{4925B8FD-75A2-49A5-BCBF-E36F5196AC65}"/>
    <cellStyle name="20% - Accent5 2 2 2 4 2" xfId="3889" xr:uid="{CC968C9B-61AE-460C-9BD6-889B9887934C}"/>
    <cellStyle name="20% - Accent5 2 2 2 4 2 2" xfId="17941" xr:uid="{03B61B15-FE4C-4E9B-B3A3-EE2C98FEAEED}"/>
    <cellStyle name="20% - Accent5 2 2 2 4 3" xfId="15748" xr:uid="{144A4DA8-2B4E-40C2-9A84-B3E25FD8DB90}"/>
    <cellStyle name="20% - Accent5 2 2 2 5" xfId="2618" xr:uid="{938E99E0-1F9D-4176-A9E8-BC97D107B8AB}"/>
    <cellStyle name="20% - Accent5 2 2 2 5 2" xfId="16669" xr:uid="{0F731047-1F42-4FF9-BC37-A97DFF74AE2D}"/>
    <cellStyle name="20% - Accent5 2 2 2 6" xfId="4984" xr:uid="{4F33CB51-E793-4565-A770-B625F9E60781}"/>
    <cellStyle name="20% - Accent5 2 2 2 6 2" xfId="19036" xr:uid="{D0BAF467-0562-4442-86B4-470F98F1EDE3}"/>
    <cellStyle name="20% - Accent5 2 2 2 7" xfId="14474" xr:uid="{391CD96F-1AD1-4FA6-8343-E7861473B6BD}"/>
    <cellStyle name="20% - Accent5 2 2 3" xfId="592" xr:uid="{B955BB1E-3321-40EB-BB06-3FDD01D9D2EE}"/>
    <cellStyle name="20% - Accent5 2 2 3 2" xfId="1525" xr:uid="{1B9359D6-AEF2-4BC9-B66A-3EE20234F3F8}"/>
    <cellStyle name="20% - Accent5 2 2 3 2 2" xfId="3715" xr:uid="{F451E2D2-1DE0-4D51-B4D2-4EB08972EEAA}"/>
    <cellStyle name="20% - Accent5 2 2 3 2 2 2" xfId="17768" xr:uid="{5213D8B0-07A9-48A7-9141-B23A49C4B5D6}"/>
    <cellStyle name="20% - Accent5 2 2 3 2 3" xfId="15574" xr:uid="{AD541FED-9636-49B5-BE40-7AFB1A528088}"/>
    <cellStyle name="20% - Accent5 2 2 3 3" xfId="2791" xr:uid="{58E4BD7F-A6BD-4F64-9D5B-4C21B979FBD2}"/>
    <cellStyle name="20% - Accent5 2 2 3 3 2" xfId="16842" xr:uid="{2BCE2DF9-ED0E-42F2-B506-747C4C541AB9}"/>
    <cellStyle name="20% - Accent5 2 2 3 4" xfId="4810" xr:uid="{3B51337B-72BC-4EF8-BD67-48A2BDBF4116}"/>
    <cellStyle name="20% - Accent5 2 2 3 4 2" xfId="18862" xr:uid="{3E2EBCDF-0F40-4609-9F17-882684131018}"/>
    <cellStyle name="20% - Accent5 2 2 3 5" xfId="14647" xr:uid="{0CD5A0FC-3550-4476-9A1D-5225F77A88E9}"/>
    <cellStyle name="20% - Accent5 2 2 4" xfId="945" xr:uid="{2740C16F-B55A-469D-93C3-5F77E2CDE8DA}"/>
    <cellStyle name="20% - Accent5 2 2 4 2" xfId="2044" xr:uid="{97CCA4F4-A897-4831-A34C-25140AED72A0}"/>
    <cellStyle name="20% - Accent5 2 2 4 2 2" xfId="4233" xr:uid="{BADC799A-BE8C-4044-B3E3-BB39336DCCC3}"/>
    <cellStyle name="20% - Accent5 2 2 4 2 2 2" xfId="18284" xr:uid="{7A3EDBFF-2F75-486A-970E-AD5E633BE2E5}"/>
    <cellStyle name="20% - Accent5 2 2 4 2 3" xfId="16093" xr:uid="{FE5DDE03-7B1F-4D20-BBF6-C0499F214E5A}"/>
    <cellStyle name="20% - Accent5 2 2 4 3" xfId="3137" xr:uid="{2E80E526-63C5-4EB2-87EE-40F8CD2EA6AF}"/>
    <cellStyle name="20% - Accent5 2 2 4 3 2" xfId="17189" xr:uid="{4063CFBA-081C-459F-9F23-E5EAE853A450}"/>
    <cellStyle name="20% - Accent5 2 2 4 4" xfId="14995" xr:uid="{745DE79B-4373-46BC-9437-23DEECF50A7E}"/>
    <cellStyle name="20% - Accent5 2 2 5" xfId="1352" xr:uid="{E699709F-6E4E-405B-B6E4-8030F915D675}"/>
    <cellStyle name="20% - Accent5 2 2 5 2" xfId="3543" xr:uid="{4FBEF613-ACE6-43AC-A145-8D49533FA7B4}"/>
    <cellStyle name="20% - Accent5 2 2 5 2 2" xfId="17595" xr:uid="{5720F9FB-2442-4E3F-A1DE-80AA6C21096D}"/>
    <cellStyle name="20% - Accent5 2 2 5 3" xfId="15401" xr:uid="{4DC1EDF1-87C6-40FB-A533-3CB5B509885C}"/>
    <cellStyle name="20% - Accent5 2 2 6" xfId="2444" xr:uid="{140D972F-618E-4E8E-BADB-C94B465CF620}"/>
    <cellStyle name="20% - Accent5 2 2 6 2" xfId="16495" xr:uid="{FDF3044F-2FCE-43DA-937C-CDEA1BE657E8}"/>
    <cellStyle name="20% - Accent5 2 2 7" xfId="4637" xr:uid="{DD5712E7-DE93-443A-82E6-F09E531D634F}"/>
    <cellStyle name="20% - Accent5 2 2 7 2" xfId="18689" xr:uid="{ED384D59-0CCA-4911-930F-6D1E5EC99ECE}"/>
    <cellStyle name="20% - Accent5 2 2 8" xfId="14300" xr:uid="{B9922FE3-2492-42F7-A2CC-6848868E2AC4}"/>
    <cellStyle name="20% - Accent5 2 3" xfId="184" xr:uid="{D2A38B70-7C90-4E54-B709-3604F0897605}"/>
    <cellStyle name="20% - Accent5 2 3 2" xfId="361" xr:uid="{C871F9DB-A795-4321-9B86-4EC6F53DC0D2}"/>
    <cellStyle name="20% - Accent5 2 3 2 2" xfId="715" xr:uid="{ABF471ED-275F-4247-9734-3F6FB13D6DC0}"/>
    <cellStyle name="20% - Accent5 2 3 2 2 2" xfId="1816" xr:uid="{D7169161-C0F6-44F5-8314-D5CA9D7A9832}"/>
    <cellStyle name="20% - Accent5 2 3 2 2 2 2" xfId="4005" xr:uid="{13235995-241A-48F4-AF4F-94F0C86814BB}"/>
    <cellStyle name="20% - Accent5 2 3 2 2 2 2 2" xfId="18057" xr:uid="{749F6FE7-CD76-44D2-B1DF-D53717D1B339}"/>
    <cellStyle name="20% - Accent5 2 3 2 2 2 3" xfId="15865" xr:uid="{AF00DF0D-5AD7-4B6D-8A6B-4198C72B9782}"/>
    <cellStyle name="20% - Accent5 2 3 2 2 3" xfId="2907" xr:uid="{13CCA6DE-0D67-44DB-B601-EB07446481BD}"/>
    <cellStyle name="20% - Accent5 2 3 2 2 3 2" xfId="16959" xr:uid="{57F9C2B5-0F77-4774-9476-A9494608E5BF}"/>
    <cellStyle name="20% - Accent5 2 3 2 2 4" xfId="14766" xr:uid="{C3B7EEB1-8CA7-4E0D-8770-270E2F889EFF}"/>
    <cellStyle name="20% - Accent5 2 3 2 3" xfId="1062" xr:uid="{CEB646B2-A745-4136-B115-8224103E6044}"/>
    <cellStyle name="20% - Accent5 2 3 2 3 2" xfId="2161" xr:uid="{A5B5E220-EDD9-4525-AA0B-F7074FADC1E3}"/>
    <cellStyle name="20% - Accent5 2 3 2 3 2 2" xfId="4350" xr:uid="{B48D501C-F7DD-414C-9357-E0ADC3E65947}"/>
    <cellStyle name="20% - Accent5 2 3 2 3 2 2 2" xfId="18400" xr:uid="{7228FAD3-EEC2-447C-B230-AF7276CF843E}"/>
    <cellStyle name="20% - Accent5 2 3 2 3 2 3" xfId="16210" xr:uid="{F2AD2158-20EE-4F49-A226-42AD2EA2EBAC}"/>
    <cellStyle name="20% - Accent5 2 3 2 3 3" xfId="3254" xr:uid="{77E97C43-F17B-4CA0-94CB-35B6D8122117}"/>
    <cellStyle name="20% - Accent5 2 3 2 3 3 2" xfId="17306" xr:uid="{C70D5E06-95EA-48F3-8F29-7BDD73822D30}"/>
    <cellStyle name="20% - Accent5 2 3 2 3 4" xfId="15112" xr:uid="{EE4D1242-61B5-43F6-8837-A43E6149EC4F}"/>
    <cellStyle name="20% - Accent5 2 3 2 4" xfId="1642" xr:uid="{059213F8-E12A-4C78-8B5E-C3B428E19E5E}"/>
    <cellStyle name="20% - Accent5 2 3 2 4 2" xfId="3832" xr:uid="{A45A661E-BE40-4E0A-BF16-C10C82A65970}"/>
    <cellStyle name="20% - Accent5 2 3 2 4 2 2" xfId="17885" xr:uid="{E0ED383C-96E3-402B-BF70-C359BA48D80B}"/>
    <cellStyle name="20% - Accent5 2 3 2 4 3" xfId="15691" xr:uid="{EE94547B-84ED-4575-B78E-4DA2693D5951}"/>
    <cellStyle name="20% - Accent5 2 3 2 5" xfId="2561" xr:uid="{0BB2DFFA-E6AB-4D43-A5AC-2E5EF6AB16FD}"/>
    <cellStyle name="20% - Accent5 2 3 2 5 2" xfId="16612" xr:uid="{57487D35-AC14-44C9-A854-A7ED416085EA}"/>
    <cellStyle name="20% - Accent5 2 3 2 6" xfId="4927" xr:uid="{589A507C-0CA9-481E-8C8E-90A860198D7E}"/>
    <cellStyle name="20% - Accent5 2 3 2 6 2" xfId="18979" xr:uid="{54BF75A0-3A0D-4961-9D7C-36C79BA331AC}"/>
    <cellStyle name="20% - Accent5 2 3 2 7" xfId="14418" xr:uid="{C7D83407-44AD-4C0F-B463-3820577B947B}"/>
    <cellStyle name="20% - Accent5 2 3 3" xfId="535" xr:uid="{4C3A1BB2-E432-4077-BCE7-D2D9A3B1CE6A}"/>
    <cellStyle name="20% - Accent5 2 3 3 2" xfId="1468" xr:uid="{3F9C7C37-9D25-4980-8272-62DC768CBC9C}"/>
    <cellStyle name="20% - Accent5 2 3 3 2 2" xfId="3658" xr:uid="{1B3361F4-D5DE-4ACF-8E3D-88E1FC96117C}"/>
    <cellStyle name="20% - Accent5 2 3 3 2 2 2" xfId="17711" xr:uid="{92C125A1-BA97-4B8C-8AC2-1B17BEA1C12D}"/>
    <cellStyle name="20% - Accent5 2 3 3 2 3" xfId="15517" xr:uid="{601491D2-DC26-4BC5-895C-C4C6E949611F}"/>
    <cellStyle name="20% - Accent5 2 3 3 3" xfId="2734" xr:uid="{793644B7-3FAE-42CE-9317-A06C829C1956}"/>
    <cellStyle name="20% - Accent5 2 3 3 3 2" xfId="16785" xr:uid="{53822959-6944-42AA-B186-B6EB0DF11F26}"/>
    <cellStyle name="20% - Accent5 2 3 3 4" xfId="4753" xr:uid="{D124819B-58D9-4C34-870A-1F54492D6AD9}"/>
    <cellStyle name="20% - Accent5 2 3 3 4 2" xfId="18805" xr:uid="{38232E4F-6EEF-47B4-847E-1E9F0FB04400}"/>
    <cellStyle name="20% - Accent5 2 3 3 5" xfId="14590" xr:uid="{C2DBB37F-DC1A-4EB5-A194-302D57F3B35B}"/>
    <cellStyle name="20% - Accent5 2 3 4" xfId="888" xr:uid="{CA05A8A1-B0EC-445E-A139-04EA248DD929}"/>
    <cellStyle name="20% - Accent5 2 3 4 2" xfId="1987" xr:uid="{63C1B7DB-4937-4848-8046-5069169EC800}"/>
    <cellStyle name="20% - Accent5 2 3 4 2 2" xfId="4176" xr:uid="{1ACDA554-8649-420F-AC73-B1F39DBAB127}"/>
    <cellStyle name="20% - Accent5 2 3 4 2 2 2" xfId="18227" xr:uid="{59809564-AE95-435A-A982-FE27D4DFBF95}"/>
    <cellStyle name="20% - Accent5 2 3 4 2 3" xfId="16036" xr:uid="{0B8FE3C4-7EF8-4876-B83D-CCC4D252C44D}"/>
    <cellStyle name="20% - Accent5 2 3 4 3" xfId="3080" xr:uid="{CAC83880-8630-41C5-B702-18940E203B00}"/>
    <cellStyle name="20% - Accent5 2 3 4 3 2" xfId="17132" xr:uid="{5272CEDA-FA66-4E75-9FDC-82F7D4D23146}"/>
    <cellStyle name="20% - Accent5 2 3 4 4" xfId="14938" xr:uid="{8A7378FD-7383-4D66-A8F4-971B3931EFF4}"/>
    <cellStyle name="20% - Accent5 2 3 5" xfId="1295" xr:uid="{4B2D0D98-0BCD-47EE-A293-F55E5E5D23D8}"/>
    <cellStyle name="20% - Accent5 2 3 5 2" xfId="3486" xr:uid="{8ED8D30A-232F-49B6-8F3B-A02A6CB1D0A4}"/>
    <cellStyle name="20% - Accent5 2 3 5 2 2" xfId="17538" xr:uid="{541EB328-7864-479F-8412-E3BDE1FE78FA}"/>
    <cellStyle name="20% - Accent5 2 3 5 3" xfId="15344" xr:uid="{81C21AAC-34DC-4FA6-951B-3317261BC277}"/>
    <cellStyle name="20% - Accent5 2 3 6" xfId="2387" xr:uid="{61FC097A-3D77-469B-8BBB-569B43D9B160}"/>
    <cellStyle name="20% - Accent5 2 3 6 2" xfId="16438" xr:uid="{9235DEA0-4831-4947-97DE-047435BFA29D}"/>
    <cellStyle name="20% - Accent5 2 3 7" xfId="4580" xr:uid="{C99B7F07-9034-4DFA-AB41-37BC7A4EFE48}"/>
    <cellStyle name="20% - Accent5 2 3 7 2" xfId="18632" xr:uid="{BB8B7D85-0836-469E-9E3E-80B9B260FFE0}"/>
    <cellStyle name="20% - Accent5 2 3 8" xfId="14243" xr:uid="{FA89EAC5-3F31-45BF-B229-DE9685E3C974}"/>
    <cellStyle name="20% - Accent5 2 4" xfId="304" xr:uid="{6DDC8289-4B81-4FD9-997E-4E30BB6CCABC}"/>
    <cellStyle name="20% - Accent5 2 4 2" xfId="658" xr:uid="{5AC85F1E-5DC5-404B-8D34-81CE29113D06}"/>
    <cellStyle name="20% - Accent5 2 4 2 2" xfId="1760" xr:uid="{6F2E0018-B603-417E-A456-488B6E547507}"/>
    <cellStyle name="20% - Accent5 2 4 2 2 2" xfId="3948" xr:uid="{65442C65-4D88-40C1-A666-5E5C95A7B714}"/>
    <cellStyle name="20% - Accent5 2 4 2 2 2 2" xfId="18000" xr:uid="{2E61FEAC-47B5-45E1-8150-BF20FDC8436F}"/>
    <cellStyle name="20% - Accent5 2 4 2 2 3" xfId="15808" xr:uid="{8EE6D342-A806-4C0E-8D21-6F35478011F8}"/>
    <cellStyle name="20% - Accent5 2 4 2 3" xfId="2851" xr:uid="{3B63A3DE-CA4B-4CAB-8A84-89246505C7BC}"/>
    <cellStyle name="20% - Accent5 2 4 2 3 2" xfId="16902" xr:uid="{C4AB9FBC-B662-4554-AAA2-2F3DAD4F964E}"/>
    <cellStyle name="20% - Accent5 2 4 2 4" xfId="14709" xr:uid="{541B05D9-E780-4358-89D2-86DCA638665F}"/>
    <cellStyle name="20% - Accent5 2 4 3" xfId="1005" xr:uid="{E4A25AC6-311B-4279-9077-11F7C46996AF}"/>
    <cellStyle name="20% - Accent5 2 4 3 2" xfId="2104" xr:uid="{951B0F5A-D12C-439D-83A6-AD4FF7C4E6C8}"/>
    <cellStyle name="20% - Accent5 2 4 3 2 2" xfId="4293" xr:uid="{CFFBD366-B8AA-4C49-B854-49815A145C22}"/>
    <cellStyle name="20% - Accent5 2 4 3 2 2 2" xfId="18343" xr:uid="{108299BF-1B25-41A4-B331-9ABB361BAE90}"/>
    <cellStyle name="20% - Accent5 2 4 3 2 3" xfId="16153" xr:uid="{9037B2D1-CEC6-4941-8EEF-F3C686EBEF0B}"/>
    <cellStyle name="20% - Accent5 2 4 3 3" xfId="3197" xr:uid="{99327B42-9D68-40D3-A15B-D5D73BD12D0D}"/>
    <cellStyle name="20% - Accent5 2 4 3 3 2" xfId="17249" xr:uid="{E74D3BD9-A7A8-45F8-B2EC-92ACF04ADB92}"/>
    <cellStyle name="20% - Accent5 2 4 3 4" xfId="15055" xr:uid="{6878A81E-91C0-41EC-9B18-82F7EC6DEEC1}"/>
    <cellStyle name="20% - Accent5 2 4 4" xfId="1585" xr:uid="{B41CC2DF-B677-4726-8A3A-EA3A9539E80A}"/>
    <cellStyle name="20% - Accent5 2 4 4 2" xfId="3775" xr:uid="{1EE745C5-68E7-44A2-BD11-972B4EF95049}"/>
    <cellStyle name="20% - Accent5 2 4 4 2 2" xfId="17828" xr:uid="{C59311CB-D078-49F2-B679-F526185E664C}"/>
    <cellStyle name="20% - Accent5 2 4 4 3" xfId="15634" xr:uid="{957CFE00-8B8E-44A6-94CD-A79609E2318A}"/>
    <cellStyle name="20% - Accent5 2 4 5" xfId="2504" xr:uid="{F86490E7-DF73-4EB4-B975-3F9364BA380F}"/>
    <cellStyle name="20% - Accent5 2 4 5 2" xfId="16555" xr:uid="{566836BD-46C4-4E8F-81B3-C0DDF79D930D}"/>
    <cellStyle name="20% - Accent5 2 4 6" xfId="4870" xr:uid="{39FD678F-CBDF-4B42-84C6-5DCCAAF2B15F}"/>
    <cellStyle name="20% - Accent5 2 4 6 2" xfId="18922" xr:uid="{12BA5A04-4401-4410-853E-CFAE351E8296}"/>
    <cellStyle name="20% - Accent5 2 4 7" xfId="14361" xr:uid="{31549436-6986-44B4-ACDA-378CD2DBC224}"/>
    <cellStyle name="20% - Accent5 2 5" xfId="478" xr:uid="{BEFC494E-28A6-4B0E-B089-5D0E49A8A97E}"/>
    <cellStyle name="20% - Accent5 2 5 2" xfId="1411" xr:uid="{1C4773C5-72A7-4AEA-AADB-001A9DE5CDA3}"/>
    <cellStyle name="20% - Accent5 2 5 2 2" xfId="3601" xr:uid="{D6FAD74B-32DC-4132-83A7-26CF9992EB73}"/>
    <cellStyle name="20% - Accent5 2 5 2 2 2" xfId="17654" xr:uid="{6AD22C60-1D76-4E0E-9917-3C2ED4BD9CE0}"/>
    <cellStyle name="20% - Accent5 2 5 2 3" xfId="15460" xr:uid="{49106AA0-F2C8-4A5A-BAEE-F8D422F109C9}"/>
    <cellStyle name="20% - Accent5 2 5 3" xfId="2677" xr:uid="{78063A99-FBA1-4C41-B680-44EB79DD0AE5}"/>
    <cellStyle name="20% - Accent5 2 5 3 2" xfId="16728" xr:uid="{1ABD3E9D-BAEE-4FCF-BCA1-D308B7D5E719}"/>
    <cellStyle name="20% - Accent5 2 5 4" xfId="4696" xr:uid="{5F386D8E-5824-4F9E-99EB-A4FDB4DC066A}"/>
    <cellStyle name="20% - Accent5 2 5 4 2" xfId="18748" xr:uid="{051D64FB-A39E-42A7-95F9-F9B1F080F14A}"/>
    <cellStyle name="20% - Accent5 2 5 5" xfId="14533" xr:uid="{959B7123-8FB4-4666-BEBA-948F951D5D4C}"/>
    <cellStyle name="20% - Accent5 2 6" xfId="831" xr:uid="{770150CE-B85C-409E-8155-1A467ABF32E5}"/>
    <cellStyle name="20% - Accent5 2 6 2" xfId="1930" xr:uid="{BE585DE4-3513-4012-8983-726FF1F16AC6}"/>
    <cellStyle name="20% - Accent5 2 6 2 2" xfId="4119" xr:uid="{7491A969-B862-4CBF-A9D4-26918C397C6E}"/>
    <cellStyle name="20% - Accent5 2 6 2 2 2" xfId="18171" xr:uid="{3CB17CD6-8465-4563-9450-B70058F995AD}"/>
    <cellStyle name="20% - Accent5 2 6 2 3" xfId="15979" xr:uid="{47DCC02F-8F1A-49DD-91BB-369B6298C02E}"/>
    <cellStyle name="20% - Accent5 2 6 3" xfId="3023" xr:uid="{87B09EA0-CFF6-457B-A714-34433E126BCD}"/>
    <cellStyle name="20% - Accent5 2 6 3 2" xfId="17075" xr:uid="{C32590B7-1F99-41BF-81AF-D8E14DF9A33E}"/>
    <cellStyle name="20% - Accent5 2 6 4" xfId="14881" xr:uid="{780F2513-FB67-4A48-84C3-4181159E4535}"/>
    <cellStyle name="20% - Accent5 2 7" xfId="1175" xr:uid="{983E9878-A7EB-46D9-9C8A-77120F542620}"/>
    <cellStyle name="20% - Accent5 2 7 2" xfId="2274" xr:uid="{1DC5604E-EB17-459F-89A5-3D9976CBE0E6}"/>
    <cellStyle name="20% - Accent5 2 7 2 2" xfId="4463" xr:uid="{37161796-247E-4EC1-9009-54F4D6B1065A}"/>
    <cellStyle name="20% - Accent5 2 7 2 2 2" xfId="18514" xr:uid="{3D28ED56-9606-4BA2-A6A5-EE5F4CA93C03}"/>
    <cellStyle name="20% - Accent5 2 7 2 3" xfId="16324" xr:uid="{18F91F56-CCF7-4252-8E0B-7DFB95BF21A0}"/>
    <cellStyle name="20% - Accent5 2 7 3" xfId="3368" xr:uid="{52C223DB-941F-4634-B76A-038BD085A3B8}"/>
    <cellStyle name="20% - Accent5 2 7 3 2" xfId="17420" xr:uid="{974B9313-7EB1-479A-AE4A-B5114316EDCC}"/>
    <cellStyle name="20% - Accent5 2 7 4" xfId="15226" xr:uid="{D7B63ECF-19CA-4A6E-B167-EA4ED5483CBD}"/>
    <cellStyle name="20% - Accent5 2 8" xfId="1239" xr:uid="{F01B9AA3-0B3F-4CC7-81ED-B8D9067E96B2}"/>
    <cellStyle name="20% - Accent5 2 8 2" xfId="3429" xr:uid="{27873EE0-9755-413D-93C0-6A7FF1FF1F8E}"/>
    <cellStyle name="20% - Accent5 2 8 2 2" xfId="17481" xr:uid="{66E02C91-3B4E-4432-8572-68E0066115EA}"/>
    <cellStyle name="20% - Accent5 2 8 3" xfId="15287" xr:uid="{47540DEC-DD0D-47B0-9559-E8B3319A98DB}"/>
    <cellStyle name="20% - Accent5 2 9" xfId="2330" xr:uid="{C2747310-84AB-4A0D-B941-E598AE032C02}"/>
    <cellStyle name="20% - Accent5 2 9 2" xfId="16381" xr:uid="{EBCA58A3-1FD7-45C7-A4C6-25D1B2FD39E3}"/>
    <cellStyle name="20% - Accent5 3" xfId="102" xr:uid="{BF27511B-134F-4365-9CE5-BD469F92594A}"/>
    <cellStyle name="20% - Accent5 3 10" xfId="4500" xr:uid="{68459A38-4278-4C56-9C1E-BE20B516488A}"/>
    <cellStyle name="20% - Accent5 3 10 2" xfId="18551" xr:uid="{8479F5D9-B102-428D-BE0D-0E3035C42A00}"/>
    <cellStyle name="20% - Accent5 3 11" xfId="14162" xr:uid="{B04917E6-620C-426B-BAAE-359FC40E78E5}"/>
    <cellStyle name="20% - Accent5 3 2" xfId="217" xr:uid="{DDF2D986-B695-469E-947F-F5238018E25D}"/>
    <cellStyle name="20% - Accent5 3 2 2" xfId="394" xr:uid="{1B0856A2-414F-4D03-813E-BE51F85D746E}"/>
    <cellStyle name="20% - Accent5 3 2 2 2" xfId="748" xr:uid="{CB6A964A-AEA0-4134-9432-69E7D876082A}"/>
    <cellStyle name="20% - Accent5 3 2 2 2 2" xfId="1849" xr:uid="{0F0BA4ED-A395-432C-B4A3-DB9F8793879A}"/>
    <cellStyle name="20% - Accent5 3 2 2 2 2 2" xfId="4038" xr:uid="{4BEDEA51-5C13-40F9-AC67-8A2D079BABFE}"/>
    <cellStyle name="20% - Accent5 3 2 2 2 2 2 2" xfId="18090" xr:uid="{8DA20978-92B0-429C-B54F-AE9F02BAC16E}"/>
    <cellStyle name="20% - Accent5 3 2 2 2 2 3" xfId="15898" xr:uid="{FB889075-96FE-48EA-B8BD-0A8F4A7B2D62}"/>
    <cellStyle name="20% - Accent5 3 2 2 2 3" xfId="2940" xr:uid="{8595E590-AB54-4762-95AA-095E8F4ED2C8}"/>
    <cellStyle name="20% - Accent5 3 2 2 2 3 2" xfId="16992" xr:uid="{818D3907-4795-46B4-B79C-5BF4A6C03F2B}"/>
    <cellStyle name="20% - Accent5 3 2 2 2 4" xfId="14799" xr:uid="{B85289F5-CC84-4426-888D-2404CC7CA40C}"/>
    <cellStyle name="20% - Accent5 3 2 2 3" xfId="1095" xr:uid="{B1D56B5F-3B05-4BD0-BFDC-63A8152525FA}"/>
    <cellStyle name="20% - Accent5 3 2 2 3 2" xfId="2194" xr:uid="{573532BA-A4F2-434E-8657-5A21C1FC6582}"/>
    <cellStyle name="20% - Accent5 3 2 2 3 2 2" xfId="4383" xr:uid="{7264ABE0-0CCB-423E-8DBC-A4BDF336B757}"/>
    <cellStyle name="20% - Accent5 3 2 2 3 2 2 2" xfId="18433" xr:uid="{8E3BA6E5-7C49-466E-8E7E-2A0A49E7278D}"/>
    <cellStyle name="20% - Accent5 3 2 2 3 2 3" xfId="16243" xr:uid="{E746EB42-1486-4A14-8C77-AA512E6D90CC}"/>
    <cellStyle name="20% - Accent5 3 2 2 3 3" xfId="3287" xr:uid="{A0D2E756-A633-4831-AF14-A91D1207EDA0}"/>
    <cellStyle name="20% - Accent5 3 2 2 3 3 2" xfId="17339" xr:uid="{55ADE1A1-FD9B-4262-902D-40D46ECC328A}"/>
    <cellStyle name="20% - Accent5 3 2 2 3 4" xfId="15145" xr:uid="{08B488B1-1BBD-4351-B04A-21A8D07EBF26}"/>
    <cellStyle name="20% - Accent5 3 2 2 4" xfId="1675" xr:uid="{FE0BD7CF-6A5A-4185-919B-15EA7CF6949F}"/>
    <cellStyle name="20% - Accent5 3 2 2 4 2" xfId="3865" xr:uid="{460110F5-F050-4218-84F3-F05E4B94BC32}"/>
    <cellStyle name="20% - Accent5 3 2 2 4 2 2" xfId="17918" xr:uid="{41AE18D4-E4B4-4AAD-979C-480173790208}"/>
    <cellStyle name="20% - Accent5 3 2 2 4 3" xfId="15724" xr:uid="{7526D5F6-9E8D-4BEA-8634-312051BD39D6}"/>
    <cellStyle name="20% - Accent5 3 2 2 5" xfId="2594" xr:uid="{F74B9E19-D8CE-45A8-AEBF-69063E9A7C5E}"/>
    <cellStyle name="20% - Accent5 3 2 2 5 2" xfId="16645" xr:uid="{E3A18209-E6D5-48EE-A1E1-6B04A3E43FCC}"/>
    <cellStyle name="20% - Accent5 3 2 2 6" xfId="4960" xr:uid="{5C54D572-750D-4D6A-9F43-8245E84483DD}"/>
    <cellStyle name="20% - Accent5 3 2 2 6 2" xfId="19012" xr:uid="{C86F543A-FAEF-45A8-BCD2-3E57E486737E}"/>
    <cellStyle name="20% - Accent5 3 2 2 7" xfId="14451" xr:uid="{48F57252-C1D7-4A0E-9B6A-894EBF783932}"/>
    <cellStyle name="20% - Accent5 3 2 3" xfId="568" xr:uid="{4027ACB5-E597-476D-B681-7FDB62856966}"/>
    <cellStyle name="20% - Accent5 3 2 3 2" xfId="1501" xr:uid="{17FFE8FF-7F1E-4FFD-92F6-7FD0815CB340}"/>
    <cellStyle name="20% - Accent5 3 2 3 2 2" xfId="3691" xr:uid="{D36F28B0-1FAE-4A96-AE87-F834ED4540A1}"/>
    <cellStyle name="20% - Accent5 3 2 3 2 2 2" xfId="17744" xr:uid="{74E565F6-8FC5-4C40-97FD-14E6FE6B15C3}"/>
    <cellStyle name="20% - Accent5 3 2 3 2 3" xfId="15550" xr:uid="{C7609C9A-8515-4380-9019-9E2685E2C2EF}"/>
    <cellStyle name="20% - Accent5 3 2 3 3" xfId="2767" xr:uid="{3C88E795-32E5-4F78-8208-6715F66CF251}"/>
    <cellStyle name="20% - Accent5 3 2 3 3 2" xfId="16818" xr:uid="{90EF7C88-C5B4-46DF-B224-EA3CA4261310}"/>
    <cellStyle name="20% - Accent5 3 2 3 4" xfId="4786" xr:uid="{51A5FAFD-E0E1-4DD1-873E-2AA9C060518B}"/>
    <cellStyle name="20% - Accent5 3 2 3 4 2" xfId="18838" xr:uid="{4405751A-D243-42E8-A00B-9049EA1B1B6E}"/>
    <cellStyle name="20% - Accent5 3 2 3 5" xfId="14623" xr:uid="{CC14D860-B8B3-4E46-A3B2-990F2A7A8BCE}"/>
    <cellStyle name="20% - Accent5 3 2 4" xfId="921" xr:uid="{2897C274-4B6D-4430-983F-DE03044C8565}"/>
    <cellStyle name="20% - Accent5 3 2 4 2" xfId="2020" xr:uid="{4C47525A-23AE-4199-8330-F5AAD6F14FEC}"/>
    <cellStyle name="20% - Accent5 3 2 4 2 2" xfId="4209" xr:uid="{C354E5C0-2477-4D60-951C-B1535B92887F}"/>
    <cellStyle name="20% - Accent5 3 2 4 2 2 2" xfId="18260" xr:uid="{D7250391-98B5-4C51-BB8E-7B5A313AEC1B}"/>
    <cellStyle name="20% - Accent5 3 2 4 2 3" xfId="16069" xr:uid="{C3FFAA44-A8F4-4DC5-8CDA-A1DC5A4A3891}"/>
    <cellStyle name="20% - Accent5 3 2 4 3" xfId="3113" xr:uid="{20026FD7-C2E0-4529-8C43-4266875CF33A}"/>
    <cellStyle name="20% - Accent5 3 2 4 3 2" xfId="17165" xr:uid="{0E5FCC58-EB3E-4810-97E7-105C4DDA36DC}"/>
    <cellStyle name="20% - Accent5 3 2 4 4" xfId="14971" xr:uid="{BE7AB503-D3B0-4636-89F9-346EA659E3B9}"/>
    <cellStyle name="20% - Accent5 3 2 5" xfId="1328" xr:uid="{97425D3D-ABF8-4726-AE76-9F0D373A0F15}"/>
    <cellStyle name="20% - Accent5 3 2 5 2" xfId="3519" xr:uid="{4EF79C02-B587-4B53-8ACC-B8A3CA842E81}"/>
    <cellStyle name="20% - Accent5 3 2 5 2 2" xfId="17571" xr:uid="{3D589EA7-DAB0-4D83-915E-B3CCC1AF1E14}"/>
    <cellStyle name="20% - Accent5 3 2 5 3" xfId="15377" xr:uid="{C9BC4AAC-9FA4-40A9-A122-E0FBE9F4A218}"/>
    <cellStyle name="20% - Accent5 3 2 6" xfId="2420" xr:uid="{3E927346-0367-4E23-8DD2-ED02AC44C0D0}"/>
    <cellStyle name="20% - Accent5 3 2 6 2" xfId="16471" xr:uid="{23BCD413-D5F9-400D-A9E1-62E91F486141}"/>
    <cellStyle name="20% - Accent5 3 2 7" xfId="4613" xr:uid="{87413445-92D7-4890-801E-01D2348DD655}"/>
    <cellStyle name="20% - Accent5 3 2 7 2" xfId="18665" xr:uid="{1E6A407F-4458-4E9B-A387-1AFC3197E269}"/>
    <cellStyle name="20% - Accent5 3 2 8" xfId="14276" xr:uid="{9AFF9DEA-4956-42F5-95B2-561E46DC0069}"/>
    <cellStyle name="20% - Accent5 3 3" xfId="160" xr:uid="{EB47BFDF-3562-4105-9B88-1593C1270E66}"/>
    <cellStyle name="20% - Accent5 3 3 2" xfId="337" xr:uid="{653C11FC-DEAB-48AF-8EA7-720ADADFDD5A}"/>
    <cellStyle name="20% - Accent5 3 3 2 2" xfId="691" xr:uid="{4698F7B7-753D-4EF5-BE36-E98ECAED69F1}"/>
    <cellStyle name="20% - Accent5 3 3 2 2 2" xfId="1792" xr:uid="{56B73D04-0C74-464D-992C-11A135F9808E}"/>
    <cellStyle name="20% - Accent5 3 3 2 2 2 2" xfId="3981" xr:uid="{100BB8F9-2453-4C78-93A2-E15DF9401F2F}"/>
    <cellStyle name="20% - Accent5 3 3 2 2 2 2 2" xfId="18033" xr:uid="{B3D0ECC5-30E1-48CB-BD6E-599CDED355DD}"/>
    <cellStyle name="20% - Accent5 3 3 2 2 2 3" xfId="15841" xr:uid="{440E2B79-94A9-4B10-8FEA-790CD441BCD0}"/>
    <cellStyle name="20% - Accent5 3 3 2 2 3" xfId="2883" xr:uid="{6216BF52-2763-4F06-A788-243EE8A715EC}"/>
    <cellStyle name="20% - Accent5 3 3 2 2 3 2" xfId="16935" xr:uid="{0F9F1069-61D7-4D36-B57C-541138ACF91C}"/>
    <cellStyle name="20% - Accent5 3 3 2 2 4" xfId="14742" xr:uid="{1BF48A18-9D52-4E67-9D7A-796BA67FBAF3}"/>
    <cellStyle name="20% - Accent5 3 3 2 3" xfId="1038" xr:uid="{44FCA86E-23E0-42F2-8C5E-A06747632A64}"/>
    <cellStyle name="20% - Accent5 3 3 2 3 2" xfId="2137" xr:uid="{82D39F6A-DBAF-4C7D-A5F3-EF7B0E3EA311}"/>
    <cellStyle name="20% - Accent5 3 3 2 3 2 2" xfId="4326" xr:uid="{5601B5C5-174D-4D18-A41D-55F3E23CD77C}"/>
    <cellStyle name="20% - Accent5 3 3 2 3 2 2 2" xfId="18376" xr:uid="{C5D169F2-1B5C-406A-A55A-4B6F727E029C}"/>
    <cellStyle name="20% - Accent5 3 3 2 3 2 3" xfId="16186" xr:uid="{ED52813A-65DD-431E-AC46-50CC91E5E1F0}"/>
    <cellStyle name="20% - Accent5 3 3 2 3 3" xfId="3230" xr:uid="{B33F9B6D-EB5C-459F-AF09-E0936087AD02}"/>
    <cellStyle name="20% - Accent5 3 3 2 3 3 2" xfId="17282" xr:uid="{1DDEE32C-A90A-414A-A205-566124517D0A}"/>
    <cellStyle name="20% - Accent5 3 3 2 3 4" xfId="15088" xr:uid="{4CFF9B2C-5FD4-4411-98A7-B5028D50DBE9}"/>
    <cellStyle name="20% - Accent5 3 3 2 4" xfId="1618" xr:uid="{1D402219-D19D-4901-97F4-086AF7D50A97}"/>
    <cellStyle name="20% - Accent5 3 3 2 4 2" xfId="3808" xr:uid="{36BEA26F-AAA6-45EB-8966-10981AAADB0F}"/>
    <cellStyle name="20% - Accent5 3 3 2 4 2 2" xfId="17861" xr:uid="{3C73D775-E5A8-4A25-8DD2-FCD6D759F940}"/>
    <cellStyle name="20% - Accent5 3 3 2 4 3" xfId="15667" xr:uid="{FCF944B4-D379-42C0-89DF-79140C8F6E34}"/>
    <cellStyle name="20% - Accent5 3 3 2 5" xfId="2537" xr:uid="{155C1884-A9B3-499C-870C-D116D8D0FE0A}"/>
    <cellStyle name="20% - Accent5 3 3 2 5 2" xfId="16588" xr:uid="{A26DEE92-EFD3-4970-9D76-9C4A43A4A61D}"/>
    <cellStyle name="20% - Accent5 3 3 2 6" xfId="4903" xr:uid="{4E96DB0E-8D7C-4926-9F1C-9442FA49E82C}"/>
    <cellStyle name="20% - Accent5 3 3 2 6 2" xfId="18955" xr:uid="{1FF949C6-4DF8-47C5-AC3C-7883E476C4C7}"/>
    <cellStyle name="20% - Accent5 3 3 2 7" xfId="14394" xr:uid="{D77C45DA-4B98-4E7B-B497-23785FEAB4A4}"/>
    <cellStyle name="20% - Accent5 3 3 3" xfId="511" xr:uid="{3EA6CA28-07F8-4717-8693-41B510B35E54}"/>
    <cellStyle name="20% - Accent5 3 3 3 2" xfId="1444" xr:uid="{FF873151-CA7A-4FC3-8233-34E07351FB9E}"/>
    <cellStyle name="20% - Accent5 3 3 3 2 2" xfId="3634" xr:uid="{C4685DCB-995E-4286-90D3-2DA2E7EE2DBF}"/>
    <cellStyle name="20% - Accent5 3 3 3 2 2 2" xfId="17687" xr:uid="{9D645C93-DE75-4C3E-8405-5E7B3099F3AB}"/>
    <cellStyle name="20% - Accent5 3 3 3 2 3" xfId="15493" xr:uid="{4790CBAB-3F40-4297-8BEF-1EF2DCE7DA9C}"/>
    <cellStyle name="20% - Accent5 3 3 3 3" xfId="2710" xr:uid="{3FAD89AA-3E02-4112-99E6-F1316F6CD59A}"/>
    <cellStyle name="20% - Accent5 3 3 3 3 2" xfId="16761" xr:uid="{D42F63B8-3C6A-4DBE-8A25-D63FBB2212A9}"/>
    <cellStyle name="20% - Accent5 3 3 3 4" xfId="4729" xr:uid="{0CC9492F-4CA8-4846-AB8C-94D82D2F321B}"/>
    <cellStyle name="20% - Accent5 3 3 3 4 2" xfId="18781" xr:uid="{D7D50FD0-42D9-4546-8920-45F486ECDFAD}"/>
    <cellStyle name="20% - Accent5 3 3 3 5" xfId="14566" xr:uid="{B2BCD67C-2669-4FD3-9552-E6ACEACE5782}"/>
    <cellStyle name="20% - Accent5 3 3 4" xfId="864" xr:uid="{0E82C97D-1B60-4939-A72B-74E830199F73}"/>
    <cellStyle name="20% - Accent5 3 3 4 2" xfId="1963" xr:uid="{D527846A-2F7C-422F-81BD-FBA9686CD850}"/>
    <cellStyle name="20% - Accent5 3 3 4 2 2" xfId="4152" xr:uid="{99C2C956-1078-448E-B0F8-448757BDCBC2}"/>
    <cellStyle name="20% - Accent5 3 3 4 2 2 2" xfId="18203" xr:uid="{AFF6419C-BD64-4A5C-93E0-EB1FFF563B0B}"/>
    <cellStyle name="20% - Accent5 3 3 4 2 3" xfId="16012" xr:uid="{DE2ECDEC-FE00-41E5-9C19-C1F43E828E0B}"/>
    <cellStyle name="20% - Accent5 3 3 4 3" xfId="3056" xr:uid="{EA33C377-7FB1-491B-A6F8-2C1F053FA588}"/>
    <cellStyle name="20% - Accent5 3 3 4 3 2" xfId="17108" xr:uid="{108AAAF0-42FA-48B0-893E-AD60043B9A36}"/>
    <cellStyle name="20% - Accent5 3 3 4 4" xfId="14914" xr:uid="{5DD6F22B-0A78-4A8A-B955-21C33A49E1FD}"/>
    <cellStyle name="20% - Accent5 3 3 5" xfId="1272" xr:uid="{2BFD9966-7E01-4766-ADB7-DCB7716D51D8}"/>
    <cellStyle name="20% - Accent5 3 3 5 2" xfId="3462" xr:uid="{A51A31D5-F78A-4C5E-86C9-2F6B40E89947}"/>
    <cellStyle name="20% - Accent5 3 3 5 2 2" xfId="17514" xr:uid="{48797E32-890C-4590-AD5A-4D963147BE14}"/>
    <cellStyle name="20% - Accent5 3 3 5 3" xfId="15320" xr:uid="{8C5B5DC6-2EB7-4F3E-B039-8D22CDC49B47}"/>
    <cellStyle name="20% - Accent5 3 3 6" xfId="2363" xr:uid="{1D2123F6-E90A-424D-B8A5-E01B625E1CF8}"/>
    <cellStyle name="20% - Accent5 3 3 6 2" xfId="16414" xr:uid="{9095CB55-DD36-49B9-8BB6-6BB3FC05CC72}"/>
    <cellStyle name="20% - Accent5 3 3 7" xfId="4556" xr:uid="{BC2E0FD4-3E58-4724-B7C4-CF805404F8CF}"/>
    <cellStyle name="20% - Accent5 3 3 7 2" xfId="18608" xr:uid="{08EE56B4-56A3-444D-85DC-56A2C73B7783}"/>
    <cellStyle name="20% - Accent5 3 3 8" xfId="14219" xr:uid="{14AE9B13-6BF5-40D4-A402-07983D1271CA}"/>
    <cellStyle name="20% - Accent5 3 4" xfId="280" xr:uid="{74354EE5-54B7-4AA8-8118-DAEBBE73C83E}"/>
    <cellStyle name="20% - Accent5 3 4 2" xfId="634" xr:uid="{E759262B-D8C4-4E05-B451-7D689E71B4B5}"/>
    <cellStyle name="20% - Accent5 3 4 2 2" xfId="1736" xr:uid="{1C68B2C8-CE02-4258-8EFC-765A8AFD6557}"/>
    <cellStyle name="20% - Accent5 3 4 2 2 2" xfId="3924" xr:uid="{5C0573B5-F6E8-4D5F-803E-15AA6B11BE76}"/>
    <cellStyle name="20% - Accent5 3 4 2 2 2 2" xfId="17976" xr:uid="{B3BF64DC-5136-4F0E-8071-0AFB9B09A8FC}"/>
    <cellStyle name="20% - Accent5 3 4 2 2 3" xfId="15784" xr:uid="{EC63530C-3B82-4B87-AFA5-A995A8AA12D1}"/>
    <cellStyle name="20% - Accent5 3 4 2 3" xfId="2827" xr:uid="{0A8F3E01-1374-409B-AB12-7AF9874444A4}"/>
    <cellStyle name="20% - Accent5 3 4 2 3 2" xfId="16878" xr:uid="{374B1F3A-AF64-4044-B5F9-0A98FDF33289}"/>
    <cellStyle name="20% - Accent5 3 4 2 4" xfId="14685" xr:uid="{5CC4E8D9-0695-492B-9E28-B719B0613347}"/>
    <cellStyle name="20% - Accent5 3 4 3" xfId="981" xr:uid="{F82F406F-ED42-4301-9D1B-943F1C36C5DB}"/>
    <cellStyle name="20% - Accent5 3 4 3 2" xfId="2080" xr:uid="{EB0F7238-51E1-4607-BC96-6E39E150EF0E}"/>
    <cellStyle name="20% - Accent5 3 4 3 2 2" xfId="4269" xr:uid="{0F5D2E91-6BCF-43DB-90C4-C0DE3AFA4C6E}"/>
    <cellStyle name="20% - Accent5 3 4 3 2 2 2" xfId="18320" xr:uid="{DD387FCA-9084-4149-A018-30034079F5DF}"/>
    <cellStyle name="20% - Accent5 3 4 3 2 3" xfId="16129" xr:uid="{08C3F997-58A1-4492-A421-3E1CEBFA303C}"/>
    <cellStyle name="20% - Accent5 3 4 3 3" xfId="3173" xr:uid="{E7EAAC17-2EDD-4FB8-8E95-74C643F78D92}"/>
    <cellStyle name="20% - Accent5 3 4 3 3 2" xfId="17225" xr:uid="{B88B4760-D271-4B5A-9FF5-376A5FB42552}"/>
    <cellStyle name="20% - Accent5 3 4 3 4" xfId="15031" xr:uid="{F551185C-E859-44F0-A4D0-B1A96469821C}"/>
    <cellStyle name="20% - Accent5 3 4 4" xfId="1561" xr:uid="{3EB2FB11-E8D3-48A3-A02C-D4243E8A2C31}"/>
    <cellStyle name="20% - Accent5 3 4 4 2" xfId="3751" xr:uid="{2B14F070-AB92-409C-ACE3-98D0283150C1}"/>
    <cellStyle name="20% - Accent5 3 4 4 2 2" xfId="17804" xr:uid="{09A2F47F-8A66-4E9B-BEF9-B8942CB3FD3B}"/>
    <cellStyle name="20% - Accent5 3 4 4 3" xfId="15610" xr:uid="{EA04067A-5DDB-4D05-8A77-72A62C9669E4}"/>
    <cellStyle name="20% - Accent5 3 4 5" xfId="2480" xr:uid="{5EED2A02-6899-48AB-BEC5-696C77221F9C}"/>
    <cellStyle name="20% - Accent5 3 4 5 2" xfId="16531" xr:uid="{F21B7758-21C4-4AD0-8326-E1CFE8F35453}"/>
    <cellStyle name="20% - Accent5 3 4 6" xfId="4846" xr:uid="{83A9B1AC-B333-4973-889A-0EFF323C6DF0}"/>
    <cellStyle name="20% - Accent5 3 4 6 2" xfId="18898" xr:uid="{76E63988-E912-438B-8A77-D2A6A7EDD645}"/>
    <cellStyle name="20% - Accent5 3 4 7" xfId="14337" xr:uid="{FFB8A3ED-A944-4D9B-9C94-F0BDB94B1331}"/>
    <cellStyle name="20% - Accent5 3 5" xfId="454" xr:uid="{DB8EA7F4-1C32-49B8-B2C7-033790BBE13C}"/>
    <cellStyle name="20% - Accent5 3 5 2" xfId="1387" xr:uid="{621D5E13-9046-4333-9122-293F8D9B053A}"/>
    <cellStyle name="20% - Accent5 3 5 2 2" xfId="3577" xr:uid="{B84D4847-FD6C-4D4A-B3F0-4E94B8D85D17}"/>
    <cellStyle name="20% - Accent5 3 5 2 2 2" xfId="17630" xr:uid="{19DCFF2F-EC09-4F8D-A7AD-E4A5908E53B0}"/>
    <cellStyle name="20% - Accent5 3 5 2 3" xfId="15436" xr:uid="{407F9E7A-259E-4D1A-AB80-8B4009F40B43}"/>
    <cellStyle name="20% - Accent5 3 5 3" xfId="2653" xr:uid="{8E74DC3E-2200-4DD5-BD61-C7AEA976F3B0}"/>
    <cellStyle name="20% - Accent5 3 5 3 2" xfId="16704" xr:uid="{2925016F-31A1-4C06-89D0-2858A76CF49B}"/>
    <cellStyle name="20% - Accent5 3 5 4" xfId="4672" xr:uid="{A65B1A94-71F2-4C11-AE5A-E473E2FB79D7}"/>
    <cellStyle name="20% - Accent5 3 5 4 2" xfId="18724" xr:uid="{3D30A4BA-C6E7-43EF-B9A8-3C1F00AB50FE}"/>
    <cellStyle name="20% - Accent5 3 5 5" xfId="14509" xr:uid="{CECD386A-A3B4-4DCB-BA25-E449D5CFE352}"/>
    <cellStyle name="20% - Accent5 3 6" xfId="807" xr:uid="{7B7CA928-CC86-4E1E-B10A-42E82792F6C3}"/>
    <cellStyle name="20% - Accent5 3 6 2" xfId="1906" xr:uid="{B7C47938-FEF9-44BC-ABAE-47094692190F}"/>
    <cellStyle name="20% - Accent5 3 6 2 2" xfId="4095" xr:uid="{1C4B8BDA-C631-4593-BA53-966F1C6C5531}"/>
    <cellStyle name="20% - Accent5 3 6 2 2 2" xfId="18147" xr:uid="{6226F825-860A-4719-85BF-B0838CF7D576}"/>
    <cellStyle name="20% - Accent5 3 6 2 3" xfId="15955" xr:uid="{729A9F21-DF8B-48A1-8F3A-2CB936F15FD2}"/>
    <cellStyle name="20% - Accent5 3 6 3" xfId="2999" xr:uid="{A885073C-1F29-4931-8A37-46F7E589DB72}"/>
    <cellStyle name="20% - Accent5 3 6 3 2" xfId="17051" xr:uid="{F5C6A079-A7D1-40AB-8317-3C83A3C6579E}"/>
    <cellStyle name="20% - Accent5 3 6 4" xfId="14857" xr:uid="{C2C51116-3B42-4751-94A3-8921A2C585FE}"/>
    <cellStyle name="20% - Accent5 3 7" xfId="1151" xr:uid="{80FD0C8C-F9B3-4BCB-9857-77C377172BCD}"/>
    <cellStyle name="20% - Accent5 3 7 2" xfId="2251" xr:uid="{5EF59BA6-D128-4CC7-99EE-C8CA08DA40EA}"/>
    <cellStyle name="20% - Accent5 3 7 2 2" xfId="4440" xr:uid="{7DC3AD9F-0E70-47B2-91BA-EC08079B09DC}"/>
    <cellStyle name="20% - Accent5 3 7 2 2 2" xfId="18490" xr:uid="{914F41E2-2F0E-4C46-893A-DA8DBBA48210}"/>
    <cellStyle name="20% - Accent5 3 7 2 3" xfId="16300" xr:uid="{828C11F0-AC24-4FA5-9A1B-174857187A4A}"/>
    <cellStyle name="20% - Accent5 3 7 3" xfId="3344" xr:uid="{0E3593D2-F120-4C28-9DF9-4FF6B7869E94}"/>
    <cellStyle name="20% - Accent5 3 7 3 2" xfId="17396" xr:uid="{D45B7334-BDA1-4919-8B76-C773597FFA8F}"/>
    <cellStyle name="20% - Accent5 3 7 4" xfId="15202" xr:uid="{16EAD291-E114-4895-B0F0-D5D31722B602}"/>
    <cellStyle name="20% - Accent5 3 8" xfId="1215" xr:uid="{694BF292-9F32-4CCB-BE2F-1710F11F8F5C}"/>
    <cellStyle name="20% - Accent5 3 8 2" xfId="3405" xr:uid="{4E2530FB-39B4-4E38-9241-9A6D5C80A4FB}"/>
    <cellStyle name="20% - Accent5 3 8 2 2" xfId="17457" xr:uid="{EDE57FD8-D42A-4FF9-99DB-4539033FB61F}"/>
    <cellStyle name="20% - Accent5 3 8 3" xfId="15263" xr:uid="{08D0E379-2C18-4640-9292-753EFFA3564A}"/>
    <cellStyle name="20% - Accent5 3 9" xfId="2306" xr:uid="{4A608EE2-60FD-407D-BAD9-BA450F11F8EF}"/>
    <cellStyle name="20% - Accent5 3 9 2" xfId="16357" xr:uid="{05107E34-E417-4B66-84F4-EED01AABCA49}"/>
    <cellStyle name="20% - Accent5 4" xfId="197" xr:uid="{30A8FFA0-F7A8-43D3-805A-5A678B9192F9}"/>
    <cellStyle name="20% - Accent5 4 2" xfId="374" xr:uid="{36E496A2-4FEB-4F8F-9720-AAC825A7E7FC}"/>
    <cellStyle name="20% - Accent5 4 2 2" xfId="728" xr:uid="{01141F56-9366-414C-BCE8-F18359F05832}"/>
    <cellStyle name="20% - Accent5 4 2 2 2" xfId="1829" xr:uid="{69E3E612-1A92-45FB-98F5-55EB45131D74}"/>
    <cellStyle name="20% - Accent5 4 2 2 2 2" xfId="4018" xr:uid="{E43E9FA4-D953-44AD-93E5-856E4615DA0D}"/>
    <cellStyle name="20% - Accent5 4 2 2 2 2 2" xfId="18070" xr:uid="{3DCC717C-142A-4E51-A4D9-809DC748B32D}"/>
    <cellStyle name="20% - Accent5 4 2 2 2 3" xfId="15878" xr:uid="{296BB069-AEEC-470A-A4A3-E4E74372EC51}"/>
    <cellStyle name="20% - Accent5 4 2 2 3" xfId="2920" xr:uid="{074CE9E0-025C-4E92-8D79-E88866875996}"/>
    <cellStyle name="20% - Accent5 4 2 2 3 2" xfId="16972" xr:uid="{31DD98E3-49AE-4F7D-BF99-78CD269199E3}"/>
    <cellStyle name="20% - Accent5 4 2 2 4" xfId="14779" xr:uid="{1973F154-09E7-46F0-96F2-503C9AD345ED}"/>
    <cellStyle name="20% - Accent5 4 2 3" xfId="1075" xr:uid="{C98BE505-7709-4A7F-AF18-4A15E6B0388E}"/>
    <cellStyle name="20% - Accent5 4 2 3 2" xfId="2174" xr:uid="{FAD21C10-A7C2-4AEC-AD07-5CD538447987}"/>
    <cellStyle name="20% - Accent5 4 2 3 2 2" xfId="4363" xr:uid="{DC0FFA58-4E80-4EA4-B3EA-827DA74BC827}"/>
    <cellStyle name="20% - Accent5 4 2 3 2 2 2" xfId="18413" xr:uid="{17597C6F-250F-4F9B-8F90-D4030A7A3290}"/>
    <cellStyle name="20% - Accent5 4 2 3 2 3" xfId="16223" xr:uid="{B36B71AB-E893-46A3-944E-093B29C734F6}"/>
    <cellStyle name="20% - Accent5 4 2 3 3" xfId="3267" xr:uid="{19EC8FB2-6079-4006-8FAF-12BA12803DB8}"/>
    <cellStyle name="20% - Accent5 4 2 3 3 2" xfId="17319" xr:uid="{6818BB66-0B0F-472A-9FE4-A080EDE6D71E}"/>
    <cellStyle name="20% - Accent5 4 2 3 4" xfId="15125" xr:uid="{899AB675-DC26-4DEB-9619-9C9984051E6D}"/>
    <cellStyle name="20% - Accent5 4 2 4" xfId="1655" xr:uid="{DEC5F5D9-2435-490F-B13B-6001B145F6CD}"/>
    <cellStyle name="20% - Accent5 4 2 4 2" xfId="3845" xr:uid="{C569BDB4-AFE8-496E-9C18-7E65CB390B8B}"/>
    <cellStyle name="20% - Accent5 4 2 4 2 2" xfId="17898" xr:uid="{D2B971AE-47DA-46F9-AFC9-5103B209151F}"/>
    <cellStyle name="20% - Accent5 4 2 4 3" xfId="15704" xr:uid="{AC9A24EA-ED90-41E0-BAD9-842DC530E6FE}"/>
    <cellStyle name="20% - Accent5 4 2 5" xfId="2574" xr:uid="{C374C3F8-92BB-42C2-B22D-3918746AA76E}"/>
    <cellStyle name="20% - Accent5 4 2 5 2" xfId="16625" xr:uid="{B9898157-B757-495F-B592-0E83692304C4}"/>
    <cellStyle name="20% - Accent5 4 2 6" xfId="4940" xr:uid="{E05424D3-77CA-4FD0-B5DC-0741B570EDEE}"/>
    <cellStyle name="20% - Accent5 4 2 6 2" xfId="18992" xr:uid="{FE4B48B3-F349-4D35-A8E7-76AD16D3A7BB}"/>
    <cellStyle name="20% - Accent5 4 2 7" xfId="14431" xr:uid="{5D7AADAE-651D-44D5-848D-10F949FCE24C}"/>
    <cellStyle name="20% - Accent5 4 3" xfId="548" xr:uid="{CA95304D-EF98-47B9-805C-79DC85102A84}"/>
    <cellStyle name="20% - Accent5 4 3 2" xfId="1481" xr:uid="{BF464249-3807-4DF2-BEC5-9F2182BF2601}"/>
    <cellStyle name="20% - Accent5 4 3 2 2" xfId="3671" xr:uid="{E8E22896-B94F-492C-B2B9-24109C7A5686}"/>
    <cellStyle name="20% - Accent5 4 3 2 2 2" xfId="17724" xr:uid="{F65D8DAB-431A-4B1F-825B-62D19B5DACE7}"/>
    <cellStyle name="20% - Accent5 4 3 2 3" xfId="15530" xr:uid="{8FA3255B-CB3A-4CF6-AC27-A6FF77E75C51}"/>
    <cellStyle name="20% - Accent5 4 3 3" xfId="2747" xr:uid="{5CE116BB-2C70-4242-B390-DEF9A5CF25FA}"/>
    <cellStyle name="20% - Accent5 4 3 3 2" xfId="16798" xr:uid="{0A413899-F8A8-4D77-AA2C-0D822FEA66FA}"/>
    <cellStyle name="20% - Accent5 4 3 4" xfId="4766" xr:uid="{0BA5217D-6DF1-4033-82E9-9FF77741F320}"/>
    <cellStyle name="20% - Accent5 4 3 4 2" xfId="18818" xr:uid="{68535891-F6EC-4D36-83E7-7ADAE22E84B4}"/>
    <cellStyle name="20% - Accent5 4 3 5" xfId="14603" xr:uid="{D3F1DCB4-ADF7-4075-9406-EE3E0CE5862A}"/>
    <cellStyle name="20% - Accent5 4 4" xfId="901" xr:uid="{7BD517B2-DBC7-4230-A23D-565C785EBAF7}"/>
    <cellStyle name="20% - Accent5 4 4 2" xfId="2000" xr:uid="{16CF3A3E-B27F-4BF4-9202-D91FDB08049F}"/>
    <cellStyle name="20% - Accent5 4 4 2 2" xfId="4189" xr:uid="{24345CE2-0D11-429C-B034-4BC924ABB842}"/>
    <cellStyle name="20% - Accent5 4 4 2 2 2" xfId="18240" xr:uid="{4E91EE79-C0B9-4AA2-B017-79C8E8F6FC20}"/>
    <cellStyle name="20% - Accent5 4 4 2 3" xfId="16049" xr:uid="{E7B849E2-4E0C-4B2D-A4DE-71371DF2464B}"/>
    <cellStyle name="20% - Accent5 4 4 3" xfId="3093" xr:uid="{60D9E51E-EDA1-4A69-ACE5-2E19F1C27705}"/>
    <cellStyle name="20% - Accent5 4 4 3 2" xfId="17145" xr:uid="{495B8634-93B5-4AE8-9423-3E781D8E8022}"/>
    <cellStyle name="20% - Accent5 4 4 4" xfId="14951" xr:uid="{A964B4E5-D363-4B88-A728-BCA4DE833A77}"/>
    <cellStyle name="20% - Accent5 4 5" xfId="1308" xr:uid="{95E9C0A6-1F2F-4E0D-AF5E-876305D25F23}"/>
    <cellStyle name="20% - Accent5 4 5 2" xfId="3499" xr:uid="{AE2762B8-5DFF-4BA6-95F9-09FCE38BF3F7}"/>
    <cellStyle name="20% - Accent5 4 5 2 2" xfId="17551" xr:uid="{3BB2B104-7596-4C54-8534-BFB5023E27FE}"/>
    <cellStyle name="20% - Accent5 4 5 3" xfId="15357" xr:uid="{61B67AE3-DA3E-4BB8-99C8-B9D820D178E2}"/>
    <cellStyle name="20% - Accent5 4 6" xfId="2400" xr:uid="{8078A1D1-80AB-4314-AA66-B599E0CB9FE9}"/>
    <cellStyle name="20% - Accent5 4 6 2" xfId="16451" xr:uid="{2F3991D4-7554-4189-B982-2D3E1FED6FD4}"/>
    <cellStyle name="20% - Accent5 4 7" xfId="4593" xr:uid="{67F2B97A-61F0-47E8-8784-7F131ECA09D6}"/>
    <cellStyle name="20% - Accent5 4 7 2" xfId="18645" xr:uid="{3A14D525-CB9C-4264-B6D8-C352A31E9F80}"/>
    <cellStyle name="20% - Accent5 4 8" xfId="14256" xr:uid="{D41EABCF-FF92-4706-8591-B99525EBD7F3}"/>
    <cellStyle name="20% - Accent5 5" xfId="140" xr:uid="{92F1B5CC-81E6-408B-9BA3-F33B39B6D14B}"/>
    <cellStyle name="20% - Accent5 5 2" xfId="317" xr:uid="{1992F8F2-D2D8-4B97-94F4-2793912FD92B}"/>
    <cellStyle name="20% - Accent5 5 2 2" xfId="671" xr:uid="{47023D73-AF5A-45D8-AB3A-DEB1C7EB5F34}"/>
    <cellStyle name="20% - Accent5 5 2 2 2" xfId="1772" xr:uid="{523D6125-2965-43C9-A31B-EFA4BC3D4257}"/>
    <cellStyle name="20% - Accent5 5 2 2 2 2" xfId="3961" xr:uid="{9F867D3F-AFBD-4057-8B84-C678ED2247B5}"/>
    <cellStyle name="20% - Accent5 5 2 2 2 2 2" xfId="18013" xr:uid="{9C8BBF23-246F-4108-B1B2-4AA7586650AB}"/>
    <cellStyle name="20% - Accent5 5 2 2 2 3" xfId="15821" xr:uid="{9D1DDBB5-5B3D-4599-B3DC-8318031E9E8F}"/>
    <cellStyle name="20% - Accent5 5 2 2 3" xfId="2863" xr:uid="{B60DC30E-5053-4031-A169-9A07B0573019}"/>
    <cellStyle name="20% - Accent5 5 2 2 3 2" xfId="16915" xr:uid="{840B374C-7351-4E18-A617-E52CB380A455}"/>
    <cellStyle name="20% - Accent5 5 2 2 4" xfId="14722" xr:uid="{19DB5C67-DC6F-4E23-93CF-2743ED4B98DA}"/>
    <cellStyle name="20% - Accent5 5 2 3" xfId="1018" xr:uid="{6F3178DF-0C52-4AB0-B519-9C26B8D46BE9}"/>
    <cellStyle name="20% - Accent5 5 2 3 2" xfId="2117" xr:uid="{5DC155FE-5816-4245-B29E-3245BCD83370}"/>
    <cellStyle name="20% - Accent5 5 2 3 2 2" xfId="4306" xr:uid="{DB2919E1-CB0A-450B-A363-B38C0BAD1E3B}"/>
    <cellStyle name="20% - Accent5 5 2 3 2 2 2" xfId="18356" xr:uid="{457A9E2B-AA1B-4299-8191-D98D20F2C7D0}"/>
    <cellStyle name="20% - Accent5 5 2 3 2 3" xfId="16166" xr:uid="{F295CF0C-2D3C-4EB2-B52C-A9FECBB5A3CB}"/>
    <cellStyle name="20% - Accent5 5 2 3 3" xfId="3210" xr:uid="{2E5E3D07-0A8B-431D-81A5-4D1A7042B82B}"/>
    <cellStyle name="20% - Accent5 5 2 3 3 2" xfId="17262" xr:uid="{0FD9E85A-BC47-45CE-8B40-839C7E8EE269}"/>
    <cellStyle name="20% - Accent5 5 2 3 4" xfId="15068" xr:uid="{F97850FE-306C-4C66-AFB6-3597487B9AD4}"/>
    <cellStyle name="20% - Accent5 5 2 4" xfId="1598" xr:uid="{48E191F1-2AC1-40D8-AD96-C3B4252641FD}"/>
    <cellStyle name="20% - Accent5 5 2 4 2" xfId="3788" xr:uid="{A3CC3606-150C-4652-94F3-CB3177A77761}"/>
    <cellStyle name="20% - Accent5 5 2 4 2 2" xfId="17841" xr:uid="{75F67943-A44E-498D-8238-5FC7C9977C94}"/>
    <cellStyle name="20% - Accent5 5 2 4 3" xfId="15647" xr:uid="{098DE0D4-7D04-44E8-8962-2745891ABD35}"/>
    <cellStyle name="20% - Accent5 5 2 5" xfId="2517" xr:uid="{A800F348-BF54-4CBB-A20A-074B0152029F}"/>
    <cellStyle name="20% - Accent5 5 2 5 2" xfId="16568" xr:uid="{ECC5CB91-3A82-4A4B-A00D-2DDE7A8EE80F}"/>
    <cellStyle name="20% - Accent5 5 2 6" xfId="4883" xr:uid="{3AAD3E98-4444-4BB4-8536-D38F4FC30724}"/>
    <cellStyle name="20% - Accent5 5 2 6 2" xfId="18935" xr:uid="{C821E405-B3B8-4E5C-8B79-D22268A2C277}"/>
    <cellStyle name="20% - Accent5 5 2 7" xfId="14374" xr:uid="{686265F5-2D1C-498D-A092-32E12E82DA6C}"/>
    <cellStyle name="20% - Accent5 5 3" xfId="491" xr:uid="{D0511D1B-55BE-4BA3-8CA7-23F7716C789F}"/>
    <cellStyle name="20% - Accent5 5 3 2" xfId="1424" xr:uid="{8B536A42-91D7-4A98-AC5B-11ECC9BB1E17}"/>
    <cellStyle name="20% - Accent5 5 3 2 2" xfId="3614" xr:uid="{7A1174C8-0396-4211-A2F3-BB147C4B7985}"/>
    <cellStyle name="20% - Accent5 5 3 2 2 2" xfId="17667" xr:uid="{F671E782-BB60-4A1E-A1CF-5EF5EB3116A3}"/>
    <cellStyle name="20% - Accent5 5 3 2 3" xfId="15473" xr:uid="{B4FFFB08-DABB-4237-A97D-625B9EF88DCB}"/>
    <cellStyle name="20% - Accent5 5 3 3" xfId="2690" xr:uid="{2FBBE7FC-EF9E-4C9A-A086-8971878A8DB8}"/>
    <cellStyle name="20% - Accent5 5 3 3 2" xfId="16741" xr:uid="{D0A2937F-ABF0-4798-8BD5-CE1345DA42E7}"/>
    <cellStyle name="20% - Accent5 5 3 4" xfId="4709" xr:uid="{3CFF2059-FEAA-4F69-A4BC-8D9403C501DE}"/>
    <cellStyle name="20% - Accent5 5 3 4 2" xfId="18761" xr:uid="{5C7C9191-08E6-43FD-A706-35AA5F0BA105}"/>
    <cellStyle name="20% - Accent5 5 3 5" xfId="14546" xr:uid="{2FCB5C58-AECA-4302-BA72-1E62A489C4B0}"/>
    <cellStyle name="20% - Accent5 5 4" xfId="844" xr:uid="{FECD3FEA-81B0-40BB-9D49-19E3AF34E68A}"/>
    <cellStyle name="20% - Accent5 5 4 2" xfId="1943" xr:uid="{ABC1AC33-3C42-4856-ADFD-DE138F754CCD}"/>
    <cellStyle name="20% - Accent5 5 4 2 2" xfId="4132" xr:uid="{BC0C86E8-6CAD-43B9-BD75-CC1FC99BDC4C}"/>
    <cellStyle name="20% - Accent5 5 4 2 2 2" xfId="18184" xr:uid="{64951AA7-C662-41BD-B4B3-BC2B36FDE289}"/>
    <cellStyle name="20% - Accent5 5 4 2 3" xfId="15992" xr:uid="{EFDD8984-CE50-4CF4-9C1F-3EF22C0BDF6B}"/>
    <cellStyle name="20% - Accent5 5 4 3" xfId="3036" xr:uid="{2DBE3975-7137-468F-8AB1-FEDF3B69FD44}"/>
    <cellStyle name="20% - Accent5 5 4 3 2" xfId="17088" xr:uid="{1A1AEFC2-B942-499B-B2D2-72E5E7E3B809}"/>
    <cellStyle name="20% - Accent5 5 4 4" xfId="14894" xr:uid="{EDC73D1C-37CA-4775-B151-F01F80845FB7}"/>
    <cellStyle name="20% - Accent5 5 5" xfId="1252" xr:uid="{03B561D9-B357-410F-A301-C41DCB975935}"/>
    <cellStyle name="20% - Accent5 5 5 2" xfId="3442" xr:uid="{B16CAF52-7964-4835-9188-A51CDD1AFE85}"/>
    <cellStyle name="20% - Accent5 5 5 2 2" xfId="17494" xr:uid="{3E532ABB-98E2-42F0-9CBD-75899B8AEDCB}"/>
    <cellStyle name="20% - Accent5 5 5 3" xfId="15300" xr:uid="{8FBF7F59-2AB9-43FD-A435-2252EF8BBA59}"/>
    <cellStyle name="20% - Accent5 5 6" xfId="2343" xr:uid="{143EF43B-EE6A-423B-B85D-C6EA1B2B82BF}"/>
    <cellStyle name="20% - Accent5 5 6 2" xfId="16394" xr:uid="{BAD5A8A7-62F4-423E-8CF1-572029B99AD9}"/>
    <cellStyle name="20% - Accent5 5 7" xfId="4536" xr:uid="{BCE4CCDA-7EF9-4C3A-B144-340834FD3A54}"/>
    <cellStyle name="20% - Accent5 5 7 2" xfId="18588" xr:uid="{B58C92AA-BBFE-4462-9D11-78C62D8C4888}"/>
    <cellStyle name="20% - Accent5 5 8" xfId="14199" xr:uid="{C75DFA0E-2FB9-40C2-BE7B-56FF617332D9}"/>
    <cellStyle name="20% - Accent5 6" xfId="257" xr:uid="{18AA9751-6D59-4CA3-8E36-9D146EAB312B}"/>
    <cellStyle name="20% - Accent5 6 2" xfId="611" xr:uid="{B14066FB-A4AF-4347-85E5-D4BFD7A8DA48}"/>
    <cellStyle name="20% - Accent5 6 2 2" xfId="1716" xr:uid="{A48C9433-567A-4559-9199-94557D58CB0F}"/>
    <cellStyle name="20% - Accent5 6 2 2 2" xfId="3904" xr:uid="{FDFDFA65-1F6C-4246-85F8-D10250F575D1}"/>
    <cellStyle name="20% - Accent5 6 2 2 2 2" xfId="17956" xr:uid="{432F1114-09EA-4C51-A088-F8BE256D2503}"/>
    <cellStyle name="20% - Accent5 6 2 2 3" xfId="15764" xr:uid="{95FA9109-AF1A-4E7D-A3A2-68AC3EDACA08}"/>
    <cellStyle name="20% - Accent5 6 2 3" xfId="2807" xr:uid="{A941EBD7-EDC1-4DDD-9925-6F698BE44ED3}"/>
    <cellStyle name="20% - Accent5 6 2 3 2" xfId="16858" xr:uid="{D2D70D2D-47F0-42B8-B4F5-34AFF0F6513C}"/>
    <cellStyle name="20% - Accent5 6 2 4" xfId="14664" xr:uid="{39C27CFC-0904-4DF4-A770-EA72B5D2BCF1}"/>
    <cellStyle name="20% - Accent5 6 3" xfId="961" xr:uid="{2A0C44DA-D448-4C86-99DE-28D7207140F2}"/>
    <cellStyle name="20% - Accent5 6 3 2" xfId="2060" xr:uid="{BAC59425-2807-4923-91A0-CC5A4C2F039F}"/>
    <cellStyle name="20% - Accent5 6 3 2 2" xfId="4249" xr:uid="{67D93B7C-4C1E-48AF-BBB5-C091A205F05F}"/>
    <cellStyle name="20% - Accent5 6 3 2 2 2" xfId="18300" xr:uid="{9AE6AEA6-28EC-4816-8698-886668B8A7D7}"/>
    <cellStyle name="20% - Accent5 6 3 2 3" xfId="16109" xr:uid="{330FAB6F-9D31-42F4-85DA-251F4EA59E54}"/>
    <cellStyle name="20% - Accent5 6 3 3" xfId="3153" xr:uid="{FC961803-0340-456B-80C2-99E6415167D8}"/>
    <cellStyle name="20% - Accent5 6 3 3 2" xfId="17205" xr:uid="{895C30E4-D5DB-4E4D-9D74-72364237EDD9}"/>
    <cellStyle name="20% - Accent5 6 3 4" xfId="15011" xr:uid="{2E108104-70CD-4B4F-AC1A-621EE280B017}"/>
    <cellStyle name="20% - Accent5 6 4" xfId="1541" xr:uid="{7CD56794-6964-4A66-8CFC-EE1C8639E277}"/>
    <cellStyle name="20% - Accent5 6 4 2" xfId="3731" xr:uid="{E85DC644-88DF-485B-B260-C488193F63AA}"/>
    <cellStyle name="20% - Accent5 6 4 2 2" xfId="17784" xr:uid="{B3778069-F235-4D53-A0FC-93DA46453F69}"/>
    <cellStyle name="20% - Accent5 6 4 3" xfId="15590" xr:uid="{4DADAA12-DD8C-4F60-8250-18FF6819C1E6}"/>
    <cellStyle name="20% - Accent5 6 5" xfId="2460" xr:uid="{98CBB354-5E2D-4AE6-A239-C0E497CF44E0}"/>
    <cellStyle name="20% - Accent5 6 5 2" xfId="16511" xr:uid="{03DA29AF-64F3-4E23-997E-9E4D56E281A8}"/>
    <cellStyle name="20% - Accent5 6 6" xfId="4826" xr:uid="{9E9A124A-3549-4D99-956B-A7011EBA42DD}"/>
    <cellStyle name="20% - Accent5 6 6 2" xfId="18878" xr:uid="{ED516E32-56AE-49F5-A890-330623EF95D2}"/>
    <cellStyle name="20% - Accent5 6 7" xfId="14316" xr:uid="{F9C54E5E-7786-453B-B995-4671D03CB03E}"/>
    <cellStyle name="20% - Accent5 7" xfId="433" xr:uid="{6212ED4D-E493-4BBE-B39B-57EB06875D56}"/>
    <cellStyle name="20% - Accent5 7 2" xfId="1367" xr:uid="{A44C84B1-3ACF-471B-B723-45967DB39C92}"/>
    <cellStyle name="20% - Accent5 7 2 2" xfId="3557" xr:uid="{B3B301FF-8A9B-48A8-AAF0-106E0C7AC322}"/>
    <cellStyle name="20% - Accent5 7 2 2 2" xfId="17610" xr:uid="{F471E0A6-BEE7-4F4C-A275-113FA404C5EC}"/>
    <cellStyle name="20% - Accent5 7 2 3" xfId="15416" xr:uid="{21C2AE83-0369-433E-A28C-A71FCF982706}"/>
    <cellStyle name="20% - Accent5 7 3" xfId="2633" xr:uid="{824D4A97-81D9-46A6-AFE5-260C42440CE1}"/>
    <cellStyle name="20% - Accent5 7 3 2" xfId="16684" xr:uid="{85ECA7FB-5D71-4692-AA92-AE6F19609E1D}"/>
    <cellStyle name="20% - Accent5 7 4" xfId="4652" xr:uid="{E90F0AEC-68F5-40E2-BEAF-6F2204470786}"/>
    <cellStyle name="20% - Accent5 7 4 2" xfId="18704" xr:uid="{3BC330C0-8168-4436-9D3F-11D08B5BF314}"/>
    <cellStyle name="20% - Accent5 7 5" xfId="14489" xr:uid="{14DE5327-2D6F-4A67-8FDF-C7869B02F778}"/>
    <cellStyle name="20% - Accent5 8" xfId="787" xr:uid="{9ED5CDA9-7DD6-4F36-9601-67DA6A0485CD}"/>
    <cellStyle name="20% - Accent5 8 2" xfId="1888" xr:uid="{5200EAD2-F8F2-429F-8DB3-A23A02004E48}"/>
    <cellStyle name="20% - Accent5 8 2 2" xfId="4077" xr:uid="{7A93F2EB-6E71-4A0C-9956-7B14359023F3}"/>
    <cellStyle name="20% - Accent5 8 2 2 2" xfId="18129" xr:uid="{7EA4E291-D949-4830-9548-F824582CF5FF}"/>
    <cellStyle name="20% - Accent5 8 2 3" xfId="15937" xr:uid="{A80309EB-6B2B-467F-9CDF-DA68A81E746C}"/>
    <cellStyle name="20% - Accent5 8 3" xfId="2979" xr:uid="{FA253880-39D3-4FD1-A512-03DAE86A4FCA}"/>
    <cellStyle name="20% - Accent5 8 3 2" xfId="17031" xr:uid="{CA52B310-15D4-402B-867B-A4824CDB6714}"/>
    <cellStyle name="20% - Accent5 8 4" xfId="14837" xr:uid="{CDC35CAE-760F-4B2A-BB4F-E103F7D69065}"/>
    <cellStyle name="20% - Accent5 9" xfId="1131" xr:uid="{EA462912-0874-4326-8ED0-5724510A7F78}"/>
    <cellStyle name="20% - Accent5 9 2" xfId="2231" xr:uid="{528A7882-4B17-48FA-9164-78EC94D06FE0}"/>
    <cellStyle name="20% - Accent5 9 2 2" xfId="4420" xr:uid="{77870165-B6E0-4298-ABC7-A7102A641668}"/>
    <cellStyle name="20% - Accent5 9 2 2 2" xfId="18470" xr:uid="{3B28EF57-70EF-47D3-A327-4BB38868323A}"/>
    <cellStyle name="20% - Accent5 9 2 3" xfId="16280" xr:uid="{8063F86E-D05A-4294-8BD0-6830935DFB88}"/>
    <cellStyle name="20% - Accent5 9 3" xfId="3324" xr:uid="{477FFBFD-4C66-4E70-9EB3-849327B09312}"/>
    <cellStyle name="20% - Accent5 9 3 2" xfId="17376" xr:uid="{5CCA430A-E1A4-454B-8429-DC0119A61068}"/>
    <cellStyle name="20% - Accent5 9 4" xfId="15182" xr:uid="{F3407F3C-F9AC-4805-998F-3A57E20F9178}"/>
    <cellStyle name="20% - Accent6" xfId="60" builtinId="50" customBuiltin="1"/>
    <cellStyle name="20% - Accent6 10" xfId="1196" xr:uid="{01EA1A19-6D02-40F2-AF7E-8A2E4A967531}"/>
    <cellStyle name="20% - Accent6 10 2" xfId="3387" xr:uid="{E68FABD0-CFC6-411D-BC33-DB70BB1CAA58}"/>
    <cellStyle name="20% - Accent6 10 2 2" xfId="17439" xr:uid="{E5239DE0-6C97-448E-AE69-A00638F47676}"/>
    <cellStyle name="20% - Accent6 10 3" xfId="15245" xr:uid="{155B70BE-01F9-45D1-94C5-BA0521DB524A}"/>
    <cellStyle name="20% - Accent6 11" xfId="2288" xr:uid="{A48DFDB8-9D6C-474E-92B6-73C7A7C32457}"/>
    <cellStyle name="20% - Accent6 11 2" xfId="16339" xr:uid="{54A8AC71-46C6-4CE8-B557-DA979192F094}"/>
    <cellStyle name="20% - Accent6 12" xfId="4482" xr:uid="{995A79D4-C8F3-4DCD-AFE4-CBDD8ACC0853}"/>
    <cellStyle name="20% - Accent6 12 2" xfId="18533" xr:uid="{D1494029-2379-46BE-BA25-357EEC504A5A}"/>
    <cellStyle name="20% - Accent6 13" xfId="14135" xr:uid="{48A883BF-477A-4F7A-9B24-4CA580272A2A}"/>
    <cellStyle name="20% - Accent6 2" xfId="128" xr:uid="{8601637F-E933-42DE-ACDF-25AD29147286}"/>
    <cellStyle name="20% - Accent6 2 10" xfId="4525" xr:uid="{21689AAF-18D4-4BBA-AF89-E219CD7688EB}"/>
    <cellStyle name="20% - Accent6 2 10 2" xfId="18577" xr:uid="{8EDBFA65-4362-4C59-BDAC-36D098C8C21E}"/>
    <cellStyle name="20% - Accent6 2 11" xfId="14188" xr:uid="{559CC44C-DFDB-4CE3-8855-EB3E394B6E1B}"/>
    <cellStyle name="20% - Accent6 2 2" xfId="243" xr:uid="{EA47145B-39F9-4871-A37A-4A6AF48219E9}"/>
    <cellStyle name="20% - Accent6 2 2 2" xfId="420" xr:uid="{8565CB0A-423D-4853-9EE1-DEA23C08323F}"/>
    <cellStyle name="20% - Accent6 2 2 2 2" xfId="774" xr:uid="{4951AE87-186C-471E-B9A2-E25F063E25F4}"/>
    <cellStyle name="20% - Accent6 2 2 2 2 2" xfId="1875" xr:uid="{09BEDFF9-5439-4836-B3F8-038D8F6A44CA}"/>
    <cellStyle name="20% - Accent6 2 2 2 2 2 2" xfId="4064" xr:uid="{F4B2FB55-549F-4439-8577-EB02D78F543E}"/>
    <cellStyle name="20% - Accent6 2 2 2 2 2 2 2" xfId="18116" xr:uid="{A30A93F6-D642-4199-A485-8CFE3F199AD2}"/>
    <cellStyle name="20% - Accent6 2 2 2 2 2 3" xfId="15924" xr:uid="{AD5BE086-F833-4088-8F48-A867A3E6ECC0}"/>
    <cellStyle name="20% - Accent6 2 2 2 2 3" xfId="2966" xr:uid="{B310187E-67DD-48F2-970C-5774BF1D4C44}"/>
    <cellStyle name="20% - Accent6 2 2 2 2 3 2" xfId="17018" xr:uid="{2223332F-6877-4456-A5AD-C2AB7EE2FDE5}"/>
    <cellStyle name="20% - Accent6 2 2 2 2 4" xfId="14824" xr:uid="{8EF7D855-F200-4C81-B1B9-2C57DD7B74C7}"/>
    <cellStyle name="20% - Accent6 2 2 2 3" xfId="1121" xr:uid="{F903A715-21A6-45EC-8DF1-D13C5C483530}"/>
    <cellStyle name="20% - Accent6 2 2 2 3 2" xfId="2220" xr:uid="{318CEC59-73A7-4D0E-8113-E7D7EF96E2B3}"/>
    <cellStyle name="20% - Accent6 2 2 2 3 2 2" xfId="4409" xr:uid="{BD5F2D0F-62D0-4F8A-87AF-F53E797242AB}"/>
    <cellStyle name="20% - Accent6 2 2 2 3 2 2 2" xfId="18459" xr:uid="{B026B568-C1C6-4EFE-9BD4-C42E62FD44E2}"/>
    <cellStyle name="20% - Accent6 2 2 2 3 2 3" xfId="16269" xr:uid="{F5556CF1-F1BA-4194-8105-44BC52A6F825}"/>
    <cellStyle name="20% - Accent6 2 2 2 3 3" xfId="3313" xr:uid="{28F0CFE2-21CC-4C00-AF60-950C591F678C}"/>
    <cellStyle name="20% - Accent6 2 2 2 3 3 2" xfId="17365" xr:uid="{9804D0FC-D385-42E0-AE3C-65565FF5E92D}"/>
    <cellStyle name="20% - Accent6 2 2 2 3 4" xfId="15171" xr:uid="{597D319B-D5B5-4F4F-8C25-926B63FFFEFD}"/>
    <cellStyle name="20% - Accent6 2 2 2 4" xfId="1701" xr:uid="{C21B62E2-5B24-4F74-BDB8-8F3E74E70333}"/>
    <cellStyle name="20% - Accent6 2 2 2 4 2" xfId="3891" xr:uid="{31175748-09CE-42D4-A527-F20E7982DC4D}"/>
    <cellStyle name="20% - Accent6 2 2 2 4 2 2" xfId="17943" xr:uid="{63E524E3-98D4-4154-89FC-2BE7AACFEA7A}"/>
    <cellStyle name="20% - Accent6 2 2 2 4 3" xfId="15750" xr:uid="{1C721E15-3FE8-4A53-A9F4-9284C173DF2C}"/>
    <cellStyle name="20% - Accent6 2 2 2 5" xfId="2620" xr:uid="{D61037BD-6C81-45EF-8240-412FA1CC2BF1}"/>
    <cellStyle name="20% - Accent6 2 2 2 5 2" xfId="16671" xr:uid="{BD5DA1B2-3C02-41DF-9D6E-B21BBF11D753}"/>
    <cellStyle name="20% - Accent6 2 2 2 6" xfId="4986" xr:uid="{A278B664-F747-4ACC-85DA-E77393F304CB}"/>
    <cellStyle name="20% - Accent6 2 2 2 6 2" xfId="19038" xr:uid="{7331596B-11DC-43A8-924B-8D249189EAAF}"/>
    <cellStyle name="20% - Accent6 2 2 2 7" xfId="14476" xr:uid="{7FFC0887-7B52-483A-948E-A1685F5178EF}"/>
    <cellStyle name="20% - Accent6 2 2 3" xfId="594" xr:uid="{6B121E4C-C648-462B-AADE-E99573DA0EF8}"/>
    <cellStyle name="20% - Accent6 2 2 3 2" xfId="1527" xr:uid="{0D60F28A-C8E3-4588-A07F-1BDBA139DF28}"/>
    <cellStyle name="20% - Accent6 2 2 3 2 2" xfId="3717" xr:uid="{C1BE4BC6-9944-4857-ABE5-6325F7832EB5}"/>
    <cellStyle name="20% - Accent6 2 2 3 2 2 2" xfId="17770" xr:uid="{96C66C0C-B4A0-4936-B437-7E1BEFA053B6}"/>
    <cellStyle name="20% - Accent6 2 2 3 2 3" xfId="15576" xr:uid="{3D735C6E-3910-404A-8128-C652C8DD658E}"/>
    <cellStyle name="20% - Accent6 2 2 3 3" xfId="2793" xr:uid="{1A75CDB9-49C7-462E-8888-F40D2598F903}"/>
    <cellStyle name="20% - Accent6 2 2 3 3 2" xfId="16844" xr:uid="{90E93978-C23F-40F1-85BE-7A30C2DA8968}"/>
    <cellStyle name="20% - Accent6 2 2 3 4" xfId="4812" xr:uid="{4893591B-C9C4-44C3-BA04-CDDBD736F706}"/>
    <cellStyle name="20% - Accent6 2 2 3 4 2" xfId="18864" xr:uid="{3FC19CFD-997B-4747-A7CD-34B3B889242E}"/>
    <cellStyle name="20% - Accent6 2 2 3 5" xfId="14649" xr:uid="{A24F9F28-81CE-410F-837B-F79DC264AE36}"/>
    <cellStyle name="20% - Accent6 2 2 4" xfId="947" xr:uid="{22791403-E901-4D8F-82AA-E19F0C412725}"/>
    <cellStyle name="20% - Accent6 2 2 4 2" xfId="2046" xr:uid="{DEAAB680-257A-4028-BF87-638ACB3136E3}"/>
    <cellStyle name="20% - Accent6 2 2 4 2 2" xfId="4235" xr:uid="{49B01A31-4B09-450F-AC6F-A094735C5FA9}"/>
    <cellStyle name="20% - Accent6 2 2 4 2 2 2" xfId="18286" xr:uid="{B149323F-ECB3-431C-8582-481D6CF258F3}"/>
    <cellStyle name="20% - Accent6 2 2 4 2 3" xfId="16095" xr:uid="{F6C11DEE-2FA1-4F2D-97F8-62806FA23B46}"/>
    <cellStyle name="20% - Accent6 2 2 4 3" xfId="3139" xr:uid="{07AF2EC7-7178-4A81-B189-9F60FD47B811}"/>
    <cellStyle name="20% - Accent6 2 2 4 3 2" xfId="17191" xr:uid="{615B6177-C722-4764-8DE6-62D91EA44874}"/>
    <cellStyle name="20% - Accent6 2 2 4 4" xfId="14997" xr:uid="{96E846D3-1ADA-425D-BA7D-0E45E7737FA1}"/>
    <cellStyle name="20% - Accent6 2 2 5" xfId="1354" xr:uid="{05A2E007-BB38-43BB-B94D-EB61DF1D71A3}"/>
    <cellStyle name="20% - Accent6 2 2 5 2" xfId="3545" xr:uid="{590849AF-D808-442B-A599-1142312ECC75}"/>
    <cellStyle name="20% - Accent6 2 2 5 2 2" xfId="17597" xr:uid="{9D0B7C7D-A9E6-4438-B273-D0FE590FBC68}"/>
    <cellStyle name="20% - Accent6 2 2 5 3" xfId="15403" xr:uid="{757F3EDB-D647-4538-983D-8D6541570453}"/>
    <cellStyle name="20% - Accent6 2 2 6" xfId="2446" xr:uid="{8E4E48F5-BB0E-48DA-9E94-BABBCABB8360}"/>
    <cellStyle name="20% - Accent6 2 2 6 2" xfId="16497" xr:uid="{471E2315-4B79-4475-A636-77EBE943FABE}"/>
    <cellStyle name="20% - Accent6 2 2 7" xfId="4639" xr:uid="{30BAC418-D03E-4622-9653-878ACF56E7BF}"/>
    <cellStyle name="20% - Accent6 2 2 7 2" xfId="18691" xr:uid="{DB4EB586-38E2-49A3-8134-579D60B7952F}"/>
    <cellStyle name="20% - Accent6 2 2 8" xfId="14302" xr:uid="{E6C763ED-D6E7-413A-98CA-64851F660760}"/>
    <cellStyle name="20% - Accent6 2 3" xfId="186" xr:uid="{6124CAA0-E4D0-4E0A-97A1-D10623BE7F36}"/>
    <cellStyle name="20% - Accent6 2 3 2" xfId="363" xr:uid="{923A9CEC-73B3-4A31-BF25-A30E9DD46354}"/>
    <cellStyle name="20% - Accent6 2 3 2 2" xfId="717" xr:uid="{D96A2D9D-6367-4426-8C72-1E1910A96EF2}"/>
    <cellStyle name="20% - Accent6 2 3 2 2 2" xfId="1818" xr:uid="{5C24A19B-4987-4FBC-94E4-253C5410F02D}"/>
    <cellStyle name="20% - Accent6 2 3 2 2 2 2" xfId="4007" xr:uid="{6044D95A-B297-49BA-8D6B-8005E3AA537A}"/>
    <cellStyle name="20% - Accent6 2 3 2 2 2 2 2" xfId="18059" xr:uid="{BF7C041B-DA55-45D3-B375-A3EB18F7547A}"/>
    <cellStyle name="20% - Accent6 2 3 2 2 2 3" xfId="15867" xr:uid="{234A710F-72E2-4CDA-B2D0-94912BE50872}"/>
    <cellStyle name="20% - Accent6 2 3 2 2 3" xfId="2909" xr:uid="{8F927576-9360-46F1-AEEE-2E294A4AB224}"/>
    <cellStyle name="20% - Accent6 2 3 2 2 3 2" xfId="16961" xr:uid="{C4B7F86F-2201-4E8F-83C3-438DB1CBCF8C}"/>
    <cellStyle name="20% - Accent6 2 3 2 2 4" xfId="14768" xr:uid="{E10B5786-2CE2-4307-B8DD-8AA344D6C241}"/>
    <cellStyle name="20% - Accent6 2 3 2 3" xfId="1064" xr:uid="{039B207D-6E83-4459-AD92-ACB50CB8ECF5}"/>
    <cellStyle name="20% - Accent6 2 3 2 3 2" xfId="2163" xr:uid="{0F38AD76-4541-4FD7-8267-A5E44DF4A5B1}"/>
    <cellStyle name="20% - Accent6 2 3 2 3 2 2" xfId="4352" xr:uid="{AB5BB34D-C9B4-4B21-83BC-AD8E684409C9}"/>
    <cellStyle name="20% - Accent6 2 3 2 3 2 2 2" xfId="18402" xr:uid="{7A324D1C-C5AE-4DB1-A2CB-759D8BEFA912}"/>
    <cellStyle name="20% - Accent6 2 3 2 3 2 3" xfId="16212" xr:uid="{88A4975D-ADC3-4CB3-9BA8-AEE8198B657E}"/>
    <cellStyle name="20% - Accent6 2 3 2 3 3" xfId="3256" xr:uid="{E84B7C1D-4672-4B23-A5B2-ACE30D7725E2}"/>
    <cellStyle name="20% - Accent6 2 3 2 3 3 2" xfId="17308" xr:uid="{CD0949E8-6D08-4B65-9668-3AB7A751B703}"/>
    <cellStyle name="20% - Accent6 2 3 2 3 4" xfId="15114" xr:uid="{032E125F-9AB5-40CD-A14F-33797BB01352}"/>
    <cellStyle name="20% - Accent6 2 3 2 4" xfId="1644" xr:uid="{14FBA409-B1E0-45EA-9D2D-BECE83535A62}"/>
    <cellStyle name="20% - Accent6 2 3 2 4 2" xfId="3834" xr:uid="{965BD1B6-0FEB-480C-A916-45FC2029B14C}"/>
    <cellStyle name="20% - Accent6 2 3 2 4 2 2" xfId="17887" xr:uid="{9955BC61-49FD-4C20-81C5-C3A68FB1F1AB}"/>
    <cellStyle name="20% - Accent6 2 3 2 4 3" xfId="15693" xr:uid="{2086472F-781A-428F-8083-7A4BBB95F713}"/>
    <cellStyle name="20% - Accent6 2 3 2 5" xfId="2563" xr:uid="{DA301CF3-C451-4EE5-90BB-E588AC56B0A5}"/>
    <cellStyle name="20% - Accent6 2 3 2 5 2" xfId="16614" xr:uid="{9F399FB7-41C0-4AA5-B681-BC96025A4D13}"/>
    <cellStyle name="20% - Accent6 2 3 2 6" xfId="4929" xr:uid="{F74EBFE5-0A55-4562-B440-2622653B454B}"/>
    <cellStyle name="20% - Accent6 2 3 2 6 2" xfId="18981" xr:uid="{A334FCA5-98B3-405B-9AF5-07FE90A92B33}"/>
    <cellStyle name="20% - Accent6 2 3 2 7" xfId="14420" xr:uid="{AFE18FC2-1BC7-452F-9FBF-5A0DE8B97D73}"/>
    <cellStyle name="20% - Accent6 2 3 3" xfId="537" xr:uid="{95DC7090-D795-466C-844A-40E10C9EF0B9}"/>
    <cellStyle name="20% - Accent6 2 3 3 2" xfId="1470" xr:uid="{9F10B120-5B95-422F-9998-F8D84528F0E0}"/>
    <cellStyle name="20% - Accent6 2 3 3 2 2" xfId="3660" xr:uid="{97A29E7B-6648-4980-9EEB-6DAE0291932D}"/>
    <cellStyle name="20% - Accent6 2 3 3 2 2 2" xfId="17713" xr:uid="{AB8D46FB-84F6-419B-AB5E-7616F3262971}"/>
    <cellStyle name="20% - Accent6 2 3 3 2 3" xfId="15519" xr:uid="{386E0DD1-45A9-4B40-B238-77DF56DA2242}"/>
    <cellStyle name="20% - Accent6 2 3 3 3" xfId="2736" xr:uid="{579FCD41-CA99-4A2C-96E0-8614A1F84E0C}"/>
    <cellStyle name="20% - Accent6 2 3 3 3 2" xfId="16787" xr:uid="{AC32CD15-B99D-4C0A-A149-D3597673BEE0}"/>
    <cellStyle name="20% - Accent6 2 3 3 4" xfId="4755" xr:uid="{16E09B6B-719F-4B2A-BD9F-12C8C87B424A}"/>
    <cellStyle name="20% - Accent6 2 3 3 4 2" xfId="18807" xr:uid="{FBC188EE-8F07-41D4-9EB1-FADD552223D4}"/>
    <cellStyle name="20% - Accent6 2 3 3 5" xfId="14592" xr:uid="{4EFF4B82-8CE2-4EF2-B1F9-ABBE84877297}"/>
    <cellStyle name="20% - Accent6 2 3 4" xfId="890" xr:uid="{213AC9BB-8DEC-4477-A176-1F30525D5BE6}"/>
    <cellStyle name="20% - Accent6 2 3 4 2" xfId="1989" xr:uid="{644FA010-CF3C-4948-9817-DCE16A89C18D}"/>
    <cellStyle name="20% - Accent6 2 3 4 2 2" xfId="4178" xr:uid="{D43278D7-05B5-4138-9286-C2CC17E482CC}"/>
    <cellStyle name="20% - Accent6 2 3 4 2 2 2" xfId="18229" xr:uid="{4F504B49-872A-4EEA-BDB6-3A11319681E1}"/>
    <cellStyle name="20% - Accent6 2 3 4 2 3" xfId="16038" xr:uid="{33586202-5BBA-4E61-AC1C-B50F4C49EBF8}"/>
    <cellStyle name="20% - Accent6 2 3 4 3" xfId="3082" xr:uid="{DBFEDAC4-C0B9-446D-9F81-EB240EA80B88}"/>
    <cellStyle name="20% - Accent6 2 3 4 3 2" xfId="17134" xr:uid="{DE5025E6-B4D1-48E6-B03B-3AB85F51A1C6}"/>
    <cellStyle name="20% - Accent6 2 3 4 4" xfId="14940" xr:uid="{541C3D31-BC61-49BD-9D34-C940518C611E}"/>
    <cellStyle name="20% - Accent6 2 3 5" xfId="1297" xr:uid="{11045551-4B73-41DB-93A0-D48617CA0592}"/>
    <cellStyle name="20% - Accent6 2 3 5 2" xfId="3488" xr:uid="{0A0C3F52-C7A3-434A-B975-C001624D70C3}"/>
    <cellStyle name="20% - Accent6 2 3 5 2 2" xfId="17540" xr:uid="{05A4AD38-3CB1-4F5F-B268-0155FA20CD85}"/>
    <cellStyle name="20% - Accent6 2 3 5 3" xfId="15346" xr:uid="{6CC2008A-6CA5-48C9-83DA-2B40D86BF322}"/>
    <cellStyle name="20% - Accent6 2 3 6" xfId="2389" xr:uid="{757EFF1B-F4B8-486D-B524-CC5EC9B35569}"/>
    <cellStyle name="20% - Accent6 2 3 6 2" xfId="16440" xr:uid="{E62FF6D6-F7B6-4187-AB7B-D991B939A08A}"/>
    <cellStyle name="20% - Accent6 2 3 7" xfId="4582" xr:uid="{87B89479-2488-4C59-936B-6B57EB796BBD}"/>
    <cellStyle name="20% - Accent6 2 3 7 2" xfId="18634" xr:uid="{CECB30DC-1CE6-40B7-8B20-4F2AB2BD9F3B}"/>
    <cellStyle name="20% - Accent6 2 3 8" xfId="14245" xr:uid="{032646FD-03D6-4EEB-97B7-2C622D3730AA}"/>
    <cellStyle name="20% - Accent6 2 4" xfId="306" xr:uid="{F88139FA-DCBD-4122-8DC3-A5A50E12FE26}"/>
    <cellStyle name="20% - Accent6 2 4 2" xfId="660" xr:uid="{6658B007-C09E-4799-9737-7C43C917936E}"/>
    <cellStyle name="20% - Accent6 2 4 2 2" xfId="1762" xr:uid="{54D258CB-5A20-4E27-B101-E7926B379584}"/>
    <cellStyle name="20% - Accent6 2 4 2 2 2" xfId="3950" xr:uid="{454AFB26-924F-415F-8EC2-A7CA117D10F7}"/>
    <cellStyle name="20% - Accent6 2 4 2 2 2 2" xfId="18002" xr:uid="{33B5B552-8EA3-4AF4-B9F5-1F392A4E7B15}"/>
    <cellStyle name="20% - Accent6 2 4 2 2 3" xfId="15810" xr:uid="{AFE696A6-1645-4471-9E1F-BEAB55407E1B}"/>
    <cellStyle name="20% - Accent6 2 4 2 3" xfId="2853" xr:uid="{B9E377E7-87A2-4C65-AD69-2943C5CA3E0E}"/>
    <cellStyle name="20% - Accent6 2 4 2 3 2" xfId="16904" xr:uid="{DA094F54-6155-417A-8F58-985E2429D80C}"/>
    <cellStyle name="20% - Accent6 2 4 2 4" xfId="14711" xr:uid="{65BCF1B7-F6B0-4E27-9C55-8DFE895048E6}"/>
    <cellStyle name="20% - Accent6 2 4 3" xfId="1007" xr:uid="{60DD8183-B7FC-42BE-8D7A-5C41E4148E75}"/>
    <cellStyle name="20% - Accent6 2 4 3 2" xfId="2106" xr:uid="{76BE2CEF-6D22-49E0-8D1D-2B9A93A503C8}"/>
    <cellStyle name="20% - Accent6 2 4 3 2 2" xfId="4295" xr:uid="{3014602F-E6FE-46C5-B8B7-EAF30053A66D}"/>
    <cellStyle name="20% - Accent6 2 4 3 2 2 2" xfId="18345" xr:uid="{A229A2A1-4222-49B9-BC32-76C3FA276D92}"/>
    <cellStyle name="20% - Accent6 2 4 3 2 3" xfId="16155" xr:uid="{DB2B611D-B79C-4BDF-86F2-35A40BA57F14}"/>
    <cellStyle name="20% - Accent6 2 4 3 3" xfId="3199" xr:uid="{E24F7617-F46B-4F56-97D5-0D9375FD376A}"/>
    <cellStyle name="20% - Accent6 2 4 3 3 2" xfId="17251" xr:uid="{6744BD91-67A4-436E-9E73-294C15613058}"/>
    <cellStyle name="20% - Accent6 2 4 3 4" xfId="15057" xr:uid="{3EE79E9D-D3F4-4C1C-BC6D-D13EF3624031}"/>
    <cellStyle name="20% - Accent6 2 4 4" xfId="1587" xr:uid="{3CE855C9-FC77-4A60-9AE6-E06B947A1114}"/>
    <cellStyle name="20% - Accent6 2 4 4 2" xfId="3777" xr:uid="{21F54395-7565-4401-A933-25A4E1EE46A0}"/>
    <cellStyle name="20% - Accent6 2 4 4 2 2" xfId="17830" xr:uid="{22B28613-3661-4414-A643-04461900BF01}"/>
    <cellStyle name="20% - Accent6 2 4 4 3" xfId="15636" xr:uid="{C6814A44-2713-4BEE-818C-4739BCAC638B}"/>
    <cellStyle name="20% - Accent6 2 4 5" xfId="2506" xr:uid="{AE3CF212-B35C-40E6-B955-6530AD053775}"/>
    <cellStyle name="20% - Accent6 2 4 5 2" xfId="16557" xr:uid="{BD564ABD-228B-4FF4-B01C-D1DBD36BD6F1}"/>
    <cellStyle name="20% - Accent6 2 4 6" xfId="4872" xr:uid="{63E6DFB4-BC6D-4315-8971-CD63E718B2A5}"/>
    <cellStyle name="20% - Accent6 2 4 6 2" xfId="18924" xr:uid="{B86DDC85-0D50-4C15-B9EF-F68FDE719F8B}"/>
    <cellStyle name="20% - Accent6 2 4 7" xfId="14363" xr:uid="{9F30FFEE-B6F5-4525-B031-DA1785AED38E}"/>
    <cellStyle name="20% - Accent6 2 5" xfId="480" xr:uid="{EDC4C283-B90D-414E-8FCA-865FD8BCC6C6}"/>
    <cellStyle name="20% - Accent6 2 5 2" xfId="1413" xr:uid="{E66353AA-D324-4B60-84D5-7C2857C06CF4}"/>
    <cellStyle name="20% - Accent6 2 5 2 2" xfId="3603" xr:uid="{5F89F2CD-5294-4BBF-A86B-360E8CDA9D68}"/>
    <cellStyle name="20% - Accent6 2 5 2 2 2" xfId="17656" xr:uid="{6ED0EF7E-33A8-41CB-A44B-5A21F3FA9F22}"/>
    <cellStyle name="20% - Accent6 2 5 2 3" xfId="15462" xr:uid="{E5FF9D0D-7BD5-4C0F-98EA-DD704775A2C3}"/>
    <cellStyle name="20% - Accent6 2 5 3" xfId="2679" xr:uid="{ADF08849-87DA-449A-88A8-E10FC41BD601}"/>
    <cellStyle name="20% - Accent6 2 5 3 2" xfId="16730" xr:uid="{46AB50E7-B57F-4361-ACCC-035D91FCC976}"/>
    <cellStyle name="20% - Accent6 2 5 4" xfId="4698" xr:uid="{8DD36EF7-6E28-4F09-BE0A-D6205C5339E2}"/>
    <cellStyle name="20% - Accent6 2 5 4 2" xfId="18750" xr:uid="{5E3088F9-E3DE-46FB-AAD2-BB44741D4977}"/>
    <cellStyle name="20% - Accent6 2 5 5" xfId="14535" xr:uid="{F826C162-A68D-4576-B4D0-E937ABCD0DC3}"/>
    <cellStyle name="20% - Accent6 2 6" xfId="833" xr:uid="{1B56F629-C65C-4A5A-B211-78E88585528C}"/>
    <cellStyle name="20% - Accent6 2 6 2" xfId="1932" xr:uid="{35B44915-38D8-4C4B-92EA-9486FEDABE38}"/>
    <cellStyle name="20% - Accent6 2 6 2 2" xfId="4121" xr:uid="{86551D78-FDC5-44C6-B32E-8794F935A397}"/>
    <cellStyle name="20% - Accent6 2 6 2 2 2" xfId="18173" xr:uid="{009BD30F-6F1B-4EB0-AE4E-7077C86F149C}"/>
    <cellStyle name="20% - Accent6 2 6 2 3" xfId="15981" xr:uid="{CE6F95F0-C74C-403A-8522-DD67BEF96117}"/>
    <cellStyle name="20% - Accent6 2 6 3" xfId="3025" xr:uid="{88CBEDDB-2012-4B19-ADDA-5E5FA4F57442}"/>
    <cellStyle name="20% - Accent6 2 6 3 2" xfId="17077" xr:uid="{D347614C-A657-45F2-B139-AB2EE67B6FDF}"/>
    <cellStyle name="20% - Accent6 2 6 4" xfId="14883" xr:uid="{45414C22-34ED-459C-850F-F9B70CC71F2A}"/>
    <cellStyle name="20% - Accent6 2 7" xfId="1177" xr:uid="{B870BD04-488D-4BCA-9C2F-F6B2A68CF75C}"/>
    <cellStyle name="20% - Accent6 2 7 2" xfId="2276" xr:uid="{22491073-39C6-4456-9231-9E383CED34EC}"/>
    <cellStyle name="20% - Accent6 2 7 2 2" xfId="4465" xr:uid="{9D4A5417-A8E6-451B-B404-814B583DDB96}"/>
    <cellStyle name="20% - Accent6 2 7 2 2 2" xfId="18516" xr:uid="{30DA117A-632A-4A0A-A2E6-1D0D52BD66B7}"/>
    <cellStyle name="20% - Accent6 2 7 2 3" xfId="16326" xr:uid="{4705CEB5-FBF7-4D2D-9BB8-68D37A73E01E}"/>
    <cellStyle name="20% - Accent6 2 7 3" xfId="3370" xr:uid="{A14D6F0D-16FB-4A9A-920B-572F62E55E95}"/>
    <cellStyle name="20% - Accent6 2 7 3 2" xfId="17422" xr:uid="{C054AB4F-7B7D-4CEA-B922-3ADAC401AF79}"/>
    <cellStyle name="20% - Accent6 2 7 4" xfId="15228" xr:uid="{E842D11C-A619-4B3C-9FEA-B10EC98780D3}"/>
    <cellStyle name="20% - Accent6 2 8" xfId="1241" xr:uid="{CFA3B30A-77AD-4544-B1F3-0479E0502CEF}"/>
    <cellStyle name="20% - Accent6 2 8 2" xfId="3431" xr:uid="{DA00367C-B299-4050-AC17-34242A8F3ACD}"/>
    <cellStyle name="20% - Accent6 2 8 2 2" xfId="17483" xr:uid="{539CE94B-A063-4BCA-AE78-CB1EE06CE21E}"/>
    <cellStyle name="20% - Accent6 2 8 3" xfId="15289" xr:uid="{5273B160-B1D0-43FD-A4DF-F5644BBFCB75}"/>
    <cellStyle name="20% - Accent6 2 9" xfId="2332" xr:uid="{F065FC51-0FA5-49E5-A003-F937F22BDCCB}"/>
    <cellStyle name="20% - Accent6 2 9 2" xfId="16383" xr:uid="{A2530786-7E3F-4EDF-BE34-1CE9669121D5}"/>
    <cellStyle name="20% - Accent6 3" xfId="104" xr:uid="{4B9FEE79-D79F-4115-8017-1E193057B076}"/>
    <cellStyle name="20% - Accent6 3 10" xfId="4502" xr:uid="{A3FC8FBF-4F95-4F79-891B-46669B0471C4}"/>
    <cellStyle name="20% - Accent6 3 10 2" xfId="18553" xr:uid="{6520369E-8FD3-4F5D-BC55-4021D2B6A52E}"/>
    <cellStyle name="20% - Accent6 3 11" xfId="14164" xr:uid="{043183E9-B6D6-4A66-9DCA-E96FD7802161}"/>
    <cellStyle name="20% - Accent6 3 2" xfId="219" xr:uid="{FE6D52A0-B7CF-4E4E-AE08-BCBD8BC51908}"/>
    <cellStyle name="20% - Accent6 3 2 2" xfId="396" xr:uid="{E079B387-BA9D-4905-9A71-ABD783A050F5}"/>
    <cellStyle name="20% - Accent6 3 2 2 2" xfId="750" xr:uid="{E9F7FFB0-5834-4978-BD87-7CD7D1284021}"/>
    <cellStyle name="20% - Accent6 3 2 2 2 2" xfId="1851" xr:uid="{579F9AE7-A7BD-49EA-BEFD-2B9384F7571C}"/>
    <cellStyle name="20% - Accent6 3 2 2 2 2 2" xfId="4040" xr:uid="{36CECD56-1986-482F-AFF7-FAB455C12142}"/>
    <cellStyle name="20% - Accent6 3 2 2 2 2 2 2" xfId="18092" xr:uid="{402331E0-DA9D-4D29-9DCC-03D808023782}"/>
    <cellStyle name="20% - Accent6 3 2 2 2 2 3" xfId="15900" xr:uid="{029C0490-1C82-4787-8E44-7E68FBC60C65}"/>
    <cellStyle name="20% - Accent6 3 2 2 2 3" xfId="2942" xr:uid="{D5F21951-8C14-4D37-AA3A-7AF827EB7641}"/>
    <cellStyle name="20% - Accent6 3 2 2 2 3 2" xfId="16994" xr:uid="{E7DC640C-80D3-43E1-BEDA-E70F9E8B0296}"/>
    <cellStyle name="20% - Accent6 3 2 2 2 4" xfId="14801" xr:uid="{4F13B522-9F3E-45BF-9ED2-A768031C17DF}"/>
    <cellStyle name="20% - Accent6 3 2 2 3" xfId="1097" xr:uid="{8B035E20-EF6A-4B54-8F57-ADD1AA43A4C9}"/>
    <cellStyle name="20% - Accent6 3 2 2 3 2" xfId="2196" xr:uid="{E346EA71-BF7E-4FEA-9E70-E80AC66C771E}"/>
    <cellStyle name="20% - Accent6 3 2 2 3 2 2" xfId="4385" xr:uid="{BCB62ED1-0828-4554-8244-12E85580163A}"/>
    <cellStyle name="20% - Accent6 3 2 2 3 2 2 2" xfId="18435" xr:uid="{BB5A8055-5762-47DB-A220-AE35DC00E18A}"/>
    <cellStyle name="20% - Accent6 3 2 2 3 2 3" xfId="16245" xr:uid="{18B3B6C6-3EF1-4EDC-821D-290EF72CFFA7}"/>
    <cellStyle name="20% - Accent6 3 2 2 3 3" xfId="3289" xr:uid="{3A8CDA1B-5ADE-4EF6-9406-9A12F9909E82}"/>
    <cellStyle name="20% - Accent6 3 2 2 3 3 2" xfId="17341" xr:uid="{AE9CEB3D-3BE9-4473-A41B-14FA66C2637C}"/>
    <cellStyle name="20% - Accent6 3 2 2 3 4" xfId="15147" xr:uid="{5A992D8B-04B6-42CD-953B-A66DA3EDD200}"/>
    <cellStyle name="20% - Accent6 3 2 2 4" xfId="1677" xr:uid="{D94227FB-0F68-4194-894F-7640209D897C}"/>
    <cellStyle name="20% - Accent6 3 2 2 4 2" xfId="3867" xr:uid="{81881374-9450-4469-A920-1CC9038E17E1}"/>
    <cellStyle name="20% - Accent6 3 2 2 4 2 2" xfId="17920" xr:uid="{F23C7282-5828-4E2C-ABE8-C6932ECF3247}"/>
    <cellStyle name="20% - Accent6 3 2 2 4 3" xfId="15726" xr:uid="{C8E52BE4-DD6F-4D0C-8A74-391301623FB1}"/>
    <cellStyle name="20% - Accent6 3 2 2 5" xfId="2596" xr:uid="{A11C4F68-B023-4985-B054-7A17C05F54C9}"/>
    <cellStyle name="20% - Accent6 3 2 2 5 2" xfId="16647" xr:uid="{8CA25A47-C15D-4DC8-B2F9-CA2BF38CDF3E}"/>
    <cellStyle name="20% - Accent6 3 2 2 6" xfId="4962" xr:uid="{74519A7D-FAC3-4D64-B848-9C1B5CAF783A}"/>
    <cellStyle name="20% - Accent6 3 2 2 6 2" xfId="19014" xr:uid="{BE123827-0C36-4446-8E22-E99149681EDF}"/>
    <cellStyle name="20% - Accent6 3 2 2 7" xfId="14453" xr:uid="{09306E5E-677F-4E5D-BA12-3EA1D05226F3}"/>
    <cellStyle name="20% - Accent6 3 2 3" xfId="570" xr:uid="{B73D3774-F379-4DFA-A7D5-BE80983FBB82}"/>
    <cellStyle name="20% - Accent6 3 2 3 2" xfId="1503" xr:uid="{6358FEF2-8655-45F5-8C53-72B0867524B9}"/>
    <cellStyle name="20% - Accent6 3 2 3 2 2" xfId="3693" xr:uid="{7AB32769-4EF1-45CB-B2AB-8497311B3C67}"/>
    <cellStyle name="20% - Accent6 3 2 3 2 2 2" xfId="17746" xr:uid="{AA8E617E-BF01-4238-86C2-901A9AEBE89B}"/>
    <cellStyle name="20% - Accent6 3 2 3 2 3" xfId="15552" xr:uid="{296B6741-9EDE-4ABD-86F2-BD629594415A}"/>
    <cellStyle name="20% - Accent6 3 2 3 3" xfId="2769" xr:uid="{2F5B6EC7-EBCD-4D9B-8CA3-E9017CDE55C7}"/>
    <cellStyle name="20% - Accent6 3 2 3 3 2" xfId="16820" xr:uid="{C6FCE936-B54F-4959-9569-1BFFD2BAF731}"/>
    <cellStyle name="20% - Accent6 3 2 3 4" xfId="4788" xr:uid="{C94609C7-19A1-45F7-953E-27990DB000FD}"/>
    <cellStyle name="20% - Accent6 3 2 3 4 2" xfId="18840" xr:uid="{D159AD2C-2F1D-4B80-9CD8-7B80B0383CCA}"/>
    <cellStyle name="20% - Accent6 3 2 3 5" xfId="14625" xr:uid="{EBC3C654-7809-4C5E-B168-967F3ADD9162}"/>
    <cellStyle name="20% - Accent6 3 2 4" xfId="923" xr:uid="{321F23E1-B633-455C-A5D5-C626E68536A5}"/>
    <cellStyle name="20% - Accent6 3 2 4 2" xfId="2022" xr:uid="{D3A62FA1-95BF-4EC3-9FB1-15D16F610C69}"/>
    <cellStyle name="20% - Accent6 3 2 4 2 2" xfId="4211" xr:uid="{FA596ABB-91C8-42BE-A1D3-F15B9012907A}"/>
    <cellStyle name="20% - Accent6 3 2 4 2 2 2" xfId="18262" xr:uid="{BA363E97-01B1-4102-BAA9-CEDE7918A89A}"/>
    <cellStyle name="20% - Accent6 3 2 4 2 3" xfId="16071" xr:uid="{4850E323-6FFC-42B1-85A5-62C8DBC5494E}"/>
    <cellStyle name="20% - Accent6 3 2 4 3" xfId="3115" xr:uid="{A707416C-8D98-4EE5-8D17-0E479299CC98}"/>
    <cellStyle name="20% - Accent6 3 2 4 3 2" xfId="17167" xr:uid="{739F9D9F-4F2C-4561-8686-7A041C9C67B3}"/>
    <cellStyle name="20% - Accent6 3 2 4 4" xfId="14973" xr:uid="{319ABB9C-B206-4A7F-AEF0-905E6A7B2FA5}"/>
    <cellStyle name="20% - Accent6 3 2 5" xfId="1330" xr:uid="{0B6E7A42-8649-4287-A1B5-B39789A609DB}"/>
    <cellStyle name="20% - Accent6 3 2 5 2" xfId="3521" xr:uid="{6C771514-E428-4DC4-9AA2-0A025A50EFEF}"/>
    <cellStyle name="20% - Accent6 3 2 5 2 2" xfId="17573" xr:uid="{E2FFC5A4-3959-4DA0-8D46-A0B5F5928897}"/>
    <cellStyle name="20% - Accent6 3 2 5 3" xfId="15379" xr:uid="{14F4C731-555A-48A5-B5F6-A1E96E3F0A3C}"/>
    <cellStyle name="20% - Accent6 3 2 6" xfId="2422" xr:uid="{F0058F8E-9158-42AA-AB19-DDCDE8399C0E}"/>
    <cellStyle name="20% - Accent6 3 2 6 2" xfId="16473" xr:uid="{0D766C00-4C0F-4870-9819-21DD82C6F600}"/>
    <cellStyle name="20% - Accent6 3 2 7" xfId="4615" xr:uid="{C320C717-B5ED-458E-8DE6-07B8275D75B7}"/>
    <cellStyle name="20% - Accent6 3 2 7 2" xfId="18667" xr:uid="{DD66945B-4E1D-4DE1-89F7-96CE98D9018D}"/>
    <cellStyle name="20% - Accent6 3 2 8" xfId="14278" xr:uid="{0ADE4BFB-60A8-4FED-9158-1B905B550C5A}"/>
    <cellStyle name="20% - Accent6 3 3" xfId="162" xr:uid="{879AEADB-D215-452E-8438-296DF1A4D9B1}"/>
    <cellStyle name="20% - Accent6 3 3 2" xfId="339" xr:uid="{1C358CA8-2738-451F-83F5-A0D62D3A4050}"/>
    <cellStyle name="20% - Accent6 3 3 2 2" xfId="693" xr:uid="{D9FCD0C9-720E-4C43-8598-0CC919619953}"/>
    <cellStyle name="20% - Accent6 3 3 2 2 2" xfId="1794" xr:uid="{A74A04CC-E69A-44FA-AC61-4BE394ECE31D}"/>
    <cellStyle name="20% - Accent6 3 3 2 2 2 2" xfId="3983" xr:uid="{C95270C9-FD38-4645-AC48-8BE92643011C}"/>
    <cellStyle name="20% - Accent6 3 3 2 2 2 2 2" xfId="18035" xr:uid="{E7EA9E53-C55D-480C-96D1-3A0AE835F320}"/>
    <cellStyle name="20% - Accent6 3 3 2 2 2 3" xfId="15843" xr:uid="{83478807-17D3-4F35-9A41-AD6D3DB4D498}"/>
    <cellStyle name="20% - Accent6 3 3 2 2 3" xfId="2885" xr:uid="{0129FE9E-C6C8-4401-823E-59C2053E6286}"/>
    <cellStyle name="20% - Accent6 3 3 2 2 3 2" xfId="16937" xr:uid="{80049D0F-A8BB-4C19-AAA3-50A16D753356}"/>
    <cellStyle name="20% - Accent6 3 3 2 2 4" xfId="14744" xr:uid="{35F85BDB-FD2A-4B64-9AB8-F6AB0FC05647}"/>
    <cellStyle name="20% - Accent6 3 3 2 3" xfId="1040" xr:uid="{63DD52D3-1D8D-4361-BDF0-49F8F5E9796D}"/>
    <cellStyle name="20% - Accent6 3 3 2 3 2" xfId="2139" xr:uid="{003C7F7C-CD9F-4FC4-9C39-6ED1CEBAB4E1}"/>
    <cellStyle name="20% - Accent6 3 3 2 3 2 2" xfId="4328" xr:uid="{BC86C5F4-9640-4982-AB26-2C9BC059BACA}"/>
    <cellStyle name="20% - Accent6 3 3 2 3 2 2 2" xfId="18378" xr:uid="{446A0EB7-03A9-44C5-B82A-060E2891648F}"/>
    <cellStyle name="20% - Accent6 3 3 2 3 2 3" xfId="16188" xr:uid="{2903321B-7F7A-406C-9763-C2D4A3DA6A8B}"/>
    <cellStyle name="20% - Accent6 3 3 2 3 3" xfId="3232" xr:uid="{A259F78D-F1B7-4B56-B744-210F9FA29B96}"/>
    <cellStyle name="20% - Accent6 3 3 2 3 3 2" xfId="17284" xr:uid="{7F2046D3-AA56-4750-86B1-C3146E776F29}"/>
    <cellStyle name="20% - Accent6 3 3 2 3 4" xfId="15090" xr:uid="{30262624-4737-4388-ABBD-50BE80D072A3}"/>
    <cellStyle name="20% - Accent6 3 3 2 4" xfId="1620" xr:uid="{4CFA13D1-CD63-44CD-AB59-A64B1B604DF2}"/>
    <cellStyle name="20% - Accent6 3 3 2 4 2" xfId="3810" xr:uid="{44D68DE0-9AF9-498C-856D-7E9D390B0492}"/>
    <cellStyle name="20% - Accent6 3 3 2 4 2 2" xfId="17863" xr:uid="{3731180F-004B-490C-A653-6ABD92958DD5}"/>
    <cellStyle name="20% - Accent6 3 3 2 4 3" xfId="15669" xr:uid="{079329F1-DCAB-4659-A876-8A5C7870820E}"/>
    <cellStyle name="20% - Accent6 3 3 2 5" xfId="2539" xr:uid="{1D602FE3-CBD2-46A4-BDC3-3EDF11A9B1B2}"/>
    <cellStyle name="20% - Accent6 3 3 2 5 2" xfId="16590" xr:uid="{5320BADD-AD05-4334-A677-F73D2383C219}"/>
    <cellStyle name="20% - Accent6 3 3 2 6" xfId="4905" xr:uid="{6204E864-54BC-4E37-9366-69EF3D520506}"/>
    <cellStyle name="20% - Accent6 3 3 2 6 2" xfId="18957" xr:uid="{8733A15E-AA12-4EA0-A348-C533BF676F8C}"/>
    <cellStyle name="20% - Accent6 3 3 2 7" xfId="14396" xr:uid="{5E34BD0B-9A50-4F3E-9AC3-1EC3987C8D68}"/>
    <cellStyle name="20% - Accent6 3 3 3" xfId="513" xr:uid="{B485C50A-9D6A-4330-810C-A15214F0D035}"/>
    <cellStyle name="20% - Accent6 3 3 3 2" xfId="1446" xr:uid="{4797E68C-7F52-4EB0-87EA-4220F723E40D}"/>
    <cellStyle name="20% - Accent6 3 3 3 2 2" xfId="3636" xr:uid="{6DAF9100-01A2-4E20-A08C-74C152137593}"/>
    <cellStyle name="20% - Accent6 3 3 3 2 2 2" xfId="17689" xr:uid="{99555C54-91F0-4019-86EB-79A92E617783}"/>
    <cellStyle name="20% - Accent6 3 3 3 2 3" xfId="15495" xr:uid="{F8FBC683-ABCE-415A-8D59-F91C966A81EF}"/>
    <cellStyle name="20% - Accent6 3 3 3 3" xfId="2712" xr:uid="{2CA666EC-A2B2-48A9-AAE0-85502C272796}"/>
    <cellStyle name="20% - Accent6 3 3 3 3 2" xfId="16763" xr:uid="{B9CE8586-5C84-43DD-A9E9-2DE9ED7FA495}"/>
    <cellStyle name="20% - Accent6 3 3 3 4" xfId="4731" xr:uid="{D0CE719B-4D7C-40CE-A2ED-F826A4F01EF7}"/>
    <cellStyle name="20% - Accent6 3 3 3 4 2" xfId="18783" xr:uid="{D01B059B-A7C8-4EBE-8FA9-DBEA3871A322}"/>
    <cellStyle name="20% - Accent6 3 3 3 5" xfId="14568" xr:uid="{324B0263-B346-4B53-91AD-5CBD0B50CA10}"/>
    <cellStyle name="20% - Accent6 3 3 4" xfId="866" xr:uid="{49D86EF5-9269-4586-853F-2C4112B522C2}"/>
    <cellStyle name="20% - Accent6 3 3 4 2" xfId="1965" xr:uid="{C8F2C4CB-E731-47D5-89EE-0EB07234CB0F}"/>
    <cellStyle name="20% - Accent6 3 3 4 2 2" xfId="4154" xr:uid="{0F8F268A-6E95-437A-B280-B686C47079C2}"/>
    <cellStyle name="20% - Accent6 3 3 4 2 2 2" xfId="18205" xr:uid="{DC6A4EF9-0D73-4A9E-80F3-758ABA43C9AC}"/>
    <cellStyle name="20% - Accent6 3 3 4 2 3" xfId="16014" xr:uid="{13319A43-86AB-4835-A691-A75A58B7FCC0}"/>
    <cellStyle name="20% - Accent6 3 3 4 3" xfId="3058" xr:uid="{062EC2F9-EA61-4165-9F0E-EC96431406D0}"/>
    <cellStyle name="20% - Accent6 3 3 4 3 2" xfId="17110" xr:uid="{568FA1E7-400E-49DA-B262-78BAA4DC753B}"/>
    <cellStyle name="20% - Accent6 3 3 4 4" xfId="14916" xr:uid="{9EE78833-E245-4E4D-BC07-E720950B7614}"/>
    <cellStyle name="20% - Accent6 3 3 5" xfId="1274" xr:uid="{C1509D09-DA27-4B3F-BAB8-0E21A9A968ED}"/>
    <cellStyle name="20% - Accent6 3 3 5 2" xfId="3464" xr:uid="{F02C8614-8295-4CBF-BEA7-D17256EDBE84}"/>
    <cellStyle name="20% - Accent6 3 3 5 2 2" xfId="17516" xr:uid="{D14522F3-5761-4B2B-BE1D-19FCF395DBE7}"/>
    <cellStyle name="20% - Accent6 3 3 5 3" xfId="15322" xr:uid="{93509429-2F50-4394-9438-9A1D100E9688}"/>
    <cellStyle name="20% - Accent6 3 3 6" xfId="2365" xr:uid="{BD4B210A-E788-4219-8D50-8FE3862CE6C3}"/>
    <cellStyle name="20% - Accent6 3 3 6 2" xfId="16416" xr:uid="{8884D9A3-C00C-4EE7-B469-BE1494E45402}"/>
    <cellStyle name="20% - Accent6 3 3 7" xfId="4558" xr:uid="{83B9E5EA-F0BE-4A24-A5E0-C14D1F76694C}"/>
    <cellStyle name="20% - Accent6 3 3 7 2" xfId="18610" xr:uid="{0048054A-77EC-4539-9AE5-2A0E82F09244}"/>
    <cellStyle name="20% - Accent6 3 3 8" xfId="14221" xr:uid="{E576918B-3C3E-410D-94EF-ED1AA147F7E2}"/>
    <cellStyle name="20% - Accent6 3 4" xfId="282" xr:uid="{D02495CC-9606-49A2-A7C9-2F489BCCB9E4}"/>
    <cellStyle name="20% - Accent6 3 4 2" xfId="636" xr:uid="{7D27833A-C34B-49DD-9E61-906967E1DCDB}"/>
    <cellStyle name="20% - Accent6 3 4 2 2" xfId="1738" xr:uid="{76927772-800A-4CF1-ACC3-FCAECE28A7D1}"/>
    <cellStyle name="20% - Accent6 3 4 2 2 2" xfId="3926" xr:uid="{55D031DC-FD1E-49E8-A330-AD81659F98F0}"/>
    <cellStyle name="20% - Accent6 3 4 2 2 2 2" xfId="17978" xr:uid="{1ADE85D8-D6E9-40B2-A435-17838BBB376A}"/>
    <cellStyle name="20% - Accent6 3 4 2 2 3" xfId="15786" xr:uid="{05E2564A-4F85-499D-9B40-D949A3C2C771}"/>
    <cellStyle name="20% - Accent6 3 4 2 3" xfId="2829" xr:uid="{B086D6AB-9869-4628-BC1B-E113F201A3CB}"/>
    <cellStyle name="20% - Accent6 3 4 2 3 2" xfId="16880" xr:uid="{10952891-E4F8-46BB-AA89-9139242793AD}"/>
    <cellStyle name="20% - Accent6 3 4 2 4" xfId="14687" xr:uid="{466032B6-FE62-4A54-B56F-C5EF5A4A4597}"/>
    <cellStyle name="20% - Accent6 3 4 3" xfId="983" xr:uid="{D725208F-0462-4B8E-90C9-41F7D331149B}"/>
    <cellStyle name="20% - Accent6 3 4 3 2" xfId="2082" xr:uid="{4935A7B4-E6E9-4EAF-8466-CA9E288ABB89}"/>
    <cellStyle name="20% - Accent6 3 4 3 2 2" xfId="4271" xr:uid="{65D9BA6D-80D6-4975-89BF-DF9838E4D7E4}"/>
    <cellStyle name="20% - Accent6 3 4 3 2 2 2" xfId="18322" xr:uid="{5351649F-6400-4425-9C7F-173D51ADB452}"/>
    <cellStyle name="20% - Accent6 3 4 3 2 3" xfId="16131" xr:uid="{A95D6A3F-EDB7-42C2-A635-EF19990F417A}"/>
    <cellStyle name="20% - Accent6 3 4 3 3" xfId="3175" xr:uid="{F9B825DD-1782-4A5C-BC1B-0478EA2D7B1E}"/>
    <cellStyle name="20% - Accent6 3 4 3 3 2" xfId="17227" xr:uid="{23F81B30-4612-44A5-B549-F1C4FAFE0561}"/>
    <cellStyle name="20% - Accent6 3 4 3 4" xfId="15033" xr:uid="{F9D231DB-DE70-4FC9-A8D9-905C9BDF50F2}"/>
    <cellStyle name="20% - Accent6 3 4 4" xfId="1563" xr:uid="{60395C03-E76A-42D9-8D1D-3F339F525FF5}"/>
    <cellStyle name="20% - Accent6 3 4 4 2" xfId="3753" xr:uid="{43EBFCD7-FDC7-4136-9A99-5DC97ADA6482}"/>
    <cellStyle name="20% - Accent6 3 4 4 2 2" xfId="17806" xr:uid="{21A0BE37-57E6-44B6-9F8E-238235C52661}"/>
    <cellStyle name="20% - Accent6 3 4 4 3" xfId="15612" xr:uid="{4090D130-BFEE-4927-A4EC-A392A58E183F}"/>
    <cellStyle name="20% - Accent6 3 4 5" xfId="2482" xr:uid="{D715DC73-1839-4AEE-90A2-CA8DFBF9F3A5}"/>
    <cellStyle name="20% - Accent6 3 4 5 2" xfId="16533" xr:uid="{A5006E51-3A49-42EE-9E10-FC9B99CB8CFE}"/>
    <cellStyle name="20% - Accent6 3 4 6" xfId="4848" xr:uid="{080F0566-F51D-446B-BA1F-067224CE13AF}"/>
    <cellStyle name="20% - Accent6 3 4 6 2" xfId="18900" xr:uid="{455BCA01-54B6-44CE-91F9-CCD912A59DC0}"/>
    <cellStyle name="20% - Accent6 3 4 7" xfId="14339" xr:uid="{7AFCA0F7-AB6C-44CA-B177-30CFA63EC1EC}"/>
    <cellStyle name="20% - Accent6 3 5" xfId="456" xr:uid="{AFFC86C6-15A5-4098-8356-615228234299}"/>
    <cellStyle name="20% - Accent6 3 5 2" xfId="1389" xr:uid="{9E1880A3-B5E8-4693-826A-213A23AE0CF9}"/>
    <cellStyle name="20% - Accent6 3 5 2 2" xfId="3579" xr:uid="{8B24C5D1-C836-4C2C-849D-D6F11A172CDE}"/>
    <cellStyle name="20% - Accent6 3 5 2 2 2" xfId="17632" xr:uid="{978E4424-F80F-45F6-80BA-E6F54E1FD877}"/>
    <cellStyle name="20% - Accent6 3 5 2 3" xfId="15438" xr:uid="{6A65C01E-B70E-4881-A229-8F9A8E0F3C2C}"/>
    <cellStyle name="20% - Accent6 3 5 3" xfId="2655" xr:uid="{135B98E3-5041-402A-B9AB-1B7E0D70E496}"/>
    <cellStyle name="20% - Accent6 3 5 3 2" xfId="16706" xr:uid="{9AE12B7E-93EF-4DF0-89A5-BC108872D28F}"/>
    <cellStyle name="20% - Accent6 3 5 4" xfId="4674" xr:uid="{0C966F42-BF72-46C7-ACF7-C07C762CEB9A}"/>
    <cellStyle name="20% - Accent6 3 5 4 2" xfId="18726" xr:uid="{CA4B4986-8E8B-48F8-B658-2B70B2A14459}"/>
    <cellStyle name="20% - Accent6 3 5 5" xfId="14511" xr:uid="{A4886557-8F62-4791-A975-E8B2360E60CE}"/>
    <cellStyle name="20% - Accent6 3 6" xfId="809" xr:uid="{CB429E76-FB12-452B-B60E-C97FCCB79843}"/>
    <cellStyle name="20% - Accent6 3 6 2" xfId="1908" xr:uid="{5F7A7F37-6310-4F2C-8579-916CC0B85FC7}"/>
    <cellStyle name="20% - Accent6 3 6 2 2" xfId="4097" xr:uid="{6A02077A-8A2D-4FB0-9FA5-ADB2D3F59632}"/>
    <cellStyle name="20% - Accent6 3 6 2 2 2" xfId="18149" xr:uid="{BE8583AD-A394-4319-9213-AF95EE28721E}"/>
    <cellStyle name="20% - Accent6 3 6 2 3" xfId="15957" xr:uid="{41603A11-1B99-4A77-9C14-E22B0E1E12AF}"/>
    <cellStyle name="20% - Accent6 3 6 3" xfId="3001" xr:uid="{B1650C9B-2AA6-45FA-AB06-AA6218273B7B}"/>
    <cellStyle name="20% - Accent6 3 6 3 2" xfId="17053" xr:uid="{7F8C1F65-5659-4534-AAF9-9B9C0711EABE}"/>
    <cellStyle name="20% - Accent6 3 6 4" xfId="14859" xr:uid="{55A42492-1107-46E6-AA42-1FDD27852487}"/>
    <cellStyle name="20% - Accent6 3 7" xfId="1153" xr:uid="{531B90D0-80DA-4FFD-8E24-0ABD246A5C45}"/>
    <cellStyle name="20% - Accent6 3 7 2" xfId="2253" xr:uid="{6A52A710-7036-4694-BB35-BF20520B6B6C}"/>
    <cellStyle name="20% - Accent6 3 7 2 2" xfId="4442" xr:uid="{07BAC3A1-A459-4689-9776-FE21E421A09F}"/>
    <cellStyle name="20% - Accent6 3 7 2 2 2" xfId="18492" xr:uid="{ED84FED0-7C48-4A6B-A4B5-6782C94DCB8F}"/>
    <cellStyle name="20% - Accent6 3 7 2 3" xfId="16302" xr:uid="{3A06D030-F903-4E8C-8BD2-57098B338BEE}"/>
    <cellStyle name="20% - Accent6 3 7 3" xfId="3346" xr:uid="{2BAD7EA6-0F57-4417-8A7A-8E93A5BE9BAA}"/>
    <cellStyle name="20% - Accent6 3 7 3 2" xfId="17398" xr:uid="{80F10460-7532-47C8-A65C-8A9581CFA2FB}"/>
    <cellStyle name="20% - Accent6 3 7 4" xfId="15204" xr:uid="{4EC8BA49-53C2-419D-B535-0929A4C68178}"/>
    <cellStyle name="20% - Accent6 3 8" xfId="1217" xr:uid="{F1BC5B45-4A31-4570-A99C-1930AC388596}"/>
    <cellStyle name="20% - Accent6 3 8 2" xfId="3407" xr:uid="{9B606BC8-66B4-40A0-B5F4-ADF4B358037A}"/>
    <cellStyle name="20% - Accent6 3 8 2 2" xfId="17459" xr:uid="{F1FCABFF-AC0A-41EF-AA80-D30D13F20934}"/>
    <cellStyle name="20% - Accent6 3 8 3" xfId="15265" xr:uid="{39438C39-33F6-4872-BBBB-55B7CCEBEBEC}"/>
    <cellStyle name="20% - Accent6 3 9" xfId="2308" xr:uid="{0954E1D7-AE9A-4D70-9A5F-25D971B0A1B2}"/>
    <cellStyle name="20% - Accent6 3 9 2" xfId="16359" xr:uid="{84DF02FD-944B-4F99-8F90-D0A1BEDE3673}"/>
    <cellStyle name="20% - Accent6 4" xfId="199" xr:uid="{F3A1D214-8D33-4EB6-926D-6DC91BF648EF}"/>
    <cellStyle name="20% - Accent6 4 2" xfId="376" xr:uid="{F0101AF5-C517-46E6-8572-8507A5DAC2B0}"/>
    <cellStyle name="20% - Accent6 4 2 2" xfId="730" xr:uid="{F08DFF44-0627-4F13-A769-8080E29DA409}"/>
    <cellStyle name="20% - Accent6 4 2 2 2" xfId="1831" xr:uid="{BA9B660E-D6B8-4A9B-A28C-D3834156BEF1}"/>
    <cellStyle name="20% - Accent6 4 2 2 2 2" xfId="4020" xr:uid="{F493F895-E10F-4330-BA0D-98D36082298D}"/>
    <cellStyle name="20% - Accent6 4 2 2 2 2 2" xfId="18072" xr:uid="{8D5461FB-E72F-4BAC-93B7-8B39796A0D50}"/>
    <cellStyle name="20% - Accent6 4 2 2 2 3" xfId="15880" xr:uid="{304F76D3-8945-4845-8EEA-B0FE0E279EEB}"/>
    <cellStyle name="20% - Accent6 4 2 2 3" xfId="2922" xr:uid="{EBB234DE-E600-4265-8717-50E8C70F8D7F}"/>
    <cellStyle name="20% - Accent6 4 2 2 3 2" xfId="16974" xr:uid="{C826F3F8-C43F-4122-9CA9-29859CFA2737}"/>
    <cellStyle name="20% - Accent6 4 2 2 4" xfId="14781" xr:uid="{240FF622-1C71-4700-9476-C5145ACD68BF}"/>
    <cellStyle name="20% - Accent6 4 2 3" xfId="1077" xr:uid="{0D7A92AD-3F11-43CD-8837-434A6B8F0044}"/>
    <cellStyle name="20% - Accent6 4 2 3 2" xfId="2176" xr:uid="{B2654BC2-5A31-427F-8B57-354BC314313F}"/>
    <cellStyle name="20% - Accent6 4 2 3 2 2" xfId="4365" xr:uid="{61FFF553-FCEB-4905-97C9-09AFB854FE2E}"/>
    <cellStyle name="20% - Accent6 4 2 3 2 2 2" xfId="18415" xr:uid="{2D40A1D5-261F-4B65-A604-FFF11534825F}"/>
    <cellStyle name="20% - Accent6 4 2 3 2 3" xfId="16225" xr:uid="{AD474981-FC44-45A1-B609-A414AC5CA70A}"/>
    <cellStyle name="20% - Accent6 4 2 3 3" xfId="3269" xr:uid="{3E879CBF-B5FA-4867-A1D9-F961468379ED}"/>
    <cellStyle name="20% - Accent6 4 2 3 3 2" xfId="17321" xr:uid="{FC972FD4-5333-4214-8701-D9FD90CAA699}"/>
    <cellStyle name="20% - Accent6 4 2 3 4" xfId="15127" xr:uid="{43862C54-AA6B-47FD-B43E-45F918815679}"/>
    <cellStyle name="20% - Accent6 4 2 4" xfId="1657" xr:uid="{766B495D-50A5-4371-BE8E-1ACADB84F99D}"/>
    <cellStyle name="20% - Accent6 4 2 4 2" xfId="3847" xr:uid="{F8A22AED-D3BF-42A2-B4BE-60C890C6D75C}"/>
    <cellStyle name="20% - Accent6 4 2 4 2 2" xfId="17900" xr:uid="{439B0666-2D90-4B17-8445-99C0DD2E687B}"/>
    <cellStyle name="20% - Accent6 4 2 4 3" xfId="15706" xr:uid="{F51C3E8B-6206-4CD5-A411-28D9AC1CBD0B}"/>
    <cellStyle name="20% - Accent6 4 2 5" xfId="2576" xr:uid="{8D26D39C-5300-42DE-903E-9FFDB12DB38C}"/>
    <cellStyle name="20% - Accent6 4 2 5 2" xfId="16627" xr:uid="{CB8EEB67-C8CD-4186-A046-06A7EF24618D}"/>
    <cellStyle name="20% - Accent6 4 2 6" xfId="4942" xr:uid="{025F8D9D-45DA-406F-9CF6-C94340BF2DA7}"/>
    <cellStyle name="20% - Accent6 4 2 6 2" xfId="18994" xr:uid="{E361856F-3064-4E55-8FC0-DBF2E1705A47}"/>
    <cellStyle name="20% - Accent6 4 2 7" xfId="14433" xr:uid="{888861AF-4234-49D5-93CC-324EF2213405}"/>
    <cellStyle name="20% - Accent6 4 3" xfId="550" xr:uid="{31D7A3F5-719D-4729-816C-94C9643CD2A0}"/>
    <cellStyle name="20% - Accent6 4 3 2" xfId="1483" xr:uid="{1D4C9BCC-6D43-488E-B621-5CE90AF9FC6A}"/>
    <cellStyle name="20% - Accent6 4 3 2 2" xfId="3673" xr:uid="{E32B61F2-3AB1-4D76-9577-8D74031B7BD1}"/>
    <cellStyle name="20% - Accent6 4 3 2 2 2" xfId="17726" xr:uid="{93F57246-69C7-4B53-89B9-D77E588ED54E}"/>
    <cellStyle name="20% - Accent6 4 3 2 3" xfId="15532" xr:uid="{B2DA61FC-B9F6-4390-938E-63E79696998B}"/>
    <cellStyle name="20% - Accent6 4 3 3" xfId="2749" xr:uid="{B0AD5EC0-DD44-4EFF-AEAE-19F3CBBC0353}"/>
    <cellStyle name="20% - Accent6 4 3 3 2" xfId="16800" xr:uid="{618EF6E0-3275-4C65-B158-D82686336E51}"/>
    <cellStyle name="20% - Accent6 4 3 4" xfId="4768" xr:uid="{BAF86303-FD5D-43A6-AE35-26C3EF67F4BF}"/>
    <cellStyle name="20% - Accent6 4 3 4 2" xfId="18820" xr:uid="{7F4BC7DF-430F-4243-8696-8E3BDB6E4FF9}"/>
    <cellStyle name="20% - Accent6 4 3 5" xfId="14605" xr:uid="{3D875C07-0D99-4C60-A8A6-FC53A55A9A07}"/>
    <cellStyle name="20% - Accent6 4 4" xfId="903" xr:uid="{53022601-1820-4523-B408-2277CD982005}"/>
    <cellStyle name="20% - Accent6 4 4 2" xfId="2002" xr:uid="{5D508C2C-33C6-45A4-A783-6224DEB4DD86}"/>
    <cellStyle name="20% - Accent6 4 4 2 2" xfId="4191" xr:uid="{7CB4B152-B575-45C5-A1FD-41537B780A41}"/>
    <cellStyle name="20% - Accent6 4 4 2 2 2" xfId="18242" xr:uid="{E6E30377-2812-4AE7-8DC5-7F1AEDD56F64}"/>
    <cellStyle name="20% - Accent6 4 4 2 3" xfId="16051" xr:uid="{B35CCAE9-A84F-43B9-B0F8-E8305F392E91}"/>
    <cellStyle name="20% - Accent6 4 4 3" xfId="3095" xr:uid="{9C72BF43-DE86-4F75-B267-2C978EFFBB1D}"/>
    <cellStyle name="20% - Accent6 4 4 3 2" xfId="17147" xr:uid="{67F45F1D-6DAD-4050-9296-39997C7A1CE2}"/>
    <cellStyle name="20% - Accent6 4 4 4" xfId="14953" xr:uid="{49942684-1C1C-4FDA-9FA7-597FD4181179}"/>
    <cellStyle name="20% - Accent6 4 5" xfId="1310" xr:uid="{A6148A49-6AF8-4147-B8CF-6A612D171DBE}"/>
    <cellStyle name="20% - Accent6 4 5 2" xfId="3501" xr:uid="{DEFDE794-BA26-487D-B535-B80A9B967576}"/>
    <cellStyle name="20% - Accent6 4 5 2 2" xfId="17553" xr:uid="{9492F9B3-F03C-4F93-9788-27EA6AE4D389}"/>
    <cellStyle name="20% - Accent6 4 5 3" xfId="15359" xr:uid="{A8F42269-314F-435A-B49B-9D1726F02110}"/>
    <cellStyle name="20% - Accent6 4 6" xfId="2402" xr:uid="{3DEE6709-124D-4D8B-90E7-CB30B581D515}"/>
    <cellStyle name="20% - Accent6 4 6 2" xfId="16453" xr:uid="{8C15A95B-E8C8-4617-B3FB-541B8E9C65EC}"/>
    <cellStyle name="20% - Accent6 4 7" xfId="4595" xr:uid="{C25FC60B-BE7D-43A7-844E-F7E0145F9D15}"/>
    <cellStyle name="20% - Accent6 4 7 2" xfId="18647" xr:uid="{157724BC-D0A3-4268-98DE-D31DCF82EF6E}"/>
    <cellStyle name="20% - Accent6 4 8" xfId="14258" xr:uid="{1A123D33-2798-4345-A339-8326F3421735}"/>
    <cellStyle name="20% - Accent6 5" xfId="142" xr:uid="{B7A5411A-84BB-4620-AE06-897F62AA352A}"/>
    <cellStyle name="20% - Accent6 5 2" xfId="319" xr:uid="{D46A04B4-FC18-49B5-91D3-49AEBD0459DE}"/>
    <cellStyle name="20% - Accent6 5 2 2" xfId="673" xr:uid="{A6CC0A4C-CC09-48BB-ABF6-E3590A98A40C}"/>
    <cellStyle name="20% - Accent6 5 2 2 2" xfId="1774" xr:uid="{0831A7EE-1588-46F6-8D5D-DFAA4BD615A4}"/>
    <cellStyle name="20% - Accent6 5 2 2 2 2" xfId="3963" xr:uid="{0BFC9051-C58E-4236-AA46-54E585846A06}"/>
    <cellStyle name="20% - Accent6 5 2 2 2 2 2" xfId="18015" xr:uid="{699FEB4F-ABDB-4CF4-A3DF-22424AE10938}"/>
    <cellStyle name="20% - Accent6 5 2 2 2 3" xfId="15823" xr:uid="{B9219283-B0E1-43A4-8398-3FAF728B1B86}"/>
    <cellStyle name="20% - Accent6 5 2 2 3" xfId="2865" xr:uid="{E567A3D2-7BFC-4ADF-8B6A-828D853AD874}"/>
    <cellStyle name="20% - Accent6 5 2 2 3 2" xfId="16917" xr:uid="{D48F7DEB-A261-4B2F-BB6E-B54C088C68DA}"/>
    <cellStyle name="20% - Accent6 5 2 2 4" xfId="14724" xr:uid="{B4F5ABEC-5439-4F20-8470-F1053CF7DBF8}"/>
    <cellStyle name="20% - Accent6 5 2 3" xfId="1020" xr:uid="{6A91C661-5F86-4CCC-9558-D5B2A1112F02}"/>
    <cellStyle name="20% - Accent6 5 2 3 2" xfId="2119" xr:uid="{A7C886A3-7EFF-444A-88DB-99D581DF3047}"/>
    <cellStyle name="20% - Accent6 5 2 3 2 2" xfId="4308" xr:uid="{8AF664E6-7311-4239-BC52-38D0AAD801F6}"/>
    <cellStyle name="20% - Accent6 5 2 3 2 2 2" xfId="18358" xr:uid="{1022552C-46AA-4CBC-8F5B-BC820B4A28E0}"/>
    <cellStyle name="20% - Accent6 5 2 3 2 3" xfId="16168" xr:uid="{70C3CD36-7D88-46ED-966B-80AC6C3EA889}"/>
    <cellStyle name="20% - Accent6 5 2 3 3" xfId="3212" xr:uid="{76C23BD4-BE72-4868-A8F2-CA06E6A5593C}"/>
    <cellStyle name="20% - Accent6 5 2 3 3 2" xfId="17264" xr:uid="{71E8DF5A-96DC-40D8-920C-3D3289C001FF}"/>
    <cellStyle name="20% - Accent6 5 2 3 4" xfId="15070" xr:uid="{F9D44760-1556-4D60-A062-97054BE366D0}"/>
    <cellStyle name="20% - Accent6 5 2 4" xfId="1600" xr:uid="{D1B1E776-DFDD-4478-8A98-7648EC5A0A5F}"/>
    <cellStyle name="20% - Accent6 5 2 4 2" xfId="3790" xr:uid="{3B2E3891-4091-47CB-935A-9DFED15BF1E1}"/>
    <cellStyle name="20% - Accent6 5 2 4 2 2" xfId="17843" xr:uid="{C1F153D3-B4F6-448C-84A5-FF13BB89780F}"/>
    <cellStyle name="20% - Accent6 5 2 4 3" xfId="15649" xr:uid="{8FB7A45C-188F-4842-B2A9-66F55234FF18}"/>
    <cellStyle name="20% - Accent6 5 2 5" xfId="2519" xr:uid="{E9E22706-2FAE-452D-BB05-A6A3B94DEF5B}"/>
    <cellStyle name="20% - Accent6 5 2 5 2" xfId="16570" xr:uid="{96CC54CF-5B2C-4033-984A-D07E9A6436F4}"/>
    <cellStyle name="20% - Accent6 5 2 6" xfId="4885" xr:uid="{E57439A4-E2CE-4347-B910-DA4380397C5F}"/>
    <cellStyle name="20% - Accent6 5 2 6 2" xfId="18937" xr:uid="{D74A303B-D58F-4063-8446-3CAA1CBB65AE}"/>
    <cellStyle name="20% - Accent6 5 2 7" xfId="14376" xr:uid="{EDEFF665-012C-4AE4-9144-745E98FC5233}"/>
    <cellStyle name="20% - Accent6 5 3" xfId="493" xr:uid="{E8771AF9-5976-46F7-8FE2-74B072A503AB}"/>
    <cellStyle name="20% - Accent6 5 3 2" xfId="1426" xr:uid="{85789CD9-F9F9-4560-B815-00B8EC81DE9D}"/>
    <cellStyle name="20% - Accent6 5 3 2 2" xfId="3616" xr:uid="{701EFD62-1352-40B0-BEED-E4FADE8F022D}"/>
    <cellStyle name="20% - Accent6 5 3 2 2 2" xfId="17669" xr:uid="{8CFE9FFC-BAB1-45EF-9FBE-B7778D233C3C}"/>
    <cellStyle name="20% - Accent6 5 3 2 3" xfId="15475" xr:uid="{971D1EFB-B886-41C0-B14C-8F80AD08BD25}"/>
    <cellStyle name="20% - Accent6 5 3 3" xfId="2692" xr:uid="{D0D5933F-96C9-4FFD-A44E-94D5A66C5389}"/>
    <cellStyle name="20% - Accent6 5 3 3 2" xfId="16743" xr:uid="{C68DBA71-0FCF-45A0-BA57-AE972DA44D02}"/>
    <cellStyle name="20% - Accent6 5 3 4" xfId="4711" xr:uid="{55351B9A-785E-480A-9C26-1CFCBB8C352B}"/>
    <cellStyle name="20% - Accent6 5 3 4 2" xfId="18763" xr:uid="{719F2629-DEB8-44B2-A2A9-64AE9524AD49}"/>
    <cellStyle name="20% - Accent6 5 3 5" xfId="14548" xr:uid="{3581631F-706F-4BEC-892C-F5782706C7B0}"/>
    <cellStyle name="20% - Accent6 5 4" xfId="846" xr:uid="{E79DE313-44CA-485C-8959-F366E65C0889}"/>
    <cellStyle name="20% - Accent6 5 4 2" xfId="1945" xr:uid="{C3C5CB78-E4DB-4A13-9BEE-9417B5754780}"/>
    <cellStyle name="20% - Accent6 5 4 2 2" xfId="4134" xr:uid="{39D1DE83-6493-4E39-B0BD-BCD27D00B431}"/>
    <cellStyle name="20% - Accent6 5 4 2 2 2" xfId="18186" xr:uid="{CE55EF4A-382A-4845-9A1A-0180E38A4340}"/>
    <cellStyle name="20% - Accent6 5 4 2 3" xfId="15994" xr:uid="{B49E9272-5D96-4B09-8DF8-F7729016820F}"/>
    <cellStyle name="20% - Accent6 5 4 3" xfId="3038" xr:uid="{72F5CA43-9F68-44B5-81CF-2DAC6D86B25F}"/>
    <cellStyle name="20% - Accent6 5 4 3 2" xfId="17090" xr:uid="{45B9E004-F751-4BB0-A1EE-EBB7F503F2E7}"/>
    <cellStyle name="20% - Accent6 5 4 4" xfId="14896" xr:uid="{C681B4E7-4261-4D55-9683-AC173BC5FF1A}"/>
    <cellStyle name="20% - Accent6 5 5" xfId="1254" xr:uid="{565F8594-0528-475E-81DF-750CAF47E2C0}"/>
    <cellStyle name="20% - Accent6 5 5 2" xfId="3444" xr:uid="{28D99493-CF12-4ED4-A382-F7165594F0AE}"/>
    <cellStyle name="20% - Accent6 5 5 2 2" xfId="17496" xr:uid="{67C054E2-FAC4-47EC-827C-6D8280E2A951}"/>
    <cellStyle name="20% - Accent6 5 5 3" xfId="15302" xr:uid="{2FCF669D-E722-4DB0-80A7-9B6A05E99D83}"/>
    <cellStyle name="20% - Accent6 5 6" xfId="2345" xr:uid="{21601F28-9BD9-4EA7-A56B-4967D035065F}"/>
    <cellStyle name="20% - Accent6 5 6 2" xfId="16396" xr:uid="{CBF21063-30E8-4F34-9E69-E4FEEF769590}"/>
    <cellStyle name="20% - Accent6 5 7" xfId="4538" xr:uid="{6E37A876-1D7A-4ED5-B104-487D61F745D7}"/>
    <cellStyle name="20% - Accent6 5 7 2" xfId="18590" xr:uid="{80F7D4B2-FCA7-4610-86D4-09A3A1085BE5}"/>
    <cellStyle name="20% - Accent6 5 8" xfId="14201" xr:uid="{513AD8FE-5923-4F99-8ED8-345E2A931841}"/>
    <cellStyle name="20% - Accent6 6" xfId="259" xr:uid="{161BCB62-0BEC-401E-8D5B-4327E977B045}"/>
    <cellStyle name="20% - Accent6 6 2" xfId="613" xr:uid="{959F63F8-BFB6-4F13-ABDB-B3D56929116B}"/>
    <cellStyle name="20% - Accent6 6 2 2" xfId="1718" xr:uid="{4DE8799F-393D-4E13-B831-0E4E2091685D}"/>
    <cellStyle name="20% - Accent6 6 2 2 2" xfId="3906" xr:uid="{4DE23DD9-6325-42DF-8959-21A9B2AD056C}"/>
    <cellStyle name="20% - Accent6 6 2 2 2 2" xfId="17958" xr:uid="{B4F72A68-9358-4CAC-AF2B-7CD3AB759946}"/>
    <cellStyle name="20% - Accent6 6 2 2 3" xfId="15766" xr:uid="{14DF930A-6B04-41A9-BA6A-B7288C9FAAFD}"/>
    <cellStyle name="20% - Accent6 6 2 3" xfId="2809" xr:uid="{55061790-9699-445D-AB16-AC086B56022B}"/>
    <cellStyle name="20% - Accent6 6 2 3 2" xfId="16860" xr:uid="{79B3FA67-0531-4DC5-BF73-3F88CF36DB4A}"/>
    <cellStyle name="20% - Accent6 6 2 4" xfId="14666" xr:uid="{C96C6E20-03D7-44E3-B4B5-8B5AA97F5311}"/>
    <cellStyle name="20% - Accent6 6 3" xfId="963" xr:uid="{951074EE-D711-468D-887B-45B6853A1569}"/>
    <cellStyle name="20% - Accent6 6 3 2" xfId="2062" xr:uid="{0793CBE8-EC83-4D50-8685-74D0C89E0700}"/>
    <cellStyle name="20% - Accent6 6 3 2 2" xfId="4251" xr:uid="{721D1F65-2AD6-4E33-8BA2-B35978869836}"/>
    <cellStyle name="20% - Accent6 6 3 2 2 2" xfId="18302" xr:uid="{09F2470A-C599-4B0C-AAD2-2BA1EE9A6206}"/>
    <cellStyle name="20% - Accent6 6 3 2 3" xfId="16111" xr:uid="{05C84F6F-AB72-4430-A950-D65C0ABCCAD8}"/>
    <cellStyle name="20% - Accent6 6 3 3" xfId="3155" xr:uid="{DFA0D291-FF0F-4F34-881F-80A167CB29E7}"/>
    <cellStyle name="20% - Accent6 6 3 3 2" xfId="17207" xr:uid="{503A4201-12B6-4F4C-BED4-E6AF5C98D0A7}"/>
    <cellStyle name="20% - Accent6 6 3 4" xfId="15013" xr:uid="{1FB35CA1-1147-4339-9B5B-CD5A61773BC3}"/>
    <cellStyle name="20% - Accent6 6 4" xfId="1543" xr:uid="{1CCD18F5-1C31-41CE-A74A-B05E4C5EEA46}"/>
    <cellStyle name="20% - Accent6 6 4 2" xfId="3733" xr:uid="{76932DD6-E78E-46C2-9A75-D9D2C565DC5E}"/>
    <cellStyle name="20% - Accent6 6 4 2 2" xfId="17786" xr:uid="{D1C9CD21-148E-4CC4-A01F-F815D287D6B4}"/>
    <cellStyle name="20% - Accent6 6 4 3" xfId="15592" xr:uid="{2B3F020A-A054-496A-8EA4-E44A4CB7646F}"/>
    <cellStyle name="20% - Accent6 6 5" xfId="2462" xr:uid="{36D7C43D-F862-409C-A591-28A9D618CA28}"/>
    <cellStyle name="20% - Accent6 6 5 2" xfId="16513" xr:uid="{84AA7FFE-94C0-4FD6-B140-0C6573E690CD}"/>
    <cellStyle name="20% - Accent6 6 6" xfId="4828" xr:uid="{1E241076-1F0E-4FEB-8840-B207570EB74D}"/>
    <cellStyle name="20% - Accent6 6 6 2" xfId="18880" xr:uid="{115CD472-4D5F-458C-BF3C-3628112A4E83}"/>
    <cellStyle name="20% - Accent6 6 7" xfId="14318" xr:uid="{E65D75C1-6096-4A72-B786-975E7762AD80}"/>
    <cellStyle name="20% - Accent6 7" xfId="435" xr:uid="{4CD02C8A-01E4-497D-B4C8-5D944AB9C9D0}"/>
    <cellStyle name="20% - Accent6 7 2" xfId="1369" xr:uid="{5D58939D-BB7F-4C8B-A138-DF84B7CE2B1E}"/>
    <cellStyle name="20% - Accent6 7 2 2" xfId="3559" xr:uid="{9C12D675-0AE0-4A2A-B681-24750BF0E7ED}"/>
    <cellStyle name="20% - Accent6 7 2 2 2" xfId="17612" xr:uid="{FB73DC8A-A93F-4185-BB95-773B4F507D26}"/>
    <cellStyle name="20% - Accent6 7 2 3" xfId="15418" xr:uid="{132AADBC-3976-417B-94BD-F906C1F68EE7}"/>
    <cellStyle name="20% - Accent6 7 3" xfId="2635" xr:uid="{D697D764-CED4-4246-88DD-10CE7B262C43}"/>
    <cellStyle name="20% - Accent6 7 3 2" xfId="16686" xr:uid="{4525057C-5E84-4393-BE07-3FD40C8228EE}"/>
    <cellStyle name="20% - Accent6 7 4" xfId="4654" xr:uid="{0D624451-3835-4B30-B363-BA0206264925}"/>
    <cellStyle name="20% - Accent6 7 4 2" xfId="18706" xr:uid="{51DC682F-5B32-41CA-9A73-D368ADE278E2}"/>
    <cellStyle name="20% - Accent6 7 5" xfId="14491" xr:uid="{6357F2A1-95BF-4B31-9112-B3362235CB30}"/>
    <cellStyle name="20% - Accent6 8" xfId="789" xr:uid="{63A560B8-D3EF-4B19-AEEF-B683C3B0D86E}"/>
    <cellStyle name="20% - Accent6 8 2" xfId="1890" xr:uid="{5FCE363E-00EB-4ABD-B173-48216505DF86}"/>
    <cellStyle name="20% - Accent6 8 2 2" xfId="4079" xr:uid="{57D9E5CC-BDBE-4879-833F-9CDA7FFFDC37}"/>
    <cellStyle name="20% - Accent6 8 2 2 2" xfId="18131" xr:uid="{B4553FB8-CDEB-4438-9AE4-EA1AD45084FD}"/>
    <cellStyle name="20% - Accent6 8 2 3" xfId="15939" xr:uid="{875A8473-F834-4929-BC62-B802FDDDF18E}"/>
    <cellStyle name="20% - Accent6 8 3" xfId="2981" xr:uid="{E2D39B20-5C50-41E0-9509-9656E4D2A28A}"/>
    <cellStyle name="20% - Accent6 8 3 2" xfId="17033" xr:uid="{59B11386-205E-4243-BA89-C94FF9AC1328}"/>
    <cellStyle name="20% - Accent6 8 4" xfId="14839" xr:uid="{087AB9C1-3CC8-4D15-8A1E-E481DAF757DA}"/>
    <cellStyle name="20% - Accent6 9" xfId="1133" xr:uid="{35BDF177-6C59-47E9-8CC8-D0046F55DD8B}"/>
    <cellStyle name="20% - Accent6 9 2" xfId="2233" xr:uid="{1767DC03-3D90-4686-9AD4-E2C4AA5BF7D8}"/>
    <cellStyle name="20% - Accent6 9 2 2" xfId="4422" xr:uid="{4689146A-6B6B-4E44-82DC-208C5D6DCD53}"/>
    <cellStyle name="20% - Accent6 9 2 2 2" xfId="18472" xr:uid="{39B554AA-EF2F-4ADB-90C8-310200D8FB2B}"/>
    <cellStyle name="20% - Accent6 9 2 3" xfId="16282" xr:uid="{3E1ED943-639E-4A00-BE76-9FF5D854FF7D}"/>
    <cellStyle name="20% - Accent6 9 3" xfId="3326" xr:uid="{7EB357DC-C750-4BCC-9952-E0658C91DA1A}"/>
    <cellStyle name="20% - Accent6 9 3 2" xfId="17378" xr:uid="{52B39203-8043-4382-BCF5-D642D7490E2C}"/>
    <cellStyle name="20% - Accent6 9 4" xfId="15184" xr:uid="{F874B8A6-C530-4938-80FF-1114C9C1D6BB}"/>
    <cellStyle name="40% - Accent1" xfId="41" builtinId="31" customBuiltin="1"/>
    <cellStyle name="40% - Accent1 10" xfId="1187" xr:uid="{2C8554EB-0EF3-4FC5-8F4E-F270D863EEBB}"/>
    <cellStyle name="40% - Accent1 10 2" xfId="3378" xr:uid="{83139F9F-C581-48B1-874B-95E30BB91832}"/>
    <cellStyle name="40% - Accent1 10 2 2" xfId="17430" xr:uid="{7798B202-F612-4C87-B568-D74617D865D5}"/>
    <cellStyle name="40% - Accent1 10 3" xfId="15236" xr:uid="{5A3E3483-1F81-49A7-9AD8-0C93C9D26677}"/>
    <cellStyle name="40% - Accent1 11" xfId="2280" xr:uid="{EB13E6BF-3B26-43D4-A733-12EA6A9748BC}"/>
    <cellStyle name="40% - Accent1 11 2" xfId="16330" xr:uid="{06B2A834-1EE0-4D77-817E-566F62C1672E}"/>
    <cellStyle name="40% - Accent1 12" xfId="4473" xr:uid="{C85EA9DD-351A-4DCD-A516-EE9CB229356D}"/>
    <cellStyle name="40% - Accent1 12 2" xfId="18524" xr:uid="{B0ED85E1-8612-4ED6-8941-9D021D3A3124}"/>
    <cellStyle name="40% - Accent1 13" xfId="14121" xr:uid="{9EE6DD74-5259-406D-8BD9-AF43007F1A5A}"/>
    <cellStyle name="40% - Accent1 2" xfId="119" xr:uid="{9A487D22-93D9-4AB0-A4DC-3CEF2CE5B223}"/>
    <cellStyle name="40% - Accent1 2 10" xfId="4517" xr:uid="{092738F3-AF46-4BC1-A16D-1C0B9A192D79}"/>
    <cellStyle name="40% - Accent1 2 10 2" xfId="18568" xr:uid="{15D427DE-EFAF-43B1-AE55-5CA3F636C924}"/>
    <cellStyle name="40% - Accent1 2 11" xfId="14179" xr:uid="{137CA470-E554-4CD8-9525-CFF7144537E8}"/>
    <cellStyle name="40% - Accent1 2 2" xfId="234" xr:uid="{F0B00D48-9367-4A44-9C82-0C15D12BAFCA}"/>
    <cellStyle name="40% - Accent1 2 2 2" xfId="411" xr:uid="{318E4CF9-ECC4-4536-A8F3-E56D11034CBB}"/>
    <cellStyle name="40% - Accent1 2 2 2 2" xfId="765" xr:uid="{04441D88-7DBC-4836-A7F0-61BDC3E2286F}"/>
    <cellStyle name="40% - Accent1 2 2 2 2 2" xfId="1866" xr:uid="{46BCCE96-FE00-43CA-9644-2F2841004082}"/>
    <cellStyle name="40% - Accent1 2 2 2 2 2 2" xfId="4055" xr:uid="{22D6C7DE-AA0C-4FE0-98F0-26828B9FA32A}"/>
    <cellStyle name="40% - Accent1 2 2 2 2 2 2 2" xfId="18107" xr:uid="{05AA25CD-86CF-4978-8918-89848AB20232}"/>
    <cellStyle name="40% - Accent1 2 2 2 2 2 3" xfId="15915" xr:uid="{AC9E0695-3545-4647-82DD-ED5873EEBD42}"/>
    <cellStyle name="40% - Accent1 2 2 2 2 3" xfId="2957" xr:uid="{5E739EBA-C049-4DA1-9BA8-E0E826C46CEF}"/>
    <cellStyle name="40% - Accent1 2 2 2 2 3 2" xfId="17009" xr:uid="{DC454625-E857-40C8-A0E2-A6AFFFFE280C}"/>
    <cellStyle name="40% - Accent1 2 2 2 2 4" xfId="14816" xr:uid="{5D185FBA-068D-4F83-9B96-A6060EAD3841}"/>
    <cellStyle name="40% - Accent1 2 2 2 3" xfId="1112" xr:uid="{E1378A8C-897D-4DF2-A466-A203655E02FE}"/>
    <cellStyle name="40% - Accent1 2 2 2 3 2" xfId="2211" xr:uid="{18AB0E63-6C43-44D9-BE4E-145E0B162419}"/>
    <cellStyle name="40% - Accent1 2 2 2 3 2 2" xfId="4400" xr:uid="{E522CDB5-5773-4FAC-BD61-B696B1429A9D}"/>
    <cellStyle name="40% - Accent1 2 2 2 3 2 2 2" xfId="18450" xr:uid="{AED48D5B-936D-49D6-A474-BBDBADA18F26}"/>
    <cellStyle name="40% - Accent1 2 2 2 3 2 3" xfId="16260" xr:uid="{FB0BBDDE-5CB4-4AB6-9748-CED47FD7A3D6}"/>
    <cellStyle name="40% - Accent1 2 2 2 3 3" xfId="3304" xr:uid="{5648243D-9532-453C-B299-3F0AFE40F4A5}"/>
    <cellStyle name="40% - Accent1 2 2 2 3 3 2" xfId="17356" xr:uid="{8EDE175C-DAE4-45DC-BADC-A414CB37F10D}"/>
    <cellStyle name="40% - Accent1 2 2 2 3 4" xfId="15162" xr:uid="{6641F546-8894-4C2F-B699-2DA6F49B5E3C}"/>
    <cellStyle name="40% - Accent1 2 2 2 4" xfId="1692" xr:uid="{83381281-53C3-49AC-9818-9746495DFF00}"/>
    <cellStyle name="40% - Accent1 2 2 2 4 2" xfId="3882" xr:uid="{BC9A9317-67B1-4579-B707-ED1151E16B8A}"/>
    <cellStyle name="40% - Accent1 2 2 2 4 2 2" xfId="17935" xr:uid="{619176B3-DC09-4503-B77C-ADBF72E7EB60}"/>
    <cellStyle name="40% - Accent1 2 2 2 4 3" xfId="15741" xr:uid="{69609458-E502-46D2-9344-7D11D62E3ABD}"/>
    <cellStyle name="40% - Accent1 2 2 2 5" xfId="2611" xr:uid="{79E550BF-5B86-4765-B592-2FE796A66327}"/>
    <cellStyle name="40% - Accent1 2 2 2 5 2" xfId="16662" xr:uid="{0EA6B2B3-56F8-4B4F-8F5F-FED92EAFF019}"/>
    <cellStyle name="40% - Accent1 2 2 2 6" xfId="4977" xr:uid="{75BFA1F2-8EA8-43C2-A598-5A9C74D94A44}"/>
    <cellStyle name="40% - Accent1 2 2 2 6 2" xfId="19029" xr:uid="{9AD98991-5F52-486A-82FE-7C4A0494C8C8}"/>
    <cellStyle name="40% - Accent1 2 2 2 7" xfId="14468" xr:uid="{77EC9D2F-D42A-47F2-9941-737D9BC443C6}"/>
    <cellStyle name="40% - Accent1 2 2 3" xfId="585" xr:uid="{E54AABAB-C8D8-4676-BA4F-B9CA3B6A9CEE}"/>
    <cellStyle name="40% - Accent1 2 2 3 2" xfId="1518" xr:uid="{A8137113-B889-4571-B87D-E0E57A4D574A}"/>
    <cellStyle name="40% - Accent1 2 2 3 2 2" xfId="3708" xr:uid="{44538C54-E9CC-43D9-BF1E-DB39ED073C81}"/>
    <cellStyle name="40% - Accent1 2 2 3 2 2 2" xfId="17761" xr:uid="{5061B83C-9BCC-4B46-89C6-662F0AB3379A}"/>
    <cellStyle name="40% - Accent1 2 2 3 2 3" xfId="15567" xr:uid="{8378CF06-6B56-4696-8271-3BC4E2F92677}"/>
    <cellStyle name="40% - Accent1 2 2 3 3" xfId="2784" xr:uid="{85F37BFC-55A2-4118-AD8B-8658C38EC317}"/>
    <cellStyle name="40% - Accent1 2 2 3 3 2" xfId="16835" xr:uid="{DB0EC155-8A43-4275-AF5A-6100AE1E8869}"/>
    <cellStyle name="40% - Accent1 2 2 3 4" xfId="4803" xr:uid="{64D66153-20FB-4667-90F9-DD557560E849}"/>
    <cellStyle name="40% - Accent1 2 2 3 4 2" xfId="18855" xr:uid="{EB17B92B-E6FD-4408-AFA0-FB978734E641}"/>
    <cellStyle name="40% - Accent1 2 2 3 5" xfId="14640" xr:uid="{6C3FBE8F-806B-47BC-93FF-970F6AC614DB}"/>
    <cellStyle name="40% - Accent1 2 2 4" xfId="938" xr:uid="{F967096F-69B0-4D30-9E9B-E1160B205890}"/>
    <cellStyle name="40% - Accent1 2 2 4 2" xfId="2037" xr:uid="{DD002B65-F961-41D1-A019-3617CB0FA56B}"/>
    <cellStyle name="40% - Accent1 2 2 4 2 2" xfId="4226" xr:uid="{826F017F-3BFE-486B-ABD2-D667C356CEC6}"/>
    <cellStyle name="40% - Accent1 2 2 4 2 2 2" xfId="18277" xr:uid="{69C3B750-FF44-4DA9-8AE5-1F9357F9046C}"/>
    <cellStyle name="40% - Accent1 2 2 4 2 3" xfId="16086" xr:uid="{9F8120D8-290F-491F-90B9-291750B54D15}"/>
    <cellStyle name="40% - Accent1 2 2 4 3" xfId="3130" xr:uid="{26C76D60-6F0F-4ECC-90F1-0479726E6C9F}"/>
    <cellStyle name="40% - Accent1 2 2 4 3 2" xfId="17182" xr:uid="{4B33A618-5E1E-460D-83C4-0D392F9A1817}"/>
    <cellStyle name="40% - Accent1 2 2 4 4" xfId="14988" xr:uid="{76CFD950-053A-48DF-9872-90D9AD665C7A}"/>
    <cellStyle name="40% - Accent1 2 2 5" xfId="1345" xr:uid="{3E4A3671-359D-402A-9873-EC224882EC26}"/>
    <cellStyle name="40% - Accent1 2 2 5 2" xfId="3536" xr:uid="{357670CE-30BF-4BA6-A1B9-6BC896CE47FF}"/>
    <cellStyle name="40% - Accent1 2 2 5 2 2" xfId="17588" xr:uid="{A5468C92-4878-4607-8E5D-3088BF9BC180}"/>
    <cellStyle name="40% - Accent1 2 2 5 3" xfId="15394" xr:uid="{08F7D9E7-6310-443B-BD8E-C4C04ADB2DA2}"/>
    <cellStyle name="40% - Accent1 2 2 6" xfId="2437" xr:uid="{2C7516BE-36D1-4CCB-B22F-0BC38BB7A186}"/>
    <cellStyle name="40% - Accent1 2 2 6 2" xfId="16488" xr:uid="{41A18C80-A684-4874-866D-AD169323E8EA}"/>
    <cellStyle name="40% - Accent1 2 2 7" xfId="4630" xr:uid="{34AA32C9-33EF-41AD-895C-8414E2480574}"/>
    <cellStyle name="40% - Accent1 2 2 7 2" xfId="18682" xr:uid="{12D1E5BD-2823-456E-86DF-A53C6C52AA45}"/>
    <cellStyle name="40% - Accent1 2 2 8" xfId="14293" xr:uid="{1EC9E549-FB6C-4A2B-B6E9-3BE27E9651ED}"/>
    <cellStyle name="40% - Accent1 2 3" xfId="177" xr:uid="{D392E74F-008F-422D-BB01-DC9F20E7D017}"/>
    <cellStyle name="40% - Accent1 2 3 2" xfId="354" xr:uid="{0FC5334B-CB73-41C1-A7D9-2D277B90DE42}"/>
    <cellStyle name="40% - Accent1 2 3 2 2" xfId="708" xr:uid="{D507606A-38AA-4102-8E4C-F0CA87211FD7}"/>
    <cellStyle name="40% - Accent1 2 3 2 2 2" xfId="1809" xr:uid="{C918C152-4182-42F8-9F6C-468BE8FB3E2D}"/>
    <cellStyle name="40% - Accent1 2 3 2 2 2 2" xfId="3998" xr:uid="{03E807C2-406F-4C2E-9D6C-BC7B225C3AC8}"/>
    <cellStyle name="40% - Accent1 2 3 2 2 2 2 2" xfId="18050" xr:uid="{08A48F0B-30EF-4BD0-B81E-9A229052B9D8}"/>
    <cellStyle name="40% - Accent1 2 3 2 2 2 3" xfId="15858" xr:uid="{E3FD5CA5-AEF1-4845-91AD-273120FA0909}"/>
    <cellStyle name="40% - Accent1 2 3 2 2 3" xfId="2900" xr:uid="{A567AEE5-2BA1-4DE6-9C3C-BBB1B9BBB169}"/>
    <cellStyle name="40% - Accent1 2 3 2 2 3 2" xfId="16952" xr:uid="{A429CE74-618D-457A-B47B-283E6FFEA663}"/>
    <cellStyle name="40% - Accent1 2 3 2 2 4" xfId="14759" xr:uid="{24F8436C-209E-4EBD-AF6C-677AD125A476}"/>
    <cellStyle name="40% - Accent1 2 3 2 3" xfId="1055" xr:uid="{A52E2852-9437-4A2B-BC2C-22533649A93E}"/>
    <cellStyle name="40% - Accent1 2 3 2 3 2" xfId="2154" xr:uid="{546BFD60-3104-417D-B5E9-95F464A78713}"/>
    <cellStyle name="40% - Accent1 2 3 2 3 2 2" xfId="4343" xr:uid="{1CC20360-2BEF-449D-9839-7428DBF7A302}"/>
    <cellStyle name="40% - Accent1 2 3 2 3 2 2 2" xfId="18393" xr:uid="{F702AA0E-062A-496E-8534-0BFE10D4E314}"/>
    <cellStyle name="40% - Accent1 2 3 2 3 2 3" xfId="16203" xr:uid="{4F50D8B3-8B82-492F-98C7-4DE4B716B663}"/>
    <cellStyle name="40% - Accent1 2 3 2 3 3" xfId="3247" xr:uid="{86AC3ECE-0EAA-45A6-ACDA-670D26187E4E}"/>
    <cellStyle name="40% - Accent1 2 3 2 3 3 2" xfId="17299" xr:uid="{E7175469-424C-4E30-A2C0-76C51B4055F8}"/>
    <cellStyle name="40% - Accent1 2 3 2 3 4" xfId="15105" xr:uid="{12BA1556-68C0-4082-9E88-ED3662572C78}"/>
    <cellStyle name="40% - Accent1 2 3 2 4" xfId="1635" xr:uid="{686B4CBB-CAF2-4468-BC09-699D81A92974}"/>
    <cellStyle name="40% - Accent1 2 3 2 4 2" xfId="3825" xr:uid="{39E628BD-33DC-4F02-B80D-FBCA45DFC7FB}"/>
    <cellStyle name="40% - Accent1 2 3 2 4 2 2" xfId="17878" xr:uid="{7441FECF-1A2A-457B-A1C0-3972F43D3BEE}"/>
    <cellStyle name="40% - Accent1 2 3 2 4 3" xfId="15684" xr:uid="{C1A0591A-18C4-43D6-84A6-76C82C5DE935}"/>
    <cellStyle name="40% - Accent1 2 3 2 5" xfId="2554" xr:uid="{ECA39300-F240-4CF1-A037-C9C0DD78BA5A}"/>
    <cellStyle name="40% - Accent1 2 3 2 5 2" xfId="16605" xr:uid="{59BDAF8D-142E-4AFE-9F7A-79B140A09612}"/>
    <cellStyle name="40% - Accent1 2 3 2 6" xfId="4920" xr:uid="{BBC10E6A-C0A8-4F95-B679-B48CB854E505}"/>
    <cellStyle name="40% - Accent1 2 3 2 6 2" xfId="18972" xr:uid="{B6E70C1A-D2C3-4DD3-9F85-A0D78885CB1D}"/>
    <cellStyle name="40% - Accent1 2 3 2 7" xfId="14411" xr:uid="{67F29D1C-410D-4266-B17B-71F82BCDC251}"/>
    <cellStyle name="40% - Accent1 2 3 3" xfId="528" xr:uid="{5F30CCC7-E0C3-4595-8FC3-DF463DE7AB15}"/>
    <cellStyle name="40% - Accent1 2 3 3 2" xfId="1461" xr:uid="{E9A55DDA-A3D2-43A7-A7F8-17F97159A727}"/>
    <cellStyle name="40% - Accent1 2 3 3 2 2" xfId="3651" xr:uid="{DE751824-C61C-4961-9D4C-BBE8F4FC7FF0}"/>
    <cellStyle name="40% - Accent1 2 3 3 2 2 2" xfId="17704" xr:uid="{3AA14828-2FCE-4119-9372-F2DF3BB61DB6}"/>
    <cellStyle name="40% - Accent1 2 3 3 2 3" xfId="15510" xr:uid="{60E0A8D4-1BE2-41B5-B985-DDBBD25EBEAD}"/>
    <cellStyle name="40% - Accent1 2 3 3 3" xfId="2727" xr:uid="{9DE72979-98EA-40D4-9ACF-CDE09B261846}"/>
    <cellStyle name="40% - Accent1 2 3 3 3 2" xfId="16778" xr:uid="{9D12F3C6-B656-4F17-8CD5-37B65DB7A9E5}"/>
    <cellStyle name="40% - Accent1 2 3 3 4" xfId="4746" xr:uid="{A37158C2-12B2-468D-883B-262EEB974F32}"/>
    <cellStyle name="40% - Accent1 2 3 3 4 2" xfId="18798" xr:uid="{C3558518-4FBA-48DC-B50D-539D6720C0F8}"/>
    <cellStyle name="40% - Accent1 2 3 3 5" xfId="14583" xr:uid="{865348F7-B272-4EBC-AF48-83CF3F4A11B4}"/>
    <cellStyle name="40% - Accent1 2 3 4" xfId="881" xr:uid="{5A3F9CBD-B896-4333-99D1-2A4CC76A7387}"/>
    <cellStyle name="40% - Accent1 2 3 4 2" xfId="1980" xr:uid="{AAD78EAB-D275-4172-B562-E08D2860DF52}"/>
    <cellStyle name="40% - Accent1 2 3 4 2 2" xfId="4169" xr:uid="{D9710F08-C63B-4BEF-9189-699B775BB790}"/>
    <cellStyle name="40% - Accent1 2 3 4 2 2 2" xfId="18220" xr:uid="{CEA0AFBF-3622-4ED5-B801-F8F63960C77F}"/>
    <cellStyle name="40% - Accent1 2 3 4 2 3" xfId="16029" xr:uid="{3284F1E0-CD6E-4DFE-829A-ACE6B86C6EB3}"/>
    <cellStyle name="40% - Accent1 2 3 4 3" xfId="3073" xr:uid="{8C71F0B2-0F82-4554-9364-9B2EE9F919AB}"/>
    <cellStyle name="40% - Accent1 2 3 4 3 2" xfId="17125" xr:uid="{5811D315-489C-4ADD-B760-301B4A4E919E}"/>
    <cellStyle name="40% - Accent1 2 3 4 4" xfId="14931" xr:uid="{F6965672-FE2F-4BF0-9AB0-522C58D5D9FB}"/>
    <cellStyle name="40% - Accent1 2 3 5" xfId="1289" xr:uid="{394D4B1F-5A0B-484E-9E05-3EDC14BD8A2C}"/>
    <cellStyle name="40% - Accent1 2 3 5 2" xfId="3479" xr:uid="{799C21B3-C559-4D25-8444-C55E65151955}"/>
    <cellStyle name="40% - Accent1 2 3 5 2 2" xfId="17531" xr:uid="{2DC623CE-1CB4-4669-BF21-3A6DD4988EEB}"/>
    <cellStyle name="40% - Accent1 2 3 5 3" xfId="15337" xr:uid="{DD39A872-29F6-4678-BCF1-7690047623BF}"/>
    <cellStyle name="40% - Accent1 2 3 6" xfId="2380" xr:uid="{B7408D33-A5B1-4184-B68E-72C609420D9C}"/>
    <cellStyle name="40% - Accent1 2 3 6 2" xfId="16431" xr:uid="{ED9552DC-62E4-4EF6-94D1-13ED76F2F371}"/>
    <cellStyle name="40% - Accent1 2 3 7" xfId="4573" xr:uid="{B63D5459-43B3-4CEA-BB15-5E431CABAC4E}"/>
    <cellStyle name="40% - Accent1 2 3 7 2" xfId="18625" xr:uid="{4906DB2C-343B-455D-9766-40CCC46382E4}"/>
    <cellStyle name="40% - Accent1 2 3 8" xfId="14236" xr:uid="{C802E0ED-507D-4904-9141-B55193439501}"/>
    <cellStyle name="40% - Accent1 2 4" xfId="297" xr:uid="{32F11C0A-78F5-4DAB-9E37-19F5E7820D62}"/>
    <cellStyle name="40% - Accent1 2 4 2" xfId="651" xr:uid="{E2AA100C-D9B8-4151-B4E6-55B8851C61CC}"/>
    <cellStyle name="40% - Accent1 2 4 2 2" xfId="1753" xr:uid="{F9A9CA4F-D200-403F-A030-F6A51DCAB2BF}"/>
    <cellStyle name="40% - Accent1 2 4 2 2 2" xfId="3941" xr:uid="{D8CAB48D-E13D-4CB2-98CE-D0E9396643EE}"/>
    <cellStyle name="40% - Accent1 2 4 2 2 2 2" xfId="17993" xr:uid="{6DC3E71D-CA45-4831-AA11-AC2C640D7550}"/>
    <cellStyle name="40% - Accent1 2 4 2 2 3" xfId="15801" xr:uid="{680B5495-83B5-487D-A8E3-63F2C44A417C}"/>
    <cellStyle name="40% - Accent1 2 4 2 3" xfId="2844" xr:uid="{20B32A43-3834-4060-A52C-8FCD8A30D0D0}"/>
    <cellStyle name="40% - Accent1 2 4 2 3 2" xfId="16895" xr:uid="{71B4700A-36F0-438C-B2E4-2D74D5AC3075}"/>
    <cellStyle name="40% - Accent1 2 4 2 4" xfId="14702" xr:uid="{E74B993F-2DAC-4B92-B9EA-E497F7D88413}"/>
    <cellStyle name="40% - Accent1 2 4 3" xfId="998" xr:uid="{157E91DE-F490-451C-81E9-E0B7AC1AA50C}"/>
    <cellStyle name="40% - Accent1 2 4 3 2" xfId="2097" xr:uid="{C94B45E1-8BBD-4B65-B2B7-42400BCB9B09}"/>
    <cellStyle name="40% - Accent1 2 4 3 2 2" xfId="4286" xr:uid="{203A4572-C1BE-4B54-BB14-8260EF5FB67B}"/>
    <cellStyle name="40% - Accent1 2 4 3 2 2 2" xfId="18337" xr:uid="{17B23D58-B01F-4860-93DA-A72009C0B0F2}"/>
    <cellStyle name="40% - Accent1 2 4 3 2 3" xfId="16146" xr:uid="{F4E48E76-308A-4544-ABAB-1F2CA4FD0717}"/>
    <cellStyle name="40% - Accent1 2 4 3 3" xfId="3190" xr:uid="{4D120765-875E-4CC0-92AC-B55AC620A8F6}"/>
    <cellStyle name="40% - Accent1 2 4 3 3 2" xfId="17242" xr:uid="{4D861CA2-225F-4BC8-BB9F-7AD11C5E979B}"/>
    <cellStyle name="40% - Accent1 2 4 3 4" xfId="15048" xr:uid="{332F09F4-6C84-47AF-B32C-4C758F963B6C}"/>
    <cellStyle name="40% - Accent1 2 4 4" xfId="1578" xr:uid="{9BF395F1-1397-4E63-B6C6-66930E1641D5}"/>
    <cellStyle name="40% - Accent1 2 4 4 2" xfId="3768" xr:uid="{8503299B-3DBC-4E20-BD0B-53EEE42DA96A}"/>
    <cellStyle name="40% - Accent1 2 4 4 2 2" xfId="17821" xr:uid="{AB36EB71-7DF8-4CBF-AC15-1C3917BD0975}"/>
    <cellStyle name="40% - Accent1 2 4 4 3" xfId="15627" xr:uid="{4FF76B71-D38A-4FD6-9345-21BC703B488B}"/>
    <cellStyle name="40% - Accent1 2 4 5" xfId="2497" xr:uid="{530A7265-E2D9-4FC2-99D6-425701A38F0E}"/>
    <cellStyle name="40% - Accent1 2 4 5 2" xfId="16548" xr:uid="{D7EC05E7-EF66-4C70-97D7-75B4EC0DF9C7}"/>
    <cellStyle name="40% - Accent1 2 4 6" xfId="4863" xr:uid="{0D7A1EF5-3B95-4F21-ACF9-145C2B60DDC2}"/>
    <cellStyle name="40% - Accent1 2 4 6 2" xfId="18915" xr:uid="{3296D335-DD2E-488D-B704-D7A5D5D6FD78}"/>
    <cellStyle name="40% - Accent1 2 4 7" xfId="14354" xr:uid="{AD47D8C8-B55E-462C-9A2A-F26E192425A3}"/>
    <cellStyle name="40% - Accent1 2 5" xfId="471" xr:uid="{F4389A66-ABA6-4F24-B5CC-38F61A01BA90}"/>
    <cellStyle name="40% - Accent1 2 5 2" xfId="1404" xr:uid="{0738E7F7-1433-4D41-A6B4-8F30A317F05A}"/>
    <cellStyle name="40% - Accent1 2 5 2 2" xfId="3594" xr:uid="{EC1AE6C2-C84E-4996-8706-53A07D147C56}"/>
    <cellStyle name="40% - Accent1 2 5 2 2 2" xfId="17647" xr:uid="{4C07B359-0B98-4C89-818A-F0EE9BE2DF20}"/>
    <cellStyle name="40% - Accent1 2 5 2 3" xfId="15453" xr:uid="{3DF0125E-F1EF-4490-8DAA-7F1F67E37CBE}"/>
    <cellStyle name="40% - Accent1 2 5 3" xfId="2670" xr:uid="{1110FD12-64DB-44FE-8F8A-51784287C939}"/>
    <cellStyle name="40% - Accent1 2 5 3 2" xfId="16721" xr:uid="{22A292C8-9A0D-457A-9AE9-2DD9F15E377B}"/>
    <cellStyle name="40% - Accent1 2 5 4" xfId="4689" xr:uid="{F7BCB8A5-3E63-4BB4-BC11-B5AECE274D94}"/>
    <cellStyle name="40% - Accent1 2 5 4 2" xfId="18741" xr:uid="{36A80FEB-EE5A-44EA-B26A-E6D00564ADB4}"/>
    <cellStyle name="40% - Accent1 2 5 5" xfId="14526" xr:uid="{AE8CAE4D-4EA8-480A-A06E-71600D04F98A}"/>
    <cellStyle name="40% - Accent1 2 6" xfId="824" xr:uid="{E24FC75E-7C73-4C3E-B620-8A7020E1F3DA}"/>
    <cellStyle name="40% - Accent1 2 6 2" xfId="1923" xr:uid="{96673940-08BC-483B-9EA7-A8897EF6DD42}"/>
    <cellStyle name="40% - Accent1 2 6 2 2" xfId="4112" xr:uid="{0B9069D2-F4A9-40B1-A184-3EA320F416AD}"/>
    <cellStyle name="40% - Accent1 2 6 2 2 2" xfId="18164" xr:uid="{779F5931-FEB0-4C03-9CB0-B3E41A92A6AD}"/>
    <cellStyle name="40% - Accent1 2 6 2 3" xfId="15972" xr:uid="{19F79B71-EE6A-486F-87B0-E2536DBA63E3}"/>
    <cellStyle name="40% - Accent1 2 6 3" xfId="3016" xr:uid="{5992C8E4-B4C4-4CB3-B828-91DE2C40B84A}"/>
    <cellStyle name="40% - Accent1 2 6 3 2" xfId="17068" xr:uid="{B91D1215-4D19-41D4-BB86-EB53102DEEDB}"/>
    <cellStyle name="40% - Accent1 2 6 4" xfId="14874" xr:uid="{79381410-CD37-4192-8197-DF78943081A8}"/>
    <cellStyle name="40% - Accent1 2 7" xfId="1168" xr:uid="{8B801970-3F47-4003-96D1-012723A6352B}"/>
    <cellStyle name="40% - Accent1 2 7 2" xfId="2267" xr:uid="{DEBCEF7E-D98E-409C-B828-F5E63F7594E0}"/>
    <cellStyle name="40% - Accent1 2 7 2 2" xfId="4456" xr:uid="{A82FEF1A-7BE6-440B-99AA-94F1727A166D}"/>
    <cellStyle name="40% - Accent1 2 7 2 2 2" xfId="18507" xr:uid="{72204E3C-B8D6-467D-8236-5A12E0833E01}"/>
    <cellStyle name="40% - Accent1 2 7 2 3" xfId="16317" xr:uid="{6C6C1EB3-39FB-4BD3-B38C-2F1C31FCEEA9}"/>
    <cellStyle name="40% - Accent1 2 7 3" xfId="3361" xr:uid="{6958FCF3-7529-4C32-98B9-1FFCC0DC34FF}"/>
    <cellStyle name="40% - Accent1 2 7 3 2" xfId="17413" xr:uid="{234D0010-0F4C-4FDF-89D0-0123765AEAB0}"/>
    <cellStyle name="40% - Accent1 2 7 4" xfId="15219" xr:uid="{FAF964F0-AF8B-45BF-9E3A-5CC9DF83C2C7}"/>
    <cellStyle name="40% - Accent1 2 8" xfId="1232" xr:uid="{5D3705D6-1F82-4A7D-8828-F24CD6F53AA0}"/>
    <cellStyle name="40% - Accent1 2 8 2" xfId="3422" xr:uid="{D1A8646C-9894-4684-86E3-4F29BCA1A2D7}"/>
    <cellStyle name="40% - Accent1 2 8 2 2" xfId="17474" xr:uid="{75882959-6B06-469D-88CD-7FAA9768F704}"/>
    <cellStyle name="40% - Accent1 2 8 3" xfId="15280" xr:uid="{05F47FCE-BBCB-47FC-A72A-53A654484900}"/>
    <cellStyle name="40% - Accent1 2 9" xfId="2323" xr:uid="{88D7EB8A-C118-4932-A400-2AEA8724B9D5}"/>
    <cellStyle name="40% - Accent1 2 9 2" xfId="16374" xr:uid="{720AA3A9-E972-4471-8A55-4E1971E0D07B}"/>
    <cellStyle name="40% - Accent1 3" xfId="95" xr:uid="{A7EC884B-1CC5-4441-8005-4ED32C2078B6}"/>
    <cellStyle name="40% - Accent1 3 10" xfId="4493" xr:uid="{C502CF6A-91B1-44F6-9BF3-5DD389A0A432}"/>
    <cellStyle name="40% - Accent1 3 10 2" xfId="18544" xr:uid="{023CED1A-C946-4BF5-8359-697B8B0BBEB6}"/>
    <cellStyle name="40% - Accent1 3 11" xfId="14155" xr:uid="{20C26E91-AC56-4A72-9211-2386D9225B84}"/>
    <cellStyle name="40% - Accent1 3 2" xfId="210" xr:uid="{7B3F824C-D01B-402B-B2B2-F2AAF88FDBF9}"/>
    <cellStyle name="40% - Accent1 3 2 2" xfId="387" xr:uid="{28448876-9C23-4A3F-85AD-5A43E1095F3F}"/>
    <cellStyle name="40% - Accent1 3 2 2 2" xfId="741" xr:uid="{81E7A1CD-EF92-48B0-A545-BB2E3D4D54F4}"/>
    <cellStyle name="40% - Accent1 3 2 2 2 2" xfId="1842" xr:uid="{E37C6E9C-7F06-49C4-864F-A1727695796D}"/>
    <cellStyle name="40% - Accent1 3 2 2 2 2 2" xfId="4031" xr:uid="{69AB0D5E-1ECB-439E-857D-858D4A7E25BD}"/>
    <cellStyle name="40% - Accent1 3 2 2 2 2 2 2" xfId="18083" xr:uid="{2F31C127-699A-4811-84FD-8A5F84CBE40A}"/>
    <cellStyle name="40% - Accent1 3 2 2 2 2 3" xfId="15891" xr:uid="{34C60AD8-2E43-43AB-827A-7CEC962D429B}"/>
    <cellStyle name="40% - Accent1 3 2 2 2 3" xfId="2933" xr:uid="{E9D92372-A520-497B-972C-5170D1E79A62}"/>
    <cellStyle name="40% - Accent1 3 2 2 2 3 2" xfId="16985" xr:uid="{5370FEC8-DAC4-4BA1-9D2B-013006F633B5}"/>
    <cellStyle name="40% - Accent1 3 2 2 2 4" xfId="14792" xr:uid="{882B79B0-F742-4F8E-9BFC-D132AF1278E2}"/>
    <cellStyle name="40% - Accent1 3 2 2 3" xfId="1088" xr:uid="{77664AB7-4215-46A9-AE6F-0D95485CE83D}"/>
    <cellStyle name="40% - Accent1 3 2 2 3 2" xfId="2187" xr:uid="{15DFDB08-32F2-49CE-8061-AD5CAEB99CB8}"/>
    <cellStyle name="40% - Accent1 3 2 2 3 2 2" xfId="4376" xr:uid="{7C3C8B02-E559-4214-B1E2-B42B3E1FD5F7}"/>
    <cellStyle name="40% - Accent1 3 2 2 3 2 2 2" xfId="18426" xr:uid="{ACA87560-8F61-4DB4-A271-435DF777D568}"/>
    <cellStyle name="40% - Accent1 3 2 2 3 2 3" xfId="16236" xr:uid="{A24C9C41-AEC0-45DE-AD08-C0868E0F8871}"/>
    <cellStyle name="40% - Accent1 3 2 2 3 3" xfId="3280" xr:uid="{3FB0FF6D-B7D6-4BAB-90B7-A5A3F698B444}"/>
    <cellStyle name="40% - Accent1 3 2 2 3 3 2" xfId="17332" xr:uid="{256B0A16-01EF-4650-822A-05BA0FBBDB59}"/>
    <cellStyle name="40% - Accent1 3 2 2 3 4" xfId="15138" xr:uid="{6A68308C-00AA-4CC3-8B60-C3E0204D95D4}"/>
    <cellStyle name="40% - Accent1 3 2 2 4" xfId="1668" xr:uid="{31208A63-BA45-4427-80BA-6C56B043FD88}"/>
    <cellStyle name="40% - Accent1 3 2 2 4 2" xfId="3858" xr:uid="{19CA071A-CB4B-4240-A9B2-214337137F1C}"/>
    <cellStyle name="40% - Accent1 3 2 2 4 2 2" xfId="17911" xr:uid="{DBF05D61-13CB-4D36-A79B-E8FBDB944B27}"/>
    <cellStyle name="40% - Accent1 3 2 2 4 3" xfId="15717" xr:uid="{11E07E0C-6C1C-4EA5-81FF-0B0E2A03BF87}"/>
    <cellStyle name="40% - Accent1 3 2 2 5" xfId="2587" xr:uid="{FFAB4A84-F889-4183-BD42-404E56D6533C}"/>
    <cellStyle name="40% - Accent1 3 2 2 5 2" xfId="16638" xr:uid="{8240BE74-3A5E-4888-95CD-11D6D72F1531}"/>
    <cellStyle name="40% - Accent1 3 2 2 6" xfId="4953" xr:uid="{4536F528-2DB8-404F-967B-9B8E4ABB36E4}"/>
    <cellStyle name="40% - Accent1 3 2 2 6 2" xfId="19005" xr:uid="{B0A87BFB-6768-4844-B12A-2D60845EA35E}"/>
    <cellStyle name="40% - Accent1 3 2 2 7" xfId="14444" xr:uid="{F06CDB84-75BA-43BD-9ACA-82326E83CF68}"/>
    <cellStyle name="40% - Accent1 3 2 3" xfId="561" xr:uid="{85E84D87-F473-4E2B-9C9B-254933823C4D}"/>
    <cellStyle name="40% - Accent1 3 2 3 2" xfId="1494" xr:uid="{6D83F3D0-6137-42A6-B12A-09379079A912}"/>
    <cellStyle name="40% - Accent1 3 2 3 2 2" xfId="3684" xr:uid="{EF6060B6-30C7-4AE4-9BC9-7E3BD06777C3}"/>
    <cellStyle name="40% - Accent1 3 2 3 2 2 2" xfId="17737" xr:uid="{AAE213AF-537E-4BD7-BE27-1C8A9D4E5F1B}"/>
    <cellStyle name="40% - Accent1 3 2 3 2 3" xfId="15543" xr:uid="{72CC50F6-DC68-4281-85DD-14525AC05953}"/>
    <cellStyle name="40% - Accent1 3 2 3 3" xfId="2760" xr:uid="{F9B5A6CC-0F9B-4CE6-A5FD-B266FC7033C4}"/>
    <cellStyle name="40% - Accent1 3 2 3 3 2" xfId="16811" xr:uid="{E4BBB1F6-8F91-4D6F-8F82-22CCCF818519}"/>
    <cellStyle name="40% - Accent1 3 2 3 4" xfId="4779" xr:uid="{48DCFAB6-FE63-4E38-8156-0B0047AB7005}"/>
    <cellStyle name="40% - Accent1 3 2 3 4 2" xfId="18831" xr:uid="{F712112B-3667-4CE5-9CF6-3FB087C4125B}"/>
    <cellStyle name="40% - Accent1 3 2 3 5" xfId="14616" xr:uid="{AEC14281-7590-491D-A7DD-9718FFDD871E}"/>
    <cellStyle name="40% - Accent1 3 2 4" xfId="914" xr:uid="{31385FCE-DF4C-4D5D-82E3-278D57AB1353}"/>
    <cellStyle name="40% - Accent1 3 2 4 2" xfId="2013" xr:uid="{4E013AC3-116B-4751-B5C2-AF82A690D117}"/>
    <cellStyle name="40% - Accent1 3 2 4 2 2" xfId="4202" xr:uid="{E66C8C5F-A276-49A2-98C1-136F4BEB4219}"/>
    <cellStyle name="40% - Accent1 3 2 4 2 2 2" xfId="18253" xr:uid="{5F198329-D24C-4647-A4A8-C9BAEAD68C81}"/>
    <cellStyle name="40% - Accent1 3 2 4 2 3" xfId="16062" xr:uid="{BD50B212-725F-49F0-80E7-75A465D86900}"/>
    <cellStyle name="40% - Accent1 3 2 4 3" xfId="3106" xr:uid="{3E21FA57-9393-4A65-B822-A650A0636C99}"/>
    <cellStyle name="40% - Accent1 3 2 4 3 2" xfId="17158" xr:uid="{A2A2BA48-0D4F-47A7-9B7F-7F1E1FC156E2}"/>
    <cellStyle name="40% - Accent1 3 2 4 4" xfId="14964" xr:uid="{CF4B0A6C-0879-4D4E-8002-763DD1BDDDA7}"/>
    <cellStyle name="40% - Accent1 3 2 5" xfId="1321" xr:uid="{098FD7FD-7317-4A38-AF40-964F149EC74C}"/>
    <cellStyle name="40% - Accent1 3 2 5 2" xfId="3512" xr:uid="{ECCC3E52-80DB-4828-89A3-79925BB601C8}"/>
    <cellStyle name="40% - Accent1 3 2 5 2 2" xfId="17564" xr:uid="{111AB01E-C4C8-4AEF-8FF0-FBFBF8293306}"/>
    <cellStyle name="40% - Accent1 3 2 5 3" xfId="15370" xr:uid="{936B4A11-DA8B-4476-A2A9-0E085DAADB2D}"/>
    <cellStyle name="40% - Accent1 3 2 6" xfId="2413" xr:uid="{AD5DEE40-AC5E-4A03-B02C-496BB83A3AA5}"/>
    <cellStyle name="40% - Accent1 3 2 6 2" xfId="16464" xr:uid="{C1A3717A-22ED-439D-AF7F-40199943E6A8}"/>
    <cellStyle name="40% - Accent1 3 2 7" xfId="4606" xr:uid="{CC4890BF-116B-4E4A-B1F7-303A7A211E03}"/>
    <cellStyle name="40% - Accent1 3 2 7 2" xfId="18658" xr:uid="{E67BE6A7-54FB-48C2-BE61-C9599DE889D5}"/>
    <cellStyle name="40% - Accent1 3 2 8" xfId="14269" xr:uid="{C37A627B-7174-4C3A-BB58-40CFE5EACE03}"/>
    <cellStyle name="40% - Accent1 3 3" xfId="153" xr:uid="{34778323-656A-4720-BC70-FB949291B5AF}"/>
    <cellStyle name="40% - Accent1 3 3 2" xfId="330" xr:uid="{8FE322C4-9721-4943-BB3B-22EE15E0185B}"/>
    <cellStyle name="40% - Accent1 3 3 2 2" xfId="684" xr:uid="{FD1344B1-BA9B-4BA7-A5F7-5EDFA044DD70}"/>
    <cellStyle name="40% - Accent1 3 3 2 2 2" xfId="1785" xr:uid="{B73EFE61-053B-4B8D-A140-C6C69EA61CEB}"/>
    <cellStyle name="40% - Accent1 3 3 2 2 2 2" xfId="3974" xr:uid="{660DCE4E-8B57-4DF0-B924-5967D096FB05}"/>
    <cellStyle name="40% - Accent1 3 3 2 2 2 2 2" xfId="18026" xr:uid="{96AD71F3-2F97-4E5E-AA44-6A26E4E03CF1}"/>
    <cellStyle name="40% - Accent1 3 3 2 2 2 3" xfId="15834" xr:uid="{03F35E47-17FC-4062-A751-95C6795FC126}"/>
    <cellStyle name="40% - Accent1 3 3 2 2 3" xfId="2876" xr:uid="{5C90045D-11C4-440F-BC78-6E8B70752052}"/>
    <cellStyle name="40% - Accent1 3 3 2 2 3 2" xfId="16928" xr:uid="{AB4D2B33-F51D-4B46-8B9F-CB1A6C87835B}"/>
    <cellStyle name="40% - Accent1 3 3 2 2 4" xfId="14735" xr:uid="{8A41D564-8478-472E-8F01-386F184C880D}"/>
    <cellStyle name="40% - Accent1 3 3 2 3" xfId="1031" xr:uid="{5D76D281-9A0B-485C-A54F-5B8FD62E524D}"/>
    <cellStyle name="40% - Accent1 3 3 2 3 2" xfId="2130" xr:uid="{48E129D5-F6B3-496A-959B-216720D3FF9F}"/>
    <cellStyle name="40% - Accent1 3 3 2 3 2 2" xfId="4319" xr:uid="{7E3D9AE1-28CD-4440-97BB-A7A1897BFAA0}"/>
    <cellStyle name="40% - Accent1 3 3 2 3 2 2 2" xfId="18369" xr:uid="{8476945E-6985-4F45-AEC1-EC809E9B389B}"/>
    <cellStyle name="40% - Accent1 3 3 2 3 2 3" xfId="16179" xr:uid="{E72C5049-DA76-4A55-A584-7DE0A9AD886A}"/>
    <cellStyle name="40% - Accent1 3 3 2 3 3" xfId="3223" xr:uid="{F227D530-7E9C-475B-845E-6B3677B0D38C}"/>
    <cellStyle name="40% - Accent1 3 3 2 3 3 2" xfId="17275" xr:uid="{92A4DAFA-9A98-4859-B16A-F33CA4B55E29}"/>
    <cellStyle name="40% - Accent1 3 3 2 3 4" xfId="15081" xr:uid="{24EAD352-5524-44A4-89E6-83C4C78EAD42}"/>
    <cellStyle name="40% - Accent1 3 3 2 4" xfId="1611" xr:uid="{A6C1407F-9720-43C0-B657-5A561DFC6999}"/>
    <cellStyle name="40% - Accent1 3 3 2 4 2" xfId="3801" xr:uid="{158AD81C-7F4F-4359-BFF4-40C31F21E337}"/>
    <cellStyle name="40% - Accent1 3 3 2 4 2 2" xfId="17854" xr:uid="{6B443475-B3B9-4E12-A64D-EB813C9B3281}"/>
    <cellStyle name="40% - Accent1 3 3 2 4 3" xfId="15660" xr:uid="{FA44AD39-9269-4643-AC3E-6DB9BAC2B34A}"/>
    <cellStyle name="40% - Accent1 3 3 2 5" xfId="2530" xr:uid="{033CBFF8-72D9-47DB-A870-1017BFEC8656}"/>
    <cellStyle name="40% - Accent1 3 3 2 5 2" xfId="16581" xr:uid="{66CBE464-F776-4216-83BF-F8A1026C92F7}"/>
    <cellStyle name="40% - Accent1 3 3 2 6" xfId="4896" xr:uid="{3DE6FB69-2D68-4BFC-9B02-DD5483A42054}"/>
    <cellStyle name="40% - Accent1 3 3 2 6 2" xfId="18948" xr:uid="{7BEFF822-2F39-455E-A873-E53233E1A493}"/>
    <cellStyle name="40% - Accent1 3 3 2 7" xfId="14387" xr:uid="{544F848B-2C8C-47D0-97F5-45750EAFEA07}"/>
    <cellStyle name="40% - Accent1 3 3 3" xfId="504" xr:uid="{E17684E6-A51F-4BD2-8F86-81982F1A2ED9}"/>
    <cellStyle name="40% - Accent1 3 3 3 2" xfId="1437" xr:uid="{E1B7597A-470E-4CA2-B75D-78CD5F56999F}"/>
    <cellStyle name="40% - Accent1 3 3 3 2 2" xfId="3627" xr:uid="{7367844B-700E-4570-B31C-C55838DB0E5D}"/>
    <cellStyle name="40% - Accent1 3 3 3 2 2 2" xfId="17680" xr:uid="{24E86FEF-2B25-4A98-BA3B-54EFF7D56B6A}"/>
    <cellStyle name="40% - Accent1 3 3 3 2 3" xfId="15486" xr:uid="{4B52B50D-80F6-46DF-AAE8-EEDC73614058}"/>
    <cellStyle name="40% - Accent1 3 3 3 3" xfId="2703" xr:uid="{6DF00338-33AE-4B0F-AEDF-048023076506}"/>
    <cellStyle name="40% - Accent1 3 3 3 3 2" xfId="16754" xr:uid="{A9DFD29F-48DD-4D6A-BFDE-EAAE471CDE78}"/>
    <cellStyle name="40% - Accent1 3 3 3 4" xfId="4722" xr:uid="{1A424F53-774F-4D53-BDB8-E41BE33BA1E3}"/>
    <cellStyle name="40% - Accent1 3 3 3 4 2" xfId="18774" xr:uid="{7178492D-FB3E-4E0F-BE22-FE259014D1F5}"/>
    <cellStyle name="40% - Accent1 3 3 3 5" xfId="14559" xr:uid="{B4F1A810-4360-4317-9B82-62CDE42B37D3}"/>
    <cellStyle name="40% - Accent1 3 3 4" xfId="857" xr:uid="{00D53FB6-7564-42CE-9DF3-C7175514FE5B}"/>
    <cellStyle name="40% - Accent1 3 3 4 2" xfId="1956" xr:uid="{7FB6D9CB-91B2-4613-A00B-7516E2845AAB}"/>
    <cellStyle name="40% - Accent1 3 3 4 2 2" xfId="4145" xr:uid="{AB4EA05F-B42E-41DA-9A6C-CE044403D415}"/>
    <cellStyle name="40% - Accent1 3 3 4 2 2 2" xfId="18196" xr:uid="{F9377EED-107A-478F-BD64-3045A6B42F59}"/>
    <cellStyle name="40% - Accent1 3 3 4 2 3" xfId="16005" xr:uid="{DFBEE073-C30F-4444-A2CF-347D2078C69A}"/>
    <cellStyle name="40% - Accent1 3 3 4 3" xfId="3049" xr:uid="{21510A35-D461-409E-855C-EF166BA9DF2D}"/>
    <cellStyle name="40% - Accent1 3 3 4 3 2" xfId="17101" xr:uid="{0905744D-FA9C-4C00-9BE3-3A9ED7049E33}"/>
    <cellStyle name="40% - Accent1 3 3 4 4" xfId="14907" xr:uid="{630E1C61-0FB7-4E79-BB22-ED91B3F31F72}"/>
    <cellStyle name="40% - Accent1 3 3 5" xfId="1265" xr:uid="{94CF2185-C564-46DA-BFA0-1EAE9E229C8B}"/>
    <cellStyle name="40% - Accent1 3 3 5 2" xfId="3455" xr:uid="{33BFBFBA-D0E1-4548-91AA-92E42FCBFF74}"/>
    <cellStyle name="40% - Accent1 3 3 5 2 2" xfId="17507" xr:uid="{C4D11FBF-5788-41F6-BF7A-7C23DCAF4A94}"/>
    <cellStyle name="40% - Accent1 3 3 5 3" xfId="15313" xr:uid="{79D5855E-68F7-46D1-AE70-DA6B49004D42}"/>
    <cellStyle name="40% - Accent1 3 3 6" xfId="2356" xr:uid="{FA356FBA-A7C4-4821-BC06-537D5CF7266F}"/>
    <cellStyle name="40% - Accent1 3 3 6 2" xfId="16407" xr:uid="{6C75B818-AD7A-4306-A9A0-7C6D0C192C68}"/>
    <cellStyle name="40% - Accent1 3 3 7" xfId="4549" xr:uid="{4F0B6257-544B-409E-BE05-DFDCA0423108}"/>
    <cellStyle name="40% - Accent1 3 3 7 2" xfId="18601" xr:uid="{0F5E22C8-8C43-4B20-9B7B-3B39064345CA}"/>
    <cellStyle name="40% - Accent1 3 3 8" xfId="14212" xr:uid="{4C118A23-FD66-437D-AD15-531654F7B124}"/>
    <cellStyle name="40% - Accent1 3 4" xfId="273" xr:uid="{EDB5F214-250B-48A6-B866-1DAF294956AF}"/>
    <cellStyle name="40% - Accent1 3 4 2" xfId="627" xr:uid="{26BBD45D-6D9A-4B00-84B9-2DB37521A03B}"/>
    <cellStyle name="40% - Accent1 3 4 2 2" xfId="1729" xr:uid="{951AA74B-6E46-4D0E-821B-B682B0325ADE}"/>
    <cellStyle name="40% - Accent1 3 4 2 2 2" xfId="3917" xr:uid="{76E645D7-F4D7-4688-8D35-008D7F9B6598}"/>
    <cellStyle name="40% - Accent1 3 4 2 2 2 2" xfId="17969" xr:uid="{63357433-F751-4737-B2BD-F031E697725D}"/>
    <cellStyle name="40% - Accent1 3 4 2 2 3" xfId="15777" xr:uid="{6811B7EE-8BA4-4498-8080-F3E46A155A50}"/>
    <cellStyle name="40% - Accent1 3 4 2 3" xfId="2820" xr:uid="{87E3CB58-298B-4398-9B4C-A64B77B7EC80}"/>
    <cellStyle name="40% - Accent1 3 4 2 3 2" xfId="16871" xr:uid="{922AE4F5-56B6-49B5-A476-1D9636864BDD}"/>
    <cellStyle name="40% - Accent1 3 4 2 4" xfId="14678" xr:uid="{565A5789-2529-4B2B-BBF8-82DB18525C6B}"/>
    <cellStyle name="40% - Accent1 3 4 3" xfId="974" xr:uid="{E3CDB45F-0EBF-4DAB-B79F-FF134587887A}"/>
    <cellStyle name="40% - Accent1 3 4 3 2" xfId="2073" xr:uid="{EE0A38B4-87A0-4741-A3B4-2159600877F8}"/>
    <cellStyle name="40% - Accent1 3 4 3 2 2" xfId="4262" xr:uid="{2564837B-4269-4D48-8116-0E223FCBCFF4}"/>
    <cellStyle name="40% - Accent1 3 4 3 2 2 2" xfId="18313" xr:uid="{3E0FFA95-CE19-43CC-9589-CC8DF951915C}"/>
    <cellStyle name="40% - Accent1 3 4 3 2 3" xfId="16122" xr:uid="{CB608D3B-F660-4BFE-9DA7-6F267F601674}"/>
    <cellStyle name="40% - Accent1 3 4 3 3" xfId="3166" xr:uid="{D38E6BD6-6365-4FB9-8129-81E00D891CA5}"/>
    <cellStyle name="40% - Accent1 3 4 3 3 2" xfId="17218" xr:uid="{FE96FFEB-2AE2-4A02-B72E-0D7C9BE23B96}"/>
    <cellStyle name="40% - Accent1 3 4 3 4" xfId="15024" xr:uid="{3329107A-2462-48D9-9399-8D62D678A09C}"/>
    <cellStyle name="40% - Accent1 3 4 4" xfId="1554" xr:uid="{4F7498B1-4180-4F31-8351-591FA7A5693B}"/>
    <cellStyle name="40% - Accent1 3 4 4 2" xfId="3744" xr:uid="{27A20E81-81BD-45CF-A53E-66B1D93CBD2E}"/>
    <cellStyle name="40% - Accent1 3 4 4 2 2" xfId="17797" xr:uid="{D0285B8B-4D5E-4035-9D1B-0553FFB52B06}"/>
    <cellStyle name="40% - Accent1 3 4 4 3" xfId="15603" xr:uid="{171AE29F-F49A-4065-B256-D0E9366352FC}"/>
    <cellStyle name="40% - Accent1 3 4 5" xfId="2473" xr:uid="{9E4AD821-03F4-40E1-9BEC-34D4CC24F793}"/>
    <cellStyle name="40% - Accent1 3 4 5 2" xfId="16524" xr:uid="{BBC12B31-1C6B-4E0B-BAAF-02B33084E6CD}"/>
    <cellStyle name="40% - Accent1 3 4 6" xfId="4839" xr:uid="{720AD5CB-843C-4C92-AC77-F679CF735BC1}"/>
    <cellStyle name="40% - Accent1 3 4 6 2" xfId="18891" xr:uid="{90AAE1C6-9C19-4C3E-B16F-0B00A4AED133}"/>
    <cellStyle name="40% - Accent1 3 4 7" xfId="14330" xr:uid="{AF4C4797-638E-4A32-BDE4-3753B317DDD3}"/>
    <cellStyle name="40% - Accent1 3 5" xfId="447" xr:uid="{BAC97213-EC04-4417-A9E2-DFECEB949B05}"/>
    <cellStyle name="40% - Accent1 3 5 2" xfId="1380" xr:uid="{64684065-30A0-499E-951A-3AF1AEFEAF13}"/>
    <cellStyle name="40% - Accent1 3 5 2 2" xfId="3570" xr:uid="{CC18D018-6DE7-4060-82AD-417A8EC3E73B}"/>
    <cellStyle name="40% - Accent1 3 5 2 2 2" xfId="17623" xr:uid="{C6EBA3D6-1668-4546-8C27-AEA66167A4C2}"/>
    <cellStyle name="40% - Accent1 3 5 2 3" xfId="15429" xr:uid="{65036B00-ED8D-4FE3-9222-6AAA0B2BE5B2}"/>
    <cellStyle name="40% - Accent1 3 5 3" xfId="2646" xr:uid="{3451AE71-12F8-4F5A-AEA3-56BED3F9DE18}"/>
    <cellStyle name="40% - Accent1 3 5 3 2" xfId="16697" xr:uid="{05B70DCC-D319-4ED6-A008-532E7BB3F2E3}"/>
    <cellStyle name="40% - Accent1 3 5 4" xfId="4665" xr:uid="{9C82A33C-058E-4831-B599-FB1606BBC084}"/>
    <cellStyle name="40% - Accent1 3 5 4 2" xfId="18717" xr:uid="{A3DB44D7-D3A6-4B22-80CA-68A68B682417}"/>
    <cellStyle name="40% - Accent1 3 5 5" xfId="14502" xr:uid="{4A018CDE-22CC-4672-9115-D16AABF7AE60}"/>
    <cellStyle name="40% - Accent1 3 6" xfId="800" xr:uid="{6A568725-2334-4AA4-8722-56563330DC67}"/>
    <cellStyle name="40% - Accent1 3 6 2" xfId="1899" xr:uid="{5B5E3FE7-3A4A-43D6-BBBD-9C419FC3E15A}"/>
    <cellStyle name="40% - Accent1 3 6 2 2" xfId="4088" xr:uid="{647F118E-C6E7-4C4C-AA52-83558A172C90}"/>
    <cellStyle name="40% - Accent1 3 6 2 2 2" xfId="18140" xr:uid="{417A13A5-AD07-4537-B13D-89200F2D238D}"/>
    <cellStyle name="40% - Accent1 3 6 2 3" xfId="15948" xr:uid="{F59B584E-3BF0-409D-830F-934FF889AB23}"/>
    <cellStyle name="40% - Accent1 3 6 3" xfId="2992" xr:uid="{E86BA115-7C43-4270-AD60-EDAC1995D6F7}"/>
    <cellStyle name="40% - Accent1 3 6 3 2" xfId="17044" xr:uid="{E33C9AEE-5D58-4A51-B53F-6D3DABAE8178}"/>
    <cellStyle name="40% - Accent1 3 6 4" xfId="14850" xr:uid="{8857D93D-68F6-4730-96A4-582656F9D858}"/>
    <cellStyle name="40% - Accent1 3 7" xfId="1144" xr:uid="{60C225F0-80AB-4DB9-90BE-8C06D8363FA3}"/>
    <cellStyle name="40% - Accent1 3 7 2" xfId="2244" xr:uid="{ACE8E90E-F75C-4E3E-9B89-5A239F780A8F}"/>
    <cellStyle name="40% - Accent1 3 7 2 2" xfId="4433" xr:uid="{FE9B2B63-B3DF-4788-A24B-22ABBBA6877C}"/>
    <cellStyle name="40% - Accent1 3 7 2 2 2" xfId="18483" xr:uid="{17B09E3D-B816-44D3-BF53-727A074A66B6}"/>
    <cellStyle name="40% - Accent1 3 7 2 3" xfId="16293" xr:uid="{EABF409D-5872-4DB1-93F1-6CC1D62DAE62}"/>
    <cellStyle name="40% - Accent1 3 7 3" xfId="3337" xr:uid="{CB0424F5-DAF0-48E1-A854-9B3328141054}"/>
    <cellStyle name="40% - Accent1 3 7 3 2" xfId="17389" xr:uid="{FEB56BCF-514B-4465-B193-DEC0323BE0A3}"/>
    <cellStyle name="40% - Accent1 3 7 4" xfId="15195" xr:uid="{4DC679BF-88C8-45A8-9FD6-853E9558CD84}"/>
    <cellStyle name="40% - Accent1 3 8" xfId="1208" xr:uid="{18A1C4CE-860D-4EEB-83D8-F76946DB10FF}"/>
    <cellStyle name="40% - Accent1 3 8 2" xfId="3398" xr:uid="{C9F36464-C654-4C04-A1E9-C492CFB88592}"/>
    <cellStyle name="40% - Accent1 3 8 2 2" xfId="17450" xr:uid="{630DD9EA-7650-499A-B1BF-4913564D84F0}"/>
    <cellStyle name="40% - Accent1 3 8 3" xfId="15256" xr:uid="{BCD35A7A-D6A4-4CEE-A31C-6C3CBFA8BC07}"/>
    <cellStyle name="40% - Accent1 3 9" xfId="2299" xr:uid="{85B88934-FA46-46DF-89FE-95E23DC84958}"/>
    <cellStyle name="40% - Accent1 3 9 2" xfId="16350" xr:uid="{B53FEF3D-0ACD-4D0B-8927-0A1992E83D1E}"/>
    <cellStyle name="40% - Accent1 4" xfId="190" xr:uid="{C00EE639-3CB1-4AC6-BE41-8BE77AC032BA}"/>
    <cellStyle name="40% - Accent1 4 2" xfId="367" xr:uid="{ED696B22-065F-4588-A45A-7C4B602CB3DF}"/>
    <cellStyle name="40% - Accent1 4 2 2" xfId="721" xr:uid="{CFB4B12E-0E76-49EB-8B3B-DE49C9D998FB}"/>
    <cellStyle name="40% - Accent1 4 2 2 2" xfId="1822" xr:uid="{037E9AFE-3002-4396-979F-ADDAB498628F}"/>
    <cellStyle name="40% - Accent1 4 2 2 2 2" xfId="4011" xr:uid="{A1A88DD8-4CDF-4FB9-BF4A-6F9F442FBD77}"/>
    <cellStyle name="40% - Accent1 4 2 2 2 2 2" xfId="18063" xr:uid="{D27FE485-9978-4548-876A-C4370BAA8A24}"/>
    <cellStyle name="40% - Accent1 4 2 2 2 3" xfId="15871" xr:uid="{E6E04418-43D5-4941-9C74-EA3D0677AF98}"/>
    <cellStyle name="40% - Accent1 4 2 2 3" xfId="2913" xr:uid="{C863257A-3EC2-445B-ADF4-22EDC149C5B5}"/>
    <cellStyle name="40% - Accent1 4 2 2 3 2" xfId="16965" xr:uid="{5A9BC50F-338E-4D6A-8AFA-590B517DBEB0}"/>
    <cellStyle name="40% - Accent1 4 2 2 4" xfId="14772" xr:uid="{460B7E25-4ED3-44BF-833B-A2C46E3639B0}"/>
    <cellStyle name="40% - Accent1 4 2 3" xfId="1068" xr:uid="{01B3229C-7D6E-4940-951E-0E74A39B3A8C}"/>
    <cellStyle name="40% - Accent1 4 2 3 2" xfId="2167" xr:uid="{8CD84665-2E96-453E-9F6F-52076298318C}"/>
    <cellStyle name="40% - Accent1 4 2 3 2 2" xfId="4356" xr:uid="{DD0F89D4-7A51-4C5C-80E4-72B994794AE5}"/>
    <cellStyle name="40% - Accent1 4 2 3 2 2 2" xfId="18406" xr:uid="{34F88423-8AA6-4C62-925A-0BD44A1261BA}"/>
    <cellStyle name="40% - Accent1 4 2 3 2 3" xfId="16216" xr:uid="{75987F82-6031-49A9-B9BC-8874C6640119}"/>
    <cellStyle name="40% - Accent1 4 2 3 3" xfId="3260" xr:uid="{E479672D-55A7-4F61-8193-E4C881F390C6}"/>
    <cellStyle name="40% - Accent1 4 2 3 3 2" xfId="17312" xr:uid="{067FA327-7AC2-4E55-AD78-8354C1D8C07C}"/>
    <cellStyle name="40% - Accent1 4 2 3 4" xfId="15118" xr:uid="{B80B2732-4432-4269-805E-A3274B74F057}"/>
    <cellStyle name="40% - Accent1 4 2 4" xfId="1648" xr:uid="{BA51839B-0E35-41CD-9841-2AEED345DA0D}"/>
    <cellStyle name="40% - Accent1 4 2 4 2" xfId="3838" xr:uid="{9713E0B2-A172-42AA-9A1B-08516862D792}"/>
    <cellStyle name="40% - Accent1 4 2 4 2 2" xfId="17891" xr:uid="{CAAFC616-2573-4BA7-88F3-68D2F35C71DC}"/>
    <cellStyle name="40% - Accent1 4 2 4 3" xfId="15697" xr:uid="{2B0AB776-AC21-4A49-A525-8B42B427E5B9}"/>
    <cellStyle name="40% - Accent1 4 2 5" xfId="2567" xr:uid="{77D816C8-B2D1-4257-A80E-3A54750B0E73}"/>
    <cellStyle name="40% - Accent1 4 2 5 2" xfId="16618" xr:uid="{FE3E3A46-80DD-43B5-9099-EC5C08F403FE}"/>
    <cellStyle name="40% - Accent1 4 2 6" xfId="4933" xr:uid="{A9ECEF6D-B45B-473F-B4DF-275B84BB0438}"/>
    <cellStyle name="40% - Accent1 4 2 6 2" xfId="18985" xr:uid="{AFDA1AF7-A91C-4768-985B-7BD227953CFE}"/>
    <cellStyle name="40% - Accent1 4 2 7" xfId="14424" xr:uid="{1FD0F93C-1083-4B0D-9A84-63A0CE87A2F7}"/>
    <cellStyle name="40% - Accent1 4 3" xfId="541" xr:uid="{309A32F1-BDB2-4D98-835F-15AD701CF36E}"/>
    <cellStyle name="40% - Accent1 4 3 2" xfId="1474" xr:uid="{D07399DC-53FA-47FF-80ED-682F52A06772}"/>
    <cellStyle name="40% - Accent1 4 3 2 2" xfId="3664" xr:uid="{A6E455D2-A2C9-4D85-9B46-F2E7391680C4}"/>
    <cellStyle name="40% - Accent1 4 3 2 2 2" xfId="17717" xr:uid="{90596A4E-DD08-431E-830F-E98D40DB1457}"/>
    <cellStyle name="40% - Accent1 4 3 2 3" xfId="15523" xr:uid="{B4BA7D93-D502-4F33-927D-C7D088D55B2C}"/>
    <cellStyle name="40% - Accent1 4 3 3" xfId="2740" xr:uid="{44EC1154-9E5A-4681-951C-45C0C62F1F60}"/>
    <cellStyle name="40% - Accent1 4 3 3 2" xfId="16791" xr:uid="{17AFD6E2-24F8-49B2-B624-BF14B1BBB2BB}"/>
    <cellStyle name="40% - Accent1 4 3 4" xfId="4759" xr:uid="{83FBD082-11A7-417E-90FE-63788B06155C}"/>
    <cellStyle name="40% - Accent1 4 3 4 2" xfId="18811" xr:uid="{93BDF875-171A-4AF7-889C-4E70BEBD52F5}"/>
    <cellStyle name="40% - Accent1 4 3 5" xfId="14596" xr:uid="{20830A09-FB11-4BBC-94B4-F609D28AD75D}"/>
    <cellStyle name="40% - Accent1 4 4" xfId="894" xr:uid="{1159C6FA-68AD-4E99-A159-A68FA46628F1}"/>
    <cellStyle name="40% - Accent1 4 4 2" xfId="1993" xr:uid="{FC5DF8A5-09B2-4C97-9D64-F025314997E4}"/>
    <cellStyle name="40% - Accent1 4 4 2 2" xfId="4182" xr:uid="{166C2701-1830-4A30-9EBB-91E326FF547C}"/>
    <cellStyle name="40% - Accent1 4 4 2 2 2" xfId="18233" xr:uid="{204E4EF3-F60B-45BD-BBBB-3FB6788B49F5}"/>
    <cellStyle name="40% - Accent1 4 4 2 3" xfId="16042" xr:uid="{4DAC272D-D6A7-42B7-89FD-041972B045E0}"/>
    <cellStyle name="40% - Accent1 4 4 3" xfId="3086" xr:uid="{8E9FF594-EEFA-464F-8461-07676CE599A2}"/>
    <cellStyle name="40% - Accent1 4 4 3 2" xfId="17138" xr:uid="{D6D675F5-8639-4541-89F5-8BEDAFB928CF}"/>
    <cellStyle name="40% - Accent1 4 4 4" xfId="14944" xr:uid="{85D1D631-CCB9-484A-A7E8-26C7207846E5}"/>
    <cellStyle name="40% - Accent1 4 5" xfId="1301" xr:uid="{3CC258B7-17BC-401D-9858-2F1BF627CBAF}"/>
    <cellStyle name="40% - Accent1 4 5 2" xfId="3492" xr:uid="{626A71D7-1543-4892-A4C5-6F8FCFE78A4D}"/>
    <cellStyle name="40% - Accent1 4 5 2 2" xfId="17544" xr:uid="{CF4CCD23-9DB5-4309-8000-25A9CD8D49E6}"/>
    <cellStyle name="40% - Accent1 4 5 3" xfId="15350" xr:uid="{A4E7B51E-5373-4D6A-BBF8-8725358B557F}"/>
    <cellStyle name="40% - Accent1 4 6" xfId="2393" xr:uid="{2E95DD73-E899-4BCE-9BE1-B3089FDC4BBF}"/>
    <cellStyle name="40% - Accent1 4 6 2" xfId="16444" xr:uid="{62A7136B-B930-4513-90C0-E49EC96730C0}"/>
    <cellStyle name="40% - Accent1 4 7" xfId="4586" xr:uid="{CEE36662-CD09-4A2C-A007-C1E7BCDC4E32}"/>
    <cellStyle name="40% - Accent1 4 7 2" xfId="18638" xr:uid="{DEE8418E-D8A0-4A87-A5F9-ABAE44629E74}"/>
    <cellStyle name="40% - Accent1 4 8" xfId="14249" xr:uid="{07E89158-C14B-4F0D-94ED-C9AD41AE4E30}"/>
    <cellStyle name="40% - Accent1 5" xfId="133" xr:uid="{5FD68643-A182-4212-BE25-4E58989083B2}"/>
    <cellStyle name="40% - Accent1 5 2" xfId="310" xr:uid="{2F4E8FA4-1C0B-48DD-BFE7-9D8F161F17A6}"/>
    <cellStyle name="40% - Accent1 5 2 2" xfId="664" xr:uid="{2332321C-F90B-4A65-A4F3-04C76C7C5997}"/>
    <cellStyle name="40% - Accent1 5 2 2 2" xfId="1765" xr:uid="{AA8F7F44-99A4-44AF-9919-7B2879BFDC22}"/>
    <cellStyle name="40% - Accent1 5 2 2 2 2" xfId="3954" xr:uid="{57FD0B2A-E30C-4B48-BCCC-7D56CAC7BDC7}"/>
    <cellStyle name="40% - Accent1 5 2 2 2 2 2" xfId="18006" xr:uid="{C8FAA71F-A770-425D-B353-E91B9CEB77C2}"/>
    <cellStyle name="40% - Accent1 5 2 2 2 3" xfId="15814" xr:uid="{3E2C5195-714C-4D2E-BF53-F7CB6296C5E9}"/>
    <cellStyle name="40% - Accent1 5 2 2 3" xfId="2856" xr:uid="{D1E16C61-74D9-4FFA-9CFC-76758101E3BE}"/>
    <cellStyle name="40% - Accent1 5 2 2 3 2" xfId="16908" xr:uid="{3AF7D982-E6A8-4178-AA91-5D1B92950221}"/>
    <cellStyle name="40% - Accent1 5 2 2 4" xfId="14715" xr:uid="{6631C249-B212-4071-9A51-263FC339B803}"/>
    <cellStyle name="40% - Accent1 5 2 3" xfId="1011" xr:uid="{DBE1E983-2C62-4B7C-879B-1709C1D0B7D1}"/>
    <cellStyle name="40% - Accent1 5 2 3 2" xfId="2110" xr:uid="{9953B3CA-6EF9-4C3F-AF85-93513B2BD9DB}"/>
    <cellStyle name="40% - Accent1 5 2 3 2 2" xfId="4299" xr:uid="{2A5FE8B8-D8F0-4EC9-8A04-3856263ED4D4}"/>
    <cellStyle name="40% - Accent1 5 2 3 2 2 2" xfId="18349" xr:uid="{D2561E0D-4FAF-4A73-BEB6-E1DFD25AE0F8}"/>
    <cellStyle name="40% - Accent1 5 2 3 2 3" xfId="16159" xr:uid="{77080DC1-629F-4043-A92F-AF0C2C22EACD}"/>
    <cellStyle name="40% - Accent1 5 2 3 3" xfId="3203" xr:uid="{860725DA-9035-4998-A7AD-4E0FA51306C2}"/>
    <cellStyle name="40% - Accent1 5 2 3 3 2" xfId="17255" xr:uid="{DD287F16-E803-4654-A701-545D71F05256}"/>
    <cellStyle name="40% - Accent1 5 2 3 4" xfId="15061" xr:uid="{0BAB4027-4B63-4494-B64F-B8128E5713BE}"/>
    <cellStyle name="40% - Accent1 5 2 4" xfId="1591" xr:uid="{BFC5EE1D-CD7E-46F6-A80B-46F3C2F915F8}"/>
    <cellStyle name="40% - Accent1 5 2 4 2" xfId="3781" xr:uid="{948D79EF-C464-4CAD-AE41-0A5C44928E48}"/>
    <cellStyle name="40% - Accent1 5 2 4 2 2" xfId="17834" xr:uid="{18F4C29C-1624-4D08-992E-94A2F338D005}"/>
    <cellStyle name="40% - Accent1 5 2 4 3" xfId="15640" xr:uid="{B28C2B70-85EC-47FD-8DB5-D97B770D5B96}"/>
    <cellStyle name="40% - Accent1 5 2 5" xfId="2510" xr:uid="{420B2AF5-70D0-40BF-BF00-57E34A3FC644}"/>
    <cellStyle name="40% - Accent1 5 2 5 2" xfId="16561" xr:uid="{A5A8770A-FDC3-4884-8676-0D76204E8D13}"/>
    <cellStyle name="40% - Accent1 5 2 6" xfId="4876" xr:uid="{8DD87F78-6FF0-4B36-B1E0-5CA159BE740A}"/>
    <cellStyle name="40% - Accent1 5 2 6 2" xfId="18928" xr:uid="{7F2EED1D-E0B1-49AA-9FC6-9BD4CA017741}"/>
    <cellStyle name="40% - Accent1 5 2 7" xfId="14367" xr:uid="{DCE3ABBE-5E0A-4953-8FCE-3B0FF412D5E3}"/>
    <cellStyle name="40% - Accent1 5 3" xfId="484" xr:uid="{3235E27B-7432-49F6-A455-91B2D3CFA04E}"/>
    <cellStyle name="40% - Accent1 5 3 2" xfId="1417" xr:uid="{8E0131D6-22BD-440A-BE98-358BDE9E2E79}"/>
    <cellStyle name="40% - Accent1 5 3 2 2" xfId="3607" xr:uid="{FFB69186-C403-45A3-B969-91F33A2E6C10}"/>
    <cellStyle name="40% - Accent1 5 3 2 2 2" xfId="17660" xr:uid="{7762FEC1-1BF4-4784-9C2D-E47692B4A14F}"/>
    <cellStyle name="40% - Accent1 5 3 2 3" xfId="15466" xr:uid="{7EE8836F-AF96-4A9D-AE90-3E32259BD3B0}"/>
    <cellStyle name="40% - Accent1 5 3 3" xfId="2683" xr:uid="{554C3605-EBA6-4456-A61E-9B36577F7732}"/>
    <cellStyle name="40% - Accent1 5 3 3 2" xfId="16734" xr:uid="{E9F1E7E4-DE0E-41F5-8D2C-90BEAB64130D}"/>
    <cellStyle name="40% - Accent1 5 3 4" xfId="4702" xr:uid="{6909F96D-BC75-4C2F-8A31-4B5BB38997D9}"/>
    <cellStyle name="40% - Accent1 5 3 4 2" xfId="18754" xr:uid="{8276881F-7B29-458B-968C-8AC09629E2DC}"/>
    <cellStyle name="40% - Accent1 5 3 5" xfId="14539" xr:uid="{2DE32E4E-11C4-4104-93E8-C7ECD46440FB}"/>
    <cellStyle name="40% - Accent1 5 4" xfId="837" xr:uid="{F9B7B140-639E-4179-A4B1-5BE2F32D64C0}"/>
    <cellStyle name="40% - Accent1 5 4 2" xfId="1936" xr:uid="{FCDBF940-526E-4151-A20F-DD0C84282059}"/>
    <cellStyle name="40% - Accent1 5 4 2 2" xfId="4125" xr:uid="{4C9DC2DE-9B13-40AB-8BC5-3AB539B5A2B2}"/>
    <cellStyle name="40% - Accent1 5 4 2 2 2" xfId="18177" xr:uid="{92DD044E-8662-4DD9-B70E-4F06E39AFC26}"/>
    <cellStyle name="40% - Accent1 5 4 2 3" xfId="15985" xr:uid="{1B5B8D9E-B2FC-4957-9AAF-FB938A9A0E05}"/>
    <cellStyle name="40% - Accent1 5 4 3" xfId="3029" xr:uid="{B04C1F7C-FA8A-4DAC-B859-6ED12D5292C5}"/>
    <cellStyle name="40% - Accent1 5 4 3 2" xfId="17081" xr:uid="{6DEBDC1A-95CA-4F3E-AB2F-00C9486DFCD5}"/>
    <cellStyle name="40% - Accent1 5 4 4" xfId="14887" xr:uid="{3533CD3A-BE0A-4CCA-8908-4D459317A4FC}"/>
    <cellStyle name="40% - Accent1 5 5" xfId="1245" xr:uid="{285EE342-911F-4E6D-8CEC-9DAB9855515A}"/>
    <cellStyle name="40% - Accent1 5 5 2" xfId="3435" xr:uid="{14C33B4F-E269-4CA8-8233-9A79E44E0324}"/>
    <cellStyle name="40% - Accent1 5 5 2 2" xfId="17487" xr:uid="{D869813D-453A-4DCB-8EDC-FC0877F1497C}"/>
    <cellStyle name="40% - Accent1 5 5 3" xfId="15293" xr:uid="{0EFF4CB0-D070-4A4B-B05D-FC6C3D433B1C}"/>
    <cellStyle name="40% - Accent1 5 6" xfId="2336" xr:uid="{9B0CFE8A-49AD-430A-9F13-411C8547EAE0}"/>
    <cellStyle name="40% - Accent1 5 6 2" xfId="16387" xr:uid="{B1EBFA35-18D4-45C5-8F08-0672507ED939}"/>
    <cellStyle name="40% - Accent1 5 7" xfId="4529" xr:uid="{F3A5E84B-025B-4076-B689-C11DF7FCC8E7}"/>
    <cellStyle name="40% - Accent1 5 7 2" xfId="18581" xr:uid="{49B6A258-9DC2-43C4-B5C1-3095EF28B5BA}"/>
    <cellStyle name="40% - Accent1 5 8" xfId="14192" xr:uid="{6786BEF3-3E4D-43B9-8060-51540FA6231E}"/>
    <cellStyle name="40% - Accent1 6" xfId="250" xr:uid="{27CBCBE0-C725-4FE1-B9BA-35A6130EF10E}"/>
    <cellStyle name="40% - Accent1 6 2" xfId="604" xr:uid="{B94F435D-B71B-49EB-9C68-3F27E555EBE6}"/>
    <cellStyle name="40% - Accent1 6 2 2" xfId="1709" xr:uid="{AC64A88E-F7C7-4A60-9266-571CD0CB6EDF}"/>
    <cellStyle name="40% - Accent1 6 2 2 2" xfId="3897" xr:uid="{EDE8DAB4-F08F-437E-8936-7C886535FE45}"/>
    <cellStyle name="40% - Accent1 6 2 2 2 2" xfId="17949" xr:uid="{D80FED77-AA77-4BF7-BF92-DB632DE58F6D}"/>
    <cellStyle name="40% - Accent1 6 2 2 3" xfId="15757" xr:uid="{03792EC9-40AE-4F97-BFD4-E6F8F3D90F6E}"/>
    <cellStyle name="40% - Accent1 6 2 3" xfId="2800" xr:uid="{B0E9CF76-996B-4404-BFF0-F494D4947F6B}"/>
    <cellStyle name="40% - Accent1 6 2 3 2" xfId="16851" xr:uid="{F6D8B0D2-8BE5-4C16-9B97-998DCD26F512}"/>
    <cellStyle name="40% - Accent1 6 2 4" xfId="14657" xr:uid="{2AB05273-1E1E-49E5-BC8F-7283AD650A4F}"/>
    <cellStyle name="40% - Accent1 6 3" xfId="954" xr:uid="{3B8E1FAF-9BB8-4524-80C2-8D88FE4BED1C}"/>
    <cellStyle name="40% - Accent1 6 3 2" xfId="2053" xr:uid="{A94CDB18-B096-4458-958F-FFA2B4E6AB05}"/>
    <cellStyle name="40% - Accent1 6 3 2 2" xfId="4242" xr:uid="{4D179981-B3FB-4096-91BD-95C14610EF35}"/>
    <cellStyle name="40% - Accent1 6 3 2 2 2" xfId="18293" xr:uid="{D7870620-8D98-48B7-88B5-09AEAE6F8487}"/>
    <cellStyle name="40% - Accent1 6 3 2 3" xfId="16102" xr:uid="{FEA11CFA-4E22-4D5F-9490-99DED155377A}"/>
    <cellStyle name="40% - Accent1 6 3 3" xfId="3146" xr:uid="{83CC1EA9-B684-414A-A2C2-4EE0CB350D36}"/>
    <cellStyle name="40% - Accent1 6 3 3 2" xfId="17198" xr:uid="{6E9B3173-1CD1-4610-AE62-D43339BA8937}"/>
    <cellStyle name="40% - Accent1 6 3 4" xfId="15004" xr:uid="{8F70775A-70B3-4548-8297-29CF9B6B58C4}"/>
    <cellStyle name="40% - Accent1 6 4" xfId="1534" xr:uid="{80F554A3-0622-45B1-BC59-B8D4D9F21025}"/>
    <cellStyle name="40% - Accent1 6 4 2" xfId="3724" xr:uid="{BE9F7864-6EE7-4C7C-9705-1F6ACCF86CC9}"/>
    <cellStyle name="40% - Accent1 6 4 2 2" xfId="17777" xr:uid="{794EF948-7117-4F79-A1C8-737E51797E62}"/>
    <cellStyle name="40% - Accent1 6 4 3" xfId="15583" xr:uid="{77E29343-B19D-46B4-B361-C56F937EEFF5}"/>
    <cellStyle name="40% - Accent1 6 5" xfId="2453" xr:uid="{EBC3C1C8-B780-4144-BBB9-2AA48A9C76E8}"/>
    <cellStyle name="40% - Accent1 6 5 2" xfId="16504" xr:uid="{653243A2-52E7-4DEF-9011-4D66FA032A3F}"/>
    <cellStyle name="40% - Accent1 6 6" xfId="4819" xr:uid="{5059F794-B33D-44E0-9615-EA89B6D3FE26}"/>
    <cellStyle name="40% - Accent1 6 6 2" xfId="18871" xr:uid="{24324312-E868-4077-AAAC-B798247F3FB2}"/>
    <cellStyle name="40% - Accent1 6 7" xfId="14309" xr:uid="{3B60EDA5-E55C-4AE8-9755-BFDD5AC88101}"/>
    <cellStyle name="40% - Accent1 7" xfId="426" xr:uid="{D10E60FF-D6E2-4AA7-B9BA-F5DB5A68A014}"/>
    <cellStyle name="40% - Accent1 7 2" xfId="1360" xr:uid="{ECF9AC2D-99EA-4131-A988-852A2CF5F7E1}"/>
    <cellStyle name="40% - Accent1 7 2 2" xfId="3550" xr:uid="{C646CE1E-543A-4EB5-B562-FFE78EA95D2B}"/>
    <cellStyle name="40% - Accent1 7 2 2 2" xfId="17603" xr:uid="{CB0657EF-CB6C-4CB7-9B9F-5F0BA703DF8E}"/>
    <cellStyle name="40% - Accent1 7 2 3" xfId="15409" xr:uid="{F9B7AC7A-6856-4FB5-9B2F-E2F679D9D459}"/>
    <cellStyle name="40% - Accent1 7 3" xfId="2626" xr:uid="{AB1A1363-2637-4562-9714-3AC0DA75E2A1}"/>
    <cellStyle name="40% - Accent1 7 3 2" xfId="16677" xr:uid="{05F850C4-7A30-4670-BC94-A3E3DB79C30A}"/>
    <cellStyle name="40% - Accent1 7 4" xfId="4645" xr:uid="{0EA0824F-CFC0-4400-B666-6E8EF8B61DFB}"/>
    <cellStyle name="40% - Accent1 7 4 2" xfId="18697" xr:uid="{AFB5297C-E81A-4D5C-B50B-9521A768B935}"/>
    <cellStyle name="40% - Accent1 7 5" xfId="14482" xr:uid="{EB333BBD-C886-44D2-AC7F-0E910554A20D}"/>
    <cellStyle name="40% - Accent1 8" xfId="780" xr:uid="{5DC4C21F-3C79-481A-BC7B-1DC557D2A2FD}"/>
    <cellStyle name="40% - Accent1 8 2" xfId="1881" xr:uid="{50B46B2A-2E94-4494-969C-57567547EC7A}"/>
    <cellStyle name="40% - Accent1 8 2 2" xfId="4070" xr:uid="{8234FFB8-47BA-4DFD-A481-A2788FC95DB3}"/>
    <cellStyle name="40% - Accent1 8 2 2 2" xfId="18122" xr:uid="{FEFA4BCD-8CE1-4A42-9FD1-1DBA52FBB55E}"/>
    <cellStyle name="40% - Accent1 8 2 3" xfId="15930" xr:uid="{D7BC9235-B19D-4088-A9DC-E4A203046DFB}"/>
    <cellStyle name="40% - Accent1 8 3" xfId="2972" xr:uid="{444C6BC7-BE07-4296-A42C-9DA81735F77E}"/>
    <cellStyle name="40% - Accent1 8 3 2" xfId="17024" xr:uid="{432CD54E-0C4B-4919-BB58-173FFA1D02BC}"/>
    <cellStyle name="40% - Accent1 8 4" xfId="14830" xr:uid="{43222AD9-F2AE-4021-9A24-753242FBBF21}"/>
    <cellStyle name="40% - Accent1 9" xfId="1124" xr:uid="{3E97C66F-88E0-4F84-94D0-F33AF3DE2607}"/>
    <cellStyle name="40% - Accent1 9 2" xfId="2224" xr:uid="{83B2392C-4247-4A64-A465-6A19AFCD1EDD}"/>
    <cellStyle name="40% - Accent1 9 2 2" xfId="4413" xr:uid="{9E25699A-2501-4E87-884C-84EB970FE98F}"/>
    <cellStyle name="40% - Accent1 9 2 2 2" xfId="18463" xr:uid="{D9C1290D-F846-42FF-9DF7-5F9283FF8DC9}"/>
    <cellStyle name="40% - Accent1 9 2 3" xfId="16273" xr:uid="{5BAFC122-A846-4F11-B425-206A3B24FCE4}"/>
    <cellStyle name="40% - Accent1 9 3" xfId="3317" xr:uid="{7C5A347B-5228-4517-8720-580A9A1E13C0}"/>
    <cellStyle name="40% - Accent1 9 3 2" xfId="17369" xr:uid="{A985344E-5B68-4328-9A08-2841F77A48D3}"/>
    <cellStyle name="40% - Accent1 9 4" xfId="15175" xr:uid="{24445E10-FFC7-4DCD-9700-9A1B83F927DB}"/>
    <cellStyle name="40% - Accent2" xfId="45" builtinId="35" customBuiltin="1"/>
    <cellStyle name="40% - Accent2 10" xfId="1189" xr:uid="{FC2AC4C3-E460-4F30-AD51-C280DC7F962B}"/>
    <cellStyle name="40% - Accent2 10 2" xfId="3380" xr:uid="{BE336BDB-7993-4A23-8796-FFD446878170}"/>
    <cellStyle name="40% - Accent2 10 2 2" xfId="17432" xr:uid="{7DCF20E7-FB75-4BA6-BBEA-79A77E7C2115}"/>
    <cellStyle name="40% - Accent2 10 3" xfId="15238" xr:uid="{60501CFE-F4DB-4617-A1E3-D007ACA6E167}"/>
    <cellStyle name="40% - Accent2 11" xfId="2281" xr:uid="{39B93543-2C50-47F6-986B-E49A6BE6A0E1}"/>
    <cellStyle name="40% - Accent2 11 2" xfId="16332" xr:uid="{9EC81909-54C3-493C-B893-4353A6DFECD2}"/>
    <cellStyle name="40% - Accent2 12" xfId="4475" xr:uid="{6C2A0D11-D1EF-415D-92CD-9C2B8F8979A9}"/>
    <cellStyle name="40% - Accent2 12 2" xfId="18526" xr:uid="{BFF6F2E0-4E3D-4E46-9C36-9D9AA7144DFB}"/>
    <cellStyle name="40% - Accent2 13" xfId="14124" xr:uid="{56DA4BA1-B9A2-4784-892C-C8B285EED8F6}"/>
    <cellStyle name="40% - Accent2 2" xfId="121" xr:uid="{8358298A-2BBA-43A5-840D-8843E4A44A5A}"/>
    <cellStyle name="40% - Accent2 2 10" xfId="4519" xr:uid="{84FF01FF-FF8A-47AC-9354-4E4FBFF11818}"/>
    <cellStyle name="40% - Accent2 2 10 2" xfId="18570" xr:uid="{B92CDEA8-E12D-4978-B88D-96A9915557F7}"/>
    <cellStyle name="40% - Accent2 2 11" xfId="14181" xr:uid="{13C35FE4-113C-4FC2-965F-5A280B7C0FB2}"/>
    <cellStyle name="40% - Accent2 2 2" xfId="236" xr:uid="{58F18C5B-FCAF-49A4-96FA-43FB27A571F9}"/>
    <cellStyle name="40% - Accent2 2 2 2" xfId="413" xr:uid="{C517D8AA-E86B-4E75-B0E1-11361D4BA02D}"/>
    <cellStyle name="40% - Accent2 2 2 2 2" xfId="767" xr:uid="{455CE7AD-5101-4657-AEF5-56B2226D53A0}"/>
    <cellStyle name="40% - Accent2 2 2 2 2 2" xfId="1868" xr:uid="{A1809F66-8C1C-483B-9FCC-2B8E02C22698}"/>
    <cellStyle name="40% - Accent2 2 2 2 2 2 2" xfId="4057" xr:uid="{B2DE67DD-5E0F-4010-97B8-C069BB50E795}"/>
    <cellStyle name="40% - Accent2 2 2 2 2 2 2 2" xfId="18109" xr:uid="{360651DC-B3BF-4FDA-99D7-BD4FB08A0AF3}"/>
    <cellStyle name="40% - Accent2 2 2 2 2 2 3" xfId="15917" xr:uid="{3FDA4A17-7C6F-45C7-8F7D-7EE1D10B8F43}"/>
    <cellStyle name="40% - Accent2 2 2 2 2 3" xfId="2959" xr:uid="{83AD9F6B-FDF7-414C-8ECF-1DAB8E8CE3C8}"/>
    <cellStyle name="40% - Accent2 2 2 2 2 3 2" xfId="17011" xr:uid="{D02C236F-16C1-4649-85BB-C09B29E03706}"/>
    <cellStyle name="40% - Accent2 2 2 2 2 4" xfId="14817" xr:uid="{8892F9A2-8849-4B22-AFC3-682DE814BBDB}"/>
    <cellStyle name="40% - Accent2 2 2 2 3" xfId="1114" xr:uid="{8C795FD4-79CC-4D51-889F-A30718ED855C}"/>
    <cellStyle name="40% - Accent2 2 2 2 3 2" xfId="2213" xr:uid="{5A9C5261-5F35-45F5-AFE5-94F2A1E31A8B}"/>
    <cellStyle name="40% - Accent2 2 2 2 3 2 2" xfId="4402" xr:uid="{5877F7D9-B6DA-47FD-BDEB-C523D2AEB30F}"/>
    <cellStyle name="40% - Accent2 2 2 2 3 2 2 2" xfId="18452" xr:uid="{06915F72-BD49-483A-920B-47F53726B9A5}"/>
    <cellStyle name="40% - Accent2 2 2 2 3 2 3" xfId="16262" xr:uid="{B47D8B54-D928-4608-9983-AB8F87E3B287}"/>
    <cellStyle name="40% - Accent2 2 2 2 3 3" xfId="3306" xr:uid="{5ACF0EFE-C98C-456E-8748-574EFA5EB437}"/>
    <cellStyle name="40% - Accent2 2 2 2 3 3 2" xfId="17358" xr:uid="{BC1FDBC3-5297-4EB2-B664-5982DB3ADA2A}"/>
    <cellStyle name="40% - Accent2 2 2 2 3 4" xfId="15164" xr:uid="{8ACE2866-3126-40CC-90C8-5246D9BA0660}"/>
    <cellStyle name="40% - Accent2 2 2 2 4" xfId="1694" xr:uid="{4189D42D-A582-4E28-8550-00980CD34232}"/>
    <cellStyle name="40% - Accent2 2 2 2 4 2" xfId="3884" xr:uid="{CC84C2E6-85DD-44C6-929C-77DFC689AA28}"/>
    <cellStyle name="40% - Accent2 2 2 2 4 2 2" xfId="17936" xr:uid="{1C8F6AD2-C2F8-408A-91AD-4E0CB05C3D75}"/>
    <cellStyle name="40% - Accent2 2 2 2 4 3" xfId="15743" xr:uid="{DE4AAD41-D286-44F8-AEA1-72C9B8AA9B80}"/>
    <cellStyle name="40% - Accent2 2 2 2 5" xfId="2613" xr:uid="{83147F49-BC86-45FD-94B1-394BBD7E6091}"/>
    <cellStyle name="40% - Accent2 2 2 2 5 2" xfId="16664" xr:uid="{B6C9104B-85E6-46EF-8C89-4C37564A85C1}"/>
    <cellStyle name="40% - Accent2 2 2 2 6" xfId="4979" xr:uid="{E070D74F-B474-4605-B4EE-5FD88DA13FF2}"/>
    <cellStyle name="40% - Accent2 2 2 2 6 2" xfId="19031" xr:uid="{0014BFAB-08AD-4ED2-B622-DD4243941B94}"/>
    <cellStyle name="40% - Accent2 2 2 2 7" xfId="14469" xr:uid="{DD6720E2-3611-4B2C-80B6-8D8A360A1092}"/>
    <cellStyle name="40% - Accent2 2 2 3" xfId="587" xr:uid="{65BC23EB-1802-4639-9CED-DD5E9B35030B}"/>
    <cellStyle name="40% - Accent2 2 2 3 2" xfId="1520" xr:uid="{16C98C0F-9F23-41AA-8A58-A94AA671A858}"/>
    <cellStyle name="40% - Accent2 2 2 3 2 2" xfId="3710" xr:uid="{B71AD5C9-4DD3-41F1-9311-8659D54F2938}"/>
    <cellStyle name="40% - Accent2 2 2 3 2 2 2" xfId="17763" xr:uid="{C9B6883E-B01E-4E1D-B27F-1891CFD662B9}"/>
    <cellStyle name="40% - Accent2 2 2 3 2 3" xfId="15569" xr:uid="{4D13EEC7-4031-41DC-9CE0-CBF6FA4F6FF4}"/>
    <cellStyle name="40% - Accent2 2 2 3 3" xfId="2786" xr:uid="{20635B3D-0F83-4FBB-81E0-B1C97EC1A7E4}"/>
    <cellStyle name="40% - Accent2 2 2 3 3 2" xfId="16837" xr:uid="{906CC213-0071-4E5F-B8A9-3509453F9F1D}"/>
    <cellStyle name="40% - Accent2 2 2 3 4" xfId="4805" xr:uid="{189A852D-1C24-407B-A285-94A494102E94}"/>
    <cellStyle name="40% - Accent2 2 2 3 4 2" xfId="18857" xr:uid="{715F79D0-04FC-46ED-B5A0-695259892269}"/>
    <cellStyle name="40% - Accent2 2 2 3 5" xfId="14642" xr:uid="{76F57D22-F87D-42BE-ADE4-BFDC59E17458}"/>
    <cellStyle name="40% - Accent2 2 2 4" xfId="940" xr:uid="{3A24932C-820D-4BA3-8A73-9627258B4756}"/>
    <cellStyle name="40% - Accent2 2 2 4 2" xfId="2039" xr:uid="{F68834A1-F0EF-422D-8C71-E09458418420}"/>
    <cellStyle name="40% - Accent2 2 2 4 2 2" xfId="4228" xr:uid="{9D118DF3-DAFC-420A-B6DF-313723C20A9D}"/>
    <cellStyle name="40% - Accent2 2 2 4 2 2 2" xfId="18279" xr:uid="{EBCD2E99-89E5-48AF-9ACE-9D4F7E918A1C}"/>
    <cellStyle name="40% - Accent2 2 2 4 2 3" xfId="16088" xr:uid="{72131639-1943-4433-ACB9-189D893B2630}"/>
    <cellStyle name="40% - Accent2 2 2 4 3" xfId="3132" xr:uid="{F93511BA-BA82-428E-9BDB-4CC093AF6587}"/>
    <cellStyle name="40% - Accent2 2 2 4 3 2" xfId="17184" xr:uid="{D656864D-0884-4E90-B494-96D4B95AAE95}"/>
    <cellStyle name="40% - Accent2 2 2 4 4" xfId="14990" xr:uid="{9701E972-6E3A-494F-A5DB-09DBAB1E2665}"/>
    <cellStyle name="40% - Accent2 2 2 5" xfId="1347" xr:uid="{EA0071D8-4910-436D-BFC2-408F11632FF0}"/>
    <cellStyle name="40% - Accent2 2 2 5 2" xfId="3538" xr:uid="{598158DD-224C-45FA-9D7A-3EA579B77A2D}"/>
    <cellStyle name="40% - Accent2 2 2 5 2 2" xfId="17590" xr:uid="{7DC4BB9E-FFEB-4F41-87BC-13DDB3D5A218}"/>
    <cellStyle name="40% - Accent2 2 2 5 3" xfId="15396" xr:uid="{E92D8039-0912-4EBB-B224-D6563CE16A9C}"/>
    <cellStyle name="40% - Accent2 2 2 6" xfId="2439" xr:uid="{9B534904-AED3-464C-9FA6-5556ABC71494}"/>
    <cellStyle name="40% - Accent2 2 2 6 2" xfId="16490" xr:uid="{F9E1AE24-E080-4FFD-962E-AE82264B598C}"/>
    <cellStyle name="40% - Accent2 2 2 7" xfId="4632" xr:uid="{E64FD7E4-7561-4B86-8BC2-FC4CA1290942}"/>
    <cellStyle name="40% - Accent2 2 2 7 2" xfId="18684" xr:uid="{226E3193-55FE-4879-A335-03AFD2A598D0}"/>
    <cellStyle name="40% - Accent2 2 2 8" xfId="14295" xr:uid="{434D7C4E-6C02-40A3-BA04-3810BD18D842}"/>
    <cellStyle name="40% - Accent2 2 3" xfId="179" xr:uid="{90DE7603-F96D-4C9C-9DBB-AE5D06A433E0}"/>
    <cellStyle name="40% - Accent2 2 3 2" xfId="356" xr:uid="{CA5DE6DB-78B2-4BA0-B99E-98CED5AAF248}"/>
    <cellStyle name="40% - Accent2 2 3 2 2" xfId="710" xr:uid="{552E32B4-CFE9-4247-97C7-60B6D909BFFC}"/>
    <cellStyle name="40% - Accent2 2 3 2 2 2" xfId="1811" xr:uid="{7E859C2A-9B13-4C34-8035-8C511A59E948}"/>
    <cellStyle name="40% - Accent2 2 3 2 2 2 2" xfId="4000" xr:uid="{D14E826E-7261-406D-AA9A-534E959D8560}"/>
    <cellStyle name="40% - Accent2 2 3 2 2 2 2 2" xfId="18052" xr:uid="{9C887356-EB19-4028-8E09-BE561EA2CA0C}"/>
    <cellStyle name="40% - Accent2 2 3 2 2 2 3" xfId="15860" xr:uid="{F03831F2-6AF8-44DC-969C-D771E8C55FC5}"/>
    <cellStyle name="40% - Accent2 2 3 2 2 3" xfId="2902" xr:uid="{E09E0D61-BCB4-40ED-8C56-C792C4ED44B8}"/>
    <cellStyle name="40% - Accent2 2 3 2 2 3 2" xfId="16954" xr:uid="{56179025-C3A9-4400-8A60-65FF60998B44}"/>
    <cellStyle name="40% - Accent2 2 3 2 2 4" xfId="14761" xr:uid="{DC5AAEC2-6D71-4DCD-97FC-87ED3D86A0CE}"/>
    <cellStyle name="40% - Accent2 2 3 2 3" xfId="1057" xr:uid="{4F9B099A-1272-48D7-BA87-B0C6B27D6344}"/>
    <cellStyle name="40% - Accent2 2 3 2 3 2" xfId="2156" xr:uid="{527C98CD-7D2E-4C03-BB1C-C40DF3DA86C2}"/>
    <cellStyle name="40% - Accent2 2 3 2 3 2 2" xfId="4345" xr:uid="{05DC1CE0-12A2-457E-913E-F7CE962BB7BA}"/>
    <cellStyle name="40% - Accent2 2 3 2 3 2 2 2" xfId="18395" xr:uid="{BF2036EB-18EC-4E40-B277-0AC01BF3D34D}"/>
    <cellStyle name="40% - Accent2 2 3 2 3 2 3" xfId="16205" xr:uid="{84D8C4EB-A580-4BA6-A1CA-E058DF55169D}"/>
    <cellStyle name="40% - Accent2 2 3 2 3 3" xfId="3249" xr:uid="{176FE303-EE8B-4908-8A59-A6229CB51A9B}"/>
    <cellStyle name="40% - Accent2 2 3 2 3 3 2" xfId="17301" xr:uid="{4D05209B-B9D0-4C11-9A86-36724AAA2D21}"/>
    <cellStyle name="40% - Accent2 2 3 2 3 4" xfId="15107" xr:uid="{DA73DB10-2B80-4C36-A34E-85B19DD87E8D}"/>
    <cellStyle name="40% - Accent2 2 3 2 4" xfId="1637" xr:uid="{2800AA72-E10D-47E7-9CE9-2B2B039BB571}"/>
    <cellStyle name="40% - Accent2 2 3 2 4 2" xfId="3827" xr:uid="{6E8F550A-BBC8-498F-87F8-0BAF6AF63257}"/>
    <cellStyle name="40% - Accent2 2 3 2 4 2 2" xfId="17880" xr:uid="{9D3D9E7A-5AD1-4713-8AAA-0026C37EA0F0}"/>
    <cellStyle name="40% - Accent2 2 3 2 4 3" xfId="15686" xr:uid="{FC952FD9-FF56-4E34-A62C-3284C1E64DEB}"/>
    <cellStyle name="40% - Accent2 2 3 2 5" xfId="2556" xr:uid="{7FB332E1-3FF4-4108-9D53-B68CAD20C89D}"/>
    <cellStyle name="40% - Accent2 2 3 2 5 2" xfId="16607" xr:uid="{7E24D5E4-CFA1-48CC-8B10-CBCA7F2170B8}"/>
    <cellStyle name="40% - Accent2 2 3 2 6" xfId="4922" xr:uid="{F756F30E-153A-4BA6-9C5E-3A84FEF4D123}"/>
    <cellStyle name="40% - Accent2 2 3 2 6 2" xfId="18974" xr:uid="{74B673C4-D0BE-4CF2-BC3D-B31D227A3B1F}"/>
    <cellStyle name="40% - Accent2 2 3 2 7" xfId="14413" xr:uid="{D3E7FF88-9D91-4C77-AA32-183041C2EFD7}"/>
    <cellStyle name="40% - Accent2 2 3 3" xfId="530" xr:uid="{039F72E4-044F-425D-9088-9641734D2F0F}"/>
    <cellStyle name="40% - Accent2 2 3 3 2" xfId="1463" xr:uid="{70AB83E8-395C-4194-A737-81CC9649E86C}"/>
    <cellStyle name="40% - Accent2 2 3 3 2 2" xfId="3653" xr:uid="{F12D1D85-7E55-48FE-B9FD-156FEA47A461}"/>
    <cellStyle name="40% - Accent2 2 3 3 2 2 2" xfId="17706" xr:uid="{12406F24-7C67-411F-B6CC-25C001639436}"/>
    <cellStyle name="40% - Accent2 2 3 3 2 3" xfId="15512" xr:uid="{C9F94FE9-83E9-4B61-ACEC-79EFD9790975}"/>
    <cellStyle name="40% - Accent2 2 3 3 3" xfId="2729" xr:uid="{68108C4A-2182-4160-89E2-CF3BCF45645F}"/>
    <cellStyle name="40% - Accent2 2 3 3 3 2" xfId="16780" xr:uid="{E12CC7FE-9A90-407D-9C80-82E591C391F0}"/>
    <cellStyle name="40% - Accent2 2 3 3 4" xfId="4748" xr:uid="{70F74784-5929-4CAE-9ED4-F9EE41DB343D}"/>
    <cellStyle name="40% - Accent2 2 3 3 4 2" xfId="18800" xr:uid="{06705665-8A22-46FA-A0A0-ED39D4EB5F00}"/>
    <cellStyle name="40% - Accent2 2 3 3 5" xfId="14585" xr:uid="{51B4E2FD-9DB8-4C76-B85C-525477BA327D}"/>
    <cellStyle name="40% - Accent2 2 3 4" xfId="883" xr:uid="{0E3922CD-5304-467D-AD21-2C356DC6B4A0}"/>
    <cellStyle name="40% - Accent2 2 3 4 2" xfId="1982" xr:uid="{D46100CF-E87B-459C-97D1-B43F9642BCD7}"/>
    <cellStyle name="40% - Accent2 2 3 4 2 2" xfId="4171" xr:uid="{7F702863-FB58-4888-9ABA-C8CEB086360B}"/>
    <cellStyle name="40% - Accent2 2 3 4 2 2 2" xfId="18222" xr:uid="{2F7622C8-1FF3-431A-9E82-764EF6481C4D}"/>
    <cellStyle name="40% - Accent2 2 3 4 2 3" xfId="16031" xr:uid="{464F08C1-8AC9-430B-A5AA-C1B08D71F94B}"/>
    <cellStyle name="40% - Accent2 2 3 4 3" xfId="3075" xr:uid="{93817D5A-2D7B-4BB3-9A90-D573C3EE2B97}"/>
    <cellStyle name="40% - Accent2 2 3 4 3 2" xfId="17127" xr:uid="{9876189C-697B-4B21-A1FE-405FDBC480EE}"/>
    <cellStyle name="40% - Accent2 2 3 4 4" xfId="14933" xr:uid="{A6AC5C42-6815-483F-B5BB-5FBBE4B62548}"/>
    <cellStyle name="40% - Accent2 2 3 5" xfId="1290" xr:uid="{A05B1EFC-3EB4-46E4-8565-09BF93316CF0}"/>
    <cellStyle name="40% - Accent2 2 3 5 2" xfId="3481" xr:uid="{26F2AFAE-ECA4-45C1-B04D-EFFF39521BA2}"/>
    <cellStyle name="40% - Accent2 2 3 5 2 2" xfId="17533" xr:uid="{279BD901-08A0-481A-A63C-26DEF8D77824}"/>
    <cellStyle name="40% - Accent2 2 3 5 3" xfId="15339" xr:uid="{D6BC9BFF-1540-4013-8704-C2161DBB849A}"/>
    <cellStyle name="40% - Accent2 2 3 6" xfId="2382" xr:uid="{0BA4E1F8-617C-4959-8B7B-FC718F50BBF5}"/>
    <cellStyle name="40% - Accent2 2 3 6 2" xfId="16433" xr:uid="{90467163-094A-459D-A7BB-050A5EA226ED}"/>
    <cellStyle name="40% - Accent2 2 3 7" xfId="4575" xr:uid="{873F6056-2A09-4FC5-AEB2-DCE280162647}"/>
    <cellStyle name="40% - Accent2 2 3 7 2" xfId="18627" xr:uid="{B089F61C-5103-4070-9B84-1BBA12ECA716}"/>
    <cellStyle name="40% - Accent2 2 3 8" xfId="14238" xr:uid="{5B027959-D0D9-493D-8569-6962D5EB9BC2}"/>
    <cellStyle name="40% - Accent2 2 4" xfId="299" xr:uid="{437696C0-F8B4-4D64-9850-77ACBF2BEEEA}"/>
    <cellStyle name="40% - Accent2 2 4 2" xfId="653" xr:uid="{CE30E0F8-8E3D-4A6E-8948-55ECB24B2F03}"/>
    <cellStyle name="40% - Accent2 2 4 2 2" xfId="1755" xr:uid="{DFED010E-28F5-4516-95EF-412D5BCCEBEC}"/>
    <cellStyle name="40% - Accent2 2 4 2 2 2" xfId="3943" xr:uid="{B17AAF13-EEE1-4145-AB76-94BE86C6FF41}"/>
    <cellStyle name="40% - Accent2 2 4 2 2 2 2" xfId="17995" xr:uid="{B5A5A86D-748E-4963-BF54-C34F7B19A741}"/>
    <cellStyle name="40% - Accent2 2 4 2 2 3" xfId="15803" xr:uid="{20B36F7E-F38F-43F0-ACEE-51275A4EC985}"/>
    <cellStyle name="40% - Accent2 2 4 2 3" xfId="2846" xr:uid="{581A6ECC-28A2-4EF4-A791-FEC54432393B}"/>
    <cellStyle name="40% - Accent2 2 4 2 3 2" xfId="16897" xr:uid="{4A4BD55E-4A33-4129-B243-6BDD391CCDFE}"/>
    <cellStyle name="40% - Accent2 2 4 2 4" xfId="14704" xr:uid="{340EF48F-B181-423B-95F0-1249861DF649}"/>
    <cellStyle name="40% - Accent2 2 4 3" xfId="1000" xr:uid="{509AD5CB-930B-4087-89DB-6303A5790540}"/>
    <cellStyle name="40% - Accent2 2 4 3 2" xfId="2099" xr:uid="{9C8A4CC0-29FE-4B2C-AB40-1E1D39408CBA}"/>
    <cellStyle name="40% - Accent2 2 4 3 2 2" xfId="4288" xr:uid="{D3D9BB2D-9320-4B47-8858-9474F117DA37}"/>
    <cellStyle name="40% - Accent2 2 4 3 2 2 2" xfId="18338" xr:uid="{6B4E6FB4-A233-4F70-A4D5-0F3E211F5CA8}"/>
    <cellStyle name="40% - Accent2 2 4 3 2 3" xfId="16148" xr:uid="{1127C27F-F0FC-495B-B031-C7D043E4E78F}"/>
    <cellStyle name="40% - Accent2 2 4 3 3" xfId="3192" xr:uid="{B7B84FAB-1C20-4C6A-96C0-39B98BAAC93F}"/>
    <cellStyle name="40% - Accent2 2 4 3 3 2" xfId="17244" xr:uid="{2015A44D-AA2D-4869-9F5C-2C3A599496B0}"/>
    <cellStyle name="40% - Accent2 2 4 3 4" xfId="15050" xr:uid="{768A0BE0-0564-4B1F-BBC8-D00F5CA73FB7}"/>
    <cellStyle name="40% - Accent2 2 4 4" xfId="1580" xr:uid="{F96BC8B8-81FE-48E5-AF78-7659997206C0}"/>
    <cellStyle name="40% - Accent2 2 4 4 2" xfId="3770" xr:uid="{072BEE1B-15C8-40A8-8AC6-28EFBF10A6BE}"/>
    <cellStyle name="40% - Accent2 2 4 4 2 2" xfId="17823" xr:uid="{78372ABF-19EF-4013-9B49-D7FEB9911013}"/>
    <cellStyle name="40% - Accent2 2 4 4 3" xfId="15629" xr:uid="{4C211B53-F0BF-4DA6-AFA2-01C8762A4353}"/>
    <cellStyle name="40% - Accent2 2 4 5" xfId="2499" xr:uid="{B70CF85E-FE42-49BB-82EF-B60686A0D894}"/>
    <cellStyle name="40% - Accent2 2 4 5 2" xfId="16550" xr:uid="{33B284A4-4908-4A7A-B7D2-FD82ADAA2AAD}"/>
    <cellStyle name="40% - Accent2 2 4 6" xfId="4865" xr:uid="{F6604C1C-D923-4894-B5CE-A7F819E4F020}"/>
    <cellStyle name="40% - Accent2 2 4 6 2" xfId="18917" xr:uid="{00FA3F6B-D229-4FBF-B1B2-EAF4F64BDBE8}"/>
    <cellStyle name="40% - Accent2 2 4 7" xfId="14356" xr:uid="{E206D54C-A7D9-4BA8-9842-45F84BB9E935}"/>
    <cellStyle name="40% - Accent2 2 5" xfId="473" xr:uid="{37F265C0-7707-4F6C-BB60-442310F34EE3}"/>
    <cellStyle name="40% - Accent2 2 5 2" xfId="1406" xr:uid="{5CDC8F00-3ADD-4477-AC5D-EACB85287185}"/>
    <cellStyle name="40% - Accent2 2 5 2 2" xfId="3596" xr:uid="{3F6FE489-088D-488E-AA81-603F720979C6}"/>
    <cellStyle name="40% - Accent2 2 5 2 2 2" xfId="17649" xr:uid="{C6005E6A-427B-43F4-A6E1-B5D824AF18A0}"/>
    <cellStyle name="40% - Accent2 2 5 2 3" xfId="15455" xr:uid="{CC06035D-788C-4C72-AED9-16426F308E65}"/>
    <cellStyle name="40% - Accent2 2 5 3" xfId="2672" xr:uid="{FAFAAA58-211A-455D-B395-2911970B3BFB}"/>
    <cellStyle name="40% - Accent2 2 5 3 2" xfId="16723" xr:uid="{6A0F3D0C-EFAB-4CB3-B174-26C372875DC5}"/>
    <cellStyle name="40% - Accent2 2 5 4" xfId="4691" xr:uid="{82CDB61D-23F6-4AA8-81E1-FA84B34590A9}"/>
    <cellStyle name="40% - Accent2 2 5 4 2" xfId="18743" xr:uid="{D422D082-5A6F-4A0B-90AC-9A8F2CFA587C}"/>
    <cellStyle name="40% - Accent2 2 5 5" xfId="14528" xr:uid="{0B82AFA3-C1F2-44E8-ADFD-590BF01FC339}"/>
    <cellStyle name="40% - Accent2 2 6" xfId="826" xr:uid="{3AD0D988-C741-4151-BECE-3A3147383494}"/>
    <cellStyle name="40% - Accent2 2 6 2" xfId="1925" xr:uid="{8F530273-8B9B-4C23-96D0-3CB7E9CA62C6}"/>
    <cellStyle name="40% - Accent2 2 6 2 2" xfId="4114" xr:uid="{20592EA5-9A77-4AA7-8770-5374EFA4DF50}"/>
    <cellStyle name="40% - Accent2 2 6 2 2 2" xfId="18166" xr:uid="{00BCF79E-68A7-4429-B88E-F5A592966A25}"/>
    <cellStyle name="40% - Accent2 2 6 2 3" xfId="15974" xr:uid="{331A53E3-6870-464A-B45A-C7B711F3995B}"/>
    <cellStyle name="40% - Accent2 2 6 3" xfId="3018" xr:uid="{8A4200A5-7009-432E-AB2B-CC2E000F2CD1}"/>
    <cellStyle name="40% - Accent2 2 6 3 2" xfId="17070" xr:uid="{E33CF0B9-B17C-432A-8092-C58B85B7E730}"/>
    <cellStyle name="40% - Accent2 2 6 4" xfId="14876" xr:uid="{C1AC3C27-0F3F-415C-8DAF-7B8D90091E92}"/>
    <cellStyle name="40% - Accent2 2 7" xfId="1170" xr:uid="{1364D99D-7A32-418C-B6D5-B773202FF2FE}"/>
    <cellStyle name="40% - Accent2 2 7 2" xfId="2269" xr:uid="{8C1E01F6-2A34-4C5E-A6D6-A3C8A9571D79}"/>
    <cellStyle name="40% - Accent2 2 7 2 2" xfId="4458" xr:uid="{9D336663-8F6A-4F02-9324-540602B3605F}"/>
    <cellStyle name="40% - Accent2 2 7 2 2 2" xfId="18509" xr:uid="{8E596069-D0B9-43E6-815F-FF9E230799E3}"/>
    <cellStyle name="40% - Accent2 2 7 2 3" xfId="16319" xr:uid="{42321288-D744-475C-9AAA-036900ADC35B}"/>
    <cellStyle name="40% - Accent2 2 7 3" xfId="3363" xr:uid="{8C3A9A5F-4882-4BAD-98C9-C5EBEA334461}"/>
    <cellStyle name="40% - Accent2 2 7 3 2" xfId="17415" xr:uid="{2EF43D80-51C2-4F0E-9BD2-37E80708B02F}"/>
    <cellStyle name="40% - Accent2 2 7 4" xfId="15221" xr:uid="{F04A366F-EAA4-44FE-AD90-9569F83DA9B1}"/>
    <cellStyle name="40% - Accent2 2 8" xfId="1234" xr:uid="{E0E4B441-4ED3-4DE1-B94B-89E6CD1C4B08}"/>
    <cellStyle name="40% - Accent2 2 8 2" xfId="3424" xr:uid="{56898C7D-3F1E-4979-B219-62C74971437E}"/>
    <cellStyle name="40% - Accent2 2 8 2 2" xfId="17476" xr:uid="{34DFAA8B-4582-4CF2-9A7B-FEE5569A8850}"/>
    <cellStyle name="40% - Accent2 2 8 3" xfId="15282" xr:uid="{880FFE4E-C72F-4E19-953F-9D9EE6D52CF0}"/>
    <cellStyle name="40% - Accent2 2 9" xfId="2325" xr:uid="{32F95D8D-3644-419B-9FE8-78A539BF1935}"/>
    <cellStyle name="40% - Accent2 2 9 2" xfId="16376" xr:uid="{67ADA3D2-263E-4FAE-95C0-73B5589B13C0}"/>
    <cellStyle name="40% - Accent2 3" xfId="97" xr:uid="{80393878-E1A6-49F5-90A8-15F30325D85C}"/>
    <cellStyle name="40% - Accent2 3 10" xfId="4495" xr:uid="{EFED526E-374B-4778-83C0-D15D0CE5388D}"/>
    <cellStyle name="40% - Accent2 3 10 2" xfId="18546" xr:uid="{969CCC66-A326-43CF-9551-01A08FF97039}"/>
    <cellStyle name="40% - Accent2 3 11" xfId="14157" xr:uid="{BAECEC07-1F68-40F9-9555-2EA705BF1468}"/>
    <cellStyle name="40% - Accent2 3 2" xfId="212" xr:uid="{C78CE4C7-D7BB-43C3-BCBC-8104EEE831C6}"/>
    <cellStyle name="40% - Accent2 3 2 2" xfId="389" xr:uid="{3ECF92F8-495E-4A58-B322-F7B74FE6DEB3}"/>
    <cellStyle name="40% - Accent2 3 2 2 2" xfId="743" xr:uid="{65801AE6-3FCA-4372-971C-A2972C3028BC}"/>
    <cellStyle name="40% - Accent2 3 2 2 2 2" xfId="1844" xr:uid="{672AE593-E393-4170-8E8D-5CEB355084B3}"/>
    <cellStyle name="40% - Accent2 3 2 2 2 2 2" xfId="4033" xr:uid="{1A2CEFEB-82EB-434C-B511-0C09703CFEAA}"/>
    <cellStyle name="40% - Accent2 3 2 2 2 2 2 2" xfId="18085" xr:uid="{FE58B110-5BA9-40ED-8208-0D9655688D16}"/>
    <cellStyle name="40% - Accent2 3 2 2 2 2 3" xfId="15893" xr:uid="{C5F3F151-DC66-4858-86DE-016981F19981}"/>
    <cellStyle name="40% - Accent2 3 2 2 2 3" xfId="2935" xr:uid="{86C6E07E-C649-4502-BD88-AB7A1C84EAA2}"/>
    <cellStyle name="40% - Accent2 3 2 2 2 3 2" xfId="16987" xr:uid="{7939EDF1-3086-4C99-9AF8-ECF3028165CA}"/>
    <cellStyle name="40% - Accent2 3 2 2 2 4" xfId="14794" xr:uid="{290597F4-4535-458F-AA78-51928C7EF199}"/>
    <cellStyle name="40% - Accent2 3 2 2 3" xfId="1090" xr:uid="{A45592FE-EDE6-4274-AD25-2E06AB701B12}"/>
    <cellStyle name="40% - Accent2 3 2 2 3 2" xfId="2189" xr:uid="{46BE670F-61C4-44C2-934D-BC736ECF3E85}"/>
    <cellStyle name="40% - Accent2 3 2 2 3 2 2" xfId="4378" xr:uid="{2E3BC2A8-A98C-44B6-9A11-D3480F94C825}"/>
    <cellStyle name="40% - Accent2 3 2 2 3 2 2 2" xfId="18428" xr:uid="{4DD9A656-86E5-489B-874F-D4D5CE653DE9}"/>
    <cellStyle name="40% - Accent2 3 2 2 3 2 3" xfId="16238" xr:uid="{888A989D-304E-42B3-B45D-77B7907BDC75}"/>
    <cellStyle name="40% - Accent2 3 2 2 3 3" xfId="3282" xr:uid="{AAE087A8-9996-4B25-9F91-9D638D55A89F}"/>
    <cellStyle name="40% - Accent2 3 2 2 3 3 2" xfId="17334" xr:uid="{9AD3DFE0-2C6E-4A8C-9C8A-6815CB118BA3}"/>
    <cellStyle name="40% - Accent2 3 2 2 3 4" xfId="15140" xr:uid="{839FB95D-3B4C-4CB8-9CF1-02D61DB97D25}"/>
    <cellStyle name="40% - Accent2 3 2 2 4" xfId="1670" xr:uid="{69F9F3CD-22D5-4CAE-8579-A0949DA84308}"/>
    <cellStyle name="40% - Accent2 3 2 2 4 2" xfId="3860" xr:uid="{FCAAEC56-FD34-4FBD-AA52-151D5DB8B0BF}"/>
    <cellStyle name="40% - Accent2 3 2 2 4 2 2" xfId="17913" xr:uid="{42AFDB1B-D188-48D0-B193-80393277C17F}"/>
    <cellStyle name="40% - Accent2 3 2 2 4 3" xfId="15719" xr:uid="{253B4692-CDC9-4583-BC2B-386A1A46F4A0}"/>
    <cellStyle name="40% - Accent2 3 2 2 5" xfId="2589" xr:uid="{E95C2944-083A-46B1-B4E2-A47D12EF0787}"/>
    <cellStyle name="40% - Accent2 3 2 2 5 2" xfId="16640" xr:uid="{A5058657-0879-4811-97B1-F57B8CDDF866}"/>
    <cellStyle name="40% - Accent2 3 2 2 6" xfId="4955" xr:uid="{28351014-B2F7-4AC0-8C8E-6078B92BF5E4}"/>
    <cellStyle name="40% - Accent2 3 2 2 6 2" xfId="19007" xr:uid="{E82A9315-2B98-4897-AECF-5FBA7438E427}"/>
    <cellStyle name="40% - Accent2 3 2 2 7" xfId="14446" xr:uid="{167C7B02-D3FF-43DE-9D6B-287DF019FF9E}"/>
    <cellStyle name="40% - Accent2 3 2 3" xfId="563" xr:uid="{D4E63616-695F-4C71-93F1-A5D0442E09F5}"/>
    <cellStyle name="40% - Accent2 3 2 3 2" xfId="1496" xr:uid="{9664EFB6-9184-4E4B-BA5E-C2C6B93BDE3D}"/>
    <cellStyle name="40% - Accent2 3 2 3 2 2" xfId="3686" xr:uid="{E4C9703F-367E-465D-A145-20D73B2C6041}"/>
    <cellStyle name="40% - Accent2 3 2 3 2 2 2" xfId="17739" xr:uid="{5077FD86-6D93-468F-8CA6-09D9EEA3EBE0}"/>
    <cellStyle name="40% - Accent2 3 2 3 2 3" xfId="15545" xr:uid="{2AB4F782-09E9-4FD8-B886-60606D10BFA0}"/>
    <cellStyle name="40% - Accent2 3 2 3 3" xfId="2762" xr:uid="{CCCF998C-C269-4518-94B3-B4E4D18BA975}"/>
    <cellStyle name="40% - Accent2 3 2 3 3 2" xfId="16813" xr:uid="{3738A86B-144E-4E2E-B3FB-E9933B681AC3}"/>
    <cellStyle name="40% - Accent2 3 2 3 4" xfId="4781" xr:uid="{96CC37E0-595D-44B6-AF0D-421E84803271}"/>
    <cellStyle name="40% - Accent2 3 2 3 4 2" xfId="18833" xr:uid="{0CCF7207-8622-435E-B0D1-C08E26DF3789}"/>
    <cellStyle name="40% - Accent2 3 2 3 5" xfId="14618" xr:uid="{829D93C8-56D2-4D8F-A995-541926486576}"/>
    <cellStyle name="40% - Accent2 3 2 4" xfId="916" xr:uid="{5AE36E72-D8EF-4201-89A7-55E3216295A7}"/>
    <cellStyle name="40% - Accent2 3 2 4 2" xfId="2015" xr:uid="{43EEFA30-608F-4FD1-AD72-085FC5F04927}"/>
    <cellStyle name="40% - Accent2 3 2 4 2 2" xfId="4204" xr:uid="{348CE826-64E1-42DE-8404-34E5047174E9}"/>
    <cellStyle name="40% - Accent2 3 2 4 2 2 2" xfId="18255" xr:uid="{69710877-0E9D-45AE-B5C1-6BD357A5EE2E}"/>
    <cellStyle name="40% - Accent2 3 2 4 2 3" xfId="16064" xr:uid="{E97D476E-2109-4535-8990-3C8B527471BC}"/>
    <cellStyle name="40% - Accent2 3 2 4 3" xfId="3108" xr:uid="{A926D382-EE0D-4D66-9110-5E83B70FF002}"/>
    <cellStyle name="40% - Accent2 3 2 4 3 2" xfId="17160" xr:uid="{AE43A4B8-4B08-4274-9A91-8513ECE7E663}"/>
    <cellStyle name="40% - Accent2 3 2 4 4" xfId="14966" xr:uid="{4547A40B-E150-4E12-AC2B-7E5448673EB5}"/>
    <cellStyle name="40% - Accent2 3 2 5" xfId="1323" xr:uid="{81F57A3D-A169-4771-B973-BCA10A2C239A}"/>
    <cellStyle name="40% - Accent2 3 2 5 2" xfId="3514" xr:uid="{B72EAA54-4A58-4B37-B2BB-3FF845CA8E55}"/>
    <cellStyle name="40% - Accent2 3 2 5 2 2" xfId="17566" xr:uid="{224B0B41-58E4-40B2-A8B0-FBB4D8D35D83}"/>
    <cellStyle name="40% - Accent2 3 2 5 3" xfId="15372" xr:uid="{17D3021F-DF42-4084-808D-A8E8845AD82D}"/>
    <cellStyle name="40% - Accent2 3 2 6" xfId="2415" xr:uid="{CF2E5973-A470-45C9-97C7-7623C9634315}"/>
    <cellStyle name="40% - Accent2 3 2 6 2" xfId="16466" xr:uid="{06C19E4C-A622-4E6E-8BF5-DB93BFD543B8}"/>
    <cellStyle name="40% - Accent2 3 2 7" xfId="4608" xr:uid="{EF5B8463-E0F9-41C0-812F-512115391BE9}"/>
    <cellStyle name="40% - Accent2 3 2 7 2" xfId="18660" xr:uid="{B67B1699-CBD1-485F-8366-53763164D2CC}"/>
    <cellStyle name="40% - Accent2 3 2 8" xfId="14271" xr:uid="{CAA00B52-6807-4FDA-8D34-6A7EEF20280E}"/>
    <cellStyle name="40% - Accent2 3 3" xfId="155" xr:uid="{6407358D-F7CA-4FF1-AB4A-DF16F28A5F1C}"/>
    <cellStyle name="40% - Accent2 3 3 2" xfId="332" xr:uid="{2EC6AAF9-B993-4221-8440-381EEFF4E88D}"/>
    <cellStyle name="40% - Accent2 3 3 2 2" xfId="686" xr:uid="{61079F57-F3C8-4399-8A28-70D988DEFDA6}"/>
    <cellStyle name="40% - Accent2 3 3 2 2 2" xfId="1787" xr:uid="{7D14B8F7-F195-463E-A503-86E4CB1095FD}"/>
    <cellStyle name="40% - Accent2 3 3 2 2 2 2" xfId="3976" xr:uid="{A0C727A4-6ABA-49B8-831A-8B331C77DFC4}"/>
    <cellStyle name="40% - Accent2 3 3 2 2 2 2 2" xfId="18028" xr:uid="{9F13E222-3678-4148-A836-D391966EC442}"/>
    <cellStyle name="40% - Accent2 3 3 2 2 2 3" xfId="15836" xr:uid="{AA94FEE7-431B-41A6-B218-321C186BDE60}"/>
    <cellStyle name="40% - Accent2 3 3 2 2 3" xfId="2878" xr:uid="{C1A5E239-32AF-47A2-A365-47A87D5CD2F5}"/>
    <cellStyle name="40% - Accent2 3 3 2 2 3 2" xfId="16930" xr:uid="{F395AF81-DE9C-4146-A57E-8B738EA1F3B6}"/>
    <cellStyle name="40% - Accent2 3 3 2 2 4" xfId="14737" xr:uid="{ED4A2DFC-E181-4A42-87CA-D08DD823985D}"/>
    <cellStyle name="40% - Accent2 3 3 2 3" xfId="1033" xr:uid="{DAFAEEC1-C96C-4D09-906A-08A9DC143CFF}"/>
    <cellStyle name="40% - Accent2 3 3 2 3 2" xfId="2132" xr:uid="{6AE7D811-FE8D-43A4-8677-3D217A09EF1E}"/>
    <cellStyle name="40% - Accent2 3 3 2 3 2 2" xfId="4321" xr:uid="{DCC60F24-EF6B-4F8A-B4BB-F24A76CF93C8}"/>
    <cellStyle name="40% - Accent2 3 3 2 3 2 2 2" xfId="18371" xr:uid="{CA645FBD-C4C6-4628-833C-131DBEAA6778}"/>
    <cellStyle name="40% - Accent2 3 3 2 3 2 3" xfId="16181" xr:uid="{0A552E83-12B0-4D55-A2F6-2EF4F74CF610}"/>
    <cellStyle name="40% - Accent2 3 3 2 3 3" xfId="3225" xr:uid="{69226EFA-D71D-44D5-97D2-F2AE688E3881}"/>
    <cellStyle name="40% - Accent2 3 3 2 3 3 2" xfId="17277" xr:uid="{C9916588-7BF2-4F08-84D1-0BF20B7CB01D}"/>
    <cellStyle name="40% - Accent2 3 3 2 3 4" xfId="15083" xr:uid="{403E2128-9BA8-4742-934B-76446CD76907}"/>
    <cellStyle name="40% - Accent2 3 3 2 4" xfId="1613" xr:uid="{A4527F22-13C3-4C51-B75F-1B0AF34A52F7}"/>
    <cellStyle name="40% - Accent2 3 3 2 4 2" xfId="3803" xr:uid="{0D955706-7148-4306-8669-053BB7E8C12B}"/>
    <cellStyle name="40% - Accent2 3 3 2 4 2 2" xfId="17856" xr:uid="{9DD18EE3-A9A3-426B-B5DD-7265A83BA330}"/>
    <cellStyle name="40% - Accent2 3 3 2 4 3" xfId="15662" xr:uid="{DC6C3183-E1A1-4DB0-B051-FF672D213ABA}"/>
    <cellStyle name="40% - Accent2 3 3 2 5" xfId="2532" xr:uid="{E754AC9B-E329-4F6D-936B-FCC057F06891}"/>
    <cellStyle name="40% - Accent2 3 3 2 5 2" xfId="16583" xr:uid="{E49A4E37-82D2-463C-A90F-A588F2C9E9AB}"/>
    <cellStyle name="40% - Accent2 3 3 2 6" xfId="4898" xr:uid="{8FBC5BAE-EFBA-4E43-A86D-A095EFA553A4}"/>
    <cellStyle name="40% - Accent2 3 3 2 6 2" xfId="18950" xr:uid="{A7A44F89-F044-4BE9-9FC9-C64C992C9039}"/>
    <cellStyle name="40% - Accent2 3 3 2 7" xfId="14389" xr:uid="{972C4173-51E3-4C9B-878D-5CA19F0C4F39}"/>
    <cellStyle name="40% - Accent2 3 3 3" xfId="506" xr:uid="{30DB165C-786D-41F4-8D42-F96A31DFBEFA}"/>
    <cellStyle name="40% - Accent2 3 3 3 2" xfId="1439" xr:uid="{A10FA067-9495-460B-B08C-D67B16570EDD}"/>
    <cellStyle name="40% - Accent2 3 3 3 2 2" xfId="3629" xr:uid="{B2A7E750-2579-4BE1-A374-65E6C3381D06}"/>
    <cellStyle name="40% - Accent2 3 3 3 2 2 2" xfId="17682" xr:uid="{42D02204-C2F0-4F34-8B20-C2BC7DD6429A}"/>
    <cellStyle name="40% - Accent2 3 3 3 2 3" xfId="15488" xr:uid="{1BE040C1-B94B-41E6-A5D8-BA53FC7519D4}"/>
    <cellStyle name="40% - Accent2 3 3 3 3" xfId="2705" xr:uid="{DC741A1E-7EDA-4D57-8ADA-430FA649AC54}"/>
    <cellStyle name="40% - Accent2 3 3 3 3 2" xfId="16756" xr:uid="{50AAC7F4-2E91-4DD0-9F93-7CC9A84EABC3}"/>
    <cellStyle name="40% - Accent2 3 3 3 4" xfId="4724" xr:uid="{9E243CB5-018B-4E3B-9221-77AA57353295}"/>
    <cellStyle name="40% - Accent2 3 3 3 4 2" xfId="18776" xr:uid="{7584B1A0-7A4D-46DF-B38E-BB6FEFD1DFF2}"/>
    <cellStyle name="40% - Accent2 3 3 3 5" xfId="14561" xr:uid="{E4892BCF-D2C1-4CC8-BA63-E0471A3C8037}"/>
    <cellStyle name="40% - Accent2 3 3 4" xfId="859" xr:uid="{D2685D9B-EE80-42BE-9584-C814A1238FFC}"/>
    <cellStyle name="40% - Accent2 3 3 4 2" xfId="1958" xr:uid="{1CBB03C4-D510-40ED-8B4D-EDD0A3ED2061}"/>
    <cellStyle name="40% - Accent2 3 3 4 2 2" xfId="4147" xr:uid="{E9A89792-D930-4B13-AD93-0C674DE0BCE4}"/>
    <cellStyle name="40% - Accent2 3 3 4 2 2 2" xfId="18198" xr:uid="{81B1C59F-C264-4FD5-943C-C33BC701B664}"/>
    <cellStyle name="40% - Accent2 3 3 4 2 3" xfId="16007" xr:uid="{97615D06-0CE7-4594-8BA1-6021104D9E14}"/>
    <cellStyle name="40% - Accent2 3 3 4 3" xfId="3051" xr:uid="{88E10655-C71E-4A75-808E-987FF24457BF}"/>
    <cellStyle name="40% - Accent2 3 3 4 3 2" xfId="17103" xr:uid="{8830CD76-9A61-46B8-A5DB-B19783D9CE1F}"/>
    <cellStyle name="40% - Accent2 3 3 4 4" xfId="14909" xr:uid="{1D0E3C1D-C370-47DF-8F8D-55BD425A5759}"/>
    <cellStyle name="40% - Accent2 3 3 5" xfId="1267" xr:uid="{50F3A506-D5A9-4C88-8C6F-FC51AB5BA57F}"/>
    <cellStyle name="40% - Accent2 3 3 5 2" xfId="3457" xr:uid="{26052289-11EE-47E4-94C8-81965B217C80}"/>
    <cellStyle name="40% - Accent2 3 3 5 2 2" xfId="17509" xr:uid="{14EC0BDD-6D42-433E-9072-5D524D145456}"/>
    <cellStyle name="40% - Accent2 3 3 5 3" xfId="15315" xr:uid="{7A89FD32-1BB6-4482-B0EE-0337473F0CD8}"/>
    <cellStyle name="40% - Accent2 3 3 6" xfId="2358" xr:uid="{2BAE9E2E-42F8-4479-92EB-9A3AB3E7FD12}"/>
    <cellStyle name="40% - Accent2 3 3 6 2" xfId="16409" xr:uid="{8497322D-5490-4E91-ABB0-AC3D595C574B}"/>
    <cellStyle name="40% - Accent2 3 3 7" xfId="4551" xr:uid="{AF8B58F8-313D-45F2-9F26-68EB1D762D38}"/>
    <cellStyle name="40% - Accent2 3 3 7 2" xfId="18603" xr:uid="{5A95F34B-ECA9-4D52-A6A1-35934DE2401C}"/>
    <cellStyle name="40% - Accent2 3 3 8" xfId="14214" xr:uid="{8755B333-3039-4732-AC34-93F634A70763}"/>
    <cellStyle name="40% - Accent2 3 4" xfId="275" xr:uid="{34385E73-6BB6-4D61-8F20-F11978727151}"/>
    <cellStyle name="40% - Accent2 3 4 2" xfId="629" xr:uid="{F29477D5-AD32-49ED-9C2C-563A092091C8}"/>
    <cellStyle name="40% - Accent2 3 4 2 2" xfId="1731" xr:uid="{FFD2C1A5-6F4E-48FF-8337-4715D5C158B9}"/>
    <cellStyle name="40% - Accent2 3 4 2 2 2" xfId="3919" xr:uid="{2B7FB72E-6574-4AA2-B64B-3E8ED8B3D880}"/>
    <cellStyle name="40% - Accent2 3 4 2 2 2 2" xfId="17971" xr:uid="{27579408-6257-4FFF-9D43-0C0167AEA5F1}"/>
    <cellStyle name="40% - Accent2 3 4 2 2 3" xfId="15779" xr:uid="{E27A9F6C-C9E5-4A01-89A1-8BEEC2E157C5}"/>
    <cellStyle name="40% - Accent2 3 4 2 3" xfId="2822" xr:uid="{DF955EC7-9CED-4288-B7E3-75BA6F1BDA00}"/>
    <cellStyle name="40% - Accent2 3 4 2 3 2" xfId="16873" xr:uid="{20D29A2C-B6F7-4EA5-9248-596104EA1E7A}"/>
    <cellStyle name="40% - Accent2 3 4 2 4" xfId="14680" xr:uid="{A767DDB5-709D-4E52-AD20-01B7B9A82B81}"/>
    <cellStyle name="40% - Accent2 3 4 3" xfId="976" xr:uid="{9CE5E0F9-A249-4549-A34C-A1C426F5F076}"/>
    <cellStyle name="40% - Accent2 3 4 3 2" xfId="2075" xr:uid="{9850A0CB-6867-4848-966F-BFB65D2F32E9}"/>
    <cellStyle name="40% - Accent2 3 4 3 2 2" xfId="4264" xr:uid="{ED28045A-C275-4828-8642-84B110011623}"/>
    <cellStyle name="40% - Accent2 3 4 3 2 2 2" xfId="18315" xr:uid="{32DBF9A0-3D55-4683-B1AB-9D7EB4F6A1B2}"/>
    <cellStyle name="40% - Accent2 3 4 3 2 3" xfId="16124" xr:uid="{59C2FF19-656D-4BCF-89FC-3762E8D9DF6A}"/>
    <cellStyle name="40% - Accent2 3 4 3 3" xfId="3168" xr:uid="{913C1905-72E3-4BD9-A9AA-FF69CCEA5C8E}"/>
    <cellStyle name="40% - Accent2 3 4 3 3 2" xfId="17220" xr:uid="{03AAD2A3-1AFB-4AA9-891C-456BD977FCA5}"/>
    <cellStyle name="40% - Accent2 3 4 3 4" xfId="15026" xr:uid="{D5CDFF9E-4F9B-49A0-8AC8-D3AEDFE8095C}"/>
    <cellStyle name="40% - Accent2 3 4 4" xfId="1556" xr:uid="{2AD58682-6684-4566-9CA0-C2F308961660}"/>
    <cellStyle name="40% - Accent2 3 4 4 2" xfId="3746" xr:uid="{BC50B7D8-5EB5-475C-AD3E-46BB41822640}"/>
    <cellStyle name="40% - Accent2 3 4 4 2 2" xfId="17799" xr:uid="{1D44BE67-B8A3-41FC-81FB-D343EE10C5B0}"/>
    <cellStyle name="40% - Accent2 3 4 4 3" xfId="15605" xr:uid="{9EBCFCA6-E422-4652-9047-696792AFC6A8}"/>
    <cellStyle name="40% - Accent2 3 4 5" xfId="2475" xr:uid="{0893AD2C-BFE6-419C-960C-C799BE99A738}"/>
    <cellStyle name="40% - Accent2 3 4 5 2" xfId="16526" xr:uid="{9A5CC734-D6F2-4B15-93CC-32134C51757B}"/>
    <cellStyle name="40% - Accent2 3 4 6" xfId="4841" xr:uid="{0F1B1E7C-9472-44F9-B136-00BFCE93EC38}"/>
    <cellStyle name="40% - Accent2 3 4 6 2" xfId="18893" xr:uid="{A6C716E4-C138-4297-B220-3EEA57CE6620}"/>
    <cellStyle name="40% - Accent2 3 4 7" xfId="14332" xr:uid="{906E2524-580E-47B7-9593-9379DB76C7B4}"/>
    <cellStyle name="40% - Accent2 3 5" xfId="449" xr:uid="{B8F008CD-8DBB-403D-8DB8-EFAAF86BF1D4}"/>
    <cellStyle name="40% - Accent2 3 5 2" xfId="1382" xr:uid="{2A2EF110-4A53-4A03-ADCC-874815CFC91B}"/>
    <cellStyle name="40% - Accent2 3 5 2 2" xfId="3572" xr:uid="{C62F7B31-21BB-4002-92B1-A3D124EB66CC}"/>
    <cellStyle name="40% - Accent2 3 5 2 2 2" xfId="17625" xr:uid="{AE6EF32D-93CC-48ED-A64F-E89A1146FA45}"/>
    <cellStyle name="40% - Accent2 3 5 2 3" xfId="15431" xr:uid="{8C960523-A9B4-4EF1-B057-DAC876CE85E1}"/>
    <cellStyle name="40% - Accent2 3 5 3" xfId="2648" xr:uid="{101EB2ED-248C-40AF-94DB-7DC49FC38F8E}"/>
    <cellStyle name="40% - Accent2 3 5 3 2" xfId="16699" xr:uid="{AB98AF49-49BC-4700-BFA3-93D59EB57505}"/>
    <cellStyle name="40% - Accent2 3 5 4" xfId="4667" xr:uid="{B04FE306-FC45-4F06-8F7D-7C0EC059A557}"/>
    <cellStyle name="40% - Accent2 3 5 4 2" xfId="18719" xr:uid="{61E54643-3D7D-4E4F-9242-F52E990DA4F0}"/>
    <cellStyle name="40% - Accent2 3 5 5" xfId="14504" xr:uid="{B5B29049-B96D-404D-9D30-2E85A1B472E7}"/>
    <cellStyle name="40% - Accent2 3 6" xfId="802" xr:uid="{3E26A83B-99DD-4BB9-AB4A-7DBD72E4D1DE}"/>
    <cellStyle name="40% - Accent2 3 6 2" xfId="1901" xr:uid="{6F55B93B-3B41-4541-915D-8ABFDFF746A4}"/>
    <cellStyle name="40% - Accent2 3 6 2 2" xfId="4090" xr:uid="{2AF65939-79FA-4B53-8717-9651711B799E}"/>
    <cellStyle name="40% - Accent2 3 6 2 2 2" xfId="18142" xr:uid="{B74E903B-D405-4498-B713-DEABCBD6940F}"/>
    <cellStyle name="40% - Accent2 3 6 2 3" xfId="15950" xr:uid="{7B521CA7-03D0-46E0-B1C1-0FD14A235A33}"/>
    <cellStyle name="40% - Accent2 3 6 3" xfId="2994" xr:uid="{A0145CB1-F755-47C1-9204-FD0EF148077C}"/>
    <cellStyle name="40% - Accent2 3 6 3 2" xfId="17046" xr:uid="{1EE96E4E-F92D-497B-87F1-E8218CEF24E7}"/>
    <cellStyle name="40% - Accent2 3 6 4" xfId="14852" xr:uid="{4F485FC8-FFD0-4C2F-AF1D-FC22E0227F48}"/>
    <cellStyle name="40% - Accent2 3 7" xfId="1146" xr:uid="{8C8145C4-549F-40FE-9611-42908A036BE7}"/>
    <cellStyle name="40% - Accent2 3 7 2" xfId="2246" xr:uid="{30103ADD-9C70-4212-8A53-1034B9F62086}"/>
    <cellStyle name="40% - Accent2 3 7 2 2" xfId="4435" xr:uid="{BDCAA5A4-3DAF-402F-85A3-5E3EFAEE3470}"/>
    <cellStyle name="40% - Accent2 3 7 2 2 2" xfId="18485" xr:uid="{5255082F-5043-455B-8E64-2114DCA2A37E}"/>
    <cellStyle name="40% - Accent2 3 7 2 3" xfId="16295" xr:uid="{CF39245B-D98C-4F69-95AA-18AE68658A7A}"/>
    <cellStyle name="40% - Accent2 3 7 3" xfId="3339" xr:uid="{0082972C-4BB1-4E5F-8E5C-5212F8830605}"/>
    <cellStyle name="40% - Accent2 3 7 3 2" xfId="17391" xr:uid="{539FF5C7-2F49-405C-90D2-5FBA51F2AC1D}"/>
    <cellStyle name="40% - Accent2 3 7 4" xfId="15197" xr:uid="{C25C524E-56FD-4626-971E-710B0B3023B6}"/>
    <cellStyle name="40% - Accent2 3 8" xfId="1210" xr:uid="{7B8E8D04-9533-4D5B-9FCE-B46EBF77C868}"/>
    <cellStyle name="40% - Accent2 3 8 2" xfId="3400" xr:uid="{EEA435FD-1C84-4668-BD52-E1699256C140}"/>
    <cellStyle name="40% - Accent2 3 8 2 2" xfId="17452" xr:uid="{1B3AC3CB-B778-48D8-AC79-D45E6A4E99F8}"/>
    <cellStyle name="40% - Accent2 3 8 3" xfId="15258" xr:uid="{6E6D8288-655C-4095-84A1-3D70E40B802F}"/>
    <cellStyle name="40% - Accent2 3 9" xfId="2301" xr:uid="{1961CD0F-60C8-4A8B-98C7-64102EA6C225}"/>
    <cellStyle name="40% - Accent2 3 9 2" xfId="16352" xr:uid="{5E1D7BAD-4EEE-4EEB-8D38-DC619DD83F90}"/>
    <cellStyle name="40% - Accent2 4" xfId="192" xr:uid="{EB7E8081-1CB4-49DD-A858-64F6CCEE30AE}"/>
    <cellStyle name="40% - Accent2 4 2" xfId="369" xr:uid="{3CEA2BA8-5FB5-48ED-9F74-94AF2C9E6623}"/>
    <cellStyle name="40% - Accent2 4 2 2" xfId="723" xr:uid="{45505D19-7EDC-4A7A-8CC7-7B3A3D5FF3D2}"/>
    <cellStyle name="40% - Accent2 4 2 2 2" xfId="1824" xr:uid="{93EA0B58-1146-48AD-9E5B-58A233B99958}"/>
    <cellStyle name="40% - Accent2 4 2 2 2 2" xfId="4013" xr:uid="{576C02CE-5212-4627-B339-CBC8B020211B}"/>
    <cellStyle name="40% - Accent2 4 2 2 2 2 2" xfId="18065" xr:uid="{0F18E5A0-FB8F-4640-BD8B-2EDAC0F66AB0}"/>
    <cellStyle name="40% - Accent2 4 2 2 2 3" xfId="15873" xr:uid="{C1BE65D2-0123-4AB9-A837-2A9FAB2E4B7E}"/>
    <cellStyle name="40% - Accent2 4 2 2 3" xfId="2915" xr:uid="{F7E75BF4-A3E3-41AD-8C12-76A0F1D1909F}"/>
    <cellStyle name="40% - Accent2 4 2 2 3 2" xfId="16967" xr:uid="{BDC4FF1C-BA70-4010-B6B5-D1595D40B6C5}"/>
    <cellStyle name="40% - Accent2 4 2 2 4" xfId="14774" xr:uid="{653C70B6-4615-4BCA-A7F5-7265FF4811FF}"/>
    <cellStyle name="40% - Accent2 4 2 3" xfId="1070" xr:uid="{F4BB52AA-9084-4ECF-8CEC-203920F14591}"/>
    <cellStyle name="40% - Accent2 4 2 3 2" xfId="2169" xr:uid="{FBB76D61-FEA2-48E1-BA4C-56F551752E23}"/>
    <cellStyle name="40% - Accent2 4 2 3 2 2" xfId="4358" xr:uid="{12C814B1-5925-469F-8C5F-0465B4AF9DAE}"/>
    <cellStyle name="40% - Accent2 4 2 3 2 2 2" xfId="18408" xr:uid="{88414B5A-F52C-459B-B1A7-75D140FC119D}"/>
    <cellStyle name="40% - Accent2 4 2 3 2 3" xfId="16218" xr:uid="{49541657-0D5E-4562-988B-F5404DEA732A}"/>
    <cellStyle name="40% - Accent2 4 2 3 3" xfId="3262" xr:uid="{54508388-95E5-4A2F-B571-7DDEAEFC34F1}"/>
    <cellStyle name="40% - Accent2 4 2 3 3 2" xfId="17314" xr:uid="{112690F2-D4B6-454C-8EFE-219CFB60FB51}"/>
    <cellStyle name="40% - Accent2 4 2 3 4" xfId="15120" xr:uid="{27231473-D916-41FE-A131-557BDF870440}"/>
    <cellStyle name="40% - Accent2 4 2 4" xfId="1650" xr:uid="{E4CF47E7-743B-4B86-9EFF-9DC842548A0F}"/>
    <cellStyle name="40% - Accent2 4 2 4 2" xfId="3840" xr:uid="{9FEC0075-2FC8-4B8B-90DD-56FAB335C96A}"/>
    <cellStyle name="40% - Accent2 4 2 4 2 2" xfId="17893" xr:uid="{51644F02-C5F5-4502-8B04-8F07A7A54C3F}"/>
    <cellStyle name="40% - Accent2 4 2 4 3" xfId="15699" xr:uid="{A0AF38E9-73EF-4530-B23E-79076F108A77}"/>
    <cellStyle name="40% - Accent2 4 2 5" xfId="2569" xr:uid="{14E27D12-C21A-4B50-B609-7D669B9761D5}"/>
    <cellStyle name="40% - Accent2 4 2 5 2" xfId="16620" xr:uid="{0A9CD5CA-FDA1-46C0-A8E6-6F177F25E0F4}"/>
    <cellStyle name="40% - Accent2 4 2 6" xfId="4935" xr:uid="{9833462D-3216-466B-8DF0-A4C468908ADC}"/>
    <cellStyle name="40% - Accent2 4 2 6 2" xfId="18987" xr:uid="{C0E37611-78A5-4668-A59C-6FEC34DE8E38}"/>
    <cellStyle name="40% - Accent2 4 2 7" xfId="14426" xr:uid="{361716BD-44C3-40A7-9ACA-BDC9C90C9E71}"/>
    <cellStyle name="40% - Accent2 4 3" xfId="543" xr:uid="{2890E3BF-4964-4D3D-9203-66ECDBDC33FF}"/>
    <cellStyle name="40% - Accent2 4 3 2" xfId="1476" xr:uid="{1ADE4610-B248-4A12-BB3C-968887BBD6D4}"/>
    <cellStyle name="40% - Accent2 4 3 2 2" xfId="3666" xr:uid="{A7BDF257-66BF-4127-A971-86561717EC72}"/>
    <cellStyle name="40% - Accent2 4 3 2 2 2" xfId="17719" xr:uid="{194D45DC-5327-475D-BC6F-5C5A1DBEF6E4}"/>
    <cellStyle name="40% - Accent2 4 3 2 3" xfId="15525" xr:uid="{7F4E49FA-22BA-446E-8F45-0B5CFF29BE63}"/>
    <cellStyle name="40% - Accent2 4 3 3" xfId="2742" xr:uid="{6A2A96D6-047A-4596-8D63-BA46A418302A}"/>
    <cellStyle name="40% - Accent2 4 3 3 2" xfId="16793" xr:uid="{6DD9FD15-42E8-4FF7-B6F0-F7B28785FB9C}"/>
    <cellStyle name="40% - Accent2 4 3 4" xfId="4761" xr:uid="{47ED61ED-52DE-4691-B822-3BA433BC3481}"/>
    <cellStyle name="40% - Accent2 4 3 4 2" xfId="18813" xr:uid="{7218F3F6-EBB1-4046-9497-CDB4AB28B657}"/>
    <cellStyle name="40% - Accent2 4 3 5" xfId="14598" xr:uid="{BF193954-67B6-4F47-97BB-CCDCBFD5A13A}"/>
    <cellStyle name="40% - Accent2 4 4" xfId="896" xr:uid="{A4491848-3B80-4257-B322-82E8DCEDB67B}"/>
    <cellStyle name="40% - Accent2 4 4 2" xfId="1995" xr:uid="{58AA4F63-455C-495F-B653-4A8511947224}"/>
    <cellStyle name="40% - Accent2 4 4 2 2" xfId="4184" xr:uid="{DDC22EE2-C30B-4494-ADE4-2C796D0A7CB8}"/>
    <cellStyle name="40% - Accent2 4 4 2 2 2" xfId="18235" xr:uid="{E173020F-7194-4A46-92BB-025631999AD5}"/>
    <cellStyle name="40% - Accent2 4 4 2 3" xfId="16044" xr:uid="{BD715BC2-83A3-43D8-AA0A-1A9529B07478}"/>
    <cellStyle name="40% - Accent2 4 4 3" xfId="3088" xr:uid="{F0EEEDF5-0CCD-44CD-AA17-01B56D2E9FA8}"/>
    <cellStyle name="40% - Accent2 4 4 3 2" xfId="17140" xr:uid="{09C6E2CC-F859-40B7-9378-A1883C0396BC}"/>
    <cellStyle name="40% - Accent2 4 4 4" xfId="14946" xr:uid="{A88B5AD8-DF4B-43C3-8330-1E66540350E9}"/>
    <cellStyle name="40% - Accent2 4 5" xfId="1303" xr:uid="{0F20B46D-CA77-44C3-8415-66930A8D997A}"/>
    <cellStyle name="40% - Accent2 4 5 2" xfId="3494" xr:uid="{4C7E08D4-9A3F-4C1D-903B-A417976E4F84}"/>
    <cellStyle name="40% - Accent2 4 5 2 2" xfId="17546" xr:uid="{1BAEAB60-19AF-455D-AB7A-2D340136BDF6}"/>
    <cellStyle name="40% - Accent2 4 5 3" xfId="15352" xr:uid="{783762C2-9A91-4DA6-970B-C6B2607A2BBD}"/>
    <cellStyle name="40% - Accent2 4 6" xfId="2395" xr:uid="{C1DF4D1A-4F47-4FC0-8CBC-661D21C7715C}"/>
    <cellStyle name="40% - Accent2 4 6 2" xfId="16446" xr:uid="{ED5DC312-9280-4274-9363-4962D99A1B84}"/>
    <cellStyle name="40% - Accent2 4 7" xfId="4588" xr:uid="{2590472A-771F-4800-9417-35D8A13F1B91}"/>
    <cellStyle name="40% - Accent2 4 7 2" xfId="18640" xr:uid="{C75B6BE3-0FDB-4A18-A1A4-879F44C99FFF}"/>
    <cellStyle name="40% - Accent2 4 8" xfId="14251" xr:uid="{B3DB9BF0-1C70-4F3A-9B71-6DC4A5332141}"/>
    <cellStyle name="40% - Accent2 5" xfId="135" xr:uid="{8A888AA8-52CD-43BF-88EF-39205D74F21A}"/>
    <cellStyle name="40% - Accent2 5 2" xfId="312" xr:uid="{DEDB8F33-07A9-432F-BE12-457C1A34ACD0}"/>
    <cellStyle name="40% - Accent2 5 2 2" xfId="666" xr:uid="{DB388B2C-CBCB-4FEF-A6F0-C6FABB83F6F0}"/>
    <cellStyle name="40% - Accent2 5 2 2 2" xfId="1767" xr:uid="{A51AA503-475A-4FCA-9DA0-8A1579786F59}"/>
    <cellStyle name="40% - Accent2 5 2 2 2 2" xfId="3956" xr:uid="{32FD0FAE-24AC-4516-9926-6B51A1C0336B}"/>
    <cellStyle name="40% - Accent2 5 2 2 2 2 2" xfId="18008" xr:uid="{7CDB5F2E-764C-4604-9E2F-896079B280E0}"/>
    <cellStyle name="40% - Accent2 5 2 2 2 3" xfId="15816" xr:uid="{095D6CFD-908A-4683-8C53-F8FAD6D70704}"/>
    <cellStyle name="40% - Accent2 5 2 2 3" xfId="2858" xr:uid="{D88B9C17-4A32-41A2-BBB7-75AF6E22A3A0}"/>
    <cellStyle name="40% - Accent2 5 2 2 3 2" xfId="16910" xr:uid="{8FF9C5AA-2752-4BB9-98BB-42C6FED8F760}"/>
    <cellStyle name="40% - Accent2 5 2 2 4" xfId="14717" xr:uid="{6E38B0D8-E8BB-4579-8802-766216170DAB}"/>
    <cellStyle name="40% - Accent2 5 2 3" xfId="1013" xr:uid="{A28427F1-46B6-42E8-9C77-14C2C8DFF21A}"/>
    <cellStyle name="40% - Accent2 5 2 3 2" xfId="2112" xr:uid="{F9C415B7-B754-4910-BAC9-ACA4C9FC2C5B}"/>
    <cellStyle name="40% - Accent2 5 2 3 2 2" xfId="4301" xr:uid="{FAC67483-E230-46CE-82AE-F408EFD9772D}"/>
    <cellStyle name="40% - Accent2 5 2 3 2 2 2" xfId="18351" xr:uid="{C0987B41-14EA-4ADE-BAC7-5990FED432CF}"/>
    <cellStyle name="40% - Accent2 5 2 3 2 3" xfId="16161" xr:uid="{2DE830E1-6733-4D53-A9B7-B4221F445431}"/>
    <cellStyle name="40% - Accent2 5 2 3 3" xfId="3205" xr:uid="{C4BFD4DA-6845-4A81-A70B-57C3364BC002}"/>
    <cellStyle name="40% - Accent2 5 2 3 3 2" xfId="17257" xr:uid="{0076A61F-EF38-41B6-AF07-AB817C637BBD}"/>
    <cellStyle name="40% - Accent2 5 2 3 4" xfId="15063" xr:uid="{C098D4EC-B86A-4860-91E1-E35E0F8A64A1}"/>
    <cellStyle name="40% - Accent2 5 2 4" xfId="1593" xr:uid="{881E7795-E48C-4296-9FD5-F8FF7C096CAD}"/>
    <cellStyle name="40% - Accent2 5 2 4 2" xfId="3783" xr:uid="{87B8FEB4-9057-4710-9EF1-18B67F1CE5E2}"/>
    <cellStyle name="40% - Accent2 5 2 4 2 2" xfId="17836" xr:uid="{92DE7B1E-B8BD-424B-9B8D-458FAEE0D1A0}"/>
    <cellStyle name="40% - Accent2 5 2 4 3" xfId="15642" xr:uid="{C1D1927B-99AA-416A-833B-024831AAB193}"/>
    <cellStyle name="40% - Accent2 5 2 5" xfId="2512" xr:uid="{DDB85B18-1213-4BA6-AF4E-F04AB2731125}"/>
    <cellStyle name="40% - Accent2 5 2 5 2" xfId="16563" xr:uid="{98B9FB69-A557-40FB-AB6B-B4285B5CF841}"/>
    <cellStyle name="40% - Accent2 5 2 6" xfId="4878" xr:uid="{D6E13AA6-95A8-4244-A516-EF48C86F4DDF}"/>
    <cellStyle name="40% - Accent2 5 2 6 2" xfId="18930" xr:uid="{16228E0A-4A9D-4C12-BBFD-B4047915124D}"/>
    <cellStyle name="40% - Accent2 5 2 7" xfId="14369" xr:uid="{AF7BC48E-8535-414B-AC83-278A3E9C97B7}"/>
    <cellStyle name="40% - Accent2 5 3" xfId="486" xr:uid="{5266ABC5-F96C-4F8D-9630-090CEC39C545}"/>
    <cellStyle name="40% - Accent2 5 3 2" xfId="1419" xr:uid="{D79CFA4A-D9E7-4CA7-A4FF-C2AB64224E7A}"/>
    <cellStyle name="40% - Accent2 5 3 2 2" xfId="3609" xr:uid="{662B31DB-C888-442E-A64C-3C2790AD38A6}"/>
    <cellStyle name="40% - Accent2 5 3 2 2 2" xfId="17662" xr:uid="{D1892C3E-2AFB-4AAC-A0B2-52CD0C96C3CF}"/>
    <cellStyle name="40% - Accent2 5 3 2 3" xfId="15468" xr:uid="{75FCA7D6-5479-486F-8704-72CB9D5B5A5D}"/>
    <cellStyle name="40% - Accent2 5 3 3" xfId="2685" xr:uid="{852DEB6A-34B3-46DD-B92D-5148D58B2B00}"/>
    <cellStyle name="40% - Accent2 5 3 3 2" xfId="16736" xr:uid="{B38DF003-1345-4F1F-A567-E0AB1072EAF1}"/>
    <cellStyle name="40% - Accent2 5 3 4" xfId="4704" xr:uid="{374B9B9A-4824-4913-B774-9362607E3BDF}"/>
    <cellStyle name="40% - Accent2 5 3 4 2" xfId="18756" xr:uid="{291615AF-44AA-4062-871C-A2F6E79A4E8B}"/>
    <cellStyle name="40% - Accent2 5 3 5" xfId="14541" xr:uid="{8BB6AB69-ED37-432C-A411-42FE44846DF8}"/>
    <cellStyle name="40% - Accent2 5 4" xfId="839" xr:uid="{A5655F58-4A93-4D09-A3AB-A169ADEF6349}"/>
    <cellStyle name="40% - Accent2 5 4 2" xfId="1938" xr:uid="{6B8E7500-265F-43E1-871E-A5191327A4FD}"/>
    <cellStyle name="40% - Accent2 5 4 2 2" xfId="4127" xr:uid="{7633714D-1020-42FD-B989-27BEA0276FD6}"/>
    <cellStyle name="40% - Accent2 5 4 2 2 2" xfId="18179" xr:uid="{1E7E121C-A2E7-45F8-9D17-06A58801DEEC}"/>
    <cellStyle name="40% - Accent2 5 4 2 3" xfId="15987" xr:uid="{F847FD8A-4A21-4898-8DA5-4ACB522B5A77}"/>
    <cellStyle name="40% - Accent2 5 4 3" xfId="3031" xr:uid="{DC787E26-E0F1-4AAF-B7B0-2D0BB6FEA479}"/>
    <cellStyle name="40% - Accent2 5 4 3 2" xfId="17083" xr:uid="{490DB4EE-2E64-443B-8036-73EC7C33934C}"/>
    <cellStyle name="40% - Accent2 5 4 4" xfId="14889" xr:uid="{4B24F0AC-2568-4B35-8E4A-B63D95C8170E}"/>
    <cellStyle name="40% - Accent2 5 5" xfId="1247" xr:uid="{1B903B7B-A37A-4297-BD7F-150D2EFD9894}"/>
    <cellStyle name="40% - Accent2 5 5 2" xfId="3437" xr:uid="{D9B76727-B4BB-4810-B448-FF1D5C8E94FE}"/>
    <cellStyle name="40% - Accent2 5 5 2 2" xfId="17489" xr:uid="{B7B714DD-C444-4444-A0E4-D4E9CF7FD533}"/>
    <cellStyle name="40% - Accent2 5 5 3" xfId="15295" xr:uid="{97760DF0-E3AF-4376-942C-452C8BA27877}"/>
    <cellStyle name="40% - Accent2 5 6" xfId="2338" xr:uid="{FB4EC761-D189-4C9D-9D0F-25B472489596}"/>
    <cellStyle name="40% - Accent2 5 6 2" xfId="16389" xr:uid="{F4ADC152-07C7-4B53-A21D-EC7226DF4761}"/>
    <cellStyle name="40% - Accent2 5 7" xfId="4531" xr:uid="{12921725-9E88-4487-9974-7CF50507DB6D}"/>
    <cellStyle name="40% - Accent2 5 7 2" xfId="18583" xr:uid="{AE619A49-F977-4E09-8B8E-19AFD162493A}"/>
    <cellStyle name="40% - Accent2 5 8" xfId="14194" xr:uid="{3075F1FD-6526-4EB8-94BD-1B1B20E926EE}"/>
    <cellStyle name="40% - Accent2 6" xfId="252" xr:uid="{69DA4BD5-E356-402A-801E-55147A75FF24}"/>
    <cellStyle name="40% - Accent2 6 2" xfId="606" xr:uid="{E2DE34A9-D67F-4891-A96A-3CB826F15419}"/>
    <cellStyle name="40% - Accent2 6 2 2" xfId="1711" xr:uid="{09D58D50-A93E-4DF0-A3BE-D1FBF84823E3}"/>
    <cellStyle name="40% - Accent2 6 2 2 2" xfId="3899" xr:uid="{1F7C9D23-8997-41BC-BC3A-3A3DE751D834}"/>
    <cellStyle name="40% - Accent2 6 2 2 2 2" xfId="17951" xr:uid="{67A0E7E3-980D-4CE5-A9A8-9D0F5088D582}"/>
    <cellStyle name="40% - Accent2 6 2 2 3" xfId="15759" xr:uid="{A6F09812-F789-40F1-8A29-B70ADDD8987D}"/>
    <cellStyle name="40% - Accent2 6 2 3" xfId="2802" xr:uid="{453CCE6F-B84A-4469-AF1D-CF63712F8378}"/>
    <cellStyle name="40% - Accent2 6 2 3 2" xfId="16853" xr:uid="{B68571C0-04F4-47B3-B37C-0B31DB6BBA3C}"/>
    <cellStyle name="40% - Accent2 6 2 4" xfId="14659" xr:uid="{1321D5AF-854D-44D0-B3CD-FC33D324D950}"/>
    <cellStyle name="40% - Accent2 6 3" xfId="956" xr:uid="{695DF5BF-A5B8-48A8-8BDC-190300402DCB}"/>
    <cellStyle name="40% - Accent2 6 3 2" xfId="2055" xr:uid="{999B73E9-4C79-4A87-B0D5-88BB11921038}"/>
    <cellStyle name="40% - Accent2 6 3 2 2" xfId="4244" xr:uid="{095F2A41-2981-45D9-A3E7-1F3E336D6790}"/>
    <cellStyle name="40% - Accent2 6 3 2 2 2" xfId="18295" xr:uid="{CD88AEA5-E632-4362-8D61-F156808E612E}"/>
    <cellStyle name="40% - Accent2 6 3 2 3" xfId="16104" xr:uid="{A54EEC48-5380-403C-9E58-8FBF7A6040D6}"/>
    <cellStyle name="40% - Accent2 6 3 3" xfId="3148" xr:uid="{13269E48-A1CD-4834-AABB-F0A1E0A20C7A}"/>
    <cellStyle name="40% - Accent2 6 3 3 2" xfId="17200" xr:uid="{48FF37A8-CDA8-4C39-9331-1B4210BCDB3B}"/>
    <cellStyle name="40% - Accent2 6 3 4" xfId="15006" xr:uid="{DF0D1B32-3E04-4433-9580-80754767F344}"/>
    <cellStyle name="40% - Accent2 6 4" xfId="1536" xr:uid="{A6324DC0-9FEC-4EFA-8CDA-D912505F9836}"/>
    <cellStyle name="40% - Accent2 6 4 2" xfId="3726" xr:uid="{A18C5347-D607-4BB8-A165-211B88740A28}"/>
    <cellStyle name="40% - Accent2 6 4 2 2" xfId="17779" xr:uid="{2EA8B9FD-536D-4853-AF00-7CF910548371}"/>
    <cellStyle name="40% - Accent2 6 4 3" xfId="15585" xr:uid="{8246F1B7-DAF9-48B7-B1E2-1067B61D308C}"/>
    <cellStyle name="40% - Accent2 6 5" xfId="2455" xr:uid="{0AB810FD-A214-4032-958C-C1870CD5F1E0}"/>
    <cellStyle name="40% - Accent2 6 5 2" xfId="16506" xr:uid="{8F4FAA87-7D70-49A2-BB02-6D9DE5133BAF}"/>
    <cellStyle name="40% - Accent2 6 6" xfId="4821" xr:uid="{2A55716A-AD64-49E0-A059-B5BA976B3F51}"/>
    <cellStyle name="40% - Accent2 6 6 2" xfId="18873" xr:uid="{9694486A-4E93-4A8C-865C-4A3EC02B83DE}"/>
    <cellStyle name="40% - Accent2 6 7" xfId="14311" xr:uid="{B126957C-4B3C-4A79-9CE4-016DB0D1A7C4}"/>
    <cellStyle name="40% - Accent2 7" xfId="428" xr:uid="{4746A2A5-D2DA-447E-854D-DA1A017EE255}"/>
    <cellStyle name="40% - Accent2 7 2" xfId="1362" xr:uid="{019E0271-149A-4CF8-AA5B-C0388A80808A}"/>
    <cellStyle name="40% - Accent2 7 2 2" xfId="3552" xr:uid="{CA08CF16-9928-482B-9770-4391E526CA78}"/>
    <cellStyle name="40% - Accent2 7 2 2 2" xfId="17605" xr:uid="{A29D4585-700E-4026-8451-147F2E2D75A6}"/>
    <cellStyle name="40% - Accent2 7 2 3" xfId="15411" xr:uid="{F03B1FAD-CDA1-4D63-A02F-FD3F673CB5DA}"/>
    <cellStyle name="40% - Accent2 7 3" xfId="2628" xr:uid="{2F10E427-83D1-4441-B84C-E7B71FDC2DF4}"/>
    <cellStyle name="40% - Accent2 7 3 2" xfId="16679" xr:uid="{A2A6EC2A-73A3-4632-B7B4-BAF126F919DC}"/>
    <cellStyle name="40% - Accent2 7 4" xfId="4647" xr:uid="{91DE42C1-6306-4465-88BB-65FB89ECE90D}"/>
    <cellStyle name="40% - Accent2 7 4 2" xfId="18699" xr:uid="{F9D8EF98-657B-4F8D-AA63-76AE187C21FC}"/>
    <cellStyle name="40% - Accent2 7 5" xfId="14484" xr:uid="{B8288106-9935-4831-B7F3-C4CE567930C1}"/>
    <cellStyle name="40% - Accent2 8" xfId="782" xr:uid="{C88EA1EF-FFBD-48A0-8735-8C61D97EB36C}"/>
    <cellStyle name="40% - Accent2 8 2" xfId="1883" xr:uid="{672898F9-F04D-4044-BB3E-CEE04DE4F145}"/>
    <cellStyle name="40% - Accent2 8 2 2" xfId="4072" xr:uid="{7F127FEB-6594-46C1-A5C1-877487AEC07A}"/>
    <cellStyle name="40% - Accent2 8 2 2 2" xfId="18124" xr:uid="{4CC49610-BD07-409C-917D-E34FAB7F8DF1}"/>
    <cellStyle name="40% - Accent2 8 2 3" xfId="15932" xr:uid="{63BB033D-4B0A-416B-9DF2-B71F8DF875BA}"/>
    <cellStyle name="40% - Accent2 8 3" xfId="2974" xr:uid="{0CE5C1CC-6113-42AC-A88D-3EE155A5BC51}"/>
    <cellStyle name="40% - Accent2 8 3 2" xfId="17026" xr:uid="{046ACDFE-B4AF-4F39-A09E-9B819EC95A53}"/>
    <cellStyle name="40% - Accent2 8 4" xfId="14832" xr:uid="{E8260474-CD0E-44FE-9CBC-384AB4A674E3}"/>
    <cellStyle name="40% - Accent2 9" xfId="1126" xr:uid="{803F529F-97CE-4725-8973-3EDADBB5DE09}"/>
    <cellStyle name="40% - Accent2 9 2" xfId="2226" xr:uid="{4A5CF3F1-09C9-4D41-BE61-B80E42239A44}"/>
    <cellStyle name="40% - Accent2 9 2 2" xfId="4415" xr:uid="{C806FD65-D382-49BC-83F0-C891D7A85EA9}"/>
    <cellStyle name="40% - Accent2 9 2 2 2" xfId="18465" xr:uid="{F19B3DCB-BC5C-4547-8313-80F6D244B643}"/>
    <cellStyle name="40% - Accent2 9 2 3" xfId="16275" xr:uid="{5C1C1C85-F4EE-4B92-BA05-50B75EA3DE10}"/>
    <cellStyle name="40% - Accent2 9 3" xfId="3319" xr:uid="{5719BFF4-00ED-4104-B32A-78FB29A56025}"/>
    <cellStyle name="40% - Accent2 9 3 2" xfId="17371" xr:uid="{29478995-B603-451D-85D8-DB4B3ABB09A8}"/>
    <cellStyle name="40% - Accent2 9 4" xfId="15177" xr:uid="{A55D99B4-60CE-4E00-BDA8-66B22F4637F7}"/>
    <cellStyle name="40% - Accent3" xfId="49" builtinId="39" customBuiltin="1"/>
    <cellStyle name="40% - Accent3 10" xfId="1191" xr:uid="{20B84325-088F-4E1E-A77F-4D0ECA6AE0DE}"/>
    <cellStyle name="40% - Accent3 10 2" xfId="3382" xr:uid="{61EDB47B-E833-48BB-AA79-E7302861FAC3}"/>
    <cellStyle name="40% - Accent3 10 2 2" xfId="17434" xr:uid="{0A2FBCD6-903F-4063-93F7-E4A3C36B1578}"/>
    <cellStyle name="40% - Accent3 10 3" xfId="15240" xr:uid="{000A0FF5-13B4-4FEC-9C53-14E88EE1BB7E}"/>
    <cellStyle name="40% - Accent3 11" xfId="2283" xr:uid="{D48F665C-801D-406F-A21D-EB1F87F85B54}"/>
    <cellStyle name="40% - Accent3 11 2" xfId="16334" xr:uid="{33D89F70-2D42-46C9-8609-3476D977262F}"/>
    <cellStyle name="40% - Accent3 12" xfId="4477" xr:uid="{24428D4E-6D5B-475B-8629-9F8E1E792151}"/>
    <cellStyle name="40% - Accent3 12 2" xfId="18528" xr:uid="{D6A79051-8B72-41D2-9D31-35E73313A0CF}"/>
    <cellStyle name="40% - Accent3 13" xfId="14127" xr:uid="{39EC321E-56E5-49C0-87C2-D2F1E2E7E328}"/>
    <cellStyle name="40% - Accent3 2" xfId="123" xr:uid="{4E0F70BB-B3C7-4519-A147-96DBB81FF49C}"/>
    <cellStyle name="40% - Accent3 2 10" xfId="4521" xr:uid="{B6DC8788-3664-445D-AEFE-3B11365C7A60}"/>
    <cellStyle name="40% - Accent3 2 10 2" xfId="18572" xr:uid="{40E7DF04-EE7E-4D68-A117-F14D6646666C}"/>
    <cellStyle name="40% - Accent3 2 11" xfId="14183" xr:uid="{9C7DD449-91AC-4E9B-909A-E94728052701}"/>
    <cellStyle name="40% - Accent3 2 2" xfId="238" xr:uid="{BA96DD9F-2C0A-4C54-82F8-403FE970CEB3}"/>
    <cellStyle name="40% - Accent3 2 2 2" xfId="415" xr:uid="{6FF27F68-304F-4691-A13D-883647C631DF}"/>
    <cellStyle name="40% - Accent3 2 2 2 2" xfId="769" xr:uid="{A4A5CEAF-1CB9-4E70-B521-7B967B8742F6}"/>
    <cellStyle name="40% - Accent3 2 2 2 2 2" xfId="1870" xr:uid="{7E895090-12E6-40DB-83AC-9FE2FCAC8417}"/>
    <cellStyle name="40% - Accent3 2 2 2 2 2 2" xfId="4059" xr:uid="{E9B7F662-17A8-4771-B539-862D4E665DCF}"/>
    <cellStyle name="40% - Accent3 2 2 2 2 2 2 2" xfId="18111" xr:uid="{F73BADAF-B4AC-4A49-8EC0-3E6C43C2588B}"/>
    <cellStyle name="40% - Accent3 2 2 2 2 2 3" xfId="15919" xr:uid="{46ABB55A-DE0D-4878-AA17-C59C1C3D8462}"/>
    <cellStyle name="40% - Accent3 2 2 2 2 3" xfId="2961" xr:uid="{9F6820D9-2593-455C-A525-1FE7B1958B41}"/>
    <cellStyle name="40% - Accent3 2 2 2 2 3 2" xfId="17013" xr:uid="{48A3B768-F49D-4D65-AC10-34F563336D8B}"/>
    <cellStyle name="40% - Accent3 2 2 2 2 4" xfId="14819" xr:uid="{65AFFB43-C543-44E9-8CB9-74BA252D6109}"/>
    <cellStyle name="40% - Accent3 2 2 2 3" xfId="1116" xr:uid="{61858C54-CB75-4F00-855A-ED4C4E8B0EE1}"/>
    <cellStyle name="40% - Accent3 2 2 2 3 2" xfId="2215" xr:uid="{DB2C7448-0DC9-48BF-A812-58B286880E53}"/>
    <cellStyle name="40% - Accent3 2 2 2 3 2 2" xfId="4404" xr:uid="{368DADB2-A395-4E39-9503-9C19494677FA}"/>
    <cellStyle name="40% - Accent3 2 2 2 3 2 2 2" xfId="18454" xr:uid="{56EBFAEB-6DD5-49E1-BE25-BA117750FFFF}"/>
    <cellStyle name="40% - Accent3 2 2 2 3 2 3" xfId="16264" xr:uid="{F74B667B-ADEA-44B6-BBE2-FEC11CDB0CDD}"/>
    <cellStyle name="40% - Accent3 2 2 2 3 3" xfId="3308" xr:uid="{DEDE7897-9839-4AB5-BB7F-7D4FE2A0CCE5}"/>
    <cellStyle name="40% - Accent3 2 2 2 3 3 2" xfId="17360" xr:uid="{B3EEE516-4CA5-49AC-944C-505B8622C387}"/>
    <cellStyle name="40% - Accent3 2 2 2 3 4" xfId="15166" xr:uid="{AF57C93A-8054-4542-B508-56CDEDEDB3D1}"/>
    <cellStyle name="40% - Accent3 2 2 2 4" xfId="1696" xr:uid="{367AB91A-4742-469A-A6BB-CB9BC03E76BC}"/>
    <cellStyle name="40% - Accent3 2 2 2 4 2" xfId="3886" xr:uid="{8B4C6FC6-1A65-43D7-BEE0-C1368FFA6AC1}"/>
    <cellStyle name="40% - Accent3 2 2 2 4 2 2" xfId="17938" xr:uid="{1C7705A7-6459-4676-8E44-B313BCF8BEC1}"/>
    <cellStyle name="40% - Accent3 2 2 2 4 3" xfId="15745" xr:uid="{3331FE0D-9FE0-469B-93E6-F07FE91193CF}"/>
    <cellStyle name="40% - Accent3 2 2 2 5" xfId="2615" xr:uid="{032B1C96-8694-4703-9FBF-F2823A834331}"/>
    <cellStyle name="40% - Accent3 2 2 2 5 2" xfId="16666" xr:uid="{52E798BD-1610-4CE7-B962-6ADE1E60F4BD}"/>
    <cellStyle name="40% - Accent3 2 2 2 6" xfId="4981" xr:uid="{89237668-D94C-46AE-9628-09AF34DC2BDA}"/>
    <cellStyle name="40% - Accent3 2 2 2 6 2" xfId="19033" xr:uid="{CD0AF319-AE60-4E3D-9CBA-6F14928233EB}"/>
    <cellStyle name="40% - Accent3 2 2 2 7" xfId="14471" xr:uid="{BA25F600-CBE7-493C-BD34-FCCCB22C3D51}"/>
    <cellStyle name="40% - Accent3 2 2 3" xfId="589" xr:uid="{6B099E96-562B-432D-A5E6-5B2243B510C6}"/>
    <cellStyle name="40% - Accent3 2 2 3 2" xfId="1522" xr:uid="{F66AD6E8-7C0F-402F-9BE0-D39E08D70BB1}"/>
    <cellStyle name="40% - Accent3 2 2 3 2 2" xfId="3712" xr:uid="{1388F492-E876-4C3C-B21D-752CB64B76DE}"/>
    <cellStyle name="40% - Accent3 2 2 3 2 2 2" xfId="17765" xr:uid="{1AA50854-14D8-43DE-B556-0595FC5DC49F}"/>
    <cellStyle name="40% - Accent3 2 2 3 2 3" xfId="15571" xr:uid="{841658C6-9F10-44C9-911F-3EF8E744721C}"/>
    <cellStyle name="40% - Accent3 2 2 3 3" xfId="2788" xr:uid="{C52B7FDC-F4EA-4ED4-917D-E25812427CF1}"/>
    <cellStyle name="40% - Accent3 2 2 3 3 2" xfId="16839" xr:uid="{BEC2790B-3DB4-40F2-8D16-0C42373A6370}"/>
    <cellStyle name="40% - Accent3 2 2 3 4" xfId="4807" xr:uid="{E53DF7C0-848C-41F1-A65A-B9BD7EFA0CD1}"/>
    <cellStyle name="40% - Accent3 2 2 3 4 2" xfId="18859" xr:uid="{655658D3-8CFC-4AA1-A5CB-E31BFF6D7A79}"/>
    <cellStyle name="40% - Accent3 2 2 3 5" xfId="14644" xr:uid="{18E8F383-15E4-42C5-9C4D-4D95C9ADB217}"/>
    <cellStyle name="40% - Accent3 2 2 4" xfId="942" xr:uid="{6B7702D4-5263-40FC-9A1F-4F8234354A61}"/>
    <cellStyle name="40% - Accent3 2 2 4 2" xfId="2041" xr:uid="{C634FC1C-6AA8-4DBB-B50E-B61E2BC501E3}"/>
    <cellStyle name="40% - Accent3 2 2 4 2 2" xfId="4230" xr:uid="{F6A66E55-724E-4EB8-8F2C-016FE7120D69}"/>
    <cellStyle name="40% - Accent3 2 2 4 2 2 2" xfId="18281" xr:uid="{56E258A5-2EDD-4BE8-B575-D74CF2331D85}"/>
    <cellStyle name="40% - Accent3 2 2 4 2 3" xfId="16090" xr:uid="{20328808-DF22-4BAE-9735-7C370DE61F51}"/>
    <cellStyle name="40% - Accent3 2 2 4 3" xfId="3134" xr:uid="{EE0D75BB-5531-49D0-B1C1-665E45CFE1C2}"/>
    <cellStyle name="40% - Accent3 2 2 4 3 2" xfId="17186" xr:uid="{33665661-C381-475B-9CE9-450F6649547C}"/>
    <cellStyle name="40% - Accent3 2 2 4 4" xfId="14992" xr:uid="{C99127B6-53E3-4A0E-8A5C-ECC6FF69EEAC}"/>
    <cellStyle name="40% - Accent3 2 2 5" xfId="1349" xr:uid="{BE1B4E1C-C04E-459F-A8E5-32D74D5CFAD4}"/>
    <cellStyle name="40% - Accent3 2 2 5 2" xfId="3540" xr:uid="{76A75CCE-F2AB-4E73-8BC3-E36F97D5F2C0}"/>
    <cellStyle name="40% - Accent3 2 2 5 2 2" xfId="17592" xr:uid="{6322AC56-FF60-4A02-8AA3-A11E223E8389}"/>
    <cellStyle name="40% - Accent3 2 2 5 3" xfId="15398" xr:uid="{2395AEAD-94AA-4A3A-9C88-20565E00F6E2}"/>
    <cellStyle name="40% - Accent3 2 2 6" xfId="2441" xr:uid="{E56802A0-A67E-4A11-890C-CA788C7CA362}"/>
    <cellStyle name="40% - Accent3 2 2 6 2" xfId="16492" xr:uid="{33A92403-D95E-4EAF-AF09-7F2701C681D9}"/>
    <cellStyle name="40% - Accent3 2 2 7" xfId="4634" xr:uid="{B9E694C8-2D46-4836-AEFC-26C567FF7C02}"/>
    <cellStyle name="40% - Accent3 2 2 7 2" xfId="18686" xr:uid="{F1496E5A-05AC-4212-928C-8740265D3E5D}"/>
    <cellStyle name="40% - Accent3 2 2 8" xfId="14297" xr:uid="{5516C862-5101-4371-A3A0-F8115AE76393}"/>
    <cellStyle name="40% - Accent3 2 3" xfId="181" xr:uid="{D6EC2EE9-90CF-4777-8C48-F21E46A051FF}"/>
    <cellStyle name="40% - Accent3 2 3 2" xfId="358" xr:uid="{AD09CCE0-4FEF-4675-83A9-A0AB71050DD2}"/>
    <cellStyle name="40% - Accent3 2 3 2 2" xfId="712" xr:uid="{D222A0B6-D12C-4E57-8E10-4168037B4927}"/>
    <cellStyle name="40% - Accent3 2 3 2 2 2" xfId="1813" xr:uid="{D506D19D-9BE2-44E6-AAC3-5BA3E8156667}"/>
    <cellStyle name="40% - Accent3 2 3 2 2 2 2" xfId="4002" xr:uid="{8DA37796-EA20-42A0-A2D2-058B9B49DA13}"/>
    <cellStyle name="40% - Accent3 2 3 2 2 2 2 2" xfId="18054" xr:uid="{44C65342-8F14-4D98-B9D8-EBC357B3BA6A}"/>
    <cellStyle name="40% - Accent3 2 3 2 2 2 3" xfId="15862" xr:uid="{E0D949B7-3A33-494E-8B41-4B2BDDFA16BF}"/>
    <cellStyle name="40% - Accent3 2 3 2 2 3" xfId="2904" xr:uid="{560932D4-A1DD-4440-90BD-152A65509A5C}"/>
    <cellStyle name="40% - Accent3 2 3 2 2 3 2" xfId="16956" xr:uid="{4A42C6F5-C36E-4A86-BD74-1C629BFC9BD3}"/>
    <cellStyle name="40% - Accent3 2 3 2 2 4" xfId="14763" xr:uid="{F9E86CA0-D9AE-40DC-80A3-0C965C464908}"/>
    <cellStyle name="40% - Accent3 2 3 2 3" xfId="1059" xr:uid="{14C06619-A5AF-47EC-8D20-B55F6A84331B}"/>
    <cellStyle name="40% - Accent3 2 3 2 3 2" xfId="2158" xr:uid="{F9360CC2-7F61-4746-900E-44E0847A6380}"/>
    <cellStyle name="40% - Accent3 2 3 2 3 2 2" xfId="4347" xr:uid="{8A22FD5B-87E8-445E-B4DC-10A2B6B3E487}"/>
    <cellStyle name="40% - Accent3 2 3 2 3 2 2 2" xfId="18397" xr:uid="{E34E7CD4-4D20-42BC-9893-57A92F08F24B}"/>
    <cellStyle name="40% - Accent3 2 3 2 3 2 3" xfId="16207" xr:uid="{ADA14BB1-94F0-44D4-8F6D-5BBB22070F09}"/>
    <cellStyle name="40% - Accent3 2 3 2 3 3" xfId="3251" xr:uid="{F93A3A64-1117-4A3A-9459-5344626B68B9}"/>
    <cellStyle name="40% - Accent3 2 3 2 3 3 2" xfId="17303" xr:uid="{E58BA294-A831-4A1F-8EFE-536E524CFFF0}"/>
    <cellStyle name="40% - Accent3 2 3 2 3 4" xfId="15109" xr:uid="{B0B9E878-B164-41A9-AE74-EEE7EFF5212F}"/>
    <cellStyle name="40% - Accent3 2 3 2 4" xfId="1639" xr:uid="{BD0AC1E9-DB98-4C1C-ADCF-BE8FD3FB539C}"/>
    <cellStyle name="40% - Accent3 2 3 2 4 2" xfId="3829" xr:uid="{3C67979C-9B1F-4166-BA3D-4FE915A36B35}"/>
    <cellStyle name="40% - Accent3 2 3 2 4 2 2" xfId="17882" xr:uid="{0C990E49-2E99-4361-AB17-AA0D593155D1}"/>
    <cellStyle name="40% - Accent3 2 3 2 4 3" xfId="15688" xr:uid="{9BA60C8E-140D-4E0C-A5AB-3D0A29BB0272}"/>
    <cellStyle name="40% - Accent3 2 3 2 5" xfId="2558" xr:uid="{97621D83-9EB7-465E-B216-A2D4D7827A9E}"/>
    <cellStyle name="40% - Accent3 2 3 2 5 2" xfId="16609" xr:uid="{06DA533D-90EC-4A5E-80EB-DAB77EF0A88C}"/>
    <cellStyle name="40% - Accent3 2 3 2 6" xfId="4924" xr:uid="{D36A26FA-73B1-475A-A2EA-166482F96D9E}"/>
    <cellStyle name="40% - Accent3 2 3 2 6 2" xfId="18976" xr:uid="{56846CB9-9C95-4FA6-9F50-A6FA83915FB5}"/>
    <cellStyle name="40% - Accent3 2 3 2 7" xfId="14415" xr:uid="{47E66899-5EFB-4088-B623-30FE490C66CE}"/>
    <cellStyle name="40% - Accent3 2 3 3" xfId="532" xr:uid="{22DCF1E6-F365-4A67-84D8-F30EAB1D19F5}"/>
    <cellStyle name="40% - Accent3 2 3 3 2" xfId="1465" xr:uid="{987FBA45-46DB-4A37-9550-FA90E719AD58}"/>
    <cellStyle name="40% - Accent3 2 3 3 2 2" xfId="3655" xr:uid="{32BA1DE3-45DC-4BDB-A12D-2018540A333A}"/>
    <cellStyle name="40% - Accent3 2 3 3 2 2 2" xfId="17708" xr:uid="{A978C89A-2703-477B-A0F6-D57D516C8966}"/>
    <cellStyle name="40% - Accent3 2 3 3 2 3" xfId="15514" xr:uid="{5DE38880-5441-4917-8A53-83931CE3BB4B}"/>
    <cellStyle name="40% - Accent3 2 3 3 3" xfId="2731" xr:uid="{C8F84769-F851-48B7-9FED-C7BB4A508D21}"/>
    <cellStyle name="40% - Accent3 2 3 3 3 2" xfId="16782" xr:uid="{2D000ABA-E8C5-4A15-A51E-1F12E89F4D2C}"/>
    <cellStyle name="40% - Accent3 2 3 3 4" xfId="4750" xr:uid="{17BB6635-76C0-47B6-BC96-6EEF62DEF999}"/>
    <cellStyle name="40% - Accent3 2 3 3 4 2" xfId="18802" xr:uid="{BE167B95-AB18-4F0B-A65C-E894903587F1}"/>
    <cellStyle name="40% - Accent3 2 3 3 5" xfId="14587" xr:uid="{23425D22-0156-4AF2-AB16-5FF2DA3C355D}"/>
    <cellStyle name="40% - Accent3 2 3 4" xfId="885" xr:uid="{E15C542B-9D2E-4F13-94EB-8327258148F7}"/>
    <cellStyle name="40% - Accent3 2 3 4 2" xfId="1984" xr:uid="{DE5E57BF-964F-4ECA-B90F-146AEC868F04}"/>
    <cellStyle name="40% - Accent3 2 3 4 2 2" xfId="4173" xr:uid="{31EDA803-5D7B-4229-8BF9-74F8C9792887}"/>
    <cellStyle name="40% - Accent3 2 3 4 2 2 2" xfId="18224" xr:uid="{DB1CF526-116A-4C01-BC3D-D32307A9D5BC}"/>
    <cellStyle name="40% - Accent3 2 3 4 2 3" xfId="16033" xr:uid="{69693F1F-FFC9-4194-8784-E344EC0FB49E}"/>
    <cellStyle name="40% - Accent3 2 3 4 3" xfId="3077" xr:uid="{52D626C4-B8C0-4168-AD36-D31150082309}"/>
    <cellStyle name="40% - Accent3 2 3 4 3 2" xfId="17129" xr:uid="{278F382E-0EEC-4712-A521-6797F45BFEEA}"/>
    <cellStyle name="40% - Accent3 2 3 4 4" xfId="14935" xr:uid="{F507474A-66D0-43C3-8AB5-AAE4F69FF064}"/>
    <cellStyle name="40% - Accent3 2 3 5" xfId="1292" xr:uid="{9147CC10-A16D-4EE4-99A7-DB297CD8EE5A}"/>
    <cellStyle name="40% - Accent3 2 3 5 2" xfId="3483" xr:uid="{5950C1DC-715F-413B-816A-7D81B867252E}"/>
    <cellStyle name="40% - Accent3 2 3 5 2 2" xfId="17535" xr:uid="{04D59CD3-7B17-471B-81AA-E3A053ACE8B5}"/>
    <cellStyle name="40% - Accent3 2 3 5 3" xfId="15341" xr:uid="{0B1A4B0E-B421-454F-B219-6B772ED36AB7}"/>
    <cellStyle name="40% - Accent3 2 3 6" xfId="2384" xr:uid="{D924BDC9-938C-4EC9-98D2-E810ACDC109B}"/>
    <cellStyle name="40% - Accent3 2 3 6 2" xfId="16435" xr:uid="{D081288F-53CD-400B-9646-1F2DCF4FCF25}"/>
    <cellStyle name="40% - Accent3 2 3 7" xfId="4577" xr:uid="{BFA23594-C158-474E-9B8F-3A1F3034AB2C}"/>
    <cellStyle name="40% - Accent3 2 3 7 2" xfId="18629" xr:uid="{FAD21554-D5F4-4DBA-B123-8707CA2C9BAF}"/>
    <cellStyle name="40% - Accent3 2 3 8" xfId="14240" xr:uid="{A9B81703-C09C-4253-9ECB-004725AAADFD}"/>
    <cellStyle name="40% - Accent3 2 4" xfId="301" xr:uid="{74DCF0CD-CAAD-40B9-9EA6-C10F1229F02A}"/>
    <cellStyle name="40% - Accent3 2 4 2" xfId="655" xr:uid="{F5F76B0A-B3A0-4DCF-B32E-116094D6735D}"/>
    <cellStyle name="40% - Accent3 2 4 2 2" xfId="1757" xr:uid="{80E54E8A-B54D-40F3-A385-63EDF947B79A}"/>
    <cellStyle name="40% - Accent3 2 4 2 2 2" xfId="3945" xr:uid="{2B99A3B0-4F6B-409D-B1E2-87730DC475FB}"/>
    <cellStyle name="40% - Accent3 2 4 2 2 2 2" xfId="17997" xr:uid="{83DE05F9-B6FB-4675-A793-27C46D74570A}"/>
    <cellStyle name="40% - Accent3 2 4 2 2 3" xfId="15805" xr:uid="{94CAD4F6-1CF2-45B4-9EA3-C9FCEB31BD58}"/>
    <cellStyle name="40% - Accent3 2 4 2 3" xfId="2848" xr:uid="{1297A852-FD9B-440D-8B71-3281A4947B6D}"/>
    <cellStyle name="40% - Accent3 2 4 2 3 2" xfId="16899" xr:uid="{92F7BDB4-FD95-4A59-831C-43E732CA0E4B}"/>
    <cellStyle name="40% - Accent3 2 4 2 4" xfId="14706" xr:uid="{3536E579-2424-45DB-A20C-522BDC1D36D1}"/>
    <cellStyle name="40% - Accent3 2 4 3" xfId="1002" xr:uid="{ACD5E43F-1029-4FD6-80FB-954199D2D014}"/>
    <cellStyle name="40% - Accent3 2 4 3 2" xfId="2101" xr:uid="{402D1B31-58EB-4C4A-BE0F-4DE7C45694B3}"/>
    <cellStyle name="40% - Accent3 2 4 3 2 2" xfId="4290" xr:uid="{D6DBA9B3-664D-4354-A7BD-58E86784CCB8}"/>
    <cellStyle name="40% - Accent3 2 4 3 2 2 2" xfId="18340" xr:uid="{EC512575-E579-4801-8F12-027DE6B42383}"/>
    <cellStyle name="40% - Accent3 2 4 3 2 3" xfId="16150" xr:uid="{6BF1A6FF-B87B-4F86-BCFB-337A6C443FBA}"/>
    <cellStyle name="40% - Accent3 2 4 3 3" xfId="3194" xr:uid="{B63E9030-BE42-4D9D-9980-CBDD00646E8F}"/>
    <cellStyle name="40% - Accent3 2 4 3 3 2" xfId="17246" xr:uid="{B32BA90E-FBD2-4606-B6CD-A850713CBF4D}"/>
    <cellStyle name="40% - Accent3 2 4 3 4" xfId="15052" xr:uid="{011A20D3-AE54-4265-BC0D-6AB92E960E6B}"/>
    <cellStyle name="40% - Accent3 2 4 4" xfId="1582" xr:uid="{D4D13945-C774-49CE-B49F-7A6ED8B685C3}"/>
    <cellStyle name="40% - Accent3 2 4 4 2" xfId="3772" xr:uid="{D3DCB591-70A4-496F-9F1C-6BFA253B01FB}"/>
    <cellStyle name="40% - Accent3 2 4 4 2 2" xfId="17825" xr:uid="{93413538-9AF8-4A8C-9D75-9D97E9F7DF8D}"/>
    <cellStyle name="40% - Accent3 2 4 4 3" xfId="15631" xr:uid="{2A5817C3-7339-4097-8914-7614CE96F954}"/>
    <cellStyle name="40% - Accent3 2 4 5" xfId="2501" xr:uid="{C31026A0-B436-4B63-9AE3-B17A4F0CD0EC}"/>
    <cellStyle name="40% - Accent3 2 4 5 2" xfId="16552" xr:uid="{32B978D3-FCB6-4F0A-A2AF-AE76B1C48FB8}"/>
    <cellStyle name="40% - Accent3 2 4 6" xfId="4867" xr:uid="{661D1B1C-A9A1-496B-81D0-4C1FA5A7F75C}"/>
    <cellStyle name="40% - Accent3 2 4 6 2" xfId="18919" xr:uid="{970968BD-49BB-4F9D-8644-83E09344D4C4}"/>
    <cellStyle name="40% - Accent3 2 4 7" xfId="14358" xr:uid="{F4A73492-53BC-4FCB-A35B-F2B86BD570C6}"/>
    <cellStyle name="40% - Accent3 2 5" xfId="475" xr:uid="{9F8DAD49-5004-413A-82E9-DD44B7F92993}"/>
    <cellStyle name="40% - Accent3 2 5 2" xfId="1408" xr:uid="{F28C86D9-7F0C-476D-BE96-268953DD96D1}"/>
    <cellStyle name="40% - Accent3 2 5 2 2" xfId="3598" xr:uid="{C76AC1BE-988F-4B7B-90D4-29F4B515AB6A}"/>
    <cellStyle name="40% - Accent3 2 5 2 2 2" xfId="17651" xr:uid="{A65ECE7D-19BE-4501-9166-850603F9AD99}"/>
    <cellStyle name="40% - Accent3 2 5 2 3" xfId="15457" xr:uid="{DD2C51D3-EE47-46FE-8C15-751D1A3652E2}"/>
    <cellStyle name="40% - Accent3 2 5 3" xfId="2674" xr:uid="{B2A4ADC3-0112-4145-A38E-134FE090BD5D}"/>
    <cellStyle name="40% - Accent3 2 5 3 2" xfId="16725" xr:uid="{A1DCCC8A-04AF-4FCB-9229-90CD5D6E9E70}"/>
    <cellStyle name="40% - Accent3 2 5 4" xfId="4693" xr:uid="{9E7C499C-1B7F-4C5F-9993-ACEA6C5B8DF1}"/>
    <cellStyle name="40% - Accent3 2 5 4 2" xfId="18745" xr:uid="{70767733-A6E3-4C71-BA34-16176E25615E}"/>
    <cellStyle name="40% - Accent3 2 5 5" xfId="14530" xr:uid="{B470CD66-0337-4D43-B828-F843511F1558}"/>
    <cellStyle name="40% - Accent3 2 6" xfId="828" xr:uid="{D05630B9-833B-42A9-A865-1F4B3D00DA36}"/>
    <cellStyle name="40% - Accent3 2 6 2" xfId="1927" xr:uid="{7DD0F3E1-2BEA-476D-BF29-5C28646B96CF}"/>
    <cellStyle name="40% - Accent3 2 6 2 2" xfId="4116" xr:uid="{93093A33-DA89-42D8-9735-D100BD233DAA}"/>
    <cellStyle name="40% - Accent3 2 6 2 2 2" xfId="18168" xr:uid="{AB70D1C8-254C-46C4-9765-1B7D4524D8FA}"/>
    <cellStyle name="40% - Accent3 2 6 2 3" xfId="15976" xr:uid="{50995856-CEC8-47A8-A6CC-834C28613337}"/>
    <cellStyle name="40% - Accent3 2 6 3" xfId="3020" xr:uid="{EB598F0A-AA2C-4A03-A6BE-D418C9508D05}"/>
    <cellStyle name="40% - Accent3 2 6 3 2" xfId="17072" xr:uid="{4714E6BB-E286-4ADD-8B8D-EB9D7A34B634}"/>
    <cellStyle name="40% - Accent3 2 6 4" xfId="14878" xr:uid="{CABF951E-1EB0-45D1-BDA5-2EC4B30C0BFF}"/>
    <cellStyle name="40% - Accent3 2 7" xfId="1172" xr:uid="{12BBF004-CB90-42FD-BBCB-474B7783F9F8}"/>
    <cellStyle name="40% - Accent3 2 7 2" xfId="2271" xr:uid="{88672BEE-7EFC-4D96-A2D9-0C1C3317CC50}"/>
    <cellStyle name="40% - Accent3 2 7 2 2" xfId="4460" xr:uid="{18FC2249-D41F-4EAA-9BE6-EB6EEACE2ED5}"/>
    <cellStyle name="40% - Accent3 2 7 2 2 2" xfId="18511" xr:uid="{E12F6423-A7C2-47C0-BC72-B1E3AADF778F}"/>
    <cellStyle name="40% - Accent3 2 7 2 3" xfId="16321" xr:uid="{2D90D652-429D-4676-ABF0-AB6EAF6418D3}"/>
    <cellStyle name="40% - Accent3 2 7 3" xfId="3365" xr:uid="{1AD91614-3010-4F8D-BF31-E563792702F6}"/>
    <cellStyle name="40% - Accent3 2 7 3 2" xfId="17417" xr:uid="{4DA6FC3E-5823-4951-B043-293926915A85}"/>
    <cellStyle name="40% - Accent3 2 7 4" xfId="15223" xr:uid="{45738E8A-8924-446A-AFF4-C4A4615023C4}"/>
    <cellStyle name="40% - Accent3 2 8" xfId="1236" xr:uid="{D4F0AEA0-8A97-4E79-A6EB-579E4A82190D}"/>
    <cellStyle name="40% - Accent3 2 8 2" xfId="3426" xr:uid="{955DDA29-7838-489E-8226-76C6F98ACA97}"/>
    <cellStyle name="40% - Accent3 2 8 2 2" xfId="17478" xr:uid="{2C85543E-6D8A-4771-9655-C67467512305}"/>
    <cellStyle name="40% - Accent3 2 8 3" xfId="15284" xr:uid="{F930C800-A10D-45E9-B066-03156AD30B2B}"/>
    <cellStyle name="40% - Accent3 2 9" xfId="2327" xr:uid="{DD595451-76A7-46BF-AC1D-CD62DE4A3C66}"/>
    <cellStyle name="40% - Accent3 2 9 2" xfId="16378" xr:uid="{B7942BD2-3771-4937-80C1-E051B1355EEF}"/>
    <cellStyle name="40% - Accent3 3" xfId="99" xr:uid="{9F2C6B95-4566-4303-93D6-BD9FB23ADF58}"/>
    <cellStyle name="40% - Accent3 3 10" xfId="4497" xr:uid="{F7B9AC87-E853-40CD-8556-38E02C09E0AF}"/>
    <cellStyle name="40% - Accent3 3 10 2" xfId="18548" xr:uid="{FB24CD43-245C-42C6-8CFE-195C1421D733}"/>
    <cellStyle name="40% - Accent3 3 11" xfId="14159" xr:uid="{63CBA0AD-DE5F-4F89-9C2E-4978EDF65FF1}"/>
    <cellStyle name="40% - Accent3 3 2" xfId="214" xr:uid="{83857B61-4798-431A-B5AD-E6F46B7B4BF0}"/>
    <cellStyle name="40% - Accent3 3 2 2" xfId="391" xr:uid="{F9494A1A-105A-4141-AED1-DC5D5487D364}"/>
    <cellStyle name="40% - Accent3 3 2 2 2" xfId="745" xr:uid="{202D2FC0-A823-485B-8887-E437A777AB43}"/>
    <cellStyle name="40% - Accent3 3 2 2 2 2" xfId="1846" xr:uid="{0B3821AA-6A51-4226-919C-4E7FEE8EB87F}"/>
    <cellStyle name="40% - Accent3 3 2 2 2 2 2" xfId="4035" xr:uid="{E26E402C-AF4E-47B2-8E1D-1983F0DB4185}"/>
    <cellStyle name="40% - Accent3 3 2 2 2 2 2 2" xfId="18087" xr:uid="{D50F0F57-ACB5-4E26-BF86-39A69D99689C}"/>
    <cellStyle name="40% - Accent3 3 2 2 2 2 3" xfId="15895" xr:uid="{062B3D5E-B491-4795-8CC5-F3352DFBCAD0}"/>
    <cellStyle name="40% - Accent3 3 2 2 2 3" xfId="2937" xr:uid="{1759EA7F-ADD0-4D2E-9D09-EF3F616B6DE2}"/>
    <cellStyle name="40% - Accent3 3 2 2 2 3 2" xfId="16989" xr:uid="{7FCAE216-881A-462A-B6EF-F25701DBD827}"/>
    <cellStyle name="40% - Accent3 3 2 2 2 4" xfId="14796" xr:uid="{3D2B5BD0-9DA1-4D50-A05C-CD0046566DFD}"/>
    <cellStyle name="40% - Accent3 3 2 2 3" xfId="1092" xr:uid="{C555899F-9C71-4A66-B84D-45B3FBA439E6}"/>
    <cellStyle name="40% - Accent3 3 2 2 3 2" xfId="2191" xr:uid="{4AC7610F-09EF-4548-99F9-4E0C6396DB52}"/>
    <cellStyle name="40% - Accent3 3 2 2 3 2 2" xfId="4380" xr:uid="{1BB42F06-9F48-4511-983A-98A2F2659E1D}"/>
    <cellStyle name="40% - Accent3 3 2 2 3 2 2 2" xfId="18430" xr:uid="{245AE8E4-8D98-49A9-AFA2-49062D1D2FCD}"/>
    <cellStyle name="40% - Accent3 3 2 2 3 2 3" xfId="16240" xr:uid="{FE22C99A-CF07-468B-81F0-25F8B5B23048}"/>
    <cellStyle name="40% - Accent3 3 2 2 3 3" xfId="3284" xr:uid="{443281B3-2109-40ED-A99D-2D5C3FF734B0}"/>
    <cellStyle name="40% - Accent3 3 2 2 3 3 2" xfId="17336" xr:uid="{FFAE8046-CA40-4DBE-B473-DCB1B260A0D8}"/>
    <cellStyle name="40% - Accent3 3 2 2 3 4" xfId="15142" xr:uid="{B31B24E9-41EB-42A2-8637-2EA48D2A63FB}"/>
    <cellStyle name="40% - Accent3 3 2 2 4" xfId="1672" xr:uid="{358430AE-A14E-4516-BB9F-E64C7DDAEAE5}"/>
    <cellStyle name="40% - Accent3 3 2 2 4 2" xfId="3862" xr:uid="{E44607D1-21D9-4B44-A5EF-64841A5F3337}"/>
    <cellStyle name="40% - Accent3 3 2 2 4 2 2" xfId="17915" xr:uid="{2FAD3C63-CF6B-4E7A-804E-81B6FDD2CB28}"/>
    <cellStyle name="40% - Accent3 3 2 2 4 3" xfId="15721" xr:uid="{D5A54C29-86B3-4DDF-B0B9-146ED8E927A3}"/>
    <cellStyle name="40% - Accent3 3 2 2 5" xfId="2591" xr:uid="{8581BCFB-F479-44E8-BBE9-34A69765215F}"/>
    <cellStyle name="40% - Accent3 3 2 2 5 2" xfId="16642" xr:uid="{0EA306D8-28E4-4F44-94B0-B8777C5A3776}"/>
    <cellStyle name="40% - Accent3 3 2 2 6" xfId="4957" xr:uid="{740B8154-8A87-41CF-A6B8-30999F217541}"/>
    <cellStyle name="40% - Accent3 3 2 2 6 2" xfId="19009" xr:uid="{D0148354-92B5-4552-9865-E0872C8A0E19}"/>
    <cellStyle name="40% - Accent3 3 2 2 7" xfId="14448" xr:uid="{5DEE29D2-7A53-4125-83AB-6B3518C26E47}"/>
    <cellStyle name="40% - Accent3 3 2 3" xfId="565" xr:uid="{A6D673DC-92E7-49CE-ADFD-5F63B2D5F377}"/>
    <cellStyle name="40% - Accent3 3 2 3 2" xfId="1498" xr:uid="{A87759DD-0FD0-4091-8009-B59CC792120F}"/>
    <cellStyle name="40% - Accent3 3 2 3 2 2" xfId="3688" xr:uid="{A63A6AAD-48A2-42B6-BD3A-2A51EF2E38EA}"/>
    <cellStyle name="40% - Accent3 3 2 3 2 2 2" xfId="17741" xr:uid="{9FDBEBAE-33E6-4C40-98E9-12C27A321DC1}"/>
    <cellStyle name="40% - Accent3 3 2 3 2 3" xfId="15547" xr:uid="{F198F863-78F6-4D84-846A-EA2B1A805597}"/>
    <cellStyle name="40% - Accent3 3 2 3 3" xfId="2764" xr:uid="{EC7C287E-2356-43E4-AB9C-C354EDB47B90}"/>
    <cellStyle name="40% - Accent3 3 2 3 3 2" xfId="16815" xr:uid="{B7168143-07AE-4679-A4C5-56C680D6B0DE}"/>
    <cellStyle name="40% - Accent3 3 2 3 4" xfId="4783" xr:uid="{F83746E8-7A96-4355-9F29-45A1643B73E4}"/>
    <cellStyle name="40% - Accent3 3 2 3 4 2" xfId="18835" xr:uid="{5B6D08C5-EA51-4D9A-9985-3AA67ADBB1E4}"/>
    <cellStyle name="40% - Accent3 3 2 3 5" xfId="14620" xr:uid="{FD955F42-5D30-4157-A8B9-C6B2C42F8FFB}"/>
    <cellStyle name="40% - Accent3 3 2 4" xfId="918" xr:uid="{B362759C-9554-4669-8DB3-896BAC80A2FA}"/>
    <cellStyle name="40% - Accent3 3 2 4 2" xfId="2017" xr:uid="{C84DBED2-0DC1-4DA8-ACC1-6C3216AA2CF4}"/>
    <cellStyle name="40% - Accent3 3 2 4 2 2" xfId="4206" xr:uid="{38B50899-1542-4F88-A405-A91F606BEF53}"/>
    <cellStyle name="40% - Accent3 3 2 4 2 2 2" xfId="18257" xr:uid="{32F22D79-0211-48C3-9732-D6D2A43C9C19}"/>
    <cellStyle name="40% - Accent3 3 2 4 2 3" xfId="16066" xr:uid="{98034464-855E-4B48-AE3F-FDE70B5F57F1}"/>
    <cellStyle name="40% - Accent3 3 2 4 3" xfId="3110" xr:uid="{5127DFD4-EB34-4BB0-A295-784C26244287}"/>
    <cellStyle name="40% - Accent3 3 2 4 3 2" xfId="17162" xr:uid="{8F93EEE9-53BA-4797-8D0A-19464966B187}"/>
    <cellStyle name="40% - Accent3 3 2 4 4" xfId="14968" xr:uid="{972FD17A-EF49-41F5-9754-F67F2F953257}"/>
    <cellStyle name="40% - Accent3 3 2 5" xfId="1325" xr:uid="{A76489C6-2937-4C55-8BB7-5C612C05D5C4}"/>
    <cellStyle name="40% - Accent3 3 2 5 2" xfId="3516" xr:uid="{397EFA3B-E6DE-4FF3-93B9-BC80B95FCD05}"/>
    <cellStyle name="40% - Accent3 3 2 5 2 2" xfId="17568" xr:uid="{3D1C4E8E-C913-40EE-9CBA-EB225355FDE5}"/>
    <cellStyle name="40% - Accent3 3 2 5 3" xfId="15374" xr:uid="{621C0AB2-A0E6-4EA8-A17F-AE64FF703A73}"/>
    <cellStyle name="40% - Accent3 3 2 6" xfId="2417" xr:uid="{1D1E1CCF-CD5E-4D58-A70C-B36356558410}"/>
    <cellStyle name="40% - Accent3 3 2 6 2" xfId="16468" xr:uid="{2B607E9C-586D-49FD-8792-9612405B5FF7}"/>
    <cellStyle name="40% - Accent3 3 2 7" xfId="4610" xr:uid="{653EF2FC-FA94-424E-A09B-819584411568}"/>
    <cellStyle name="40% - Accent3 3 2 7 2" xfId="18662" xr:uid="{4C98DDC3-4B29-4AB1-A97F-2FC59953B207}"/>
    <cellStyle name="40% - Accent3 3 2 8" xfId="14273" xr:uid="{7745F2DC-9896-42F8-BA7C-1F1FA60701C8}"/>
    <cellStyle name="40% - Accent3 3 3" xfId="157" xr:uid="{84B2C5CC-A7C7-48B5-B9FE-69639F5B33BE}"/>
    <cellStyle name="40% - Accent3 3 3 2" xfId="334" xr:uid="{F6062886-0146-42ED-8126-44A63D54AAED}"/>
    <cellStyle name="40% - Accent3 3 3 2 2" xfId="688" xr:uid="{B20F7144-7163-43DE-9F84-C4AA66E8F42D}"/>
    <cellStyle name="40% - Accent3 3 3 2 2 2" xfId="1789" xr:uid="{5402AF28-02CC-40E1-8CC4-F6F2990D2AC5}"/>
    <cellStyle name="40% - Accent3 3 3 2 2 2 2" xfId="3978" xr:uid="{56517C9D-DC32-41F9-A94D-C19B40A9A5F5}"/>
    <cellStyle name="40% - Accent3 3 3 2 2 2 2 2" xfId="18030" xr:uid="{C5F5A6E9-92BF-4A7C-83D2-905684E39014}"/>
    <cellStyle name="40% - Accent3 3 3 2 2 2 3" xfId="15838" xr:uid="{34D96ED4-5266-4BE5-88B6-24BB6C1BB895}"/>
    <cellStyle name="40% - Accent3 3 3 2 2 3" xfId="2880" xr:uid="{C089CF5E-81EC-4EB9-BAC3-4B1F23DC08C2}"/>
    <cellStyle name="40% - Accent3 3 3 2 2 3 2" xfId="16932" xr:uid="{340B75B6-DC57-4033-A019-9D6AC737123A}"/>
    <cellStyle name="40% - Accent3 3 3 2 2 4" xfId="14739" xr:uid="{921B44E7-18EE-4418-8878-D1BD9FC8A7E2}"/>
    <cellStyle name="40% - Accent3 3 3 2 3" xfId="1035" xr:uid="{27741441-EBAB-4987-86DB-C87116343ACD}"/>
    <cellStyle name="40% - Accent3 3 3 2 3 2" xfId="2134" xr:uid="{F5C8EB25-82D1-43CE-95D1-3E91CF28179D}"/>
    <cellStyle name="40% - Accent3 3 3 2 3 2 2" xfId="4323" xr:uid="{4646095B-CD46-4C8B-AFD7-81F18BF463E8}"/>
    <cellStyle name="40% - Accent3 3 3 2 3 2 2 2" xfId="18373" xr:uid="{F9201800-64E5-433C-A226-8670CD5B4B03}"/>
    <cellStyle name="40% - Accent3 3 3 2 3 2 3" xfId="16183" xr:uid="{3D65A326-7F47-4D31-97C0-22B161C913C2}"/>
    <cellStyle name="40% - Accent3 3 3 2 3 3" xfId="3227" xr:uid="{CDAF2A8D-9EC2-4526-B13A-24A38C1B5C82}"/>
    <cellStyle name="40% - Accent3 3 3 2 3 3 2" xfId="17279" xr:uid="{80EB11F6-841E-4CB2-81CA-20D973D346D1}"/>
    <cellStyle name="40% - Accent3 3 3 2 3 4" xfId="15085" xr:uid="{1D0B4236-4A21-48EF-8E57-D9922F96111A}"/>
    <cellStyle name="40% - Accent3 3 3 2 4" xfId="1615" xr:uid="{766A9759-F4F0-4EF5-9252-C33817C5F5B3}"/>
    <cellStyle name="40% - Accent3 3 3 2 4 2" xfId="3805" xr:uid="{D97F5BD1-78EB-4D38-9BBB-AFF4CBF57B4A}"/>
    <cellStyle name="40% - Accent3 3 3 2 4 2 2" xfId="17858" xr:uid="{9A8A78BA-25B8-44F7-BB5A-46D9FB17140F}"/>
    <cellStyle name="40% - Accent3 3 3 2 4 3" xfId="15664" xr:uid="{81CE37CE-6EC3-4CB3-95A7-40F5BADB688B}"/>
    <cellStyle name="40% - Accent3 3 3 2 5" xfId="2534" xr:uid="{CC8F7EF5-D468-40C5-88A4-909A3F1C7509}"/>
    <cellStyle name="40% - Accent3 3 3 2 5 2" xfId="16585" xr:uid="{A1FBD4F6-8C76-482D-8BA1-B14E7AB6359C}"/>
    <cellStyle name="40% - Accent3 3 3 2 6" xfId="4900" xr:uid="{04EB20B8-B8B4-445B-8830-03BFF7702C2A}"/>
    <cellStyle name="40% - Accent3 3 3 2 6 2" xfId="18952" xr:uid="{7701C9F8-28DA-41F9-952D-8D3E303BD2CE}"/>
    <cellStyle name="40% - Accent3 3 3 2 7" xfId="14391" xr:uid="{C86C8731-4BA7-4FB9-A10A-9D434C428CF2}"/>
    <cellStyle name="40% - Accent3 3 3 3" xfId="508" xr:uid="{C472B3A8-1A2E-4B5B-91EB-B5489CB5F75D}"/>
    <cellStyle name="40% - Accent3 3 3 3 2" xfId="1441" xr:uid="{960CA82A-47C4-42A9-BB3F-AE1570ECE112}"/>
    <cellStyle name="40% - Accent3 3 3 3 2 2" xfId="3631" xr:uid="{F884993E-8321-49FF-82E3-CB4CF3841F86}"/>
    <cellStyle name="40% - Accent3 3 3 3 2 2 2" xfId="17684" xr:uid="{FA9C777B-66F2-4ECD-8E31-7580216D1087}"/>
    <cellStyle name="40% - Accent3 3 3 3 2 3" xfId="15490" xr:uid="{713B8620-5203-4C53-B850-435CCCBACBCA}"/>
    <cellStyle name="40% - Accent3 3 3 3 3" xfId="2707" xr:uid="{948225EC-1714-43CC-B792-225BF290333A}"/>
    <cellStyle name="40% - Accent3 3 3 3 3 2" xfId="16758" xr:uid="{986723A0-E9D7-492C-AB79-04F3C3262236}"/>
    <cellStyle name="40% - Accent3 3 3 3 4" xfId="4726" xr:uid="{F19435EF-748B-4517-BC08-9C09D36C9EAD}"/>
    <cellStyle name="40% - Accent3 3 3 3 4 2" xfId="18778" xr:uid="{CCC1F6F6-8CA7-45A5-8DFB-9DFFD128EE81}"/>
    <cellStyle name="40% - Accent3 3 3 3 5" xfId="14563" xr:uid="{413EC406-A169-403A-A084-0383D0C5D707}"/>
    <cellStyle name="40% - Accent3 3 3 4" xfId="861" xr:uid="{6954FD04-02D8-44B7-95E4-2FBC8D152C27}"/>
    <cellStyle name="40% - Accent3 3 3 4 2" xfId="1960" xr:uid="{7910A5CF-938F-4D1A-B1CF-E5E6DE962B4F}"/>
    <cellStyle name="40% - Accent3 3 3 4 2 2" xfId="4149" xr:uid="{11BC75B4-B72E-49EA-897F-7D6476677146}"/>
    <cellStyle name="40% - Accent3 3 3 4 2 2 2" xfId="18200" xr:uid="{5CE81453-D3E0-4DA0-BEB6-598739BAD3AC}"/>
    <cellStyle name="40% - Accent3 3 3 4 2 3" xfId="16009" xr:uid="{E7706A46-8376-4D3E-BE5B-598674F34630}"/>
    <cellStyle name="40% - Accent3 3 3 4 3" xfId="3053" xr:uid="{9C3D6BB5-7005-4B8A-A09E-AA480153A94F}"/>
    <cellStyle name="40% - Accent3 3 3 4 3 2" xfId="17105" xr:uid="{2DBAEAE4-B49A-4474-A3D8-B9D1ED0F2639}"/>
    <cellStyle name="40% - Accent3 3 3 4 4" xfId="14911" xr:uid="{7C975339-C7B7-4098-9CB1-DB4CCDA1324A}"/>
    <cellStyle name="40% - Accent3 3 3 5" xfId="1269" xr:uid="{CB1255D2-74B0-4DDA-BCF7-23AFCA55FBF7}"/>
    <cellStyle name="40% - Accent3 3 3 5 2" xfId="3459" xr:uid="{74A77558-A96E-4188-AACB-260BEB91AE97}"/>
    <cellStyle name="40% - Accent3 3 3 5 2 2" xfId="17511" xr:uid="{A2555133-8C03-43E3-9860-D6AA4F798E14}"/>
    <cellStyle name="40% - Accent3 3 3 5 3" xfId="15317" xr:uid="{FD6DDFD4-FD43-4E15-9542-B43D6B5EDD60}"/>
    <cellStyle name="40% - Accent3 3 3 6" xfId="2360" xr:uid="{D296667C-C15C-46FE-A4AB-6F6435CBED7D}"/>
    <cellStyle name="40% - Accent3 3 3 6 2" xfId="16411" xr:uid="{CD68B85C-26A8-40A0-91D8-DDB6C92C828C}"/>
    <cellStyle name="40% - Accent3 3 3 7" xfId="4553" xr:uid="{E93513CA-F363-4984-B7F7-FCE757CB4B05}"/>
    <cellStyle name="40% - Accent3 3 3 7 2" xfId="18605" xr:uid="{0358503E-CEA2-42C7-A61F-68D9E55AFCE6}"/>
    <cellStyle name="40% - Accent3 3 3 8" xfId="14216" xr:uid="{AC1899F2-A9F5-497B-B5A4-EB03C3DA79FE}"/>
    <cellStyle name="40% - Accent3 3 4" xfId="277" xr:uid="{EB075949-9ED1-417C-81EB-51B4406EFC8D}"/>
    <cellStyle name="40% - Accent3 3 4 2" xfId="631" xr:uid="{9FEF1589-62B0-45DA-BD82-748FE1EC0E08}"/>
    <cellStyle name="40% - Accent3 3 4 2 2" xfId="1733" xr:uid="{55A112B9-D09F-4114-943C-255764D36B4F}"/>
    <cellStyle name="40% - Accent3 3 4 2 2 2" xfId="3921" xr:uid="{0A38C840-24E2-435C-9909-D6DA6393FCD4}"/>
    <cellStyle name="40% - Accent3 3 4 2 2 2 2" xfId="17973" xr:uid="{88BC04AF-CA5E-4895-92D8-E445A95EE730}"/>
    <cellStyle name="40% - Accent3 3 4 2 2 3" xfId="15781" xr:uid="{763813B1-0AE5-4B1B-888A-6416AB4ABAAF}"/>
    <cellStyle name="40% - Accent3 3 4 2 3" xfId="2824" xr:uid="{51A2EC50-73AC-4E35-BB2B-4CC7E9A30696}"/>
    <cellStyle name="40% - Accent3 3 4 2 3 2" xfId="16875" xr:uid="{0C039FA2-CEC6-40A6-9E7C-5CDD773C4E58}"/>
    <cellStyle name="40% - Accent3 3 4 2 4" xfId="14682" xr:uid="{0277E579-FF81-48CC-A5E4-3FF8D40D7DFA}"/>
    <cellStyle name="40% - Accent3 3 4 3" xfId="978" xr:uid="{E32EDD3F-9EB1-40FB-B8DA-EC9F51D2FDE3}"/>
    <cellStyle name="40% - Accent3 3 4 3 2" xfId="2077" xr:uid="{38F565D5-D646-493C-B92A-FB654A77AE05}"/>
    <cellStyle name="40% - Accent3 3 4 3 2 2" xfId="4266" xr:uid="{0B666FAD-AA1B-4284-85B6-B80306AA90E4}"/>
    <cellStyle name="40% - Accent3 3 4 3 2 2 2" xfId="18317" xr:uid="{ADFC0AB3-514E-4DFD-B4DA-F020C0F6346E}"/>
    <cellStyle name="40% - Accent3 3 4 3 2 3" xfId="16126" xr:uid="{C0373980-2A15-4B30-9018-D5BF93715A78}"/>
    <cellStyle name="40% - Accent3 3 4 3 3" xfId="3170" xr:uid="{9C03567F-7EDA-4C1E-AA73-FFD0DF5B81DB}"/>
    <cellStyle name="40% - Accent3 3 4 3 3 2" xfId="17222" xr:uid="{D3A02FC8-EBD4-4E62-B866-49D191480697}"/>
    <cellStyle name="40% - Accent3 3 4 3 4" xfId="15028" xr:uid="{400698B9-2C23-4DAA-ABEB-62824F2AF52B}"/>
    <cellStyle name="40% - Accent3 3 4 4" xfId="1558" xr:uid="{1806F2D4-607D-4CC8-975E-61D1F42F0DDF}"/>
    <cellStyle name="40% - Accent3 3 4 4 2" xfId="3748" xr:uid="{AD9235AC-3431-4C34-8C91-7AFC08C28EDA}"/>
    <cellStyle name="40% - Accent3 3 4 4 2 2" xfId="17801" xr:uid="{CFBE4988-A474-4CAF-8DE7-470AF3E5E277}"/>
    <cellStyle name="40% - Accent3 3 4 4 3" xfId="15607" xr:uid="{F0740F9F-5CB2-4A16-9D19-85D06A9EDD11}"/>
    <cellStyle name="40% - Accent3 3 4 5" xfId="2477" xr:uid="{9AEE4627-5A53-4ECC-AF9B-B113391513E5}"/>
    <cellStyle name="40% - Accent3 3 4 5 2" xfId="16528" xr:uid="{E15002AD-93FD-4FC5-A47B-EC41C33FE259}"/>
    <cellStyle name="40% - Accent3 3 4 6" xfId="4843" xr:uid="{4D3CC7DA-18BF-47F0-8D54-0AE922740D25}"/>
    <cellStyle name="40% - Accent3 3 4 6 2" xfId="18895" xr:uid="{96A97D11-FEAE-4B4E-86BB-CD253E605783}"/>
    <cellStyle name="40% - Accent3 3 4 7" xfId="14334" xr:uid="{9CF3A8A2-F0A3-4891-BF66-2C8C679BC282}"/>
    <cellStyle name="40% - Accent3 3 5" xfId="451" xr:uid="{E7179438-5DE3-4C74-B702-57EBEEDA0E03}"/>
    <cellStyle name="40% - Accent3 3 5 2" xfId="1384" xr:uid="{BCC42C4A-A9B9-445B-8E61-19299E05FE92}"/>
    <cellStyle name="40% - Accent3 3 5 2 2" xfId="3574" xr:uid="{3F7A6CFC-4E96-4A69-8B97-C71E0E2687E5}"/>
    <cellStyle name="40% - Accent3 3 5 2 2 2" xfId="17627" xr:uid="{A1F56B4E-4F77-4B6B-8E2E-B4193106BAC1}"/>
    <cellStyle name="40% - Accent3 3 5 2 3" xfId="15433" xr:uid="{228249AF-D29E-46EE-8462-A56126EEC4F9}"/>
    <cellStyle name="40% - Accent3 3 5 3" xfId="2650" xr:uid="{025E2F2D-3365-4245-82A7-998BD8A463C3}"/>
    <cellStyle name="40% - Accent3 3 5 3 2" xfId="16701" xr:uid="{C2239E55-CF8C-44D6-848D-E346C42894EE}"/>
    <cellStyle name="40% - Accent3 3 5 4" xfId="4669" xr:uid="{DBD3AE2E-7F75-4C4E-A9FA-669CF29AB850}"/>
    <cellStyle name="40% - Accent3 3 5 4 2" xfId="18721" xr:uid="{965978A2-E1C8-4F97-A2F2-3C44A9938316}"/>
    <cellStyle name="40% - Accent3 3 5 5" xfId="14506" xr:uid="{0BFE33B7-A914-43F5-B0F2-CB98E17AD7FE}"/>
    <cellStyle name="40% - Accent3 3 6" xfId="804" xr:uid="{1B806D5C-F74C-4DC1-BC99-6BD9E4371797}"/>
    <cellStyle name="40% - Accent3 3 6 2" xfId="1903" xr:uid="{9A82E976-12EA-4FA4-B0C5-FD33BD4CCD96}"/>
    <cellStyle name="40% - Accent3 3 6 2 2" xfId="4092" xr:uid="{D671325F-201F-4E79-8D60-ABA2889E6536}"/>
    <cellStyle name="40% - Accent3 3 6 2 2 2" xfId="18144" xr:uid="{EE6AC4BD-AA89-4070-B812-D8C744B1DF49}"/>
    <cellStyle name="40% - Accent3 3 6 2 3" xfId="15952" xr:uid="{852591EE-A665-4547-A75C-32152B1125A2}"/>
    <cellStyle name="40% - Accent3 3 6 3" xfId="2996" xr:uid="{F1E7C052-8C0A-4E30-89DA-A5082CA3C622}"/>
    <cellStyle name="40% - Accent3 3 6 3 2" xfId="17048" xr:uid="{B624C575-9F8B-44F8-8BD3-4BA3D510D89D}"/>
    <cellStyle name="40% - Accent3 3 6 4" xfId="14854" xr:uid="{0D71FAA2-361A-4CC4-B9EA-4747C849AD51}"/>
    <cellStyle name="40% - Accent3 3 7" xfId="1148" xr:uid="{59AAE593-BBF4-4297-AE77-2E0E25D19384}"/>
    <cellStyle name="40% - Accent3 3 7 2" xfId="2248" xr:uid="{57072333-04B0-402C-8315-C91317CCE47A}"/>
    <cellStyle name="40% - Accent3 3 7 2 2" xfId="4437" xr:uid="{9E59BD0B-21E5-4F4A-988E-105FE15DFE75}"/>
    <cellStyle name="40% - Accent3 3 7 2 2 2" xfId="18487" xr:uid="{6DE1E803-6196-4EAE-9431-B4F4FC4AD5B7}"/>
    <cellStyle name="40% - Accent3 3 7 2 3" xfId="16297" xr:uid="{1D94E9FB-4909-4C6A-8E77-961475CE3B3D}"/>
    <cellStyle name="40% - Accent3 3 7 3" xfId="3341" xr:uid="{9F2E35FA-DE45-452C-AAD7-E15D72A1906C}"/>
    <cellStyle name="40% - Accent3 3 7 3 2" xfId="17393" xr:uid="{03286759-8648-4B1F-9012-86A5096852D0}"/>
    <cellStyle name="40% - Accent3 3 7 4" xfId="15199" xr:uid="{A6EC77C9-C30C-49FD-972C-9975119E8ADD}"/>
    <cellStyle name="40% - Accent3 3 8" xfId="1212" xr:uid="{C58E9438-E5ED-422D-AFC4-438ED16DF07F}"/>
    <cellStyle name="40% - Accent3 3 8 2" xfId="3402" xr:uid="{9EF30FAE-4961-4FFF-8DED-9B8541BD608A}"/>
    <cellStyle name="40% - Accent3 3 8 2 2" xfId="17454" xr:uid="{1007D80E-4801-423C-9DA4-6B292736A3EB}"/>
    <cellStyle name="40% - Accent3 3 8 3" xfId="15260" xr:uid="{DA33AB13-03BA-4F73-AD62-D09950B2203C}"/>
    <cellStyle name="40% - Accent3 3 9" xfId="2303" xr:uid="{2382C7EB-A929-4ECB-9093-63073DFF7EBF}"/>
    <cellStyle name="40% - Accent3 3 9 2" xfId="16354" xr:uid="{7A5D3E5D-535D-4CA8-9F97-274060C0EBF7}"/>
    <cellStyle name="40% - Accent3 4" xfId="194" xr:uid="{CD41ED61-A534-49C6-AAD5-A7C66E463BB0}"/>
    <cellStyle name="40% - Accent3 4 2" xfId="371" xr:uid="{827EA211-9385-4935-911B-BC8777323FAF}"/>
    <cellStyle name="40% - Accent3 4 2 2" xfId="725" xr:uid="{19E98AA0-589F-4682-93AB-993CAD13CBE6}"/>
    <cellStyle name="40% - Accent3 4 2 2 2" xfId="1826" xr:uid="{25B37F8A-5CAD-4EE1-8C63-A1BD48BADBF6}"/>
    <cellStyle name="40% - Accent3 4 2 2 2 2" xfId="4015" xr:uid="{480B297D-FEB2-4A45-8E98-CEB79D335744}"/>
    <cellStyle name="40% - Accent3 4 2 2 2 2 2" xfId="18067" xr:uid="{1FD10C20-0445-4FEE-B5C2-B3A3EEE107B4}"/>
    <cellStyle name="40% - Accent3 4 2 2 2 3" xfId="15875" xr:uid="{E799ABBE-AC61-4B72-BF47-C8F3AED888D8}"/>
    <cellStyle name="40% - Accent3 4 2 2 3" xfId="2917" xr:uid="{100D9ECF-D70F-4801-A5EC-C4C34CCAF9C1}"/>
    <cellStyle name="40% - Accent3 4 2 2 3 2" xfId="16969" xr:uid="{93CAE8D9-63E2-45F5-932E-75091CD4043D}"/>
    <cellStyle name="40% - Accent3 4 2 2 4" xfId="14776" xr:uid="{654B665D-7811-461F-8C15-48D70917D7BA}"/>
    <cellStyle name="40% - Accent3 4 2 3" xfId="1072" xr:uid="{AA2099EB-5ADB-4B17-93BD-19648FAF2DD9}"/>
    <cellStyle name="40% - Accent3 4 2 3 2" xfId="2171" xr:uid="{5CA9901D-4F5C-475B-B30E-1ACE26D3285C}"/>
    <cellStyle name="40% - Accent3 4 2 3 2 2" xfId="4360" xr:uid="{4BAF69A1-1524-4EDF-8663-B5FB2D6E21CC}"/>
    <cellStyle name="40% - Accent3 4 2 3 2 2 2" xfId="18410" xr:uid="{E1F5D505-625E-42BA-8785-A4BC8CC8728E}"/>
    <cellStyle name="40% - Accent3 4 2 3 2 3" xfId="16220" xr:uid="{ED81D31D-0EC5-447C-ACCE-E97293317D5F}"/>
    <cellStyle name="40% - Accent3 4 2 3 3" xfId="3264" xr:uid="{1AFB8701-2EBB-4498-A7A2-E1EE92717F8D}"/>
    <cellStyle name="40% - Accent3 4 2 3 3 2" xfId="17316" xr:uid="{4E7E1891-BFEF-416B-B18F-C4F20709D941}"/>
    <cellStyle name="40% - Accent3 4 2 3 4" xfId="15122" xr:uid="{703923E2-EAFC-4AB6-80F0-0969E3FCBA6D}"/>
    <cellStyle name="40% - Accent3 4 2 4" xfId="1652" xr:uid="{AE5610A9-D28A-4316-AE4A-3287605154E1}"/>
    <cellStyle name="40% - Accent3 4 2 4 2" xfId="3842" xr:uid="{BF5B28C6-FEE7-4A45-8550-39BE10AE0FF1}"/>
    <cellStyle name="40% - Accent3 4 2 4 2 2" xfId="17895" xr:uid="{968849B6-BAB7-4DFB-97B7-B2C9311AF2CE}"/>
    <cellStyle name="40% - Accent3 4 2 4 3" xfId="15701" xr:uid="{1A3FA1CB-49E9-48A6-B006-5BF087FDECE3}"/>
    <cellStyle name="40% - Accent3 4 2 5" xfId="2571" xr:uid="{0D4DDAD3-C7C2-45AF-985E-AB704AEF39BB}"/>
    <cellStyle name="40% - Accent3 4 2 5 2" xfId="16622" xr:uid="{05E27347-006B-48FD-A979-0D927B83433E}"/>
    <cellStyle name="40% - Accent3 4 2 6" xfId="4937" xr:uid="{18D9AD11-76F4-41A0-BC11-D8C2CBF4A208}"/>
    <cellStyle name="40% - Accent3 4 2 6 2" xfId="18989" xr:uid="{9D29EF0B-EBA6-4DCD-9651-720232897606}"/>
    <cellStyle name="40% - Accent3 4 2 7" xfId="14428" xr:uid="{5E5F00AC-D6F2-4D40-9967-E373C17943EB}"/>
    <cellStyle name="40% - Accent3 4 3" xfId="545" xr:uid="{73DBE2D4-1BB2-428A-9495-C231C08AF290}"/>
    <cellStyle name="40% - Accent3 4 3 2" xfId="1478" xr:uid="{48C3559D-AB10-440A-8037-A67D1629817C}"/>
    <cellStyle name="40% - Accent3 4 3 2 2" xfId="3668" xr:uid="{766765A3-FB31-4F69-A92E-1AA2A6116729}"/>
    <cellStyle name="40% - Accent3 4 3 2 2 2" xfId="17721" xr:uid="{C1BFB5EF-0A5F-4732-ACD8-54F15F3AD0C2}"/>
    <cellStyle name="40% - Accent3 4 3 2 3" xfId="15527" xr:uid="{1E9DBD1A-3EC2-4963-B0AF-E6DA41EBDAD2}"/>
    <cellStyle name="40% - Accent3 4 3 3" xfId="2744" xr:uid="{7587FF8B-54BA-4B29-9D14-2070B08E8C96}"/>
    <cellStyle name="40% - Accent3 4 3 3 2" xfId="16795" xr:uid="{BDAC2F12-A9F4-49CD-91C4-5439D09F62C0}"/>
    <cellStyle name="40% - Accent3 4 3 4" xfId="4763" xr:uid="{C5F4C922-D66A-4119-8E20-7EAC6F75B494}"/>
    <cellStyle name="40% - Accent3 4 3 4 2" xfId="18815" xr:uid="{78153428-FDCA-49EE-85AB-3B00171CBFE3}"/>
    <cellStyle name="40% - Accent3 4 3 5" xfId="14600" xr:uid="{1239E1FD-6CBD-49A0-B766-7A6D80DB22EB}"/>
    <cellStyle name="40% - Accent3 4 4" xfId="898" xr:uid="{B5711FAC-063F-4D9B-825E-C020555F5509}"/>
    <cellStyle name="40% - Accent3 4 4 2" xfId="1997" xr:uid="{22C7120C-8535-4252-8E40-9B04CCA7D90B}"/>
    <cellStyle name="40% - Accent3 4 4 2 2" xfId="4186" xr:uid="{EB8BD9BE-D8B4-42F5-A503-A12CE0CE9B8B}"/>
    <cellStyle name="40% - Accent3 4 4 2 2 2" xfId="18237" xr:uid="{2E409694-C779-4A42-B925-11BBC511CA13}"/>
    <cellStyle name="40% - Accent3 4 4 2 3" xfId="16046" xr:uid="{63942318-4EDB-4FBF-909B-F8F7DA0DD592}"/>
    <cellStyle name="40% - Accent3 4 4 3" xfId="3090" xr:uid="{22E4539B-6C90-4BDB-8172-712FA867538C}"/>
    <cellStyle name="40% - Accent3 4 4 3 2" xfId="17142" xr:uid="{E7279877-4D4D-4CA1-ADF7-E30CDB1AF9AE}"/>
    <cellStyle name="40% - Accent3 4 4 4" xfId="14948" xr:uid="{55512617-5E77-44BC-B33E-0083D01DB1A6}"/>
    <cellStyle name="40% - Accent3 4 5" xfId="1305" xr:uid="{6CA89D86-C748-4BDF-93C6-9516669C1DFA}"/>
    <cellStyle name="40% - Accent3 4 5 2" xfId="3496" xr:uid="{003751CA-7842-4BBF-B57D-4039FE613D71}"/>
    <cellStyle name="40% - Accent3 4 5 2 2" xfId="17548" xr:uid="{8FE67DF0-CE1D-4927-8900-07E1368FDFA8}"/>
    <cellStyle name="40% - Accent3 4 5 3" xfId="15354" xr:uid="{0B4E5902-C005-48DE-ABC8-9731A7B3210A}"/>
    <cellStyle name="40% - Accent3 4 6" xfId="2397" xr:uid="{9B59DEA1-705F-435D-8FF2-7A2AB9F633D4}"/>
    <cellStyle name="40% - Accent3 4 6 2" xfId="16448" xr:uid="{ACFAC496-E14C-4085-9EE0-F6843FE71F30}"/>
    <cellStyle name="40% - Accent3 4 7" xfId="4590" xr:uid="{548CC3EE-82D6-4349-B45C-95498BE1FDA1}"/>
    <cellStyle name="40% - Accent3 4 7 2" xfId="18642" xr:uid="{C753AC66-3360-4793-8344-259CB5A343B0}"/>
    <cellStyle name="40% - Accent3 4 8" xfId="14253" xr:uid="{6CF843F5-D712-4120-A95A-0B92010D0256}"/>
    <cellStyle name="40% - Accent3 5" xfId="137" xr:uid="{AFD2F9E9-E9BA-4566-8705-BA82DDDA0980}"/>
    <cellStyle name="40% - Accent3 5 2" xfId="314" xr:uid="{075D09BF-6DB7-40A1-BD93-F5A921C639FB}"/>
    <cellStyle name="40% - Accent3 5 2 2" xfId="668" xr:uid="{D16513AD-7A74-4079-9B40-BABA32923ED0}"/>
    <cellStyle name="40% - Accent3 5 2 2 2" xfId="1769" xr:uid="{6239BA48-75FD-4AC3-BACB-55B0394F8476}"/>
    <cellStyle name="40% - Accent3 5 2 2 2 2" xfId="3958" xr:uid="{820871E7-257B-437B-8D22-3F0F8CEB089C}"/>
    <cellStyle name="40% - Accent3 5 2 2 2 2 2" xfId="18010" xr:uid="{84D93CEE-2C82-431E-9998-5F793A976241}"/>
    <cellStyle name="40% - Accent3 5 2 2 2 3" xfId="15818" xr:uid="{C6B9FED4-E20B-4BCC-A33D-0B0FF8132492}"/>
    <cellStyle name="40% - Accent3 5 2 2 3" xfId="2860" xr:uid="{5B2A2446-3B25-4EB3-BC82-C2BC138EFFEE}"/>
    <cellStyle name="40% - Accent3 5 2 2 3 2" xfId="16912" xr:uid="{5067A0E6-BF9F-404E-84FB-A5245C7A55C9}"/>
    <cellStyle name="40% - Accent3 5 2 2 4" xfId="14719" xr:uid="{E8A58488-69E7-4E82-BB4C-7B9074D1B39E}"/>
    <cellStyle name="40% - Accent3 5 2 3" xfId="1015" xr:uid="{D6B2694E-6EEB-497B-AF89-EDE4E66CF98A}"/>
    <cellStyle name="40% - Accent3 5 2 3 2" xfId="2114" xr:uid="{1429191E-9E28-45BA-954D-6D9617F2E3BA}"/>
    <cellStyle name="40% - Accent3 5 2 3 2 2" xfId="4303" xr:uid="{833EF7A4-344A-45C9-A18C-E8CF9B45FDBD}"/>
    <cellStyle name="40% - Accent3 5 2 3 2 2 2" xfId="18353" xr:uid="{E06E6147-2D03-4DF2-A740-E1ACA1707EC5}"/>
    <cellStyle name="40% - Accent3 5 2 3 2 3" xfId="16163" xr:uid="{7A9687DF-A673-4F02-AFD9-F2FD49D82716}"/>
    <cellStyle name="40% - Accent3 5 2 3 3" xfId="3207" xr:uid="{27965D0F-7624-4B0F-817E-09C144C3719C}"/>
    <cellStyle name="40% - Accent3 5 2 3 3 2" xfId="17259" xr:uid="{6FD0116A-9FD8-4172-BFF7-E2D0A3AAB520}"/>
    <cellStyle name="40% - Accent3 5 2 3 4" xfId="15065" xr:uid="{D1FE30A1-BABF-417F-9028-1BE7CF2FBA81}"/>
    <cellStyle name="40% - Accent3 5 2 4" xfId="1595" xr:uid="{A010CD9F-53C1-41A3-B313-A322B3857E11}"/>
    <cellStyle name="40% - Accent3 5 2 4 2" xfId="3785" xr:uid="{318DDE82-F938-4221-A093-86885221C24C}"/>
    <cellStyle name="40% - Accent3 5 2 4 2 2" xfId="17838" xr:uid="{6581C198-D0EC-4A32-AB33-5053DB7C2A63}"/>
    <cellStyle name="40% - Accent3 5 2 4 3" xfId="15644" xr:uid="{A298682E-9ECE-4295-A7D4-5EC4EC4A36DE}"/>
    <cellStyle name="40% - Accent3 5 2 5" xfId="2514" xr:uid="{98955820-6657-418F-B1A9-5E6ACAC7C67A}"/>
    <cellStyle name="40% - Accent3 5 2 5 2" xfId="16565" xr:uid="{C49AD053-14AD-4686-92E1-A3BEE63CDFA3}"/>
    <cellStyle name="40% - Accent3 5 2 6" xfId="4880" xr:uid="{656AEDE6-282B-4A5E-91D4-167E4CB4BE6F}"/>
    <cellStyle name="40% - Accent3 5 2 6 2" xfId="18932" xr:uid="{8F8B5C08-F8C8-43C9-8DB1-A13C497FAAC4}"/>
    <cellStyle name="40% - Accent3 5 2 7" xfId="14371" xr:uid="{EF9C9302-182B-4A5E-A76C-4816E06AC00F}"/>
    <cellStyle name="40% - Accent3 5 3" xfId="488" xr:uid="{596BF285-F8DF-4CE9-B1C7-416C1BE6A9A1}"/>
    <cellStyle name="40% - Accent3 5 3 2" xfId="1421" xr:uid="{A94DCAC3-6100-4AD3-88F7-1858545DE965}"/>
    <cellStyle name="40% - Accent3 5 3 2 2" xfId="3611" xr:uid="{2F7AD5DC-F628-420E-9890-FFECB86FFE41}"/>
    <cellStyle name="40% - Accent3 5 3 2 2 2" xfId="17664" xr:uid="{5AB47F21-73EA-4E69-9B60-55154A529B6D}"/>
    <cellStyle name="40% - Accent3 5 3 2 3" xfId="15470" xr:uid="{A3C8C3DB-A323-47B6-B20C-8A64A07A1D5D}"/>
    <cellStyle name="40% - Accent3 5 3 3" xfId="2687" xr:uid="{7B9E0C7B-D72F-4303-8FE0-D86260F11F98}"/>
    <cellStyle name="40% - Accent3 5 3 3 2" xfId="16738" xr:uid="{DFE67968-39FC-4332-97DC-994AC8BAE51E}"/>
    <cellStyle name="40% - Accent3 5 3 4" xfId="4706" xr:uid="{DF397305-A599-47E6-97E0-69C61E208A66}"/>
    <cellStyle name="40% - Accent3 5 3 4 2" xfId="18758" xr:uid="{150F46DE-8A16-42FE-A91D-5B9F7EC091BD}"/>
    <cellStyle name="40% - Accent3 5 3 5" xfId="14543" xr:uid="{7F1E4504-4526-483F-AA0E-09EC32136490}"/>
    <cellStyle name="40% - Accent3 5 4" xfId="841" xr:uid="{07B3E678-410D-44C2-A89E-6A665BBAC6EC}"/>
    <cellStyle name="40% - Accent3 5 4 2" xfId="1940" xr:uid="{C295B861-DC7B-45E7-80AA-55169CFC5256}"/>
    <cellStyle name="40% - Accent3 5 4 2 2" xfId="4129" xr:uid="{B540D4D2-0000-4DE5-B5AC-711AAA74D5BD}"/>
    <cellStyle name="40% - Accent3 5 4 2 2 2" xfId="18181" xr:uid="{92128B12-81B6-4D43-BA68-B35934D89E32}"/>
    <cellStyle name="40% - Accent3 5 4 2 3" xfId="15989" xr:uid="{B9F4090D-DB39-4FDE-9E4C-58ED085B718F}"/>
    <cellStyle name="40% - Accent3 5 4 3" xfId="3033" xr:uid="{DCC5105B-F3F1-4B40-91ED-101CA72887FB}"/>
    <cellStyle name="40% - Accent3 5 4 3 2" xfId="17085" xr:uid="{7871983B-7111-439D-9541-AC474E3264FD}"/>
    <cellStyle name="40% - Accent3 5 4 4" xfId="14891" xr:uid="{739573D0-BD22-4FF2-86D9-EED452EA7578}"/>
    <cellStyle name="40% - Accent3 5 5" xfId="1249" xr:uid="{B94D0B9A-EF50-4714-B786-D088A6574D21}"/>
    <cellStyle name="40% - Accent3 5 5 2" xfId="3439" xr:uid="{5D63CF47-D684-4859-A467-5353EE3A5AF3}"/>
    <cellStyle name="40% - Accent3 5 5 2 2" xfId="17491" xr:uid="{D16FDF63-2523-490D-BD0B-2F28E89AFC9E}"/>
    <cellStyle name="40% - Accent3 5 5 3" xfId="15297" xr:uid="{C20BB482-64AB-47A9-B90E-3B70250CA4A3}"/>
    <cellStyle name="40% - Accent3 5 6" xfId="2340" xr:uid="{E0ED46F7-BAD0-456C-9FC2-06CCEEC6D73F}"/>
    <cellStyle name="40% - Accent3 5 6 2" xfId="16391" xr:uid="{6A379447-0C52-4125-BAC2-ACA6A933EC6A}"/>
    <cellStyle name="40% - Accent3 5 7" xfId="4533" xr:uid="{94387FAC-49B1-4EB3-A47A-6094FB2CE454}"/>
    <cellStyle name="40% - Accent3 5 7 2" xfId="18585" xr:uid="{341171ED-412C-466F-81C2-C4A9666F4E7A}"/>
    <cellStyle name="40% - Accent3 5 8" xfId="14196" xr:uid="{070AEE76-8A88-4FF8-A038-E4CC309DAB7E}"/>
    <cellStyle name="40% - Accent3 6" xfId="254" xr:uid="{7D9F5DF1-7902-4B53-B893-FAF8E8D5FFE0}"/>
    <cellStyle name="40% - Accent3 6 2" xfId="608" xr:uid="{F38F1B61-E5B0-40B9-9098-15E49A584DB1}"/>
    <cellStyle name="40% - Accent3 6 2 2" xfId="1713" xr:uid="{D811D3AA-E023-4ACD-AD6E-CD8DF844DD42}"/>
    <cellStyle name="40% - Accent3 6 2 2 2" xfId="3901" xr:uid="{D608ECF2-50C5-4E6F-80E0-E2BDC2E7ECE2}"/>
    <cellStyle name="40% - Accent3 6 2 2 2 2" xfId="17953" xr:uid="{1D00E35A-D8AD-4FE1-B1E2-8E3183E7240E}"/>
    <cellStyle name="40% - Accent3 6 2 2 3" xfId="15761" xr:uid="{D4D6BD23-544F-4744-AC9F-89923105C15F}"/>
    <cellStyle name="40% - Accent3 6 2 3" xfId="2804" xr:uid="{A46EE831-EE3F-4A62-B6BB-BE947C15DC59}"/>
    <cellStyle name="40% - Accent3 6 2 3 2" xfId="16855" xr:uid="{71CE49E3-D78D-4078-AB78-EDED0A8A19B0}"/>
    <cellStyle name="40% - Accent3 6 2 4" xfId="14661" xr:uid="{74B3845E-9BA8-4F84-8854-6E195A578D5A}"/>
    <cellStyle name="40% - Accent3 6 3" xfId="958" xr:uid="{01E8A19C-DF19-4F50-B606-F513425E1850}"/>
    <cellStyle name="40% - Accent3 6 3 2" xfId="2057" xr:uid="{FDD9B97B-9032-4E36-987A-00FB68B122B9}"/>
    <cellStyle name="40% - Accent3 6 3 2 2" xfId="4246" xr:uid="{EFFD96E0-4B0B-47B8-A272-9DEBECE7DE97}"/>
    <cellStyle name="40% - Accent3 6 3 2 2 2" xfId="18297" xr:uid="{E55D5B3E-9C3A-48EA-8F25-5A17D5AFCC99}"/>
    <cellStyle name="40% - Accent3 6 3 2 3" xfId="16106" xr:uid="{6D004811-6531-4911-BD78-14A272DD6177}"/>
    <cellStyle name="40% - Accent3 6 3 3" xfId="3150" xr:uid="{9F7C8632-D91D-4140-AE5E-E7441265EE5C}"/>
    <cellStyle name="40% - Accent3 6 3 3 2" xfId="17202" xr:uid="{2ACA2393-0774-4562-A2A0-11E3E8DC72EB}"/>
    <cellStyle name="40% - Accent3 6 3 4" xfId="15008" xr:uid="{660BCD1B-1267-4611-BF9F-56280A25ECBA}"/>
    <cellStyle name="40% - Accent3 6 4" xfId="1538" xr:uid="{B7C09E46-0C5C-4E2B-91F7-4EACB3DEB4AA}"/>
    <cellStyle name="40% - Accent3 6 4 2" xfId="3728" xr:uid="{AD2A58EB-8571-435A-9049-C256C97A89AD}"/>
    <cellStyle name="40% - Accent3 6 4 2 2" xfId="17781" xr:uid="{783321E0-11DD-4319-9B37-CB08E952A11C}"/>
    <cellStyle name="40% - Accent3 6 4 3" xfId="15587" xr:uid="{5E5AD632-B16E-4D63-B16F-F744518F7103}"/>
    <cellStyle name="40% - Accent3 6 5" xfId="2457" xr:uid="{47AEB2D0-A4CF-4B92-96CF-559FAD5475EB}"/>
    <cellStyle name="40% - Accent3 6 5 2" xfId="16508" xr:uid="{ED9E3BAC-C751-4C19-A909-CEB80C98D7F6}"/>
    <cellStyle name="40% - Accent3 6 6" xfId="4823" xr:uid="{E55DD6CE-47DA-4683-84D9-0947A56FC58A}"/>
    <cellStyle name="40% - Accent3 6 6 2" xfId="18875" xr:uid="{0B0597BC-1E62-4A17-A6FC-695FDAFBA567}"/>
    <cellStyle name="40% - Accent3 6 7" xfId="14313" xr:uid="{C334E356-3E15-487A-980E-B651D98651BA}"/>
    <cellStyle name="40% - Accent3 7" xfId="430" xr:uid="{6039E5AC-27D9-4EF4-8833-C05E481C70A0}"/>
    <cellStyle name="40% - Accent3 7 2" xfId="1364" xr:uid="{E4CD70CE-0910-459D-B634-B2DF4592B598}"/>
    <cellStyle name="40% - Accent3 7 2 2" xfId="3554" xr:uid="{C2880EA8-0D81-4326-BE13-91E30599DCC2}"/>
    <cellStyle name="40% - Accent3 7 2 2 2" xfId="17607" xr:uid="{DCF3526E-AD26-4863-BFB2-B2F0655DF079}"/>
    <cellStyle name="40% - Accent3 7 2 3" xfId="15413" xr:uid="{9C3574D4-00FD-4062-80BD-972115D6645C}"/>
    <cellStyle name="40% - Accent3 7 3" xfId="2630" xr:uid="{5BEC566E-088F-4D49-A4A6-26958A88AAC3}"/>
    <cellStyle name="40% - Accent3 7 3 2" xfId="16681" xr:uid="{DB3361D1-5E7F-4C90-B0F8-0BD50A9B2572}"/>
    <cellStyle name="40% - Accent3 7 4" xfId="4649" xr:uid="{464EB26C-774D-465E-A7F2-E93AF64DBC92}"/>
    <cellStyle name="40% - Accent3 7 4 2" xfId="18701" xr:uid="{2B270427-9EE5-4F55-85D9-E7F9556513E8}"/>
    <cellStyle name="40% - Accent3 7 5" xfId="14486" xr:uid="{A6AFBF3F-51A2-4FF8-9F83-6CCA2EE74BC2}"/>
    <cellStyle name="40% - Accent3 8" xfId="784" xr:uid="{E1B29AD4-D8BB-489A-B329-737F32465EFC}"/>
    <cellStyle name="40% - Accent3 8 2" xfId="1885" xr:uid="{B416356C-C59B-4851-AA2D-4252A6432057}"/>
    <cellStyle name="40% - Accent3 8 2 2" xfId="4074" xr:uid="{4263A142-32D9-473B-AD49-67CFEE40CF95}"/>
    <cellStyle name="40% - Accent3 8 2 2 2" xfId="18126" xr:uid="{A27E93E9-4AE9-458F-800B-13479625A2F5}"/>
    <cellStyle name="40% - Accent3 8 2 3" xfId="15934" xr:uid="{2040B6A9-5CE0-48E3-B558-ED0A345D7A12}"/>
    <cellStyle name="40% - Accent3 8 3" xfId="2976" xr:uid="{513E3AFC-BA63-422A-B231-C180EE66ACFC}"/>
    <cellStyle name="40% - Accent3 8 3 2" xfId="17028" xr:uid="{9EC9ED3E-4CB9-462D-8730-1B7099797057}"/>
    <cellStyle name="40% - Accent3 8 4" xfId="14834" xr:uid="{16FB7B97-0D8C-45D0-A41E-A9999CAC2C56}"/>
    <cellStyle name="40% - Accent3 9" xfId="1128" xr:uid="{71475493-96D4-4209-966A-8CB33E569CCF}"/>
    <cellStyle name="40% - Accent3 9 2" xfId="2228" xr:uid="{72C3EA27-C789-471D-BFA9-4403157F2BFB}"/>
    <cellStyle name="40% - Accent3 9 2 2" xfId="4417" xr:uid="{9C23CF27-2B1D-47AD-9E4C-81EA899C9F59}"/>
    <cellStyle name="40% - Accent3 9 2 2 2" xfId="18467" xr:uid="{5E840EC8-A73C-4F5D-8602-E7CB9D2C5778}"/>
    <cellStyle name="40% - Accent3 9 2 3" xfId="16277" xr:uid="{CE64E6D5-0A95-4DA7-8AEC-1C990B1CF871}"/>
    <cellStyle name="40% - Accent3 9 3" xfId="3321" xr:uid="{B597B460-4B8E-40CD-990F-0C26521136E3}"/>
    <cellStyle name="40% - Accent3 9 3 2" xfId="17373" xr:uid="{B8CCA895-CC64-46B9-93F0-317A75222764}"/>
    <cellStyle name="40% - Accent3 9 4" xfId="15179" xr:uid="{9878DAA6-7795-4320-8CC2-A10DC88F8C7C}"/>
    <cellStyle name="40% - Accent4" xfId="53" builtinId="43" customBuiltin="1"/>
    <cellStyle name="40% - Accent4 10" xfId="1193" xr:uid="{2DB7F256-BCB4-4D4A-974B-5C9E6FD67CFC}"/>
    <cellStyle name="40% - Accent4 10 2" xfId="3384" xr:uid="{B889021B-346B-4E24-A5BF-A86E073A4DF3}"/>
    <cellStyle name="40% - Accent4 10 2 2" xfId="17436" xr:uid="{BA96DADE-EFBA-4663-ADD1-09E58BC6971B}"/>
    <cellStyle name="40% - Accent4 10 3" xfId="15242" xr:uid="{27249819-BE99-4498-B91F-4BBCE7F48FD0}"/>
    <cellStyle name="40% - Accent4 11" xfId="2285" xr:uid="{566EA28D-6262-4C7A-999F-93D5B51FEDC8}"/>
    <cellStyle name="40% - Accent4 11 2" xfId="16336" xr:uid="{A2EA9945-2D68-4EBD-AD54-05A4707DB95D}"/>
    <cellStyle name="40% - Accent4 12" xfId="4479" xr:uid="{0FB02AED-4A9A-46BD-B782-84F8E6BE9A7D}"/>
    <cellStyle name="40% - Accent4 12 2" xfId="18530" xr:uid="{BA479DC5-6CBA-43CE-AD3D-5857F4F1E021}"/>
    <cellStyle name="40% - Accent4 13" xfId="14130" xr:uid="{0CEDCB10-1EBB-4D6D-973D-62B33F6D9AA8}"/>
    <cellStyle name="40% - Accent4 2" xfId="125" xr:uid="{771F734D-E3D6-4263-949D-9182ECE1F943}"/>
    <cellStyle name="40% - Accent4 2 10" xfId="4522" xr:uid="{3C037FD2-2E9E-4785-A1F6-9BC790E43DF3}"/>
    <cellStyle name="40% - Accent4 2 10 2" xfId="18574" xr:uid="{63CDD10D-F121-44AC-943B-212563ECF7D4}"/>
    <cellStyle name="40% - Accent4 2 11" xfId="14185" xr:uid="{3568FC1A-FF4D-41FE-8700-4DFF48D121B1}"/>
    <cellStyle name="40% - Accent4 2 2" xfId="240" xr:uid="{1B1C035A-0612-48E0-A7B5-18844076D427}"/>
    <cellStyle name="40% - Accent4 2 2 2" xfId="417" xr:uid="{17C82BBA-F546-4B6F-AB53-E8B84768037F}"/>
    <cellStyle name="40% - Accent4 2 2 2 2" xfId="771" xr:uid="{BBEBA7F8-3225-453D-9DD6-0EBC0153BFBB}"/>
    <cellStyle name="40% - Accent4 2 2 2 2 2" xfId="1872" xr:uid="{3B6BFA7C-EB24-437F-9CE7-CFABB5A2F268}"/>
    <cellStyle name="40% - Accent4 2 2 2 2 2 2" xfId="4061" xr:uid="{45234DCE-DF11-4D36-A69C-82C7B0BB690C}"/>
    <cellStyle name="40% - Accent4 2 2 2 2 2 2 2" xfId="18113" xr:uid="{C730F5F9-623D-4930-AC56-3C3C215464C8}"/>
    <cellStyle name="40% - Accent4 2 2 2 2 2 3" xfId="15921" xr:uid="{1B76525B-9AB2-43D8-BB57-3ECD8660ACF6}"/>
    <cellStyle name="40% - Accent4 2 2 2 2 3" xfId="2963" xr:uid="{C95AF1D4-6A63-483C-9F14-3ABDFA7DA276}"/>
    <cellStyle name="40% - Accent4 2 2 2 2 3 2" xfId="17015" xr:uid="{6A9B2CA9-1BF7-47F0-827F-6E8C2F4DA569}"/>
    <cellStyle name="40% - Accent4 2 2 2 2 4" xfId="14821" xr:uid="{B75CF313-5CF5-45EB-B239-31DB481A0902}"/>
    <cellStyle name="40% - Accent4 2 2 2 3" xfId="1118" xr:uid="{53FE5EB1-5310-4289-B738-045974FBF688}"/>
    <cellStyle name="40% - Accent4 2 2 2 3 2" xfId="2217" xr:uid="{FEDA9F96-DF64-4B2F-82D0-1CD7E1A42791}"/>
    <cellStyle name="40% - Accent4 2 2 2 3 2 2" xfId="4406" xr:uid="{0EEE4924-CA3E-4554-85B0-B8374665473B}"/>
    <cellStyle name="40% - Accent4 2 2 2 3 2 2 2" xfId="18456" xr:uid="{E2F22AC6-9AA9-484E-9529-3F15CCB3FA23}"/>
    <cellStyle name="40% - Accent4 2 2 2 3 2 3" xfId="16266" xr:uid="{9C412C3D-77DD-495D-89FF-48AA4C3B84C5}"/>
    <cellStyle name="40% - Accent4 2 2 2 3 3" xfId="3310" xr:uid="{81A89F04-7AFB-4F35-8D11-BE72F8E28B29}"/>
    <cellStyle name="40% - Accent4 2 2 2 3 3 2" xfId="17362" xr:uid="{FDB1F5A2-C033-4988-A264-2E45396158F8}"/>
    <cellStyle name="40% - Accent4 2 2 2 3 4" xfId="15168" xr:uid="{AC13AAA1-C5B9-471C-A177-A1512620CF5F}"/>
    <cellStyle name="40% - Accent4 2 2 2 4" xfId="1698" xr:uid="{0734C468-066D-4307-81F7-D93713491118}"/>
    <cellStyle name="40% - Accent4 2 2 2 4 2" xfId="3888" xr:uid="{36E641B1-DB72-4A25-9794-62E6B5B3CA26}"/>
    <cellStyle name="40% - Accent4 2 2 2 4 2 2" xfId="17940" xr:uid="{740B47AA-6F31-46ED-B185-F20BBF06BAC0}"/>
    <cellStyle name="40% - Accent4 2 2 2 4 3" xfId="15747" xr:uid="{787980BE-35A1-4EC9-A708-FEBD76C00BBD}"/>
    <cellStyle name="40% - Accent4 2 2 2 5" xfId="2617" xr:uid="{CF1F992C-1BF9-49E8-BBCD-3C74E80D8FE2}"/>
    <cellStyle name="40% - Accent4 2 2 2 5 2" xfId="16668" xr:uid="{0F1D55F8-39E5-4550-A796-A7848AA07AEA}"/>
    <cellStyle name="40% - Accent4 2 2 2 6" xfId="4983" xr:uid="{E395E895-5766-413A-8C50-A6A958CA6528}"/>
    <cellStyle name="40% - Accent4 2 2 2 6 2" xfId="19035" xr:uid="{4B153A2F-1DB5-475E-B475-549DCFE10859}"/>
    <cellStyle name="40% - Accent4 2 2 2 7" xfId="14473" xr:uid="{ABD9BEBF-CB12-4E58-8A90-DC42243BADEA}"/>
    <cellStyle name="40% - Accent4 2 2 3" xfId="591" xr:uid="{F2AE7522-3DA1-4D75-B1FD-E9A19A12BACA}"/>
    <cellStyle name="40% - Accent4 2 2 3 2" xfId="1524" xr:uid="{5CBFCC5A-5EFC-4D49-BC76-E780EB277814}"/>
    <cellStyle name="40% - Accent4 2 2 3 2 2" xfId="3714" xr:uid="{60E31180-73DA-4E11-9FA0-87724E98EFC4}"/>
    <cellStyle name="40% - Accent4 2 2 3 2 2 2" xfId="17767" xr:uid="{53BB8584-38FC-4B48-B3BF-6AF922AAB0C7}"/>
    <cellStyle name="40% - Accent4 2 2 3 2 3" xfId="15573" xr:uid="{1F80BA8D-5DE1-43A0-B0F7-E9A67FFA9F54}"/>
    <cellStyle name="40% - Accent4 2 2 3 3" xfId="2790" xr:uid="{15FE2BA6-7C09-4011-8F35-E5CEB1715B8F}"/>
    <cellStyle name="40% - Accent4 2 2 3 3 2" xfId="16841" xr:uid="{A67D5D01-634D-4E1F-8F6C-BBD78756BA2E}"/>
    <cellStyle name="40% - Accent4 2 2 3 4" xfId="4809" xr:uid="{56A08469-46B1-4587-8A0D-3BA06744E57A}"/>
    <cellStyle name="40% - Accent4 2 2 3 4 2" xfId="18861" xr:uid="{3A8030E0-F946-4F21-AACB-7A1AC0C34856}"/>
    <cellStyle name="40% - Accent4 2 2 3 5" xfId="14646" xr:uid="{30BF678C-4BE3-4C8F-9A7E-DD7F7E2BFDCE}"/>
    <cellStyle name="40% - Accent4 2 2 4" xfId="944" xr:uid="{A049FDE7-A899-4E77-AC58-F531B86DEBAE}"/>
    <cellStyle name="40% - Accent4 2 2 4 2" xfId="2043" xr:uid="{7B43A1AB-82B5-4927-9632-0032DE6D0A55}"/>
    <cellStyle name="40% - Accent4 2 2 4 2 2" xfId="4232" xr:uid="{6963D677-A68E-463D-BCE4-CB6A9C695CD8}"/>
    <cellStyle name="40% - Accent4 2 2 4 2 2 2" xfId="18283" xr:uid="{376D83EF-D20A-40FC-A9BE-F60029E7D53D}"/>
    <cellStyle name="40% - Accent4 2 2 4 2 3" xfId="16092" xr:uid="{CD74EF9B-8C72-4A99-BBCB-108249AD76FB}"/>
    <cellStyle name="40% - Accent4 2 2 4 3" xfId="3136" xr:uid="{879F2006-93A8-4515-9492-99F5E90B9661}"/>
    <cellStyle name="40% - Accent4 2 2 4 3 2" xfId="17188" xr:uid="{3138590B-2093-405B-A2F2-A03C1A165D32}"/>
    <cellStyle name="40% - Accent4 2 2 4 4" xfId="14994" xr:uid="{9724763D-FD82-479D-9E11-098AF4004067}"/>
    <cellStyle name="40% - Accent4 2 2 5" xfId="1351" xr:uid="{264A0935-6896-4E38-93DC-0BB752DCAD66}"/>
    <cellStyle name="40% - Accent4 2 2 5 2" xfId="3542" xr:uid="{B187738E-2FB5-4387-A582-B8F97342E4C0}"/>
    <cellStyle name="40% - Accent4 2 2 5 2 2" xfId="17594" xr:uid="{1FD9D1D7-1BD9-4D38-980A-EA82B5FFF01A}"/>
    <cellStyle name="40% - Accent4 2 2 5 3" xfId="15400" xr:uid="{BAB7083A-E8B3-4FE7-8108-85F774EF69F1}"/>
    <cellStyle name="40% - Accent4 2 2 6" xfId="2443" xr:uid="{DE013C4A-3D29-48F1-A9BD-9C0CD4186366}"/>
    <cellStyle name="40% - Accent4 2 2 6 2" xfId="16494" xr:uid="{D7A7D92F-8279-4289-AA59-7C3B67A261A0}"/>
    <cellStyle name="40% - Accent4 2 2 7" xfId="4636" xr:uid="{B0973869-140C-4C29-A12B-A8DF13D50A1F}"/>
    <cellStyle name="40% - Accent4 2 2 7 2" xfId="18688" xr:uid="{CB14B769-F802-4D4B-BF1C-75FB0BFC8907}"/>
    <cellStyle name="40% - Accent4 2 2 8" xfId="14299" xr:uid="{7EAC8630-6B42-4794-886D-D9E188CC9507}"/>
    <cellStyle name="40% - Accent4 2 3" xfId="183" xr:uid="{AB21BCBD-FA9E-4CFC-ACCA-CEC20FEB8597}"/>
    <cellStyle name="40% - Accent4 2 3 2" xfId="360" xr:uid="{F3FF5B59-4182-4881-8DF9-3199441F73A2}"/>
    <cellStyle name="40% - Accent4 2 3 2 2" xfId="714" xr:uid="{6105A2C5-D74E-47CB-87C8-CAF4BBE44FCD}"/>
    <cellStyle name="40% - Accent4 2 3 2 2 2" xfId="1815" xr:uid="{B5118A46-0F67-4729-B6E6-D9B87D90A892}"/>
    <cellStyle name="40% - Accent4 2 3 2 2 2 2" xfId="4004" xr:uid="{453576F5-9867-495F-8749-D59F6581769D}"/>
    <cellStyle name="40% - Accent4 2 3 2 2 2 2 2" xfId="18056" xr:uid="{A7AFD3D9-B409-4AB9-AB31-94A026D1FABD}"/>
    <cellStyle name="40% - Accent4 2 3 2 2 2 3" xfId="15864" xr:uid="{FBD45868-3FE4-4ABC-A235-919F9C569E49}"/>
    <cellStyle name="40% - Accent4 2 3 2 2 3" xfId="2906" xr:uid="{29FFCAEF-6DE4-4E74-86DF-7BE4A45D1832}"/>
    <cellStyle name="40% - Accent4 2 3 2 2 3 2" xfId="16958" xr:uid="{6CEA204A-03BA-4EB8-A1FC-E4AA6EEC7C13}"/>
    <cellStyle name="40% - Accent4 2 3 2 2 4" xfId="14765" xr:uid="{A7FF4D94-B352-40CA-A679-1095D664A9B6}"/>
    <cellStyle name="40% - Accent4 2 3 2 3" xfId="1061" xr:uid="{EB845DE8-6963-40B4-A9BE-030CA87A3F59}"/>
    <cellStyle name="40% - Accent4 2 3 2 3 2" xfId="2160" xr:uid="{15FDFF0F-EA57-49DF-B92C-520B86B86E16}"/>
    <cellStyle name="40% - Accent4 2 3 2 3 2 2" xfId="4349" xr:uid="{875F793E-FBC9-43F4-A475-9C4EB4EA930C}"/>
    <cellStyle name="40% - Accent4 2 3 2 3 2 2 2" xfId="18399" xr:uid="{553E9BF3-B683-4FD4-BADB-475698228675}"/>
    <cellStyle name="40% - Accent4 2 3 2 3 2 3" xfId="16209" xr:uid="{F53324A8-076F-4827-88B7-BA21454E1401}"/>
    <cellStyle name="40% - Accent4 2 3 2 3 3" xfId="3253" xr:uid="{F665DFC1-B440-4192-8B9B-A2829F070DA3}"/>
    <cellStyle name="40% - Accent4 2 3 2 3 3 2" xfId="17305" xr:uid="{C67A90F1-93E9-4416-AE6C-2D4BF5D966A3}"/>
    <cellStyle name="40% - Accent4 2 3 2 3 4" xfId="15111" xr:uid="{82266CA8-13C0-4141-8FBF-35DD64C2A744}"/>
    <cellStyle name="40% - Accent4 2 3 2 4" xfId="1641" xr:uid="{23794626-2A91-4405-B194-570ADC42FF28}"/>
    <cellStyle name="40% - Accent4 2 3 2 4 2" xfId="3831" xr:uid="{A151163B-4385-45B5-8741-005203340377}"/>
    <cellStyle name="40% - Accent4 2 3 2 4 2 2" xfId="17884" xr:uid="{2DA7B5D2-2617-4FF0-A8F9-899F57077832}"/>
    <cellStyle name="40% - Accent4 2 3 2 4 3" xfId="15690" xr:uid="{CB9B3B21-FCA4-4AF3-B4B3-A00A017CD2D4}"/>
    <cellStyle name="40% - Accent4 2 3 2 5" xfId="2560" xr:uid="{80F09F44-5804-47E0-A5AF-D11FDF420A87}"/>
    <cellStyle name="40% - Accent4 2 3 2 5 2" xfId="16611" xr:uid="{54DB697F-168D-49FB-B5D6-8E14F474840D}"/>
    <cellStyle name="40% - Accent4 2 3 2 6" xfId="4926" xr:uid="{D604808B-4BA2-40EF-B530-F4122EFFF143}"/>
    <cellStyle name="40% - Accent4 2 3 2 6 2" xfId="18978" xr:uid="{DBEC95EC-6A53-411F-A224-7282DBF35110}"/>
    <cellStyle name="40% - Accent4 2 3 2 7" xfId="14417" xr:uid="{7D69F159-AB23-4F95-AD14-AF715F2FA938}"/>
    <cellStyle name="40% - Accent4 2 3 3" xfId="534" xr:uid="{222F59CE-5E96-456E-BFCE-075B8FB14C35}"/>
    <cellStyle name="40% - Accent4 2 3 3 2" xfId="1467" xr:uid="{F9AC1A6D-93FB-474B-8505-148CDDBEEEEA}"/>
    <cellStyle name="40% - Accent4 2 3 3 2 2" xfId="3657" xr:uid="{50962958-DE29-4378-84AA-A59D27B92021}"/>
    <cellStyle name="40% - Accent4 2 3 3 2 2 2" xfId="17710" xr:uid="{F04ABC35-8091-405A-AB81-4DDF646B4FD9}"/>
    <cellStyle name="40% - Accent4 2 3 3 2 3" xfId="15516" xr:uid="{5B0595B7-5AE5-44EB-83AC-976447BDED18}"/>
    <cellStyle name="40% - Accent4 2 3 3 3" xfId="2733" xr:uid="{6C4893B9-6993-471F-969D-06F25DED395B}"/>
    <cellStyle name="40% - Accent4 2 3 3 3 2" xfId="16784" xr:uid="{392FCEAE-F2F3-4416-8B78-0C6644D84E5C}"/>
    <cellStyle name="40% - Accent4 2 3 3 4" xfId="4752" xr:uid="{10A825BE-3591-496E-9E5B-E06EC0FA549F}"/>
    <cellStyle name="40% - Accent4 2 3 3 4 2" xfId="18804" xr:uid="{DC6537E7-64BF-4763-818E-8AC781DC0B45}"/>
    <cellStyle name="40% - Accent4 2 3 3 5" xfId="14589" xr:uid="{80142C8D-53CC-4316-B836-D288F6D0F6DE}"/>
    <cellStyle name="40% - Accent4 2 3 4" xfId="887" xr:uid="{96310D8D-10C8-4074-9C7E-64C2298C5EEF}"/>
    <cellStyle name="40% - Accent4 2 3 4 2" xfId="1986" xr:uid="{516D541F-A8F6-4196-A39C-0F6DC7966134}"/>
    <cellStyle name="40% - Accent4 2 3 4 2 2" xfId="4175" xr:uid="{5CC997E8-BEEA-43AE-974B-ED7A326DDE83}"/>
    <cellStyle name="40% - Accent4 2 3 4 2 2 2" xfId="18226" xr:uid="{D8FBFC63-C912-4272-92BF-4C55AD74350C}"/>
    <cellStyle name="40% - Accent4 2 3 4 2 3" xfId="16035" xr:uid="{F3C27DED-2E94-4FD4-B1E0-DB7D1981999C}"/>
    <cellStyle name="40% - Accent4 2 3 4 3" xfId="3079" xr:uid="{0BDFC31D-BF29-47C9-B244-34AEC1E8FE6E}"/>
    <cellStyle name="40% - Accent4 2 3 4 3 2" xfId="17131" xr:uid="{9CCE710F-3354-433E-B43C-30FF88CB9A41}"/>
    <cellStyle name="40% - Accent4 2 3 4 4" xfId="14937" xr:uid="{0FBBDF76-13A9-43BB-8527-01D817182408}"/>
    <cellStyle name="40% - Accent4 2 3 5" xfId="1294" xr:uid="{F2522CD1-27DB-4D73-BB70-BA7CC1D50600}"/>
    <cellStyle name="40% - Accent4 2 3 5 2" xfId="3485" xr:uid="{523ED37C-0C75-4A8A-AF8D-29D1A9A2906C}"/>
    <cellStyle name="40% - Accent4 2 3 5 2 2" xfId="17537" xr:uid="{2387E4B5-5D2E-434B-B62A-478F05313503}"/>
    <cellStyle name="40% - Accent4 2 3 5 3" xfId="15343" xr:uid="{AE217664-EDE8-4183-9440-B6AF7BD30A58}"/>
    <cellStyle name="40% - Accent4 2 3 6" xfId="2386" xr:uid="{CF35C813-B8FA-4D06-B0E9-2FBDCF2BBAF2}"/>
    <cellStyle name="40% - Accent4 2 3 6 2" xfId="16437" xr:uid="{63F33C22-EB61-448F-AAC8-531A4DB5D30D}"/>
    <cellStyle name="40% - Accent4 2 3 7" xfId="4579" xr:uid="{AB7B0339-850A-482A-9CE9-6EC9BC3CEDEE}"/>
    <cellStyle name="40% - Accent4 2 3 7 2" xfId="18631" xr:uid="{35206F80-8F80-4446-A282-5DACEBEA1040}"/>
    <cellStyle name="40% - Accent4 2 3 8" xfId="14242" xr:uid="{E1A4E325-8E7A-4691-B58D-83E7D0925D0F}"/>
    <cellStyle name="40% - Accent4 2 4" xfId="303" xr:uid="{9D5F359D-056C-4E31-89D8-09D97BEDD023}"/>
    <cellStyle name="40% - Accent4 2 4 2" xfId="657" xr:uid="{660E24D0-1F9C-4A2B-A72A-9348276D1A2D}"/>
    <cellStyle name="40% - Accent4 2 4 2 2" xfId="1759" xr:uid="{156AA03C-F61C-4C3D-864A-525DC7229BBF}"/>
    <cellStyle name="40% - Accent4 2 4 2 2 2" xfId="3947" xr:uid="{70C592B2-73C6-4F43-8CCC-9489AA5EEA69}"/>
    <cellStyle name="40% - Accent4 2 4 2 2 2 2" xfId="17999" xr:uid="{163DC514-F579-423E-9180-CD40EBBE2B20}"/>
    <cellStyle name="40% - Accent4 2 4 2 2 3" xfId="15807" xr:uid="{46CF53C1-DE18-4423-A6CA-5E02E46264A7}"/>
    <cellStyle name="40% - Accent4 2 4 2 3" xfId="2850" xr:uid="{DF3B160F-5332-40F8-9364-577A8BBF5305}"/>
    <cellStyle name="40% - Accent4 2 4 2 3 2" xfId="16901" xr:uid="{1218C0A5-62EA-4916-B8EC-46652FD1CEC8}"/>
    <cellStyle name="40% - Accent4 2 4 2 4" xfId="14708" xr:uid="{8EF201EA-8717-4D8E-BC05-9D3D3CDB0E34}"/>
    <cellStyle name="40% - Accent4 2 4 3" xfId="1004" xr:uid="{8D0617B3-0B86-41F2-8706-4613A4735687}"/>
    <cellStyle name="40% - Accent4 2 4 3 2" xfId="2103" xr:uid="{5EBD65D6-3996-4667-BD50-C072CEB7B967}"/>
    <cellStyle name="40% - Accent4 2 4 3 2 2" xfId="4292" xr:uid="{FFF7CFC5-2794-45F0-87D1-FBDB283E023C}"/>
    <cellStyle name="40% - Accent4 2 4 3 2 2 2" xfId="18342" xr:uid="{FE263F80-422A-4971-8592-E22D9368244B}"/>
    <cellStyle name="40% - Accent4 2 4 3 2 3" xfId="16152" xr:uid="{274E941B-A66C-4758-A36C-02AA46E94863}"/>
    <cellStyle name="40% - Accent4 2 4 3 3" xfId="3196" xr:uid="{9E9D3142-81D1-4DBF-ACAD-D298B0DB92DB}"/>
    <cellStyle name="40% - Accent4 2 4 3 3 2" xfId="17248" xr:uid="{E62AE057-580B-465E-A405-8E1E422F7747}"/>
    <cellStyle name="40% - Accent4 2 4 3 4" xfId="15054" xr:uid="{412B5E34-EC52-4ED8-B6C4-CF555002A68F}"/>
    <cellStyle name="40% - Accent4 2 4 4" xfId="1584" xr:uid="{87028C68-05FE-413D-B841-652B933BA527}"/>
    <cellStyle name="40% - Accent4 2 4 4 2" xfId="3774" xr:uid="{7B001AD1-5B82-49BD-80D3-FAB2036478DA}"/>
    <cellStyle name="40% - Accent4 2 4 4 2 2" xfId="17827" xr:uid="{CD1285CB-52AC-4FF0-84E2-C53E034EBF04}"/>
    <cellStyle name="40% - Accent4 2 4 4 3" xfId="15633" xr:uid="{8B327EB5-616E-4AFC-B2DE-7C0E0FA879CD}"/>
    <cellStyle name="40% - Accent4 2 4 5" xfId="2503" xr:uid="{D8DBAA25-6CA5-41CE-AD6B-F145DDAA5F30}"/>
    <cellStyle name="40% - Accent4 2 4 5 2" xfId="16554" xr:uid="{845E93AB-DFB8-40C8-B0ED-707DCB3D3C2C}"/>
    <cellStyle name="40% - Accent4 2 4 6" xfId="4869" xr:uid="{EBF5DFD2-2D49-41B2-A3A8-449769FEA2D6}"/>
    <cellStyle name="40% - Accent4 2 4 6 2" xfId="18921" xr:uid="{7026B7E6-1C1A-47D0-954B-198D0D2E4F09}"/>
    <cellStyle name="40% - Accent4 2 4 7" xfId="14360" xr:uid="{6A920D81-224C-44A8-BF30-EBBF8841A555}"/>
    <cellStyle name="40% - Accent4 2 5" xfId="477" xr:uid="{4A4A63BC-4940-488B-8859-D11F752E6312}"/>
    <cellStyle name="40% - Accent4 2 5 2" xfId="1410" xr:uid="{3F6F5B4D-18B1-4F37-9D2F-7C4EBD28E425}"/>
    <cellStyle name="40% - Accent4 2 5 2 2" xfId="3600" xr:uid="{B751EFD9-E3FB-4612-B51B-324B684A2BB3}"/>
    <cellStyle name="40% - Accent4 2 5 2 2 2" xfId="17653" xr:uid="{B07A9483-7961-41B4-B2FB-6664EDEE6CB9}"/>
    <cellStyle name="40% - Accent4 2 5 2 3" xfId="15459" xr:uid="{3DF98272-A599-4E97-BEC4-CD11F76B3FD7}"/>
    <cellStyle name="40% - Accent4 2 5 3" xfId="2676" xr:uid="{9BC003AB-7C6C-4A6E-AA36-514E0449631A}"/>
    <cellStyle name="40% - Accent4 2 5 3 2" xfId="16727" xr:uid="{F5B58C5E-F42C-454B-B406-B3286FEB54E7}"/>
    <cellStyle name="40% - Accent4 2 5 4" xfId="4695" xr:uid="{9066A6BA-DB12-4BA7-BBCE-6F70486D57DA}"/>
    <cellStyle name="40% - Accent4 2 5 4 2" xfId="18747" xr:uid="{390C52C5-AE3B-4AC4-93D7-363B71EAC6B9}"/>
    <cellStyle name="40% - Accent4 2 5 5" xfId="14532" xr:uid="{55A3051E-DB8F-42B5-93A9-815206C97A9D}"/>
    <cellStyle name="40% - Accent4 2 6" xfId="830" xr:uid="{151E886A-4100-429F-AC17-73338DF8FDC4}"/>
    <cellStyle name="40% - Accent4 2 6 2" xfId="1929" xr:uid="{272509DC-A6AD-464D-8BC5-8824323B5ADB}"/>
    <cellStyle name="40% - Accent4 2 6 2 2" xfId="4118" xr:uid="{C5DBC455-614B-4DF5-9DAB-23D3F361D6D9}"/>
    <cellStyle name="40% - Accent4 2 6 2 2 2" xfId="18170" xr:uid="{B94E0351-6CAA-4278-B0E8-355195D1312B}"/>
    <cellStyle name="40% - Accent4 2 6 2 3" xfId="15978" xr:uid="{55469C62-CF3E-4BD9-A75F-16281B5E93EE}"/>
    <cellStyle name="40% - Accent4 2 6 3" xfId="3022" xr:uid="{26BF83CC-7383-4358-A5FC-6208F0FC3989}"/>
    <cellStyle name="40% - Accent4 2 6 3 2" xfId="17074" xr:uid="{892B222C-A828-4464-9FD6-092F45C96337}"/>
    <cellStyle name="40% - Accent4 2 6 4" xfId="14880" xr:uid="{7CA37C4D-302A-4470-976E-966987EABB0F}"/>
    <cellStyle name="40% - Accent4 2 7" xfId="1174" xr:uid="{4BFC85DB-35AE-4EFC-9B2B-7CDBD067EC6B}"/>
    <cellStyle name="40% - Accent4 2 7 2" xfId="2273" xr:uid="{B0E7EEA5-0B7B-4129-AD00-8733D2061C81}"/>
    <cellStyle name="40% - Accent4 2 7 2 2" xfId="4462" xr:uid="{C43ED009-E058-4414-B886-5C66BAB556AB}"/>
    <cellStyle name="40% - Accent4 2 7 2 2 2" xfId="18513" xr:uid="{F77C1ED0-D15E-44FA-BFC6-3B22210DDB09}"/>
    <cellStyle name="40% - Accent4 2 7 2 3" xfId="16323" xr:uid="{B9C62785-4820-4F0E-900C-70B3C58BC06F}"/>
    <cellStyle name="40% - Accent4 2 7 3" xfId="3367" xr:uid="{9D13D88D-1572-48DD-8CCC-BC9D32C62072}"/>
    <cellStyle name="40% - Accent4 2 7 3 2" xfId="17419" xr:uid="{CB04FDB6-47D1-489C-A9C5-94831AA40233}"/>
    <cellStyle name="40% - Accent4 2 7 4" xfId="15225" xr:uid="{799D10D7-869C-46F7-9B4D-B28BDAB9718A}"/>
    <cellStyle name="40% - Accent4 2 8" xfId="1238" xr:uid="{47366F8D-CF18-4D5A-A482-7235A40C0B92}"/>
    <cellStyle name="40% - Accent4 2 8 2" xfId="3428" xr:uid="{2271D9C0-59C1-44AD-B960-052E16BCAB23}"/>
    <cellStyle name="40% - Accent4 2 8 2 2" xfId="17480" xr:uid="{1191740B-1255-4365-828F-AD2DC54429C2}"/>
    <cellStyle name="40% - Accent4 2 8 3" xfId="15286" xr:uid="{9BE06520-937C-4328-BDB5-F87B948EDFAB}"/>
    <cellStyle name="40% - Accent4 2 9" xfId="2329" xr:uid="{BA279792-82CC-4AE0-9281-EABEF53EAFCD}"/>
    <cellStyle name="40% - Accent4 2 9 2" xfId="16380" xr:uid="{CA717504-1374-40A1-8C35-D4EE8C4242DC}"/>
    <cellStyle name="40% - Accent4 3" xfId="101" xr:uid="{86C17A55-3C27-4BFD-910E-022C79F79140}"/>
    <cellStyle name="40% - Accent4 3 10" xfId="4499" xr:uid="{CAD69080-961C-4399-AF5F-C5ECF647C983}"/>
    <cellStyle name="40% - Accent4 3 10 2" xfId="18550" xr:uid="{3371D03B-6AC3-4659-B4AE-731C2E28C4C3}"/>
    <cellStyle name="40% - Accent4 3 11" xfId="14161" xr:uid="{B478F3C0-B8AB-4911-82AB-2D078B4416CE}"/>
    <cellStyle name="40% - Accent4 3 2" xfId="216" xr:uid="{0EF82F91-1929-4FC0-9270-9FB391266C75}"/>
    <cellStyle name="40% - Accent4 3 2 2" xfId="393" xr:uid="{F6622778-CBB7-43B3-964C-7A898F23C66D}"/>
    <cellStyle name="40% - Accent4 3 2 2 2" xfId="747" xr:uid="{27252373-CEEE-47D5-B6C4-1891E917B08B}"/>
    <cellStyle name="40% - Accent4 3 2 2 2 2" xfId="1848" xr:uid="{0D1E81D4-7DA6-4995-B1FD-4C26E0B70A45}"/>
    <cellStyle name="40% - Accent4 3 2 2 2 2 2" xfId="4037" xr:uid="{8E6DE007-CD56-4939-9768-1692F083493A}"/>
    <cellStyle name="40% - Accent4 3 2 2 2 2 2 2" xfId="18089" xr:uid="{72946F66-2AB7-4601-9FBA-ED607D5F82AB}"/>
    <cellStyle name="40% - Accent4 3 2 2 2 2 3" xfId="15897" xr:uid="{0299CB88-ECA7-4C05-A7D0-DA5831CA60EE}"/>
    <cellStyle name="40% - Accent4 3 2 2 2 3" xfId="2939" xr:uid="{EB75AEEF-9E58-45AB-9CB6-CE91E325E6AC}"/>
    <cellStyle name="40% - Accent4 3 2 2 2 3 2" xfId="16991" xr:uid="{D2F2AE5F-B9FD-4DEA-A6FD-08F74A84BB85}"/>
    <cellStyle name="40% - Accent4 3 2 2 2 4" xfId="14798" xr:uid="{715FF9C9-7A13-44F1-BF96-258999AD811A}"/>
    <cellStyle name="40% - Accent4 3 2 2 3" xfId="1094" xr:uid="{6564839B-175B-431B-ABEB-5B8877565B8F}"/>
    <cellStyle name="40% - Accent4 3 2 2 3 2" xfId="2193" xr:uid="{4460870D-4C78-4170-9963-74178B0882FB}"/>
    <cellStyle name="40% - Accent4 3 2 2 3 2 2" xfId="4382" xr:uid="{3D6804B8-4634-4D5B-81BE-F7F2713EAD40}"/>
    <cellStyle name="40% - Accent4 3 2 2 3 2 2 2" xfId="18432" xr:uid="{89AB202B-54E7-4EC1-A992-D5974343A34C}"/>
    <cellStyle name="40% - Accent4 3 2 2 3 2 3" xfId="16242" xr:uid="{A3F845EE-2ABE-4852-A8BF-360E7644B89C}"/>
    <cellStyle name="40% - Accent4 3 2 2 3 3" xfId="3286" xr:uid="{7D817E82-4DBE-43D0-8D49-D34DFAEAB3BB}"/>
    <cellStyle name="40% - Accent4 3 2 2 3 3 2" xfId="17338" xr:uid="{D33A11A8-672D-4125-8922-5CAA360D737E}"/>
    <cellStyle name="40% - Accent4 3 2 2 3 4" xfId="15144" xr:uid="{BA5394B6-91F1-4E10-A0FA-64194100F1B9}"/>
    <cellStyle name="40% - Accent4 3 2 2 4" xfId="1674" xr:uid="{6132AB83-5D99-4EA7-827B-7B983D38E353}"/>
    <cellStyle name="40% - Accent4 3 2 2 4 2" xfId="3864" xr:uid="{B4C807DE-9FAF-4548-9E74-ADA2A965827A}"/>
    <cellStyle name="40% - Accent4 3 2 2 4 2 2" xfId="17917" xr:uid="{968245C0-93D4-4048-AEE4-B6FE613D522E}"/>
    <cellStyle name="40% - Accent4 3 2 2 4 3" xfId="15723" xr:uid="{9E005FA2-2019-4396-A3BC-1DE74734CA9D}"/>
    <cellStyle name="40% - Accent4 3 2 2 5" xfId="2593" xr:uid="{86C24F39-1C70-4511-9252-64B99A2DD320}"/>
    <cellStyle name="40% - Accent4 3 2 2 5 2" xfId="16644" xr:uid="{9378ADA1-FE09-4A7C-A465-5315579B18E3}"/>
    <cellStyle name="40% - Accent4 3 2 2 6" xfId="4959" xr:uid="{6F53C572-0AF2-4D4B-A78B-FDE67EE40B84}"/>
    <cellStyle name="40% - Accent4 3 2 2 6 2" xfId="19011" xr:uid="{63CE5E02-0049-43B0-A873-F642F7CD147B}"/>
    <cellStyle name="40% - Accent4 3 2 2 7" xfId="14450" xr:uid="{24077E15-3D62-495A-AC18-F88C6CC315B0}"/>
    <cellStyle name="40% - Accent4 3 2 3" xfId="567" xr:uid="{913FD7DF-745F-4AEA-AFFE-8097D6856D5B}"/>
    <cellStyle name="40% - Accent4 3 2 3 2" xfId="1500" xr:uid="{C69416EB-D2D0-4A40-A653-AB43DBDAF121}"/>
    <cellStyle name="40% - Accent4 3 2 3 2 2" xfId="3690" xr:uid="{368B9D02-D32D-4CDC-8DF9-1F2FB21115CF}"/>
    <cellStyle name="40% - Accent4 3 2 3 2 2 2" xfId="17743" xr:uid="{DD1ED7BC-3951-4C6A-9E52-97713A836ACA}"/>
    <cellStyle name="40% - Accent4 3 2 3 2 3" xfId="15549" xr:uid="{3BDF2EAB-4CA7-4D35-A259-BAA7EEC4551B}"/>
    <cellStyle name="40% - Accent4 3 2 3 3" xfId="2766" xr:uid="{A65B88AF-DE8F-4825-984F-F38F80D4A0D9}"/>
    <cellStyle name="40% - Accent4 3 2 3 3 2" xfId="16817" xr:uid="{73A87D9F-1C7F-4274-92B5-F5C35192C41D}"/>
    <cellStyle name="40% - Accent4 3 2 3 4" xfId="4785" xr:uid="{2E2823E8-AA34-4408-A3BD-81D679D03AE2}"/>
    <cellStyle name="40% - Accent4 3 2 3 4 2" xfId="18837" xr:uid="{F9A89845-97A3-4C05-B904-BABBE1810E23}"/>
    <cellStyle name="40% - Accent4 3 2 3 5" xfId="14622" xr:uid="{A24FDCF7-5E9B-4C97-AFCC-F5F8E32C92C3}"/>
    <cellStyle name="40% - Accent4 3 2 4" xfId="920" xr:uid="{D88F6165-80AD-46C1-9477-964BE3B14FD8}"/>
    <cellStyle name="40% - Accent4 3 2 4 2" xfId="2019" xr:uid="{AD509AEF-6D25-400D-87AE-7A28D6EA3FBB}"/>
    <cellStyle name="40% - Accent4 3 2 4 2 2" xfId="4208" xr:uid="{2EAD25AD-D65B-4F65-A5B3-0DDBF726EAA1}"/>
    <cellStyle name="40% - Accent4 3 2 4 2 2 2" xfId="18259" xr:uid="{B89F8D51-477A-43D3-AF6F-ECBDE625E1FC}"/>
    <cellStyle name="40% - Accent4 3 2 4 2 3" xfId="16068" xr:uid="{C72E1FE9-806C-4EFC-B0FF-290CE198B15C}"/>
    <cellStyle name="40% - Accent4 3 2 4 3" xfId="3112" xr:uid="{8326AA41-B1C5-4398-BF9D-E5381BB831E0}"/>
    <cellStyle name="40% - Accent4 3 2 4 3 2" xfId="17164" xr:uid="{A8404044-0454-422E-AD9F-90FE315917A9}"/>
    <cellStyle name="40% - Accent4 3 2 4 4" xfId="14970" xr:uid="{9C073440-2895-4C11-ABB7-08106B26FB93}"/>
    <cellStyle name="40% - Accent4 3 2 5" xfId="1327" xr:uid="{AE72D3E8-B47A-4104-A374-75105E68F16F}"/>
    <cellStyle name="40% - Accent4 3 2 5 2" xfId="3518" xr:uid="{C185DF50-FBA5-40EB-B66B-D4DA5E1BF200}"/>
    <cellStyle name="40% - Accent4 3 2 5 2 2" xfId="17570" xr:uid="{E52D38A5-FB47-4FD0-9CD2-87009EA8C18F}"/>
    <cellStyle name="40% - Accent4 3 2 5 3" xfId="15376" xr:uid="{345025ED-EF2A-4597-9DE3-1C8266AF5991}"/>
    <cellStyle name="40% - Accent4 3 2 6" xfId="2419" xr:uid="{2E0D3022-302E-4327-B405-E0FF749E60EB}"/>
    <cellStyle name="40% - Accent4 3 2 6 2" xfId="16470" xr:uid="{5AA29732-6B6A-4973-9B7A-FD347ACF984B}"/>
    <cellStyle name="40% - Accent4 3 2 7" xfId="4612" xr:uid="{EE4C9765-5E1F-4E10-8FBC-E706E184F74D}"/>
    <cellStyle name="40% - Accent4 3 2 7 2" xfId="18664" xr:uid="{B7DF4ACF-CC50-40E6-8BAB-1C90A49E794A}"/>
    <cellStyle name="40% - Accent4 3 2 8" xfId="14275" xr:uid="{91517C62-D3E2-4427-A346-289E811BB590}"/>
    <cellStyle name="40% - Accent4 3 3" xfId="159" xr:uid="{6E63D6F8-6167-444D-BE5C-D6CD28D1B2F1}"/>
    <cellStyle name="40% - Accent4 3 3 2" xfId="336" xr:uid="{F92EC27D-B280-4A22-87F9-85FFD3AFBA28}"/>
    <cellStyle name="40% - Accent4 3 3 2 2" xfId="690" xr:uid="{33ED31D1-D4EB-4A1C-963D-5CCEE28A9723}"/>
    <cellStyle name="40% - Accent4 3 3 2 2 2" xfId="1791" xr:uid="{741D049C-5CE6-49BC-B234-7477FC8E602A}"/>
    <cellStyle name="40% - Accent4 3 3 2 2 2 2" xfId="3980" xr:uid="{77782A66-0BF1-4585-8F4E-F8C638D7C03C}"/>
    <cellStyle name="40% - Accent4 3 3 2 2 2 2 2" xfId="18032" xr:uid="{9E25328A-07A2-4136-9080-9573284876AB}"/>
    <cellStyle name="40% - Accent4 3 3 2 2 2 3" xfId="15840" xr:uid="{5473D445-5EB5-4E3E-8DCA-199F8D7D95E0}"/>
    <cellStyle name="40% - Accent4 3 3 2 2 3" xfId="2882" xr:uid="{120A8968-81BC-4453-B659-48925508E1A1}"/>
    <cellStyle name="40% - Accent4 3 3 2 2 3 2" xfId="16934" xr:uid="{EACD54EE-FB96-4CED-90C0-2AABC26B2F7A}"/>
    <cellStyle name="40% - Accent4 3 3 2 2 4" xfId="14741" xr:uid="{DD0E789E-94C2-4E5A-B61F-9F3BB3F6281A}"/>
    <cellStyle name="40% - Accent4 3 3 2 3" xfId="1037" xr:uid="{083A41D3-E546-4394-A470-4CB3B2C0F27F}"/>
    <cellStyle name="40% - Accent4 3 3 2 3 2" xfId="2136" xr:uid="{EED88A4F-6F82-4B8D-BE8C-A29AB333C43F}"/>
    <cellStyle name="40% - Accent4 3 3 2 3 2 2" xfId="4325" xr:uid="{40D1F812-7C95-4BD8-B119-23D1D94DACC2}"/>
    <cellStyle name="40% - Accent4 3 3 2 3 2 2 2" xfId="18375" xr:uid="{1AC21AF4-C8E1-4620-8B74-F7913576CD42}"/>
    <cellStyle name="40% - Accent4 3 3 2 3 2 3" xfId="16185" xr:uid="{0E8A1A66-1FF5-47F9-BC1E-E15FA7431147}"/>
    <cellStyle name="40% - Accent4 3 3 2 3 3" xfId="3229" xr:uid="{10D39CF5-8BEB-4EC9-A0C7-B4B5DBB6018E}"/>
    <cellStyle name="40% - Accent4 3 3 2 3 3 2" xfId="17281" xr:uid="{3B80BEB7-5C87-49A0-96AD-634559A87326}"/>
    <cellStyle name="40% - Accent4 3 3 2 3 4" xfId="15087" xr:uid="{C2B64FC4-1133-42E5-A540-7253960A35CA}"/>
    <cellStyle name="40% - Accent4 3 3 2 4" xfId="1617" xr:uid="{37AFB1EC-376E-4883-9761-78808A99A84A}"/>
    <cellStyle name="40% - Accent4 3 3 2 4 2" xfId="3807" xr:uid="{42AD6F9D-0B0D-4DBF-88FA-6ED0920ECC92}"/>
    <cellStyle name="40% - Accent4 3 3 2 4 2 2" xfId="17860" xr:uid="{1DF5445E-48BC-46A6-8D6E-52F5470EF882}"/>
    <cellStyle name="40% - Accent4 3 3 2 4 3" xfId="15666" xr:uid="{1A7FEE1E-3FE0-4118-A353-32AEA197849C}"/>
    <cellStyle name="40% - Accent4 3 3 2 5" xfId="2536" xr:uid="{746F99EC-21DF-4912-BFDA-F340CAC4981A}"/>
    <cellStyle name="40% - Accent4 3 3 2 5 2" xfId="16587" xr:uid="{B2B0B755-825D-4BAB-BB58-23471C2AF4E6}"/>
    <cellStyle name="40% - Accent4 3 3 2 6" xfId="4902" xr:uid="{C04AADE3-F082-469D-8C54-5AEA4D09C2A5}"/>
    <cellStyle name="40% - Accent4 3 3 2 6 2" xfId="18954" xr:uid="{270A45CF-2D2D-4FBF-AFE5-417C5C9B4EB7}"/>
    <cellStyle name="40% - Accent4 3 3 2 7" xfId="14393" xr:uid="{F4E4461E-9299-404E-AE97-926C740C4718}"/>
    <cellStyle name="40% - Accent4 3 3 3" xfId="510" xr:uid="{6DCBA60F-01F8-4047-930E-BA9488CE699F}"/>
    <cellStyle name="40% - Accent4 3 3 3 2" xfId="1443" xr:uid="{4C6C5FA5-2834-47C2-BDDF-156512353D73}"/>
    <cellStyle name="40% - Accent4 3 3 3 2 2" xfId="3633" xr:uid="{C72C1465-517D-48C6-AB02-40E1FAEC50F7}"/>
    <cellStyle name="40% - Accent4 3 3 3 2 2 2" xfId="17686" xr:uid="{79143FEF-F63F-4102-81D8-D21CFCCECF1F}"/>
    <cellStyle name="40% - Accent4 3 3 3 2 3" xfId="15492" xr:uid="{0DF9C791-B720-42B4-ABD1-5811BA41C594}"/>
    <cellStyle name="40% - Accent4 3 3 3 3" xfId="2709" xr:uid="{384C1BBC-F7AD-445D-9609-4D231EC3F832}"/>
    <cellStyle name="40% - Accent4 3 3 3 3 2" xfId="16760" xr:uid="{635461F4-F7F9-4762-B7F3-C0BD92276769}"/>
    <cellStyle name="40% - Accent4 3 3 3 4" xfId="4728" xr:uid="{0984D90F-D791-4BF1-958F-311EBACA7B8D}"/>
    <cellStyle name="40% - Accent4 3 3 3 4 2" xfId="18780" xr:uid="{DC65327C-ED18-4B74-8622-87E7F4D3B935}"/>
    <cellStyle name="40% - Accent4 3 3 3 5" xfId="14565" xr:uid="{167B13A6-ECA8-40F4-9A22-C95FF103D89C}"/>
    <cellStyle name="40% - Accent4 3 3 4" xfId="863" xr:uid="{56916CB7-26F4-409F-89C2-E22E782BD075}"/>
    <cellStyle name="40% - Accent4 3 3 4 2" xfId="1962" xr:uid="{D38245C8-FCC1-4910-A87A-E090248A4E38}"/>
    <cellStyle name="40% - Accent4 3 3 4 2 2" xfId="4151" xr:uid="{9FC758FF-603D-46BE-8233-B443754F6B6B}"/>
    <cellStyle name="40% - Accent4 3 3 4 2 2 2" xfId="18202" xr:uid="{3EDA5A3E-1293-4759-A2AD-47CA928C972D}"/>
    <cellStyle name="40% - Accent4 3 3 4 2 3" xfId="16011" xr:uid="{A17C3073-B471-43F3-A4D2-B3E0D6D17566}"/>
    <cellStyle name="40% - Accent4 3 3 4 3" xfId="3055" xr:uid="{23F81DB2-981A-40AA-804F-D67EBEA6A926}"/>
    <cellStyle name="40% - Accent4 3 3 4 3 2" xfId="17107" xr:uid="{1D3FF6B7-3EAC-4149-B969-E823492C3DB6}"/>
    <cellStyle name="40% - Accent4 3 3 4 4" xfId="14913" xr:uid="{125CB619-A337-404B-BEAF-BD7744DAE917}"/>
    <cellStyle name="40% - Accent4 3 3 5" xfId="1271" xr:uid="{30C26FF3-CB7E-4823-835B-B27477CE32DD}"/>
    <cellStyle name="40% - Accent4 3 3 5 2" xfId="3461" xr:uid="{ED91317A-5DE0-44C6-A64A-9248B14B3220}"/>
    <cellStyle name="40% - Accent4 3 3 5 2 2" xfId="17513" xr:uid="{EBD397EA-BF8C-4FD0-ADDA-A67C87F8A70B}"/>
    <cellStyle name="40% - Accent4 3 3 5 3" xfId="15319" xr:uid="{C852486A-839D-427A-845A-59B3C75C2918}"/>
    <cellStyle name="40% - Accent4 3 3 6" xfId="2362" xr:uid="{31E92565-2C91-4460-9C69-BD641A23E102}"/>
    <cellStyle name="40% - Accent4 3 3 6 2" xfId="16413" xr:uid="{78022599-A60E-48F9-9947-8E8706DAE66A}"/>
    <cellStyle name="40% - Accent4 3 3 7" xfId="4555" xr:uid="{94A39395-249B-4CE2-BA47-E053B70FB971}"/>
    <cellStyle name="40% - Accent4 3 3 7 2" xfId="18607" xr:uid="{13344A9A-263A-45B3-901B-5B13CE939C15}"/>
    <cellStyle name="40% - Accent4 3 3 8" xfId="14218" xr:uid="{1437BAC1-B124-462C-89FF-314ED1FDC294}"/>
    <cellStyle name="40% - Accent4 3 4" xfId="279" xr:uid="{8FCE94F6-07FC-40AB-BA1E-1E6424D90718}"/>
    <cellStyle name="40% - Accent4 3 4 2" xfId="633" xr:uid="{B91E01BF-698F-42D0-96E8-3D7E4FFC9F6A}"/>
    <cellStyle name="40% - Accent4 3 4 2 2" xfId="1735" xr:uid="{D2BFB0BD-91FE-4D3F-A3F1-A4112EE7078D}"/>
    <cellStyle name="40% - Accent4 3 4 2 2 2" xfId="3923" xr:uid="{2CD17DF4-C3E3-4C2C-9CF8-C142FF039231}"/>
    <cellStyle name="40% - Accent4 3 4 2 2 2 2" xfId="17975" xr:uid="{24833909-D8AC-4C45-8076-3D33341B3E54}"/>
    <cellStyle name="40% - Accent4 3 4 2 2 3" xfId="15783" xr:uid="{32672AFE-9671-43D2-9029-875FF1CFBDA8}"/>
    <cellStyle name="40% - Accent4 3 4 2 3" xfId="2826" xr:uid="{E7EF2B47-7075-4E18-86B9-9D93FB3E6736}"/>
    <cellStyle name="40% - Accent4 3 4 2 3 2" xfId="16877" xr:uid="{45FB73DA-3BD1-4F6B-BAB0-18CD1BEF202E}"/>
    <cellStyle name="40% - Accent4 3 4 2 4" xfId="14684" xr:uid="{59368D55-F641-4C48-AFBD-E555B7DB1E41}"/>
    <cellStyle name="40% - Accent4 3 4 3" xfId="980" xr:uid="{17457FAE-9C07-4A57-93DD-FF5EBC0A796C}"/>
    <cellStyle name="40% - Accent4 3 4 3 2" xfId="2079" xr:uid="{86CD7696-256D-4E93-A237-79CFBB0A3A9D}"/>
    <cellStyle name="40% - Accent4 3 4 3 2 2" xfId="4268" xr:uid="{CA490AA3-0A21-47D1-816C-A0BAA734549D}"/>
    <cellStyle name="40% - Accent4 3 4 3 2 2 2" xfId="18319" xr:uid="{679DB0D6-D6F8-4AE0-8318-03E52639009F}"/>
    <cellStyle name="40% - Accent4 3 4 3 2 3" xfId="16128" xr:uid="{1540850F-457D-4803-9BD5-815DC41B8EF2}"/>
    <cellStyle name="40% - Accent4 3 4 3 3" xfId="3172" xr:uid="{C5BFA080-BED2-4BEC-ACB3-297837ADCAFF}"/>
    <cellStyle name="40% - Accent4 3 4 3 3 2" xfId="17224" xr:uid="{930E561E-6A19-49B5-B90F-F0A34FC668DB}"/>
    <cellStyle name="40% - Accent4 3 4 3 4" xfId="15030" xr:uid="{BBB8A930-79FD-4B89-A260-5F39650CBCF9}"/>
    <cellStyle name="40% - Accent4 3 4 4" xfId="1560" xr:uid="{6B312E31-DC13-414F-9D59-9CFB662C4242}"/>
    <cellStyle name="40% - Accent4 3 4 4 2" xfId="3750" xr:uid="{EBFC3287-F8D7-44D9-867B-4696E1BE4353}"/>
    <cellStyle name="40% - Accent4 3 4 4 2 2" xfId="17803" xr:uid="{17DAED5D-187A-47AE-B2AC-CA0D3A12677F}"/>
    <cellStyle name="40% - Accent4 3 4 4 3" xfId="15609" xr:uid="{21318082-7627-4513-93EF-1B3BBA3A40D9}"/>
    <cellStyle name="40% - Accent4 3 4 5" xfId="2479" xr:uid="{FBAD3B05-9FD2-4724-AEA9-9A4A8C77D469}"/>
    <cellStyle name="40% - Accent4 3 4 5 2" xfId="16530" xr:uid="{4B5D7EC5-B94A-4FD1-99CD-1752223A0DEB}"/>
    <cellStyle name="40% - Accent4 3 4 6" xfId="4845" xr:uid="{9C8C45E6-C782-4B02-8B37-5126A8E509CE}"/>
    <cellStyle name="40% - Accent4 3 4 6 2" xfId="18897" xr:uid="{0F95963D-3354-4D1E-9948-644AA8388164}"/>
    <cellStyle name="40% - Accent4 3 4 7" xfId="14336" xr:uid="{96BBCFDA-134D-4B9F-814F-BECF517E6C6D}"/>
    <cellStyle name="40% - Accent4 3 5" xfId="453" xr:uid="{F5350367-6AD2-4F6D-8201-FB0D40192AB5}"/>
    <cellStyle name="40% - Accent4 3 5 2" xfId="1386" xr:uid="{23AAFFC5-8B98-45E6-B2F8-0EA23557BB4F}"/>
    <cellStyle name="40% - Accent4 3 5 2 2" xfId="3576" xr:uid="{C31D22E8-C4D7-40B8-BD76-5FA965E68DCD}"/>
    <cellStyle name="40% - Accent4 3 5 2 2 2" xfId="17629" xr:uid="{53E26D0C-9A5F-49C6-B1DA-8F8C02AE1907}"/>
    <cellStyle name="40% - Accent4 3 5 2 3" xfId="15435" xr:uid="{55BE6FDE-2BC5-4EB0-A21A-1ECB4421E31B}"/>
    <cellStyle name="40% - Accent4 3 5 3" xfId="2652" xr:uid="{AD4D3D29-6300-4E2A-B3B8-06C5182735B7}"/>
    <cellStyle name="40% - Accent4 3 5 3 2" xfId="16703" xr:uid="{AE5B4BDD-9388-4AFC-9B28-C7FC91CC3CB7}"/>
    <cellStyle name="40% - Accent4 3 5 4" xfId="4671" xr:uid="{E6188692-BF11-4EA4-8D9F-651EE5A4B319}"/>
    <cellStyle name="40% - Accent4 3 5 4 2" xfId="18723" xr:uid="{4E3A669C-6D28-43B0-964E-3B86E59822F9}"/>
    <cellStyle name="40% - Accent4 3 5 5" xfId="14508" xr:uid="{AA5D6D10-29F5-4438-AD25-2B1B501D54DD}"/>
    <cellStyle name="40% - Accent4 3 6" xfId="806" xr:uid="{91813096-9249-4BB8-9685-55F91DA48912}"/>
    <cellStyle name="40% - Accent4 3 6 2" xfId="1905" xr:uid="{35ADAC66-984A-4CF8-99DC-F63841D0782F}"/>
    <cellStyle name="40% - Accent4 3 6 2 2" xfId="4094" xr:uid="{86365745-3644-4BC6-94DF-4AEB4135A715}"/>
    <cellStyle name="40% - Accent4 3 6 2 2 2" xfId="18146" xr:uid="{CA6A79E8-71B1-434C-9CBF-4756D6AC393C}"/>
    <cellStyle name="40% - Accent4 3 6 2 3" xfId="15954" xr:uid="{7DAE074D-7E70-48B2-B91F-1918BBDB2BCD}"/>
    <cellStyle name="40% - Accent4 3 6 3" xfId="2998" xr:uid="{980574B9-36A2-4649-946E-4C498B84E754}"/>
    <cellStyle name="40% - Accent4 3 6 3 2" xfId="17050" xr:uid="{5115ED06-DEE5-4E4B-BEF3-A48837BE1D92}"/>
    <cellStyle name="40% - Accent4 3 6 4" xfId="14856" xr:uid="{C5583C92-E227-4BE4-B6EC-081B0253A121}"/>
    <cellStyle name="40% - Accent4 3 7" xfId="1150" xr:uid="{45F2123E-7024-492B-976C-642EA2FD53E6}"/>
    <cellStyle name="40% - Accent4 3 7 2" xfId="2250" xr:uid="{3C06F970-79A0-4C6B-BCD4-59E2764E36E9}"/>
    <cellStyle name="40% - Accent4 3 7 2 2" xfId="4439" xr:uid="{09F78AB5-3ACA-4975-B9C0-A3364FBA3F89}"/>
    <cellStyle name="40% - Accent4 3 7 2 2 2" xfId="18489" xr:uid="{A933159E-A0B1-492B-8AA6-7233F512B956}"/>
    <cellStyle name="40% - Accent4 3 7 2 3" xfId="16299" xr:uid="{0C9331BF-D3C4-4F4E-8D81-0654D7869881}"/>
    <cellStyle name="40% - Accent4 3 7 3" xfId="3343" xr:uid="{3AA8EB67-AF39-4ECF-9804-8BAF0CD85A51}"/>
    <cellStyle name="40% - Accent4 3 7 3 2" xfId="17395" xr:uid="{44F94B60-3B0E-4438-A8CF-F9D5A8E35D8E}"/>
    <cellStyle name="40% - Accent4 3 7 4" xfId="15201" xr:uid="{23FF5A5C-C8C9-4270-8C75-EBD293ED4355}"/>
    <cellStyle name="40% - Accent4 3 8" xfId="1214" xr:uid="{9071AE37-53FB-458A-9971-F0C92974215C}"/>
    <cellStyle name="40% - Accent4 3 8 2" xfId="3404" xr:uid="{CD7D3076-D02A-42B4-9722-02C095C282B0}"/>
    <cellStyle name="40% - Accent4 3 8 2 2" xfId="17456" xr:uid="{70F74D7F-BF8B-4BC4-89A5-FB0ABA7E2695}"/>
    <cellStyle name="40% - Accent4 3 8 3" xfId="15262" xr:uid="{63CBAE9C-000A-45CA-9DEC-B72C4BCF38D9}"/>
    <cellStyle name="40% - Accent4 3 9" xfId="2305" xr:uid="{BB4E5AB7-CC5F-405C-A309-E5AAEDAFB4CD}"/>
    <cellStyle name="40% - Accent4 3 9 2" xfId="16356" xr:uid="{DB238C83-EEFC-45D1-9FD4-1583C3F0A663}"/>
    <cellStyle name="40% - Accent4 4" xfId="196" xr:uid="{B82B4E28-BFE7-4BD2-848A-351F373E5885}"/>
    <cellStyle name="40% - Accent4 4 2" xfId="373" xr:uid="{ABA3C5CF-75A0-4C8A-88D2-1F185DE0B6F4}"/>
    <cellStyle name="40% - Accent4 4 2 2" xfId="727" xr:uid="{B8F25353-026B-478F-98F8-AE281BB5C74A}"/>
    <cellStyle name="40% - Accent4 4 2 2 2" xfId="1828" xr:uid="{82E52E06-D268-4554-8DD7-5B7D52891F6A}"/>
    <cellStyle name="40% - Accent4 4 2 2 2 2" xfId="4017" xr:uid="{D58F4C9C-949B-4230-8CEE-CE719CCF3DF9}"/>
    <cellStyle name="40% - Accent4 4 2 2 2 2 2" xfId="18069" xr:uid="{20AB8D6C-A545-4FE4-9FC1-7160D434579D}"/>
    <cellStyle name="40% - Accent4 4 2 2 2 3" xfId="15877" xr:uid="{3B70DAD6-765D-47DB-98CC-51A5E207334F}"/>
    <cellStyle name="40% - Accent4 4 2 2 3" xfId="2919" xr:uid="{3A90B89F-51ED-4D4D-ACC5-98F542AA2E9B}"/>
    <cellStyle name="40% - Accent4 4 2 2 3 2" xfId="16971" xr:uid="{8E32D6E1-FFE9-435B-B4EB-BDFADAB100C3}"/>
    <cellStyle name="40% - Accent4 4 2 2 4" xfId="14778" xr:uid="{4BA91754-FCA6-422A-8167-280448C3A115}"/>
    <cellStyle name="40% - Accent4 4 2 3" xfId="1074" xr:uid="{631B5473-0E5D-4231-9534-0701374995F5}"/>
    <cellStyle name="40% - Accent4 4 2 3 2" xfId="2173" xr:uid="{5149C65A-DABA-457F-9A9A-0CCC016B3012}"/>
    <cellStyle name="40% - Accent4 4 2 3 2 2" xfId="4362" xr:uid="{AEF61070-45DC-43B2-9299-3F9C6CAE9C82}"/>
    <cellStyle name="40% - Accent4 4 2 3 2 2 2" xfId="18412" xr:uid="{EEB7B5B5-95EA-4995-B381-2B637322C8C2}"/>
    <cellStyle name="40% - Accent4 4 2 3 2 3" xfId="16222" xr:uid="{1040892D-C727-4DB1-A44E-163F52FB1ABD}"/>
    <cellStyle name="40% - Accent4 4 2 3 3" xfId="3266" xr:uid="{1E701448-E0FB-4FEC-A083-90A16CC2507E}"/>
    <cellStyle name="40% - Accent4 4 2 3 3 2" xfId="17318" xr:uid="{33087222-7409-4A57-8CB5-1CEDE8A54CC4}"/>
    <cellStyle name="40% - Accent4 4 2 3 4" xfId="15124" xr:uid="{7975408D-EB16-4B9F-BB8B-50CDA0B5E5F6}"/>
    <cellStyle name="40% - Accent4 4 2 4" xfId="1654" xr:uid="{8796C4F0-AFF6-49AE-AAD3-025C49598D68}"/>
    <cellStyle name="40% - Accent4 4 2 4 2" xfId="3844" xr:uid="{04E121A6-1BD5-4EFA-B3F8-E5580C331DE8}"/>
    <cellStyle name="40% - Accent4 4 2 4 2 2" xfId="17897" xr:uid="{DD924705-3E21-4ABF-BE4A-E78AF32227A0}"/>
    <cellStyle name="40% - Accent4 4 2 4 3" xfId="15703" xr:uid="{54E7E696-7B3F-4928-974C-994D6F8BFA35}"/>
    <cellStyle name="40% - Accent4 4 2 5" xfId="2573" xr:uid="{3FE090FE-B451-4063-8A1B-066492048EF3}"/>
    <cellStyle name="40% - Accent4 4 2 5 2" xfId="16624" xr:uid="{A2EE5B39-89D4-4596-801B-C6440FB5DFC5}"/>
    <cellStyle name="40% - Accent4 4 2 6" xfId="4939" xr:uid="{635756E6-0CB3-40D4-B293-30AC2DD26531}"/>
    <cellStyle name="40% - Accent4 4 2 6 2" xfId="18991" xr:uid="{9C9ED446-4A80-4811-A245-B413AEE26A6D}"/>
    <cellStyle name="40% - Accent4 4 2 7" xfId="14430" xr:uid="{0E6CC0B3-00E3-4701-A70E-5DCE87A1A480}"/>
    <cellStyle name="40% - Accent4 4 3" xfId="547" xr:uid="{4A7C7783-4900-4E43-A609-FADE8C0A590B}"/>
    <cellStyle name="40% - Accent4 4 3 2" xfId="1480" xr:uid="{E12FBA9B-12DD-4289-BBCE-2899FB81066C}"/>
    <cellStyle name="40% - Accent4 4 3 2 2" xfId="3670" xr:uid="{F61DD05C-5316-475F-A38D-065647C38DA9}"/>
    <cellStyle name="40% - Accent4 4 3 2 2 2" xfId="17723" xr:uid="{D7355513-F2EB-4D30-B295-71B3C17E742E}"/>
    <cellStyle name="40% - Accent4 4 3 2 3" xfId="15529" xr:uid="{18A78508-18D5-4BC4-8634-D4571584D820}"/>
    <cellStyle name="40% - Accent4 4 3 3" xfId="2746" xr:uid="{EA4EC5F6-8A5C-45B4-9F7E-6594E9594872}"/>
    <cellStyle name="40% - Accent4 4 3 3 2" xfId="16797" xr:uid="{42720E76-BCA3-48D2-8420-09F94BC031D5}"/>
    <cellStyle name="40% - Accent4 4 3 4" xfId="4765" xr:uid="{118B37CA-E91B-4C23-A852-B79F9AABE64E}"/>
    <cellStyle name="40% - Accent4 4 3 4 2" xfId="18817" xr:uid="{4CEC43DE-A530-488C-832A-A5A3EDA6F01E}"/>
    <cellStyle name="40% - Accent4 4 3 5" xfId="14602" xr:uid="{61896E32-3E01-4A8F-B7FF-0495E7AA421E}"/>
    <cellStyle name="40% - Accent4 4 4" xfId="900" xr:uid="{93B765CC-4519-4619-B834-39328B09D882}"/>
    <cellStyle name="40% - Accent4 4 4 2" xfId="1999" xr:uid="{0D390286-6D63-48B7-924B-DF3F2461DCEA}"/>
    <cellStyle name="40% - Accent4 4 4 2 2" xfId="4188" xr:uid="{5B2A27EB-BFAA-47A1-A4B2-ECD3F59CAD0A}"/>
    <cellStyle name="40% - Accent4 4 4 2 2 2" xfId="18239" xr:uid="{D4638D47-2FCA-4FAA-841D-7E413E13727E}"/>
    <cellStyle name="40% - Accent4 4 4 2 3" xfId="16048" xr:uid="{3903E771-03A5-4553-834C-7BD9D373E5D9}"/>
    <cellStyle name="40% - Accent4 4 4 3" xfId="3092" xr:uid="{1A8DA88B-672B-4CB7-8460-8DD3654F4D2C}"/>
    <cellStyle name="40% - Accent4 4 4 3 2" xfId="17144" xr:uid="{02BDAF0E-F485-4EE6-9524-B068C7006F9B}"/>
    <cellStyle name="40% - Accent4 4 4 4" xfId="14950" xr:uid="{8973B242-0A08-472B-8DCE-3DDC89FCD317}"/>
    <cellStyle name="40% - Accent4 4 5" xfId="1307" xr:uid="{B4814F4C-9897-4E17-BEFE-3CBB7E961ED6}"/>
    <cellStyle name="40% - Accent4 4 5 2" xfId="3498" xr:uid="{68B8F1B0-7327-4E86-ADBF-B602FE44D6AB}"/>
    <cellStyle name="40% - Accent4 4 5 2 2" xfId="17550" xr:uid="{3E95D956-D8A4-4FA9-97FD-C51D5BA8C777}"/>
    <cellStyle name="40% - Accent4 4 5 3" xfId="15356" xr:uid="{8EEFC619-DFF9-496A-A268-D852D39E10CB}"/>
    <cellStyle name="40% - Accent4 4 6" xfId="2399" xr:uid="{52276B89-CC82-453F-8DAD-FB30173B1333}"/>
    <cellStyle name="40% - Accent4 4 6 2" xfId="16450" xr:uid="{DB7C40ED-F7AF-40F9-A47A-6628D510513C}"/>
    <cellStyle name="40% - Accent4 4 7" xfId="4592" xr:uid="{1969F5FE-674A-4C56-B5F1-F6E4F12237CD}"/>
    <cellStyle name="40% - Accent4 4 7 2" xfId="18644" xr:uid="{6B886D7E-10BE-437B-9E99-81C86927276B}"/>
    <cellStyle name="40% - Accent4 4 8" xfId="14255" xr:uid="{B41995A3-EB43-4FDD-840D-D63ED97EDF7D}"/>
    <cellStyle name="40% - Accent4 5" xfId="139" xr:uid="{3A3D356A-83E8-41EC-8985-925B089EA4F5}"/>
    <cellStyle name="40% - Accent4 5 2" xfId="316" xr:uid="{561A5AD9-738B-4DBE-B897-0774484EF4BF}"/>
    <cellStyle name="40% - Accent4 5 2 2" xfId="670" xr:uid="{13E23F16-E170-46ED-9910-3C102E2AA55C}"/>
    <cellStyle name="40% - Accent4 5 2 2 2" xfId="1771" xr:uid="{B208EC6B-94F8-49C5-A706-70967CFC571E}"/>
    <cellStyle name="40% - Accent4 5 2 2 2 2" xfId="3960" xr:uid="{3BEF4D49-E376-43E9-9563-8098BB8D26F4}"/>
    <cellStyle name="40% - Accent4 5 2 2 2 2 2" xfId="18012" xr:uid="{2F4565DE-D60E-45EE-B0B0-E15C21FAD871}"/>
    <cellStyle name="40% - Accent4 5 2 2 2 3" xfId="15820" xr:uid="{5C32729E-601E-4DD9-B670-48D68710D795}"/>
    <cellStyle name="40% - Accent4 5 2 2 3" xfId="2862" xr:uid="{C1445B4F-EBC5-4618-A79D-E6F0569759FF}"/>
    <cellStyle name="40% - Accent4 5 2 2 3 2" xfId="16914" xr:uid="{E938938E-32B5-4272-915A-8ED0C32C91E0}"/>
    <cellStyle name="40% - Accent4 5 2 2 4" xfId="14721" xr:uid="{F3D440AE-C4F5-45EA-8E4F-7896484EC476}"/>
    <cellStyle name="40% - Accent4 5 2 3" xfId="1017" xr:uid="{6C251EC1-D884-47F9-B3A7-C3B9B7E96AF4}"/>
    <cellStyle name="40% - Accent4 5 2 3 2" xfId="2116" xr:uid="{6E969A39-80D8-46E3-A775-EA86F5403575}"/>
    <cellStyle name="40% - Accent4 5 2 3 2 2" xfId="4305" xr:uid="{C073325D-3BDE-4B5E-B21B-D6267E5F066B}"/>
    <cellStyle name="40% - Accent4 5 2 3 2 2 2" xfId="18355" xr:uid="{FC4B79E3-E5E5-4055-8E77-5A0378081783}"/>
    <cellStyle name="40% - Accent4 5 2 3 2 3" xfId="16165" xr:uid="{166CCB90-DE69-4A8B-9E0E-DCE1260AF7A3}"/>
    <cellStyle name="40% - Accent4 5 2 3 3" xfId="3209" xr:uid="{B19F9861-9D7E-498B-B6CD-DBE53B6CE9E6}"/>
    <cellStyle name="40% - Accent4 5 2 3 3 2" xfId="17261" xr:uid="{61D8104C-30C8-4ED5-B756-BA7F4E5DA32F}"/>
    <cellStyle name="40% - Accent4 5 2 3 4" xfId="15067" xr:uid="{D2089F8C-A04F-47C8-9050-6D3E6B25570E}"/>
    <cellStyle name="40% - Accent4 5 2 4" xfId="1597" xr:uid="{057632F6-B622-4A47-B067-27CFBAEDED96}"/>
    <cellStyle name="40% - Accent4 5 2 4 2" xfId="3787" xr:uid="{A7B4A898-12B9-4D1D-8A9F-2B5BDFF2CB01}"/>
    <cellStyle name="40% - Accent4 5 2 4 2 2" xfId="17840" xr:uid="{FF1C9015-AEC5-4876-84F1-BBD0E381D041}"/>
    <cellStyle name="40% - Accent4 5 2 4 3" xfId="15646" xr:uid="{14F588E5-2BB1-4733-9A50-80C864391239}"/>
    <cellStyle name="40% - Accent4 5 2 5" xfId="2516" xr:uid="{F18DCF93-4E98-4357-8292-611D751ABD34}"/>
    <cellStyle name="40% - Accent4 5 2 5 2" xfId="16567" xr:uid="{66F1FC88-73FB-4B6C-8B79-B08C6F4C8D68}"/>
    <cellStyle name="40% - Accent4 5 2 6" xfId="4882" xr:uid="{3E92EAE4-4EC2-4B80-A030-6CBA67D67434}"/>
    <cellStyle name="40% - Accent4 5 2 6 2" xfId="18934" xr:uid="{C307E87E-CC5E-407A-B8A0-511271A91A1A}"/>
    <cellStyle name="40% - Accent4 5 2 7" xfId="14373" xr:uid="{39BE5E2E-AA3A-47AC-8655-D17EAFFFEF95}"/>
    <cellStyle name="40% - Accent4 5 3" xfId="490" xr:uid="{41B43431-CFC5-4EE9-9FCF-6C500A95F290}"/>
    <cellStyle name="40% - Accent4 5 3 2" xfId="1423" xr:uid="{99FBD70D-A021-4B4E-A4BB-507F023428A7}"/>
    <cellStyle name="40% - Accent4 5 3 2 2" xfId="3613" xr:uid="{570BB5FE-90B3-41BB-89F6-350F74375D06}"/>
    <cellStyle name="40% - Accent4 5 3 2 2 2" xfId="17666" xr:uid="{AE81C627-6A5A-4A71-AAAF-17A6773EEF15}"/>
    <cellStyle name="40% - Accent4 5 3 2 3" xfId="15472" xr:uid="{1331FCAB-801D-4AA3-B69E-967D1FC0DBB6}"/>
    <cellStyle name="40% - Accent4 5 3 3" xfId="2689" xr:uid="{BDF085E2-72BC-4AD1-809E-0D5B01B1597E}"/>
    <cellStyle name="40% - Accent4 5 3 3 2" xfId="16740" xr:uid="{0E1D24E4-D6DD-4309-93C3-DBAEC3FA80C9}"/>
    <cellStyle name="40% - Accent4 5 3 4" xfId="4708" xr:uid="{0FAA1D45-1B0A-485E-BA94-4CB548380E10}"/>
    <cellStyle name="40% - Accent4 5 3 4 2" xfId="18760" xr:uid="{79E96A8C-63A4-4C48-B742-ACE973954287}"/>
    <cellStyle name="40% - Accent4 5 3 5" xfId="14545" xr:uid="{7090B189-CC8E-4AA1-9995-35A35549CB8B}"/>
    <cellStyle name="40% - Accent4 5 4" xfId="843" xr:uid="{9C210155-FA4E-4C56-8F7D-0BE88C786927}"/>
    <cellStyle name="40% - Accent4 5 4 2" xfId="1942" xr:uid="{1F1CFC52-A84E-4C61-B82E-BC215E53788F}"/>
    <cellStyle name="40% - Accent4 5 4 2 2" xfId="4131" xr:uid="{E83DEB88-2D61-4652-A455-AB2C8528C009}"/>
    <cellStyle name="40% - Accent4 5 4 2 2 2" xfId="18183" xr:uid="{1FB7CC08-FE68-435E-95D5-C464DF065C5A}"/>
    <cellStyle name="40% - Accent4 5 4 2 3" xfId="15991" xr:uid="{9409D2D6-AF89-48E6-A54B-1ABEA9A20892}"/>
    <cellStyle name="40% - Accent4 5 4 3" xfId="3035" xr:uid="{517F975C-7942-44DA-911A-B6CF9E6845E8}"/>
    <cellStyle name="40% - Accent4 5 4 3 2" xfId="17087" xr:uid="{657118CC-2C32-4CEE-BCAE-3DA1CCE21244}"/>
    <cellStyle name="40% - Accent4 5 4 4" xfId="14893" xr:uid="{DC22556E-21F3-47A7-A623-E58750869134}"/>
    <cellStyle name="40% - Accent4 5 5" xfId="1251" xr:uid="{D375E949-B95E-46FD-80CD-6B26F679560F}"/>
    <cellStyle name="40% - Accent4 5 5 2" xfId="3441" xr:uid="{B2FFF13C-9408-4655-B90C-AC0105160181}"/>
    <cellStyle name="40% - Accent4 5 5 2 2" xfId="17493" xr:uid="{3A3DD911-463D-43B4-B714-F2F72AA29FB4}"/>
    <cellStyle name="40% - Accent4 5 5 3" xfId="15299" xr:uid="{DEB61F8C-3468-4787-8539-BE4EE453F12C}"/>
    <cellStyle name="40% - Accent4 5 6" xfId="2342" xr:uid="{49874329-AEAF-4177-AA1C-6BB90F5CE73D}"/>
    <cellStyle name="40% - Accent4 5 6 2" xfId="16393" xr:uid="{6B01EDB1-0B08-487B-BD85-35863303DB17}"/>
    <cellStyle name="40% - Accent4 5 7" xfId="4535" xr:uid="{8A6665FD-1199-4346-9DAD-E3A79466209A}"/>
    <cellStyle name="40% - Accent4 5 7 2" xfId="18587" xr:uid="{AEA97573-78D3-45C3-AE9B-F9A4269E45AA}"/>
    <cellStyle name="40% - Accent4 5 8" xfId="14198" xr:uid="{054266BC-6000-4347-9FA1-88DF8BF98F39}"/>
    <cellStyle name="40% - Accent4 6" xfId="256" xr:uid="{255E2903-9A4A-4596-984D-DE06E337E292}"/>
    <cellStyle name="40% - Accent4 6 2" xfId="610" xr:uid="{AC9056E3-901C-4B2E-9A2E-375F7EDB0886}"/>
    <cellStyle name="40% - Accent4 6 2 2" xfId="1715" xr:uid="{D1693023-E261-40F2-A99A-24775D2AD63C}"/>
    <cellStyle name="40% - Accent4 6 2 2 2" xfId="3903" xr:uid="{49C91A99-9FB1-4104-87E1-00900CBF625C}"/>
    <cellStyle name="40% - Accent4 6 2 2 2 2" xfId="17955" xr:uid="{CA2660A2-757E-43F8-B310-FCF59D4BE0E2}"/>
    <cellStyle name="40% - Accent4 6 2 2 3" xfId="15763" xr:uid="{B548EDD9-60E8-40BC-8771-ABC69CB22320}"/>
    <cellStyle name="40% - Accent4 6 2 3" xfId="2806" xr:uid="{3CCE324E-1E48-4D60-9975-8E67313BC902}"/>
    <cellStyle name="40% - Accent4 6 2 3 2" xfId="16857" xr:uid="{116E5145-8662-4FC3-82AF-8F11177ABAC7}"/>
    <cellStyle name="40% - Accent4 6 2 4" xfId="14663" xr:uid="{1C4EEDB7-BC2D-41C3-8D30-D909E2CCD071}"/>
    <cellStyle name="40% - Accent4 6 3" xfId="960" xr:uid="{B8CDE191-EEF7-491E-B115-386E40BEF065}"/>
    <cellStyle name="40% - Accent4 6 3 2" xfId="2059" xr:uid="{C02B3B36-91B0-4F11-BC47-0A3309A63542}"/>
    <cellStyle name="40% - Accent4 6 3 2 2" xfId="4248" xr:uid="{758D8FFA-78D6-4835-B04F-444932999E9E}"/>
    <cellStyle name="40% - Accent4 6 3 2 2 2" xfId="18299" xr:uid="{02F49E7F-3FFF-4EFF-9233-A727EA401F6D}"/>
    <cellStyle name="40% - Accent4 6 3 2 3" xfId="16108" xr:uid="{43A072C5-1FA0-44B7-95FE-2B3C3B0D1EE5}"/>
    <cellStyle name="40% - Accent4 6 3 3" xfId="3152" xr:uid="{4308F822-A530-43E8-86B3-238B2D5DBF94}"/>
    <cellStyle name="40% - Accent4 6 3 3 2" xfId="17204" xr:uid="{36909F29-BC03-4B91-BB6B-3DFB08231E69}"/>
    <cellStyle name="40% - Accent4 6 3 4" xfId="15010" xr:uid="{86585847-D2C2-4389-A91B-26B0083EB387}"/>
    <cellStyle name="40% - Accent4 6 4" xfId="1540" xr:uid="{42C39C2A-8E2A-4790-B107-FA91337612F2}"/>
    <cellStyle name="40% - Accent4 6 4 2" xfId="3730" xr:uid="{A62F9856-8B9E-41B2-90A0-D27EB6ED938B}"/>
    <cellStyle name="40% - Accent4 6 4 2 2" xfId="17783" xr:uid="{E1D23077-EA56-4EDA-8002-745AA8A10ED6}"/>
    <cellStyle name="40% - Accent4 6 4 3" xfId="15589" xr:uid="{CCF971D3-ADE4-4A04-81CC-CF6938786D57}"/>
    <cellStyle name="40% - Accent4 6 5" xfId="2459" xr:uid="{6E578191-253C-45C7-9303-36D594008B7D}"/>
    <cellStyle name="40% - Accent4 6 5 2" xfId="16510" xr:uid="{2064E630-6024-471E-8B91-2997A77FB679}"/>
    <cellStyle name="40% - Accent4 6 6" xfId="4825" xr:uid="{48337C47-799D-45F2-B5FF-8C991A7584D7}"/>
    <cellStyle name="40% - Accent4 6 6 2" xfId="18877" xr:uid="{8C138CC0-86B3-45DB-A15D-A25D9FFD35E2}"/>
    <cellStyle name="40% - Accent4 6 7" xfId="14315" xr:uid="{812BDA94-5A90-4E63-8827-42EC1818EB93}"/>
    <cellStyle name="40% - Accent4 7" xfId="432" xr:uid="{EB4D3A72-76B4-4A4E-9822-7E121E15CE57}"/>
    <cellStyle name="40% - Accent4 7 2" xfId="1366" xr:uid="{4CFC3423-E2DC-4764-AB3B-B7C7C689955F}"/>
    <cellStyle name="40% - Accent4 7 2 2" xfId="3556" xr:uid="{2A7AD973-4A3D-4E38-B315-149F39658299}"/>
    <cellStyle name="40% - Accent4 7 2 2 2" xfId="17609" xr:uid="{0CAC890D-2062-4FE7-9164-41DE44C3A5C5}"/>
    <cellStyle name="40% - Accent4 7 2 3" xfId="15415" xr:uid="{A687316E-9F25-4056-B1E4-541309CAD3EF}"/>
    <cellStyle name="40% - Accent4 7 3" xfId="2632" xr:uid="{B581FE4C-FCD0-4D90-8FD7-2D50729D1F7E}"/>
    <cellStyle name="40% - Accent4 7 3 2" xfId="16683" xr:uid="{7C45623B-BC7D-4DE9-9D35-714BD50FA08F}"/>
    <cellStyle name="40% - Accent4 7 4" xfId="4651" xr:uid="{CF301172-750B-4A6E-9493-1A1D55C36C30}"/>
    <cellStyle name="40% - Accent4 7 4 2" xfId="18703" xr:uid="{40072A54-6FC0-43D2-AED1-80309C6FA160}"/>
    <cellStyle name="40% - Accent4 7 5" xfId="14488" xr:uid="{4B32DBEC-8D21-429F-AA3C-E3C1D3DCBF87}"/>
    <cellStyle name="40% - Accent4 8" xfId="786" xr:uid="{B69C84BA-1B8A-4A71-B290-6B97244970B3}"/>
    <cellStyle name="40% - Accent4 8 2" xfId="1887" xr:uid="{558C9971-1A40-491D-8783-50D0A2CD613C}"/>
    <cellStyle name="40% - Accent4 8 2 2" xfId="4076" xr:uid="{5C67BE41-5378-4952-89FD-C67935BFCEDA}"/>
    <cellStyle name="40% - Accent4 8 2 2 2" xfId="18128" xr:uid="{68728C71-1BE2-42CB-BADE-29C32F2056A5}"/>
    <cellStyle name="40% - Accent4 8 2 3" xfId="15936" xr:uid="{F5FBB0C6-9690-4F2B-B929-D8CA65FA8D22}"/>
    <cellStyle name="40% - Accent4 8 3" xfId="2978" xr:uid="{1F6CAC28-48D3-4E6C-8FCC-966D7FE40EAA}"/>
    <cellStyle name="40% - Accent4 8 3 2" xfId="17030" xr:uid="{3FB79F11-621A-411B-A626-6992402A5640}"/>
    <cellStyle name="40% - Accent4 8 4" xfId="14836" xr:uid="{9DB54F4A-5648-4C80-9F19-AB7A231501EC}"/>
    <cellStyle name="40% - Accent4 9" xfId="1130" xr:uid="{C4129D26-231F-4500-9031-61BC2E62F062}"/>
    <cellStyle name="40% - Accent4 9 2" xfId="2230" xr:uid="{E9B45E8D-C40F-4900-AC7C-E2D00BB86868}"/>
    <cellStyle name="40% - Accent4 9 2 2" xfId="4419" xr:uid="{BB497ED0-84C0-438C-8966-1867276D6FA0}"/>
    <cellStyle name="40% - Accent4 9 2 2 2" xfId="18469" xr:uid="{67950699-4B24-4D1E-B459-887BB9A144BD}"/>
    <cellStyle name="40% - Accent4 9 2 3" xfId="16279" xr:uid="{2682B8B4-EB35-4E3E-A321-51181934DC8C}"/>
    <cellStyle name="40% - Accent4 9 3" xfId="3323" xr:uid="{71AB6C7B-5983-45BC-B3D8-BF8704996EEB}"/>
    <cellStyle name="40% - Accent4 9 3 2" xfId="17375" xr:uid="{5D0B448E-57DE-46EF-A997-3AFA7F98DF0C}"/>
    <cellStyle name="40% - Accent4 9 4" xfId="15181" xr:uid="{935B9451-3690-4F02-A322-2C7863F9EA3B}"/>
    <cellStyle name="40% - Accent5" xfId="57" builtinId="47" customBuiltin="1"/>
    <cellStyle name="40% - Accent5 10" xfId="1195" xr:uid="{89EA3C75-4363-4F17-AE4E-3E258291C076}"/>
    <cellStyle name="40% - Accent5 10 2" xfId="3386" xr:uid="{9166BD04-215C-4BF9-83EA-83BA368C4D00}"/>
    <cellStyle name="40% - Accent5 10 2 2" xfId="17438" xr:uid="{CB47D87F-C769-4896-8A56-94FDF91A685D}"/>
    <cellStyle name="40% - Accent5 10 3" xfId="15244" xr:uid="{D6BD7CA7-4481-462B-84F1-03AD5610B57E}"/>
    <cellStyle name="40% - Accent5 11" xfId="2287" xr:uid="{900ACA52-1FB6-4F5A-B63C-1C8B5867DAA9}"/>
    <cellStyle name="40% - Accent5 11 2" xfId="16338" xr:uid="{CBF2CFF3-D30A-4676-830B-51AC05E753AF}"/>
    <cellStyle name="40% - Accent5 12" xfId="4481" xr:uid="{670E5EED-0FB1-46F0-A3EB-E0B0B1E93E3F}"/>
    <cellStyle name="40% - Accent5 12 2" xfId="18532" xr:uid="{A18773B5-781D-4D7B-B380-C15776A18CB4}"/>
    <cellStyle name="40% - Accent5 13" xfId="14133" xr:uid="{C47FDE9C-F3AF-4971-9FDF-8BE7E06A7FAD}"/>
    <cellStyle name="40% - Accent5 2" xfId="127" xr:uid="{E296FF90-0DD4-4FBC-8277-350F9D3FB963}"/>
    <cellStyle name="40% - Accent5 2 10" xfId="4524" xr:uid="{E0B73319-FA86-451D-9221-593C8D49C78B}"/>
    <cellStyle name="40% - Accent5 2 10 2" xfId="18576" xr:uid="{0E5E782B-D2E1-4E79-9CB9-553789C43216}"/>
    <cellStyle name="40% - Accent5 2 11" xfId="14187" xr:uid="{03C3E387-FF49-43EB-A55D-CAB3145FBCD0}"/>
    <cellStyle name="40% - Accent5 2 2" xfId="242" xr:uid="{025BDD6B-3B4B-4BF8-BBDE-CAD676088716}"/>
    <cellStyle name="40% - Accent5 2 2 2" xfId="419" xr:uid="{77F0CFE0-13F8-4F2A-9C60-FE9A4F3996D0}"/>
    <cellStyle name="40% - Accent5 2 2 2 2" xfId="773" xr:uid="{9C668F66-0D30-4DEA-93C9-8018B61CA5FC}"/>
    <cellStyle name="40% - Accent5 2 2 2 2 2" xfId="1874" xr:uid="{38894C72-7B0D-4BF0-BA4B-0905A6598B43}"/>
    <cellStyle name="40% - Accent5 2 2 2 2 2 2" xfId="4063" xr:uid="{DE0FD357-632D-4574-8125-141BDEC5C132}"/>
    <cellStyle name="40% - Accent5 2 2 2 2 2 2 2" xfId="18115" xr:uid="{697730B3-B453-4C85-A6CB-6ED61DBC663F}"/>
    <cellStyle name="40% - Accent5 2 2 2 2 2 3" xfId="15923" xr:uid="{610A2C49-E17E-4362-ADC1-BF382FEBCA80}"/>
    <cellStyle name="40% - Accent5 2 2 2 2 3" xfId="2965" xr:uid="{767F0705-6E9E-49BE-ACC8-A8915B2FFCB3}"/>
    <cellStyle name="40% - Accent5 2 2 2 2 3 2" xfId="17017" xr:uid="{9E1F70BD-B198-4A61-87CE-2BD7C1C713D0}"/>
    <cellStyle name="40% - Accent5 2 2 2 2 4" xfId="14823" xr:uid="{E722DEF2-04B8-4FA7-B05D-AB72ACDFBF71}"/>
    <cellStyle name="40% - Accent5 2 2 2 3" xfId="1120" xr:uid="{7F095871-7047-4993-8118-A4AB05BCBECF}"/>
    <cellStyle name="40% - Accent5 2 2 2 3 2" xfId="2219" xr:uid="{DB636DE5-AB93-48AA-A484-DB054EAC9301}"/>
    <cellStyle name="40% - Accent5 2 2 2 3 2 2" xfId="4408" xr:uid="{1A565017-4557-4D5C-ADBC-5A69A9106186}"/>
    <cellStyle name="40% - Accent5 2 2 2 3 2 2 2" xfId="18458" xr:uid="{569D741D-2F55-4EE2-84F0-4E20F2F6C1B2}"/>
    <cellStyle name="40% - Accent5 2 2 2 3 2 3" xfId="16268" xr:uid="{6E2567F0-7232-4E7D-8CC3-E69DCD967495}"/>
    <cellStyle name="40% - Accent5 2 2 2 3 3" xfId="3312" xr:uid="{7782E331-BC6D-481D-9248-8FCB21AF81CF}"/>
    <cellStyle name="40% - Accent5 2 2 2 3 3 2" xfId="17364" xr:uid="{41BB81D9-EAEA-4ED4-8EBF-5FC9E5B99D80}"/>
    <cellStyle name="40% - Accent5 2 2 2 3 4" xfId="15170" xr:uid="{26D4BA0D-FFDE-43C2-B781-02C38AA05CD3}"/>
    <cellStyle name="40% - Accent5 2 2 2 4" xfId="1700" xr:uid="{A20FEA95-4909-4D57-B2A2-BE1E11F908D7}"/>
    <cellStyle name="40% - Accent5 2 2 2 4 2" xfId="3890" xr:uid="{D2F93200-AE82-4486-B07F-E60A11F2A44E}"/>
    <cellStyle name="40% - Accent5 2 2 2 4 2 2" xfId="17942" xr:uid="{162B8011-A0BE-4A32-941C-D65ED5B19E53}"/>
    <cellStyle name="40% - Accent5 2 2 2 4 3" xfId="15749" xr:uid="{DC066B14-F3F6-4253-9FEF-E5DC32B049E8}"/>
    <cellStyle name="40% - Accent5 2 2 2 5" xfId="2619" xr:uid="{348C8314-3158-420E-8FE6-421ABD1DE706}"/>
    <cellStyle name="40% - Accent5 2 2 2 5 2" xfId="16670" xr:uid="{D99996C3-C36B-487F-9D06-F26588DDBEF4}"/>
    <cellStyle name="40% - Accent5 2 2 2 6" xfId="4985" xr:uid="{BC41A217-B77A-4AB1-B435-552A5FA287E9}"/>
    <cellStyle name="40% - Accent5 2 2 2 6 2" xfId="19037" xr:uid="{5BA6913E-4769-480D-882B-2E8D50D03D23}"/>
    <cellStyle name="40% - Accent5 2 2 2 7" xfId="14475" xr:uid="{6797D227-6766-47F6-A9AB-D7FCBA68FAA6}"/>
    <cellStyle name="40% - Accent5 2 2 3" xfId="593" xr:uid="{99C65C71-27D0-4081-9A43-1BB82D1EB536}"/>
    <cellStyle name="40% - Accent5 2 2 3 2" xfId="1526" xr:uid="{AB8A75D0-450A-4CCB-B13A-30DB19DB09F7}"/>
    <cellStyle name="40% - Accent5 2 2 3 2 2" xfId="3716" xr:uid="{D8F399D3-2719-4AC8-BF44-5377244AECE0}"/>
    <cellStyle name="40% - Accent5 2 2 3 2 2 2" xfId="17769" xr:uid="{7F7C16FD-BBB7-4102-A5D7-7EC148E462F8}"/>
    <cellStyle name="40% - Accent5 2 2 3 2 3" xfId="15575" xr:uid="{59299AD5-A4E0-412B-9554-9194F505942A}"/>
    <cellStyle name="40% - Accent5 2 2 3 3" xfId="2792" xr:uid="{C1703810-0303-4FE0-9363-B9CE74394E23}"/>
    <cellStyle name="40% - Accent5 2 2 3 3 2" xfId="16843" xr:uid="{5A656231-8AC7-483E-AAF1-32399AAB9E08}"/>
    <cellStyle name="40% - Accent5 2 2 3 4" xfId="4811" xr:uid="{E2728002-D91E-4664-BB0E-A3A2EAC305DD}"/>
    <cellStyle name="40% - Accent5 2 2 3 4 2" xfId="18863" xr:uid="{D8017763-BC94-4534-A6EA-5B348B15D6B2}"/>
    <cellStyle name="40% - Accent5 2 2 3 5" xfId="14648" xr:uid="{31984161-F7FC-4D8D-B5EF-FE9F005067A5}"/>
    <cellStyle name="40% - Accent5 2 2 4" xfId="946" xr:uid="{E90426C5-0C42-47D5-B650-1533A2158946}"/>
    <cellStyle name="40% - Accent5 2 2 4 2" xfId="2045" xr:uid="{6224E1BB-4162-4A41-B314-FB21C8C8E406}"/>
    <cellStyle name="40% - Accent5 2 2 4 2 2" xfId="4234" xr:uid="{1795ACD5-AF1C-476F-8FB4-049B6E86FA64}"/>
    <cellStyle name="40% - Accent5 2 2 4 2 2 2" xfId="18285" xr:uid="{6A7D05A9-3134-4C4D-A6EA-56C4360A0C33}"/>
    <cellStyle name="40% - Accent5 2 2 4 2 3" xfId="16094" xr:uid="{8E4A22C8-A391-4879-9211-EA8639D4E90C}"/>
    <cellStyle name="40% - Accent5 2 2 4 3" xfId="3138" xr:uid="{EEE4999F-D3FE-460B-93BF-90154884F597}"/>
    <cellStyle name="40% - Accent5 2 2 4 3 2" xfId="17190" xr:uid="{858E438D-4536-46AA-8A68-4BDDD7616681}"/>
    <cellStyle name="40% - Accent5 2 2 4 4" xfId="14996" xr:uid="{1087374E-6A9B-4932-8A48-1F8E2518125C}"/>
    <cellStyle name="40% - Accent5 2 2 5" xfId="1353" xr:uid="{7457CC5A-C1DC-4DE7-958E-1340AC7642DF}"/>
    <cellStyle name="40% - Accent5 2 2 5 2" xfId="3544" xr:uid="{933EE728-1D22-4699-80A8-24DDA44169E2}"/>
    <cellStyle name="40% - Accent5 2 2 5 2 2" xfId="17596" xr:uid="{27F32CBC-5BF5-4B93-B8DA-ABDC61E56FA7}"/>
    <cellStyle name="40% - Accent5 2 2 5 3" xfId="15402" xr:uid="{4F866596-9969-4255-8464-CC175A969F34}"/>
    <cellStyle name="40% - Accent5 2 2 6" xfId="2445" xr:uid="{8A0E9431-D0C0-4EA9-8730-FD489A8A6BBF}"/>
    <cellStyle name="40% - Accent5 2 2 6 2" xfId="16496" xr:uid="{F840B1F1-F68D-4015-8C02-771F2B97FF09}"/>
    <cellStyle name="40% - Accent5 2 2 7" xfId="4638" xr:uid="{8CB042F3-126C-4D81-BE1E-794EA81F7AC3}"/>
    <cellStyle name="40% - Accent5 2 2 7 2" xfId="18690" xr:uid="{BEE8A3C1-2AAF-41DA-8064-8E71664FFD60}"/>
    <cellStyle name="40% - Accent5 2 2 8" xfId="14301" xr:uid="{D6F6E264-B081-4D98-B72A-0B52DB4082FC}"/>
    <cellStyle name="40% - Accent5 2 3" xfId="185" xr:uid="{A2C4D005-3F40-4BD5-9E96-23926A646098}"/>
    <cellStyle name="40% - Accent5 2 3 2" xfId="362" xr:uid="{ACE9D097-4C9D-4D6E-81AE-F311F9AF9BA9}"/>
    <cellStyle name="40% - Accent5 2 3 2 2" xfId="716" xr:uid="{05B573C6-15A4-4447-BFE3-6CB306C9ABD8}"/>
    <cellStyle name="40% - Accent5 2 3 2 2 2" xfId="1817" xr:uid="{05ACB8BF-A986-489B-B77A-4856343E12FC}"/>
    <cellStyle name="40% - Accent5 2 3 2 2 2 2" xfId="4006" xr:uid="{F3B35E1B-1849-45CD-B1E7-14297CEB7EFC}"/>
    <cellStyle name="40% - Accent5 2 3 2 2 2 2 2" xfId="18058" xr:uid="{9895EAC9-1964-4EBB-9F06-739D5448B96C}"/>
    <cellStyle name="40% - Accent5 2 3 2 2 2 3" xfId="15866" xr:uid="{0369ADC1-0BF9-4E9A-A62F-B504B73FA912}"/>
    <cellStyle name="40% - Accent5 2 3 2 2 3" xfId="2908" xr:uid="{73107299-170C-4A43-8C8F-B0AA0444E60D}"/>
    <cellStyle name="40% - Accent5 2 3 2 2 3 2" xfId="16960" xr:uid="{CFDD4230-0551-4A01-903C-AFE1C10ECE71}"/>
    <cellStyle name="40% - Accent5 2 3 2 2 4" xfId="14767" xr:uid="{6AFE6CC9-40B2-469E-9C10-DFB662CCD8A7}"/>
    <cellStyle name="40% - Accent5 2 3 2 3" xfId="1063" xr:uid="{64D8F6B5-52C2-4F7D-9042-5591EADC363D}"/>
    <cellStyle name="40% - Accent5 2 3 2 3 2" xfId="2162" xr:uid="{387258B7-A154-4441-B6DF-8D171D4F0484}"/>
    <cellStyle name="40% - Accent5 2 3 2 3 2 2" xfId="4351" xr:uid="{ED6F1279-C168-42A9-B6DA-C434F874DD36}"/>
    <cellStyle name="40% - Accent5 2 3 2 3 2 2 2" xfId="18401" xr:uid="{B136D17F-772D-42CC-BA81-73D49FFBC4A2}"/>
    <cellStyle name="40% - Accent5 2 3 2 3 2 3" xfId="16211" xr:uid="{6AD0C4A0-DFC3-427A-A8C5-9EE6A28AA980}"/>
    <cellStyle name="40% - Accent5 2 3 2 3 3" xfId="3255" xr:uid="{C84B7AAD-9C56-4C6B-8D1A-D90EB10295E9}"/>
    <cellStyle name="40% - Accent5 2 3 2 3 3 2" xfId="17307" xr:uid="{D96F39A3-4374-4506-80E9-90405E0DBE9B}"/>
    <cellStyle name="40% - Accent5 2 3 2 3 4" xfId="15113" xr:uid="{CED5CD7A-A947-4F56-9D4E-1A1EA817AF23}"/>
    <cellStyle name="40% - Accent5 2 3 2 4" xfId="1643" xr:uid="{CE96BD94-E47C-45CA-966B-2D771C6E1CEF}"/>
    <cellStyle name="40% - Accent5 2 3 2 4 2" xfId="3833" xr:uid="{9D0BEBD2-B4B8-4296-B9E3-1E10E185AB0C}"/>
    <cellStyle name="40% - Accent5 2 3 2 4 2 2" xfId="17886" xr:uid="{A48F6E3F-FF58-436F-A7BE-184908A4E81A}"/>
    <cellStyle name="40% - Accent5 2 3 2 4 3" xfId="15692" xr:uid="{BEEDF4C3-C707-4083-8055-456ACEDCC621}"/>
    <cellStyle name="40% - Accent5 2 3 2 5" xfId="2562" xr:uid="{B6BB61E8-4ABF-47AE-A33E-5059002F91AB}"/>
    <cellStyle name="40% - Accent5 2 3 2 5 2" xfId="16613" xr:uid="{307B93CF-D302-4DD3-B126-3410A14A9D1D}"/>
    <cellStyle name="40% - Accent5 2 3 2 6" xfId="4928" xr:uid="{685747FE-B120-4CC1-B05F-54FD66F6AE8A}"/>
    <cellStyle name="40% - Accent5 2 3 2 6 2" xfId="18980" xr:uid="{0BEA6D1A-ABF7-40B8-8A43-0A4CD37C24C5}"/>
    <cellStyle name="40% - Accent5 2 3 2 7" xfId="14419" xr:uid="{5403926F-2DBD-4E61-A9BF-B24284B8D590}"/>
    <cellStyle name="40% - Accent5 2 3 3" xfId="536" xr:uid="{B64FE312-67C1-41D3-994C-80E89B2BBEAA}"/>
    <cellStyle name="40% - Accent5 2 3 3 2" xfId="1469" xr:uid="{17AA196B-E227-4F66-AEEA-EC85F242B09A}"/>
    <cellStyle name="40% - Accent5 2 3 3 2 2" xfId="3659" xr:uid="{FAAB9286-0CB4-4551-A2D8-5F605E2CDE3C}"/>
    <cellStyle name="40% - Accent5 2 3 3 2 2 2" xfId="17712" xr:uid="{30BBCB2F-176C-4510-B96A-F30C9407DECB}"/>
    <cellStyle name="40% - Accent5 2 3 3 2 3" xfId="15518" xr:uid="{94945A61-FF7C-4AF3-990E-D21898C0F53C}"/>
    <cellStyle name="40% - Accent5 2 3 3 3" xfId="2735" xr:uid="{C7EEF191-D4F4-4A90-8CA1-219163F45FDA}"/>
    <cellStyle name="40% - Accent5 2 3 3 3 2" xfId="16786" xr:uid="{5DF7E1FD-7725-475F-8E8B-5BD9BD2683B2}"/>
    <cellStyle name="40% - Accent5 2 3 3 4" xfId="4754" xr:uid="{38D28EE6-0339-44F0-B3C0-D7DA4E0CBCB5}"/>
    <cellStyle name="40% - Accent5 2 3 3 4 2" xfId="18806" xr:uid="{169DE76D-1885-4536-BB9B-93D62E520CAE}"/>
    <cellStyle name="40% - Accent5 2 3 3 5" xfId="14591" xr:uid="{B1014027-BBE9-4BA8-8EA6-FEEF58244975}"/>
    <cellStyle name="40% - Accent5 2 3 4" xfId="889" xr:uid="{DFDCC7AE-0581-4568-A2B3-1533CA629045}"/>
    <cellStyle name="40% - Accent5 2 3 4 2" xfId="1988" xr:uid="{07A9635D-2979-425A-AFA8-2F515E5C5013}"/>
    <cellStyle name="40% - Accent5 2 3 4 2 2" xfId="4177" xr:uid="{74C5C7D0-A546-4131-8CEA-19251738D93A}"/>
    <cellStyle name="40% - Accent5 2 3 4 2 2 2" xfId="18228" xr:uid="{4A2C0178-5AF7-4456-B2BB-6E9AB6938318}"/>
    <cellStyle name="40% - Accent5 2 3 4 2 3" xfId="16037" xr:uid="{0EEDD34F-4241-497D-B4B3-61DEDD21FC9C}"/>
    <cellStyle name="40% - Accent5 2 3 4 3" xfId="3081" xr:uid="{F8785E46-19D7-4D74-9D23-C5D62F91DC4A}"/>
    <cellStyle name="40% - Accent5 2 3 4 3 2" xfId="17133" xr:uid="{22C7F2EA-0A71-456E-9563-BAA014D7C61F}"/>
    <cellStyle name="40% - Accent5 2 3 4 4" xfId="14939" xr:uid="{CA8CAFFF-7B18-4347-9A21-6144A2A92056}"/>
    <cellStyle name="40% - Accent5 2 3 5" xfId="1296" xr:uid="{48C8CC64-04DF-4CB4-8C40-707286285397}"/>
    <cellStyle name="40% - Accent5 2 3 5 2" xfId="3487" xr:uid="{F5E60BA6-8BA0-4F01-A194-86267364C78D}"/>
    <cellStyle name="40% - Accent5 2 3 5 2 2" xfId="17539" xr:uid="{203EF02F-B903-4799-AFF8-24212F04ED44}"/>
    <cellStyle name="40% - Accent5 2 3 5 3" xfId="15345" xr:uid="{97D21912-630A-4F33-943E-B6728CCF59DC}"/>
    <cellStyle name="40% - Accent5 2 3 6" xfId="2388" xr:uid="{4082DEA4-A6B4-43A6-BEDE-1A6BE6B1DC6E}"/>
    <cellStyle name="40% - Accent5 2 3 6 2" xfId="16439" xr:uid="{E8E4D70A-6682-48E5-A550-DE30FB7B963A}"/>
    <cellStyle name="40% - Accent5 2 3 7" xfId="4581" xr:uid="{C245A9BA-902F-4331-9DA3-C0A429952BD4}"/>
    <cellStyle name="40% - Accent5 2 3 7 2" xfId="18633" xr:uid="{E9B824E2-2269-4BBD-AE95-A906AB0DF9A9}"/>
    <cellStyle name="40% - Accent5 2 3 8" xfId="14244" xr:uid="{A0795D06-AC57-480A-93A0-2CF214AC7158}"/>
    <cellStyle name="40% - Accent5 2 4" xfId="305" xr:uid="{40B9155C-08D6-4832-8586-F0CCE369FF65}"/>
    <cellStyle name="40% - Accent5 2 4 2" xfId="659" xr:uid="{56395949-DA61-4314-91C0-3B1B30FE2D88}"/>
    <cellStyle name="40% - Accent5 2 4 2 2" xfId="1761" xr:uid="{B41E88F1-C8C6-475C-B2E4-7FAC82F9692C}"/>
    <cellStyle name="40% - Accent5 2 4 2 2 2" xfId="3949" xr:uid="{6DE57373-F2CA-4B6E-8388-5EA58B3B3D5D}"/>
    <cellStyle name="40% - Accent5 2 4 2 2 2 2" xfId="18001" xr:uid="{0D823A24-DD45-4954-A8F7-1D11C1B583C1}"/>
    <cellStyle name="40% - Accent5 2 4 2 2 3" xfId="15809" xr:uid="{7342C1A7-6B55-49EF-BE8F-CCD2B53BED4A}"/>
    <cellStyle name="40% - Accent5 2 4 2 3" xfId="2852" xr:uid="{424B3E7A-B570-48E0-8804-5E5C4B8DC2DD}"/>
    <cellStyle name="40% - Accent5 2 4 2 3 2" xfId="16903" xr:uid="{36683C52-1D2E-4793-BDD9-A5B896A04F45}"/>
    <cellStyle name="40% - Accent5 2 4 2 4" xfId="14710" xr:uid="{D6FC488F-6E0E-45B1-9899-5CACDE835B6F}"/>
    <cellStyle name="40% - Accent5 2 4 3" xfId="1006" xr:uid="{A56EE2AC-DAFF-497E-BAF8-FE161B77D9D9}"/>
    <cellStyle name="40% - Accent5 2 4 3 2" xfId="2105" xr:uid="{4A5923CA-7CF8-4B61-8994-CA6C41A71EB4}"/>
    <cellStyle name="40% - Accent5 2 4 3 2 2" xfId="4294" xr:uid="{45835021-CA2B-498B-9F9B-1625E569C41C}"/>
    <cellStyle name="40% - Accent5 2 4 3 2 2 2" xfId="18344" xr:uid="{165CE49C-8441-48E0-8843-D849A257E448}"/>
    <cellStyle name="40% - Accent5 2 4 3 2 3" xfId="16154" xr:uid="{9656923E-6F67-4758-A9AD-6964E92279E5}"/>
    <cellStyle name="40% - Accent5 2 4 3 3" xfId="3198" xr:uid="{2F69797E-C12D-4828-8F09-F657422CD7A7}"/>
    <cellStyle name="40% - Accent5 2 4 3 3 2" xfId="17250" xr:uid="{AACF88EE-A418-4CF8-95A4-B70F0F018FD9}"/>
    <cellStyle name="40% - Accent5 2 4 3 4" xfId="15056" xr:uid="{E9FD5B48-BF99-4561-9490-CBDAAFBC9ED0}"/>
    <cellStyle name="40% - Accent5 2 4 4" xfId="1586" xr:uid="{1D36FBA7-A0F9-41D9-B01D-F22916987DE4}"/>
    <cellStyle name="40% - Accent5 2 4 4 2" xfId="3776" xr:uid="{A93120FD-5EF7-400E-BB53-A439346AD573}"/>
    <cellStyle name="40% - Accent5 2 4 4 2 2" xfId="17829" xr:uid="{D67375A8-A34C-478D-A28B-51983DA47E3C}"/>
    <cellStyle name="40% - Accent5 2 4 4 3" xfId="15635" xr:uid="{E8492AB8-22E6-4478-B8E2-3F2B315B2CC3}"/>
    <cellStyle name="40% - Accent5 2 4 5" xfId="2505" xr:uid="{D3DFF392-A2D2-41F7-99E4-B87C118DE7F4}"/>
    <cellStyle name="40% - Accent5 2 4 5 2" xfId="16556" xr:uid="{EE65ED8C-6F41-414F-9EDF-E66E6BDE96A2}"/>
    <cellStyle name="40% - Accent5 2 4 6" xfId="4871" xr:uid="{8D1F7A86-62E2-4016-8DEA-03FA629DBBA9}"/>
    <cellStyle name="40% - Accent5 2 4 6 2" xfId="18923" xr:uid="{F2576E48-4535-4FA0-A530-3C1C3B9389E0}"/>
    <cellStyle name="40% - Accent5 2 4 7" xfId="14362" xr:uid="{24EFF14E-0487-403C-B967-1FFC3F869355}"/>
    <cellStyle name="40% - Accent5 2 5" xfId="479" xr:uid="{15B7F826-F845-48C3-B8A8-D7239F3258B6}"/>
    <cellStyle name="40% - Accent5 2 5 2" xfId="1412" xr:uid="{5546F5AA-BC14-4C26-B3B6-CB85E714134E}"/>
    <cellStyle name="40% - Accent5 2 5 2 2" xfId="3602" xr:uid="{595F3F9F-5614-4276-AE87-BEBBBCA93EEC}"/>
    <cellStyle name="40% - Accent5 2 5 2 2 2" xfId="17655" xr:uid="{A7A65311-8C66-4CAC-98FA-BDBD1F93F116}"/>
    <cellStyle name="40% - Accent5 2 5 2 3" xfId="15461" xr:uid="{B7151006-8798-4485-86DE-A581720D2197}"/>
    <cellStyle name="40% - Accent5 2 5 3" xfId="2678" xr:uid="{CAE38FC9-FA01-49EE-B962-715973540D02}"/>
    <cellStyle name="40% - Accent5 2 5 3 2" xfId="16729" xr:uid="{CBA8482F-4632-43B6-814C-062CEB3FEEAB}"/>
    <cellStyle name="40% - Accent5 2 5 4" xfId="4697" xr:uid="{AFFC41F8-3DBE-4A9D-93E9-A71309AAC168}"/>
    <cellStyle name="40% - Accent5 2 5 4 2" xfId="18749" xr:uid="{42AABFCB-73F6-461F-A669-A3B07998F434}"/>
    <cellStyle name="40% - Accent5 2 5 5" xfId="14534" xr:uid="{74D3D719-2824-44DD-9706-911BD714B6F4}"/>
    <cellStyle name="40% - Accent5 2 6" xfId="832" xr:uid="{33908492-C4A2-47F7-9F5C-97737FA92DA0}"/>
    <cellStyle name="40% - Accent5 2 6 2" xfId="1931" xr:uid="{F901733B-E393-44ED-8819-FC167CEE4C1D}"/>
    <cellStyle name="40% - Accent5 2 6 2 2" xfId="4120" xr:uid="{975546E8-2A5E-487E-98E8-B0F5DE671231}"/>
    <cellStyle name="40% - Accent5 2 6 2 2 2" xfId="18172" xr:uid="{2EE10C55-0D56-4673-B191-6C6709B77EBC}"/>
    <cellStyle name="40% - Accent5 2 6 2 3" xfId="15980" xr:uid="{2848010D-9163-4E71-B4C7-2C7EA529DAB7}"/>
    <cellStyle name="40% - Accent5 2 6 3" xfId="3024" xr:uid="{86497CDB-9187-4CD2-A271-26EDC9241F40}"/>
    <cellStyle name="40% - Accent5 2 6 3 2" xfId="17076" xr:uid="{2C99C124-A174-43ED-983F-DFD4EC9FC4F3}"/>
    <cellStyle name="40% - Accent5 2 6 4" xfId="14882" xr:uid="{A3954F37-8642-47E9-A2D8-7BAA8BD98ED3}"/>
    <cellStyle name="40% - Accent5 2 7" xfId="1176" xr:uid="{8F8B391F-DFF8-40FF-A431-80E7C95A0B74}"/>
    <cellStyle name="40% - Accent5 2 7 2" xfId="2275" xr:uid="{64E33782-0AF3-4E9C-9862-47A2A878BABB}"/>
    <cellStyle name="40% - Accent5 2 7 2 2" xfId="4464" xr:uid="{5EC0F7FE-8805-48F5-82E0-F8EC40F35B28}"/>
    <cellStyle name="40% - Accent5 2 7 2 2 2" xfId="18515" xr:uid="{2C5A2838-5BC2-4140-86E7-E2E3A9E7B701}"/>
    <cellStyle name="40% - Accent5 2 7 2 3" xfId="16325" xr:uid="{FC7483EB-3C42-4DD4-9E65-763215E4B81D}"/>
    <cellStyle name="40% - Accent5 2 7 3" xfId="3369" xr:uid="{3EBC91D9-2F56-4174-8A50-6683AAF0D2B2}"/>
    <cellStyle name="40% - Accent5 2 7 3 2" xfId="17421" xr:uid="{CFF39819-F841-4EE5-B006-E0950C7237CE}"/>
    <cellStyle name="40% - Accent5 2 7 4" xfId="15227" xr:uid="{7101C36F-156D-4F03-A7DA-88F752390AA1}"/>
    <cellStyle name="40% - Accent5 2 8" xfId="1240" xr:uid="{B06A654D-E297-4200-85C4-3C18938A58ED}"/>
    <cellStyle name="40% - Accent5 2 8 2" xfId="3430" xr:uid="{6ECBCD11-0C3B-4674-81C7-2095B982CEC5}"/>
    <cellStyle name="40% - Accent5 2 8 2 2" xfId="17482" xr:uid="{BF9DAB83-63EC-46AA-9AAE-5C9858AD8A43}"/>
    <cellStyle name="40% - Accent5 2 8 3" xfId="15288" xr:uid="{8A7649CE-8CBB-4CE9-AEF4-0F787CCF8BD1}"/>
    <cellStyle name="40% - Accent5 2 9" xfId="2331" xr:uid="{B311945E-CD5C-422A-8FD3-70DEB5DD31FC}"/>
    <cellStyle name="40% - Accent5 2 9 2" xfId="16382" xr:uid="{BFFBFF62-6593-4173-AEFA-EDE56508FEA3}"/>
    <cellStyle name="40% - Accent5 3" xfId="103" xr:uid="{E7C70BFB-98BD-45BF-8831-6998B00F3665}"/>
    <cellStyle name="40% - Accent5 3 10" xfId="4501" xr:uid="{6EF6489E-0C47-4557-80A5-7186ABE3E2BD}"/>
    <cellStyle name="40% - Accent5 3 10 2" xfId="18552" xr:uid="{F2482F12-F414-4A11-BBF8-54144F1C27F4}"/>
    <cellStyle name="40% - Accent5 3 11" xfId="14163" xr:uid="{B3590F15-EDDB-4767-AC56-AA66747DD7D1}"/>
    <cellStyle name="40% - Accent5 3 2" xfId="218" xr:uid="{B91B59B8-6CE5-4184-BE7E-B7F7821F7B64}"/>
    <cellStyle name="40% - Accent5 3 2 2" xfId="395" xr:uid="{C1F5DFEC-A1CF-44CF-8207-26322E88EA87}"/>
    <cellStyle name="40% - Accent5 3 2 2 2" xfId="749" xr:uid="{52CD9574-94F3-4013-8E07-F43E97E92ACC}"/>
    <cellStyle name="40% - Accent5 3 2 2 2 2" xfId="1850" xr:uid="{97C81A6C-71E0-4FBB-84EF-A1878D3F080C}"/>
    <cellStyle name="40% - Accent5 3 2 2 2 2 2" xfId="4039" xr:uid="{E986A4D2-B45A-4915-B42B-67E948874555}"/>
    <cellStyle name="40% - Accent5 3 2 2 2 2 2 2" xfId="18091" xr:uid="{DE75FF66-9FA6-4EFB-AEDC-9BED4C637674}"/>
    <cellStyle name="40% - Accent5 3 2 2 2 2 3" xfId="15899" xr:uid="{DBFF9919-554D-44E4-912F-0B9E7A54FEDB}"/>
    <cellStyle name="40% - Accent5 3 2 2 2 3" xfId="2941" xr:uid="{02F010E5-D29C-4C05-97E4-2202C108A9D9}"/>
    <cellStyle name="40% - Accent5 3 2 2 2 3 2" xfId="16993" xr:uid="{A97E00D2-5C1C-4476-A893-16429E15B31A}"/>
    <cellStyle name="40% - Accent5 3 2 2 2 4" xfId="14800" xr:uid="{BB1C1081-E12F-4CDA-83FE-A4D69FE6A8A5}"/>
    <cellStyle name="40% - Accent5 3 2 2 3" xfId="1096" xr:uid="{6720FBB9-4CD5-48D7-8FD5-8FCA726A23E2}"/>
    <cellStyle name="40% - Accent5 3 2 2 3 2" xfId="2195" xr:uid="{8B0A57B3-A327-4983-8902-E3A05540C1B7}"/>
    <cellStyle name="40% - Accent5 3 2 2 3 2 2" xfId="4384" xr:uid="{1CAE1557-5A04-48CC-821D-49410CF41C4B}"/>
    <cellStyle name="40% - Accent5 3 2 2 3 2 2 2" xfId="18434" xr:uid="{5EE319B6-237A-4980-8AAC-3C25C5DCC302}"/>
    <cellStyle name="40% - Accent5 3 2 2 3 2 3" xfId="16244" xr:uid="{34BFB1E8-6209-4B39-B8B4-59F80E53AD8C}"/>
    <cellStyle name="40% - Accent5 3 2 2 3 3" xfId="3288" xr:uid="{F75FFA17-9CC5-4FA8-BD62-FDE3622FFA12}"/>
    <cellStyle name="40% - Accent5 3 2 2 3 3 2" xfId="17340" xr:uid="{E48C42C4-E8DE-4DC9-A9D6-8066BCD535C9}"/>
    <cellStyle name="40% - Accent5 3 2 2 3 4" xfId="15146" xr:uid="{03CB18AA-F9BC-4F6A-AFC0-A7860D539696}"/>
    <cellStyle name="40% - Accent5 3 2 2 4" xfId="1676" xr:uid="{AF99F2A1-C509-4D59-81F2-A0742E3C147A}"/>
    <cellStyle name="40% - Accent5 3 2 2 4 2" xfId="3866" xr:uid="{FEE7CA38-E571-4C6E-9B1C-615BFB4A8F31}"/>
    <cellStyle name="40% - Accent5 3 2 2 4 2 2" xfId="17919" xr:uid="{722743FE-40D3-497C-BBB9-AB5A8F762AFC}"/>
    <cellStyle name="40% - Accent5 3 2 2 4 3" xfId="15725" xr:uid="{8DD7E6FD-8E8C-4597-8D62-8BDA0BC1110D}"/>
    <cellStyle name="40% - Accent5 3 2 2 5" xfId="2595" xr:uid="{8A47BE6B-2937-46B4-BB42-9692F4F10FFD}"/>
    <cellStyle name="40% - Accent5 3 2 2 5 2" xfId="16646" xr:uid="{EE19A009-9171-4376-AD80-8C4A3D7FF2B3}"/>
    <cellStyle name="40% - Accent5 3 2 2 6" xfId="4961" xr:uid="{CB96D225-7BD8-4729-9A28-C733F7BF8678}"/>
    <cellStyle name="40% - Accent5 3 2 2 6 2" xfId="19013" xr:uid="{B427D6BD-20EA-4EDD-9002-57EC8C28370F}"/>
    <cellStyle name="40% - Accent5 3 2 2 7" xfId="14452" xr:uid="{C94E4EC9-CE37-4637-A4AC-77BA7E06CA13}"/>
    <cellStyle name="40% - Accent5 3 2 3" xfId="569" xr:uid="{190C8B7D-66A3-4B88-8A3A-3D4280635A42}"/>
    <cellStyle name="40% - Accent5 3 2 3 2" xfId="1502" xr:uid="{84699B63-A8FC-48AF-BF91-E0071C0DD2FB}"/>
    <cellStyle name="40% - Accent5 3 2 3 2 2" xfId="3692" xr:uid="{AC20494B-C9CD-4ACB-A7A5-2BA6CC600ED7}"/>
    <cellStyle name="40% - Accent5 3 2 3 2 2 2" xfId="17745" xr:uid="{ECC5C970-8892-4384-AD5A-74D940384D1F}"/>
    <cellStyle name="40% - Accent5 3 2 3 2 3" xfId="15551" xr:uid="{5CA7FA4D-4159-4B68-BB59-6EBA570C6AA1}"/>
    <cellStyle name="40% - Accent5 3 2 3 3" xfId="2768" xr:uid="{1FD33438-6B3D-449C-BF4E-F95A0B36D52C}"/>
    <cellStyle name="40% - Accent5 3 2 3 3 2" xfId="16819" xr:uid="{BAF41C31-316F-472C-B8BB-C69787746787}"/>
    <cellStyle name="40% - Accent5 3 2 3 4" xfId="4787" xr:uid="{AC884CB3-4BEA-4B1B-8B0E-BC4403FAD6D0}"/>
    <cellStyle name="40% - Accent5 3 2 3 4 2" xfId="18839" xr:uid="{AD115ACE-8DAE-416C-86FE-EEDE91CA049B}"/>
    <cellStyle name="40% - Accent5 3 2 3 5" xfId="14624" xr:uid="{D46DDD6B-4C96-48E4-902B-BBDB44221D56}"/>
    <cellStyle name="40% - Accent5 3 2 4" xfId="922" xr:uid="{1FEF682F-2E2E-456B-9F78-122756829B85}"/>
    <cellStyle name="40% - Accent5 3 2 4 2" xfId="2021" xr:uid="{35485D56-0D74-426F-8701-58BC738B0674}"/>
    <cellStyle name="40% - Accent5 3 2 4 2 2" xfId="4210" xr:uid="{896C1344-D3F8-4D8D-B3DB-6C91E324FFB8}"/>
    <cellStyle name="40% - Accent5 3 2 4 2 2 2" xfId="18261" xr:uid="{CBEF34FC-B395-4126-B87E-48F38ED71405}"/>
    <cellStyle name="40% - Accent5 3 2 4 2 3" xfId="16070" xr:uid="{A204C6C7-355D-473F-BC54-21BCDE29B461}"/>
    <cellStyle name="40% - Accent5 3 2 4 3" xfId="3114" xr:uid="{8F1E0791-82D6-4680-8218-F5085FAF080B}"/>
    <cellStyle name="40% - Accent5 3 2 4 3 2" xfId="17166" xr:uid="{9F0EA6AF-DA34-4813-BD82-2922F55FF62B}"/>
    <cellStyle name="40% - Accent5 3 2 4 4" xfId="14972" xr:uid="{6676C1E0-A6C2-426C-B63C-00E70118FB91}"/>
    <cellStyle name="40% - Accent5 3 2 5" xfId="1329" xr:uid="{642EF5B9-DEC0-49D4-B0E4-4EE72884014C}"/>
    <cellStyle name="40% - Accent5 3 2 5 2" xfId="3520" xr:uid="{DAE444B2-B58B-4BB7-ACA0-0DE6D0B8E40F}"/>
    <cellStyle name="40% - Accent5 3 2 5 2 2" xfId="17572" xr:uid="{817F7B79-9DD7-4F68-9F9B-68C806ED7D56}"/>
    <cellStyle name="40% - Accent5 3 2 5 3" xfId="15378" xr:uid="{4A956298-6483-4D7B-B734-AAA080794430}"/>
    <cellStyle name="40% - Accent5 3 2 6" xfId="2421" xr:uid="{5BA6664E-879F-4DF7-8704-F0AF9C040968}"/>
    <cellStyle name="40% - Accent5 3 2 6 2" xfId="16472" xr:uid="{71DE260A-4D68-41F4-9047-DDD9C980F9A4}"/>
    <cellStyle name="40% - Accent5 3 2 7" xfId="4614" xr:uid="{D4E39212-4724-4B75-8C7E-89BC90356C8D}"/>
    <cellStyle name="40% - Accent5 3 2 7 2" xfId="18666" xr:uid="{CBEFF35C-008A-42EA-9A0B-5BC80D418504}"/>
    <cellStyle name="40% - Accent5 3 2 8" xfId="14277" xr:uid="{F508A01C-A75B-4797-9A53-45DECE80952E}"/>
    <cellStyle name="40% - Accent5 3 3" xfId="161" xr:uid="{98B4473D-C2B5-487F-AAD8-3562963571E0}"/>
    <cellStyle name="40% - Accent5 3 3 2" xfId="338" xr:uid="{DD116F17-FB0B-4C3D-8EEF-9DD737569873}"/>
    <cellStyle name="40% - Accent5 3 3 2 2" xfId="692" xr:uid="{FE94D5CE-C15E-45ED-A132-C6AA8505A397}"/>
    <cellStyle name="40% - Accent5 3 3 2 2 2" xfId="1793" xr:uid="{39BE34DF-8ECA-40BD-9E70-0F07EF108F9C}"/>
    <cellStyle name="40% - Accent5 3 3 2 2 2 2" xfId="3982" xr:uid="{44CE133B-8F5B-4C3F-93E6-D5DC2CC1D9FD}"/>
    <cellStyle name="40% - Accent5 3 3 2 2 2 2 2" xfId="18034" xr:uid="{DF3B0253-D625-4D16-972D-BD46BB7E6884}"/>
    <cellStyle name="40% - Accent5 3 3 2 2 2 3" xfId="15842" xr:uid="{D04AB61A-CF22-4128-AD71-F44F661CA7ED}"/>
    <cellStyle name="40% - Accent5 3 3 2 2 3" xfId="2884" xr:uid="{9FA174A9-3B63-4246-98EA-E1B333D43647}"/>
    <cellStyle name="40% - Accent5 3 3 2 2 3 2" xfId="16936" xr:uid="{C457F5C8-478A-4390-A301-D732BAB1EF19}"/>
    <cellStyle name="40% - Accent5 3 3 2 2 4" xfId="14743" xr:uid="{72E22E30-EDB0-46F9-99ED-D5204131828F}"/>
    <cellStyle name="40% - Accent5 3 3 2 3" xfId="1039" xr:uid="{48A03CE8-5C5B-47ED-979B-175BF35AE211}"/>
    <cellStyle name="40% - Accent5 3 3 2 3 2" xfId="2138" xr:uid="{484D9C3C-2584-472B-B1B1-0909C408B510}"/>
    <cellStyle name="40% - Accent5 3 3 2 3 2 2" xfId="4327" xr:uid="{E5BE9C31-A7AA-45A4-AC50-EAA1954F3841}"/>
    <cellStyle name="40% - Accent5 3 3 2 3 2 2 2" xfId="18377" xr:uid="{349A3E8F-2284-4762-9C8F-B936AB7E979E}"/>
    <cellStyle name="40% - Accent5 3 3 2 3 2 3" xfId="16187" xr:uid="{434BDE48-382F-4553-BB8B-EDE714F05D1C}"/>
    <cellStyle name="40% - Accent5 3 3 2 3 3" xfId="3231" xr:uid="{B62A97A5-F29E-4762-B011-6BA53B336860}"/>
    <cellStyle name="40% - Accent5 3 3 2 3 3 2" xfId="17283" xr:uid="{E1863480-A50A-400D-9120-89939CEA4281}"/>
    <cellStyle name="40% - Accent5 3 3 2 3 4" xfId="15089" xr:uid="{0F2E101C-11ED-4618-ABE6-9F3A76D9A44D}"/>
    <cellStyle name="40% - Accent5 3 3 2 4" xfId="1619" xr:uid="{2EECC871-D0DE-49D3-9F84-3AAA7BE311F2}"/>
    <cellStyle name="40% - Accent5 3 3 2 4 2" xfId="3809" xr:uid="{28C697EE-60EC-4002-92C7-B5037B0CF8FF}"/>
    <cellStyle name="40% - Accent5 3 3 2 4 2 2" xfId="17862" xr:uid="{1A6F7F06-6EA3-4B6B-9FEE-101C86A6B492}"/>
    <cellStyle name="40% - Accent5 3 3 2 4 3" xfId="15668" xr:uid="{1349CDEB-FC45-442E-AC47-B1AA6FEB408D}"/>
    <cellStyle name="40% - Accent5 3 3 2 5" xfId="2538" xr:uid="{C1CE2827-4B5E-4C4E-91E3-342742582771}"/>
    <cellStyle name="40% - Accent5 3 3 2 5 2" xfId="16589" xr:uid="{5982AFA4-B1F8-47A2-B7FF-16C8596C6E61}"/>
    <cellStyle name="40% - Accent5 3 3 2 6" xfId="4904" xr:uid="{DEB54AB4-B7AA-4026-890C-E251BDD9CE19}"/>
    <cellStyle name="40% - Accent5 3 3 2 6 2" xfId="18956" xr:uid="{120F17B0-2377-4546-8101-2BFB00CBE142}"/>
    <cellStyle name="40% - Accent5 3 3 2 7" xfId="14395" xr:uid="{FCAE3E8B-030D-4F19-B8EB-EA43451B323B}"/>
    <cellStyle name="40% - Accent5 3 3 3" xfId="512" xr:uid="{6A0CA943-4D95-4C2F-AC19-1A76A8BD8B17}"/>
    <cellStyle name="40% - Accent5 3 3 3 2" xfId="1445" xr:uid="{2FCE33E5-2CC9-47CB-89B6-B712350EB136}"/>
    <cellStyle name="40% - Accent5 3 3 3 2 2" xfId="3635" xr:uid="{5BD8AFE5-A068-4B41-B52F-188D0D19C9E6}"/>
    <cellStyle name="40% - Accent5 3 3 3 2 2 2" xfId="17688" xr:uid="{B5FCE8E0-4DC4-4681-A5A5-26500C4E943E}"/>
    <cellStyle name="40% - Accent5 3 3 3 2 3" xfId="15494" xr:uid="{DDE6C4DE-8E72-478D-8639-F14BCED06736}"/>
    <cellStyle name="40% - Accent5 3 3 3 3" xfId="2711" xr:uid="{286BFE4F-DC65-45A9-A1E4-CD328B664348}"/>
    <cellStyle name="40% - Accent5 3 3 3 3 2" xfId="16762" xr:uid="{4F5CC0BD-4490-4C9F-829F-2996CB8D2F20}"/>
    <cellStyle name="40% - Accent5 3 3 3 4" xfId="4730" xr:uid="{52A2383E-8202-4175-9958-FF1BF28F9C55}"/>
    <cellStyle name="40% - Accent5 3 3 3 4 2" xfId="18782" xr:uid="{606CC434-E1EE-4D3F-B215-7D2502C5EEB9}"/>
    <cellStyle name="40% - Accent5 3 3 3 5" xfId="14567" xr:uid="{2FFECAA4-DDB4-4030-9B51-7E1E1A37EE06}"/>
    <cellStyle name="40% - Accent5 3 3 4" xfId="865" xr:uid="{CF9A2EAC-4294-4964-8C58-32181FAFD571}"/>
    <cellStyle name="40% - Accent5 3 3 4 2" xfId="1964" xr:uid="{819660E2-5236-4C60-B67B-7FDA3B0349F4}"/>
    <cellStyle name="40% - Accent5 3 3 4 2 2" xfId="4153" xr:uid="{D3DD8DCD-E997-4648-8417-4BEAF7D124FF}"/>
    <cellStyle name="40% - Accent5 3 3 4 2 2 2" xfId="18204" xr:uid="{DF0A7FD6-FA2C-4F6C-AAFA-819876A17017}"/>
    <cellStyle name="40% - Accent5 3 3 4 2 3" xfId="16013" xr:uid="{43273B44-8598-4F0B-B8AC-DF6FB9488A9E}"/>
    <cellStyle name="40% - Accent5 3 3 4 3" xfId="3057" xr:uid="{4459E9C9-A091-4F69-A708-FF7EB46CF11F}"/>
    <cellStyle name="40% - Accent5 3 3 4 3 2" xfId="17109" xr:uid="{003CF9FF-48E3-430D-A1EE-345ECC1671DB}"/>
    <cellStyle name="40% - Accent5 3 3 4 4" xfId="14915" xr:uid="{A2DA55F0-9C4D-4D6A-91CE-2722372320D0}"/>
    <cellStyle name="40% - Accent5 3 3 5" xfId="1273" xr:uid="{FC538352-9A0B-44B4-8307-6B3EF4C8D83D}"/>
    <cellStyle name="40% - Accent5 3 3 5 2" xfId="3463" xr:uid="{015BE002-74C5-465B-B121-FD70A3788472}"/>
    <cellStyle name="40% - Accent5 3 3 5 2 2" xfId="17515" xr:uid="{3B269F19-55DA-496A-A726-A08A900A5E4E}"/>
    <cellStyle name="40% - Accent5 3 3 5 3" xfId="15321" xr:uid="{28296B55-16BA-4D7D-B339-E87A7115B134}"/>
    <cellStyle name="40% - Accent5 3 3 6" xfId="2364" xr:uid="{096B2FA7-48A0-458B-82AC-7101501C0BCC}"/>
    <cellStyle name="40% - Accent5 3 3 6 2" xfId="16415" xr:uid="{3D14EC3F-F137-47C5-ABCA-CD451533532E}"/>
    <cellStyle name="40% - Accent5 3 3 7" xfId="4557" xr:uid="{0F7D4AD4-13D5-4044-BFED-E0341136BDBC}"/>
    <cellStyle name="40% - Accent5 3 3 7 2" xfId="18609" xr:uid="{42A8CEB6-378C-4C9A-BD53-F9FE8CAD0A71}"/>
    <cellStyle name="40% - Accent5 3 3 8" xfId="14220" xr:uid="{E69C6FF1-F986-4872-9C4D-FDC27C1989FD}"/>
    <cellStyle name="40% - Accent5 3 4" xfId="281" xr:uid="{6DEE27D5-1170-4FF3-BBB3-BE65F9EF410B}"/>
    <cellStyle name="40% - Accent5 3 4 2" xfId="635" xr:uid="{2C3104D6-4196-4269-AE5C-42DD2D49ED65}"/>
    <cellStyle name="40% - Accent5 3 4 2 2" xfId="1737" xr:uid="{4B85E51A-5AA6-4ADF-A8C2-E32538DBA3CA}"/>
    <cellStyle name="40% - Accent5 3 4 2 2 2" xfId="3925" xr:uid="{F20470E6-CD6B-44D3-B206-93714670958E}"/>
    <cellStyle name="40% - Accent5 3 4 2 2 2 2" xfId="17977" xr:uid="{7F84904F-D89E-4A65-B4DF-56AADE921E09}"/>
    <cellStyle name="40% - Accent5 3 4 2 2 3" xfId="15785" xr:uid="{69D6F6FC-5772-438D-BD85-075584419FBB}"/>
    <cellStyle name="40% - Accent5 3 4 2 3" xfId="2828" xr:uid="{3CDD2996-8E24-48F6-9613-C89CE4B0DDB6}"/>
    <cellStyle name="40% - Accent5 3 4 2 3 2" xfId="16879" xr:uid="{18611844-1034-46E2-B3D3-58BEAEB3F881}"/>
    <cellStyle name="40% - Accent5 3 4 2 4" xfId="14686" xr:uid="{79C755A8-5BDD-4E55-AE4A-F2826FD2E415}"/>
    <cellStyle name="40% - Accent5 3 4 3" xfId="982" xr:uid="{AC7FC26A-E972-48BB-B0AB-EE917480E242}"/>
    <cellStyle name="40% - Accent5 3 4 3 2" xfId="2081" xr:uid="{2683A223-5AC2-4BB5-9088-7EB7FBAFB54A}"/>
    <cellStyle name="40% - Accent5 3 4 3 2 2" xfId="4270" xr:uid="{4B464281-0E4B-45F0-A4DD-39111C4C1B50}"/>
    <cellStyle name="40% - Accent5 3 4 3 2 2 2" xfId="18321" xr:uid="{6C61A61B-2A01-4933-8521-FA00F4B98F56}"/>
    <cellStyle name="40% - Accent5 3 4 3 2 3" xfId="16130" xr:uid="{9D8CBD0D-DB5A-49C1-9ACF-B18508ED85D5}"/>
    <cellStyle name="40% - Accent5 3 4 3 3" xfId="3174" xr:uid="{77FE7B3D-F050-41F3-9F2B-F9B4F4F44D1D}"/>
    <cellStyle name="40% - Accent5 3 4 3 3 2" xfId="17226" xr:uid="{31BBB2C6-593D-4B87-B2C9-5CEA2505EACF}"/>
    <cellStyle name="40% - Accent5 3 4 3 4" xfId="15032" xr:uid="{09A24E8B-7BBD-4E3B-ACAE-2A93BF692ABD}"/>
    <cellStyle name="40% - Accent5 3 4 4" xfId="1562" xr:uid="{8485777D-F9E4-49C4-A6EB-DBB4B723952A}"/>
    <cellStyle name="40% - Accent5 3 4 4 2" xfId="3752" xr:uid="{05B85E41-EA8C-44AE-A71D-EBE64172370F}"/>
    <cellStyle name="40% - Accent5 3 4 4 2 2" xfId="17805" xr:uid="{71346C0A-DC0B-4A2C-AFE6-D43D2C4E3F91}"/>
    <cellStyle name="40% - Accent5 3 4 4 3" xfId="15611" xr:uid="{B2C19D29-4AC5-43EE-B7A9-9F86DE0B509D}"/>
    <cellStyle name="40% - Accent5 3 4 5" xfId="2481" xr:uid="{71386853-F34A-43FD-86DC-1390EDE0F7BA}"/>
    <cellStyle name="40% - Accent5 3 4 5 2" xfId="16532" xr:uid="{F4E4BDDD-CE08-4D9C-B481-AF99DAD0EE31}"/>
    <cellStyle name="40% - Accent5 3 4 6" xfId="4847" xr:uid="{046EAE76-334D-4443-8A40-B67B2686B092}"/>
    <cellStyle name="40% - Accent5 3 4 6 2" xfId="18899" xr:uid="{6320EF1D-CAD6-42A8-8A95-3A0663F42A09}"/>
    <cellStyle name="40% - Accent5 3 4 7" xfId="14338" xr:uid="{0DA2A8E4-61BB-489A-8086-B0EA6943BE94}"/>
    <cellStyle name="40% - Accent5 3 5" xfId="455" xr:uid="{C2541C0A-1CCB-473E-A6B4-832ECEE08153}"/>
    <cellStyle name="40% - Accent5 3 5 2" xfId="1388" xr:uid="{0F2A4CF3-97E0-4624-B357-626149333C3F}"/>
    <cellStyle name="40% - Accent5 3 5 2 2" xfId="3578" xr:uid="{09C6270A-821E-4C15-B93C-18B0D9CDEF91}"/>
    <cellStyle name="40% - Accent5 3 5 2 2 2" xfId="17631" xr:uid="{03C6244D-5E45-482C-9D69-1F86540CBB8A}"/>
    <cellStyle name="40% - Accent5 3 5 2 3" xfId="15437" xr:uid="{5325A518-4D4A-4E26-8C4F-E1C55693011D}"/>
    <cellStyle name="40% - Accent5 3 5 3" xfId="2654" xr:uid="{AF7BAC6F-B70F-42E9-9083-5EEC4D0FC5A0}"/>
    <cellStyle name="40% - Accent5 3 5 3 2" xfId="16705" xr:uid="{8467CEC3-311C-42D5-A400-94077219EC46}"/>
    <cellStyle name="40% - Accent5 3 5 4" xfId="4673" xr:uid="{1C1B04D4-EDDB-4ADC-A7C4-7CBE6B8A94BF}"/>
    <cellStyle name="40% - Accent5 3 5 4 2" xfId="18725" xr:uid="{B59B69B9-5E52-49D7-8163-BA201D1148C1}"/>
    <cellStyle name="40% - Accent5 3 5 5" xfId="14510" xr:uid="{CD2E99F8-699B-4E47-AE47-0456FAA75522}"/>
    <cellStyle name="40% - Accent5 3 6" xfId="808" xr:uid="{3D386D00-0A65-4D21-B992-BA5F86180AC7}"/>
    <cellStyle name="40% - Accent5 3 6 2" xfId="1907" xr:uid="{B800347C-DC42-42C0-8304-5D703F8D8FD5}"/>
    <cellStyle name="40% - Accent5 3 6 2 2" xfId="4096" xr:uid="{09988323-4901-437E-9B11-DF19D82AF952}"/>
    <cellStyle name="40% - Accent5 3 6 2 2 2" xfId="18148" xr:uid="{1CB1BAF0-39EF-4B87-868C-67D94E9928E6}"/>
    <cellStyle name="40% - Accent5 3 6 2 3" xfId="15956" xr:uid="{1EE6E0CC-EB25-4088-9B80-DF2BF28BD80B}"/>
    <cellStyle name="40% - Accent5 3 6 3" xfId="3000" xr:uid="{FDE6F67C-DE7B-4F59-9DD2-B50A23343916}"/>
    <cellStyle name="40% - Accent5 3 6 3 2" xfId="17052" xr:uid="{3D783F19-BDB8-4331-95BC-BED6B759599B}"/>
    <cellStyle name="40% - Accent5 3 6 4" xfId="14858" xr:uid="{FE5F259D-0D7C-4774-83ED-57C0E4E606E2}"/>
    <cellStyle name="40% - Accent5 3 7" xfId="1152" xr:uid="{B2A3F8A6-E4F2-4F33-A91D-A90BF4F8B9DC}"/>
    <cellStyle name="40% - Accent5 3 7 2" xfId="2252" xr:uid="{8B91B2F4-16DA-4E4E-AF39-3F2B26265E13}"/>
    <cellStyle name="40% - Accent5 3 7 2 2" xfId="4441" xr:uid="{8A8C7A12-3081-4B17-B4F9-A6B80306F56D}"/>
    <cellStyle name="40% - Accent5 3 7 2 2 2" xfId="18491" xr:uid="{31D60630-D824-43E0-AE77-3E113298383A}"/>
    <cellStyle name="40% - Accent5 3 7 2 3" xfId="16301" xr:uid="{4D32EDB5-113B-41B6-B24D-B765072A92B2}"/>
    <cellStyle name="40% - Accent5 3 7 3" xfId="3345" xr:uid="{8B2A89FB-AE97-4788-A63D-6173537FA60A}"/>
    <cellStyle name="40% - Accent5 3 7 3 2" xfId="17397" xr:uid="{EAD90651-B8AE-4914-AED3-32F0B75BCB83}"/>
    <cellStyle name="40% - Accent5 3 7 4" xfId="15203" xr:uid="{030BF4CD-6D06-4D03-9315-F1AAF1C3B2CA}"/>
    <cellStyle name="40% - Accent5 3 8" xfId="1216" xr:uid="{7286D867-9FB6-4D53-802C-5763AE337AAF}"/>
    <cellStyle name="40% - Accent5 3 8 2" xfId="3406" xr:uid="{A2DD5878-ABEB-426D-8BE8-26FEE283C09F}"/>
    <cellStyle name="40% - Accent5 3 8 2 2" xfId="17458" xr:uid="{8B9ADA6A-DE8F-41FD-8330-E309F7FAF701}"/>
    <cellStyle name="40% - Accent5 3 8 3" xfId="15264" xr:uid="{598B2B17-A359-48C0-931A-E5909DF7ABF2}"/>
    <cellStyle name="40% - Accent5 3 9" xfId="2307" xr:uid="{9D464E66-7764-416D-A349-CBB8CD58F728}"/>
    <cellStyle name="40% - Accent5 3 9 2" xfId="16358" xr:uid="{B2FC90D2-D436-45FB-A23A-EC04EC89D0B8}"/>
    <cellStyle name="40% - Accent5 4" xfId="198" xr:uid="{5ACC0055-865C-4348-81E6-A6E8D4BB090D}"/>
    <cellStyle name="40% - Accent5 4 2" xfId="375" xr:uid="{CDBC2216-56E1-409C-8E41-91A63D875575}"/>
    <cellStyle name="40% - Accent5 4 2 2" xfId="729" xr:uid="{EBCBE9FE-9F3D-4832-8125-33295E6E0301}"/>
    <cellStyle name="40% - Accent5 4 2 2 2" xfId="1830" xr:uid="{AC6C6CA0-65F8-467A-AD19-EBFC571C4703}"/>
    <cellStyle name="40% - Accent5 4 2 2 2 2" xfId="4019" xr:uid="{D9F50AE0-C036-4145-B9D7-A712EFD3A572}"/>
    <cellStyle name="40% - Accent5 4 2 2 2 2 2" xfId="18071" xr:uid="{EC044DBE-637B-4134-BAA5-ED150E7F41C2}"/>
    <cellStyle name="40% - Accent5 4 2 2 2 3" xfId="15879" xr:uid="{1A7B1028-27EF-448D-9E80-DC283BDB3E90}"/>
    <cellStyle name="40% - Accent5 4 2 2 3" xfId="2921" xr:uid="{AB38C5DD-9A36-4E89-8902-A0EDFE4B6AD7}"/>
    <cellStyle name="40% - Accent5 4 2 2 3 2" xfId="16973" xr:uid="{FE3FE614-3AC7-4B29-9B59-83EBCE82423C}"/>
    <cellStyle name="40% - Accent5 4 2 2 4" xfId="14780" xr:uid="{75B7F91F-35AD-462C-AAF9-8C6C03248A5D}"/>
    <cellStyle name="40% - Accent5 4 2 3" xfId="1076" xr:uid="{EDD00A14-7AAA-442C-A9F3-86FAAB3642C3}"/>
    <cellStyle name="40% - Accent5 4 2 3 2" xfId="2175" xr:uid="{2F40CA87-6C3D-4E19-B319-96BC7B982F4B}"/>
    <cellStyle name="40% - Accent5 4 2 3 2 2" xfId="4364" xr:uid="{561835ED-6279-4FF5-9253-200671F00FE2}"/>
    <cellStyle name="40% - Accent5 4 2 3 2 2 2" xfId="18414" xr:uid="{FF3D3C26-84C3-4EC0-AB3E-0F4D74FABE93}"/>
    <cellStyle name="40% - Accent5 4 2 3 2 3" xfId="16224" xr:uid="{5623E04C-9A22-4F45-80D0-3130547F8DB9}"/>
    <cellStyle name="40% - Accent5 4 2 3 3" xfId="3268" xr:uid="{DD1A7EBB-A3B0-4E8C-AF87-6A4E405CC3F9}"/>
    <cellStyle name="40% - Accent5 4 2 3 3 2" xfId="17320" xr:uid="{A6156604-BC59-47E7-BAE3-F29F085EADA8}"/>
    <cellStyle name="40% - Accent5 4 2 3 4" xfId="15126" xr:uid="{B60771F7-61F6-45FF-BF72-19382E919AEA}"/>
    <cellStyle name="40% - Accent5 4 2 4" xfId="1656" xr:uid="{0ABD67B8-B024-41A4-A42E-A2291AAEE877}"/>
    <cellStyle name="40% - Accent5 4 2 4 2" xfId="3846" xr:uid="{EF89D9BB-27EB-4E81-971B-6C76E1B9A5BA}"/>
    <cellStyle name="40% - Accent5 4 2 4 2 2" xfId="17899" xr:uid="{F6F62745-82C7-499D-BC14-D7E1AC0AE019}"/>
    <cellStyle name="40% - Accent5 4 2 4 3" xfId="15705" xr:uid="{4561A947-23A4-483B-8C81-C7E2E27B50A4}"/>
    <cellStyle name="40% - Accent5 4 2 5" xfId="2575" xr:uid="{9509BE13-4B8C-45D2-B1F4-6CF7571EF8B9}"/>
    <cellStyle name="40% - Accent5 4 2 5 2" xfId="16626" xr:uid="{2F71D286-22B9-4824-8EE0-00C7CBDE97F1}"/>
    <cellStyle name="40% - Accent5 4 2 6" xfId="4941" xr:uid="{BDF3173E-12C3-4E03-8DFA-0C6CDF915771}"/>
    <cellStyle name="40% - Accent5 4 2 6 2" xfId="18993" xr:uid="{E084A2B8-A43E-4081-B186-67FE77ECCF8C}"/>
    <cellStyle name="40% - Accent5 4 2 7" xfId="14432" xr:uid="{869D58D6-52FB-4D11-8B44-42B41070E4E0}"/>
    <cellStyle name="40% - Accent5 4 3" xfId="549" xr:uid="{46EFDDF7-3D18-490D-9CA0-D2F4C65130BC}"/>
    <cellStyle name="40% - Accent5 4 3 2" xfId="1482" xr:uid="{BDAE7DEC-CC9E-4EC8-8304-D8CB74A5BF92}"/>
    <cellStyle name="40% - Accent5 4 3 2 2" xfId="3672" xr:uid="{CD2888F5-B00F-4D97-AAAF-F03AEAFADC34}"/>
    <cellStyle name="40% - Accent5 4 3 2 2 2" xfId="17725" xr:uid="{3CB3E9A3-A16B-4355-A5A3-1D35DD5B613C}"/>
    <cellStyle name="40% - Accent5 4 3 2 3" xfId="15531" xr:uid="{CBBE6E6F-2090-4D94-AD52-E8CC9EA1D8AF}"/>
    <cellStyle name="40% - Accent5 4 3 3" xfId="2748" xr:uid="{BCF0EBF6-99C2-4E2F-9B55-E62F6CB7AE78}"/>
    <cellStyle name="40% - Accent5 4 3 3 2" xfId="16799" xr:uid="{6D05329B-CCD2-44CE-BDC5-94EC2966F28F}"/>
    <cellStyle name="40% - Accent5 4 3 4" xfId="4767" xr:uid="{F3392429-4E87-4381-A141-839D900B1859}"/>
    <cellStyle name="40% - Accent5 4 3 4 2" xfId="18819" xr:uid="{ABFD1CE7-EF91-40AE-8930-BA0CB7BCE88E}"/>
    <cellStyle name="40% - Accent5 4 3 5" xfId="14604" xr:uid="{C5B26AFE-97A7-44C3-84E5-848A512417D4}"/>
    <cellStyle name="40% - Accent5 4 4" xfId="902" xr:uid="{E641F61D-F709-4E23-B5E8-04A388DC667A}"/>
    <cellStyle name="40% - Accent5 4 4 2" xfId="2001" xr:uid="{32C2069A-2D70-48C5-AE86-F682E97960C6}"/>
    <cellStyle name="40% - Accent5 4 4 2 2" xfId="4190" xr:uid="{AB63419D-B0EA-40F3-9A7F-13257285ECC0}"/>
    <cellStyle name="40% - Accent5 4 4 2 2 2" xfId="18241" xr:uid="{F614B1BE-8B95-41E6-AE10-109BF2082346}"/>
    <cellStyle name="40% - Accent5 4 4 2 3" xfId="16050" xr:uid="{EC2A2D9D-CF0E-4B82-A01E-A400E931DBB6}"/>
    <cellStyle name="40% - Accent5 4 4 3" xfId="3094" xr:uid="{E2553219-90C7-474E-AC09-C5F69E32C820}"/>
    <cellStyle name="40% - Accent5 4 4 3 2" xfId="17146" xr:uid="{4CF20BA8-2F05-4149-9886-3C22354139FA}"/>
    <cellStyle name="40% - Accent5 4 4 4" xfId="14952" xr:uid="{B8897A50-FFE2-4761-BDD3-4C074E566A22}"/>
    <cellStyle name="40% - Accent5 4 5" xfId="1309" xr:uid="{E4AC2354-2083-458B-A2B6-6702BDBE54F2}"/>
    <cellStyle name="40% - Accent5 4 5 2" xfId="3500" xr:uid="{FBE7E15D-1031-40AC-AEA4-ED956B29FE5F}"/>
    <cellStyle name="40% - Accent5 4 5 2 2" xfId="17552" xr:uid="{10A11B85-0A94-4B56-9950-4520F947A20D}"/>
    <cellStyle name="40% - Accent5 4 5 3" xfId="15358" xr:uid="{75C548CA-E821-4588-B2BD-34D418A7D27A}"/>
    <cellStyle name="40% - Accent5 4 6" xfId="2401" xr:uid="{3334D4F3-619E-4121-A0E4-FD7E8A596208}"/>
    <cellStyle name="40% - Accent5 4 6 2" xfId="16452" xr:uid="{41F64C4E-DB0A-4E4B-9AF1-F8C164885A9E}"/>
    <cellStyle name="40% - Accent5 4 7" xfId="4594" xr:uid="{3496A04A-DF52-48D1-8DA4-381DC4CF6BA8}"/>
    <cellStyle name="40% - Accent5 4 7 2" xfId="18646" xr:uid="{5406A195-818A-4C5A-B617-6247906C4A8F}"/>
    <cellStyle name="40% - Accent5 4 8" xfId="14257" xr:uid="{70B2359C-9F7E-4384-997C-65B7EDB627B1}"/>
    <cellStyle name="40% - Accent5 5" xfId="141" xr:uid="{85F0B435-E199-4C2A-9C01-F3938F45CC2C}"/>
    <cellStyle name="40% - Accent5 5 2" xfId="318" xr:uid="{53D9644F-90DF-407E-BF07-EAA0097DC8BF}"/>
    <cellStyle name="40% - Accent5 5 2 2" xfId="672" xr:uid="{D1949ADD-CC22-46F3-AD90-81FBADF9BC2D}"/>
    <cellStyle name="40% - Accent5 5 2 2 2" xfId="1773" xr:uid="{40ACE300-1995-42D7-B50A-23207595E981}"/>
    <cellStyle name="40% - Accent5 5 2 2 2 2" xfId="3962" xr:uid="{AD24F7F8-4CA9-41F7-8B9D-C081737B2459}"/>
    <cellStyle name="40% - Accent5 5 2 2 2 2 2" xfId="18014" xr:uid="{88FAB91D-01FD-48F1-826D-E2EB8BB95D0A}"/>
    <cellStyle name="40% - Accent5 5 2 2 2 3" xfId="15822" xr:uid="{A10DEA6F-5EC6-4B96-8B19-70EB52540792}"/>
    <cellStyle name="40% - Accent5 5 2 2 3" xfId="2864" xr:uid="{C2025014-5352-4849-AFCF-A521A8F6FD73}"/>
    <cellStyle name="40% - Accent5 5 2 2 3 2" xfId="16916" xr:uid="{E80F6A03-250E-4DEB-A990-E3C954807C5E}"/>
    <cellStyle name="40% - Accent5 5 2 2 4" xfId="14723" xr:uid="{5EB33C6B-5308-4F07-96AA-7160FCBE3236}"/>
    <cellStyle name="40% - Accent5 5 2 3" xfId="1019" xr:uid="{141B5CCF-61DE-4C8A-AA9E-34D7108DE1EC}"/>
    <cellStyle name="40% - Accent5 5 2 3 2" xfId="2118" xr:uid="{C1321CB5-8129-4051-93F0-DB688C00CE56}"/>
    <cellStyle name="40% - Accent5 5 2 3 2 2" xfId="4307" xr:uid="{3590D75D-6FB2-4C87-A33D-8D595AFAEE71}"/>
    <cellStyle name="40% - Accent5 5 2 3 2 2 2" xfId="18357" xr:uid="{9BF347AF-625A-4936-A53A-F7531C44D165}"/>
    <cellStyle name="40% - Accent5 5 2 3 2 3" xfId="16167" xr:uid="{17A7802D-A528-4880-9562-3F41A51750DA}"/>
    <cellStyle name="40% - Accent5 5 2 3 3" xfId="3211" xr:uid="{24459A32-1626-4968-9486-9DA2B5CEAA5D}"/>
    <cellStyle name="40% - Accent5 5 2 3 3 2" xfId="17263" xr:uid="{6F450957-995D-4154-A0F3-E45037A18C3F}"/>
    <cellStyle name="40% - Accent5 5 2 3 4" xfId="15069" xr:uid="{67F9827C-2AFA-42B7-A7A4-35DAC81BE4F7}"/>
    <cellStyle name="40% - Accent5 5 2 4" xfId="1599" xr:uid="{BFD27664-6A73-41F4-807B-D7D3EA3CB00F}"/>
    <cellStyle name="40% - Accent5 5 2 4 2" xfId="3789" xr:uid="{9A0B13DE-D74D-4700-85FA-E1924E1DD3D7}"/>
    <cellStyle name="40% - Accent5 5 2 4 2 2" xfId="17842" xr:uid="{973A26D5-BF44-4758-BB82-6D9E75040023}"/>
    <cellStyle name="40% - Accent5 5 2 4 3" xfId="15648" xr:uid="{EFFD64B8-819E-40AA-AF03-9AB8D78B8AA7}"/>
    <cellStyle name="40% - Accent5 5 2 5" xfId="2518" xr:uid="{23C64737-7AE6-4C06-90B5-E7542EFE8C0E}"/>
    <cellStyle name="40% - Accent5 5 2 5 2" xfId="16569" xr:uid="{87F0DE11-3109-424A-AFD2-1674B7D9916B}"/>
    <cellStyle name="40% - Accent5 5 2 6" xfId="4884" xr:uid="{178B4233-3293-4F8C-984E-691AF6751151}"/>
    <cellStyle name="40% - Accent5 5 2 6 2" xfId="18936" xr:uid="{4FB4C06C-237C-49B3-936D-0583ABE4FDC3}"/>
    <cellStyle name="40% - Accent5 5 2 7" xfId="14375" xr:uid="{77AA84E5-311C-4C31-B3D6-108E2830C4D3}"/>
    <cellStyle name="40% - Accent5 5 3" xfId="492" xr:uid="{6DCF18E4-EFD8-42CE-A8B8-846D5A15E720}"/>
    <cellStyle name="40% - Accent5 5 3 2" xfId="1425" xr:uid="{773D8D61-B473-42B2-97DC-DF28A665EF4C}"/>
    <cellStyle name="40% - Accent5 5 3 2 2" xfId="3615" xr:uid="{1981FD7F-2B77-4664-AD15-28F141CDE6EA}"/>
    <cellStyle name="40% - Accent5 5 3 2 2 2" xfId="17668" xr:uid="{3C439B4D-F7FA-49FA-A497-1C7FBAB5DE91}"/>
    <cellStyle name="40% - Accent5 5 3 2 3" xfId="15474" xr:uid="{D7F1D338-F1A5-43BB-88B4-3295CE52877B}"/>
    <cellStyle name="40% - Accent5 5 3 3" xfId="2691" xr:uid="{08743938-47BE-490F-8699-7ADA44D03074}"/>
    <cellStyle name="40% - Accent5 5 3 3 2" xfId="16742" xr:uid="{B7071993-1BE4-40F0-91FE-14A445D9A9B3}"/>
    <cellStyle name="40% - Accent5 5 3 4" xfId="4710" xr:uid="{50290103-E28E-4086-9A14-5EF25F07E10E}"/>
    <cellStyle name="40% - Accent5 5 3 4 2" xfId="18762" xr:uid="{76F1F467-45BF-4455-B584-A42311931074}"/>
    <cellStyle name="40% - Accent5 5 3 5" xfId="14547" xr:uid="{02EF0282-AA38-49F0-B8FE-976E92D33888}"/>
    <cellStyle name="40% - Accent5 5 4" xfId="845" xr:uid="{694F5A60-25F1-4F01-9214-DCA26ED212F9}"/>
    <cellStyle name="40% - Accent5 5 4 2" xfId="1944" xr:uid="{19FDBFBD-E033-4971-B20A-65D9DD8F84EB}"/>
    <cellStyle name="40% - Accent5 5 4 2 2" xfId="4133" xr:uid="{D6DEA456-D992-41B6-9B00-E1D069B51E0E}"/>
    <cellStyle name="40% - Accent5 5 4 2 2 2" xfId="18185" xr:uid="{98306808-0073-4E05-A44D-E51AA5558975}"/>
    <cellStyle name="40% - Accent5 5 4 2 3" xfId="15993" xr:uid="{25F3681B-AA62-4450-8F0C-8380A29145F7}"/>
    <cellStyle name="40% - Accent5 5 4 3" xfId="3037" xr:uid="{286C4237-0E54-4B26-9D54-E6C11F57D1BD}"/>
    <cellStyle name="40% - Accent5 5 4 3 2" xfId="17089" xr:uid="{ECEC02DA-2D36-4B7F-B160-90099B0DA1C7}"/>
    <cellStyle name="40% - Accent5 5 4 4" xfId="14895" xr:uid="{F2AD4F84-7269-430C-9AC1-06CB06218B7E}"/>
    <cellStyle name="40% - Accent5 5 5" xfId="1253" xr:uid="{D5B481A9-B780-46D0-AB02-E5BBE0435EA6}"/>
    <cellStyle name="40% - Accent5 5 5 2" xfId="3443" xr:uid="{A4A6ECE1-F23D-46F9-B62B-A9A69E56E475}"/>
    <cellStyle name="40% - Accent5 5 5 2 2" xfId="17495" xr:uid="{DE08BF12-BC73-48C5-85CE-38B6F1AE6599}"/>
    <cellStyle name="40% - Accent5 5 5 3" xfId="15301" xr:uid="{BBCECB1D-213C-4FE5-AB2C-440B6E87D6E2}"/>
    <cellStyle name="40% - Accent5 5 6" xfId="2344" xr:uid="{FF1B134A-7111-4421-8930-C67D263135E0}"/>
    <cellStyle name="40% - Accent5 5 6 2" xfId="16395" xr:uid="{BA74AF25-FBEE-4E0A-9F18-6444DFDCAA4F}"/>
    <cellStyle name="40% - Accent5 5 7" xfId="4537" xr:uid="{5E6B7792-DA7C-45DA-A2AF-D8150DFF6DCC}"/>
    <cellStyle name="40% - Accent5 5 7 2" xfId="18589" xr:uid="{58EDC832-014B-49CB-88B5-D597A96E3F1D}"/>
    <cellStyle name="40% - Accent5 5 8" xfId="14200" xr:uid="{0F85EAAE-64A8-4818-BA67-C7CD52B7E819}"/>
    <cellStyle name="40% - Accent5 6" xfId="258" xr:uid="{D89C2828-9BD2-4B9B-81A2-16E095EC3015}"/>
    <cellStyle name="40% - Accent5 6 2" xfId="612" xr:uid="{8083C1DD-8E59-44B8-9B52-F49ABB4B8CA4}"/>
    <cellStyle name="40% - Accent5 6 2 2" xfId="1717" xr:uid="{10E55D14-9C5A-483A-88A9-82A218969729}"/>
    <cellStyle name="40% - Accent5 6 2 2 2" xfId="3905" xr:uid="{9EF95900-422D-42FD-B625-5102AC4980B6}"/>
    <cellStyle name="40% - Accent5 6 2 2 2 2" xfId="17957" xr:uid="{2D27C8CF-7BD6-4B07-953E-04B2D343E8E9}"/>
    <cellStyle name="40% - Accent5 6 2 2 3" xfId="15765" xr:uid="{56FB23AC-FA9C-442B-A0E8-19EACBEE62C1}"/>
    <cellStyle name="40% - Accent5 6 2 3" xfId="2808" xr:uid="{84F59583-8713-4811-9CE7-5300380275FC}"/>
    <cellStyle name="40% - Accent5 6 2 3 2" xfId="16859" xr:uid="{49326C2D-65F2-4196-9E7D-B31590009953}"/>
    <cellStyle name="40% - Accent5 6 2 4" xfId="14665" xr:uid="{8B93655B-0032-4EAC-B937-9231BB06576E}"/>
    <cellStyle name="40% - Accent5 6 3" xfId="962" xr:uid="{9F748217-6FA8-42D1-9BDF-05457841B18F}"/>
    <cellStyle name="40% - Accent5 6 3 2" xfId="2061" xr:uid="{1772CB33-23BA-4249-ADAF-C8909B40394A}"/>
    <cellStyle name="40% - Accent5 6 3 2 2" xfId="4250" xr:uid="{276ACD7E-6E6E-4CFF-A06F-D44B5070A590}"/>
    <cellStyle name="40% - Accent5 6 3 2 2 2" xfId="18301" xr:uid="{32636CC4-B600-4B8C-9AEA-06A626BA623C}"/>
    <cellStyle name="40% - Accent5 6 3 2 3" xfId="16110" xr:uid="{C58AA222-31D0-4266-9B6B-EAAD65169B73}"/>
    <cellStyle name="40% - Accent5 6 3 3" xfId="3154" xr:uid="{63934D18-FAD3-401F-B6F3-D1562138DFD7}"/>
    <cellStyle name="40% - Accent5 6 3 3 2" xfId="17206" xr:uid="{7BD303A4-3C2E-4800-BAC2-14BFDBE21D25}"/>
    <cellStyle name="40% - Accent5 6 3 4" xfId="15012" xr:uid="{CD6397D7-E96F-4C18-9587-0068E3E2058A}"/>
    <cellStyle name="40% - Accent5 6 4" xfId="1542" xr:uid="{B491A684-FAA1-4EC0-8FF2-4C7D72DBF8BE}"/>
    <cellStyle name="40% - Accent5 6 4 2" xfId="3732" xr:uid="{3D111C44-1C5E-4250-B007-EB029E8DD0EB}"/>
    <cellStyle name="40% - Accent5 6 4 2 2" xfId="17785" xr:uid="{A42E11A3-DC77-4348-A6CC-1DB674645A28}"/>
    <cellStyle name="40% - Accent5 6 4 3" xfId="15591" xr:uid="{A29A155D-7925-44B5-9D75-606DE6183B8F}"/>
    <cellStyle name="40% - Accent5 6 5" xfId="2461" xr:uid="{44127C45-DC42-4F49-A410-38C6E0F90276}"/>
    <cellStyle name="40% - Accent5 6 5 2" xfId="16512" xr:uid="{ADEC3A05-ED54-4835-B235-7098D1D9D428}"/>
    <cellStyle name="40% - Accent5 6 6" xfId="4827" xr:uid="{35CE452C-4629-40B2-863C-2608E3572280}"/>
    <cellStyle name="40% - Accent5 6 6 2" xfId="18879" xr:uid="{BE1949EB-F501-48F4-A859-8ABF068D5603}"/>
    <cellStyle name="40% - Accent5 6 7" xfId="14317" xr:uid="{7337E183-8F20-40FB-BD53-E6ECBC35C404}"/>
    <cellStyle name="40% - Accent5 7" xfId="434" xr:uid="{45206FC7-B2E8-4EBE-B74C-FE967D2F4986}"/>
    <cellStyle name="40% - Accent5 7 2" xfId="1368" xr:uid="{3A873820-3BB1-4DE2-84D8-9675E70E3C1D}"/>
    <cellStyle name="40% - Accent5 7 2 2" xfId="3558" xr:uid="{1AF878EA-3224-4FC5-B781-1E824AD552E9}"/>
    <cellStyle name="40% - Accent5 7 2 2 2" xfId="17611" xr:uid="{AE05B48F-AC7C-44DE-92F3-6637BB6D13D1}"/>
    <cellStyle name="40% - Accent5 7 2 3" xfId="15417" xr:uid="{3E092028-7B87-493C-92B7-C65517CD4C61}"/>
    <cellStyle name="40% - Accent5 7 3" xfId="2634" xr:uid="{7333724F-E27A-4ABE-B177-C43A0BEAEE9D}"/>
    <cellStyle name="40% - Accent5 7 3 2" xfId="16685" xr:uid="{DD71516D-A80E-450A-9A9D-BA0DE68907D4}"/>
    <cellStyle name="40% - Accent5 7 4" xfId="4653" xr:uid="{C0034AAE-372A-426B-9BD2-2B1CB02263DC}"/>
    <cellStyle name="40% - Accent5 7 4 2" xfId="18705" xr:uid="{12FE8771-77CC-4423-94A4-9299819093E2}"/>
    <cellStyle name="40% - Accent5 7 5" xfId="14490" xr:uid="{0B3F56DA-5FC7-4339-8629-E34860A4C700}"/>
    <cellStyle name="40% - Accent5 8" xfId="788" xr:uid="{607AA89D-60AC-4F8B-B901-F33197707564}"/>
    <cellStyle name="40% - Accent5 8 2" xfId="1889" xr:uid="{F6C2C53E-1F7C-4AEB-B8A6-867884BF7238}"/>
    <cellStyle name="40% - Accent5 8 2 2" xfId="4078" xr:uid="{4ED31065-120A-44B1-B549-31236B91855A}"/>
    <cellStyle name="40% - Accent5 8 2 2 2" xfId="18130" xr:uid="{2652C75F-A640-4673-8D76-97C3C97A00AE}"/>
    <cellStyle name="40% - Accent5 8 2 3" xfId="15938" xr:uid="{F32509A2-39CC-4701-88C5-0173B3C44EFC}"/>
    <cellStyle name="40% - Accent5 8 3" xfId="2980" xr:uid="{39D20638-324A-4C21-B728-FEF646B9F359}"/>
    <cellStyle name="40% - Accent5 8 3 2" xfId="17032" xr:uid="{2BF62406-BD24-490D-A08C-BD12907DFC7A}"/>
    <cellStyle name="40% - Accent5 8 4" xfId="14838" xr:uid="{361259D7-6842-424A-B312-57822B930DD3}"/>
    <cellStyle name="40% - Accent5 9" xfId="1132" xr:uid="{D4943BC2-4094-48D5-8CB8-47E73630916B}"/>
    <cellStyle name="40% - Accent5 9 2" xfId="2232" xr:uid="{AF18AE67-4724-4875-85A4-AB048D3612D3}"/>
    <cellStyle name="40% - Accent5 9 2 2" xfId="4421" xr:uid="{1D5903E2-A571-417E-8DF1-E19CA98386DD}"/>
    <cellStyle name="40% - Accent5 9 2 2 2" xfId="18471" xr:uid="{C16D8D74-D25A-4DFA-B97B-B62259B553B3}"/>
    <cellStyle name="40% - Accent5 9 2 3" xfId="16281" xr:uid="{CFE4A14A-A997-4829-8BAF-EE3812B84E7D}"/>
    <cellStyle name="40% - Accent5 9 3" xfId="3325" xr:uid="{D27E928F-C52B-4DAA-B0BF-098F6427F450}"/>
    <cellStyle name="40% - Accent5 9 3 2" xfId="17377" xr:uid="{67DADC2F-97C8-4629-AB94-EA2BF78092BA}"/>
    <cellStyle name="40% - Accent5 9 4" xfId="15183" xr:uid="{1C353476-A7AB-4828-89C5-0FC13ACC5A26}"/>
    <cellStyle name="40% - Accent6" xfId="61" builtinId="51" customBuiltin="1"/>
    <cellStyle name="40% - Accent6 10" xfId="1197" xr:uid="{84E01F3A-305D-4C68-BA71-E365DA76E821}"/>
    <cellStyle name="40% - Accent6 10 2" xfId="3388" xr:uid="{796E3232-FE04-479E-8506-34E6F21C9617}"/>
    <cellStyle name="40% - Accent6 10 2 2" xfId="17440" xr:uid="{824BB2E3-7D0B-4C9E-AF23-EDC0A845E00F}"/>
    <cellStyle name="40% - Accent6 10 3" xfId="15246" xr:uid="{2CD9DC3B-6B33-445A-8337-32FD91010756}"/>
    <cellStyle name="40% - Accent6 11" xfId="2289" xr:uid="{43441A59-5046-4252-8CE4-1D8D30866355}"/>
    <cellStyle name="40% - Accent6 11 2" xfId="16340" xr:uid="{9130C1ED-A30B-4293-AE3C-5CE95D0F6752}"/>
    <cellStyle name="40% - Accent6 12" xfId="4483" xr:uid="{695CC49F-DB04-4B80-9605-F181FD348BB0}"/>
    <cellStyle name="40% - Accent6 12 2" xfId="18534" xr:uid="{43B1F9AA-9AB9-4D68-9605-1586C500B2DA}"/>
    <cellStyle name="40% - Accent6 13" xfId="14136" xr:uid="{6A4C8C7C-4281-481E-ACB3-12A931B7C8E3}"/>
    <cellStyle name="40% - Accent6 2" xfId="129" xr:uid="{3CD5BD60-E71E-4E3E-B8F6-5043B16DA158}"/>
    <cellStyle name="40% - Accent6 2 10" xfId="4526" xr:uid="{64287266-3EEF-4984-9D3A-DEF8F44B66F7}"/>
    <cellStyle name="40% - Accent6 2 10 2" xfId="18578" xr:uid="{D77493E5-8FA8-4100-9B3C-5CFA21E98941}"/>
    <cellStyle name="40% - Accent6 2 11" xfId="14189" xr:uid="{ADA6A6D5-D63A-4E81-A4E3-8250EA857676}"/>
    <cellStyle name="40% - Accent6 2 2" xfId="244" xr:uid="{F547E0B9-38BE-4CDF-A69B-BF1948B66A3A}"/>
    <cellStyle name="40% - Accent6 2 2 2" xfId="421" xr:uid="{5CB35DD5-F5E9-47CB-A19F-DE10CFBA746C}"/>
    <cellStyle name="40% - Accent6 2 2 2 2" xfId="775" xr:uid="{BA3592D9-72E3-4D41-BA4C-D2C608360126}"/>
    <cellStyle name="40% - Accent6 2 2 2 2 2" xfId="1876" xr:uid="{6972C78E-A609-479C-A27A-9AEA2412E905}"/>
    <cellStyle name="40% - Accent6 2 2 2 2 2 2" xfId="4065" xr:uid="{E7E776AD-9B5D-4EBC-A3D7-B594269B573F}"/>
    <cellStyle name="40% - Accent6 2 2 2 2 2 2 2" xfId="18117" xr:uid="{4F87B651-1FC7-4A58-89E0-ED0B912749F9}"/>
    <cellStyle name="40% - Accent6 2 2 2 2 2 3" xfId="15925" xr:uid="{ED6B988F-8C74-4AB2-A140-016FBBDE9196}"/>
    <cellStyle name="40% - Accent6 2 2 2 2 3" xfId="2967" xr:uid="{0DAE3F8A-288E-4607-A9C2-390E3D1A2830}"/>
    <cellStyle name="40% - Accent6 2 2 2 2 3 2" xfId="17019" xr:uid="{336EF6EA-F21C-406F-B337-DD9F64B6E070}"/>
    <cellStyle name="40% - Accent6 2 2 2 2 4" xfId="14825" xr:uid="{8B13672F-8FB8-45D2-83F3-21968F6D8437}"/>
    <cellStyle name="40% - Accent6 2 2 2 3" xfId="1122" xr:uid="{12D7EF64-52C5-48FE-A0F1-7834BB17116E}"/>
    <cellStyle name="40% - Accent6 2 2 2 3 2" xfId="2221" xr:uid="{BD8832F2-4116-413B-9729-AE18217CC14D}"/>
    <cellStyle name="40% - Accent6 2 2 2 3 2 2" xfId="4410" xr:uid="{34147B13-92D5-42E9-AA19-6ED0A9E5CB51}"/>
    <cellStyle name="40% - Accent6 2 2 2 3 2 2 2" xfId="18460" xr:uid="{C860CCCD-9FF3-4AFD-BE80-6598069E9416}"/>
    <cellStyle name="40% - Accent6 2 2 2 3 2 3" xfId="16270" xr:uid="{907B8E21-EC4A-4BE6-95D0-C7B88B439B18}"/>
    <cellStyle name="40% - Accent6 2 2 2 3 3" xfId="3314" xr:uid="{BC630F9E-B5BC-45B4-ACCB-B556F52F02C3}"/>
    <cellStyle name="40% - Accent6 2 2 2 3 3 2" xfId="17366" xr:uid="{9B3DC6E0-A251-4100-B131-443862E157FE}"/>
    <cellStyle name="40% - Accent6 2 2 2 3 4" xfId="15172" xr:uid="{7E1A2DB1-789A-449E-BF59-4E13AEAC880E}"/>
    <cellStyle name="40% - Accent6 2 2 2 4" xfId="1702" xr:uid="{90354D5A-F86F-4DEE-91A0-E5D48707D9C3}"/>
    <cellStyle name="40% - Accent6 2 2 2 4 2" xfId="3892" xr:uid="{031158CE-5742-4BE8-96D6-5DC080EEC1AF}"/>
    <cellStyle name="40% - Accent6 2 2 2 4 2 2" xfId="17944" xr:uid="{0F570CF1-9695-40D4-8E4B-960A13101781}"/>
    <cellStyle name="40% - Accent6 2 2 2 4 3" xfId="15751" xr:uid="{5AFA6A96-7604-4AF0-9282-19E0AFF87506}"/>
    <cellStyle name="40% - Accent6 2 2 2 5" xfId="2621" xr:uid="{B8A0FF2E-FDEC-4CCB-883A-347D09D69F25}"/>
    <cellStyle name="40% - Accent6 2 2 2 5 2" xfId="16672" xr:uid="{F2CE644E-3BE4-4EF2-8035-E4FAAFE61E4C}"/>
    <cellStyle name="40% - Accent6 2 2 2 6" xfId="4987" xr:uid="{2FB5222A-670D-4908-B270-70841D64F4EE}"/>
    <cellStyle name="40% - Accent6 2 2 2 6 2" xfId="19039" xr:uid="{B59548DC-6F6A-41A6-99E9-496754ADA9E7}"/>
    <cellStyle name="40% - Accent6 2 2 2 7" xfId="14477" xr:uid="{ED7885C3-B7F0-4B6B-9655-2305894D6723}"/>
    <cellStyle name="40% - Accent6 2 2 3" xfId="595" xr:uid="{DEBCA3CA-3C7D-4E19-9A3B-558F98B40861}"/>
    <cellStyle name="40% - Accent6 2 2 3 2" xfId="1528" xr:uid="{177637C5-CAFD-43FA-82B6-EEC47C2EB685}"/>
    <cellStyle name="40% - Accent6 2 2 3 2 2" xfId="3718" xr:uid="{899ACEE1-5F51-496D-8078-7F6F1F45637B}"/>
    <cellStyle name="40% - Accent6 2 2 3 2 2 2" xfId="17771" xr:uid="{1D490904-F720-4BAF-B448-76B4EF5C697B}"/>
    <cellStyle name="40% - Accent6 2 2 3 2 3" xfId="15577" xr:uid="{899F8C5E-B333-4B93-9E23-73E7826EAABB}"/>
    <cellStyle name="40% - Accent6 2 2 3 3" xfId="2794" xr:uid="{6959C526-19CA-454C-B9F8-EAF3C3FF7FE0}"/>
    <cellStyle name="40% - Accent6 2 2 3 3 2" xfId="16845" xr:uid="{789164F3-F3EC-48C0-82D4-4560C9064C4C}"/>
    <cellStyle name="40% - Accent6 2 2 3 4" xfId="4813" xr:uid="{531C5EB9-6A42-46CB-A1D8-62A20BFDEB9D}"/>
    <cellStyle name="40% - Accent6 2 2 3 4 2" xfId="18865" xr:uid="{BBF4EC65-DC30-4216-AC04-A193D3FA2BEB}"/>
    <cellStyle name="40% - Accent6 2 2 3 5" xfId="14650" xr:uid="{5783FE26-9BE9-4B4F-A103-CB0E84384C0D}"/>
    <cellStyle name="40% - Accent6 2 2 4" xfId="948" xr:uid="{D2F6C1B2-96DF-4890-9E0E-AA22F1403D10}"/>
    <cellStyle name="40% - Accent6 2 2 4 2" xfId="2047" xr:uid="{D9965033-A512-4915-821D-A0F9E27E5F40}"/>
    <cellStyle name="40% - Accent6 2 2 4 2 2" xfId="4236" xr:uid="{09F93DE0-9AC3-468F-96B6-8A414FEE9465}"/>
    <cellStyle name="40% - Accent6 2 2 4 2 2 2" xfId="18287" xr:uid="{0D04B67A-BF27-425B-8F1E-A6E828FD1EFF}"/>
    <cellStyle name="40% - Accent6 2 2 4 2 3" xfId="16096" xr:uid="{B11B3346-2613-401F-8470-CA2AEFD95B52}"/>
    <cellStyle name="40% - Accent6 2 2 4 3" xfId="3140" xr:uid="{6B817CCF-F65F-4763-9C88-7D97270DA486}"/>
    <cellStyle name="40% - Accent6 2 2 4 3 2" xfId="17192" xr:uid="{75136002-9E37-4B5E-84F7-8E36100FA25C}"/>
    <cellStyle name="40% - Accent6 2 2 4 4" xfId="14998" xr:uid="{001B3339-1931-428A-8D7A-5CFF1CE3DC7B}"/>
    <cellStyle name="40% - Accent6 2 2 5" xfId="1355" xr:uid="{95B4A571-909A-4196-BF9D-24E7F214EE50}"/>
    <cellStyle name="40% - Accent6 2 2 5 2" xfId="3546" xr:uid="{EB34095F-D014-4CC2-87B6-51404478B9F0}"/>
    <cellStyle name="40% - Accent6 2 2 5 2 2" xfId="17598" xr:uid="{0ED48162-0317-4AB4-973D-6064C2B8EE03}"/>
    <cellStyle name="40% - Accent6 2 2 5 3" xfId="15404" xr:uid="{B0EE5936-0F08-44BB-B71F-B9853339784C}"/>
    <cellStyle name="40% - Accent6 2 2 6" xfId="2447" xr:uid="{AB7CC5D9-F992-445E-9BFF-535606F3166F}"/>
    <cellStyle name="40% - Accent6 2 2 6 2" xfId="16498" xr:uid="{D7CA74ED-77A0-42A6-92F3-5B055662F8C6}"/>
    <cellStyle name="40% - Accent6 2 2 7" xfId="4640" xr:uid="{6703F643-1995-4C97-88BF-15E7624C9370}"/>
    <cellStyle name="40% - Accent6 2 2 7 2" xfId="18692" xr:uid="{F0003F67-796D-4D6C-B54B-B00DFC9E7FBB}"/>
    <cellStyle name="40% - Accent6 2 2 8" xfId="14303" xr:uid="{8530623F-EE12-430B-9C4F-FAB8A2433EDA}"/>
    <cellStyle name="40% - Accent6 2 3" xfId="187" xr:uid="{49D6504B-0D6F-4BCF-8278-7BA452E11FA8}"/>
    <cellStyle name="40% - Accent6 2 3 2" xfId="364" xr:uid="{F7CFEFA2-3C94-4326-A2A5-1587419FE8F9}"/>
    <cellStyle name="40% - Accent6 2 3 2 2" xfId="718" xr:uid="{4230593B-F0CE-4AFD-8445-F75FF8E596D9}"/>
    <cellStyle name="40% - Accent6 2 3 2 2 2" xfId="1819" xr:uid="{BB3C82C1-9EEA-4833-83D6-6C3BBD730603}"/>
    <cellStyle name="40% - Accent6 2 3 2 2 2 2" xfId="4008" xr:uid="{7515F100-3D32-45BB-8513-63FF77AC9520}"/>
    <cellStyle name="40% - Accent6 2 3 2 2 2 2 2" xfId="18060" xr:uid="{30C2C1D1-30BF-49E2-A3F4-BAEFD126FC2B}"/>
    <cellStyle name="40% - Accent6 2 3 2 2 2 3" xfId="15868" xr:uid="{55FD0B8C-13F0-407F-BA0C-B21F8403BBCE}"/>
    <cellStyle name="40% - Accent6 2 3 2 2 3" xfId="2910" xr:uid="{CA7868C7-A4DE-4AA8-BAA2-40C79FEFFA4A}"/>
    <cellStyle name="40% - Accent6 2 3 2 2 3 2" xfId="16962" xr:uid="{CD41A8F2-CE98-4735-ADB0-D65AA2B04D43}"/>
    <cellStyle name="40% - Accent6 2 3 2 2 4" xfId="14769" xr:uid="{5E20FCE9-7856-40BF-88C3-0D425ABC01CE}"/>
    <cellStyle name="40% - Accent6 2 3 2 3" xfId="1065" xr:uid="{A93BB439-2458-4F3B-A973-AC726E847CDA}"/>
    <cellStyle name="40% - Accent6 2 3 2 3 2" xfId="2164" xr:uid="{BBFA05E1-B504-4D37-9B09-2B02586F6858}"/>
    <cellStyle name="40% - Accent6 2 3 2 3 2 2" xfId="4353" xr:uid="{00E779F4-D3DA-407B-9192-D6DE497BB7EC}"/>
    <cellStyle name="40% - Accent6 2 3 2 3 2 2 2" xfId="18403" xr:uid="{7D9EBB8A-3E46-48AA-B4DE-B0F2B77C5A8A}"/>
    <cellStyle name="40% - Accent6 2 3 2 3 2 3" xfId="16213" xr:uid="{76615105-56DB-488C-A405-81C4576A6E4A}"/>
    <cellStyle name="40% - Accent6 2 3 2 3 3" xfId="3257" xr:uid="{A9EAC3C7-F878-4B9F-B1A2-CBD7BDB89961}"/>
    <cellStyle name="40% - Accent6 2 3 2 3 3 2" xfId="17309" xr:uid="{D6756C17-DD94-4E98-BDB7-EF90918EA28B}"/>
    <cellStyle name="40% - Accent6 2 3 2 3 4" xfId="15115" xr:uid="{CFD37246-6CCB-4646-B92A-6324B420FA6B}"/>
    <cellStyle name="40% - Accent6 2 3 2 4" xfId="1645" xr:uid="{B599870E-17B5-46DF-8143-FFDDFABEF674}"/>
    <cellStyle name="40% - Accent6 2 3 2 4 2" xfId="3835" xr:uid="{7C06FC77-E1D0-441E-B044-79B30FAE410D}"/>
    <cellStyle name="40% - Accent6 2 3 2 4 2 2" xfId="17888" xr:uid="{44F0393A-CF8B-4F18-A44D-30F08DC3804C}"/>
    <cellStyle name="40% - Accent6 2 3 2 4 3" xfId="15694" xr:uid="{0F4F3A5E-CE29-429B-BC48-2FB15FFD0146}"/>
    <cellStyle name="40% - Accent6 2 3 2 5" xfId="2564" xr:uid="{125700B0-1DDE-486C-937E-F2184CEF2F01}"/>
    <cellStyle name="40% - Accent6 2 3 2 5 2" xfId="16615" xr:uid="{625B9270-336B-46F5-B261-4E373BB5F4FE}"/>
    <cellStyle name="40% - Accent6 2 3 2 6" xfId="4930" xr:uid="{377D0E26-81C8-43B5-83A8-44627B41A31E}"/>
    <cellStyle name="40% - Accent6 2 3 2 6 2" xfId="18982" xr:uid="{0BCB2F0D-FAB9-4F89-8CC4-DEBC6AC486B2}"/>
    <cellStyle name="40% - Accent6 2 3 2 7" xfId="14421" xr:uid="{5E852C69-DA15-497C-B6E5-01902759424F}"/>
    <cellStyle name="40% - Accent6 2 3 3" xfId="538" xr:uid="{A0637705-BF63-4C31-8E89-2B3960002A56}"/>
    <cellStyle name="40% - Accent6 2 3 3 2" xfId="1471" xr:uid="{2B5E6215-C496-4E89-B55B-56B6D0D1B483}"/>
    <cellStyle name="40% - Accent6 2 3 3 2 2" xfId="3661" xr:uid="{2C9B2DA4-6159-4FE9-A53C-7CB67FD3185B}"/>
    <cellStyle name="40% - Accent6 2 3 3 2 2 2" xfId="17714" xr:uid="{135ED369-26A5-4626-962C-7BD9404845CF}"/>
    <cellStyle name="40% - Accent6 2 3 3 2 3" xfId="15520" xr:uid="{81AFA551-70EA-43E0-831D-9A1604E68EB4}"/>
    <cellStyle name="40% - Accent6 2 3 3 3" xfId="2737" xr:uid="{3576A14A-E860-4ADD-8CD6-50AB997C0BDE}"/>
    <cellStyle name="40% - Accent6 2 3 3 3 2" xfId="16788" xr:uid="{196ADAD1-EE43-4F16-8292-36A6291552FF}"/>
    <cellStyle name="40% - Accent6 2 3 3 4" xfId="4756" xr:uid="{57B6084B-DCC1-4D3F-9361-D2E42D07CADB}"/>
    <cellStyle name="40% - Accent6 2 3 3 4 2" xfId="18808" xr:uid="{977C2976-AF37-4880-9E57-730E924EAFD0}"/>
    <cellStyle name="40% - Accent6 2 3 3 5" xfId="14593" xr:uid="{9B549038-B31E-4E10-8271-BEC676EC598A}"/>
    <cellStyle name="40% - Accent6 2 3 4" xfId="891" xr:uid="{F3979B44-F91A-4EB8-9C32-CF4BD2B2CBBA}"/>
    <cellStyle name="40% - Accent6 2 3 4 2" xfId="1990" xr:uid="{44FBFF96-1D6B-493F-9A33-811DDBC94477}"/>
    <cellStyle name="40% - Accent6 2 3 4 2 2" xfId="4179" xr:uid="{7B0FCD92-8F7E-46E1-8494-530A0F40A46E}"/>
    <cellStyle name="40% - Accent6 2 3 4 2 2 2" xfId="18230" xr:uid="{B9891964-52C0-4AF9-BDD5-F16D0C163A4D}"/>
    <cellStyle name="40% - Accent6 2 3 4 2 3" xfId="16039" xr:uid="{A93F1013-6B7F-4EC5-8E85-B4AD798AA10D}"/>
    <cellStyle name="40% - Accent6 2 3 4 3" xfId="3083" xr:uid="{56D5A898-9F3E-438D-8F8B-780E3589E2A3}"/>
    <cellStyle name="40% - Accent6 2 3 4 3 2" xfId="17135" xr:uid="{263DCCC6-0189-4511-9876-5C6E451D9CDE}"/>
    <cellStyle name="40% - Accent6 2 3 4 4" xfId="14941" xr:uid="{9B45DAC0-317C-42D8-8C87-2F2B8491461D}"/>
    <cellStyle name="40% - Accent6 2 3 5" xfId="1298" xr:uid="{2E1DBC75-BC3C-4FC5-91D2-60B9AE170C7E}"/>
    <cellStyle name="40% - Accent6 2 3 5 2" xfId="3489" xr:uid="{61EC9222-EB2B-4629-AE38-530F372445DD}"/>
    <cellStyle name="40% - Accent6 2 3 5 2 2" xfId="17541" xr:uid="{38A9C7F4-E0B9-454D-9BBB-C475BC98367F}"/>
    <cellStyle name="40% - Accent6 2 3 5 3" xfId="15347" xr:uid="{33D84D8F-481E-44A9-9FB0-86978B9FCCAC}"/>
    <cellStyle name="40% - Accent6 2 3 6" xfId="2390" xr:uid="{4F924FE0-5C3A-476F-B084-49E8BD8BED7A}"/>
    <cellStyle name="40% - Accent6 2 3 6 2" xfId="16441" xr:uid="{7C137EAA-AD07-49FF-B23A-67CDCE5C0138}"/>
    <cellStyle name="40% - Accent6 2 3 7" xfId="4583" xr:uid="{1BEE1546-29C0-4704-BBE5-5CF27A0B9D72}"/>
    <cellStyle name="40% - Accent6 2 3 7 2" xfId="18635" xr:uid="{CCA35357-2D0E-45EC-9558-3D73127D0302}"/>
    <cellStyle name="40% - Accent6 2 3 8" xfId="14246" xr:uid="{04C8F8B4-D29C-4FE1-882B-98417DA6748D}"/>
    <cellStyle name="40% - Accent6 2 4" xfId="307" xr:uid="{A436C37F-CDCD-4E01-95BB-1BE3FA96AB2C}"/>
    <cellStyle name="40% - Accent6 2 4 2" xfId="661" xr:uid="{947FD5F4-30EB-4423-9232-34D90417372F}"/>
    <cellStyle name="40% - Accent6 2 4 2 2" xfId="1763" xr:uid="{8F681779-149B-4582-93BD-0D00375BD9E4}"/>
    <cellStyle name="40% - Accent6 2 4 2 2 2" xfId="3951" xr:uid="{88DD9E2D-F14F-4A13-856B-58DB79FA1034}"/>
    <cellStyle name="40% - Accent6 2 4 2 2 2 2" xfId="18003" xr:uid="{E8BEEEB7-FF81-4706-9C4E-E339EC422365}"/>
    <cellStyle name="40% - Accent6 2 4 2 2 3" xfId="15811" xr:uid="{2D9A651F-5F03-4888-B786-D185487A5C0F}"/>
    <cellStyle name="40% - Accent6 2 4 2 3" xfId="2854" xr:uid="{ACE4C5E9-E8F2-43C0-8807-935170827405}"/>
    <cellStyle name="40% - Accent6 2 4 2 3 2" xfId="16905" xr:uid="{67F79CB0-EACA-4600-85D7-97DABDFC9B0D}"/>
    <cellStyle name="40% - Accent6 2 4 2 4" xfId="14712" xr:uid="{ED2FF0E5-4923-40D2-94FD-F58BA745A5CA}"/>
    <cellStyle name="40% - Accent6 2 4 3" xfId="1008" xr:uid="{37A22AFE-45F7-495D-8C91-3A9DEF1ECB2F}"/>
    <cellStyle name="40% - Accent6 2 4 3 2" xfId="2107" xr:uid="{72FAEE8C-B83E-4864-9C75-CDD5F9573394}"/>
    <cellStyle name="40% - Accent6 2 4 3 2 2" xfId="4296" xr:uid="{87B33D8A-FDA1-4087-B99C-779BDF8715E4}"/>
    <cellStyle name="40% - Accent6 2 4 3 2 2 2" xfId="18346" xr:uid="{28743A13-4DD7-4111-9523-98599EAC6202}"/>
    <cellStyle name="40% - Accent6 2 4 3 2 3" xfId="16156" xr:uid="{AEEE249D-7858-46EB-BF3C-11A3B79DB4D7}"/>
    <cellStyle name="40% - Accent6 2 4 3 3" xfId="3200" xr:uid="{1CF084A8-E07A-41FF-AAC8-FC4F61E277A8}"/>
    <cellStyle name="40% - Accent6 2 4 3 3 2" xfId="17252" xr:uid="{54A1E209-E795-42CA-BA6B-332B52571BB6}"/>
    <cellStyle name="40% - Accent6 2 4 3 4" xfId="15058" xr:uid="{37FE00A1-F2EB-408E-BB6D-2B4BFDAA8EA1}"/>
    <cellStyle name="40% - Accent6 2 4 4" xfId="1588" xr:uid="{FB5F0A52-5FFE-4E2C-9AC5-5BC1C02894B6}"/>
    <cellStyle name="40% - Accent6 2 4 4 2" xfId="3778" xr:uid="{966551AF-E980-425A-AB24-EBD8A4BE2EDD}"/>
    <cellStyle name="40% - Accent6 2 4 4 2 2" xfId="17831" xr:uid="{79385910-8367-4829-98C3-2591CEC85571}"/>
    <cellStyle name="40% - Accent6 2 4 4 3" xfId="15637" xr:uid="{D5AD3901-6094-47C5-954B-D48B7C2C44EE}"/>
    <cellStyle name="40% - Accent6 2 4 5" xfId="2507" xr:uid="{DA9D07DC-7FDD-4653-90C1-7C0C11880673}"/>
    <cellStyle name="40% - Accent6 2 4 5 2" xfId="16558" xr:uid="{90DC406D-8476-4136-AE97-5204B830C299}"/>
    <cellStyle name="40% - Accent6 2 4 6" xfId="4873" xr:uid="{661CC81F-290B-4A9C-A410-40CF08EA4D6D}"/>
    <cellStyle name="40% - Accent6 2 4 6 2" xfId="18925" xr:uid="{2D69EE03-0B9C-4B3B-91A0-EA2D70FAD173}"/>
    <cellStyle name="40% - Accent6 2 4 7" xfId="14364" xr:uid="{C19EBA15-5A10-475E-BF93-BFB3914CA358}"/>
    <cellStyle name="40% - Accent6 2 5" xfId="481" xr:uid="{C774A40E-D044-46F6-90BA-8B18ABB91336}"/>
    <cellStyle name="40% - Accent6 2 5 2" xfId="1414" xr:uid="{57557BA0-1471-48B6-A5B3-D13071C9CDA9}"/>
    <cellStyle name="40% - Accent6 2 5 2 2" xfId="3604" xr:uid="{D28C31EF-B541-4F0B-9BEC-D515E6AA36A1}"/>
    <cellStyle name="40% - Accent6 2 5 2 2 2" xfId="17657" xr:uid="{AB914B3E-8F44-4035-94CA-2203EA53A542}"/>
    <cellStyle name="40% - Accent6 2 5 2 3" xfId="15463" xr:uid="{EF3DFBE1-DAF7-4B30-9304-8655FF77A0AD}"/>
    <cellStyle name="40% - Accent6 2 5 3" xfId="2680" xr:uid="{240F04B2-2918-49DA-A012-2FA694968E4E}"/>
    <cellStyle name="40% - Accent6 2 5 3 2" xfId="16731" xr:uid="{43ABB206-A8DC-4E56-81C8-B50311D8D61D}"/>
    <cellStyle name="40% - Accent6 2 5 4" xfId="4699" xr:uid="{A5EC23F2-3EB3-4316-BF5D-4BA2834DA25E}"/>
    <cellStyle name="40% - Accent6 2 5 4 2" xfId="18751" xr:uid="{9351ABA9-116A-4540-AB73-2D3592DCCFE3}"/>
    <cellStyle name="40% - Accent6 2 5 5" xfId="14536" xr:uid="{6D566C47-7F10-4899-B763-DE9AEFFD022F}"/>
    <cellStyle name="40% - Accent6 2 6" xfId="834" xr:uid="{DF03C433-DB12-4DBD-92E1-3000044AD1F3}"/>
    <cellStyle name="40% - Accent6 2 6 2" xfId="1933" xr:uid="{F6F2CB8F-DD21-4508-87AA-9624B9866C7C}"/>
    <cellStyle name="40% - Accent6 2 6 2 2" xfId="4122" xr:uid="{E7A2B1C0-05D8-4167-AC38-E75BEDD92455}"/>
    <cellStyle name="40% - Accent6 2 6 2 2 2" xfId="18174" xr:uid="{03A9FDAF-74C3-426E-BDFB-719D1593AFBD}"/>
    <cellStyle name="40% - Accent6 2 6 2 3" xfId="15982" xr:uid="{87C1DA09-8B93-42E4-927B-2042C2556C9B}"/>
    <cellStyle name="40% - Accent6 2 6 3" xfId="3026" xr:uid="{2053B74B-5BF9-4F8A-89F1-7E5D6913C1CF}"/>
    <cellStyle name="40% - Accent6 2 6 3 2" xfId="17078" xr:uid="{08500012-BDCA-42D9-8332-FBB4C436D591}"/>
    <cellStyle name="40% - Accent6 2 6 4" xfId="14884" xr:uid="{682BC6DD-86BC-4E6F-B960-7CDF9B91294D}"/>
    <cellStyle name="40% - Accent6 2 7" xfId="1178" xr:uid="{3B6BB8AA-F37E-4FC8-88B9-485EC4EBE5D1}"/>
    <cellStyle name="40% - Accent6 2 7 2" xfId="2277" xr:uid="{A6A3C3BD-7B04-42A7-8A2A-51A7DB772FBF}"/>
    <cellStyle name="40% - Accent6 2 7 2 2" xfId="4466" xr:uid="{6A2394C1-D9E6-47F1-BE28-7CC70F47E88A}"/>
    <cellStyle name="40% - Accent6 2 7 2 2 2" xfId="18517" xr:uid="{6C3DC499-3BB8-4CE3-AC46-2A37EE15C2C2}"/>
    <cellStyle name="40% - Accent6 2 7 2 3" xfId="16327" xr:uid="{8D1AF60F-D383-4BBA-AA31-5BBF3BC30FEF}"/>
    <cellStyle name="40% - Accent6 2 7 3" xfId="3371" xr:uid="{B513DA8E-6299-47F7-A72D-FD4F0E316D88}"/>
    <cellStyle name="40% - Accent6 2 7 3 2" xfId="17423" xr:uid="{8F7D3FD7-E1EA-4F85-814F-3E2A35C46A46}"/>
    <cellStyle name="40% - Accent6 2 7 4" xfId="15229" xr:uid="{A9360BF7-C314-412B-8A9A-CD8D1E63924F}"/>
    <cellStyle name="40% - Accent6 2 8" xfId="1242" xr:uid="{1E38055B-4E91-4BBC-B794-E36F6CB3C54E}"/>
    <cellStyle name="40% - Accent6 2 8 2" xfId="3432" xr:uid="{BC5BB6F7-EE5D-4517-B5C6-1D89E64BA95F}"/>
    <cellStyle name="40% - Accent6 2 8 2 2" xfId="17484" xr:uid="{956CC188-7F83-4257-BA1C-66D5C50BA15E}"/>
    <cellStyle name="40% - Accent6 2 8 3" xfId="15290" xr:uid="{B96F1B20-0ACD-4F02-95BD-66E265B80EA7}"/>
    <cellStyle name="40% - Accent6 2 9" xfId="2333" xr:uid="{6BAF0F02-6990-4FC7-9ECA-5A13ADBCF451}"/>
    <cellStyle name="40% - Accent6 2 9 2" xfId="16384" xr:uid="{8EF3897E-91FA-406D-AD52-B1D47C606C98}"/>
    <cellStyle name="40% - Accent6 3" xfId="105" xr:uid="{50ADEFAE-95C1-4F44-B572-A83041B8E766}"/>
    <cellStyle name="40% - Accent6 3 10" xfId="4503" xr:uid="{43BA0ED6-A0BC-4B8F-8E74-3E0865CB165F}"/>
    <cellStyle name="40% - Accent6 3 10 2" xfId="18554" xr:uid="{B7A1FA1C-AA28-4DFB-B3CE-193A6AF58E1B}"/>
    <cellStyle name="40% - Accent6 3 11" xfId="14165" xr:uid="{1CDCA187-442F-4F3D-85F6-48A231BF5BDD}"/>
    <cellStyle name="40% - Accent6 3 2" xfId="220" xr:uid="{0F6CE55A-AA6F-4A52-AFDC-928145AB3003}"/>
    <cellStyle name="40% - Accent6 3 2 2" xfId="397" xr:uid="{81E973BC-E116-4A7F-B26B-8A21D5570B18}"/>
    <cellStyle name="40% - Accent6 3 2 2 2" xfId="751" xr:uid="{B237494C-B177-4DB9-ABF9-F88616F65016}"/>
    <cellStyle name="40% - Accent6 3 2 2 2 2" xfId="1852" xr:uid="{05FE4AAB-CE9E-452A-8E52-A47978E1A341}"/>
    <cellStyle name="40% - Accent6 3 2 2 2 2 2" xfId="4041" xr:uid="{46AF47D7-B038-4033-ABF7-8BA7157A780C}"/>
    <cellStyle name="40% - Accent6 3 2 2 2 2 2 2" xfId="18093" xr:uid="{A7C573B2-DE6A-4EC9-BAF9-E04D94EE2F33}"/>
    <cellStyle name="40% - Accent6 3 2 2 2 2 3" xfId="15901" xr:uid="{6C4D05B7-5B66-45A9-980E-301095000C08}"/>
    <cellStyle name="40% - Accent6 3 2 2 2 3" xfId="2943" xr:uid="{B940689F-414D-4B91-9232-48CE24E052F8}"/>
    <cellStyle name="40% - Accent6 3 2 2 2 3 2" xfId="16995" xr:uid="{6D078BF7-47F9-4B55-BAC3-25EDB863B5CA}"/>
    <cellStyle name="40% - Accent6 3 2 2 2 4" xfId="14802" xr:uid="{8165C059-BDC6-42A8-A30C-6716D1426AD4}"/>
    <cellStyle name="40% - Accent6 3 2 2 3" xfId="1098" xr:uid="{8D869D82-CC6A-4803-9CEA-D96C39E21034}"/>
    <cellStyle name="40% - Accent6 3 2 2 3 2" xfId="2197" xr:uid="{4712B8F8-AD72-4E39-BB84-BBCAF0D01B40}"/>
    <cellStyle name="40% - Accent6 3 2 2 3 2 2" xfId="4386" xr:uid="{87415C35-59DA-4A17-8F4F-300D08874515}"/>
    <cellStyle name="40% - Accent6 3 2 2 3 2 2 2" xfId="18436" xr:uid="{90E87309-26A9-4AE9-9FE3-972ABD082896}"/>
    <cellStyle name="40% - Accent6 3 2 2 3 2 3" xfId="16246" xr:uid="{E4EA23F0-14DA-416B-8D28-B489BD1D2F6A}"/>
    <cellStyle name="40% - Accent6 3 2 2 3 3" xfId="3290" xr:uid="{3A4A5265-D288-43EF-9063-569EB8703347}"/>
    <cellStyle name="40% - Accent6 3 2 2 3 3 2" xfId="17342" xr:uid="{CCB455EC-8224-4482-9957-1417109A2E1E}"/>
    <cellStyle name="40% - Accent6 3 2 2 3 4" xfId="15148" xr:uid="{B4115A94-B0FC-461B-BBD8-150614CD8BE5}"/>
    <cellStyle name="40% - Accent6 3 2 2 4" xfId="1678" xr:uid="{8E08FE0F-2173-42DB-B9C8-498891908389}"/>
    <cellStyle name="40% - Accent6 3 2 2 4 2" xfId="3868" xr:uid="{BAA5EA2D-C1AE-4111-B933-FD428E0091B5}"/>
    <cellStyle name="40% - Accent6 3 2 2 4 2 2" xfId="17921" xr:uid="{4E2C0989-7E06-4126-9234-5B9FBD7FB5C5}"/>
    <cellStyle name="40% - Accent6 3 2 2 4 3" xfId="15727" xr:uid="{EA5C9E07-D7B2-4E59-A2CE-C2E9B7970052}"/>
    <cellStyle name="40% - Accent6 3 2 2 5" xfId="2597" xr:uid="{1F28F1DC-FF4E-46B9-A00F-1A9989E22C2D}"/>
    <cellStyle name="40% - Accent6 3 2 2 5 2" xfId="16648" xr:uid="{D84CB6BA-EE92-473E-A8DE-8A27990FE02F}"/>
    <cellStyle name="40% - Accent6 3 2 2 6" xfId="4963" xr:uid="{910456CB-D06C-4B9B-8BE1-E3CE1020F8A0}"/>
    <cellStyle name="40% - Accent6 3 2 2 6 2" xfId="19015" xr:uid="{6BBCC70F-55C6-4261-B5D7-8A6E72AAA128}"/>
    <cellStyle name="40% - Accent6 3 2 2 7" xfId="14454" xr:uid="{2444ECAC-72BB-4398-B2AD-2D3310661310}"/>
    <cellStyle name="40% - Accent6 3 2 3" xfId="571" xr:uid="{3CD3FD51-DDBD-431A-978A-FBC03E8111F8}"/>
    <cellStyle name="40% - Accent6 3 2 3 2" xfId="1504" xr:uid="{50D646A4-644E-44E5-9603-32101E30F2A0}"/>
    <cellStyle name="40% - Accent6 3 2 3 2 2" xfId="3694" xr:uid="{8A021DB7-4E05-4CD9-99BF-6E3F365B4D85}"/>
    <cellStyle name="40% - Accent6 3 2 3 2 2 2" xfId="17747" xr:uid="{C4C0B1D5-B027-4A9F-87DB-41E4A6BD558C}"/>
    <cellStyle name="40% - Accent6 3 2 3 2 3" xfId="15553" xr:uid="{2A368E51-0071-4DE3-BBFD-1D7C81B977A9}"/>
    <cellStyle name="40% - Accent6 3 2 3 3" xfId="2770" xr:uid="{7A9BC653-DADF-4C45-AA3B-6E9D06D317F6}"/>
    <cellStyle name="40% - Accent6 3 2 3 3 2" xfId="16821" xr:uid="{34D5217F-8785-4966-8608-D35F99615B2E}"/>
    <cellStyle name="40% - Accent6 3 2 3 4" xfId="4789" xr:uid="{6E96FDAD-EC4C-4581-9533-727016D4D577}"/>
    <cellStyle name="40% - Accent6 3 2 3 4 2" xfId="18841" xr:uid="{EF418078-BACC-4C94-B8DC-B241FC93E36C}"/>
    <cellStyle name="40% - Accent6 3 2 3 5" xfId="14626" xr:uid="{6AEB0C13-34DB-48B9-8C34-E012ED2E08CD}"/>
    <cellStyle name="40% - Accent6 3 2 4" xfId="924" xr:uid="{6557F2C6-9C2B-4FAB-93AB-461EC82D217E}"/>
    <cellStyle name="40% - Accent6 3 2 4 2" xfId="2023" xr:uid="{02F56EFC-9251-4B30-8B44-7D2FDAFC54CC}"/>
    <cellStyle name="40% - Accent6 3 2 4 2 2" xfId="4212" xr:uid="{A07E2E4F-DD43-416A-B6A0-4662622BB70A}"/>
    <cellStyle name="40% - Accent6 3 2 4 2 2 2" xfId="18263" xr:uid="{9A3A6779-6A3D-42F9-9FBA-1675B74BE194}"/>
    <cellStyle name="40% - Accent6 3 2 4 2 3" xfId="16072" xr:uid="{B8EA7CD9-D1AF-463B-818F-AB15E465F12E}"/>
    <cellStyle name="40% - Accent6 3 2 4 3" xfId="3116" xr:uid="{ECCEBFB7-6708-469D-A9EF-7A75B5A07FB6}"/>
    <cellStyle name="40% - Accent6 3 2 4 3 2" xfId="17168" xr:uid="{5BBF5A76-2FA7-4736-B4A1-3B088914E087}"/>
    <cellStyle name="40% - Accent6 3 2 4 4" xfId="14974" xr:uid="{FC261AC8-CE86-4440-B22A-A58C46542F28}"/>
    <cellStyle name="40% - Accent6 3 2 5" xfId="1331" xr:uid="{510FB30A-5154-4D9B-8D0B-7AE1586FAA08}"/>
    <cellStyle name="40% - Accent6 3 2 5 2" xfId="3522" xr:uid="{6FE4B59D-5077-4536-8FFE-AEF54ED58163}"/>
    <cellStyle name="40% - Accent6 3 2 5 2 2" xfId="17574" xr:uid="{6DECDB3F-73FA-46A7-B6C8-46FC59197333}"/>
    <cellStyle name="40% - Accent6 3 2 5 3" xfId="15380" xr:uid="{85464592-43C8-4878-9537-262921F13AF1}"/>
    <cellStyle name="40% - Accent6 3 2 6" xfId="2423" xr:uid="{3C67D70A-24F3-4295-9261-E0E0342ABE00}"/>
    <cellStyle name="40% - Accent6 3 2 6 2" xfId="16474" xr:uid="{906480B0-72DA-4A80-A119-7D30E0B2299E}"/>
    <cellStyle name="40% - Accent6 3 2 7" xfId="4616" xr:uid="{BEE494F8-57D4-4E18-AC08-1AD4015127DA}"/>
    <cellStyle name="40% - Accent6 3 2 7 2" xfId="18668" xr:uid="{31F5E45E-166C-4E66-A7C4-9661F50860BF}"/>
    <cellStyle name="40% - Accent6 3 2 8" xfId="14279" xr:uid="{0FE40817-E496-4C7F-9B33-DDC9961E3A50}"/>
    <cellStyle name="40% - Accent6 3 3" xfId="163" xr:uid="{E4B9FE7F-A678-480F-AF8D-FC99A6CF043F}"/>
    <cellStyle name="40% - Accent6 3 3 2" xfId="340" xr:uid="{2EE76D6E-79AA-491E-B899-F8B641D6E3C0}"/>
    <cellStyle name="40% - Accent6 3 3 2 2" xfId="694" xr:uid="{FB70E350-3438-4C2C-B922-4A8D7348AFA8}"/>
    <cellStyle name="40% - Accent6 3 3 2 2 2" xfId="1795" xr:uid="{B9EEE8F5-4B0D-44C4-8ABA-669C31103075}"/>
    <cellStyle name="40% - Accent6 3 3 2 2 2 2" xfId="3984" xr:uid="{71E00703-3A4D-4DA1-BFB8-72FCF6DEC5D2}"/>
    <cellStyle name="40% - Accent6 3 3 2 2 2 2 2" xfId="18036" xr:uid="{8260D3C9-9734-43C9-A96E-FAADC8C907BD}"/>
    <cellStyle name="40% - Accent6 3 3 2 2 2 3" xfId="15844" xr:uid="{2D93B971-2207-4ACE-9C7D-7C9F7678BF6A}"/>
    <cellStyle name="40% - Accent6 3 3 2 2 3" xfId="2886" xr:uid="{C1DD70D7-2AF6-4706-8F6E-94454E1341B5}"/>
    <cellStyle name="40% - Accent6 3 3 2 2 3 2" xfId="16938" xr:uid="{1ABB0E6C-A935-441C-ADF2-99EEA418C31B}"/>
    <cellStyle name="40% - Accent6 3 3 2 2 4" xfId="14745" xr:uid="{26ED562E-587C-46DA-847F-CC06F18985F9}"/>
    <cellStyle name="40% - Accent6 3 3 2 3" xfId="1041" xr:uid="{8573D885-36BD-4792-81F5-3888806C7FD0}"/>
    <cellStyle name="40% - Accent6 3 3 2 3 2" xfId="2140" xr:uid="{8EBE73E9-F79D-4CEF-96C6-43657D986CB4}"/>
    <cellStyle name="40% - Accent6 3 3 2 3 2 2" xfId="4329" xr:uid="{59861DC5-B9A7-45F5-961D-52C378A2F5D0}"/>
    <cellStyle name="40% - Accent6 3 3 2 3 2 2 2" xfId="18379" xr:uid="{85610C30-3160-4FD3-B9E1-F9DA71415BAE}"/>
    <cellStyle name="40% - Accent6 3 3 2 3 2 3" xfId="16189" xr:uid="{089B12E3-7E34-42EE-B211-0A7BBC0821F4}"/>
    <cellStyle name="40% - Accent6 3 3 2 3 3" xfId="3233" xr:uid="{57FE7563-780E-41F5-A0AF-2B6568B1F445}"/>
    <cellStyle name="40% - Accent6 3 3 2 3 3 2" xfId="17285" xr:uid="{D046D2FB-6981-4072-BAB9-D5A032293635}"/>
    <cellStyle name="40% - Accent6 3 3 2 3 4" xfId="15091" xr:uid="{87E1AA75-87AF-4C6E-B314-CCC10B5B65C0}"/>
    <cellStyle name="40% - Accent6 3 3 2 4" xfId="1621" xr:uid="{2EB2EB32-77C6-4339-8EFF-60E302945319}"/>
    <cellStyle name="40% - Accent6 3 3 2 4 2" xfId="3811" xr:uid="{B92D5E22-ACCF-477C-A655-D6AD12992EE0}"/>
    <cellStyle name="40% - Accent6 3 3 2 4 2 2" xfId="17864" xr:uid="{012BF266-0B86-460D-90BE-473039744E8F}"/>
    <cellStyle name="40% - Accent6 3 3 2 4 3" xfId="15670" xr:uid="{A9BB0682-0A93-48BB-A57B-BA6CF6B49016}"/>
    <cellStyle name="40% - Accent6 3 3 2 5" xfId="2540" xr:uid="{BF907485-A851-4FE7-90ED-9611EC7A8F58}"/>
    <cellStyle name="40% - Accent6 3 3 2 5 2" xfId="16591" xr:uid="{13966F2C-7B54-444A-BC32-566B7ECA24E0}"/>
    <cellStyle name="40% - Accent6 3 3 2 6" xfId="4906" xr:uid="{FA108B62-1271-47C9-8DFE-5626C4F47A52}"/>
    <cellStyle name="40% - Accent6 3 3 2 6 2" xfId="18958" xr:uid="{70AFE1A3-0CD8-4E2C-8B63-2F1B814393E7}"/>
    <cellStyle name="40% - Accent6 3 3 2 7" xfId="14397" xr:uid="{81AA231C-D563-4D90-B03F-BB7B5EF74454}"/>
    <cellStyle name="40% - Accent6 3 3 3" xfId="514" xr:uid="{1161FA21-94D1-4D44-B263-7B5D76808BE6}"/>
    <cellStyle name="40% - Accent6 3 3 3 2" xfId="1447" xr:uid="{4DCD0DE6-1D12-4113-BA05-D2ED3555CB40}"/>
    <cellStyle name="40% - Accent6 3 3 3 2 2" xfId="3637" xr:uid="{0A092576-5EEA-4F1C-A177-238EA1B9EBF8}"/>
    <cellStyle name="40% - Accent6 3 3 3 2 2 2" xfId="17690" xr:uid="{59D3EF0C-B23D-4C3E-95A8-98DFD9026DD5}"/>
    <cellStyle name="40% - Accent6 3 3 3 2 3" xfId="15496" xr:uid="{2954394B-4C48-414E-A400-ABAA64593D8A}"/>
    <cellStyle name="40% - Accent6 3 3 3 3" xfId="2713" xr:uid="{A867F585-0FD7-4F1D-BC52-23AF3CF67F45}"/>
    <cellStyle name="40% - Accent6 3 3 3 3 2" xfId="16764" xr:uid="{2A869310-78D2-4911-B855-AA0A91867316}"/>
    <cellStyle name="40% - Accent6 3 3 3 4" xfId="4732" xr:uid="{25CB77EA-8EF2-425D-B6FA-9BBADFCE1030}"/>
    <cellStyle name="40% - Accent6 3 3 3 4 2" xfId="18784" xr:uid="{2EA7F20E-D09B-4E2C-96BC-20A6F8E9BAFD}"/>
    <cellStyle name="40% - Accent6 3 3 3 5" xfId="14569" xr:uid="{65CFA21A-1314-42EB-9D92-0B1195CA6A72}"/>
    <cellStyle name="40% - Accent6 3 3 4" xfId="867" xr:uid="{BEF1193E-2239-4520-8D9B-5378F7B82FE1}"/>
    <cellStyle name="40% - Accent6 3 3 4 2" xfId="1966" xr:uid="{8C65F077-4FFF-429D-8C96-53EBAFB1FE8F}"/>
    <cellStyle name="40% - Accent6 3 3 4 2 2" xfId="4155" xr:uid="{7CDF547D-2CD8-4970-9558-E00C3768EBD3}"/>
    <cellStyle name="40% - Accent6 3 3 4 2 2 2" xfId="18206" xr:uid="{9AACBD79-357C-4A8B-A54E-9371C90DB9CC}"/>
    <cellStyle name="40% - Accent6 3 3 4 2 3" xfId="16015" xr:uid="{B263787A-1E84-4DC4-8760-236EC9E647EC}"/>
    <cellStyle name="40% - Accent6 3 3 4 3" xfId="3059" xr:uid="{6AD32812-6F06-4922-A0E1-5F6402797AC8}"/>
    <cellStyle name="40% - Accent6 3 3 4 3 2" xfId="17111" xr:uid="{E1FDA9D5-5FC6-44EC-AFB1-C4B462EB3D3B}"/>
    <cellStyle name="40% - Accent6 3 3 4 4" xfId="14917" xr:uid="{AEDF6BB6-9161-40F8-898F-FC0488D48327}"/>
    <cellStyle name="40% - Accent6 3 3 5" xfId="1275" xr:uid="{4675A3AA-CD3E-4594-8485-72D9E4728F1F}"/>
    <cellStyle name="40% - Accent6 3 3 5 2" xfId="3465" xr:uid="{48A066E6-F750-4616-BB32-5DB2FEBACB18}"/>
    <cellStyle name="40% - Accent6 3 3 5 2 2" xfId="17517" xr:uid="{88BCFF58-4CC4-4ABC-9A9D-A27948FC73E1}"/>
    <cellStyle name="40% - Accent6 3 3 5 3" xfId="15323" xr:uid="{0495B321-972E-4DFF-87AD-D1AD52899165}"/>
    <cellStyle name="40% - Accent6 3 3 6" xfId="2366" xr:uid="{91AF85EE-38A2-4B31-802D-CF1A2B4E5BB9}"/>
    <cellStyle name="40% - Accent6 3 3 6 2" xfId="16417" xr:uid="{4801D3D7-68F4-4945-9E85-84F73F976232}"/>
    <cellStyle name="40% - Accent6 3 3 7" xfId="4559" xr:uid="{C2C2AE6D-BD25-4F83-9DE0-567F3A961E07}"/>
    <cellStyle name="40% - Accent6 3 3 7 2" xfId="18611" xr:uid="{67481802-D5D2-46A0-ADAA-1EE390C526C0}"/>
    <cellStyle name="40% - Accent6 3 3 8" xfId="14222" xr:uid="{8C771A51-14A8-43D0-A36B-A5A26792F307}"/>
    <cellStyle name="40% - Accent6 3 4" xfId="283" xr:uid="{D55DEEA0-4FD2-44D8-B820-A74A00EAD590}"/>
    <cellStyle name="40% - Accent6 3 4 2" xfId="637" xr:uid="{4F6D8E11-9D81-4DC7-9AE2-4864901C9838}"/>
    <cellStyle name="40% - Accent6 3 4 2 2" xfId="1739" xr:uid="{B8615A36-4A7D-42E2-8721-BBA66F57C2F9}"/>
    <cellStyle name="40% - Accent6 3 4 2 2 2" xfId="3927" xr:uid="{A913B240-4ABE-4D76-A004-F99F79EF3E9E}"/>
    <cellStyle name="40% - Accent6 3 4 2 2 2 2" xfId="17979" xr:uid="{0742AB00-85C0-42F4-AC7C-73C36DCB6771}"/>
    <cellStyle name="40% - Accent6 3 4 2 2 3" xfId="15787" xr:uid="{F72BC7D8-E6B7-459D-B56F-4E99A9D42BA6}"/>
    <cellStyle name="40% - Accent6 3 4 2 3" xfId="2830" xr:uid="{174452C4-5B43-47FC-BBA7-4C3D5338D309}"/>
    <cellStyle name="40% - Accent6 3 4 2 3 2" xfId="16881" xr:uid="{30F452C7-A602-477D-A11E-11AEA218F418}"/>
    <cellStyle name="40% - Accent6 3 4 2 4" xfId="14688" xr:uid="{661D0D2E-459A-4027-976A-D0A3E73BD7F4}"/>
    <cellStyle name="40% - Accent6 3 4 3" xfId="984" xr:uid="{FA452D03-853A-4167-9179-D461B1B4940E}"/>
    <cellStyle name="40% - Accent6 3 4 3 2" xfId="2083" xr:uid="{583BA090-975B-4E95-80E8-ED71AF95A67C}"/>
    <cellStyle name="40% - Accent6 3 4 3 2 2" xfId="4272" xr:uid="{DEDC3F8C-CF15-442C-9F8D-A0465259B9BE}"/>
    <cellStyle name="40% - Accent6 3 4 3 2 2 2" xfId="18323" xr:uid="{8461344C-CB07-466F-A265-BECB98AD62E0}"/>
    <cellStyle name="40% - Accent6 3 4 3 2 3" xfId="16132" xr:uid="{372F4685-15D0-432A-9873-DECA1753B211}"/>
    <cellStyle name="40% - Accent6 3 4 3 3" xfId="3176" xr:uid="{A9542B6E-D811-4A23-9AF3-8612D70E24E4}"/>
    <cellStyle name="40% - Accent6 3 4 3 3 2" xfId="17228" xr:uid="{D6A7392E-972C-4637-9EF4-AAE8E9568A5F}"/>
    <cellStyle name="40% - Accent6 3 4 3 4" xfId="15034" xr:uid="{130DE5B1-F1B7-4B22-96E3-37FBEDB3DF96}"/>
    <cellStyle name="40% - Accent6 3 4 4" xfId="1564" xr:uid="{B6656358-895D-4AE3-B4B7-AC7698129FE8}"/>
    <cellStyle name="40% - Accent6 3 4 4 2" xfId="3754" xr:uid="{EF1852B6-0786-45EA-8811-5356B54A795A}"/>
    <cellStyle name="40% - Accent6 3 4 4 2 2" xfId="17807" xr:uid="{3BE19909-9EAF-48A6-BD7C-2FD6EC233A4B}"/>
    <cellStyle name="40% - Accent6 3 4 4 3" xfId="15613" xr:uid="{DDE486BA-FD43-4E3A-B659-7B95E4090119}"/>
    <cellStyle name="40% - Accent6 3 4 5" xfId="2483" xr:uid="{EDA35B1B-87E0-407A-BFDE-B191ABBAEA6F}"/>
    <cellStyle name="40% - Accent6 3 4 5 2" xfId="16534" xr:uid="{625B14E7-9BA3-4A39-A628-4F48317298DD}"/>
    <cellStyle name="40% - Accent6 3 4 6" xfId="4849" xr:uid="{0532EF1F-9A6B-42A8-BF91-FC34583CCE6B}"/>
    <cellStyle name="40% - Accent6 3 4 6 2" xfId="18901" xr:uid="{7DA8540D-B263-4D88-A14A-C912A1E4B9CD}"/>
    <cellStyle name="40% - Accent6 3 4 7" xfId="14340" xr:uid="{FE268298-77D7-485E-B1DF-4BF0876329C3}"/>
    <cellStyle name="40% - Accent6 3 5" xfId="457" xr:uid="{94089B37-3C20-4968-B9B3-1D63FBDB6EA5}"/>
    <cellStyle name="40% - Accent6 3 5 2" xfId="1390" xr:uid="{BB3C39D4-1D0D-4B44-8573-6496CCAACD93}"/>
    <cellStyle name="40% - Accent6 3 5 2 2" xfId="3580" xr:uid="{F7986826-A126-45DF-9F7B-1321AFDCAE2C}"/>
    <cellStyle name="40% - Accent6 3 5 2 2 2" xfId="17633" xr:uid="{CD4710E3-5421-440B-860D-E8D936DEF65B}"/>
    <cellStyle name="40% - Accent6 3 5 2 3" xfId="15439" xr:uid="{BFBDE81C-4FFD-460D-A795-9EC16E9E7047}"/>
    <cellStyle name="40% - Accent6 3 5 3" xfId="2656" xr:uid="{4ACBD6DB-DE01-4B76-B217-5AD8E5C68528}"/>
    <cellStyle name="40% - Accent6 3 5 3 2" xfId="16707" xr:uid="{83133001-0A22-460A-81BE-C3ECD2D53F6D}"/>
    <cellStyle name="40% - Accent6 3 5 4" xfId="4675" xr:uid="{17A70BB6-A298-4097-9E51-9584FEA793D7}"/>
    <cellStyle name="40% - Accent6 3 5 4 2" xfId="18727" xr:uid="{0466F397-AC4A-4157-8A5F-7D19F62FEFA5}"/>
    <cellStyle name="40% - Accent6 3 5 5" xfId="14512" xr:uid="{5D9BA13B-7CED-4168-8952-1D3F32DD2554}"/>
    <cellStyle name="40% - Accent6 3 6" xfId="810" xr:uid="{B7733E16-5E2A-496F-8452-89605C90E0D2}"/>
    <cellStyle name="40% - Accent6 3 6 2" xfId="1909" xr:uid="{2E04A40D-8D1D-4573-A7DD-882CFD057811}"/>
    <cellStyle name="40% - Accent6 3 6 2 2" xfId="4098" xr:uid="{16B6D945-B6A8-49DC-BC08-C885A5632058}"/>
    <cellStyle name="40% - Accent6 3 6 2 2 2" xfId="18150" xr:uid="{29751011-4192-4AA7-8704-74DD1791C704}"/>
    <cellStyle name="40% - Accent6 3 6 2 3" xfId="15958" xr:uid="{6E9FA60C-C3C4-42CF-8031-B354140327E0}"/>
    <cellStyle name="40% - Accent6 3 6 3" xfId="3002" xr:uid="{3B6B9C66-E2D7-4A20-9F5B-1B7256392CA6}"/>
    <cellStyle name="40% - Accent6 3 6 3 2" xfId="17054" xr:uid="{A6506EFD-07ED-4424-B6D0-05C65624D563}"/>
    <cellStyle name="40% - Accent6 3 6 4" xfId="14860" xr:uid="{09503EC1-BEDF-4548-B996-ABE11CC688A2}"/>
    <cellStyle name="40% - Accent6 3 7" xfId="1154" xr:uid="{F5F72C6A-FEB0-485B-8845-AE7BCC081181}"/>
    <cellStyle name="40% - Accent6 3 7 2" xfId="2254" xr:uid="{25CE8EA9-4779-4E2B-8AF8-5FA81D01EBFB}"/>
    <cellStyle name="40% - Accent6 3 7 2 2" xfId="4443" xr:uid="{5E2CC231-030E-404C-8D3B-D3FDFB7A439C}"/>
    <cellStyle name="40% - Accent6 3 7 2 2 2" xfId="18493" xr:uid="{EDB46C3C-75D2-455B-A606-A582B766677E}"/>
    <cellStyle name="40% - Accent6 3 7 2 3" xfId="16303" xr:uid="{39BA090B-4712-42EA-BAD7-2B50788D9D23}"/>
    <cellStyle name="40% - Accent6 3 7 3" xfId="3347" xr:uid="{3E8A04BB-304F-4B4B-89A2-54643DDABFE4}"/>
    <cellStyle name="40% - Accent6 3 7 3 2" xfId="17399" xr:uid="{5AFB8AA4-FAD1-43D5-BF57-09310AF8B019}"/>
    <cellStyle name="40% - Accent6 3 7 4" xfId="15205" xr:uid="{B738D49B-CC74-4C0D-80C2-E38994B2575D}"/>
    <cellStyle name="40% - Accent6 3 8" xfId="1218" xr:uid="{D7AFE50F-70DB-44A9-8CA7-4420DEB2BECB}"/>
    <cellStyle name="40% - Accent6 3 8 2" xfId="3408" xr:uid="{50D006AF-84CD-40AF-A629-36FD91214A4D}"/>
    <cellStyle name="40% - Accent6 3 8 2 2" xfId="17460" xr:uid="{885CA74C-2DE6-4BD4-A58D-4FF10BFC4AA1}"/>
    <cellStyle name="40% - Accent6 3 8 3" xfId="15266" xr:uid="{2D2A4EE0-FA6E-4E74-89E6-0C4B8F10ADB2}"/>
    <cellStyle name="40% - Accent6 3 9" xfId="2309" xr:uid="{C2CDCF0E-CB43-42BB-8904-17DD01D13673}"/>
    <cellStyle name="40% - Accent6 3 9 2" xfId="16360" xr:uid="{DD3DB50B-F00C-4C6D-AB75-F237F82AA818}"/>
    <cellStyle name="40% - Accent6 4" xfId="200" xr:uid="{9574AF33-8D2A-4647-8D0F-3947258707BE}"/>
    <cellStyle name="40% - Accent6 4 2" xfId="377" xr:uid="{6D2FDA77-31CE-49F8-859F-7B1770B3CF3A}"/>
    <cellStyle name="40% - Accent6 4 2 2" xfId="731" xr:uid="{1BB2BAE9-FF1E-4549-801D-1513F889B6EE}"/>
    <cellStyle name="40% - Accent6 4 2 2 2" xfId="1832" xr:uid="{6110B4B6-27F5-47D2-91CF-E9DD1621C3CC}"/>
    <cellStyle name="40% - Accent6 4 2 2 2 2" xfId="4021" xr:uid="{9FD686D1-8635-4FAB-966E-B59F81CD209E}"/>
    <cellStyle name="40% - Accent6 4 2 2 2 2 2" xfId="18073" xr:uid="{87BC6093-2E92-4FE5-8520-FA9C564532E4}"/>
    <cellStyle name="40% - Accent6 4 2 2 2 3" xfId="15881" xr:uid="{CC7A1A9D-354C-4EFD-9D1F-8D1506DBFAFB}"/>
    <cellStyle name="40% - Accent6 4 2 2 3" xfId="2923" xr:uid="{08B01B10-375E-45B7-92CA-681E874B69D8}"/>
    <cellStyle name="40% - Accent6 4 2 2 3 2" xfId="16975" xr:uid="{84D6EA8B-5F7A-4C12-96A9-62129526A85B}"/>
    <cellStyle name="40% - Accent6 4 2 2 4" xfId="14782" xr:uid="{04E591AC-A1BB-4BBB-84EB-2D6E6F82A9AD}"/>
    <cellStyle name="40% - Accent6 4 2 3" xfId="1078" xr:uid="{8241AB62-78BF-410A-B5B8-30CEA1E1161E}"/>
    <cellStyle name="40% - Accent6 4 2 3 2" xfId="2177" xr:uid="{3B7D59C4-75A8-4C6D-83A3-83653668D485}"/>
    <cellStyle name="40% - Accent6 4 2 3 2 2" xfId="4366" xr:uid="{6D444F46-EF13-4448-AF50-106AFA4A212A}"/>
    <cellStyle name="40% - Accent6 4 2 3 2 2 2" xfId="18416" xr:uid="{0E589ED5-7C67-4785-96CD-2F53AB3CAB46}"/>
    <cellStyle name="40% - Accent6 4 2 3 2 3" xfId="16226" xr:uid="{26C5339E-6EA5-43A7-99CD-B6E2D353F0B5}"/>
    <cellStyle name="40% - Accent6 4 2 3 3" xfId="3270" xr:uid="{1DDC02C0-5625-4080-AD04-18E541B9A9CB}"/>
    <cellStyle name="40% - Accent6 4 2 3 3 2" xfId="17322" xr:uid="{61C0129B-5A80-41C4-9B28-67A701B6FFAD}"/>
    <cellStyle name="40% - Accent6 4 2 3 4" xfId="15128" xr:uid="{A2DFF60D-8E6C-42E5-9B5D-FB849DADA0FE}"/>
    <cellStyle name="40% - Accent6 4 2 4" xfId="1658" xr:uid="{4C20C45A-9AE5-419A-8144-9C2F82034AED}"/>
    <cellStyle name="40% - Accent6 4 2 4 2" xfId="3848" xr:uid="{1346B091-F8B6-42E1-A052-A67B13B8A0C3}"/>
    <cellStyle name="40% - Accent6 4 2 4 2 2" xfId="17901" xr:uid="{C6E8CE4C-6638-4EEB-995D-1FCED53D2E2F}"/>
    <cellStyle name="40% - Accent6 4 2 4 3" xfId="15707" xr:uid="{E8B0774A-C4FB-4C0B-9215-BB7A59E7BACB}"/>
    <cellStyle name="40% - Accent6 4 2 5" xfId="2577" xr:uid="{C58A283B-74C9-411E-89AA-F756C3C30268}"/>
    <cellStyle name="40% - Accent6 4 2 5 2" xfId="16628" xr:uid="{DD68111F-73FA-4E93-AAEA-2E875BDCA2A4}"/>
    <cellStyle name="40% - Accent6 4 2 6" xfId="4943" xr:uid="{1DEF3B29-CCC5-4362-B900-5CBE389F2FD6}"/>
    <cellStyle name="40% - Accent6 4 2 6 2" xfId="18995" xr:uid="{3B2AFAA8-BCF6-4C34-A332-37C9CD1071CB}"/>
    <cellStyle name="40% - Accent6 4 2 7" xfId="14434" xr:uid="{7A3A8A26-076E-4D0A-96F1-BF6CA324C816}"/>
    <cellStyle name="40% - Accent6 4 3" xfId="551" xr:uid="{AC18CCA8-C5BA-4D27-9246-A4A7A1E68AB8}"/>
    <cellStyle name="40% - Accent6 4 3 2" xfId="1484" xr:uid="{A64ADCC1-EA4F-476A-81C5-740FBE369360}"/>
    <cellStyle name="40% - Accent6 4 3 2 2" xfId="3674" xr:uid="{80BB5288-DBF9-44EF-B7AE-F78B47773F1F}"/>
    <cellStyle name="40% - Accent6 4 3 2 2 2" xfId="17727" xr:uid="{7847A4F6-CF1A-448F-8F74-655E13101C8B}"/>
    <cellStyle name="40% - Accent6 4 3 2 3" xfId="15533" xr:uid="{CB862C58-A03A-4F5D-BB7B-B37CE759EB18}"/>
    <cellStyle name="40% - Accent6 4 3 3" xfId="2750" xr:uid="{165A73EB-B7C7-4577-90D0-A2BD83CB1928}"/>
    <cellStyle name="40% - Accent6 4 3 3 2" xfId="16801" xr:uid="{E4C69154-A638-40EB-ABB5-5241651F7C92}"/>
    <cellStyle name="40% - Accent6 4 3 4" xfId="4769" xr:uid="{B1A1F903-48A0-4F85-8614-C4E14F5E39D7}"/>
    <cellStyle name="40% - Accent6 4 3 4 2" xfId="18821" xr:uid="{749E707B-6023-49B5-893D-0AA411B77A1A}"/>
    <cellStyle name="40% - Accent6 4 3 5" xfId="14606" xr:uid="{C04CFC03-1EA1-4199-9BDE-B45CEE344FBF}"/>
    <cellStyle name="40% - Accent6 4 4" xfId="904" xr:uid="{60BF762F-3056-44E8-A0F4-BC8E175ADD1F}"/>
    <cellStyle name="40% - Accent6 4 4 2" xfId="2003" xr:uid="{260AFAC9-EB5F-4F97-9CF5-4F570DC64B43}"/>
    <cellStyle name="40% - Accent6 4 4 2 2" xfId="4192" xr:uid="{C0F46F1C-638B-4C94-87A5-489474E3134D}"/>
    <cellStyle name="40% - Accent6 4 4 2 2 2" xfId="18243" xr:uid="{708194A3-3980-4AF4-8D62-4A517944AEA7}"/>
    <cellStyle name="40% - Accent6 4 4 2 3" xfId="16052" xr:uid="{E7932006-41EB-40B2-B546-2E8B77024B63}"/>
    <cellStyle name="40% - Accent6 4 4 3" xfId="3096" xr:uid="{8FA99649-EC83-4925-8B1A-EBD66318067E}"/>
    <cellStyle name="40% - Accent6 4 4 3 2" xfId="17148" xr:uid="{53FCFF93-6D54-4905-9A9E-5AFDEC018FE8}"/>
    <cellStyle name="40% - Accent6 4 4 4" xfId="14954" xr:uid="{AF7CCB62-42D0-4E4C-A4C3-CE28C0AC2114}"/>
    <cellStyle name="40% - Accent6 4 5" xfId="1311" xr:uid="{D80A1878-7742-4C00-B61B-43542A73D848}"/>
    <cellStyle name="40% - Accent6 4 5 2" xfId="3502" xr:uid="{E0671D8F-C61E-4648-B725-2577180FEF1B}"/>
    <cellStyle name="40% - Accent6 4 5 2 2" xfId="17554" xr:uid="{6662EB76-45A9-4654-85BD-FABFDEBCCBE8}"/>
    <cellStyle name="40% - Accent6 4 5 3" xfId="15360" xr:uid="{A216F5C3-BDAE-4804-BD84-43CDA8B6A561}"/>
    <cellStyle name="40% - Accent6 4 6" xfId="2403" xr:uid="{7D9C17F1-C0DB-48A5-A0AD-7923FCAB3ACC}"/>
    <cellStyle name="40% - Accent6 4 6 2" xfId="16454" xr:uid="{CF5E19EA-F39B-43CB-A9A3-555C39BAA1C2}"/>
    <cellStyle name="40% - Accent6 4 7" xfId="4596" xr:uid="{A91A253F-C10C-4263-B33A-F85C9D899652}"/>
    <cellStyle name="40% - Accent6 4 7 2" xfId="18648" xr:uid="{7CFFC1FD-7D87-4635-B37D-457B8445FC0E}"/>
    <cellStyle name="40% - Accent6 4 8" xfId="14259" xr:uid="{31E6CC28-4CA7-4E40-B6A9-60BF5375F528}"/>
    <cellStyle name="40% - Accent6 5" xfId="143" xr:uid="{5AD1FD5F-8D17-48A1-B688-70E3C13A9E4B}"/>
    <cellStyle name="40% - Accent6 5 2" xfId="320" xr:uid="{664A31DD-EE53-44D1-9B82-D5122C46A534}"/>
    <cellStyle name="40% - Accent6 5 2 2" xfId="674" xr:uid="{2DE2B2ED-7556-4CDC-83E9-6A09FB0BF9D0}"/>
    <cellStyle name="40% - Accent6 5 2 2 2" xfId="1775" xr:uid="{D18C3ABE-9C9C-40CD-990F-D0B5C7125B36}"/>
    <cellStyle name="40% - Accent6 5 2 2 2 2" xfId="3964" xr:uid="{89C4E208-0A06-4C62-8212-F6F5F7F15315}"/>
    <cellStyle name="40% - Accent6 5 2 2 2 2 2" xfId="18016" xr:uid="{2B25C08D-47D0-44D9-862C-8B92F3EF4F0D}"/>
    <cellStyle name="40% - Accent6 5 2 2 2 3" xfId="15824" xr:uid="{0EFAD41F-9422-4741-A357-846317B3118E}"/>
    <cellStyle name="40% - Accent6 5 2 2 3" xfId="2866" xr:uid="{D73A0667-4F1A-4E48-993C-F1D23EA7120F}"/>
    <cellStyle name="40% - Accent6 5 2 2 3 2" xfId="16918" xr:uid="{5B8455D0-7200-4970-85B5-C03A2948017A}"/>
    <cellStyle name="40% - Accent6 5 2 2 4" xfId="14725" xr:uid="{32F0D440-41AE-4A30-A2EC-A3FC405FFED9}"/>
    <cellStyle name="40% - Accent6 5 2 3" xfId="1021" xr:uid="{C06594B1-47C2-4E2E-974C-2A55C0143A57}"/>
    <cellStyle name="40% - Accent6 5 2 3 2" xfId="2120" xr:uid="{51323258-700D-4E43-ABA8-A2A87B6A630D}"/>
    <cellStyle name="40% - Accent6 5 2 3 2 2" xfId="4309" xr:uid="{4E4CEB30-6FE6-4708-8A82-E6EC56AADE08}"/>
    <cellStyle name="40% - Accent6 5 2 3 2 2 2" xfId="18359" xr:uid="{D149592B-8A65-44A8-95F5-155EABE834EC}"/>
    <cellStyle name="40% - Accent6 5 2 3 2 3" xfId="16169" xr:uid="{EA633097-EA09-4C8A-BC21-FB027D1685D6}"/>
    <cellStyle name="40% - Accent6 5 2 3 3" xfId="3213" xr:uid="{7A4CDB56-09AB-47B7-AD48-8E95D870AC40}"/>
    <cellStyle name="40% - Accent6 5 2 3 3 2" xfId="17265" xr:uid="{50327815-9EF5-48B0-B6D1-A698B7746CC6}"/>
    <cellStyle name="40% - Accent6 5 2 3 4" xfId="15071" xr:uid="{889CE3F3-54E4-4954-B9A8-420A03DA0A58}"/>
    <cellStyle name="40% - Accent6 5 2 4" xfId="1601" xr:uid="{E48AB199-FA8C-4195-AF7C-377FA8A060FF}"/>
    <cellStyle name="40% - Accent6 5 2 4 2" xfId="3791" xr:uid="{FFC2CA97-67BC-48E4-9DD3-4BC23F6A7FBE}"/>
    <cellStyle name="40% - Accent6 5 2 4 2 2" xfId="17844" xr:uid="{6579B5A1-E5C1-472A-9D33-4F69FA9EC757}"/>
    <cellStyle name="40% - Accent6 5 2 4 3" xfId="15650" xr:uid="{9E72F455-9C49-4E8D-88EF-6145D6DABD5F}"/>
    <cellStyle name="40% - Accent6 5 2 5" xfId="2520" xr:uid="{1548DD98-B69F-46D7-ADA8-7EE750D66CEE}"/>
    <cellStyle name="40% - Accent6 5 2 5 2" xfId="16571" xr:uid="{E51F57C1-80B1-4E41-BF90-22FEDDF6EFE1}"/>
    <cellStyle name="40% - Accent6 5 2 6" xfId="4886" xr:uid="{0164F7DA-0B14-46F7-B792-BAB2DB4EC6F6}"/>
    <cellStyle name="40% - Accent6 5 2 6 2" xfId="18938" xr:uid="{9564EF34-195F-4233-93CD-2F536E1ACBF5}"/>
    <cellStyle name="40% - Accent6 5 2 7" xfId="14377" xr:uid="{C1CEF976-1ABE-4CD7-9235-8583307621A7}"/>
    <cellStyle name="40% - Accent6 5 3" xfId="494" xr:uid="{4D41E6E5-45EF-494E-A13A-CB3B2FC6A96F}"/>
    <cellStyle name="40% - Accent6 5 3 2" xfId="1427" xr:uid="{73F881E7-EB54-4F36-A0C9-ABF412C6003C}"/>
    <cellStyle name="40% - Accent6 5 3 2 2" xfId="3617" xr:uid="{435A045E-8813-461D-B92B-F6ED9801C8B8}"/>
    <cellStyle name="40% - Accent6 5 3 2 2 2" xfId="17670" xr:uid="{512EED34-C978-411E-A842-00344E520DD1}"/>
    <cellStyle name="40% - Accent6 5 3 2 3" xfId="15476" xr:uid="{ED417C33-D50A-4F27-AA94-29DF003C08FE}"/>
    <cellStyle name="40% - Accent6 5 3 3" xfId="2693" xr:uid="{EECBB603-FE43-4C51-ABF6-6D0490631416}"/>
    <cellStyle name="40% - Accent6 5 3 3 2" xfId="16744" xr:uid="{049C668A-2025-4ACD-A222-30887F35E7AD}"/>
    <cellStyle name="40% - Accent6 5 3 4" xfId="4712" xr:uid="{8CECCE0E-EC3D-4F56-BE4E-443618546CDE}"/>
    <cellStyle name="40% - Accent6 5 3 4 2" xfId="18764" xr:uid="{D869974E-D742-4FBA-AF01-488052A59BF6}"/>
    <cellStyle name="40% - Accent6 5 3 5" xfId="14549" xr:uid="{B9CA2C77-6B57-4EB0-976A-310094903CFE}"/>
    <cellStyle name="40% - Accent6 5 4" xfId="847" xr:uid="{D1D1D43C-D560-434B-B236-9FA2D61C93C5}"/>
    <cellStyle name="40% - Accent6 5 4 2" xfId="1946" xr:uid="{892423EA-224C-4B92-BD32-A6DF48F80C7F}"/>
    <cellStyle name="40% - Accent6 5 4 2 2" xfId="4135" xr:uid="{FF11DA9B-73CF-4A54-911E-91AE042F2107}"/>
    <cellStyle name="40% - Accent6 5 4 2 2 2" xfId="18187" xr:uid="{EA94DC87-DC55-4102-BB4E-2C785A50D002}"/>
    <cellStyle name="40% - Accent6 5 4 2 3" xfId="15995" xr:uid="{E689B133-4646-4F76-80F3-BE7CFD61C29C}"/>
    <cellStyle name="40% - Accent6 5 4 3" xfId="3039" xr:uid="{05D14ED2-7118-4225-B7AF-65D7B2A06385}"/>
    <cellStyle name="40% - Accent6 5 4 3 2" xfId="17091" xr:uid="{860D657E-1843-41DD-B416-534953986ABF}"/>
    <cellStyle name="40% - Accent6 5 4 4" xfId="14897" xr:uid="{37155F8F-20C2-406B-AA8B-5D4F3E77D429}"/>
    <cellStyle name="40% - Accent6 5 5" xfId="1255" xr:uid="{93E59FD4-0D9F-4E95-AC9C-C44631D73D8F}"/>
    <cellStyle name="40% - Accent6 5 5 2" xfId="3445" xr:uid="{C64081F0-F22C-48E1-8C6F-F317CE408B16}"/>
    <cellStyle name="40% - Accent6 5 5 2 2" xfId="17497" xr:uid="{525300AE-2E77-499F-A7DC-25F893AA4EC4}"/>
    <cellStyle name="40% - Accent6 5 5 3" xfId="15303" xr:uid="{2D9E2CF4-8F4B-4B69-AA5F-B6A1DEC77BBE}"/>
    <cellStyle name="40% - Accent6 5 6" xfId="2346" xr:uid="{F4C8090E-B0D2-4F16-965C-E8C84047F317}"/>
    <cellStyle name="40% - Accent6 5 6 2" xfId="16397" xr:uid="{94E9DBDD-905E-4399-8B5D-B51A56854F35}"/>
    <cellStyle name="40% - Accent6 5 7" xfId="4539" xr:uid="{AC0B8837-5683-49CA-8562-F5C41D58E414}"/>
    <cellStyle name="40% - Accent6 5 7 2" xfId="18591" xr:uid="{A8EE8907-EB01-464E-8642-D242ECF1EDD5}"/>
    <cellStyle name="40% - Accent6 5 8" xfId="14202" xr:uid="{C819153E-E8B2-4028-8103-A54284466AAD}"/>
    <cellStyle name="40% - Accent6 6" xfId="260" xr:uid="{2569665E-40C1-491F-9B48-4F8FD065A4E2}"/>
    <cellStyle name="40% - Accent6 6 2" xfId="614" xr:uid="{44BF8087-A1DC-4063-BA9E-2BE5AA6C0CFD}"/>
    <cellStyle name="40% - Accent6 6 2 2" xfId="1719" xr:uid="{F5AC7D73-499A-47A7-8302-FC55CEA5F1D8}"/>
    <cellStyle name="40% - Accent6 6 2 2 2" xfId="3907" xr:uid="{0FA3DE24-9EE2-4E06-99C6-0DCC09690FBE}"/>
    <cellStyle name="40% - Accent6 6 2 2 2 2" xfId="17959" xr:uid="{7FB9CEA2-1265-4BD9-939D-41D184CE2B82}"/>
    <cellStyle name="40% - Accent6 6 2 2 3" xfId="15767" xr:uid="{5B2F1FCB-669C-483C-9EE0-082FF84DAF79}"/>
    <cellStyle name="40% - Accent6 6 2 3" xfId="2810" xr:uid="{E6C78DF0-7DB2-4542-89D4-F46B69DB51C4}"/>
    <cellStyle name="40% - Accent6 6 2 3 2" xfId="16861" xr:uid="{117DE63C-D76F-44E9-AC9D-F6DDE134E3F1}"/>
    <cellStyle name="40% - Accent6 6 2 4" xfId="14667" xr:uid="{A9BBD2A1-E6A5-4FA2-8213-C9536429132B}"/>
    <cellStyle name="40% - Accent6 6 3" xfId="964" xr:uid="{F813FA37-B9AB-4B2F-A65A-1FDBB095C394}"/>
    <cellStyle name="40% - Accent6 6 3 2" xfId="2063" xr:uid="{59440C4A-7F63-454C-9D8F-A6766F77E7E9}"/>
    <cellStyle name="40% - Accent6 6 3 2 2" xfId="4252" xr:uid="{AEB80F66-1177-4F57-BBCA-72AF010294F2}"/>
    <cellStyle name="40% - Accent6 6 3 2 2 2" xfId="18303" xr:uid="{0E139933-62B3-40F3-9C4C-D7BCCE3179B0}"/>
    <cellStyle name="40% - Accent6 6 3 2 3" xfId="16112" xr:uid="{A16D4837-5452-4A38-87B8-7483ED1D9E31}"/>
    <cellStyle name="40% - Accent6 6 3 3" xfId="3156" xr:uid="{85095753-C211-4AB2-B7BD-2C6AE100D604}"/>
    <cellStyle name="40% - Accent6 6 3 3 2" xfId="17208" xr:uid="{F5B52999-5A42-4060-8BFC-3CDEA3D9943D}"/>
    <cellStyle name="40% - Accent6 6 3 4" xfId="15014" xr:uid="{A12FA9D1-338E-4B12-BEA5-BAF2382BB568}"/>
    <cellStyle name="40% - Accent6 6 4" xfId="1544" xr:uid="{4FCB5F25-31F3-47A7-AB73-CA17256ECFDE}"/>
    <cellStyle name="40% - Accent6 6 4 2" xfId="3734" xr:uid="{B1E64DDE-64BB-4643-86AD-CE9616B1BCB1}"/>
    <cellStyle name="40% - Accent6 6 4 2 2" xfId="17787" xr:uid="{AE534FB5-DB9D-4198-9E9B-3A32FA06AC58}"/>
    <cellStyle name="40% - Accent6 6 4 3" xfId="15593" xr:uid="{7DBD73B5-3A6A-4F7C-905B-61AC7D76C365}"/>
    <cellStyle name="40% - Accent6 6 5" xfId="2463" xr:uid="{3C32A02F-B63F-4D60-B08B-9A98E7E9D42B}"/>
    <cellStyle name="40% - Accent6 6 5 2" xfId="16514" xr:uid="{31C8F177-576E-491E-9016-E13E5BD5C451}"/>
    <cellStyle name="40% - Accent6 6 6" xfId="4829" xr:uid="{6FAF5050-D7FE-4EA5-93C4-C50E08D138F3}"/>
    <cellStyle name="40% - Accent6 6 6 2" xfId="18881" xr:uid="{62EBBFA7-5950-4810-BFEE-15A7852D2898}"/>
    <cellStyle name="40% - Accent6 6 7" xfId="14319" xr:uid="{6907EAD0-EE6D-4CCE-BB48-E3C290E0CB7A}"/>
    <cellStyle name="40% - Accent6 7" xfId="436" xr:uid="{C77D50EA-D443-45AA-B6F9-3B2EC78DB8CF}"/>
    <cellStyle name="40% - Accent6 7 2" xfId="1370" xr:uid="{AA8361B3-C06B-41BC-B6B9-E9C03BE38133}"/>
    <cellStyle name="40% - Accent6 7 2 2" xfId="3560" xr:uid="{BEF7763D-152B-4EA7-8428-698BEDDDF1E4}"/>
    <cellStyle name="40% - Accent6 7 2 2 2" xfId="17613" xr:uid="{21E504FC-1DAE-4ECA-95D5-F0230D3DF492}"/>
    <cellStyle name="40% - Accent6 7 2 3" xfId="15419" xr:uid="{54F005E2-4E60-4ADD-9536-61B9807CB49A}"/>
    <cellStyle name="40% - Accent6 7 3" xfId="2636" xr:uid="{A64522BA-9ECE-4382-8B85-F457E9883C2D}"/>
    <cellStyle name="40% - Accent6 7 3 2" xfId="16687" xr:uid="{3505FEA3-F441-412D-964A-7755F2F0CBBA}"/>
    <cellStyle name="40% - Accent6 7 4" xfId="4655" xr:uid="{0AC82AC4-9999-4856-886D-AE2A3EE32663}"/>
    <cellStyle name="40% - Accent6 7 4 2" xfId="18707" xr:uid="{EE719479-6A32-47B8-B34E-BA77B4F77A5B}"/>
    <cellStyle name="40% - Accent6 7 5" xfId="14492" xr:uid="{AEA12926-3A27-421A-A5F4-48A492CDC4C0}"/>
    <cellStyle name="40% - Accent6 8" xfId="790" xr:uid="{930EEE53-78EF-4ADB-B213-C7A4F7AE4260}"/>
    <cellStyle name="40% - Accent6 8 2" xfId="1891" xr:uid="{9D80D964-ABB1-4121-B05B-108914803537}"/>
    <cellStyle name="40% - Accent6 8 2 2" xfId="4080" xr:uid="{58FFDAAB-26B5-41D5-89B3-746B0DB9389F}"/>
    <cellStyle name="40% - Accent6 8 2 2 2" xfId="18132" xr:uid="{EBCD4C97-477A-456A-87EA-FD5D2A14A1C8}"/>
    <cellStyle name="40% - Accent6 8 2 3" xfId="15940" xr:uid="{51A28B52-2321-4715-9A6D-130B86DAF808}"/>
    <cellStyle name="40% - Accent6 8 3" xfId="2982" xr:uid="{A66B3A8D-5340-4682-B9C3-98F3106F8517}"/>
    <cellStyle name="40% - Accent6 8 3 2" xfId="17034" xr:uid="{9C4FDC12-D00F-462B-ACCF-57022A76141A}"/>
    <cellStyle name="40% - Accent6 8 4" xfId="14840" xr:uid="{19B71F1A-AAD1-44FC-9D20-AE9BB9EBA59C}"/>
    <cellStyle name="40% - Accent6 9" xfId="1134" xr:uid="{88148BE9-9E2C-4151-8310-AA8BE0A84626}"/>
    <cellStyle name="40% - Accent6 9 2" xfId="2234" xr:uid="{7EE7A6DE-4950-4A7A-A4BB-F04CCC8C43C8}"/>
    <cellStyle name="40% - Accent6 9 2 2" xfId="4423" xr:uid="{1B6F4F98-79FD-4F70-8C4B-55567E2E3004}"/>
    <cellStyle name="40% - Accent6 9 2 2 2" xfId="18473" xr:uid="{AF2B22B0-85D5-4B26-BE52-242FB11F8BA6}"/>
    <cellStyle name="40% - Accent6 9 2 3" xfId="16283" xr:uid="{2A64B542-E4DB-4F9B-B28D-73E511B0A296}"/>
    <cellStyle name="40% - Accent6 9 3" xfId="3327" xr:uid="{CEB1CB15-F488-47C7-89A1-1EC26BFAD243}"/>
    <cellStyle name="40% - Accent6 9 3 2" xfId="17379" xr:uid="{777E0CAA-A562-4847-AB11-13FD2F7D9632}"/>
    <cellStyle name="40% - Accent6 9 4" xfId="15185" xr:uid="{67129D4A-7BD1-4FAD-ABA6-DFF391D27496}"/>
    <cellStyle name="60% - Accent1" xfId="42" builtinId="32" customBuiltin="1"/>
    <cellStyle name="60% - Accent1 2" xfId="80" xr:uid="{1BE6CFD7-6737-43C8-A1D1-12F889CA6496}"/>
    <cellStyle name="60% - Accent1 3" xfId="14122" xr:uid="{7D0B95B9-812C-4DE4-BC88-9E1AE1CDF250}"/>
    <cellStyle name="60% - Accent2" xfId="46" builtinId="36" customBuiltin="1"/>
    <cellStyle name="60% - Accent2 2" xfId="81" xr:uid="{708DE51B-2FBA-4701-8AF2-453E8D841088}"/>
    <cellStyle name="60% - Accent2 3" xfId="14125" xr:uid="{0463BCEF-A16A-4EB9-828A-C4C9C58C308C}"/>
    <cellStyle name="60% - Accent3" xfId="50" builtinId="40" customBuiltin="1"/>
    <cellStyle name="60% - Accent3 2" xfId="82" xr:uid="{F313AE3F-2073-4952-A606-EFD71A8EF21F}"/>
    <cellStyle name="60% - Accent3 3" xfId="14128" xr:uid="{FCBFD31B-C261-4836-9AA3-DC97ACB39A5F}"/>
    <cellStyle name="60% - Accent4" xfId="54" builtinId="44" customBuiltin="1"/>
    <cellStyle name="60% - Accent4 2" xfId="83" xr:uid="{D0E8838B-304A-471E-B1C3-22DC0602A88B}"/>
    <cellStyle name="60% - Accent4 3" xfId="14131" xr:uid="{8830FE3E-636A-4133-9F1C-91C96D71950D}"/>
    <cellStyle name="60% - Accent5" xfId="58" builtinId="48" customBuiltin="1"/>
    <cellStyle name="60% - Accent5 2" xfId="84" xr:uid="{80FCB656-B7F3-4679-A5EE-9A1974640F88}"/>
    <cellStyle name="60% - Accent5 3" xfId="14134" xr:uid="{78488977-02C5-4AE9-9F6B-91699FE883A6}"/>
    <cellStyle name="60% - Accent6" xfId="62" builtinId="52" customBuiltin="1"/>
    <cellStyle name="60% - Accent6 2" xfId="85" xr:uid="{CBD5EE8F-E413-40CB-8F2F-269FB11EBB01}"/>
    <cellStyle name="60% - Accent6 3" xfId="14137" xr:uid="{BC3B75C5-7622-41D7-A16D-F21E984F3DC5}"/>
    <cellStyle name="Accent1" xfId="39" builtinId="29" customBuiltin="1"/>
    <cellStyle name="Accent2" xfId="43" builtinId="33" customBuiltin="1"/>
    <cellStyle name="Accent3" xfId="47" builtinId="37" customBuiltin="1"/>
    <cellStyle name="Accent4" xfId="51" builtinId="41" customBuiltin="1"/>
    <cellStyle name="Accent5" xfId="55" builtinId="45" customBuiltin="1"/>
    <cellStyle name="Accent6" xfId="59" builtinId="49" customBuiltin="1"/>
    <cellStyle name="Bad" xfId="26" builtinId="27" customBuiltin="1"/>
    <cellStyle name="Bad 2" xfId="25" xr:uid="{1BAEFA98-88BD-4F50-A062-F392349C0D98}"/>
    <cellStyle name="Calculation" xfId="16" builtinId="22" customBuiltin="1"/>
    <cellStyle name="Check Cell" xfId="35" builtinId="23" customBuiltin="1"/>
    <cellStyle name="Comma" xfId="14104" builtinId="3"/>
    <cellStyle name="Comma 2" xfId="72" xr:uid="{0B047502-A8D4-4A79-86B1-34A3EC952BF2}"/>
    <cellStyle name="Comma 2 2" xfId="77" xr:uid="{7100C0EF-ECDD-4C03-9164-C0AED20526AE}"/>
    <cellStyle name="Comma 2 2 2" xfId="4992" xr:uid="{1CCDBA76-55CB-470B-9CC0-2C54CFDB2EC1}"/>
    <cellStyle name="Comma 2 2 2 2" xfId="5861" xr:uid="{00F15E86-23C0-45D0-8FA9-0C906D73176B}"/>
    <cellStyle name="Comma 2 2 2 2 2" xfId="9333" xr:uid="{41488043-413A-4E2D-A0D9-7D12BD76F805}"/>
    <cellStyle name="Comma 2 2 2 2 2 2" xfId="23384" xr:uid="{6849D896-A2D1-4A63-AA7A-357C43EDD0B8}"/>
    <cellStyle name="Comma 2 2 2 2 3" xfId="11937" xr:uid="{3802D463-4F68-4C5B-A265-CEEE315FE759}"/>
    <cellStyle name="Comma 2 2 2 2 3 2" xfId="25988" xr:uid="{EEB127CD-8FB4-4AEA-B2FE-0958FB70ECEA}"/>
    <cellStyle name="Comma 2 2 2 2 4" xfId="19912" xr:uid="{36F846BD-E853-43E5-B701-B8852AFCB251}"/>
    <cellStyle name="Comma 2 2 2 3" xfId="6729" xr:uid="{40796B29-3CAD-4E9E-908A-469F901FB5F4}"/>
    <cellStyle name="Comma 2 2 2 3 2" xfId="10201" xr:uid="{FC040BB0-3F45-4BE9-93EC-181B8F413077}"/>
    <cellStyle name="Comma 2 2 2 3 2 2" xfId="24252" xr:uid="{50ED88D9-4F20-4ACB-A1A1-6C3AE2BE04CC}"/>
    <cellStyle name="Comma 2 2 2 3 3" xfId="12805" xr:uid="{ECF25D8A-2192-4A50-8900-53498D31F7E4}"/>
    <cellStyle name="Comma 2 2 2 3 3 2" xfId="26856" xr:uid="{0F35CA2F-A55E-416A-B869-470C3F94756C}"/>
    <cellStyle name="Comma 2 2 2 3 4" xfId="20780" xr:uid="{F7E70C19-492C-44C6-8456-53B213E029DF}"/>
    <cellStyle name="Comma 2 2 2 4" xfId="8465" xr:uid="{97A7AAE2-F855-4D9D-A5AE-B63CCACB8AF8}"/>
    <cellStyle name="Comma 2 2 2 4 2" xfId="13673" xr:uid="{37D50D2F-CBDC-4B05-876D-252DABDD1D72}"/>
    <cellStyle name="Comma 2 2 2 4 2 2" xfId="27724" xr:uid="{AE2CED67-9439-4AE3-9DF5-B4C80C154014}"/>
    <cellStyle name="Comma 2 2 2 4 3" xfId="22516" xr:uid="{945ACE7F-4C16-4E94-89D4-C889CA66B366}"/>
    <cellStyle name="Comma 2 2 2 5" xfId="7597" xr:uid="{0D75AE98-7C6E-4F64-878D-4F8CDE51D612}"/>
    <cellStyle name="Comma 2 2 2 5 2" xfId="21648" xr:uid="{8727EE1A-E63F-4002-BB78-7020F874BFFD}"/>
    <cellStyle name="Comma 2 2 2 6" xfId="11069" xr:uid="{ABAC3202-EA03-4934-82F0-529E148AE551}"/>
    <cellStyle name="Comma 2 2 2 6 2" xfId="25120" xr:uid="{FD02EE7E-18F8-4A55-8390-88381697528C}"/>
    <cellStyle name="Comma 2 2 2 7" xfId="19044" xr:uid="{576A29F3-51D0-43E5-A068-24A79B26E3EA}"/>
    <cellStyle name="Comma 2 2 3" xfId="5427" xr:uid="{03742661-CDF5-426C-A240-ACAC4AB3BDC9}"/>
    <cellStyle name="Comma 2 2 3 2" xfId="8899" xr:uid="{7979E591-173B-4C08-A408-2ADF782EEC66}"/>
    <cellStyle name="Comma 2 2 3 2 2" xfId="22950" xr:uid="{5859797B-8E1B-4FCD-B623-90F4B8BA5FE2}"/>
    <cellStyle name="Comma 2 2 3 3" xfId="11503" xr:uid="{64E75DC4-8C5A-4948-88D6-401B26DA9B69}"/>
    <cellStyle name="Comma 2 2 3 3 2" xfId="25554" xr:uid="{5373DADA-9043-422A-BAF8-ABC1BBB01DFD}"/>
    <cellStyle name="Comma 2 2 3 4" xfId="19478" xr:uid="{3B289B75-59FD-421E-AED7-2A9A86A2964D}"/>
    <cellStyle name="Comma 2 2 4" xfId="6295" xr:uid="{AED72939-2764-410D-89AA-25C99E5D5CD3}"/>
    <cellStyle name="Comma 2 2 4 2" xfId="9767" xr:uid="{94E46649-C10A-4803-9382-65849CB7AE2D}"/>
    <cellStyle name="Comma 2 2 4 2 2" xfId="23818" xr:uid="{003CDC1A-56E4-4A51-8C86-6A215D8C7C1E}"/>
    <cellStyle name="Comma 2 2 4 3" xfId="12371" xr:uid="{FFEABFDB-4558-495D-B371-1E2759B52D06}"/>
    <cellStyle name="Comma 2 2 4 3 2" xfId="26422" xr:uid="{E0CA3681-C912-48E7-B279-51773E66B39F}"/>
    <cellStyle name="Comma 2 2 4 4" xfId="20346" xr:uid="{E79FB116-5496-4E68-AEBA-99E9934D1B65}"/>
    <cellStyle name="Comma 2 2 5" xfId="8031" xr:uid="{3500C69B-AD12-4A94-9BCD-EB1056ACDE8D}"/>
    <cellStyle name="Comma 2 2 5 2" xfId="13239" xr:uid="{A73124D6-4A99-4720-AB87-66E723C2A019}"/>
    <cellStyle name="Comma 2 2 5 2 2" xfId="27290" xr:uid="{5414782D-DE17-4996-9B52-C2A8BE43B57A}"/>
    <cellStyle name="Comma 2 2 5 3" xfId="22082" xr:uid="{F98D91AF-7662-4788-A49E-191A1563DC8E}"/>
    <cellStyle name="Comma 2 2 6" xfId="7163" xr:uid="{488FA827-E819-4EB1-8350-9206EE3D0D53}"/>
    <cellStyle name="Comma 2 2 6 2" xfId="21214" xr:uid="{0BC5FD11-B279-4528-9E0D-C463E8DF5A32}"/>
    <cellStyle name="Comma 2 2 7" xfId="10635" xr:uid="{D6ACB830-8F90-48C1-B7AB-27B1CC92D3AB}"/>
    <cellStyle name="Comma 2 2 7 2" xfId="24686" xr:uid="{ED48BB0A-7971-4532-A7BC-FCFB947172C7}"/>
    <cellStyle name="Comma 2 2 8" xfId="14146" xr:uid="{B398AE05-E12F-4294-9B52-B116EF77F3B0}"/>
    <cellStyle name="Comma 2 3" xfId="14143" xr:uid="{8077E52B-12C5-4CDE-B9E8-4FA8ED86246E}"/>
    <cellStyle name="Comma 3" xfId="28155" xr:uid="{DF137DEA-203F-4120-B401-531DEA7126E4}"/>
    <cellStyle name="Currency" xfId="1" builtinId="4"/>
    <cellStyle name="Currency 10" xfId="89" xr:uid="{C6D7F518-13E8-45E0-BA7E-C65683B571D1}"/>
    <cellStyle name="Currency 10 2" xfId="4994" xr:uid="{9F612C7D-CF8D-4064-9B58-59D8072376B1}"/>
    <cellStyle name="Currency 10 2 2" xfId="5862" xr:uid="{34989378-CDBF-43DC-9B24-E505BDCF12DB}"/>
    <cellStyle name="Currency 10 2 2 2" xfId="9334" xr:uid="{186D74CD-ED29-41B4-85D9-9BA629941F8D}"/>
    <cellStyle name="Currency 10 2 2 2 2" xfId="23385" xr:uid="{70F4D0AE-5CE1-4C0F-BB48-E63BE808B966}"/>
    <cellStyle name="Currency 10 2 2 3" xfId="11938" xr:uid="{D919336A-BC1E-46AB-833F-B86C24527782}"/>
    <cellStyle name="Currency 10 2 2 3 2" xfId="25989" xr:uid="{C323A7CB-19AF-4D9D-9F93-B9242767C0EE}"/>
    <cellStyle name="Currency 10 2 2 4" xfId="19913" xr:uid="{E0F5E514-4B93-4E0D-B46B-252769E8F228}"/>
    <cellStyle name="Currency 10 2 3" xfId="6730" xr:uid="{5385F4A2-3EF8-49A5-8BA6-A1F3C5987924}"/>
    <cellStyle name="Currency 10 2 3 2" xfId="10202" xr:uid="{25451937-84E0-4DDF-912D-B433A3C7A252}"/>
    <cellStyle name="Currency 10 2 3 2 2" xfId="24253" xr:uid="{21B641ED-CC9D-4184-8789-001B169B1B52}"/>
    <cellStyle name="Currency 10 2 3 3" xfId="12806" xr:uid="{41535BC6-6334-4C24-8E34-77364F368A5E}"/>
    <cellStyle name="Currency 10 2 3 3 2" xfId="26857" xr:uid="{E96D542F-9B71-4103-BD3B-35DF655F6CFD}"/>
    <cellStyle name="Currency 10 2 3 4" xfId="20781" xr:uid="{4F7954EF-38F0-49D2-AC64-7B44FC03BB0E}"/>
    <cellStyle name="Currency 10 2 4" xfId="8466" xr:uid="{6F96EFA5-96B2-4974-84C9-243E63BCA40F}"/>
    <cellStyle name="Currency 10 2 4 2" xfId="13674" xr:uid="{11CD3514-D1CF-4D0A-B379-B4F65059C8CA}"/>
    <cellStyle name="Currency 10 2 4 2 2" xfId="27725" xr:uid="{63D98D3B-3AA2-48D5-AB2E-0D283C09EE61}"/>
    <cellStyle name="Currency 10 2 4 3" xfId="22517" xr:uid="{E87EDF17-F706-4403-A332-9FE05BFAB3A9}"/>
    <cellStyle name="Currency 10 2 5" xfId="7598" xr:uid="{FFF60000-DFE3-45F0-8CB8-94B97A03A37E}"/>
    <cellStyle name="Currency 10 2 5 2" xfId="21649" xr:uid="{D655C62A-765E-435B-B563-9A9AEA389229}"/>
    <cellStyle name="Currency 10 2 6" xfId="11070" xr:uid="{FEDD2BDF-B964-4BA9-98B0-3E431E32677E}"/>
    <cellStyle name="Currency 10 2 6 2" xfId="25121" xr:uid="{A33F5792-A4CC-4C48-9A69-2D8C742F8A2D}"/>
    <cellStyle name="Currency 10 2 7" xfId="19045" xr:uid="{18ABC609-CAD9-4DF5-A105-54365CE7F17E}"/>
    <cellStyle name="Currency 10 3" xfId="5428" xr:uid="{7DE568A7-C102-421E-85B1-B0ACBA550D86}"/>
    <cellStyle name="Currency 10 3 2" xfId="8900" xr:uid="{574EBBE5-11EB-41F1-B765-57759D31979B}"/>
    <cellStyle name="Currency 10 3 2 2" xfId="22951" xr:uid="{4BBAF391-E1C2-463E-ABBB-71C722CF3E4F}"/>
    <cellStyle name="Currency 10 3 3" xfId="11504" xr:uid="{09448762-34B4-4E15-9CD6-4225A28A83F8}"/>
    <cellStyle name="Currency 10 3 3 2" xfId="25555" xr:uid="{469B40E3-2A93-42F6-AB79-B3AD01AB5C48}"/>
    <cellStyle name="Currency 10 3 4" xfId="19479" xr:uid="{88550EB7-D9FE-42D7-9504-B5891D940567}"/>
    <cellStyle name="Currency 10 4" xfId="6296" xr:uid="{49465262-0888-4CB6-969D-27CA5495BEDC}"/>
    <cellStyle name="Currency 10 4 2" xfId="9768" xr:uid="{EF036F2C-C6F1-4451-A15E-BCE3194190D7}"/>
    <cellStyle name="Currency 10 4 2 2" xfId="23819" xr:uid="{C9801894-AACF-473E-8C6C-6F5EB82EB6A6}"/>
    <cellStyle name="Currency 10 4 3" xfId="12372" xr:uid="{1B0845FA-1D96-47D5-88F6-AE6E672D0C8B}"/>
    <cellStyle name="Currency 10 4 3 2" xfId="26423" xr:uid="{E73C6538-1CAD-4A83-930E-C0F9BB0D55E1}"/>
    <cellStyle name="Currency 10 4 4" xfId="20347" xr:uid="{5B211C36-33AB-4965-989E-C6A04D986197}"/>
    <cellStyle name="Currency 10 5" xfId="8032" xr:uid="{C0711D5D-3C86-47B1-9E17-202A5F1BCC71}"/>
    <cellStyle name="Currency 10 5 2" xfId="13240" xr:uid="{876F88E4-3420-4441-B06B-E0C6C3B430D5}"/>
    <cellStyle name="Currency 10 5 2 2" xfId="27291" xr:uid="{14A60EFF-48AA-41A5-9EEA-BA0EC686BAFA}"/>
    <cellStyle name="Currency 10 5 3" xfId="22083" xr:uid="{93920810-29DD-4C83-8581-C5B785E7BED9}"/>
    <cellStyle name="Currency 10 6" xfId="7164" xr:uid="{40DBFC44-63C4-4081-A138-D76FE48BAE11}"/>
    <cellStyle name="Currency 10 6 2" xfId="21215" xr:uid="{ED8FE0EC-8CD6-4561-9564-650CABAA6A82}"/>
    <cellStyle name="Currency 10 7" xfId="10636" xr:uid="{275D1CBD-7E1D-4F6C-A697-092A60658A8C}"/>
    <cellStyle name="Currency 10 7 2" xfId="24687" xr:uid="{D31FBCFE-403B-4623-9CB4-C40F70DADFDF}"/>
    <cellStyle name="Currency 10 8" xfId="14150" xr:uid="{0C4E7971-2B7B-4DFF-92DE-4B439E28DFC9}"/>
    <cellStyle name="Currency 11" xfId="4989" xr:uid="{31822EF4-2890-4CAC-807B-8D99736ED6BC}"/>
    <cellStyle name="Currency 11 2" xfId="5858" xr:uid="{2210A767-9139-4516-A2DC-CC2B2BB4319C}"/>
    <cellStyle name="Currency 11 2 2" xfId="9330" xr:uid="{FD322412-BF1D-433D-8FEA-90A047F0C55B}"/>
    <cellStyle name="Currency 11 2 2 2" xfId="23381" xr:uid="{64F5F4ED-3782-41EE-B809-D7AC6C9E7B9B}"/>
    <cellStyle name="Currency 11 2 3" xfId="11934" xr:uid="{273B9EEF-4F6F-4313-ACEE-72F1364F2A0D}"/>
    <cellStyle name="Currency 11 2 3 2" xfId="25985" xr:uid="{21D1D6CC-69A1-4FDF-9421-F3D1DAC4D5B9}"/>
    <cellStyle name="Currency 11 2 4" xfId="19909" xr:uid="{3E0A98DB-014C-45FF-97E2-3EC5932B38A2}"/>
    <cellStyle name="Currency 11 3" xfId="6726" xr:uid="{4BFA6FDC-F93E-434B-B4F6-D9FEDE64B245}"/>
    <cellStyle name="Currency 11 3 2" xfId="10198" xr:uid="{328AD962-0CFB-4F7F-84F7-A9DC5E6C5440}"/>
    <cellStyle name="Currency 11 3 2 2" xfId="24249" xr:uid="{049F3485-1DD6-4AC0-B917-CE4846283472}"/>
    <cellStyle name="Currency 11 3 3" xfId="12802" xr:uid="{09096AC3-E576-4845-BE61-5E86536272E8}"/>
    <cellStyle name="Currency 11 3 3 2" xfId="26853" xr:uid="{A4AB979C-B8C2-4340-838B-6743E2401227}"/>
    <cellStyle name="Currency 11 3 4" xfId="20777" xr:uid="{73E1BB0C-BDE2-4DA2-B9BE-305848C9DE2A}"/>
    <cellStyle name="Currency 11 4" xfId="8462" xr:uid="{2BE5C538-8256-42B3-A9A1-767A5B0E6838}"/>
    <cellStyle name="Currency 11 4 2" xfId="13670" xr:uid="{1C5D9977-E757-415B-8EB4-59573A3B0407}"/>
    <cellStyle name="Currency 11 4 2 2" xfId="27721" xr:uid="{27F46F95-D58F-4E2D-9773-774DF15B559F}"/>
    <cellStyle name="Currency 11 4 3" xfId="22513" xr:uid="{84D1541A-78F3-469A-B688-A375788C55A9}"/>
    <cellStyle name="Currency 11 5" xfId="7594" xr:uid="{65DC68A5-72B3-46D3-A510-64E356A1E9DD}"/>
    <cellStyle name="Currency 11 5 2" xfId="21645" xr:uid="{98A836A4-2465-407F-BEF1-AAB34603A35F}"/>
    <cellStyle name="Currency 11 6" xfId="11066" xr:uid="{5868F27E-0CB2-4946-A262-A6196711B1CC}"/>
    <cellStyle name="Currency 11 6 2" xfId="25117" xr:uid="{446BC61C-AEFC-4F49-99E3-5A3C76B8ADB7}"/>
    <cellStyle name="Currency 11 7" xfId="19041" xr:uid="{E2C3B2F8-86DA-4174-9362-9AB726A085D3}"/>
    <cellStyle name="Currency 12" xfId="5424" xr:uid="{B8131E58-769B-4056-AA9B-31BA494032D2}"/>
    <cellStyle name="Currency 12 2" xfId="8896" xr:uid="{83DA7DA1-444E-4D26-B824-98500CF44780}"/>
    <cellStyle name="Currency 12 2 2" xfId="22947" xr:uid="{29588992-56B9-45A5-A74D-39D5921810DA}"/>
    <cellStyle name="Currency 12 3" xfId="11500" xr:uid="{8AE14122-B344-4320-9F8E-D7E93349F29A}"/>
    <cellStyle name="Currency 12 3 2" xfId="25551" xr:uid="{2BF41D72-E36F-4CC5-BD93-36BF0519A575}"/>
    <cellStyle name="Currency 12 4" xfId="19475" xr:uid="{F67F88C2-BC04-44E9-8087-C07ABA2A8568}"/>
    <cellStyle name="Currency 13" xfId="6292" xr:uid="{FFEE885D-8557-4C43-9748-4BC909D2EFDB}"/>
    <cellStyle name="Currency 13 2" xfId="9764" xr:uid="{0C47088D-77F3-4F18-B4A0-130A463DD728}"/>
    <cellStyle name="Currency 13 2 2" xfId="23815" xr:uid="{E2BB901D-80A2-4B5B-92AC-8817F8BFFC1F}"/>
    <cellStyle name="Currency 13 3" xfId="12368" xr:uid="{4E733CC5-F27F-4C0F-9F77-9FDA71E9BACE}"/>
    <cellStyle name="Currency 13 3 2" xfId="26419" xr:uid="{8A7BBB92-D340-488A-8150-2DC8A1B4DEC9}"/>
    <cellStyle name="Currency 13 4" xfId="20343" xr:uid="{1DA1013B-E0BC-4D7E-84B9-838541790EDC}"/>
    <cellStyle name="Currency 14" xfId="8028" xr:uid="{1B4CF3BC-3002-439D-9370-D76B9EECE1FD}"/>
    <cellStyle name="Currency 14 2" xfId="13236" xr:uid="{3E2C90DB-11B6-49F1-B076-FA16FE776AA0}"/>
    <cellStyle name="Currency 14 2 2" xfId="27287" xr:uid="{08928E86-E1FE-4E0D-AA12-EB7B3DC7750D}"/>
    <cellStyle name="Currency 14 3" xfId="22079" xr:uid="{15EC4E4D-11C2-4902-A05F-BF1E6232EBAB}"/>
    <cellStyle name="Currency 15" xfId="7160" xr:uid="{D040A773-0508-4F19-A0B0-1ACB46FF3C8E}"/>
    <cellStyle name="Currency 15 2" xfId="21211" xr:uid="{25739411-3A3B-46E0-ABE2-E4C0820A1F1D}"/>
    <cellStyle name="Currency 16" xfId="10632" xr:uid="{3066651D-E032-469E-A4F2-A5E147B6168A}"/>
    <cellStyle name="Currency 16 2" xfId="24683" xr:uid="{7A6966C2-8977-483F-9AC3-D9168F7ED59B}"/>
    <cellStyle name="Currency 17" xfId="67" xr:uid="{FD16ECC3-A247-4AB7-8E9D-E94A8C2C0CCC}"/>
    <cellStyle name="Currency 17 2" xfId="14141" xr:uid="{6F8C5707-7DE3-411F-AB29-C6B24EF36BC2}"/>
    <cellStyle name="Currency 18" xfId="14110" xr:uid="{EBD6CC85-6020-4F3D-A63D-71B12AA97118}"/>
    <cellStyle name="Currency 18 2" xfId="28160" xr:uid="{363933BC-0EB5-4ED0-896D-EFA1DCC90758}"/>
    <cellStyle name="Currency 19" xfId="14113" xr:uid="{06E615D3-8BF6-463D-9D35-4920D98529CD}"/>
    <cellStyle name="Currency 2 10" xfId="2291" xr:uid="{F5CEB2FD-222E-42EE-92DB-DBA982D3AA61}"/>
    <cellStyle name="Currency 2 10 2" xfId="5188" xr:uid="{621FAB56-108D-4428-ACC7-5DBD2052E4CB}"/>
    <cellStyle name="Currency 2 10 2 2" xfId="6056" xr:uid="{295F7082-6031-414B-8680-357E3075E847}"/>
    <cellStyle name="Currency 2 10 2 2 2" xfId="9528" xr:uid="{D3FA76F5-B014-4554-89D2-4AC350597F3E}"/>
    <cellStyle name="Currency 2 10 2 2 2 2" xfId="23579" xr:uid="{F161B7B8-01E9-4B2B-947A-BF756E17B3F6}"/>
    <cellStyle name="Currency 2 10 2 2 3" xfId="12132" xr:uid="{08BF094E-BB9B-43D8-B0C5-CF35A6F369D6}"/>
    <cellStyle name="Currency 2 10 2 2 3 2" xfId="26183" xr:uid="{6525F02B-28DA-4243-B9BD-1587FA660E65}"/>
    <cellStyle name="Currency 2 10 2 2 4" xfId="20107" xr:uid="{9D8C5691-6F08-4C1B-9E9A-136CFE33A532}"/>
    <cellStyle name="Currency 2 10 2 3" xfId="6924" xr:uid="{678BF40B-5936-449C-A16D-FEB5874433F8}"/>
    <cellStyle name="Currency 2 10 2 3 2" xfId="10396" xr:uid="{EFA0743C-582B-4339-9C1A-1EB9C320326C}"/>
    <cellStyle name="Currency 2 10 2 3 2 2" xfId="24447" xr:uid="{89788FBB-7F2F-48ED-8654-ECDC730CCCFB}"/>
    <cellStyle name="Currency 2 10 2 3 3" xfId="13000" xr:uid="{3741184B-4EDB-4089-AB0F-A370E452E0D1}"/>
    <cellStyle name="Currency 2 10 2 3 3 2" xfId="27051" xr:uid="{14F99F8F-39D1-41FF-85D0-A991106E705A}"/>
    <cellStyle name="Currency 2 10 2 3 4" xfId="20975" xr:uid="{F7B0B732-4E6C-422A-837D-856527F4786C}"/>
    <cellStyle name="Currency 2 10 2 4" xfId="8660" xr:uid="{907A9F93-002D-472A-A075-A93C07C5AEDB}"/>
    <cellStyle name="Currency 2 10 2 4 2" xfId="13868" xr:uid="{0F6B74EE-1360-490B-9272-DF3876F8CDB0}"/>
    <cellStyle name="Currency 2 10 2 4 2 2" xfId="27919" xr:uid="{7FE0935F-1BE5-4385-850C-C35614C22189}"/>
    <cellStyle name="Currency 2 10 2 4 3" xfId="22711" xr:uid="{0DDB1708-A98D-4DE3-BB07-27505E1570C4}"/>
    <cellStyle name="Currency 2 10 2 5" xfId="7792" xr:uid="{1E689D3D-958C-442C-95A1-74429497D8F1}"/>
    <cellStyle name="Currency 2 10 2 5 2" xfId="21843" xr:uid="{30FA6E08-055F-4124-ABF7-46D0D081D2A1}"/>
    <cellStyle name="Currency 2 10 2 6" xfId="11264" xr:uid="{D94A6CAA-94F0-426A-8EEE-ACAC037E4169}"/>
    <cellStyle name="Currency 2 10 2 6 2" xfId="25315" xr:uid="{57155E7B-F29B-4BF1-A6EC-E851F6DF8686}"/>
    <cellStyle name="Currency 2 10 2 7" xfId="19239" xr:uid="{6B27E427-5DCC-4D43-A982-6F848E9B687D}"/>
    <cellStyle name="Currency 2 10 3" xfId="5622" xr:uid="{3873A8B1-B70B-45B1-87E7-C9BFC05A67E3}"/>
    <cellStyle name="Currency 2 10 3 2" xfId="9094" xr:uid="{348AF982-EBBE-4280-8794-12D0198F8E87}"/>
    <cellStyle name="Currency 2 10 3 2 2" xfId="23145" xr:uid="{3DA85A97-30C6-456F-88B4-544D67D0DCD9}"/>
    <cellStyle name="Currency 2 10 3 3" xfId="11698" xr:uid="{32FDADD2-221B-4215-A809-425704E565FC}"/>
    <cellStyle name="Currency 2 10 3 3 2" xfId="25749" xr:uid="{F08AEBD4-97CE-41AB-ABD3-67BCCEB021F3}"/>
    <cellStyle name="Currency 2 10 3 4" xfId="19673" xr:uid="{B568041D-8DB2-49BD-AE89-FE8B090B8EE2}"/>
    <cellStyle name="Currency 2 10 4" xfId="6490" xr:uid="{BA015FB0-2521-4AD1-819E-BC20B6CC44C0}"/>
    <cellStyle name="Currency 2 10 4 2" xfId="9962" xr:uid="{C0D18964-535D-428F-A38E-8F32B0DA1CAA}"/>
    <cellStyle name="Currency 2 10 4 2 2" xfId="24013" xr:uid="{6916002F-19DE-4046-84AB-9A906C98A454}"/>
    <cellStyle name="Currency 2 10 4 3" xfId="12566" xr:uid="{FF3EEF02-CF78-46AD-AEA4-476F3C7BD772}"/>
    <cellStyle name="Currency 2 10 4 3 2" xfId="26617" xr:uid="{D31EFF4D-D092-4A51-97C2-1EE5B02FA0B8}"/>
    <cellStyle name="Currency 2 10 4 4" xfId="20541" xr:uid="{7341B903-CC18-4185-9D93-0C24D4F169ED}"/>
    <cellStyle name="Currency 2 10 5" xfId="8226" xr:uid="{5B379A8A-3636-4CE9-A205-DBAC7A1AA80E}"/>
    <cellStyle name="Currency 2 10 5 2" xfId="13434" xr:uid="{EF7D5378-2F10-4780-B340-5F65FB22B3BA}"/>
    <cellStyle name="Currency 2 10 5 2 2" xfId="27485" xr:uid="{33ADBFB4-889B-4818-922F-7A33B2964BD3}"/>
    <cellStyle name="Currency 2 10 5 3" xfId="22277" xr:uid="{70C1022A-6E62-49B0-B6AE-DA93BED90B45}"/>
    <cellStyle name="Currency 2 10 6" xfId="7358" xr:uid="{84DB2597-F495-483B-962B-A85C634A4E26}"/>
    <cellStyle name="Currency 2 10 6 2" xfId="21409" xr:uid="{D8DDF89B-E17C-40C0-B67B-A83C00610B57}"/>
    <cellStyle name="Currency 2 10 7" xfId="10830" xr:uid="{BE1E76F9-7B48-4A8C-A3D9-EDDB3C6F8D13}"/>
    <cellStyle name="Currency 2 10 7 2" xfId="24881" xr:uid="{0EC86417-31F8-443E-B23B-BBF8F045783E}"/>
    <cellStyle name="Currency 2 10 8" xfId="16342" xr:uid="{3A668E99-8621-4888-BA92-6DD9E1E64F42}"/>
    <cellStyle name="Currency 2 11" xfId="4990" xr:uid="{26C2B2E8-1241-413F-AB2E-737980BEB744}"/>
    <cellStyle name="Currency 2 11 2" xfId="5859" xr:uid="{30B6B210-E1B2-4BBB-A8B8-0D1FFE6BCBAA}"/>
    <cellStyle name="Currency 2 11 2 2" xfId="9331" xr:uid="{682AEBDF-3B20-4507-A2D4-43E860236269}"/>
    <cellStyle name="Currency 2 11 2 2 2" xfId="23382" xr:uid="{BD6EE0BA-BF93-42AD-801F-2DBF191B2F07}"/>
    <cellStyle name="Currency 2 11 2 3" xfId="11935" xr:uid="{332722C5-504C-46A1-9697-47B2D02D5F4B}"/>
    <cellStyle name="Currency 2 11 2 3 2" xfId="25986" xr:uid="{0D012959-FB63-4955-8B84-585B3AEF3D58}"/>
    <cellStyle name="Currency 2 11 2 4" xfId="19910" xr:uid="{D07DF7DA-F5C7-4FB0-B535-DE7F26D453AA}"/>
    <cellStyle name="Currency 2 11 3" xfId="6727" xr:uid="{A6D209D0-9C9C-47D2-BCD6-902CEC31D82C}"/>
    <cellStyle name="Currency 2 11 3 2" xfId="10199" xr:uid="{8D556B21-4BC6-4E07-A940-B85A3438903E}"/>
    <cellStyle name="Currency 2 11 3 2 2" xfId="24250" xr:uid="{65056559-A004-492E-936F-5D735441830D}"/>
    <cellStyle name="Currency 2 11 3 3" xfId="12803" xr:uid="{89CA5F18-D5D4-48DC-A66F-20E2F80C7766}"/>
    <cellStyle name="Currency 2 11 3 3 2" xfId="26854" xr:uid="{B279D1AF-5919-4752-A004-EBA5D62FF0F6}"/>
    <cellStyle name="Currency 2 11 3 4" xfId="20778" xr:uid="{2687F70D-2B07-477C-93E6-DA3C709FFBAE}"/>
    <cellStyle name="Currency 2 11 4" xfId="8463" xr:uid="{8ED4BBC0-DE05-4B8B-92BC-C4E5E9C6809A}"/>
    <cellStyle name="Currency 2 11 4 2" xfId="13671" xr:uid="{6F1B6BB9-0FFB-49F5-96CD-30F37D5D24AC}"/>
    <cellStyle name="Currency 2 11 4 2 2" xfId="27722" xr:uid="{9E6B932A-2E95-4379-B5C8-58843826E9A0}"/>
    <cellStyle name="Currency 2 11 4 3" xfId="22514" xr:uid="{7BECEBFB-001C-48B7-893B-46C22DC23B6C}"/>
    <cellStyle name="Currency 2 11 5" xfId="7595" xr:uid="{E3C30473-6476-4A48-A922-0803006CDF01}"/>
    <cellStyle name="Currency 2 11 5 2" xfId="21646" xr:uid="{3D32D996-60C5-4157-BB49-A640125C4DB0}"/>
    <cellStyle name="Currency 2 11 6" xfId="11067" xr:uid="{C5291570-087E-495B-A414-D94160DC877C}"/>
    <cellStyle name="Currency 2 11 6 2" xfId="25118" xr:uid="{1AF1D33A-BD10-46AD-804F-1BF6A14BCD50}"/>
    <cellStyle name="Currency 2 11 7" xfId="19042" xr:uid="{85F271DC-F4BB-4AFF-858E-56DCAEAFDDEB}"/>
    <cellStyle name="Currency 2 12" xfId="5425" xr:uid="{A848E2C8-94D7-4B3F-9389-6188E67463BE}"/>
    <cellStyle name="Currency 2 12 2" xfId="8897" xr:uid="{D2DCAF17-80FB-43CC-8F4B-666307A77918}"/>
    <cellStyle name="Currency 2 12 2 2" xfId="22948" xr:uid="{545DCA7A-4BF3-4DB0-A4C0-7A98575228E4}"/>
    <cellStyle name="Currency 2 12 3" xfId="11501" xr:uid="{06C0AF62-2C3E-4D33-9B0F-12AC82423C03}"/>
    <cellStyle name="Currency 2 12 3 2" xfId="25552" xr:uid="{77045FE8-887D-4D24-B035-62C69492712A}"/>
    <cellStyle name="Currency 2 12 4" xfId="19476" xr:uid="{5A6DDA92-01C5-4FF6-8D59-8C7FFC434ED6}"/>
    <cellStyle name="Currency 2 13" xfId="6293" xr:uid="{D31E0951-7D53-41B3-8A9E-E43E51D8B875}"/>
    <cellStyle name="Currency 2 13 2" xfId="9765" xr:uid="{A7430EDB-A0A3-4766-8F88-5D2E96C5642F}"/>
    <cellStyle name="Currency 2 13 2 2" xfId="23816" xr:uid="{560886C0-D956-47BE-8DBB-828B1DC3C567}"/>
    <cellStyle name="Currency 2 13 3" xfId="12369" xr:uid="{5B66D7C1-5AA5-450B-8D51-E6B3ED5F07DB}"/>
    <cellStyle name="Currency 2 13 3 2" xfId="26420" xr:uid="{42C46640-8C9E-4018-9309-B3115342BA1A}"/>
    <cellStyle name="Currency 2 13 4" xfId="20344" xr:uid="{FEE551EF-3739-4852-90BD-B330F36182E2}"/>
    <cellStyle name="Currency 2 14" xfId="8029" xr:uid="{1F63033B-4423-484F-82A3-21D4C4537B61}"/>
    <cellStyle name="Currency 2 14 2" xfId="13237" xr:uid="{5CF0DC38-2AC7-449F-B027-B89661A0BCCA}"/>
    <cellStyle name="Currency 2 14 2 2" xfId="27288" xr:uid="{9CB96A58-680D-436B-9FA6-8E973B4DAE9D}"/>
    <cellStyle name="Currency 2 14 3" xfId="22080" xr:uid="{B88231D0-5461-4F93-82E4-A80FE89224C3}"/>
    <cellStyle name="Currency 2 15" xfId="7161" xr:uid="{689F31E3-85B4-4E6D-903C-04817F9B03AB}"/>
    <cellStyle name="Currency 2 15 2" xfId="21212" xr:uid="{7BECAF53-4348-4160-AAB1-B8715F5FC311}"/>
    <cellStyle name="Currency 2 16" xfId="10633" xr:uid="{09C6F799-4381-47CF-BC6F-712B6F73319F}"/>
    <cellStyle name="Currency 2 16 2" xfId="24684" xr:uid="{61CFA9C7-32A8-4333-9814-C036CDC509E4}"/>
    <cellStyle name="Currency 2 17" xfId="73" xr:uid="{9389E6AD-E25D-4ECC-AFFE-1BE3F877C875}"/>
    <cellStyle name="Currency 2 17 2" xfId="14144" xr:uid="{DDC25375-1332-4F39-82B0-612150CF7D99}"/>
    <cellStyle name="Currency 2 18" xfId="14114" xr:uid="{EE93EB89-9597-447F-9475-2F1D75877361}"/>
    <cellStyle name="Currency 2 2" xfId="107" xr:uid="{34D50039-6408-4EAF-9702-D52188813940}"/>
    <cellStyle name="Currency 2 2 10" xfId="4505" xr:uid="{C8F5177F-B747-4F2B-A845-64FEC63DCE6C}"/>
    <cellStyle name="Currency 2 2 10 2" xfId="5381" xr:uid="{58671CC8-0FB4-4DA4-AF23-B02201B3A9B2}"/>
    <cellStyle name="Currency 2 2 10 2 2" xfId="6249" xr:uid="{1B72EE73-B88B-4F80-B1D4-B96FE415488C}"/>
    <cellStyle name="Currency 2 2 10 2 2 2" xfId="9721" xr:uid="{80E4479E-D244-41A2-91A3-88235446909F}"/>
    <cellStyle name="Currency 2 2 10 2 2 2 2" xfId="23772" xr:uid="{32B385F1-662D-4F8C-9F96-72C3F79D84FA}"/>
    <cellStyle name="Currency 2 2 10 2 2 3" xfId="12325" xr:uid="{F2F145A3-BCB3-4ABE-822E-3F173CC68EFD}"/>
    <cellStyle name="Currency 2 2 10 2 2 3 2" xfId="26376" xr:uid="{4603AE63-EFD1-4C02-B207-4BDD5CBE8DE2}"/>
    <cellStyle name="Currency 2 2 10 2 2 4" xfId="20300" xr:uid="{548CABC6-969C-43DF-B1EB-A24FDC4EDAB5}"/>
    <cellStyle name="Currency 2 2 10 2 3" xfId="7117" xr:uid="{216C0531-315E-421E-8EA9-D7038ED5770F}"/>
    <cellStyle name="Currency 2 2 10 2 3 2" xfId="10589" xr:uid="{3ABC7C1D-BECE-4FE0-8204-2954E042F95A}"/>
    <cellStyle name="Currency 2 2 10 2 3 2 2" xfId="24640" xr:uid="{6EBFBA19-9441-4A8A-98EE-833A34F40EFF}"/>
    <cellStyle name="Currency 2 2 10 2 3 3" xfId="13193" xr:uid="{4E1E0BFB-C5B5-4E2E-BC84-0A158842540B}"/>
    <cellStyle name="Currency 2 2 10 2 3 3 2" xfId="27244" xr:uid="{60839BEA-EE73-4AAB-A57A-B47C2EAAA4BC}"/>
    <cellStyle name="Currency 2 2 10 2 3 4" xfId="21168" xr:uid="{CE7DE8F7-0D67-4409-9159-EE44FFD71CC9}"/>
    <cellStyle name="Currency 2 2 10 2 4" xfId="8853" xr:uid="{74BBE499-9C88-41D5-92E8-94C95C926465}"/>
    <cellStyle name="Currency 2 2 10 2 4 2" xfId="14061" xr:uid="{B08E653C-14B5-4318-9172-95D0316C67E7}"/>
    <cellStyle name="Currency 2 2 10 2 4 2 2" xfId="28112" xr:uid="{00D482D5-9A5C-4972-B64B-46551F6A5AF8}"/>
    <cellStyle name="Currency 2 2 10 2 4 3" xfId="22904" xr:uid="{BD3704A6-5BDA-4D0E-821D-EAEA95D62D0B}"/>
    <cellStyle name="Currency 2 2 10 2 5" xfId="7985" xr:uid="{0BF8A2C8-FAB6-41DE-A9EC-D7A0C3BD74E9}"/>
    <cellStyle name="Currency 2 2 10 2 5 2" xfId="22036" xr:uid="{1E2BD644-8344-4E3B-B0D8-3468F64544F6}"/>
    <cellStyle name="Currency 2 2 10 2 6" xfId="11457" xr:uid="{1D3C77CF-95D9-4F09-B080-88A518779C87}"/>
    <cellStyle name="Currency 2 2 10 2 6 2" xfId="25508" xr:uid="{3F2EC52C-1206-4954-A9A3-A9636FA8E7B5}"/>
    <cellStyle name="Currency 2 2 10 2 7" xfId="19432" xr:uid="{04E33656-AEB4-49A1-9894-E62022659CE4}"/>
    <cellStyle name="Currency 2 2 10 3" xfId="5815" xr:uid="{74E820F0-69F2-407A-BDAA-669327AF1CE9}"/>
    <cellStyle name="Currency 2 2 10 3 2" xfId="9287" xr:uid="{63F0B802-CC6B-4AB6-8D2E-9F77C43E7541}"/>
    <cellStyle name="Currency 2 2 10 3 2 2" xfId="23338" xr:uid="{4C4CF899-7545-411D-9B7C-41465E42791F}"/>
    <cellStyle name="Currency 2 2 10 3 3" xfId="11891" xr:uid="{8869FF47-7524-4E65-9E9A-601C53B974B2}"/>
    <cellStyle name="Currency 2 2 10 3 3 2" xfId="25942" xr:uid="{B3F96F0F-83E5-44E0-9B82-B6CBE53BAE6D}"/>
    <cellStyle name="Currency 2 2 10 3 4" xfId="19866" xr:uid="{A73CE41E-6B1F-4DDE-8A73-C5CAEE5E925B}"/>
    <cellStyle name="Currency 2 2 10 4" xfId="6683" xr:uid="{B44A5A22-D2AD-40E6-A9AD-7C1F3D9530C5}"/>
    <cellStyle name="Currency 2 2 10 4 2" xfId="10155" xr:uid="{5881E0F7-9897-4745-8EB1-69CA52F349F2}"/>
    <cellStyle name="Currency 2 2 10 4 2 2" xfId="24206" xr:uid="{841D21E7-6EB3-4228-BE55-DD8EB93D582C}"/>
    <cellStyle name="Currency 2 2 10 4 3" xfId="12759" xr:uid="{E0005858-4956-4432-9232-522CD93E37A9}"/>
    <cellStyle name="Currency 2 2 10 4 3 2" xfId="26810" xr:uid="{6A360C54-2BBD-4C08-8CB1-327169C39BDD}"/>
    <cellStyle name="Currency 2 2 10 4 4" xfId="20734" xr:uid="{8309B0E5-D311-4EDA-AACE-1F6712EDD185}"/>
    <cellStyle name="Currency 2 2 10 5" xfId="8419" xr:uid="{3CFDD952-1B1E-484C-A81A-70B70D28B939}"/>
    <cellStyle name="Currency 2 2 10 5 2" xfId="13627" xr:uid="{D5BC2EF8-B093-4576-953A-83831C9D7AE4}"/>
    <cellStyle name="Currency 2 2 10 5 2 2" xfId="27678" xr:uid="{1BB51FF9-CF11-49E9-AC41-33628E51758E}"/>
    <cellStyle name="Currency 2 2 10 5 3" xfId="22470" xr:uid="{6A6F41CD-0CBD-45D9-BD11-B889ECACB09F}"/>
    <cellStyle name="Currency 2 2 10 6" xfId="7551" xr:uid="{0C5C39D7-D1F3-485D-9DED-FB1589343EDD}"/>
    <cellStyle name="Currency 2 2 10 6 2" xfId="21602" xr:uid="{C504E67E-11A3-48DA-A87A-1526B2804FE0}"/>
    <cellStyle name="Currency 2 2 10 7" xfId="11023" xr:uid="{DFB324A5-B965-4B5E-ABB7-79D47C182A92}"/>
    <cellStyle name="Currency 2 2 10 7 2" xfId="25074" xr:uid="{F756E269-E60F-4C65-886E-E004FDB89411}"/>
    <cellStyle name="Currency 2 2 10 8" xfId="18556" xr:uid="{7562B539-5EA0-4533-A89F-C3742AF97198}"/>
    <cellStyle name="Currency 2 2 11" xfId="4995" xr:uid="{624C3E4D-E8D3-4475-8181-2CE80DD5364F}"/>
    <cellStyle name="Currency 2 2 11 2" xfId="5863" xr:uid="{9A2DA439-A6F7-4BDC-BB30-0EE0B38DB793}"/>
    <cellStyle name="Currency 2 2 11 2 2" xfId="9335" xr:uid="{F2E08172-5E91-445A-92B6-186D6124A4FE}"/>
    <cellStyle name="Currency 2 2 11 2 2 2" xfId="23386" xr:uid="{8013AA4F-AAF5-4B19-90BB-DD0071EEA4F4}"/>
    <cellStyle name="Currency 2 2 11 2 3" xfId="11939" xr:uid="{99AF7056-6A3D-4CA7-A7DF-146D9B7C5330}"/>
    <cellStyle name="Currency 2 2 11 2 3 2" xfId="25990" xr:uid="{C3DC0607-D498-44AF-AB51-0E79A02EB435}"/>
    <cellStyle name="Currency 2 2 11 2 4" xfId="19914" xr:uid="{BB53A5F5-9A09-4E19-81F3-29F2CF358120}"/>
    <cellStyle name="Currency 2 2 11 3" xfId="6731" xr:uid="{91926DD6-7F9D-4432-B97F-14324B180A98}"/>
    <cellStyle name="Currency 2 2 11 3 2" xfId="10203" xr:uid="{FB65385F-9D13-4756-9657-E78E29F90FA0}"/>
    <cellStyle name="Currency 2 2 11 3 2 2" xfId="24254" xr:uid="{0BDF51FC-D4BA-4BE3-8B4B-58745DB41125}"/>
    <cellStyle name="Currency 2 2 11 3 3" xfId="12807" xr:uid="{E791C4C5-BD9C-4CA1-9CDC-EBD58F612F17}"/>
    <cellStyle name="Currency 2 2 11 3 3 2" xfId="26858" xr:uid="{63DA1A0C-3C0B-457E-B31E-C1E27427761D}"/>
    <cellStyle name="Currency 2 2 11 3 4" xfId="20782" xr:uid="{3E8CD6F6-B35C-4308-80C8-524E813921AC}"/>
    <cellStyle name="Currency 2 2 11 4" xfId="8467" xr:uid="{895AF59E-15D3-4B4A-9599-937DC77D80D5}"/>
    <cellStyle name="Currency 2 2 11 4 2" xfId="13675" xr:uid="{8CA11A92-42BD-42B0-86B8-E545F961E5CD}"/>
    <cellStyle name="Currency 2 2 11 4 2 2" xfId="27726" xr:uid="{70D530B1-E9F3-4B28-98B4-84DA13AFFC76}"/>
    <cellStyle name="Currency 2 2 11 4 3" xfId="22518" xr:uid="{E5E7E757-8938-4A24-B86F-63490E004AC0}"/>
    <cellStyle name="Currency 2 2 11 5" xfId="7599" xr:uid="{19D817AE-B6B7-4602-B212-37F98CBDFE61}"/>
    <cellStyle name="Currency 2 2 11 5 2" xfId="21650" xr:uid="{4F281B2E-3D2F-42C6-93B5-91E167772EB0}"/>
    <cellStyle name="Currency 2 2 11 6" xfId="11071" xr:uid="{8159C5E5-E6CB-46A5-BFC9-6CCF023615B7}"/>
    <cellStyle name="Currency 2 2 11 6 2" xfId="25122" xr:uid="{0C93FB79-987C-4DE6-AC24-A53384AF8D8F}"/>
    <cellStyle name="Currency 2 2 11 7" xfId="19046" xr:uid="{9E3D449F-5D1D-4B52-A7A7-01F1D7887EAA}"/>
    <cellStyle name="Currency 2 2 12" xfId="5429" xr:uid="{C5E1F32B-AF08-4B73-89BC-D6A680B587EA}"/>
    <cellStyle name="Currency 2 2 12 2" xfId="8901" xr:uid="{F3ED2C88-E60A-4AFD-BAF1-924DE4DAC700}"/>
    <cellStyle name="Currency 2 2 12 2 2" xfId="22952" xr:uid="{AE90602F-6C03-4126-86C5-F8DF177E5847}"/>
    <cellStyle name="Currency 2 2 12 3" xfId="11505" xr:uid="{11645FEC-617D-4118-8CD0-269CAAB9D25B}"/>
    <cellStyle name="Currency 2 2 12 3 2" xfId="25556" xr:uid="{63300E03-30E6-445F-99F0-B30CBE7F6ED8}"/>
    <cellStyle name="Currency 2 2 12 4" xfId="19480" xr:uid="{7BF3E547-A6C1-4EC2-9089-06A7B1620EFF}"/>
    <cellStyle name="Currency 2 2 13" xfId="6297" xr:uid="{D5810954-6F3B-4573-8C64-54F314D9763E}"/>
    <cellStyle name="Currency 2 2 13 2" xfId="9769" xr:uid="{7D6AE95B-0459-412C-BC64-EBB958BF1348}"/>
    <cellStyle name="Currency 2 2 13 2 2" xfId="23820" xr:uid="{FC410349-0D35-46D0-A0FE-9A436BA38B0F}"/>
    <cellStyle name="Currency 2 2 13 3" xfId="12373" xr:uid="{AB7AC129-3DFA-4FFA-B5AF-AF11A2461B53}"/>
    <cellStyle name="Currency 2 2 13 3 2" xfId="26424" xr:uid="{4A1911D2-00A0-4146-9E4F-FEBE1BC02018}"/>
    <cellStyle name="Currency 2 2 13 4" xfId="20348" xr:uid="{19B8D2C4-FB55-46FF-BD8B-5D5422F8D837}"/>
    <cellStyle name="Currency 2 2 14" xfId="8033" xr:uid="{08B56CD4-A1DD-47E1-9CE5-2DEBE72507C3}"/>
    <cellStyle name="Currency 2 2 14 2" xfId="13241" xr:uid="{AB8C0A49-33F4-4B5A-B4A8-3DA133E9E82A}"/>
    <cellStyle name="Currency 2 2 14 2 2" xfId="27292" xr:uid="{53B7125E-B6B9-409A-91DC-9F798A406345}"/>
    <cellStyle name="Currency 2 2 14 3" xfId="22084" xr:uid="{46CA2028-3724-497F-B5E0-809940E98ADB}"/>
    <cellStyle name="Currency 2 2 15" xfId="7165" xr:uid="{C3A5D7A7-2723-4EEA-A58A-D70FA0F01EA7}"/>
    <cellStyle name="Currency 2 2 15 2" xfId="21216" xr:uid="{C9C23CFF-D8C6-4750-9F8B-5FD9046B70B5}"/>
    <cellStyle name="Currency 2 2 16" xfId="10637" xr:uid="{3FFCA190-D741-4EF5-B142-97BB02DF0090}"/>
    <cellStyle name="Currency 2 2 16 2" xfId="24688" xr:uid="{83B87868-E1F6-4F2E-BAA6-620D521F3946}"/>
    <cellStyle name="Currency 2 2 17" xfId="14167" xr:uid="{68BCE867-39AB-454A-90FB-ECD00D3D5765}"/>
    <cellStyle name="Currency 2 2 2" xfId="222" xr:uid="{4A1FAC0F-B96A-4D3A-A4EA-87175CA7EA5C}"/>
    <cellStyle name="Currency 2 2 2 10" xfId="6307" xr:uid="{2B1DCF3D-15F4-4AED-9D6B-E0B7972169D3}"/>
    <cellStyle name="Currency 2 2 2 10 2" xfId="9779" xr:uid="{2A3C3E29-F923-45F4-8C03-404AE3B82D0A}"/>
    <cellStyle name="Currency 2 2 2 10 2 2" xfId="23830" xr:uid="{5E246FC1-9A6B-49F7-AB68-8C3F034912C3}"/>
    <cellStyle name="Currency 2 2 2 10 3" xfId="12383" xr:uid="{0C90356A-099C-469C-A415-E58DBF235A34}"/>
    <cellStyle name="Currency 2 2 2 10 3 2" xfId="26434" xr:uid="{B5400D78-E775-4143-AC9F-1FA7C8D79BC8}"/>
    <cellStyle name="Currency 2 2 2 10 4" xfId="20358" xr:uid="{C296151A-16A1-47E4-86DB-98ED9363D1A9}"/>
    <cellStyle name="Currency 2 2 2 11" xfId="8043" xr:uid="{926A288B-4FC1-4765-AE05-F67EA4B09B3A}"/>
    <cellStyle name="Currency 2 2 2 11 2" xfId="13251" xr:uid="{977939C6-377F-4EB6-B8F5-63812876836A}"/>
    <cellStyle name="Currency 2 2 2 11 2 2" xfId="27302" xr:uid="{0D3CFB6E-A4DC-4F4F-92B8-1CAD0B9911CD}"/>
    <cellStyle name="Currency 2 2 2 11 3" xfId="22094" xr:uid="{A1090153-57B3-4F7B-BDB2-00A0F6B6CA8D}"/>
    <cellStyle name="Currency 2 2 2 12" xfId="7175" xr:uid="{E54BCD78-79AB-4757-9A42-9BA629A29D48}"/>
    <cellStyle name="Currency 2 2 2 12 2" xfId="21226" xr:uid="{4B145980-44DA-42C8-9BD9-4738208CA73B}"/>
    <cellStyle name="Currency 2 2 2 13" xfId="10647" xr:uid="{81605C4F-CE2C-4642-86AD-A290619602F6}"/>
    <cellStyle name="Currency 2 2 2 13 2" xfId="24698" xr:uid="{D8E85AD0-5411-4534-A65A-A5D93ACE5488}"/>
    <cellStyle name="Currency 2 2 2 14" xfId="14281" xr:uid="{BB060EB6-31A2-48B6-808F-1AB0813484B0}"/>
    <cellStyle name="Currency 2 2 2 2" xfId="399" xr:uid="{B63992F1-155C-46C6-B931-31195E16B0C8}"/>
    <cellStyle name="Currency 2 2 2 2 10" xfId="8059" xr:uid="{2FF34CC3-696C-4AE0-8950-0EE7B7111083}"/>
    <cellStyle name="Currency 2 2 2 2 10 2" xfId="13267" xr:uid="{636A2ABE-C975-40E8-8FA1-758DA59F8EE7}"/>
    <cellStyle name="Currency 2 2 2 2 10 2 2" xfId="27318" xr:uid="{A755DCE3-977A-4C11-8C8D-2FF9D70F4DE3}"/>
    <cellStyle name="Currency 2 2 2 2 10 3" xfId="22110" xr:uid="{3D9C84B4-6AD3-4618-8E13-D0BA5D099181}"/>
    <cellStyle name="Currency 2 2 2 2 11" xfId="7191" xr:uid="{200A21E3-54F4-4357-8843-8209AF16B1E5}"/>
    <cellStyle name="Currency 2 2 2 2 11 2" xfId="21242" xr:uid="{2A5A4328-561F-474D-931B-C5C60D827B97}"/>
    <cellStyle name="Currency 2 2 2 2 12" xfId="10663" xr:uid="{F9521F73-4448-490D-A9FF-5B4AE4CB406A}"/>
    <cellStyle name="Currency 2 2 2 2 12 2" xfId="24714" xr:uid="{12F6BD59-87D4-43C2-B613-F9AD00BAED9C}"/>
    <cellStyle name="Currency 2 2 2 2 13" xfId="14456" xr:uid="{ECF0893B-5C27-4D1F-8802-81D762B853B5}"/>
    <cellStyle name="Currency 2 2 2 2 2" xfId="753" xr:uid="{C97234BD-70B2-4B29-B404-F1FBD59FF586}"/>
    <cellStyle name="Currency 2 2 2 2 2 10" xfId="14804" xr:uid="{D66B1888-E7C1-445E-BDA1-46F731CE1FF1}"/>
    <cellStyle name="Currency 2 2 2 2 2 2" xfId="1854" xr:uid="{3D80C83E-EEDB-405B-8EA8-92F401204D97}"/>
    <cellStyle name="Currency 2 2 2 2 2 2 2" xfId="4043" xr:uid="{C07366F3-2E2D-4E7B-BD61-B175EDBFEF76}"/>
    <cellStyle name="Currency 2 2 2 2 2 2 2 2" xfId="5341" xr:uid="{FEDF240F-D493-4EA7-A515-C478439B0DC8}"/>
    <cellStyle name="Currency 2 2 2 2 2 2 2 2 2" xfId="6209" xr:uid="{6EEABC7C-CF8C-4E14-A6DE-51CE347DAE39}"/>
    <cellStyle name="Currency 2 2 2 2 2 2 2 2 2 2" xfId="9681" xr:uid="{C93AD1CD-B948-4F79-A473-9360DC214638}"/>
    <cellStyle name="Currency 2 2 2 2 2 2 2 2 2 2 2" xfId="23732" xr:uid="{D97C9275-E8E0-48B1-A3C2-B69910E1488D}"/>
    <cellStyle name="Currency 2 2 2 2 2 2 2 2 2 3" xfId="12285" xr:uid="{15B71438-81AC-4D3A-A6CF-35F73FFADA7A}"/>
    <cellStyle name="Currency 2 2 2 2 2 2 2 2 2 3 2" xfId="26336" xr:uid="{05D138F5-4FB3-4637-9737-CBE693918BEC}"/>
    <cellStyle name="Currency 2 2 2 2 2 2 2 2 2 4" xfId="20260" xr:uid="{144D845E-1B43-4BFE-989A-BBA2DE349919}"/>
    <cellStyle name="Currency 2 2 2 2 2 2 2 2 3" xfId="7077" xr:uid="{EEFD140C-6A25-4CE6-B5FA-CA7ECD678D32}"/>
    <cellStyle name="Currency 2 2 2 2 2 2 2 2 3 2" xfId="10549" xr:uid="{4BC5762C-8229-43A0-AE63-FCFD9489BC81}"/>
    <cellStyle name="Currency 2 2 2 2 2 2 2 2 3 2 2" xfId="24600" xr:uid="{CA80FFAD-FAAD-4A80-B560-151DD43790B3}"/>
    <cellStyle name="Currency 2 2 2 2 2 2 2 2 3 3" xfId="13153" xr:uid="{3B210544-7FB6-4553-8BCD-2B0F8F72198C}"/>
    <cellStyle name="Currency 2 2 2 2 2 2 2 2 3 3 2" xfId="27204" xr:uid="{3AE16FD6-2073-43C3-A1ED-E210C1092E73}"/>
    <cellStyle name="Currency 2 2 2 2 2 2 2 2 3 4" xfId="21128" xr:uid="{5D92F90B-E404-4DAB-B732-61F10C7EFADB}"/>
    <cellStyle name="Currency 2 2 2 2 2 2 2 2 4" xfId="8813" xr:uid="{BEFCE5F1-5C86-4FE4-82AB-5C9EDE52B351}"/>
    <cellStyle name="Currency 2 2 2 2 2 2 2 2 4 2" xfId="14021" xr:uid="{D0BF4196-19AD-4919-8A8F-64AE9019CDFD}"/>
    <cellStyle name="Currency 2 2 2 2 2 2 2 2 4 2 2" xfId="28072" xr:uid="{38906F4C-3D4A-431C-8DC8-021856529FFD}"/>
    <cellStyle name="Currency 2 2 2 2 2 2 2 2 4 3" xfId="22864" xr:uid="{91F23F05-C523-4D03-9443-614EBBAA98F1}"/>
    <cellStyle name="Currency 2 2 2 2 2 2 2 2 5" xfId="7945" xr:uid="{6DD95749-6022-4F20-AE0E-B7D21A63F7D4}"/>
    <cellStyle name="Currency 2 2 2 2 2 2 2 2 5 2" xfId="21996" xr:uid="{39034B10-50F6-4450-AF99-0625A98398CF}"/>
    <cellStyle name="Currency 2 2 2 2 2 2 2 2 6" xfId="11417" xr:uid="{FF1E4E89-50D2-4792-9906-85912C203689}"/>
    <cellStyle name="Currency 2 2 2 2 2 2 2 2 6 2" xfId="25468" xr:uid="{CC261042-762F-47FA-9F54-7DA10F4E1D47}"/>
    <cellStyle name="Currency 2 2 2 2 2 2 2 2 7" xfId="19392" xr:uid="{F92046C6-CF60-40A7-9FAA-802BB33B2006}"/>
    <cellStyle name="Currency 2 2 2 2 2 2 2 3" xfId="5775" xr:uid="{4C30F2A7-7027-4159-B19E-2B6AB47BE857}"/>
    <cellStyle name="Currency 2 2 2 2 2 2 2 3 2" xfId="9247" xr:uid="{A79BE5C1-27D5-4789-BEE9-F94C81D2E015}"/>
    <cellStyle name="Currency 2 2 2 2 2 2 2 3 2 2" xfId="23298" xr:uid="{6F23DCC7-55B7-444A-9CE6-FFFDFBEA1626}"/>
    <cellStyle name="Currency 2 2 2 2 2 2 2 3 3" xfId="11851" xr:uid="{CF90B48B-F103-44AD-8602-2E8523EDC192}"/>
    <cellStyle name="Currency 2 2 2 2 2 2 2 3 3 2" xfId="25902" xr:uid="{7DDE58B5-CFDF-403E-A636-79F7F82283AC}"/>
    <cellStyle name="Currency 2 2 2 2 2 2 2 3 4" xfId="19826" xr:uid="{A01BB3CB-78A5-4E94-9580-4CD9964F0EE9}"/>
    <cellStyle name="Currency 2 2 2 2 2 2 2 4" xfId="6643" xr:uid="{B691E38A-07D0-49BE-B6A6-1F0225542193}"/>
    <cellStyle name="Currency 2 2 2 2 2 2 2 4 2" xfId="10115" xr:uid="{DB369290-0080-437B-A671-CDBDF0200A27}"/>
    <cellStyle name="Currency 2 2 2 2 2 2 2 4 2 2" xfId="24166" xr:uid="{B90C6FAE-11E4-4D7F-830E-BE5F9DF196A2}"/>
    <cellStyle name="Currency 2 2 2 2 2 2 2 4 3" xfId="12719" xr:uid="{D1B5E18C-7229-4B3B-90CF-8D7291135C9F}"/>
    <cellStyle name="Currency 2 2 2 2 2 2 2 4 3 2" xfId="26770" xr:uid="{E38E4895-7DA9-4411-9A9A-10DECB878F61}"/>
    <cellStyle name="Currency 2 2 2 2 2 2 2 4 4" xfId="20694" xr:uid="{01AA1F7C-1B9C-407A-AC26-5D55CE45A69C}"/>
    <cellStyle name="Currency 2 2 2 2 2 2 2 5" xfId="8379" xr:uid="{493A92FC-B8C4-4688-B163-F6EFE3A81E5C}"/>
    <cellStyle name="Currency 2 2 2 2 2 2 2 5 2" xfId="13587" xr:uid="{B93545EC-4C3E-4663-8588-3B9C5ABA726B}"/>
    <cellStyle name="Currency 2 2 2 2 2 2 2 5 2 2" xfId="27638" xr:uid="{0632A1DC-4F12-46F0-B447-75B73CAC835C}"/>
    <cellStyle name="Currency 2 2 2 2 2 2 2 5 3" xfId="22430" xr:uid="{13645095-883A-4555-9FAD-740D9DCA21E1}"/>
    <cellStyle name="Currency 2 2 2 2 2 2 2 6" xfId="7511" xr:uid="{AFDA8EAC-772A-4B34-BD03-4D0FBF23E17C}"/>
    <cellStyle name="Currency 2 2 2 2 2 2 2 6 2" xfId="21562" xr:uid="{90907529-0B77-45E9-81F8-AF3EC0EAD559}"/>
    <cellStyle name="Currency 2 2 2 2 2 2 2 7" xfId="10983" xr:uid="{A256B5E1-5F82-4F8D-B318-0D587D1A46B7}"/>
    <cellStyle name="Currency 2 2 2 2 2 2 2 7 2" xfId="25034" xr:uid="{9EC4F2C7-2F35-4551-ADDB-1BDD2334EA50}"/>
    <cellStyle name="Currency 2 2 2 2 2 2 2 8" xfId="18095" xr:uid="{05C73815-EC2E-4199-880C-B7D943A1D7F6}"/>
    <cellStyle name="Currency 2 2 2 2 2 2 3" xfId="5151" xr:uid="{9C959DE8-AFBA-4F5D-AB06-0B230B9711E6}"/>
    <cellStyle name="Currency 2 2 2 2 2 2 3 2" xfId="6019" xr:uid="{FF925360-DCA5-4FEB-9B4F-1B94450A8FF3}"/>
    <cellStyle name="Currency 2 2 2 2 2 2 3 2 2" xfId="9491" xr:uid="{621CF03F-1B60-471D-99F8-01C2C7D515C2}"/>
    <cellStyle name="Currency 2 2 2 2 2 2 3 2 2 2" xfId="23542" xr:uid="{C3B20A46-598F-4D7B-A75A-383347F1610B}"/>
    <cellStyle name="Currency 2 2 2 2 2 2 3 2 3" xfId="12095" xr:uid="{11A1CBEB-9682-4E8D-A315-66E76A3EB1F9}"/>
    <cellStyle name="Currency 2 2 2 2 2 2 3 2 3 2" xfId="26146" xr:uid="{618D6F44-7CF7-4E14-8D99-09F97823E3B8}"/>
    <cellStyle name="Currency 2 2 2 2 2 2 3 2 4" xfId="20070" xr:uid="{5E140431-F6A3-4E14-B808-4E414D8B9B2F}"/>
    <cellStyle name="Currency 2 2 2 2 2 2 3 3" xfId="6887" xr:uid="{B71ECCD0-26E8-494B-9549-0BEDFD25B4F6}"/>
    <cellStyle name="Currency 2 2 2 2 2 2 3 3 2" xfId="10359" xr:uid="{0284EE3E-D889-4F9A-BDDB-18EF911B7C98}"/>
    <cellStyle name="Currency 2 2 2 2 2 2 3 3 2 2" xfId="24410" xr:uid="{195ED252-BEAD-445E-BA21-F2E22A51B504}"/>
    <cellStyle name="Currency 2 2 2 2 2 2 3 3 3" xfId="12963" xr:uid="{72CB8BBD-A2C4-441A-AFF6-B2646FEC062F}"/>
    <cellStyle name="Currency 2 2 2 2 2 2 3 3 3 2" xfId="27014" xr:uid="{E00503E0-10F8-4219-9D47-0566A64C0A1A}"/>
    <cellStyle name="Currency 2 2 2 2 2 2 3 3 4" xfId="20938" xr:uid="{5DFFF41E-7983-4F4A-8CB3-56A78B2D2C48}"/>
    <cellStyle name="Currency 2 2 2 2 2 2 3 4" xfId="8623" xr:uid="{8C019DEC-9465-4ED4-87D7-64420B71FCE8}"/>
    <cellStyle name="Currency 2 2 2 2 2 2 3 4 2" xfId="13831" xr:uid="{2588AF88-A7D5-4A96-B97E-7B302E328928}"/>
    <cellStyle name="Currency 2 2 2 2 2 2 3 4 2 2" xfId="27882" xr:uid="{40A2E18C-62C4-42A6-9835-CEE028F0BBE5}"/>
    <cellStyle name="Currency 2 2 2 2 2 2 3 4 3" xfId="22674" xr:uid="{AD87A81D-ADC0-4301-9D97-F97C5EA84B5A}"/>
    <cellStyle name="Currency 2 2 2 2 2 2 3 5" xfId="7755" xr:uid="{AD34C10B-E62C-4F91-8E71-E8C3D31C3908}"/>
    <cellStyle name="Currency 2 2 2 2 2 2 3 5 2" xfId="21806" xr:uid="{FAD55BA5-5FCF-4C2D-9470-283D434917B6}"/>
    <cellStyle name="Currency 2 2 2 2 2 2 3 6" xfId="11227" xr:uid="{7E65BFEF-DB9F-47E9-A1B2-DF7B210CB388}"/>
    <cellStyle name="Currency 2 2 2 2 2 2 3 6 2" xfId="25278" xr:uid="{58672A43-5EED-4F22-A792-07CB7E22A089}"/>
    <cellStyle name="Currency 2 2 2 2 2 2 3 7" xfId="19202" xr:uid="{1B8BC984-499A-49C4-B827-9FBB3E2E532D}"/>
    <cellStyle name="Currency 2 2 2 2 2 2 4" xfId="5585" xr:uid="{C61DAB76-1BFA-4DF9-9AB5-E00CBE40CFC6}"/>
    <cellStyle name="Currency 2 2 2 2 2 2 4 2" xfId="9057" xr:uid="{17106E73-1A37-47D8-861A-39850C4D4CB2}"/>
    <cellStyle name="Currency 2 2 2 2 2 2 4 2 2" xfId="23108" xr:uid="{9CD3DD1E-5A1D-448C-843D-C23CFB8C4821}"/>
    <cellStyle name="Currency 2 2 2 2 2 2 4 3" xfId="11661" xr:uid="{10EFAB1D-160D-4F14-859E-F20190B18880}"/>
    <cellStyle name="Currency 2 2 2 2 2 2 4 3 2" xfId="25712" xr:uid="{62B61BDA-DC88-4219-9EA6-8413B3CBFA20}"/>
    <cellStyle name="Currency 2 2 2 2 2 2 4 4" xfId="19636" xr:uid="{50BD19C8-969A-421A-86C8-CB0AB3616C66}"/>
    <cellStyle name="Currency 2 2 2 2 2 2 5" xfId="6453" xr:uid="{C806797B-BE63-4EBB-92C7-153063ECA2D7}"/>
    <cellStyle name="Currency 2 2 2 2 2 2 5 2" xfId="9925" xr:uid="{C305B743-647E-4072-9473-FD0B0D6F4DE4}"/>
    <cellStyle name="Currency 2 2 2 2 2 2 5 2 2" xfId="23976" xr:uid="{44D786E1-F20D-4AEF-A0B5-B8643AFA8105}"/>
    <cellStyle name="Currency 2 2 2 2 2 2 5 3" xfId="12529" xr:uid="{8DD9BCBE-7C3E-43B6-96E8-D641FA28C7BA}"/>
    <cellStyle name="Currency 2 2 2 2 2 2 5 3 2" xfId="26580" xr:uid="{74B2929A-3032-408F-B31A-C86EC4E4B63E}"/>
    <cellStyle name="Currency 2 2 2 2 2 2 5 4" xfId="20504" xr:uid="{C54F959B-470E-4C8C-8B2C-E027DA9A1C6F}"/>
    <cellStyle name="Currency 2 2 2 2 2 2 6" xfId="8189" xr:uid="{7655E920-C5A1-43F6-900F-672FC4A07B9D}"/>
    <cellStyle name="Currency 2 2 2 2 2 2 6 2" xfId="13397" xr:uid="{AFB37406-0389-4860-B7A4-EA0DDB924E8E}"/>
    <cellStyle name="Currency 2 2 2 2 2 2 6 2 2" xfId="27448" xr:uid="{2DD669D7-99F3-4FF5-B75C-C06C5142C3DC}"/>
    <cellStyle name="Currency 2 2 2 2 2 2 6 3" xfId="22240" xr:uid="{C356DD26-EE03-4FFD-9957-88DB4854388D}"/>
    <cellStyle name="Currency 2 2 2 2 2 2 7" xfId="7321" xr:uid="{82ED6C36-E72C-484C-BAF4-07F532FB5AA0}"/>
    <cellStyle name="Currency 2 2 2 2 2 2 7 2" xfId="21372" xr:uid="{130E1B7A-E3E5-4D1A-81B7-F23C8D92EAA7}"/>
    <cellStyle name="Currency 2 2 2 2 2 2 8" xfId="10793" xr:uid="{B6A29C1C-C02E-4986-8C95-FF9093F6E7AD}"/>
    <cellStyle name="Currency 2 2 2 2 2 2 8 2" xfId="24844" xr:uid="{61EAB521-CA67-49A3-ABB0-348908FEBD62}"/>
    <cellStyle name="Currency 2 2 2 2 2 2 9" xfId="15903" xr:uid="{A0B0B377-6850-4D89-BC85-EA11B4BD2F9B}"/>
    <cellStyle name="Currency 2 2 2 2 2 3" xfId="2945" xr:uid="{80252233-9E53-48FF-BB66-C57316CBA957}"/>
    <cellStyle name="Currency 2 2 2 2 2 3 2" xfId="5245" xr:uid="{D7D1BFB5-1C3C-48DE-AC67-DB9B186D633B}"/>
    <cellStyle name="Currency 2 2 2 2 2 3 2 2" xfId="6113" xr:uid="{C0138121-9E70-441E-AA56-3FB7130DF296}"/>
    <cellStyle name="Currency 2 2 2 2 2 3 2 2 2" xfId="9585" xr:uid="{AB55E553-4411-4DCF-9D5F-56CFEB5C8D5B}"/>
    <cellStyle name="Currency 2 2 2 2 2 3 2 2 2 2" xfId="23636" xr:uid="{98C19670-0E33-4289-88C9-76ACD6E21FD6}"/>
    <cellStyle name="Currency 2 2 2 2 2 3 2 2 3" xfId="12189" xr:uid="{F78F1991-6508-4F86-A73E-2EF8A43B5240}"/>
    <cellStyle name="Currency 2 2 2 2 2 3 2 2 3 2" xfId="26240" xr:uid="{66F8383E-F50D-4687-8E16-23B57B0DF841}"/>
    <cellStyle name="Currency 2 2 2 2 2 3 2 2 4" xfId="20164" xr:uid="{6BE456FE-001A-425B-98D1-9B0F61E69636}"/>
    <cellStyle name="Currency 2 2 2 2 2 3 2 3" xfId="6981" xr:uid="{E65FF51C-2F74-4ECC-89BA-25320646D2A6}"/>
    <cellStyle name="Currency 2 2 2 2 2 3 2 3 2" xfId="10453" xr:uid="{6EDE909C-94A0-442B-8143-6E8F8385A748}"/>
    <cellStyle name="Currency 2 2 2 2 2 3 2 3 2 2" xfId="24504" xr:uid="{E7771398-9CD2-4F06-8F44-64DB1EED7C2F}"/>
    <cellStyle name="Currency 2 2 2 2 2 3 2 3 3" xfId="13057" xr:uid="{3277B7DD-4409-4EA1-A96D-1728076422FE}"/>
    <cellStyle name="Currency 2 2 2 2 2 3 2 3 3 2" xfId="27108" xr:uid="{F5FB1496-644B-46D0-9166-CA22EAEB2A66}"/>
    <cellStyle name="Currency 2 2 2 2 2 3 2 3 4" xfId="21032" xr:uid="{9F0E6249-3DC8-4A6E-A199-06FAE5E5EB62}"/>
    <cellStyle name="Currency 2 2 2 2 2 3 2 4" xfId="8717" xr:uid="{1AF4FA78-693A-4D4C-859F-7C9A7B39096D}"/>
    <cellStyle name="Currency 2 2 2 2 2 3 2 4 2" xfId="13925" xr:uid="{6B64697E-A1E8-4CA1-BF51-76E50CAB09DE}"/>
    <cellStyle name="Currency 2 2 2 2 2 3 2 4 2 2" xfId="27976" xr:uid="{72AA01B7-E682-4D73-8398-94B20007EE97}"/>
    <cellStyle name="Currency 2 2 2 2 2 3 2 4 3" xfId="22768" xr:uid="{257B3804-20EA-4C46-8B97-F753E8F3768E}"/>
    <cellStyle name="Currency 2 2 2 2 2 3 2 5" xfId="7849" xr:uid="{EA307DDA-AB1D-4783-BBA4-A471E8037393}"/>
    <cellStyle name="Currency 2 2 2 2 2 3 2 5 2" xfId="21900" xr:uid="{5B6AD0DC-EA09-40EE-BFC5-7C90C8C25F12}"/>
    <cellStyle name="Currency 2 2 2 2 2 3 2 6" xfId="11321" xr:uid="{48E1911A-63AD-4A3C-97CB-EB33CB3EB8ED}"/>
    <cellStyle name="Currency 2 2 2 2 2 3 2 6 2" xfId="25372" xr:uid="{8CEB358D-2E28-4D08-8AE7-ADE360C4B422}"/>
    <cellStyle name="Currency 2 2 2 2 2 3 2 7" xfId="19296" xr:uid="{053BA421-FF76-4285-A04A-4136B2ABF1A5}"/>
    <cellStyle name="Currency 2 2 2 2 2 3 3" xfId="5679" xr:uid="{F56B30CE-5876-4624-98AB-634950430EEF}"/>
    <cellStyle name="Currency 2 2 2 2 2 3 3 2" xfId="9151" xr:uid="{174D7738-4A77-4941-A0B7-EAC0ABE16060}"/>
    <cellStyle name="Currency 2 2 2 2 2 3 3 2 2" xfId="23202" xr:uid="{EF7E7BA7-9A6A-4F31-95C7-B13822C4C257}"/>
    <cellStyle name="Currency 2 2 2 2 2 3 3 3" xfId="11755" xr:uid="{013611BF-0436-4F95-82E8-E82242AFBCFD}"/>
    <cellStyle name="Currency 2 2 2 2 2 3 3 3 2" xfId="25806" xr:uid="{311E9015-CC8D-41EB-A38D-B2F30580EB98}"/>
    <cellStyle name="Currency 2 2 2 2 2 3 3 4" xfId="19730" xr:uid="{C96CFED9-AD5A-42FD-A1EB-E649E875BBB7}"/>
    <cellStyle name="Currency 2 2 2 2 2 3 4" xfId="6547" xr:uid="{65B8DA4E-D0D3-48F7-9D62-EB82E8E9DF29}"/>
    <cellStyle name="Currency 2 2 2 2 2 3 4 2" xfId="10019" xr:uid="{3B167996-456F-4CBF-8DC0-10266052DB72}"/>
    <cellStyle name="Currency 2 2 2 2 2 3 4 2 2" xfId="24070" xr:uid="{E359A2EB-635B-4D2A-84B3-712F08AF3675}"/>
    <cellStyle name="Currency 2 2 2 2 2 3 4 3" xfId="12623" xr:uid="{037C70E0-DD13-490C-B4BD-7FD8D6029A78}"/>
    <cellStyle name="Currency 2 2 2 2 2 3 4 3 2" xfId="26674" xr:uid="{E93CE795-A590-4105-8AA1-DCD74372A651}"/>
    <cellStyle name="Currency 2 2 2 2 2 3 4 4" xfId="20598" xr:uid="{01259DFE-C2CB-402A-B655-95089786A6C8}"/>
    <cellStyle name="Currency 2 2 2 2 2 3 5" xfId="8283" xr:uid="{3DDAE24D-96BA-4123-A8F5-78E0D8E008D8}"/>
    <cellStyle name="Currency 2 2 2 2 2 3 5 2" xfId="13491" xr:uid="{91F626C7-D33A-4286-A8AC-915FE1FF8F8A}"/>
    <cellStyle name="Currency 2 2 2 2 2 3 5 2 2" xfId="27542" xr:uid="{2C83EDE8-DF8B-48F7-B725-3963AFAEDB7B}"/>
    <cellStyle name="Currency 2 2 2 2 2 3 5 3" xfId="22334" xr:uid="{634952F2-EC0A-46E0-8022-400019941A8E}"/>
    <cellStyle name="Currency 2 2 2 2 2 3 6" xfId="7415" xr:uid="{FC9862EB-E271-4D88-9040-45347CD4C8D6}"/>
    <cellStyle name="Currency 2 2 2 2 2 3 6 2" xfId="21466" xr:uid="{C176996A-B1CE-42E2-9DA6-0948A5C369A7}"/>
    <cellStyle name="Currency 2 2 2 2 2 3 7" xfId="10887" xr:uid="{20FBDFBA-0BC8-4AB3-9F6B-AF1268A00B56}"/>
    <cellStyle name="Currency 2 2 2 2 2 3 7 2" xfId="24938" xr:uid="{4A02E57A-D272-46CC-9FA1-5BD3A6544529}"/>
    <cellStyle name="Currency 2 2 2 2 2 3 8" xfId="16997" xr:uid="{97B586BA-0275-4597-BD45-E7E59F39C5EE}"/>
    <cellStyle name="Currency 2 2 2 2 2 4" xfId="5053" xr:uid="{D07720D5-626C-4B90-A14B-E0E08CA1737F}"/>
    <cellStyle name="Currency 2 2 2 2 2 4 2" xfId="5921" xr:uid="{5D536A9B-6BD8-4158-BC6E-59A318A3BF30}"/>
    <cellStyle name="Currency 2 2 2 2 2 4 2 2" xfId="9393" xr:uid="{E801646F-77F1-4676-A149-769A5A5CA241}"/>
    <cellStyle name="Currency 2 2 2 2 2 4 2 2 2" xfId="23444" xr:uid="{AD1489B4-3B5C-4306-BAB0-8D7D5B4EA709}"/>
    <cellStyle name="Currency 2 2 2 2 2 4 2 3" xfId="11997" xr:uid="{A9491609-07E7-44FB-9E1B-9BC2E5B90D12}"/>
    <cellStyle name="Currency 2 2 2 2 2 4 2 3 2" xfId="26048" xr:uid="{16DF29A3-6C81-4C8E-BCEB-62A00B88D317}"/>
    <cellStyle name="Currency 2 2 2 2 2 4 2 4" xfId="19972" xr:uid="{787606AE-1504-4125-BB09-2D7326A33892}"/>
    <cellStyle name="Currency 2 2 2 2 2 4 3" xfId="6789" xr:uid="{C2126BB6-93FE-4F16-9F9A-94AD4A8D77B6}"/>
    <cellStyle name="Currency 2 2 2 2 2 4 3 2" xfId="10261" xr:uid="{335787F2-C974-4A2B-AB2B-FA31A238744F}"/>
    <cellStyle name="Currency 2 2 2 2 2 4 3 2 2" xfId="24312" xr:uid="{48D212D1-406D-4ED9-94AA-4C381FF732C0}"/>
    <cellStyle name="Currency 2 2 2 2 2 4 3 3" xfId="12865" xr:uid="{ED466869-2215-44E6-ACA5-71ACF7A50514}"/>
    <cellStyle name="Currency 2 2 2 2 2 4 3 3 2" xfId="26916" xr:uid="{2B9BF59B-9AE6-424B-8B28-FA197A2ED201}"/>
    <cellStyle name="Currency 2 2 2 2 2 4 3 4" xfId="20840" xr:uid="{33C4D50A-232C-4229-B530-9FC1FDA02C3A}"/>
    <cellStyle name="Currency 2 2 2 2 2 4 4" xfId="8525" xr:uid="{D330CE3A-02DA-4A9A-A2A3-DC2CB70CB98C}"/>
    <cellStyle name="Currency 2 2 2 2 2 4 4 2" xfId="13733" xr:uid="{207D9FE4-D342-4CEE-B90A-859C838F922F}"/>
    <cellStyle name="Currency 2 2 2 2 2 4 4 2 2" xfId="27784" xr:uid="{D58B4062-0F78-4F8D-A4F5-E5C5F398D388}"/>
    <cellStyle name="Currency 2 2 2 2 2 4 4 3" xfId="22576" xr:uid="{7BDCF039-AF8B-48C3-9999-B7443C443A42}"/>
    <cellStyle name="Currency 2 2 2 2 2 4 5" xfId="7657" xr:uid="{FBB1DEBF-97BC-4424-BB2B-746F8D7D7E02}"/>
    <cellStyle name="Currency 2 2 2 2 2 4 5 2" xfId="21708" xr:uid="{202D2639-D8E7-4743-9980-C79DDED7A4CB}"/>
    <cellStyle name="Currency 2 2 2 2 2 4 6" xfId="11129" xr:uid="{842CC267-279A-406B-9D8E-226822F05204}"/>
    <cellStyle name="Currency 2 2 2 2 2 4 6 2" xfId="25180" xr:uid="{9BCF9B1A-BCAA-47AF-B8E4-FFD5F27EC78D}"/>
    <cellStyle name="Currency 2 2 2 2 2 4 7" xfId="19104" xr:uid="{45CD1600-5576-4D24-9F96-BF58C06C16E8}"/>
    <cellStyle name="Currency 2 2 2 2 2 5" xfId="5487" xr:uid="{8BE78445-1B3E-433B-B6C1-87B4FC97C2B7}"/>
    <cellStyle name="Currency 2 2 2 2 2 5 2" xfId="8959" xr:uid="{F99180A6-C73A-48BE-A835-09142A973BE9}"/>
    <cellStyle name="Currency 2 2 2 2 2 5 2 2" xfId="23010" xr:uid="{F2CBCE9B-5ACC-4DBE-BEAD-33B4B037A236}"/>
    <cellStyle name="Currency 2 2 2 2 2 5 3" xfId="11563" xr:uid="{8BF5DB26-B975-4A58-AFA9-01678203770C}"/>
    <cellStyle name="Currency 2 2 2 2 2 5 3 2" xfId="25614" xr:uid="{80FB5B34-83B6-443A-A593-21121D5E6730}"/>
    <cellStyle name="Currency 2 2 2 2 2 5 4" xfId="19538" xr:uid="{3D9520F6-9928-4218-B905-646E7E8BBBA1}"/>
    <cellStyle name="Currency 2 2 2 2 2 6" xfId="6355" xr:uid="{C2D0F135-EEBF-415E-8FDD-2C20864274C7}"/>
    <cellStyle name="Currency 2 2 2 2 2 6 2" xfId="9827" xr:uid="{BA265158-8E42-437A-99D1-79AC8E0879AB}"/>
    <cellStyle name="Currency 2 2 2 2 2 6 2 2" xfId="23878" xr:uid="{6CF82974-7AD9-485E-9150-DFAF60B1F146}"/>
    <cellStyle name="Currency 2 2 2 2 2 6 3" xfId="12431" xr:uid="{38776A68-6EF3-475A-9009-EBCD8EE4D4DD}"/>
    <cellStyle name="Currency 2 2 2 2 2 6 3 2" xfId="26482" xr:uid="{D50A6152-94AF-4CF2-AFBA-EFC41BEE992E}"/>
    <cellStyle name="Currency 2 2 2 2 2 6 4" xfId="20406" xr:uid="{4AFF6778-25AA-41A2-97E1-6C331F216DD3}"/>
    <cellStyle name="Currency 2 2 2 2 2 7" xfId="8091" xr:uid="{214A50CB-363D-4255-BDF9-6C915DC6B19B}"/>
    <cellStyle name="Currency 2 2 2 2 2 7 2" xfId="13299" xr:uid="{B7D1AD8D-26F2-4C8C-BF20-FA43A4E31B8B}"/>
    <cellStyle name="Currency 2 2 2 2 2 7 2 2" xfId="27350" xr:uid="{1EE8342A-484F-4747-ACCF-AAFBAA7CA66F}"/>
    <cellStyle name="Currency 2 2 2 2 2 7 3" xfId="22142" xr:uid="{624A8573-3E71-40E2-96A3-3803719646B8}"/>
    <cellStyle name="Currency 2 2 2 2 2 8" xfId="7223" xr:uid="{8E94A641-63EC-473F-A038-AACDB5091E3D}"/>
    <cellStyle name="Currency 2 2 2 2 2 8 2" xfId="21274" xr:uid="{7B0B33C2-14CC-4A07-9A99-D85E00EBFE6C}"/>
    <cellStyle name="Currency 2 2 2 2 2 9" xfId="10695" xr:uid="{D933EE2C-94CB-47C7-A540-3265AF802606}"/>
    <cellStyle name="Currency 2 2 2 2 2 9 2" xfId="24746" xr:uid="{944E6CEC-9F30-4642-AA6F-2D3DAB4C0361}"/>
    <cellStyle name="Currency 2 2 2 2 3" xfId="1100" xr:uid="{99DD2311-A849-4E66-AEC3-2086ECC67FAD}"/>
    <cellStyle name="Currency 2 2 2 2 3 10" xfId="15150" xr:uid="{6189B285-E1DE-4B14-9412-30EA677B80C6}"/>
    <cellStyle name="Currency 2 2 2 2 3 2" xfId="2199" xr:uid="{370BE5BD-0DB3-429C-9646-D0EC7A48386E}"/>
    <cellStyle name="Currency 2 2 2 2 3 2 2" xfId="4388" xr:uid="{81F2E5D9-FD12-4298-A6D3-A0FE5AABFFAA}"/>
    <cellStyle name="Currency 2 2 2 2 3 2 2 2" xfId="5370" xr:uid="{8DB5B221-F2F0-4F8E-8F92-DBB644ABBDEE}"/>
    <cellStyle name="Currency 2 2 2 2 3 2 2 2 2" xfId="6238" xr:uid="{DA7742A4-F55B-4F0F-A91B-F50AB362B14E}"/>
    <cellStyle name="Currency 2 2 2 2 3 2 2 2 2 2" xfId="9710" xr:uid="{662193EB-BC3C-49D0-A3E1-0C41BB77AF19}"/>
    <cellStyle name="Currency 2 2 2 2 3 2 2 2 2 2 2" xfId="23761" xr:uid="{FD465907-61B4-494C-9428-B0503352288A}"/>
    <cellStyle name="Currency 2 2 2 2 3 2 2 2 2 3" xfId="12314" xr:uid="{2FAF4B9D-BFD3-400D-B0B7-FCE9598C5E7D}"/>
    <cellStyle name="Currency 2 2 2 2 3 2 2 2 2 3 2" xfId="26365" xr:uid="{AA18FE6E-95FC-4B72-BB0E-701ECC7D7A01}"/>
    <cellStyle name="Currency 2 2 2 2 3 2 2 2 2 4" xfId="20289" xr:uid="{C9DD20D1-4BFA-4185-92C3-CB0FDAC45DA1}"/>
    <cellStyle name="Currency 2 2 2 2 3 2 2 2 3" xfId="7106" xr:uid="{DF3B7770-50BF-4546-A7ED-E9A4020A139F}"/>
    <cellStyle name="Currency 2 2 2 2 3 2 2 2 3 2" xfId="10578" xr:uid="{1E3FD3A5-F814-4143-94BD-817A6086D765}"/>
    <cellStyle name="Currency 2 2 2 2 3 2 2 2 3 2 2" xfId="24629" xr:uid="{88DD1BE1-D595-4691-AA99-10F9DD2EC007}"/>
    <cellStyle name="Currency 2 2 2 2 3 2 2 2 3 3" xfId="13182" xr:uid="{9E09D44E-E9C5-4DB0-BD09-3F803BAEF2A0}"/>
    <cellStyle name="Currency 2 2 2 2 3 2 2 2 3 3 2" xfId="27233" xr:uid="{239AE15D-8080-49B7-A56E-7C2DB53A0BE9}"/>
    <cellStyle name="Currency 2 2 2 2 3 2 2 2 3 4" xfId="21157" xr:uid="{2C64A3AC-D919-4A80-A053-4BB9FBD01289}"/>
    <cellStyle name="Currency 2 2 2 2 3 2 2 2 4" xfId="8842" xr:uid="{9D9E55C0-DACF-4B66-9C6D-F8605FC815A1}"/>
    <cellStyle name="Currency 2 2 2 2 3 2 2 2 4 2" xfId="14050" xr:uid="{36A6B437-71B6-4C2E-9B3F-8D98D2074BB1}"/>
    <cellStyle name="Currency 2 2 2 2 3 2 2 2 4 2 2" xfId="28101" xr:uid="{DD9E6F86-2140-453A-828E-251A69D1EA05}"/>
    <cellStyle name="Currency 2 2 2 2 3 2 2 2 4 3" xfId="22893" xr:uid="{10309A04-9B05-4F06-8567-A040417517C0}"/>
    <cellStyle name="Currency 2 2 2 2 3 2 2 2 5" xfId="7974" xr:uid="{7FEF678E-D54A-4692-9509-97BBDF1CAEF7}"/>
    <cellStyle name="Currency 2 2 2 2 3 2 2 2 5 2" xfId="22025" xr:uid="{AE3AC785-8131-483B-92BA-B4C4A7AF4C43}"/>
    <cellStyle name="Currency 2 2 2 2 3 2 2 2 6" xfId="11446" xr:uid="{100F185C-451F-441C-AABE-649D39096AE6}"/>
    <cellStyle name="Currency 2 2 2 2 3 2 2 2 6 2" xfId="25497" xr:uid="{519E5E75-A91B-454B-BF66-1CDD9712A8C4}"/>
    <cellStyle name="Currency 2 2 2 2 3 2 2 2 7" xfId="19421" xr:uid="{74DED3B7-FD6B-4CF1-888B-D0EBF42B4D58}"/>
    <cellStyle name="Currency 2 2 2 2 3 2 2 3" xfId="5804" xr:uid="{78619F52-602C-42E7-AF8C-6F95400344B6}"/>
    <cellStyle name="Currency 2 2 2 2 3 2 2 3 2" xfId="9276" xr:uid="{163CE9D2-D523-4251-AB21-7C15001A8B0D}"/>
    <cellStyle name="Currency 2 2 2 2 3 2 2 3 2 2" xfId="23327" xr:uid="{D8B14B52-BDEF-438D-B09A-764B24AADCC1}"/>
    <cellStyle name="Currency 2 2 2 2 3 2 2 3 3" xfId="11880" xr:uid="{F58DA5E3-5A99-4981-93C3-70CC591F4506}"/>
    <cellStyle name="Currency 2 2 2 2 3 2 2 3 3 2" xfId="25931" xr:uid="{D13C6006-123D-4A92-9BA1-8EBE2FB7BB83}"/>
    <cellStyle name="Currency 2 2 2 2 3 2 2 3 4" xfId="19855" xr:uid="{DD7BDA41-96C5-4ABF-9B00-319E710F96E4}"/>
    <cellStyle name="Currency 2 2 2 2 3 2 2 4" xfId="6672" xr:uid="{1E3CEBF8-A669-467C-86C6-8C43BA1ABE4A}"/>
    <cellStyle name="Currency 2 2 2 2 3 2 2 4 2" xfId="10144" xr:uid="{F0ACC3BC-5706-4451-99BE-424D078E96AD}"/>
    <cellStyle name="Currency 2 2 2 2 3 2 2 4 2 2" xfId="24195" xr:uid="{01FF59E3-DBCB-40C6-A110-936267F5F5DE}"/>
    <cellStyle name="Currency 2 2 2 2 3 2 2 4 3" xfId="12748" xr:uid="{A62A6D1C-37D0-4404-923C-811C1C73B990}"/>
    <cellStyle name="Currency 2 2 2 2 3 2 2 4 3 2" xfId="26799" xr:uid="{7B819A86-9519-487C-A9F0-2F1D846772B3}"/>
    <cellStyle name="Currency 2 2 2 2 3 2 2 4 4" xfId="20723" xr:uid="{BFCFEA5E-4AAB-4A36-AAED-F33FE89BE36F}"/>
    <cellStyle name="Currency 2 2 2 2 3 2 2 5" xfId="8408" xr:uid="{92E507B9-3D37-40A9-A3B0-994B09355A63}"/>
    <cellStyle name="Currency 2 2 2 2 3 2 2 5 2" xfId="13616" xr:uid="{A08A9EE1-C0B1-4AC8-9400-7976B820456E}"/>
    <cellStyle name="Currency 2 2 2 2 3 2 2 5 2 2" xfId="27667" xr:uid="{EE0AA9C8-9C5F-40C2-B989-24AA8AD49634}"/>
    <cellStyle name="Currency 2 2 2 2 3 2 2 5 3" xfId="22459" xr:uid="{8ED16B9F-6283-4D69-8045-996EE182282D}"/>
    <cellStyle name="Currency 2 2 2 2 3 2 2 6" xfId="7540" xr:uid="{476C87A8-1DEE-44DF-ABB1-A14D3AE201A3}"/>
    <cellStyle name="Currency 2 2 2 2 3 2 2 6 2" xfId="21591" xr:uid="{543DC73B-74A7-406B-A32F-0AA0E7C9C271}"/>
    <cellStyle name="Currency 2 2 2 2 3 2 2 7" xfId="11012" xr:uid="{DCCB61FB-BD7D-427F-BF07-2279A5ABE779}"/>
    <cellStyle name="Currency 2 2 2 2 3 2 2 7 2" xfId="25063" xr:uid="{0B4C3397-8034-48AA-BC4A-9421D1095A65}"/>
    <cellStyle name="Currency 2 2 2 2 3 2 2 8" xfId="18438" xr:uid="{60F7FB9A-28D5-4C7C-8FAB-586451D45275}"/>
    <cellStyle name="Currency 2 2 2 2 3 2 3" xfId="5180" xr:uid="{111C13B8-450D-41B1-8661-E3DD17E24946}"/>
    <cellStyle name="Currency 2 2 2 2 3 2 3 2" xfId="6048" xr:uid="{A2004F20-FE7E-4AFB-841B-A534D4DFFBF5}"/>
    <cellStyle name="Currency 2 2 2 2 3 2 3 2 2" xfId="9520" xr:uid="{6D9EF402-EAFD-44B5-9A2A-63B931FBDDCD}"/>
    <cellStyle name="Currency 2 2 2 2 3 2 3 2 2 2" xfId="23571" xr:uid="{60E5032E-37F6-4411-BB24-1F02EA78018D}"/>
    <cellStyle name="Currency 2 2 2 2 3 2 3 2 3" xfId="12124" xr:uid="{4AF8834A-C151-4AA9-B8E5-A95E0E9EABBA}"/>
    <cellStyle name="Currency 2 2 2 2 3 2 3 2 3 2" xfId="26175" xr:uid="{A9F987E2-94BA-4F08-B41A-237B360052B5}"/>
    <cellStyle name="Currency 2 2 2 2 3 2 3 2 4" xfId="20099" xr:uid="{C04C6AE1-7157-4DFF-A247-C9AA6D930DBB}"/>
    <cellStyle name="Currency 2 2 2 2 3 2 3 3" xfId="6916" xr:uid="{7280D6F7-AE04-445F-AC1D-57383D1A4A53}"/>
    <cellStyle name="Currency 2 2 2 2 3 2 3 3 2" xfId="10388" xr:uid="{FAED6C2A-47D2-484F-A86A-9CE7628B0313}"/>
    <cellStyle name="Currency 2 2 2 2 3 2 3 3 2 2" xfId="24439" xr:uid="{D13B02E5-BF3F-4FAE-81AE-191FCF24E3B1}"/>
    <cellStyle name="Currency 2 2 2 2 3 2 3 3 3" xfId="12992" xr:uid="{2BDEEFE7-68CB-476C-A8E2-E7CC828882FE}"/>
    <cellStyle name="Currency 2 2 2 2 3 2 3 3 3 2" xfId="27043" xr:uid="{3EC0DAD3-41A9-46F3-90D8-EC2083128A24}"/>
    <cellStyle name="Currency 2 2 2 2 3 2 3 3 4" xfId="20967" xr:uid="{34FCE8B4-ADEF-4042-97F4-0A26658DDB8B}"/>
    <cellStyle name="Currency 2 2 2 2 3 2 3 4" xfId="8652" xr:uid="{B2F82B9D-115F-4CF0-AEAA-1D44DA123686}"/>
    <cellStyle name="Currency 2 2 2 2 3 2 3 4 2" xfId="13860" xr:uid="{86F1B012-1B15-4F91-A96E-5F59B5D0C6AC}"/>
    <cellStyle name="Currency 2 2 2 2 3 2 3 4 2 2" xfId="27911" xr:uid="{73FCD9D4-538B-4C9C-A6C6-9C173D0C14D6}"/>
    <cellStyle name="Currency 2 2 2 2 3 2 3 4 3" xfId="22703" xr:uid="{8FDEA6CC-A46B-43C2-9E3A-639D457EC9CD}"/>
    <cellStyle name="Currency 2 2 2 2 3 2 3 5" xfId="7784" xr:uid="{D8B6EEE2-BE17-4EC0-9645-1DD2FB9A0E1E}"/>
    <cellStyle name="Currency 2 2 2 2 3 2 3 5 2" xfId="21835" xr:uid="{BF0FC63C-6DC0-402E-8C8D-BA74048CB0CD}"/>
    <cellStyle name="Currency 2 2 2 2 3 2 3 6" xfId="11256" xr:uid="{A81A06D6-6600-447A-AD58-BA6AE03C7990}"/>
    <cellStyle name="Currency 2 2 2 2 3 2 3 6 2" xfId="25307" xr:uid="{33AF540C-31C9-4CCD-9BA2-39674736FE7B}"/>
    <cellStyle name="Currency 2 2 2 2 3 2 3 7" xfId="19231" xr:uid="{D7C53F37-D8D0-4577-BB1F-727F4C79811A}"/>
    <cellStyle name="Currency 2 2 2 2 3 2 4" xfId="5614" xr:uid="{6B7B7B96-4F8B-44EA-A627-0D4575C0BA36}"/>
    <cellStyle name="Currency 2 2 2 2 3 2 4 2" xfId="9086" xr:uid="{491090BB-4E65-462F-8DF9-BA47F569CF0E}"/>
    <cellStyle name="Currency 2 2 2 2 3 2 4 2 2" xfId="23137" xr:uid="{09B9D984-BF62-495F-9A87-710CAB16ED56}"/>
    <cellStyle name="Currency 2 2 2 2 3 2 4 3" xfId="11690" xr:uid="{48D21974-38F1-4FCD-B212-A4E8001E67AA}"/>
    <cellStyle name="Currency 2 2 2 2 3 2 4 3 2" xfId="25741" xr:uid="{6B00542C-4A3D-4A61-8CF2-D378264D480A}"/>
    <cellStyle name="Currency 2 2 2 2 3 2 4 4" xfId="19665" xr:uid="{9CDA7490-C937-4BED-BAFE-6BB4D0A4FCCE}"/>
    <cellStyle name="Currency 2 2 2 2 3 2 5" xfId="6482" xr:uid="{24D78E8A-018D-4C01-9C1F-B12ED6A77FCC}"/>
    <cellStyle name="Currency 2 2 2 2 3 2 5 2" xfId="9954" xr:uid="{8A2FA3EF-DB57-4310-9BD9-89825E56DB65}"/>
    <cellStyle name="Currency 2 2 2 2 3 2 5 2 2" xfId="24005" xr:uid="{F48301AC-BC02-4E30-BFD3-7954EBEE4490}"/>
    <cellStyle name="Currency 2 2 2 2 3 2 5 3" xfId="12558" xr:uid="{362F38BA-AC33-4826-A207-712169304FFB}"/>
    <cellStyle name="Currency 2 2 2 2 3 2 5 3 2" xfId="26609" xr:uid="{E1C546CD-02CB-4B0E-B49F-B122D98131E9}"/>
    <cellStyle name="Currency 2 2 2 2 3 2 5 4" xfId="20533" xr:uid="{1C265A61-C5E9-4962-A92F-4C3DA5B64808}"/>
    <cellStyle name="Currency 2 2 2 2 3 2 6" xfId="8218" xr:uid="{08CC552C-D07C-4B62-A5F8-C947B80C5703}"/>
    <cellStyle name="Currency 2 2 2 2 3 2 6 2" xfId="13426" xr:uid="{9478B4FA-112D-4024-9A03-ABFE67E6FDB3}"/>
    <cellStyle name="Currency 2 2 2 2 3 2 6 2 2" xfId="27477" xr:uid="{30766A3E-35F8-467C-8E9E-D0C946D81881}"/>
    <cellStyle name="Currency 2 2 2 2 3 2 6 3" xfId="22269" xr:uid="{E1CACCD3-21D9-4398-9301-160D786EF840}"/>
    <cellStyle name="Currency 2 2 2 2 3 2 7" xfId="7350" xr:uid="{3F904CAD-F7F5-46B1-9C97-0816AADA6F0B}"/>
    <cellStyle name="Currency 2 2 2 2 3 2 7 2" xfId="21401" xr:uid="{4A75FEC2-1F04-49D5-9BDE-5461A81F7B9E}"/>
    <cellStyle name="Currency 2 2 2 2 3 2 8" xfId="10822" xr:uid="{DAB8D6C2-C1A6-4289-822E-D86AABC02C80}"/>
    <cellStyle name="Currency 2 2 2 2 3 2 8 2" xfId="24873" xr:uid="{881F7739-1503-4A71-85BB-68507DC7951D}"/>
    <cellStyle name="Currency 2 2 2 2 3 2 9" xfId="16248" xr:uid="{0AD98CB2-A3DF-4BCE-8FCC-3E37A3E07A04}"/>
    <cellStyle name="Currency 2 2 2 2 3 3" xfId="3292" xr:uid="{F4CA970E-0881-4BA7-AB31-D223B1723C1F}"/>
    <cellStyle name="Currency 2 2 2 2 3 3 2" xfId="5275" xr:uid="{1CC0005B-97EC-4715-9A60-1D0FAECD4B4D}"/>
    <cellStyle name="Currency 2 2 2 2 3 3 2 2" xfId="6143" xr:uid="{0EB1FAD9-0465-4373-B014-DBC966BBD0D4}"/>
    <cellStyle name="Currency 2 2 2 2 3 3 2 2 2" xfId="9615" xr:uid="{57C40054-1DEC-48B5-BEAD-44173D969D83}"/>
    <cellStyle name="Currency 2 2 2 2 3 3 2 2 2 2" xfId="23666" xr:uid="{83360324-2820-4662-923B-16A3BF3A1186}"/>
    <cellStyle name="Currency 2 2 2 2 3 3 2 2 3" xfId="12219" xr:uid="{D620C65A-F03B-465C-9617-3E534D9D4488}"/>
    <cellStyle name="Currency 2 2 2 2 3 3 2 2 3 2" xfId="26270" xr:uid="{B08C97B2-893E-4ED6-B9B9-87ECEDD855A9}"/>
    <cellStyle name="Currency 2 2 2 2 3 3 2 2 4" xfId="20194" xr:uid="{7FDFCD11-1AE7-42DF-8F11-6FA3AC915DBA}"/>
    <cellStyle name="Currency 2 2 2 2 3 3 2 3" xfId="7011" xr:uid="{853155E5-0950-49B6-8B88-D261B34C5235}"/>
    <cellStyle name="Currency 2 2 2 2 3 3 2 3 2" xfId="10483" xr:uid="{EA94E3EC-B434-4D58-B9B4-EF0A331CABF1}"/>
    <cellStyle name="Currency 2 2 2 2 3 3 2 3 2 2" xfId="24534" xr:uid="{1021F69B-6EDB-4181-BD92-0156EA8091E7}"/>
    <cellStyle name="Currency 2 2 2 2 3 3 2 3 3" xfId="13087" xr:uid="{A8B5E7C5-269A-4DBD-93A1-88CB2B00D8CD}"/>
    <cellStyle name="Currency 2 2 2 2 3 3 2 3 3 2" xfId="27138" xr:uid="{C6E5E27D-3F12-48CE-B3EA-5F9050CB4ECF}"/>
    <cellStyle name="Currency 2 2 2 2 3 3 2 3 4" xfId="21062" xr:uid="{F855692B-A6E4-4332-BF0F-D3F8EE081966}"/>
    <cellStyle name="Currency 2 2 2 2 3 3 2 4" xfId="8747" xr:uid="{A7894DB9-3B1F-4169-AB57-B3BE435E11AE}"/>
    <cellStyle name="Currency 2 2 2 2 3 3 2 4 2" xfId="13955" xr:uid="{E6717095-A157-41FC-8B21-50D1055CEAA2}"/>
    <cellStyle name="Currency 2 2 2 2 3 3 2 4 2 2" xfId="28006" xr:uid="{022D2916-67B6-455A-B0BD-6E99A0DBE9EF}"/>
    <cellStyle name="Currency 2 2 2 2 3 3 2 4 3" xfId="22798" xr:uid="{B582E0DE-503B-4D1A-B80C-7BD76AF6D3A7}"/>
    <cellStyle name="Currency 2 2 2 2 3 3 2 5" xfId="7879" xr:uid="{504E02FF-8BEC-4C1D-AF17-314E56CB1D96}"/>
    <cellStyle name="Currency 2 2 2 2 3 3 2 5 2" xfId="21930" xr:uid="{C8F04F42-1134-4822-B9DA-837D93E1037B}"/>
    <cellStyle name="Currency 2 2 2 2 3 3 2 6" xfId="11351" xr:uid="{630E1016-D107-44BB-A5E8-9151BF3CF5D7}"/>
    <cellStyle name="Currency 2 2 2 2 3 3 2 6 2" xfId="25402" xr:uid="{55E00DAF-FC48-472A-A14C-CF82989248CB}"/>
    <cellStyle name="Currency 2 2 2 2 3 3 2 7" xfId="19326" xr:uid="{D2A50574-DC2B-4CFC-8921-2EFB5156C519}"/>
    <cellStyle name="Currency 2 2 2 2 3 3 3" xfId="5709" xr:uid="{167EC3B4-4731-4DCC-8835-6C20005DCE93}"/>
    <cellStyle name="Currency 2 2 2 2 3 3 3 2" xfId="9181" xr:uid="{551F5412-5AAF-44FA-8F57-C0B353ECE306}"/>
    <cellStyle name="Currency 2 2 2 2 3 3 3 2 2" xfId="23232" xr:uid="{1E014635-4C1D-4600-8F16-6D595F292967}"/>
    <cellStyle name="Currency 2 2 2 2 3 3 3 3" xfId="11785" xr:uid="{D3DC469B-77AB-41AF-87AF-A2B655058C75}"/>
    <cellStyle name="Currency 2 2 2 2 3 3 3 3 2" xfId="25836" xr:uid="{31A5D558-384F-456C-A85A-3471A0F91AE2}"/>
    <cellStyle name="Currency 2 2 2 2 3 3 3 4" xfId="19760" xr:uid="{1D3B9015-5D18-4DC5-AB63-51B6BDFECA89}"/>
    <cellStyle name="Currency 2 2 2 2 3 3 4" xfId="6577" xr:uid="{4317C7BA-895D-46EA-BF89-94E19464ADF6}"/>
    <cellStyle name="Currency 2 2 2 2 3 3 4 2" xfId="10049" xr:uid="{EE875D05-F919-4D1D-A31A-95D6C124DE6C}"/>
    <cellStyle name="Currency 2 2 2 2 3 3 4 2 2" xfId="24100" xr:uid="{BCC05261-DCC9-4E65-BEFE-93592371B7DD}"/>
    <cellStyle name="Currency 2 2 2 2 3 3 4 3" xfId="12653" xr:uid="{482F15C8-1711-4C50-841A-4AEB234C2DE7}"/>
    <cellStyle name="Currency 2 2 2 2 3 3 4 3 2" xfId="26704" xr:uid="{C7473448-B5B0-425F-981B-B0E93E08700B}"/>
    <cellStyle name="Currency 2 2 2 2 3 3 4 4" xfId="20628" xr:uid="{60C24E0A-8327-4CB6-BC39-A786F0F683CA}"/>
    <cellStyle name="Currency 2 2 2 2 3 3 5" xfId="8313" xr:uid="{FAA46626-65AB-4643-A9DE-984970686A75}"/>
    <cellStyle name="Currency 2 2 2 2 3 3 5 2" xfId="13521" xr:uid="{0FFA26E6-598E-4490-84B6-E532011A2969}"/>
    <cellStyle name="Currency 2 2 2 2 3 3 5 2 2" xfId="27572" xr:uid="{BE64011A-0F8C-45F3-9A60-71E6950E856B}"/>
    <cellStyle name="Currency 2 2 2 2 3 3 5 3" xfId="22364" xr:uid="{863F953D-AC35-4361-AC15-F7CEBD1E14BA}"/>
    <cellStyle name="Currency 2 2 2 2 3 3 6" xfId="7445" xr:uid="{5107E74E-2A39-4D4F-8850-FAB5D61B1AED}"/>
    <cellStyle name="Currency 2 2 2 2 3 3 6 2" xfId="21496" xr:uid="{C2EB5D94-D1B6-4B6E-A813-902BD5C8766C}"/>
    <cellStyle name="Currency 2 2 2 2 3 3 7" xfId="10917" xr:uid="{E77D378E-A5D1-4061-8A97-32086D549E05}"/>
    <cellStyle name="Currency 2 2 2 2 3 3 7 2" xfId="24968" xr:uid="{71664B1D-FBB8-48AC-B72A-EC545E63993A}"/>
    <cellStyle name="Currency 2 2 2 2 3 3 8" xfId="17344" xr:uid="{261BF59C-731F-4B5A-8DAE-3F72C635ADCE}"/>
    <cellStyle name="Currency 2 2 2 2 3 4" xfId="5083" xr:uid="{45288124-D7A9-4E2E-855D-D00CB2662F70}"/>
    <cellStyle name="Currency 2 2 2 2 3 4 2" xfId="5951" xr:uid="{E0FB7ECE-0410-48FB-89EC-DEBA7D065C86}"/>
    <cellStyle name="Currency 2 2 2 2 3 4 2 2" xfId="9423" xr:uid="{DCA23087-7F4D-4977-B91B-49C83379BD7B}"/>
    <cellStyle name="Currency 2 2 2 2 3 4 2 2 2" xfId="23474" xr:uid="{05C5E562-AA29-4111-BA79-B1A4570646C0}"/>
    <cellStyle name="Currency 2 2 2 2 3 4 2 3" xfId="12027" xr:uid="{11FB19DD-6E7E-40C7-91C7-F7841FC4E59A}"/>
    <cellStyle name="Currency 2 2 2 2 3 4 2 3 2" xfId="26078" xr:uid="{FAFDDAD6-6EE0-43A8-BD91-2028234C5618}"/>
    <cellStyle name="Currency 2 2 2 2 3 4 2 4" xfId="20002" xr:uid="{2F9787E0-6B2F-4212-B5A0-3E2BB55B6B8E}"/>
    <cellStyle name="Currency 2 2 2 2 3 4 3" xfId="6819" xr:uid="{52F334A1-77C3-40A6-B5E1-EFDB8085641A}"/>
    <cellStyle name="Currency 2 2 2 2 3 4 3 2" xfId="10291" xr:uid="{AE0B9230-4B66-47B0-8F58-7E6A77F7A2A1}"/>
    <cellStyle name="Currency 2 2 2 2 3 4 3 2 2" xfId="24342" xr:uid="{105F080E-58CB-494E-BF44-5F1EE41808B1}"/>
    <cellStyle name="Currency 2 2 2 2 3 4 3 3" xfId="12895" xr:uid="{E796EC14-0976-44B8-A0AD-924C505F881C}"/>
    <cellStyle name="Currency 2 2 2 2 3 4 3 3 2" xfId="26946" xr:uid="{31731B49-64FD-4A19-A1A5-2D3C34177E07}"/>
    <cellStyle name="Currency 2 2 2 2 3 4 3 4" xfId="20870" xr:uid="{DACB25D2-A91A-4205-A304-1CFAF2E8A2E8}"/>
    <cellStyle name="Currency 2 2 2 2 3 4 4" xfId="8555" xr:uid="{D481B09B-4946-499B-9971-6B9D939093D4}"/>
    <cellStyle name="Currency 2 2 2 2 3 4 4 2" xfId="13763" xr:uid="{A6F8DF2B-2CEB-479F-9E21-9AF2AC07A6BB}"/>
    <cellStyle name="Currency 2 2 2 2 3 4 4 2 2" xfId="27814" xr:uid="{5C38AAE4-BF39-4926-9370-AC57C84D20C5}"/>
    <cellStyle name="Currency 2 2 2 2 3 4 4 3" xfId="22606" xr:uid="{FFC966CC-856A-42A2-A301-A03CB0453E49}"/>
    <cellStyle name="Currency 2 2 2 2 3 4 5" xfId="7687" xr:uid="{49086291-5877-40A5-86F9-099838C5FB3F}"/>
    <cellStyle name="Currency 2 2 2 2 3 4 5 2" xfId="21738" xr:uid="{E4B1E341-70F5-45BC-8F8A-A4F838BEA8B4}"/>
    <cellStyle name="Currency 2 2 2 2 3 4 6" xfId="11159" xr:uid="{ACCDFB6C-1C20-4C91-8272-094F528D0BAF}"/>
    <cellStyle name="Currency 2 2 2 2 3 4 6 2" xfId="25210" xr:uid="{DF3D4BC2-95E0-450F-8D3D-8426852A79D8}"/>
    <cellStyle name="Currency 2 2 2 2 3 4 7" xfId="19134" xr:uid="{D4BC2F6A-5F1E-42C1-91D4-0F0E0A9AA3E2}"/>
    <cellStyle name="Currency 2 2 2 2 3 5" xfId="5517" xr:uid="{9592D939-1426-4A1F-9696-FB05B8580ED6}"/>
    <cellStyle name="Currency 2 2 2 2 3 5 2" xfId="8989" xr:uid="{56E11273-AA91-4889-90E8-8E4950C22117}"/>
    <cellStyle name="Currency 2 2 2 2 3 5 2 2" xfId="23040" xr:uid="{B95CF666-3D08-4F13-8660-F1211F2F5891}"/>
    <cellStyle name="Currency 2 2 2 2 3 5 3" xfId="11593" xr:uid="{8FBA1482-069E-41EB-B8F8-9F6662C0C443}"/>
    <cellStyle name="Currency 2 2 2 2 3 5 3 2" xfId="25644" xr:uid="{B47D64D5-61F9-4A41-8BA4-B04D08CB1E22}"/>
    <cellStyle name="Currency 2 2 2 2 3 5 4" xfId="19568" xr:uid="{54E3B0DB-7A22-4396-8740-79C8FAFECBAD}"/>
    <cellStyle name="Currency 2 2 2 2 3 6" xfId="6385" xr:uid="{79B17253-EC61-4E5A-9701-C4C8667CD601}"/>
    <cellStyle name="Currency 2 2 2 2 3 6 2" xfId="9857" xr:uid="{A5B7ED00-D7CF-4024-919B-66B7AB16349C}"/>
    <cellStyle name="Currency 2 2 2 2 3 6 2 2" xfId="23908" xr:uid="{78EF4DBE-C658-4879-A4C3-4680814B0EBB}"/>
    <cellStyle name="Currency 2 2 2 2 3 6 3" xfId="12461" xr:uid="{FA86BA97-9AC0-4DE6-AED2-8BC524FAF17E}"/>
    <cellStyle name="Currency 2 2 2 2 3 6 3 2" xfId="26512" xr:uid="{A2BCEFA4-B050-4315-A1C9-193667AF5D97}"/>
    <cellStyle name="Currency 2 2 2 2 3 6 4" xfId="20436" xr:uid="{ACAC79E1-4AE1-470E-9D9D-F3532C8BA364}"/>
    <cellStyle name="Currency 2 2 2 2 3 7" xfId="8121" xr:uid="{40E84480-26C9-441A-A22C-3B5E5E84C67B}"/>
    <cellStyle name="Currency 2 2 2 2 3 7 2" xfId="13329" xr:uid="{B2606CB2-EE2E-4FEE-A48E-8C3D0CD15F28}"/>
    <cellStyle name="Currency 2 2 2 2 3 7 2 2" xfId="27380" xr:uid="{280CD10F-4EAE-4427-B946-A11DC6033E77}"/>
    <cellStyle name="Currency 2 2 2 2 3 7 3" xfId="22172" xr:uid="{FD491DA8-2154-4352-ACCC-71D24D2C95F8}"/>
    <cellStyle name="Currency 2 2 2 2 3 8" xfId="7253" xr:uid="{C62A38FF-762C-4945-825F-4E51A644581C}"/>
    <cellStyle name="Currency 2 2 2 2 3 8 2" xfId="21304" xr:uid="{982A0584-A2F7-4984-B219-8E23827036E4}"/>
    <cellStyle name="Currency 2 2 2 2 3 9" xfId="10725" xr:uid="{7CCC1592-BD0D-4DF4-A3C0-46BB1A4AEA2D}"/>
    <cellStyle name="Currency 2 2 2 2 3 9 2" xfId="24776" xr:uid="{8B6E82D9-FBC9-4D1E-8B4A-168F67064FF4}"/>
    <cellStyle name="Currency 2 2 2 2 4" xfId="1680" xr:uid="{F4523835-7A24-495C-B7A7-8829CD29B146}"/>
    <cellStyle name="Currency 2 2 2 2 4 2" xfId="3870" xr:uid="{5B0E7D04-86FF-4692-B2D3-3A219553EA07}"/>
    <cellStyle name="Currency 2 2 2 2 4 2 2" xfId="5326" xr:uid="{2C6811F7-1BAC-427B-A7A0-E08F3BA26241}"/>
    <cellStyle name="Currency 2 2 2 2 4 2 2 2" xfId="6194" xr:uid="{1FC23B76-2166-4DD4-A3AC-2447E888F4C8}"/>
    <cellStyle name="Currency 2 2 2 2 4 2 2 2 2" xfId="9666" xr:uid="{DBFE2ABF-D1C7-4A9E-ADBE-E5AD4A29C6EF}"/>
    <cellStyle name="Currency 2 2 2 2 4 2 2 2 2 2" xfId="23717" xr:uid="{8A8D595C-47F5-4F2A-AE25-1B1D386A90CB}"/>
    <cellStyle name="Currency 2 2 2 2 4 2 2 2 3" xfId="12270" xr:uid="{A4FD78D3-E304-434A-9220-DA9F35ABC9B5}"/>
    <cellStyle name="Currency 2 2 2 2 4 2 2 2 3 2" xfId="26321" xr:uid="{0E42E27C-9F8C-43F9-9EB2-C73BEF0560D5}"/>
    <cellStyle name="Currency 2 2 2 2 4 2 2 2 4" xfId="20245" xr:uid="{10EF04FC-86D4-4E91-8D66-1DFD699CA564}"/>
    <cellStyle name="Currency 2 2 2 2 4 2 2 3" xfId="7062" xr:uid="{9D1FDED4-F8CE-4FEB-984A-83F03CF7216C}"/>
    <cellStyle name="Currency 2 2 2 2 4 2 2 3 2" xfId="10534" xr:uid="{072124B0-2139-423E-B666-63479958134D}"/>
    <cellStyle name="Currency 2 2 2 2 4 2 2 3 2 2" xfId="24585" xr:uid="{78044CB1-A3E9-4611-B506-9A430E0F1240}"/>
    <cellStyle name="Currency 2 2 2 2 4 2 2 3 3" xfId="13138" xr:uid="{495E2180-4616-4872-82A2-D417B4A94EB1}"/>
    <cellStyle name="Currency 2 2 2 2 4 2 2 3 3 2" xfId="27189" xr:uid="{4A995CF3-7956-4FC4-939C-5A52D40537D9}"/>
    <cellStyle name="Currency 2 2 2 2 4 2 2 3 4" xfId="21113" xr:uid="{D7CA925B-48BB-413C-B751-B981DEB49E9E}"/>
    <cellStyle name="Currency 2 2 2 2 4 2 2 4" xfId="8798" xr:uid="{0275D7B2-4EE6-4277-8BF3-941A76DCDD5B}"/>
    <cellStyle name="Currency 2 2 2 2 4 2 2 4 2" xfId="14006" xr:uid="{54BA1EB7-AF03-4448-8B6B-1040DB44EB9E}"/>
    <cellStyle name="Currency 2 2 2 2 4 2 2 4 2 2" xfId="28057" xr:uid="{5A0EAEE8-55AC-48EB-83B4-1E4FE7A511B4}"/>
    <cellStyle name="Currency 2 2 2 2 4 2 2 4 3" xfId="22849" xr:uid="{BD11A84E-AC7F-4272-B144-56C597298C05}"/>
    <cellStyle name="Currency 2 2 2 2 4 2 2 5" xfId="7930" xr:uid="{74D65791-20F6-4074-991B-AB7EFB039B5E}"/>
    <cellStyle name="Currency 2 2 2 2 4 2 2 5 2" xfId="21981" xr:uid="{98A023E0-FFEB-44C4-8C68-FEAA95AACEC1}"/>
    <cellStyle name="Currency 2 2 2 2 4 2 2 6" xfId="11402" xr:uid="{C681E238-A392-4288-95C6-88EDCDF9BB1D}"/>
    <cellStyle name="Currency 2 2 2 2 4 2 2 6 2" xfId="25453" xr:uid="{0103160B-7517-4F07-AF42-09781FD20B37}"/>
    <cellStyle name="Currency 2 2 2 2 4 2 2 7" xfId="19377" xr:uid="{6812D75D-6362-4C6D-BD8A-D8A8844C5746}"/>
    <cellStyle name="Currency 2 2 2 2 4 2 3" xfId="5760" xr:uid="{1F920129-0DFC-478E-9EEB-709A8FD01822}"/>
    <cellStyle name="Currency 2 2 2 2 4 2 3 2" xfId="9232" xr:uid="{08E3988F-EFA1-43ED-A98A-1B4AD7332E5A}"/>
    <cellStyle name="Currency 2 2 2 2 4 2 3 2 2" xfId="23283" xr:uid="{A68E23F9-7368-48C3-9240-D4436CC9A0FE}"/>
    <cellStyle name="Currency 2 2 2 2 4 2 3 3" xfId="11836" xr:uid="{4D7E9EFA-C969-42BE-940B-22783BBCF8B8}"/>
    <cellStyle name="Currency 2 2 2 2 4 2 3 3 2" xfId="25887" xr:uid="{A50F527D-FECC-4F61-8295-DADDD0ADC66C}"/>
    <cellStyle name="Currency 2 2 2 2 4 2 3 4" xfId="19811" xr:uid="{70A5A63C-E53B-4BBA-8FC1-783EA1B74B8F}"/>
    <cellStyle name="Currency 2 2 2 2 4 2 4" xfId="6628" xr:uid="{F1410E27-61E1-4B8E-9EB5-06C92EC9FC1E}"/>
    <cellStyle name="Currency 2 2 2 2 4 2 4 2" xfId="10100" xr:uid="{2D52C1D5-A6C4-439F-9F6A-B5005EFA5189}"/>
    <cellStyle name="Currency 2 2 2 2 4 2 4 2 2" xfId="24151" xr:uid="{290A967C-E5D9-4036-8093-C88122243507}"/>
    <cellStyle name="Currency 2 2 2 2 4 2 4 3" xfId="12704" xr:uid="{CD5A8FE7-4238-4599-AAE2-88ACE6B95117}"/>
    <cellStyle name="Currency 2 2 2 2 4 2 4 3 2" xfId="26755" xr:uid="{5C03B514-C4E0-4B1D-89C9-05B992C76EA3}"/>
    <cellStyle name="Currency 2 2 2 2 4 2 4 4" xfId="20679" xr:uid="{BE092F5C-26C7-4D9C-B0A8-18C23C6616B5}"/>
    <cellStyle name="Currency 2 2 2 2 4 2 5" xfId="8364" xr:uid="{5ADCBBAF-C0AB-4AC8-9D46-AC3EA033325B}"/>
    <cellStyle name="Currency 2 2 2 2 4 2 5 2" xfId="13572" xr:uid="{1C36D57A-3319-4F94-918C-12D1FAFCB938}"/>
    <cellStyle name="Currency 2 2 2 2 4 2 5 2 2" xfId="27623" xr:uid="{B8588A6E-587F-4D96-BB55-D46CBF16F058}"/>
    <cellStyle name="Currency 2 2 2 2 4 2 5 3" xfId="22415" xr:uid="{35133C8E-BB1E-4CBE-9248-64F4F381A24D}"/>
    <cellStyle name="Currency 2 2 2 2 4 2 6" xfId="7496" xr:uid="{072A0D13-3DB7-4D9B-9742-531436FE5700}"/>
    <cellStyle name="Currency 2 2 2 2 4 2 6 2" xfId="21547" xr:uid="{A532E16A-33F1-487D-B433-9EDF272FE4EF}"/>
    <cellStyle name="Currency 2 2 2 2 4 2 7" xfId="10968" xr:uid="{463E189B-3DF5-41B9-ABBA-5C8AE6223E60}"/>
    <cellStyle name="Currency 2 2 2 2 4 2 7 2" xfId="25019" xr:uid="{8C54F706-2CCA-4EA4-9FD6-FFAF39256E41}"/>
    <cellStyle name="Currency 2 2 2 2 4 2 8" xfId="17923" xr:uid="{B5C23A4B-8512-493D-B48C-3C5D1DEC9D9F}"/>
    <cellStyle name="Currency 2 2 2 2 4 3" xfId="5135" xr:uid="{D0720C6A-6317-44A4-9576-6343ACCB53C8}"/>
    <cellStyle name="Currency 2 2 2 2 4 3 2" xfId="6003" xr:uid="{5D7D1CFA-3AA7-4F65-9E83-E336F50AF376}"/>
    <cellStyle name="Currency 2 2 2 2 4 3 2 2" xfId="9475" xr:uid="{557349F2-2F92-4961-B279-08020D0CE9D4}"/>
    <cellStyle name="Currency 2 2 2 2 4 3 2 2 2" xfId="23526" xr:uid="{452197E1-EB2E-40E1-902B-62D6BA78BE1C}"/>
    <cellStyle name="Currency 2 2 2 2 4 3 2 3" xfId="12079" xr:uid="{6979F9D0-3CE5-4E4D-B4BF-58FE37F6E54A}"/>
    <cellStyle name="Currency 2 2 2 2 4 3 2 3 2" xfId="26130" xr:uid="{BDF4FD64-6987-4EF3-B289-728E8054D6D8}"/>
    <cellStyle name="Currency 2 2 2 2 4 3 2 4" xfId="20054" xr:uid="{41524344-DB4B-4AC5-A5F4-989C09865A42}"/>
    <cellStyle name="Currency 2 2 2 2 4 3 3" xfId="6871" xr:uid="{3A2A64F3-D007-4436-BF73-CFEE1725C3AB}"/>
    <cellStyle name="Currency 2 2 2 2 4 3 3 2" xfId="10343" xr:uid="{24CCC069-29B2-4254-A05A-5158BBFDBE57}"/>
    <cellStyle name="Currency 2 2 2 2 4 3 3 2 2" xfId="24394" xr:uid="{95433A2C-077A-4CFE-B036-605BDAE06E1A}"/>
    <cellStyle name="Currency 2 2 2 2 4 3 3 3" xfId="12947" xr:uid="{D03A65AE-AC7C-4EE1-B548-76845D9807D4}"/>
    <cellStyle name="Currency 2 2 2 2 4 3 3 3 2" xfId="26998" xr:uid="{480EFEE2-2249-46D4-8EE8-8E304FF6D95A}"/>
    <cellStyle name="Currency 2 2 2 2 4 3 3 4" xfId="20922" xr:uid="{9B2CE590-0FDC-45F0-A275-D157C3DD996C}"/>
    <cellStyle name="Currency 2 2 2 2 4 3 4" xfId="8607" xr:uid="{CA2F37FF-8DE8-4447-AD8F-14CF3A3675C8}"/>
    <cellStyle name="Currency 2 2 2 2 4 3 4 2" xfId="13815" xr:uid="{24B6B5A8-184A-4FD2-92C1-53E77757878B}"/>
    <cellStyle name="Currency 2 2 2 2 4 3 4 2 2" xfId="27866" xr:uid="{53B80C0F-633C-43A5-8D79-D2A3F8FDA2CF}"/>
    <cellStyle name="Currency 2 2 2 2 4 3 4 3" xfId="22658" xr:uid="{765C3635-3D4C-462A-AD90-569EC6A191A0}"/>
    <cellStyle name="Currency 2 2 2 2 4 3 5" xfId="7739" xr:uid="{992455CE-397F-4B09-BE5F-5A42B2475621}"/>
    <cellStyle name="Currency 2 2 2 2 4 3 5 2" xfId="21790" xr:uid="{2A28D868-8F27-4FB5-9982-D80AE4BAE36A}"/>
    <cellStyle name="Currency 2 2 2 2 4 3 6" xfId="11211" xr:uid="{99E84C72-AD1F-448B-A41F-3429EC3DF9DB}"/>
    <cellStyle name="Currency 2 2 2 2 4 3 6 2" xfId="25262" xr:uid="{608ABF80-D6E7-4789-BDD9-66C4E2B73BE1}"/>
    <cellStyle name="Currency 2 2 2 2 4 3 7" xfId="19186" xr:uid="{E912F1A5-5C6D-4CBB-89E8-3CE15E6EC3D0}"/>
    <cellStyle name="Currency 2 2 2 2 4 4" xfId="5569" xr:uid="{7421C922-B2E9-4D09-9915-393707302243}"/>
    <cellStyle name="Currency 2 2 2 2 4 4 2" xfId="9041" xr:uid="{3AAFF50D-7290-4542-B4D2-A71935BAC671}"/>
    <cellStyle name="Currency 2 2 2 2 4 4 2 2" xfId="23092" xr:uid="{5435DBB4-84A0-4365-8941-285B8212C921}"/>
    <cellStyle name="Currency 2 2 2 2 4 4 3" xfId="11645" xr:uid="{69F588B7-EA4F-4393-A5AE-1940ACB793EE}"/>
    <cellStyle name="Currency 2 2 2 2 4 4 3 2" xfId="25696" xr:uid="{1AD4F2DE-D885-4734-B29A-7CE4D286F36E}"/>
    <cellStyle name="Currency 2 2 2 2 4 4 4" xfId="19620" xr:uid="{142F7A77-6141-43AE-8C22-C93B8B9D8A57}"/>
    <cellStyle name="Currency 2 2 2 2 4 5" xfId="6437" xr:uid="{9A69A529-929A-4508-97F2-2CC530657F4D}"/>
    <cellStyle name="Currency 2 2 2 2 4 5 2" xfId="9909" xr:uid="{5BE65F1C-4D68-4A03-893A-71296EBFAACB}"/>
    <cellStyle name="Currency 2 2 2 2 4 5 2 2" xfId="23960" xr:uid="{D4D2F2D5-83F5-4DDE-ABF0-0C19C5697C6E}"/>
    <cellStyle name="Currency 2 2 2 2 4 5 3" xfId="12513" xr:uid="{F6643C13-5C44-4C49-ABEB-0370C72C19C5}"/>
    <cellStyle name="Currency 2 2 2 2 4 5 3 2" xfId="26564" xr:uid="{BBB8A5B1-D97D-4D33-B167-D5358B8C1C3B}"/>
    <cellStyle name="Currency 2 2 2 2 4 5 4" xfId="20488" xr:uid="{6ACE1F0E-CB58-4CFB-A2C5-CAC460E11186}"/>
    <cellStyle name="Currency 2 2 2 2 4 6" xfId="8173" xr:uid="{59828245-5AAC-4FF2-AE37-C73150A2ECC1}"/>
    <cellStyle name="Currency 2 2 2 2 4 6 2" xfId="13381" xr:uid="{B7DAF6BB-3F72-43FC-830F-AA16932BAC6C}"/>
    <cellStyle name="Currency 2 2 2 2 4 6 2 2" xfId="27432" xr:uid="{FF9FBE3F-D937-4C99-AAEA-B3F47347F8A5}"/>
    <cellStyle name="Currency 2 2 2 2 4 6 3" xfId="22224" xr:uid="{64AA6E5F-5E1E-49FB-A3FD-026D820FF79A}"/>
    <cellStyle name="Currency 2 2 2 2 4 7" xfId="7305" xr:uid="{EBB0BBC6-17B7-4E97-ABC0-8C0AF1573833}"/>
    <cellStyle name="Currency 2 2 2 2 4 7 2" xfId="21356" xr:uid="{410C9BA5-A19D-495F-9D68-F73F81C243D1}"/>
    <cellStyle name="Currency 2 2 2 2 4 8" xfId="10777" xr:uid="{787646F8-4A60-40A9-BB70-3B3E015DDDF1}"/>
    <cellStyle name="Currency 2 2 2 2 4 8 2" xfId="24828" xr:uid="{A2EEAC5B-B1B4-4775-A77A-708F32EAA099}"/>
    <cellStyle name="Currency 2 2 2 2 4 9" xfId="15729" xr:uid="{23D20B63-4888-4070-BC73-14A686AD29DA}"/>
    <cellStyle name="Currency 2 2 2 2 5" xfId="2599" xr:uid="{5172C56A-295F-46C9-9CD2-B59D600C2B65}"/>
    <cellStyle name="Currency 2 2 2 2 5 2" xfId="5215" xr:uid="{1E2AD59A-02CD-46F6-AF72-79DA6D6A8B58}"/>
    <cellStyle name="Currency 2 2 2 2 5 2 2" xfId="6083" xr:uid="{9CA11491-AB50-4266-A97F-D18250433A63}"/>
    <cellStyle name="Currency 2 2 2 2 5 2 2 2" xfId="9555" xr:uid="{9DEEBF92-C9A0-4015-8F36-BABF021971D9}"/>
    <cellStyle name="Currency 2 2 2 2 5 2 2 2 2" xfId="23606" xr:uid="{0D712AAB-76C2-49D3-8C48-15C254D22BB7}"/>
    <cellStyle name="Currency 2 2 2 2 5 2 2 3" xfId="12159" xr:uid="{158928D5-50F8-4234-8A2F-9E1BC90EE58B}"/>
    <cellStyle name="Currency 2 2 2 2 5 2 2 3 2" xfId="26210" xr:uid="{BB607575-93C6-4221-A169-8910CFE41F08}"/>
    <cellStyle name="Currency 2 2 2 2 5 2 2 4" xfId="20134" xr:uid="{24D0CFDB-6646-40A8-92F3-82A1A81A4211}"/>
    <cellStyle name="Currency 2 2 2 2 5 2 3" xfId="6951" xr:uid="{1C8278DC-CA2E-497D-BC7A-52EBAB860654}"/>
    <cellStyle name="Currency 2 2 2 2 5 2 3 2" xfId="10423" xr:uid="{89838D30-012F-47B3-9953-E65F38B558FD}"/>
    <cellStyle name="Currency 2 2 2 2 5 2 3 2 2" xfId="24474" xr:uid="{D86C81D4-454A-44A0-B165-A35ED31A1BC8}"/>
    <cellStyle name="Currency 2 2 2 2 5 2 3 3" xfId="13027" xr:uid="{50B1CB84-EA5D-420C-87E0-11D281CEA4EA}"/>
    <cellStyle name="Currency 2 2 2 2 5 2 3 3 2" xfId="27078" xr:uid="{1E55AD53-2A2D-4F61-886E-5BBD7E1954DE}"/>
    <cellStyle name="Currency 2 2 2 2 5 2 3 4" xfId="21002" xr:uid="{5D900E75-F479-4615-885B-8F0421870847}"/>
    <cellStyle name="Currency 2 2 2 2 5 2 4" xfId="8687" xr:uid="{74853881-BBEB-486A-B576-142151A847B5}"/>
    <cellStyle name="Currency 2 2 2 2 5 2 4 2" xfId="13895" xr:uid="{92CEE988-6717-4E07-AAC7-CEA05EA26DA8}"/>
    <cellStyle name="Currency 2 2 2 2 5 2 4 2 2" xfId="27946" xr:uid="{098194FF-7E05-4BE3-A0C1-F19CE2BB030B}"/>
    <cellStyle name="Currency 2 2 2 2 5 2 4 3" xfId="22738" xr:uid="{2F3F12F8-4193-4218-9D6C-1A00D18D5A8F}"/>
    <cellStyle name="Currency 2 2 2 2 5 2 5" xfId="7819" xr:uid="{7502FCDF-AE51-4F32-ACE9-11741CE5C647}"/>
    <cellStyle name="Currency 2 2 2 2 5 2 5 2" xfId="21870" xr:uid="{A709F973-9D28-4ECA-8DC3-02F981513E63}"/>
    <cellStyle name="Currency 2 2 2 2 5 2 6" xfId="11291" xr:uid="{975A0486-D9A1-4DF1-B1A0-4E6F318311EF}"/>
    <cellStyle name="Currency 2 2 2 2 5 2 6 2" xfId="25342" xr:uid="{61713F52-C62C-4A4E-95FF-C0025F295F02}"/>
    <cellStyle name="Currency 2 2 2 2 5 2 7" xfId="19266" xr:uid="{B3A2E893-ACC0-48BC-9DB5-2A33D12AD368}"/>
    <cellStyle name="Currency 2 2 2 2 5 3" xfId="5649" xr:uid="{55E47725-B6A5-4E8C-B3CB-5D95B76BB1BC}"/>
    <cellStyle name="Currency 2 2 2 2 5 3 2" xfId="9121" xr:uid="{CAF8BB1D-7F76-4D4D-A51C-FA535B2057F0}"/>
    <cellStyle name="Currency 2 2 2 2 5 3 2 2" xfId="23172" xr:uid="{8DB125CF-FEA5-4ABE-B8EC-882F466D4154}"/>
    <cellStyle name="Currency 2 2 2 2 5 3 3" xfId="11725" xr:uid="{EEDBE32D-37CE-4FF8-BFAD-B2643C6ED4C1}"/>
    <cellStyle name="Currency 2 2 2 2 5 3 3 2" xfId="25776" xr:uid="{3E99250B-B929-4733-AA5C-ED05DA9F3A2A}"/>
    <cellStyle name="Currency 2 2 2 2 5 3 4" xfId="19700" xr:uid="{D982E80D-DD89-4DA4-9343-F6263EFB8046}"/>
    <cellStyle name="Currency 2 2 2 2 5 4" xfId="6517" xr:uid="{844650EE-DFF3-47B8-8F9C-42E71F3F74B3}"/>
    <cellStyle name="Currency 2 2 2 2 5 4 2" xfId="9989" xr:uid="{AA03AEC2-A972-451A-B3A7-9416251CA61E}"/>
    <cellStyle name="Currency 2 2 2 2 5 4 2 2" xfId="24040" xr:uid="{7BE30375-B5BE-43D0-85E9-F5A863FFF43A}"/>
    <cellStyle name="Currency 2 2 2 2 5 4 3" xfId="12593" xr:uid="{EC43279E-7A7C-46B8-86EA-D80701462DDA}"/>
    <cellStyle name="Currency 2 2 2 2 5 4 3 2" xfId="26644" xr:uid="{FCC40E14-275F-44DF-B8E6-F8BCD22ACFF7}"/>
    <cellStyle name="Currency 2 2 2 2 5 4 4" xfId="20568" xr:uid="{B0047089-F33C-4E2E-8990-288A726E27B4}"/>
    <cellStyle name="Currency 2 2 2 2 5 5" xfId="8253" xr:uid="{D42778CA-98FD-48BA-9AFE-46E97602566F}"/>
    <cellStyle name="Currency 2 2 2 2 5 5 2" xfId="13461" xr:uid="{F59C05AE-2BAB-4CFD-8A00-FC7774DDA7C4}"/>
    <cellStyle name="Currency 2 2 2 2 5 5 2 2" xfId="27512" xr:uid="{72768907-7EF4-4894-9AC3-B3A08784705E}"/>
    <cellStyle name="Currency 2 2 2 2 5 5 3" xfId="22304" xr:uid="{C2D34B96-E483-4246-A524-1C84100C0BC6}"/>
    <cellStyle name="Currency 2 2 2 2 5 6" xfId="7385" xr:uid="{1E47D417-3E83-4778-AB5B-2C05096C148D}"/>
    <cellStyle name="Currency 2 2 2 2 5 6 2" xfId="21436" xr:uid="{ACB28FA6-9B18-4180-BE2F-5E9601513C54}"/>
    <cellStyle name="Currency 2 2 2 2 5 7" xfId="10857" xr:uid="{071715DF-2A15-4A13-8759-E583FBCE9482}"/>
    <cellStyle name="Currency 2 2 2 2 5 7 2" xfId="24908" xr:uid="{881A4EBA-5AF0-4F29-8AAA-AE68BD9E67F8}"/>
    <cellStyle name="Currency 2 2 2 2 5 8" xfId="16650" xr:uid="{7F2584CB-8F22-41C8-9216-344F6575D7C9}"/>
    <cellStyle name="Currency 2 2 2 2 6" xfId="4965" xr:uid="{558ACF7D-CCD6-4150-A467-9C706063EFAA}"/>
    <cellStyle name="Currency 2 2 2 2 6 2" xfId="5421" xr:uid="{A5F46363-49B2-41B3-95B3-DF406B9DE697}"/>
    <cellStyle name="Currency 2 2 2 2 6 2 2" xfId="6289" xr:uid="{276AE19C-A81A-40F1-9502-FB762367E016}"/>
    <cellStyle name="Currency 2 2 2 2 6 2 2 2" xfId="9761" xr:uid="{BB477533-281F-4D48-A4CC-A0746FEBBA52}"/>
    <cellStyle name="Currency 2 2 2 2 6 2 2 2 2" xfId="23812" xr:uid="{8C2405EF-A09C-4B05-8BC6-4646A0DD4E85}"/>
    <cellStyle name="Currency 2 2 2 2 6 2 2 3" xfId="12365" xr:uid="{68BEECB5-3709-403D-85E1-F89E2A8AAA57}"/>
    <cellStyle name="Currency 2 2 2 2 6 2 2 3 2" xfId="26416" xr:uid="{309B08F7-73CF-46A7-AD29-D5E05E0B6A88}"/>
    <cellStyle name="Currency 2 2 2 2 6 2 2 4" xfId="20340" xr:uid="{B60048D7-7BF4-4123-83E6-6899CD3A25F8}"/>
    <cellStyle name="Currency 2 2 2 2 6 2 3" xfId="7157" xr:uid="{ECCA5905-EFFC-4F86-91A5-A8DCF8405A74}"/>
    <cellStyle name="Currency 2 2 2 2 6 2 3 2" xfId="10629" xr:uid="{D3E6A05A-DA85-4D80-9531-1020AA95BCDB}"/>
    <cellStyle name="Currency 2 2 2 2 6 2 3 2 2" xfId="24680" xr:uid="{FFED0A21-AD87-4CE9-BF7F-CED646BA177C}"/>
    <cellStyle name="Currency 2 2 2 2 6 2 3 3" xfId="13233" xr:uid="{215133D4-9F06-4D28-B0B8-0CF03A2C8CC7}"/>
    <cellStyle name="Currency 2 2 2 2 6 2 3 3 2" xfId="27284" xr:uid="{7C31A77F-CC04-4ED6-B80D-59D8573ADB41}"/>
    <cellStyle name="Currency 2 2 2 2 6 2 3 4" xfId="21208" xr:uid="{522C68D8-8D72-4C70-8B19-266832FC9056}"/>
    <cellStyle name="Currency 2 2 2 2 6 2 4" xfId="8893" xr:uid="{7FCB9D27-113B-4249-9D6C-F35E18835EF8}"/>
    <cellStyle name="Currency 2 2 2 2 6 2 4 2" xfId="14101" xr:uid="{84866A4C-FDF7-47DF-AA8F-B6539BDAADCD}"/>
    <cellStyle name="Currency 2 2 2 2 6 2 4 2 2" xfId="28152" xr:uid="{6062D442-B4F5-4DE4-A08F-ECE2AF9AFC29}"/>
    <cellStyle name="Currency 2 2 2 2 6 2 4 3" xfId="22944" xr:uid="{2EE44A59-5711-4E5A-854C-35DBEE216730}"/>
    <cellStyle name="Currency 2 2 2 2 6 2 5" xfId="8025" xr:uid="{1D8D52DF-CE00-44CB-A09B-9809CF033A9E}"/>
    <cellStyle name="Currency 2 2 2 2 6 2 5 2" xfId="22076" xr:uid="{932AEEAF-45E3-4847-A790-D3137B8F26BA}"/>
    <cellStyle name="Currency 2 2 2 2 6 2 6" xfId="11497" xr:uid="{B6982802-6513-4E2C-BBD8-AF2A64556437}"/>
    <cellStyle name="Currency 2 2 2 2 6 2 6 2" xfId="25548" xr:uid="{3F45FAD1-F189-48FF-BB63-BC44BE51322D}"/>
    <cellStyle name="Currency 2 2 2 2 6 2 7" xfId="19472" xr:uid="{D6922D24-629E-4F6C-97D7-27E068356CC6}"/>
    <cellStyle name="Currency 2 2 2 2 6 3" xfId="5855" xr:uid="{C883E9E4-90B8-400A-AE31-FF1681DBCCDC}"/>
    <cellStyle name="Currency 2 2 2 2 6 3 2" xfId="9327" xr:uid="{88B59DEC-0699-4EEB-A7EB-2E79AF7B8D8F}"/>
    <cellStyle name="Currency 2 2 2 2 6 3 2 2" xfId="23378" xr:uid="{723C3AEA-69F8-4410-A86D-A79CAD4A1CAF}"/>
    <cellStyle name="Currency 2 2 2 2 6 3 3" xfId="11931" xr:uid="{06F0D134-F5FF-4B78-B1B7-22A023CD94F6}"/>
    <cellStyle name="Currency 2 2 2 2 6 3 3 2" xfId="25982" xr:uid="{06303EFF-0228-495D-B6A1-5FA3B3D07500}"/>
    <cellStyle name="Currency 2 2 2 2 6 3 4" xfId="19906" xr:uid="{B7FC3640-57B4-43B0-AE3D-47D1B3749DC5}"/>
    <cellStyle name="Currency 2 2 2 2 6 4" xfId="6723" xr:uid="{6614E1F0-ADC2-421E-8DD8-957FFDDB40AB}"/>
    <cellStyle name="Currency 2 2 2 2 6 4 2" xfId="10195" xr:uid="{BE58D0B3-20FC-44B6-8768-FCEAD95B1251}"/>
    <cellStyle name="Currency 2 2 2 2 6 4 2 2" xfId="24246" xr:uid="{7ED317FD-AEFB-41A2-A001-15E8E5A64C94}"/>
    <cellStyle name="Currency 2 2 2 2 6 4 3" xfId="12799" xr:uid="{EFA617B0-5DF1-4C50-85B4-CDFA92DA4770}"/>
    <cellStyle name="Currency 2 2 2 2 6 4 3 2" xfId="26850" xr:uid="{DBCF0091-39EE-4C14-A114-A5450D6E741D}"/>
    <cellStyle name="Currency 2 2 2 2 6 4 4" xfId="20774" xr:uid="{A6339174-FD4C-4B41-8413-B5338FAB5E30}"/>
    <cellStyle name="Currency 2 2 2 2 6 5" xfId="8459" xr:uid="{C97EB139-05CC-42E4-AEC3-D4DE3C8DF1C0}"/>
    <cellStyle name="Currency 2 2 2 2 6 5 2" xfId="13667" xr:uid="{E71227F8-44FA-4EB5-8D9D-21CD03E57F75}"/>
    <cellStyle name="Currency 2 2 2 2 6 5 2 2" xfId="27718" xr:uid="{783A0009-16C1-4FC8-A50E-28CE1DACF51C}"/>
    <cellStyle name="Currency 2 2 2 2 6 5 3" xfId="22510" xr:uid="{A32343E4-3D45-40BF-B19A-43D80DA79818}"/>
    <cellStyle name="Currency 2 2 2 2 6 6" xfId="7591" xr:uid="{79DD169F-A8F3-4DA6-AA72-023CFB132F28}"/>
    <cellStyle name="Currency 2 2 2 2 6 6 2" xfId="21642" xr:uid="{C815325A-112E-4D85-BE57-D4E41F453445}"/>
    <cellStyle name="Currency 2 2 2 2 6 7" xfId="11063" xr:uid="{AC1A05D3-C3CC-4C38-97EE-1EAB48D257B1}"/>
    <cellStyle name="Currency 2 2 2 2 6 7 2" xfId="25114" xr:uid="{94D0251E-F9C0-4595-AD93-5A4C06F938CC}"/>
    <cellStyle name="Currency 2 2 2 2 6 8" xfId="19017" xr:uid="{1F5493C9-B6E4-4D38-8D8B-870D068A92C2}"/>
    <cellStyle name="Currency 2 2 2 2 7" xfId="5021" xr:uid="{3F25CAD5-7AFD-4BEC-AF41-79ABEEBC8131}"/>
    <cellStyle name="Currency 2 2 2 2 7 2" xfId="5889" xr:uid="{D653D881-9057-4E22-A485-E3F730DD2173}"/>
    <cellStyle name="Currency 2 2 2 2 7 2 2" xfId="9361" xr:uid="{330FD50C-95BE-4E3F-AE9C-9A7BFBAB01B5}"/>
    <cellStyle name="Currency 2 2 2 2 7 2 2 2" xfId="23412" xr:uid="{1EB7A385-33A4-4A9E-A779-FC2392D3445C}"/>
    <cellStyle name="Currency 2 2 2 2 7 2 3" xfId="11965" xr:uid="{DBCD911A-8C77-41CA-BB26-EBA2F11B0370}"/>
    <cellStyle name="Currency 2 2 2 2 7 2 3 2" xfId="26016" xr:uid="{FE9A58FB-B50D-484C-B8DF-196992D2FBC1}"/>
    <cellStyle name="Currency 2 2 2 2 7 2 4" xfId="19940" xr:uid="{BA54B0F0-7A88-4295-9AD6-52D088BF9090}"/>
    <cellStyle name="Currency 2 2 2 2 7 3" xfId="6757" xr:uid="{D7AA9884-F610-4836-AF1D-BBF041035E62}"/>
    <cellStyle name="Currency 2 2 2 2 7 3 2" xfId="10229" xr:uid="{415CE28F-AE16-4105-969F-64F16458E019}"/>
    <cellStyle name="Currency 2 2 2 2 7 3 2 2" xfId="24280" xr:uid="{DBB89633-B173-458A-8F22-026B964C6E21}"/>
    <cellStyle name="Currency 2 2 2 2 7 3 3" xfId="12833" xr:uid="{F0125E79-70EB-4F5D-B745-4269BE05CE81}"/>
    <cellStyle name="Currency 2 2 2 2 7 3 3 2" xfId="26884" xr:uid="{2EA85876-E1A3-4F24-899F-F7D60DC890A7}"/>
    <cellStyle name="Currency 2 2 2 2 7 3 4" xfId="20808" xr:uid="{B278FEAA-F1E1-4A89-9E3D-DA9B5824F8AF}"/>
    <cellStyle name="Currency 2 2 2 2 7 4" xfId="8493" xr:uid="{02032B84-E398-4693-8A00-CF005577CFF1}"/>
    <cellStyle name="Currency 2 2 2 2 7 4 2" xfId="13701" xr:uid="{EFE761DE-F51D-453D-843B-F3F92ED5A451}"/>
    <cellStyle name="Currency 2 2 2 2 7 4 2 2" xfId="27752" xr:uid="{B79E7F6A-05D0-4570-8EB4-21B5258F1AAD}"/>
    <cellStyle name="Currency 2 2 2 2 7 4 3" xfId="22544" xr:uid="{AD257C83-7D1E-43DA-B8E9-5D4A381AD368}"/>
    <cellStyle name="Currency 2 2 2 2 7 5" xfId="7625" xr:uid="{C00943BC-18F2-46FD-B7E7-B5953230FF39}"/>
    <cellStyle name="Currency 2 2 2 2 7 5 2" xfId="21676" xr:uid="{14294668-1135-4F3E-85E4-BAF038021987}"/>
    <cellStyle name="Currency 2 2 2 2 7 6" xfId="11097" xr:uid="{15A01E48-24BD-475B-89F9-C142FD85D053}"/>
    <cellStyle name="Currency 2 2 2 2 7 6 2" xfId="25148" xr:uid="{5B51DE13-8DFE-4E24-AC9F-2E0BB376D4FD}"/>
    <cellStyle name="Currency 2 2 2 2 7 7" xfId="19072" xr:uid="{1E8D5EE6-863A-454D-98A4-9FDE01AD1A63}"/>
    <cellStyle name="Currency 2 2 2 2 8" xfId="5455" xr:uid="{BF3E9814-E09A-42B3-B796-C653AC13FA6B}"/>
    <cellStyle name="Currency 2 2 2 2 8 2" xfId="8927" xr:uid="{B2E0C81D-244B-4D67-B486-665925ADA11D}"/>
    <cellStyle name="Currency 2 2 2 2 8 2 2" xfId="22978" xr:uid="{100F506B-2A85-49A0-BC12-676BB6DB67BD}"/>
    <cellStyle name="Currency 2 2 2 2 8 3" xfId="11531" xr:uid="{DCE56100-8FAA-47E5-94AA-1A4F6F73282E}"/>
    <cellStyle name="Currency 2 2 2 2 8 3 2" xfId="25582" xr:uid="{CDF1FD25-C2C4-489D-A2DD-AD81844EF3ED}"/>
    <cellStyle name="Currency 2 2 2 2 8 4" xfId="19506" xr:uid="{22889682-7D38-40B5-9BB6-26DF5402842F}"/>
    <cellStyle name="Currency 2 2 2 2 9" xfId="6323" xr:uid="{3EF07F7F-BE12-48A3-906F-B20D0665016B}"/>
    <cellStyle name="Currency 2 2 2 2 9 2" xfId="9795" xr:uid="{1260995E-7F6B-493C-A198-F1E13A8B083D}"/>
    <cellStyle name="Currency 2 2 2 2 9 2 2" xfId="23846" xr:uid="{9669C2CB-5539-4F80-97EB-5763B7261EF1}"/>
    <cellStyle name="Currency 2 2 2 2 9 3" xfId="12399" xr:uid="{CA9C0310-F624-47C3-A30A-6CD4D216CBB5}"/>
    <cellStyle name="Currency 2 2 2 2 9 3 2" xfId="26450" xr:uid="{0AE381D4-7179-4F0A-8244-16BFFDB144B6}"/>
    <cellStyle name="Currency 2 2 2 2 9 4" xfId="20374" xr:uid="{6302E2C3-8633-4907-A6BC-7547992C872E}"/>
    <cellStyle name="Currency 2 2 2 3" xfId="573" xr:uid="{CD998E2E-99CE-40EC-83B9-601FBAB9A6B4}"/>
    <cellStyle name="Currency 2 2 2 3 10" xfId="10678" xr:uid="{52EF14E1-DA4F-42FD-A6E4-0576875D80C4}"/>
    <cellStyle name="Currency 2 2 2 3 10 2" xfId="24729" xr:uid="{FD260D6F-29C7-44DD-A09E-E0FBE3B34E9E}"/>
    <cellStyle name="Currency 2 2 2 3 11" xfId="14628" xr:uid="{9DEB4F2E-5D99-48B1-A2E4-D7B61C29EB09}"/>
    <cellStyle name="Currency 2 2 2 3 2" xfId="1506" xr:uid="{47CBBA6C-C1E7-4ADF-BD78-B7CFAE4A2101}"/>
    <cellStyle name="Currency 2 2 2 3 2 2" xfId="3696" xr:uid="{D7DC94AE-2D29-4E9F-ACE9-3F15D0820723}"/>
    <cellStyle name="Currency 2 2 2 3 2 2 2" xfId="5311" xr:uid="{13AAB697-998C-41D5-9B90-470E2E2EB65B}"/>
    <cellStyle name="Currency 2 2 2 3 2 2 2 2" xfId="6179" xr:uid="{C18DA0F1-B091-4525-B772-3F5911E2C355}"/>
    <cellStyle name="Currency 2 2 2 3 2 2 2 2 2" xfId="9651" xr:uid="{CD911287-CE00-4CEC-A741-23149574F2D1}"/>
    <cellStyle name="Currency 2 2 2 3 2 2 2 2 2 2" xfId="23702" xr:uid="{FC16041B-1FDC-49BC-B955-D4CDDFBF2A7E}"/>
    <cellStyle name="Currency 2 2 2 3 2 2 2 2 3" xfId="12255" xr:uid="{8957A072-B829-4A5E-88F0-3CD01A962372}"/>
    <cellStyle name="Currency 2 2 2 3 2 2 2 2 3 2" xfId="26306" xr:uid="{09D26679-4D4D-433F-A831-8FAA002847B7}"/>
    <cellStyle name="Currency 2 2 2 3 2 2 2 2 4" xfId="20230" xr:uid="{51B0594B-EC36-48F9-9352-D5DB3A9D2FDC}"/>
    <cellStyle name="Currency 2 2 2 3 2 2 2 3" xfId="7047" xr:uid="{C6FF7AC0-85AA-45C9-B8B5-C693D01DD439}"/>
    <cellStyle name="Currency 2 2 2 3 2 2 2 3 2" xfId="10519" xr:uid="{6FBBA3E3-B027-4D8B-A580-206F71BF5411}"/>
    <cellStyle name="Currency 2 2 2 3 2 2 2 3 2 2" xfId="24570" xr:uid="{2D29D719-32D1-4B52-AF64-DDF437B693FD}"/>
    <cellStyle name="Currency 2 2 2 3 2 2 2 3 3" xfId="13123" xr:uid="{98E977FB-A012-479A-8AE3-009C277568DF}"/>
    <cellStyle name="Currency 2 2 2 3 2 2 2 3 3 2" xfId="27174" xr:uid="{4616EAF1-1C67-48CB-ABAC-1F1A3CCD01BA}"/>
    <cellStyle name="Currency 2 2 2 3 2 2 2 3 4" xfId="21098" xr:uid="{2ACC246F-BC1C-4517-B8B7-F67D56B2E647}"/>
    <cellStyle name="Currency 2 2 2 3 2 2 2 4" xfId="8783" xr:uid="{68DCDF80-8F45-4D6B-A1E9-62139A7522D1}"/>
    <cellStyle name="Currency 2 2 2 3 2 2 2 4 2" xfId="13991" xr:uid="{54805969-D2E5-43C6-8E9B-0FF807262168}"/>
    <cellStyle name="Currency 2 2 2 3 2 2 2 4 2 2" xfId="28042" xr:uid="{116BBB0F-40F3-4953-926D-BFE3192A7F06}"/>
    <cellStyle name="Currency 2 2 2 3 2 2 2 4 3" xfId="22834" xr:uid="{45F5C49F-AC2A-4C8C-B0F2-689415043608}"/>
    <cellStyle name="Currency 2 2 2 3 2 2 2 5" xfId="7915" xr:uid="{67CB5495-2F09-43F2-A5D6-3EF351ACD5A2}"/>
    <cellStyle name="Currency 2 2 2 3 2 2 2 5 2" xfId="21966" xr:uid="{40CE9AC0-97FA-4D19-8815-1B0353405C42}"/>
    <cellStyle name="Currency 2 2 2 3 2 2 2 6" xfId="11387" xr:uid="{CFE3ECE8-9582-45AF-8C3C-57C2905012EE}"/>
    <cellStyle name="Currency 2 2 2 3 2 2 2 6 2" xfId="25438" xr:uid="{44227E71-48B5-4F29-AFAE-02782959906E}"/>
    <cellStyle name="Currency 2 2 2 3 2 2 2 7" xfId="19362" xr:uid="{65F0B445-B680-4A7A-80EC-F4527AC3087C}"/>
    <cellStyle name="Currency 2 2 2 3 2 2 3" xfId="5745" xr:uid="{F674913B-F48A-481E-978D-FE6140088D04}"/>
    <cellStyle name="Currency 2 2 2 3 2 2 3 2" xfId="9217" xr:uid="{3DECEC71-30F3-48E0-8607-D57C693E2CED}"/>
    <cellStyle name="Currency 2 2 2 3 2 2 3 2 2" xfId="23268" xr:uid="{64A249BA-4FB4-4A3C-A8DC-EC5F7F883870}"/>
    <cellStyle name="Currency 2 2 2 3 2 2 3 3" xfId="11821" xr:uid="{1FA82152-AABD-4D29-82AE-D77E43FB22FF}"/>
    <cellStyle name="Currency 2 2 2 3 2 2 3 3 2" xfId="25872" xr:uid="{CA7D6C75-025B-4CA9-9016-19DE2CDD04EE}"/>
    <cellStyle name="Currency 2 2 2 3 2 2 3 4" xfId="19796" xr:uid="{C3EFA6A1-1F27-4961-B8E5-C7B19FC1290F}"/>
    <cellStyle name="Currency 2 2 2 3 2 2 4" xfId="6613" xr:uid="{E5EB4C91-8AA9-43D0-B2FB-90F55DB39089}"/>
    <cellStyle name="Currency 2 2 2 3 2 2 4 2" xfId="10085" xr:uid="{69A19F82-AC07-4261-9FB8-68ACB448F9DA}"/>
    <cellStyle name="Currency 2 2 2 3 2 2 4 2 2" xfId="24136" xr:uid="{B3849C59-0A4A-43EF-B867-1157889C6633}"/>
    <cellStyle name="Currency 2 2 2 3 2 2 4 3" xfId="12689" xr:uid="{0A99E7F3-0079-4581-9CDE-3FACE5BFCDBE}"/>
    <cellStyle name="Currency 2 2 2 3 2 2 4 3 2" xfId="26740" xr:uid="{EE94EEEC-A6E1-4C69-9197-0D917224A9BA}"/>
    <cellStyle name="Currency 2 2 2 3 2 2 4 4" xfId="20664" xr:uid="{16AF3A1F-2625-43AC-B59D-B99B5323D8D2}"/>
    <cellStyle name="Currency 2 2 2 3 2 2 5" xfId="8349" xr:uid="{5079E516-D4C4-4CC8-B558-ED36ED45F612}"/>
    <cellStyle name="Currency 2 2 2 3 2 2 5 2" xfId="13557" xr:uid="{37033B11-5DF0-4A13-AD81-E7F0FF25BC65}"/>
    <cellStyle name="Currency 2 2 2 3 2 2 5 2 2" xfId="27608" xr:uid="{5BABF52D-E01D-43D5-A059-C28E20FA7D1D}"/>
    <cellStyle name="Currency 2 2 2 3 2 2 5 3" xfId="22400" xr:uid="{EA2EAC0F-6D24-43DF-9623-37FB6664DAD3}"/>
    <cellStyle name="Currency 2 2 2 3 2 2 6" xfId="7481" xr:uid="{72A08024-E160-44AC-A9A1-2124DF610125}"/>
    <cellStyle name="Currency 2 2 2 3 2 2 6 2" xfId="21532" xr:uid="{6CD23C37-8E91-4D02-9C4C-3B2280787FE5}"/>
    <cellStyle name="Currency 2 2 2 3 2 2 7" xfId="10953" xr:uid="{844B1A5D-A494-49C0-8F9E-451D286726FE}"/>
    <cellStyle name="Currency 2 2 2 3 2 2 7 2" xfId="25004" xr:uid="{840468D6-D139-466D-9608-F2BA05A15B10}"/>
    <cellStyle name="Currency 2 2 2 3 2 2 8" xfId="17749" xr:uid="{CD364016-36D7-44FE-8D40-3020DFD4CC18}"/>
    <cellStyle name="Currency 2 2 2 3 2 3" xfId="5120" xr:uid="{223F3443-8562-43DE-8BAF-208DBFC94616}"/>
    <cellStyle name="Currency 2 2 2 3 2 3 2" xfId="5988" xr:uid="{10C1839F-FFC9-493F-B607-8A6EF568AD9E}"/>
    <cellStyle name="Currency 2 2 2 3 2 3 2 2" xfId="9460" xr:uid="{75A14E64-A236-409E-83DE-4D92B6E50629}"/>
    <cellStyle name="Currency 2 2 2 3 2 3 2 2 2" xfId="23511" xr:uid="{E7A33014-3715-4463-8082-FF1AD1310C34}"/>
    <cellStyle name="Currency 2 2 2 3 2 3 2 3" xfId="12064" xr:uid="{1C5DDAC3-5C53-4425-99AE-10D4BC35AC62}"/>
    <cellStyle name="Currency 2 2 2 3 2 3 2 3 2" xfId="26115" xr:uid="{9E888D5E-A70B-435E-9274-CEEB6E0CC5DF}"/>
    <cellStyle name="Currency 2 2 2 3 2 3 2 4" xfId="20039" xr:uid="{3CFE67AC-02BD-4AE5-9B4B-4AE86D83DA78}"/>
    <cellStyle name="Currency 2 2 2 3 2 3 3" xfId="6856" xr:uid="{10DA81A5-956E-450A-B392-8E698983077C}"/>
    <cellStyle name="Currency 2 2 2 3 2 3 3 2" xfId="10328" xr:uid="{1045F6D2-FEB0-4293-A5EA-73A84837D812}"/>
    <cellStyle name="Currency 2 2 2 3 2 3 3 2 2" xfId="24379" xr:uid="{E429EA62-EBC8-4FDC-BED9-AB8C3C20A9BA}"/>
    <cellStyle name="Currency 2 2 2 3 2 3 3 3" xfId="12932" xr:uid="{648962C5-15AA-4D81-8209-59A61A19E06A}"/>
    <cellStyle name="Currency 2 2 2 3 2 3 3 3 2" xfId="26983" xr:uid="{737981F9-A07C-4354-9AA4-2B079B45CF9A}"/>
    <cellStyle name="Currency 2 2 2 3 2 3 3 4" xfId="20907" xr:uid="{8CE82823-7FD0-4467-AA17-D006F225EDB1}"/>
    <cellStyle name="Currency 2 2 2 3 2 3 4" xfId="8592" xr:uid="{D34B91F7-FD1B-466B-8A45-307707BE5B6E}"/>
    <cellStyle name="Currency 2 2 2 3 2 3 4 2" xfId="13800" xr:uid="{750E667A-B970-4162-9538-E31E56A9ED49}"/>
    <cellStyle name="Currency 2 2 2 3 2 3 4 2 2" xfId="27851" xr:uid="{803E680A-820E-4E68-B20A-6D54F6C0862B}"/>
    <cellStyle name="Currency 2 2 2 3 2 3 4 3" xfId="22643" xr:uid="{9BA8CCA2-18C0-485B-A535-E380BD68BD13}"/>
    <cellStyle name="Currency 2 2 2 3 2 3 5" xfId="7724" xr:uid="{59F833A2-03DC-44CC-B6C7-2129C7D77F20}"/>
    <cellStyle name="Currency 2 2 2 3 2 3 5 2" xfId="21775" xr:uid="{14907B06-AEBC-403A-A075-0F12D6C4D653}"/>
    <cellStyle name="Currency 2 2 2 3 2 3 6" xfId="11196" xr:uid="{D46845BE-A617-4852-8C2A-B21F287C4A44}"/>
    <cellStyle name="Currency 2 2 2 3 2 3 6 2" xfId="25247" xr:uid="{F7A09AB7-4EE6-482F-A4CF-6D600E5D45A5}"/>
    <cellStyle name="Currency 2 2 2 3 2 3 7" xfId="19171" xr:uid="{BA42B878-D667-4D20-AC2B-62685EB453C5}"/>
    <cellStyle name="Currency 2 2 2 3 2 4" xfId="5554" xr:uid="{719C8F7C-F434-43F0-8B60-B577228CD715}"/>
    <cellStyle name="Currency 2 2 2 3 2 4 2" xfId="9026" xr:uid="{6421C956-EB23-4CF4-9E5C-920B894D41F8}"/>
    <cellStyle name="Currency 2 2 2 3 2 4 2 2" xfId="23077" xr:uid="{4E8A425B-31B7-44E1-A8E3-67C11AA45D77}"/>
    <cellStyle name="Currency 2 2 2 3 2 4 3" xfId="11630" xr:uid="{769C16E4-F872-4ED9-BEB6-14CFF0FDE68E}"/>
    <cellStyle name="Currency 2 2 2 3 2 4 3 2" xfId="25681" xr:uid="{B7CC1010-E339-4624-B491-87D36532C2D9}"/>
    <cellStyle name="Currency 2 2 2 3 2 4 4" xfId="19605" xr:uid="{4F47A347-449F-4ABB-973B-820BF26F55AE}"/>
    <cellStyle name="Currency 2 2 2 3 2 5" xfId="6422" xr:uid="{00A91A24-5FE2-46AC-BA59-2413E5B42BFF}"/>
    <cellStyle name="Currency 2 2 2 3 2 5 2" xfId="9894" xr:uid="{5557C303-E60D-49C1-8696-EA65772F1E15}"/>
    <cellStyle name="Currency 2 2 2 3 2 5 2 2" xfId="23945" xr:uid="{CC0A236A-CF46-4EF3-84FE-23E7E2C01BDD}"/>
    <cellStyle name="Currency 2 2 2 3 2 5 3" xfId="12498" xr:uid="{C9A08651-10EA-4A92-862E-1CF64124F8D9}"/>
    <cellStyle name="Currency 2 2 2 3 2 5 3 2" xfId="26549" xr:uid="{0A3D4645-1000-4C79-9165-DAAE20BCE502}"/>
    <cellStyle name="Currency 2 2 2 3 2 5 4" xfId="20473" xr:uid="{57BEA437-09EA-4F61-A11F-047F4AD21D40}"/>
    <cellStyle name="Currency 2 2 2 3 2 6" xfId="8158" xr:uid="{3A6C7219-B889-4DEB-BEA9-26AB59C78D8D}"/>
    <cellStyle name="Currency 2 2 2 3 2 6 2" xfId="13366" xr:uid="{EA7D3E49-1811-4105-B821-FA3C9E12095C}"/>
    <cellStyle name="Currency 2 2 2 3 2 6 2 2" xfId="27417" xr:uid="{BC9B3B60-6F95-476D-A85D-4136608C7E97}"/>
    <cellStyle name="Currency 2 2 2 3 2 6 3" xfId="22209" xr:uid="{8B5B45A8-483C-4BCE-A46C-4A2329660368}"/>
    <cellStyle name="Currency 2 2 2 3 2 7" xfId="7290" xr:uid="{CABE2116-FA5E-4097-AB99-FDDC12BA5827}"/>
    <cellStyle name="Currency 2 2 2 3 2 7 2" xfId="21341" xr:uid="{BDB85046-1F34-4E41-86A5-445C73B64069}"/>
    <cellStyle name="Currency 2 2 2 3 2 8" xfId="10762" xr:uid="{CDE84D32-B978-4FC4-81BE-3A66AAC52D8A}"/>
    <cellStyle name="Currency 2 2 2 3 2 8 2" xfId="24813" xr:uid="{EFF392EE-22F7-4549-99A9-B6B9AF54E7BA}"/>
    <cellStyle name="Currency 2 2 2 3 2 9" xfId="15555" xr:uid="{5E57BC69-4A6D-4B01-87C7-BB4AA5B924E2}"/>
    <cellStyle name="Currency 2 2 2 3 3" xfId="2772" xr:uid="{C075B04E-6A3E-4F9F-AC3A-2DD61E669AF7}"/>
    <cellStyle name="Currency 2 2 2 3 3 2" xfId="5230" xr:uid="{3747E58B-7632-434D-8342-6565CC2A9DEC}"/>
    <cellStyle name="Currency 2 2 2 3 3 2 2" xfId="6098" xr:uid="{6227DACC-6221-4D13-BA07-BA338CC135F3}"/>
    <cellStyle name="Currency 2 2 2 3 3 2 2 2" xfId="9570" xr:uid="{5FA36C78-9ECE-4111-8A56-E3B7C592A3EC}"/>
    <cellStyle name="Currency 2 2 2 3 3 2 2 2 2" xfId="23621" xr:uid="{400929FA-06A8-416A-8572-FF8042D2BC24}"/>
    <cellStyle name="Currency 2 2 2 3 3 2 2 3" xfId="12174" xr:uid="{0AB071C0-8298-4D32-8CA2-A0A6031D899D}"/>
    <cellStyle name="Currency 2 2 2 3 3 2 2 3 2" xfId="26225" xr:uid="{C60DF09A-C33E-4184-9399-D24AF33FF1D5}"/>
    <cellStyle name="Currency 2 2 2 3 3 2 2 4" xfId="20149" xr:uid="{A22946BC-8D14-4D0A-AD6B-E2F314BFDB97}"/>
    <cellStyle name="Currency 2 2 2 3 3 2 3" xfId="6966" xr:uid="{50CDDC8D-15AF-4887-8646-2FEC0655A668}"/>
    <cellStyle name="Currency 2 2 2 3 3 2 3 2" xfId="10438" xr:uid="{319080D0-26E7-41F5-ADA0-B30DDD0917A8}"/>
    <cellStyle name="Currency 2 2 2 3 3 2 3 2 2" xfId="24489" xr:uid="{FD0D7EF4-8EE1-416A-9AF6-773A20933770}"/>
    <cellStyle name="Currency 2 2 2 3 3 2 3 3" xfId="13042" xr:uid="{23A7FD4D-FB60-4C99-BEA6-539C988DC206}"/>
    <cellStyle name="Currency 2 2 2 3 3 2 3 3 2" xfId="27093" xr:uid="{DC2D0863-0C5A-45D1-9596-1E4B98896872}"/>
    <cellStyle name="Currency 2 2 2 3 3 2 3 4" xfId="21017" xr:uid="{591851A0-0C8A-45B9-BF8B-A7D39B08A425}"/>
    <cellStyle name="Currency 2 2 2 3 3 2 4" xfId="8702" xr:uid="{CF558DBD-5F23-4238-9182-6DAC6C8D5B4B}"/>
    <cellStyle name="Currency 2 2 2 3 3 2 4 2" xfId="13910" xr:uid="{CCC0DD62-29B7-408B-A472-C89A210E8C8A}"/>
    <cellStyle name="Currency 2 2 2 3 3 2 4 2 2" xfId="27961" xr:uid="{6B068ED2-830E-4CA6-899F-D562A273E700}"/>
    <cellStyle name="Currency 2 2 2 3 3 2 4 3" xfId="22753" xr:uid="{710BAFE9-B759-4B06-ADB9-1EE79A4F7D27}"/>
    <cellStyle name="Currency 2 2 2 3 3 2 5" xfId="7834" xr:uid="{6A03085A-67C8-43EF-8930-C171085AA2F7}"/>
    <cellStyle name="Currency 2 2 2 3 3 2 5 2" xfId="21885" xr:uid="{2022AA25-3328-4828-BAEC-265430CFA9F7}"/>
    <cellStyle name="Currency 2 2 2 3 3 2 6" xfId="11306" xr:uid="{AF92422B-7355-49E0-A4D4-D7F01B7450F3}"/>
    <cellStyle name="Currency 2 2 2 3 3 2 6 2" xfId="25357" xr:uid="{4A21CBC6-2455-4AB5-A888-2EDEBC79F741}"/>
    <cellStyle name="Currency 2 2 2 3 3 2 7" xfId="19281" xr:uid="{B196A1D8-5863-4B0B-8782-FFBE40610AFF}"/>
    <cellStyle name="Currency 2 2 2 3 3 3" xfId="5664" xr:uid="{F3EDA3B8-57FD-4883-BB29-2F68BE8FCEEF}"/>
    <cellStyle name="Currency 2 2 2 3 3 3 2" xfId="9136" xr:uid="{E4E5FF4A-6888-4849-AE7E-F864F2A6E307}"/>
    <cellStyle name="Currency 2 2 2 3 3 3 2 2" xfId="23187" xr:uid="{95F17BD8-0D89-4DF5-BF14-2968821879BB}"/>
    <cellStyle name="Currency 2 2 2 3 3 3 3" xfId="11740" xr:uid="{84296758-EBF8-4DCB-AB03-09389D04BFC7}"/>
    <cellStyle name="Currency 2 2 2 3 3 3 3 2" xfId="25791" xr:uid="{B7EC8F0E-4D64-4320-9009-D0D3E81257B3}"/>
    <cellStyle name="Currency 2 2 2 3 3 3 4" xfId="19715" xr:uid="{BD58224E-467D-444C-850B-F332E6FC030A}"/>
    <cellStyle name="Currency 2 2 2 3 3 4" xfId="6532" xr:uid="{1CEF071E-F98F-4B71-8B63-B2927F8FD94A}"/>
    <cellStyle name="Currency 2 2 2 3 3 4 2" xfId="10004" xr:uid="{B76D4D18-2C74-44E2-B7F4-9115709E2539}"/>
    <cellStyle name="Currency 2 2 2 3 3 4 2 2" xfId="24055" xr:uid="{0259037D-90E7-4EB7-BDF8-AB7817FCF30C}"/>
    <cellStyle name="Currency 2 2 2 3 3 4 3" xfId="12608" xr:uid="{09D84E0F-F2C6-4330-8D0A-3C158B0E1D2A}"/>
    <cellStyle name="Currency 2 2 2 3 3 4 3 2" xfId="26659" xr:uid="{351616AE-CB4C-4EA9-85B9-6586B3E5FE82}"/>
    <cellStyle name="Currency 2 2 2 3 3 4 4" xfId="20583" xr:uid="{1CC85AF2-152A-4B89-A82F-82458345C5C8}"/>
    <cellStyle name="Currency 2 2 2 3 3 5" xfId="8268" xr:uid="{3022691C-E034-4877-BAA5-F7DC817CC381}"/>
    <cellStyle name="Currency 2 2 2 3 3 5 2" xfId="13476" xr:uid="{7A6706EF-9108-465C-B2BD-D9375EF30B5E}"/>
    <cellStyle name="Currency 2 2 2 3 3 5 2 2" xfId="27527" xr:uid="{D627218C-3822-47EB-989B-CB030C36A7B0}"/>
    <cellStyle name="Currency 2 2 2 3 3 5 3" xfId="22319" xr:uid="{FAA7435A-0F7D-4D83-B138-B438E60DD466}"/>
    <cellStyle name="Currency 2 2 2 3 3 6" xfId="7400" xr:uid="{563C43AF-1526-4248-920A-1AB2CB15202C}"/>
    <cellStyle name="Currency 2 2 2 3 3 6 2" xfId="21451" xr:uid="{048BE8B6-D8C2-43B2-BF51-DBD445B21317}"/>
    <cellStyle name="Currency 2 2 2 3 3 7" xfId="10872" xr:uid="{417BA0D4-58F7-4E57-B3C1-5447F2A1B036}"/>
    <cellStyle name="Currency 2 2 2 3 3 7 2" xfId="24923" xr:uid="{FF5804AA-D636-4F7E-8E8E-7E6E6C0D6F1A}"/>
    <cellStyle name="Currency 2 2 2 3 3 8" xfId="16823" xr:uid="{787A62E7-E6A0-48EC-8DB3-CC191AFE9C76}"/>
    <cellStyle name="Currency 2 2 2 3 4" xfId="4791" xr:uid="{B184F7B7-7112-449D-95F5-FE6753FC739F}"/>
    <cellStyle name="Currency 2 2 2 3 4 2" xfId="5406" xr:uid="{49FC92DC-2229-4505-AD2D-40E615E87E27}"/>
    <cellStyle name="Currency 2 2 2 3 4 2 2" xfId="6274" xr:uid="{E01BC458-75E5-46EC-9318-A34590B52612}"/>
    <cellStyle name="Currency 2 2 2 3 4 2 2 2" xfId="9746" xr:uid="{F2768D67-5BB3-441E-9BAF-3826AFA0C67C}"/>
    <cellStyle name="Currency 2 2 2 3 4 2 2 2 2" xfId="23797" xr:uid="{8FDBEBEF-FA0F-4B82-AEF4-A68529873CB4}"/>
    <cellStyle name="Currency 2 2 2 3 4 2 2 3" xfId="12350" xr:uid="{85461B01-B432-4C0C-BD54-98E93D6271FA}"/>
    <cellStyle name="Currency 2 2 2 3 4 2 2 3 2" xfId="26401" xr:uid="{4C27849F-9B98-4725-BD47-4E140045E044}"/>
    <cellStyle name="Currency 2 2 2 3 4 2 2 4" xfId="20325" xr:uid="{81AD3909-D2A5-421D-A392-5AE8F612710F}"/>
    <cellStyle name="Currency 2 2 2 3 4 2 3" xfId="7142" xr:uid="{ABF40B61-2226-4018-9B48-EAB80A86BB2C}"/>
    <cellStyle name="Currency 2 2 2 3 4 2 3 2" xfId="10614" xr:uid="{359988C4-5B16-4EED-A035-3C908B2911AC}"/>
    <cellStyle name="Currency 2 2 2 3 4 2 3 2 2" xfId="24665" xr:uid="{16990A0B-0B77-4C85-A88B-B2DB3A7009CA}"/>
    <cellStyle name="Currency 2 2 2 3 4 2 3 3" xfId="13218" xr:uid="{2CA01632-1E31-4A2B-BCC9-1607B844F488}"/>
    <cellStyle name="Currency 2 2 2 3 4 2 3 3 2" xfId="27269" xr:uid="{AFB36346-C511-4F60-98F6-DEAABB24ED43}"/>
    <cellStyle name="Currency 2 2 2 3 4 2 3 4" xfId="21193" xr:uid="{F0D9FB42-7CBF-463D-9319-971E9C28B8FE}"/>
    <cellStyle name="Currency 2 2 2 3 4 2 4" xfId="8878" xr:uid="{03AEC894-531F-45F1-8E2B-0E4E951DD387}"/>
    <cellStyle name="Currency 2 2 2 3 4 2 4 2" xfId="14086" xr:uid="{A49CF6A4-0D1A-4DE8-9C2F-634A61842B7E}"/>
    <cellStyle name="Currency 2 2 2 3 4 2 4 2 2" xfId="28137" xr:uid="{D2F5286C-6AE8-4404-88BD-24D44A62F53A}"/>
    <cellStyle name="Currency 2 2 2 3 4 2 4 3" xfId="22929" xr:uid="{06B8A584-1999-4F93-8B64-028FDC61C2C0}"/>
    <cellStyle name="Currency 2 2 2 3 4 2 5" xfId="8010" xr:uid="{7B33707A-A832-4399-8A11-516063AFB045}"/>
    <cellStyle name="Currency 2 2 2 3 4 2 5 2" xfId="22061" xr:uid="{4E41D395-3A3B-471B-A31E-E8E5324ADC8B}"/>
    <cellStyle name="Currency 2 2 2 3 4 2 6" xfId="11482" xr:uid="{B092B1BE-6D79-4E9E-A3A5-430B2BEB1539}"/>
    <cellStyle name="Currency 2 2 2 3 4 2 6 2" xfId="25533" xr:uid="{EE040342-F137-49D8-950C-42AFBE82FC9B}"/>
    <cellStyle name="Currency 2 2 2 3 4 2 7" xfId="19457" xr:uid="{E11F64A9-ECB1-4457-BF2B-F1B4506EDAAD}"/>
    <cellStyle name="Currency 2 2 2 3 4 3" xfId="5840" xr:uid="{A0F1931E-92C4-4A1C-90BB-38FA64E1C9C2}"/>
    <cellStyle name="Currency 2 2 2 3 4 3 2" xfId="9312" xr:uid="{B77B5FE1-577C-4A3B-95AC-F5CB54DC5CDD}"/>
    <cellStyle name="Currency 2 2 2 3 4 3 2 2" xfId="23363" xr:uid="{8D5501B8-64F5-4B87-B004-942412BB5A14}"/>
    <cellStyle name="Currency 2 2 2 3 4 3 3" xfId="11916" xr:uid="{0CC7E402-C657-4294-B14A-5191AE876B28}"/>
    <cellStyle name="Currency 2 2 2 3 4 3 3 2" xfId="25967" xr:uid="{5C484779-9B44-4272-A7ED-50D3F8B6414A}"/>
    <cellStyle name="Currency 2 2 2 3 4 3 4" xfId="19891" xr:uid="{322AA5AC-B368-4464-A13C-64B3C998B84F}"/>
    <cellStyle name="Currency 2 2 2 3 4 4" xfId="6708" xr:uid="{486D0479-E00A-4DE3-AF35-6BAF11C3A600}"/>
    <cellStyle name="Currency 2 2 2 3 4 4 2" xfId="10180" xr:uid="{7F2E59BF-D85C-4E8B-AD1F-A1BB3289E116}"/>
    <cellStyle name="Currency 2 2 2 3 4 4 2 2" xfId="24231" xr:uid="{97E26EEF-F5A4-44E1-9DE9-D3A6B7A3A191}"/>
    <cellStyle name="Currency 2 2 2 3 4 4 3" xfId="12784" xr:uid="{AEB331EE-D976-407D-B2B4-819F61E27E4E}"/>
    <cellStyle name="Currency 2 2 2 3 4 4 3 2" xfId="26835" xr:uid="{58889C63-BC2E-44BC-8DA0-0AFC2486D492}"/>
    <cellStyle name="Currency 2 2 2 3 4 4 4" xfId="20759" xr:uid="{84C33358-D0F4-4B90-AA3B-A6015FF43355}"/>
    <cellStyle name="Currency 2 2 2 3 4 5" xfId="8444" xr:uid="{95F4E312-7BC1-495A-BEB6-855BF5EDEC1A}"/>
    <cellStyle name="Currency 2 2 2 3 4 5 2" xfId="13652" xr:uid="{0CEB2F3E-B178-472C-94A2-5701D626DE22}"/>
    <cellStyle name="Currency 2 2 2 3 4 5 2 2" xfId="27703" xr:uid="{9BAE1C9B-3F26-44D9-9EA6-7AB9145C5E63}"/>
    <cellStyle name="Currency 2 2 2 3 4 5 3" xfId="22495" xr:uid="{51AE1FC1-27A4-4F31-AE5C-86F576D60D6E}"/>
    <cellStyle name="Currency 2 2 2 3 4 6" xfId="7576" xr:uid="{1DBEDE4E-C823-4AB5-86D2-E71CE0BE6F89}"/>
    <cellStyle name="Currency 2 2 2 3 4 6 2" xfId="21627" xr:uid="{B26B5AEF-4FF5-4AAA-BF5E-C4A6CEE1946D}"/>
    <cellStyle name="Currency 2 2 2 3 4 7" xfId="11048" xr:uid="{AA6BBFE8-F34D-46AF-880A-23DBAD2CC21D}"/>
    <cellStyle name="Currency 2 2 2 3 4 7 2" xfId="25099" xr:uid="{D091168A-11CA-423B-9777-EA3C879F9E39}"/>
    <cellStyle name="Currency 2 2 2 3 4 8" xfId="18843" xr:uid="{711A3755-0F72-4692-ABAA-ECE35DB0613F}"/>
    <cellStyle name="Currency 2 2 2 3 5" xfId="5036" xr:uid="{CDB3493D-FBE4-486D-8B61-1E253D2C2ABD}"/>
    <cellStyle name="Currency 2 2 2 3 5 2" xfId="5904" xr:uid="{2B0756B7-87A4-41E4-82AA-2C9453E36064}"/>
    <cellStyle name="Currency 2 2 2 3 5 2 2" xfId="9376" xr:uid="{628D43E8-41B5-4722-9559-C589F012E2BA}"/>
    <cellStyle name="Currency 2 2 2 3 5 2 2 2" xfId="23427" xr:uid="{2C94D6E7-519B-42E6-84D3-3C5FF002C7F5}"/>
    <cellStyle name="Currency 2 2 2 3 5 2 3" xfId="11980" xr:uid="{DEA85600-B3E7-41CB-A5A5-E482DD605E26}"/>
    <cellStyle name="Currency 2 2 2 3 5 2 3 2" xfId="26031" xr:uid="{EDD186EE-7262-4EC7-9B13-0774ABCB6D6B}"/>
    <cellStyle name="Currency 2 2 2 3 5 2 4" xfId="19955" xr:uid="{9708B8D6-36F9-4AEB-B02B-8E1CD00E14B2}"/>
    <cellStyle name="Currency 2 2 2 3 5 3" xfId="6772" xr:uid="{082CEB5B-BD06-412A-80D8-98F2CABE41FA}"/>
    <cellStyle name="Currency 2 2 2 3 5 3 2" xfId="10244" xr:uid="{7507C3D2-8C73-430F-8B0E-935C4992094E}"/>
    <cellStyle name="Currency 2 2 2 3 5 3 2 2" xfId="24295" xr:uid="{CF1F6CBE-9521-41F7-8BE9-01D107E0AA22}"/>
    <cellStyle name="Currency 2 2 2 3 5 3 3" xfId="12848" xr:uid="{4E61AE64-E08F-4C1E-94B7-9080A0167FEC}"/>
    <cellStyle name="Currency 2 2 2 3 5 3 3 2" xfId="26899" xr:uid="{A045B0EC-00D3-4EDE-A0FC-3615CBEA4AAC}"/>
    <cellStyle name="Currency 2 2 2 3 5 3 4" xfId="20823" xr:uid="{7665DFB2-220F-41BC-BB94-2749C2757A0C}"/>
    <cellStyle name="Currency 2 2 2 3 5 4" xfId="8508" xr:uid="{09885BB1-9169-41A0-8CE9-1853017DBB4E}"/>
    <cellStyle name="Currency 2 2 2 3 5 4 2" xfId="13716" xr:uid="{3477D0EF-9486-48A1-A727-00EE27F51C57}"/>
    <cellStyle name="Currency 2 2 2 3 5 4 2 2" xfId="27767" xr:uid="{1F57B884-8B9F-4921-8237-889950175800}"/>
    <cellStyle name="Currency 2 2 2 3 5 4 3" xfId="22559" xr:uid="{EDC421E4-016B-44CB-83E2-8DDC78890771}"/>
    <cellStyle name="Currency 2 2 2 3 5 5" xfId="7640" xr:uid="{39163749-E079-4CB9-9E66-BD845A839799}"/>
    <cellStyle name="Currency 2 2 2 3 5 5 2" xfId="21691" xr:uid="{1C2BE730-C836-4A9B-B4FA-ABC5DBAFAE1C}"/>
    <cellStyle name="Currency 2 2 2 3 5 6" xfId="11112" xr:uid="{93C36FB8-553C-4089-93BC-B7F93AC9B546}"/>
    <cellStyle name="Currency 2 2 2 3 5 6 2" xfId="25163" xr:uid="{2851CBA8-31BE-4E18-8A1F-20C220D3FA18}"/>
    <cellStyle name="Currency 2 2 2 3 5 7" xfId="19087" xr:uid="{5138E09A-8FC7-4912-BCDE-EE25AFC5AF08}"/>
    <cellStyle name="Currency 2 2 2 3 6" xfId="5470" xr:uid="{E82E19B6-DDBA-4046-BC69-47F88071BAA0}"/>
    <cellStyle name="Currency 2 2 2 3 6 2" xfId="8942" xr:uid="{54C32EFB-F5F6-4FF9-AF03-5F74B9FB4ED5}"/>
    <cellStyle name="Currency 2 2 2 3 6 2 2" xfId="22993" xr:uid="{A9DE8B17-A80F-4728-8B2C-72DA3100F727}"/>
    <cellStyle name="Currency 2 2 2 3 6 3" xfId="11546" xr:uid="{AF765224-0990-4009-9C8F-D2031B911FA7}"/>
    <cellStyle name="Currency 2 2 2 3 6 3 2" xfId="25597" xr:uid="{602807A4-07AF-4500-8D53-12A4538D9207}"/>
    <cellStyle name="Currency 2 2 2 3 6 4" xfId="19521" xr:uid="{68874530-07A9-4C91-8849-BC141AA5C0AA}"/>
    <cellStyle name="Currency 2 2 2 3 7" xfId="6338" xr:uid="{5A559A85-FAA4-4C15-8E2F-736D53843799}"/>
    <cellStyle name="Currency 2 2 2 3 7 2" xfId="9810" xr:uid="{C625010C-7D7C-480E-884D-930B0C90B4D2}"/>
    <cellStyle name="Currency 2 2 2 3 7 2 2" xfId="23861" xr:uid="{4D9D0BA9-BBCC-488D-B9BF-B3621B771DA3}"/>
    <cellStyle name="Currency 2 2 2 3 7 3" xfId="12414" xr:uid="{78F8BEA1-16C1-441D-BE0F-9CC85501F120}"/>
    <cellStyle name="Currency 2 2 2 3 7 3 2" xfId="26465" xr:uid="{88D90328-7FAA-4390-A4F9-4D38EB530A13}"/>
    <cellStyle name="Currency 2 2 2 3 7 4" xfId="20389" xr:uid="{47994816-C47E-4EDC-8C67-2B065B63F380}"/>
    <cellStyle name="Currency 2 2 2 3 8" xfId="8074" xr:uid="{D7061EE0-6773-4231-8F23-56CCE8FC97C2}"/>
    <cellStyle name="Currency 2 2 2 3 8 2" xfId="13282" xr:uid="{049C6A1D-99F5-4529-91DC-34982C3C8CAC}"/>
    <cellStyle name="Currency 2 2 2 3 8 2 2" xfId="27333" xr:uid="{BFEEBD93-CFCC-4CEF-BEBA-D4558C49170D}"/>
    <cellStyle name="Currency 2 2 2 3 8 3" xfId="22125" xr:uid="{D347E4B7-E551-4D5A-8C9A-02981E2E950B}"/>
    <cellStyle name="Currency 2 2 2 3 9" xfId="7206" xr:uid="{05AFC3B0-821D-4944-8E16-9C0D2CF422E4}"/>
    <cellStyle name="Currency 2 2 2 3 9 2" xfId="21257" xr:uid="{696BFBA4-0CE6-470C-8B10-CFDABAB0A750}"/>
    <cellStyle name="Currency 2 2 2 4" xfId="926" xr:uid="{B330A80E-DEA1-4238-BD7B-0752335F7152}"/>
    <cellStyle name="Currency 2 2 2 4 10" xfId="14976" xr:uid="{AC321A7A-887B-41E6-95BC-05E49BBB0DB5}"/>
    <cellStyle name="Currency 2 2 2 4 2" xfId="2025" xr:uid="{EA932F87-E6F0-4CB9-BE36-1FB7EAB4DB96}"/>
    <cellStyle name="Currency 2 2 2 4 2 2" xfId="4214" xr:uid="{4ACC2560-02A3-4C2A-AFEB-89D87CB8D0AE}"/>
    <cellStyle name="Currency 2 2 2 4 2 2 2" xfId="5355" xr:uid="{08DB2867-1C50-450E-8364-DAAEADAAE629}"/>
    <cellStyle name="Currency 2 2 2 4 2 2 2 2" xfId="6223" xr:uid="{71ED926F-7730-4DC8-BE0F-3259F917B66F}"/>
    <cellStyle name="Currency 2 2 2 4 2 2 2 2 2" xfId="9695" xr:uid="{15C12151-AB06-4696-A819-8E90E7C8877F}"/>
    <cellStyle name="Currency 2 2 2 4 2 2 2 2 2 2" xfId="23746" xr:uid="{42B9044A-FBC4-4F9D-A9C6-F3E6E0CBD00D}"/>
    <cellStyle name="Currency 2 2 2 4 2 2 2 2 3" xfId="12299" xr:uid="{8CA417BF-D94A-4F28-8891-5846FB897AD9}"/>
    <cellStyle name="Currency 2 2 2 4 2 2 2 2 3 2" xfId="26350" xr:uid="{848396A5-8C62-47D4-91FD-7FA5EB90571B}"/>
    <cellStyle name="Currency 2 2 2 4 2 2 2 2 4" xfId="20274" xr:uid="{1E4CCB9C-7532-4DEE-A583-413D28E7A441}"/>
    <cellStyle name="Currency 2 2 2 4 2 2 2 3" xfId="7091" xr:uid="{3EFBF6C1-037C-44AE-8649-9D35D07C6639}"/>
    <cellStyle name="Currency 2 2 2 4 2 2 2 3 2" xfId="10563" xr:uid="{DDDFFC79-13C1-47E4-8E28-E858A02B813F}"/>
    <cellStyle name="Currency 2 2 2 4 2 2 2 3 2 2" xfId="24614" xr:uid="{A624658E-9CD7-4F99-B73B-EDE918E050DA}"/>
    <cellStyle name="Currency 2 2 2 4 2 2 2 3 3" xfId="13167" xr:uid="{C0E1FE2D-140D-432E-AABA-8C43FEE3E272}"/>
    <cellStyle name="Currency 2 2 2 4 2 2 2 3 3 2" xfId="27218" xr:uid="{C4EAC31D-AE17-47E7-9E3C-26EC3EFA2B1D}"/>
    <cellStyle name="Currency 2 2 2 4 2 2 2 3 4" xfId="21142" xr:uid="{B0DE45D6-C939-46A8-BD83-80EDA33E1AD8}"/>
    <cellStyle name="Currency 2 2 2 4 2 2 2 4" xfId="8827" xr:uid="{58342FA5-A3D1-4935-AA9F-F468DE821C25}"/>
    <cellStyle name="Currency 2 2 2 4 2 2 2 4 2" xfId="14035" xr:uid="{F5C4546A-462A-45BD-82A7-E81D33B93F50}"/>
    <cellStyle name="Currency 2 2 2 4 2 2 2 4 2 2" xfId="28086" xr:uid="{C4EC59AB-368E-411A-861D-6E71DEE3376D}"/>
    <cellStyle name="Currency 2 2 2 4 2 2 2 4 3" xfId="22878" xr:uid="{63E1940F-FF36-47BB-9F41-6FB27F1DDC15}"/>
    <cellStyle name="Currency 2 2 2 4 2 2 2 5" xfId="7959" xr:uid="{1076BE87-3695-4A7F-95F5-40B03201FFA1}"/>
    <cellStyle name="Currency 2 2 2 4 2 2 2 5 2" xfId="22010" xr:uid="{77AA18EF-BC94-4292-B8F3-A5C555CB49B8}"/>
    <cellStyle name="Currency 2 2 2 4 2 2 2 6" xfId="11431" xr:uid="{30ED1CE1-1C12-46C4-8F70-C480991C02E7}"/>
    <cellStyle name="Currency 2 2 2 4 2 2 2 6 2" xfId="25482" xr:uid="{674668D7-0A98-4810-BDD0-7C5A934152EC}"/>
    <cellStyle name="Currency 2 2 2 4 2 2 2 7" xfId="19406" xr:uid="{22EC0249-529A-4282-9713-D1AF426AE80F}"/>
    <cellStyle name="Currency 2 2 2 4 2 2 3" xfId="5789" xr:uid="{70F84BB3-22FF-4301-90B8-C1953D671857}"/>
    <cellStyle name="Currency 2 2 2 4 2 2 3 2" xfId="9261" xr:uid="{2D096E03-0BBD-440B-852B-6ECB015B2B70}"/>
    <cellStyle name="Currency 2 2 2 4 2 2 3 2 2" xfId="23312" xr:uid="{CE283284-1B92-49BF-B55E-9D87BD8C89AB}"/>
    <cellStyle name="Currency 2 2 2 4 2 2 3 3" xfId="11865" xr:uid="{72A1EAC6-C7A7-482C-825B-0F5A4EBCACBA}"/>
    <cellStyle name="Currency 2 2 2 4 2 2 3 3 2" xfId="25916" xr:uid="{95414647-46FD-40CF-B5E6-70A8DE8A5597}"/>
    <cellStyle name="Currency 2 2 2 4 2 2 3 4" xfId="19840" xr:uid="{11922164-B32C-465B-A24B-14BBF9AEDCBD}"/>
    <cellStyle name="Currency 2 2 2 4 2 2 4" xfId="6657" xr:uid="{A81754C3-D7F1-4668-B8F7-070A2920ACFF}"/>
    <cellStyle name="Currency 2 2 2 4 2 2 4 2" xfId="10129" xr:uid="{A56EC01C-8668-49AA-AA75-F1E19706AB7C}"/>
    <cellStyle name="Currency 2 2 2 4 2 2 4 2 2" xfId="24180" xr:uid="{87DD173D-F923-4335-A257-F83068356BE0}"/>
    <cellStyle name="Currency 2 2 2 4 2 2 4 3" xfId="12733" xr:uid="{BD542AC3-7FCD-466E-A4E5-B4B35439D62E}"/>
    <cellStyle name="Currency 2 2 2 4 2 2 4 3 2" xfId="26784" xr:uid="{ABB1F79F-83DB-4724-9D70-64420C31A50F}"/>
    <cellStyle name="Currency 2 2 2 4 2 2 4 4" xfId="20708" xr:uid="{0336D1D5-AC3E-42A8-A951-936CD9F290DD}"/>
    <cellStyle name="Currency 2 2 2 4 2 2 5" xfId="8393" xr:uid="{9E0FA583-1BF2-4021-8F37-0BA1584CC21C}"/>
    <cellStyle name="Currency 2 2 2 4 2 2 5 2" xfId="13601" xr:uid="{FE2E3D20-CF19-40BC-B629-A618A0664435}"/>
    <cellStyle name="Currency 2 2 2 4 2 2 5 2 2" xfId="27652" xr:uid="{B6435378-8F0C-4453-A806-6EB4C820A734}"/>
    <cellStyle name="Currency 2 2 2 4 2 2 5 3" xfId="22444" xr:uid="{AC0DED16-9023-4DFD-A8D7-18DE575FD1C1}"/>
    <cellStyle name="Currency 2 2 2 4 2 2 6" xfId="7525" xr:uid="{16A76A66-C117-47B1-BA48-FC17798C7BE8}"/>
    <cellStyle name="Currency 2 2 2 4 2 2 6 2" xfId="21576" xr:uid="{A7CB9220-1461-4BB7-B063-7B02EF7E8643}"/>
    <cellStyle name="Currency 2 2 2 4 2 2 7" xfId="10997" xr:uid="{545CBCB3-8581-4BF8-8B4D-47FFBC3EC23F}"/>
    <cellStyle name="Currency 2 2 2 4 2 2 7 2" xfId="25048" xr:uid="{1D8CBC30-1329-47B2-95A9-D5C1BF451904}"/>
    <cellStyle name="Currency 2 2 2 4 2 2 8" xfId="18265" xr:uid="{67A30F24-598E-4475-9D12-0DE5A3BEFE7D}"/>
    <cellStyle name="Currency 2 2 2 4 2 3" xfId="5165" xr:uid="{7B4A4FE0-21ED-4179-BF94-04BDFA533095}"/>
    <cellStyle name="Currency 2 2 2 4 2 3 2" xfId="6033" xr:uid="{8435E172-41A2-4C25-988B-249B89627B16}"/>
    <cellStyle name="Currency 2 2 2 4 2 3 2 2" xfId="9505" xr:uid="{56807538-54FC-482F-815A-C83479DE4EF0}"/>
    <cellStyle name="Currency 2 2 2 4 2 3 2 2 2" xfId="23556" xr:uid="{A29CF9CD-20F0-438F-9038-4B5F4ECF6306}"/>
    <cellStyle name="Currency 2 2 2 4 2 3 2 3" xfId="12109" xr:uid="{D6D8994B-526E-4A7B-9DD5-B7F97C2B537E}"/>
    <cellStyle name="Currency 2 2 2 4 2 3 2 3 2" xfId="26160" xr:uid="{0966B1FB-7421-4D3F-A453-7F8BA2407765}"/>
    <cellStyle name="Currency 2 2 2 4 2 3 2 4" xfId="20084" xr:uid="{EAB2DB79-5910-47A6-9016-22E6FBC3854B}"/>
    <cellStyle name="Currency 2 2 2 4 2 3 3" xfId="6901" xr:uid="{29A8251A-9180-4642-955F-14CE64884D7C}"/>
    <cellStyle name="Currency 2 2 2 4 2 3 3 2" xfId="10373" xr:uid="{6C69821D-3CCF-48AB-B995-3D0B89803E3C}"/>
    <cellStyle name="Currency 2 2 2 4 2 3 3 2 2" xfId="24424" xr:uid="{21163908-04CE-4255-A539-DD7BB392D55F}"/>
    <cellStyle name="Currency 2 2 2 4 2 3 3 3" xfId="12977" xr:uid="{86BA31F2-8721-475E-84AD-5E5FA83DCBD0}"/>
    <cellStyle name="Currency 2 2 2 4 2 3 3 3 2" xfId="27028" xr:uid="{A4A13E4C-0257-49B9-AEFE-1A5527CF55B7}"/>
    <cellStyle name="Currency 2 2 2 4 2 3 3 4" xfId="20952" xr:uid="{2D72D036-A9AD-40DF-B6C6-A472E20AB705}"/>
    <cellStyle name="Currency 2 2 2 4 2 3 4" xfId="8637" xr:uid="{73581E5E-6CA8-4167-B44B-81604783EFC8}"/>
    <cellStyle name="Currency 2 2 2 4 2 3 4 2" xfId="13845" xr:uid="{6DAC329D-2BC2-46DA-A482-38521F0E59FB}"/>
    <cellStyle name="Currency 2 2 2 4 2 3 4 2 2" xfId="27896" xr:uid="{52E7DF57-DCBF-4B8E-B63A-F2E8E7299A05}"/>
    <cellStyle name="Currency 2 2 2 4 2 3 4 3" xfId="22688" xr:uid="{95496F40-DB9F-401A-9D79-A7CCDDCC6813}"/>
    <cellStyle name="Currency 2 2 2 4 2 3 5" xfId="7769" xr:uid="{ED63DA21-5AD6-4A86-8BBF-42107EDCC9E6}"/>
    <cellStyle name="Currency 2 2 2 4 2 3 5 2" xfId="21820" xr:uid="{20773E8D-AF3E-4728-9D91-F79268C7ECC1}"/>
    <cellStyle name="Currency 2 2 2 4 2 3 6" xfId="11241" xr:uid="{1D9C154F-A678-4A51-9DEE-3C1426AB32CD}"/>
    <cellStyle name="Currency 2 2 2 4 2 3 6 2" xfId="25292" xr:uid="{5DB1D821-1AC5-4C42-8165-2989EB7DB6EB}"/>
    <cellStyle name="Currency 2 2 2 4 2 3 7" xfId="19216" xr:uid="{2D896279-AF0B-430C-9BE3-FB3429230264}"/>
    <cellStyle name="Currency 2 2 2 4 2 4" xfId="5599" xr:uid="{FBA3E386-3C5E-4FEE-9C1B-96C5ADBC0EDF}"/>
    <cellStyle name="Currency 2 2 2 4 2 4 2" xfId="9071" xr:uid="{A72AFB62-37B6-4571-8649-ED03AB8934F9}"/>
    <cellStyle name="Currency 2 2 2 4 2 4 2 2" xfId="23122" xr:uid="{D7897D0A-1A9C-4B62-AD95-77BFCACF50B1}"/>
    <cellStyle name="Currency 2 2 2 4 2 4 3" xfId="11675" xr:uid="{B74C8BA1-3944-41BF-9EA7-0A26DD2D046F}"/>
    <cellStyle name="Currency 2 2 2 4 2 4 3 2" xfId="25726" xr:uid="{A1B63769-E0AD-4190-A5A1-DB192010AB4A}"/>
    <cellStyle name="Currency 2 2 2 4 2 4 4" xfId="19650" xr:uid="{278C8D0E-2935-49B8-AC83-202F3BD1D1F3}"/>
    <cellStyle name="Currency 2 2 2 4 2 5" xfId="6467" xr:uid="{29C58039-CB6F-4B34-889E-EDE45F9327C4}"/>
    <cellStyle name="Currency 2 2 2 4 2 5 2" xfId="9939" xr:uid="{866A224F-2F13-44A5-A01D-281E39832075}"/>
    <cellStyle name="Currency 2 2 2 4 2 5 2 2" xfId="23990" xr:uid="{309C5989-E6AE-4BDB-A2CD-A46E6AB28D41}"/>
    <cellStyle name="Currency 2 2 2 4 2 5 3" xfId="12543" xr:uid="{2D861938-56BE-4C52-A449-43D40B4BC9F1}"/>
    <cellStyle name="Currency 2 2 2 4 2 5 3 2" xfId="26594" xr:uid="{9D958702-A18D-41B0-BADB-B14A97966C9B}"/>
    <cellStyle name="Currency 2 2 2 4 2 5 4" xfId="20518" xr:uid="{9EDFCA9F-E55F-4299-BD11-BE0C2B9572C8}"/>
    <cellStyle name="Currency 2 2 2 4 2 6" xfId="8203" xr:uid="{1FD8F5B6-FCD2-4461-AE2A-315C8EC5323B}"/>
    <cellStyle name="Currency 2 2 2 4 2 6 2" xfId="13411" xr:uid="{53349F13-1EEC-46F1-8BE6-C4F201397945}"/>
    <cellStyle name="Currency 2 2 2 4 2 6 2 2" xfId="27462" xr:uid="{7D39151C-C499-494F-9E1A-414B9C3E1462}"/>
    <cellStyle name="Currency 2 2 2 4 2 6 3" xfId="22254" xr:uid="{E6DE76BB-A252-49C0-BA27-AAFD8B7A6FF8}"/>
    <cellStyle name="Currency 2 2 2 4 2 7" xfId="7335" xr:uid="{F1F4DDA7-6DFC-4022-B050-8128C5DA6556}"/>
    <cellStyle name="Currency 2 2 2 4 2 7 2" xfId="21386" xr:uid="{119ED785-6A7E-48BF-87E4-EB31E45F0DA7}"/>
    <cellStyle name="Currency 2 2 2 4 2 8" xfId="10807" xr:uid="{561A216A-5264-4596-8E3C-47F501BD149D}"/>
    <cellStyle name="Currency 2 2 2 4 2 8 2" xfId="24858" xr:uid="{D6D2A5D1-8034-4E39-83CD-825FEC837A38}"/>
    <cellStyle name="Currency 2 2 2 4 2 9" xfId="16074" xr:uid="{F1FC1771-94ED-4DD7-B1FF-86F575EC84D1}"/>
    <cellStyle name="Currency 2 2 2 4 3" xfId="3118" xr:uid="{A2CEBE6C-47E3-44F8-A041-A7DCF0259D9B}"/>
    <cellStyle name="Currency 2 2 2 4 3 2" xfId="5260" xr:uid="{4601361B-17B6-4174-9507-E9AAE385D3EB}"/>
    <cellStyle name="Currency 2 2 2 4 3 2 2" xfId="6128" xr:uid="{353E735A-6994-4414-9009-33C49C73612A}"/>
    <cellStyle name="Currency 2 2 2 4 3 2 2 2" xfId="9600" xr:uid="{2896A425-6311-433E-A5C5-D7C35F1DA379}"/>
    <cellStyle name="Currency 2 2 2 4 3 2 2 2 2" xfId="23651" xr:uid="{461A7DD5-ED90-4D51-85E2-4A1ADE6D606A}"/>
    <cellStyle name="Currency 2 2 2 4 3 2 2 3" xfId="12204" xr:uid="{BB2E3870-68A0-4F9E-A8C7-1D951B4D3E85}"/>
    <cellStyle name="Currency 2 2 2 4 3 2 2 3 2" xfId="26255" xr:uid="{90FC2991-C3CA-4A28-B44E-C1410313F59A}"/>
    <cellStyle name="Currency 2 2 2 4 3 2 2 4" xfId="20179" xr:uid="{9024AEAC-2AB1-453B-94E5-ADAF4D34AFE9}"/>
    <cellStyle name="Currency 2 2 2 4 3 2 3" xfId="6996" xr:uid="{831E3E1A-2FF5-4ED5-A3D6-29BDCFB7D568}"/>
    <cellStyle name="Currency 2 2 2 4 3 2 3 2" xfId="10468" xr:uid="{8DB4A727-3F2C-4D6E-BB03-A4B0CF9A5C15}"/>
    <cellStyle name="Currency 2 2 2 4 3 2 3 2 2" xfId="24519" xr:uid="{34A5AF12-D835-46C3-98B2-571914BC2110}"/>
    <cellStyle name="Currency 2 2 2 4 3 2 3 3" xfId="13072" xr:uid="{8A4857C5-EC25-4520-AC2A-048EB0D51F0D}"/>
    <cellStyle name="Currency 2 2 2 4 3 2 3 3 2" xfId="27123" xr:uid="{C529EDF5-47AF-4694-AC48-8286485E2131}"/>
    <cellStyle name="Currency 2 2 2 4 3 2 3 4" xfId="21047" xr:uid="{120DFC04-C910-455E-8356-09B105D831FE}"/>
    <cellStyle name="Currency 2 2 2 4 3 2 4" xfId="8732" xr:uid="{2D06BAA6-FC14-4FB3-8CDB-8C000A1798D5}"/>
    <cellStyle name="Currency 2 2 2 4 3 2 4 2" xfId="13940" xr:uid="{03F1D183-AB4B-4729-BA55-BF641AE28F42}"/>
    <cellStyle name="Currency 2 2 2 4 3 2 4 2 2" xfId="27991" xr:uid="{BD3A9AEA-7EEE-49D6-A8F1-5CA60A4E5D74}"/>
    <cellStyle name="Currency 2 2 2 4 3 2 4 3" xfId="22783" xr:uid="{AD41A097-493A-4AE2-AD45-EB4F9A6BA2BA}"/>
    <cellStyle name="Currency 2 2 2 4 3 2 5" xfId="7864" xr:uid="{6D041ABE-18B3-480E-BEC2-4D81DAC9126A}"/>
    <cellStyle name="Currency 2 2 2 4 3 2 5 2" xfId="21915" xr:uid="{E0F00511-4685-4A09-A307-6B8CC11B830E}"/>
    <cellStyle name="Currency 2 2 2 4 3 2 6" xfId="11336" xr:uid="{8D205FE2-FB7C-4E5D-BD3E-AA192BF6CF6F}"/>
    <cellStyle name="Currency 2 2 2 4 3 2 6 2" xfId="25387" xr:uid="{757B2AEF-A3A8-4BF4-8480-4BE61B57CD7C}"/>
    <cellStyle name="Currency 2 2 2 4 3 2 7" xfId="19311" xr:uid="{4F9DBA14-A7F5-4282-92D4-B54801CD8CDF}"/>
    <cellStyle name="Currency 2 2 2 4 3 3" xfId="5694" xr:uid="{539193CC-E8A7-4A63-9205-2BC120D4117F}"/>
    <cellStyle name="Currency 2 2 2 4 3 3 2" xfId="9166" xr:uid="{569D9406-67A3-488C-9686-E165C7DF7A6B}"/>
    <cellStyle name="Currency 2 2 2 4 3 3 2 2" xfId="23217" xr:uid="{D95E39AB-41F8-4B2C-AE81-F27105C01EA1}"/>
    <cellStyle name="Currency 2 2 2 4 3 3 3" xfId="11770" xr:uid="{EC50D668-63ED-4FA1-B5FF-CC9792622C00}"/>
    <cellStyle name="Currency 2 2 2 4 3 3 3 2" xfId="25821" xr:uid="{EAB32E12-598A-463C-88D7-2BF5E2F1B718}"/>
    <cellStyle name="Currency 2 2 2 4 3 3 4" xfId="19745" xr:uid="{74F59620-7CC8-4D08-8B2F-3D24A0D5E109}"/>
    <cellStyle name="Currency 2 2 2 4 3 4" xfId="6562" xr:uid="{4A92D41C-6CC2-48EE-B838-7E79CEDFDBD8}"/>
    <cellStyle name="Currency 2 2 2 4 3 4 2" xfId="10034" xr:uid="{73B19DEB-CB62-4119-8C34-D31027203509}"/>
    <cellStyle name="Currency 2 2 2 4 3 4 2 2" xfId="24085" xr:uid="{E08DC9FE-420A-43F9-A648-B7BB396E319C}"/>
    <cellStyle name="Currency 2 2 2 4 3 4 3" xfId="12638" xr:uid="{E36284C2-F8E9-4342-889F-B296D0038C80}"/>
    <cellStyle name="Currency 2 2 2 4 3 4 3 2" xfId="26689" xr:uid="{D5623531-F6E6-444C-8805-62C78F1F5D1B}"/>
    <cellStyle name="Currency 2 2 2 4 3 4 4" xfId="20613" xr:uid="{2FC92D97-D77D-482A-B9E0-A6963C0EC08C}"/>
    <cellStyle name="Currency 2 2 2 4 3 5" xfId="8298" xr:uid="{24BE683A-F734-41F8-B017-91CA01DBDA29}"/>
    <cellStyle name="Currency 2 2 2 4 3 5 2" xfId="13506" xr:uid="{4A6BA80E-9B27-4A4D-996C-CBCA32AFAC5A}"/>
    <cellStyle name="Currency 2 2 2 4 3 5 2 2" xfId="27557" xr:uid="{1FD980B9-C574-4902-83F6-656B3F24FA01}"/>
    <cellStyle name="Currency 2 2 2 4 3 5 3" xfId="22349" xr:uid="{F1B407BA-1145-4971-8ADB-64FCF0C26D0B}"/>
    <cellStyle name="Currency 2 2 2 4 3 6" xfId="7430" xr:uid="{C3C45048-3D5D-4D51-8AC2-C6E925B97B66}"/>
    <cellStyle name="Currency 2 2 2 4 3 6 2" xfId="21481" xr:uid="{1E172AB4-36E7-44DF-A5E3-F42BE5330EED}"/>
    <cellStyle name="Currency 2 2 2 4 3 7" xfId="10902" xr:uid="{226F7DD2-4658-4EEA-96E5-720142A166F4}"/>
    <cellStyle name="Currency 2 2 2 4 3 7 2" xfId="24953" xr:uid="{D3EC8BA2-99FB-45F7-8465-331203FFFA93}"/>
    <cellStyle name="Currency 2 2 2 4 3 8" xfId="17170" xr:uid="{418DEBFC-A1E4-42C5-BC81-A60373F73917}"/>
    <cellStyle name="Currency 2 2 2 4 4" xfId="5068" xr:uid="{61FFDB15-08F8-4043-8563-A498E94C4836}"/>
    <cellStyle name="Currency 2 2 2 4 4 2" xfId="5936" xr:uid="{6D0B5DBD-B6B3-4B30-8AAD-B84B52613C6F}"/>
    <cellStyle name="Currency 2 2 2 4 4 2 2" xfId="9408" xr:uid="{3C704644-ED79-4FB9-9AE7-83286D0BA969}"/>
    <cellStyle name="Currency 2 2 2 4 4 2 2 2" xfId="23459" xr:uid="{FB4950F7-4911-4D25-916E-B62418CD829D}"/>
    <cellStyle name="Currency 2 2 2 4 4 2 3" xfId="12012" xr:uid="{B1ECD959-C58E-458F-BC7E-95E7D4141020}"/>
    <cellStyle name="Currency 2 2 2 4 4 2 3 2" xfId="26063" xr:uid="{BB73184D-A68D-4A34-B6C1-4C07067B6BDC}"/>
    <cellStyle name="Currency 2 2 2 4 4 2 4" xfId="19987" xr:uid="{A5018A27-0095-4659-A089-12040ED2C9E6}"/>
    <cellStyle name="Currency 2 2 2 4 4 3" xfId="6804" xr:uid="{22768E57-A579-4923-BBE4-6BC384C83B59}"/>
    <cellStyle name="Currency 2 2 2 4 4 3 2" xfId="10276" xr:uid="{F03AFAF1-D98A-40DA-AD5B-8F729FA78133}"/>
    <cellStyle name="Currency 2 2 2 4 4 3 2 2" xfId="24327" xr:uid="{6EC656C0-8A79-4C28-A8EB-67FF12105110}"/>
    <cellStyle name="Currency 2 2 2 4 4 3 3" xfId="12880" xr:uid="{D9207121-CD84-462A-8254-1426651651CA}"/>
    <cellStyle name="Currency 2 2 2 4 4 3 3 2" xfId="26931" xr:uid="{7C2F3939-F195-455A-81BA-E960B5C4EB2C}"/>
    <cellStyle name="Currency 2 2 2 4 4 3 4" xfId="20855" xr:uid="{39B6E510-A011-4C29-8DA4-2D262F86F99F}"/>
    <cellStyle name="Currency 2 2 2 4 4 4" xfId="8540" xr:uid="{920A31ED-7A3D-42DB-B5AC-0A5F4998594D}"/>
    <cellStyle name="Currency 2 2 2 4 4 4 2" xfId="13748" xr:uid="{19742BCD-772E-4006-AA0C-804C337A20D1}"/>
    <cellStyle name="Currency 2 2 2 4 4 4 2 2" xfId="27799" xr:uid="{B0010239-86C7-4D4B-BC1E-A95C2CA898E6}"/>
    <cellStyle name="Currency 2 2 2 4 4 4 3" xfId="22591" xr:uid="{B0B8DA24-BE27-400C-B5BA-83887C13E1A9}"/>
    <cellStyle name="Currency 2 2 2 4 4 5" xfId="7672" xr:uid="{0DCD8802-D730-4E08-AAF4-D6C5F7F583F4}"/>
    <cellStyle name="Currency 2 2 2 4 4 5 2" xfId="21723" xr:uid="{2400DAEF-508D-4AD5-B4CF-3AB50468B815}"/>
    <cellStyle name="Currency 2 2 2 4 4 6" xfId="11144" xr:uid="{803C9881-8C06-4CD1-A1FC-D277AC6AB9B7}"/>
    <cellStyle name="Currency 2 2 2 4 4 6 2" xfId="25195" xr:uid="{85083F1E-BD02-47B9-8A08-888A48DB580B}"/>
    <cellStyle name="Currency 2 2 2 4 4 7" xfId="19119" xr:uid="{97527156-D37D-4000-90B2-52DE47DB88B7}"/>
    <cellStyle name="Currency 2 2 2 4 5" xfId="5502" xr:uid="{E0FF5F32-09AA-441C-9875-7E7EA4D6CD78}"/>
    <cellStyle name="Currency 2 2 2 4 5 2" xfId="8974" xr:uid="{8EA01D13-5270-47FC-B642-B9EF70EB6B1A}"/>
    <cellStyle name="Currency 2 2 2 4 5 2 2" xfId="23025" xr:uid="{BF977E68-BE72-4239-9904-B0FBA76E9A8D}"/>
    <cellStyle name="Currency 2 2 2 4 5 3" xfId="11578" xr:uid="{0FE1DE0D-A1C9-4BD3-B48F-E0081CE0ACB7}"/>
    <cellStyle name="Currency 2 2 2 4 5 3 2" xfId="25629" xr:uid="{56916456-9DA9-440F-8F51-6A3B936573A9}"/>
    <cellStyle name="Currency 2 2 2 4 5 4" xfId="19553" xr:uid="{4D5D06F2-C844-4B30-85BC-D7F83DDE2678}"/>
    <cellStyle name="Currency 2 2 2 4 6" xfId="6370" xr:uid="{6B3CB84D-9C2D-4D47-B451-6544FC869DF3}"/>
    <cellStyle name="Currency 2 2 2 4 6 2" xfId="9842" xr:uid="{8AF68CE5-A3EB-4D5F-8C83-0E1846CD53C8}"/>
    <cellStyle name="Currency 2 2 2 4 6 2 2" xfId="23893" xr:uid="{A943A7A3-80B4-4D05-A6C3-427CF013459B}"/>
    <cellStyle name="Currency 2 2 2 4 6 3" xfId="12446" xr:uid="{2BB72596-E0E2-4529-A58D-0173375BA427}"/>
    <cellStyle name="Currency 2 2 2 4 6 3 2" xfId="26497" xr:uid="{76AFFA41-F11E-4516-AD1C-C766F7449BEC}"/>
    <cellStyle name="Currency 2 2 2 4 6 4" xfId="20421" xr:uid="{CD0D2863-91AD-4864-AF8F-DAEA8FCA3B45}"/>
    <cellStyle name="Currency 2 2 2 4 7" xfId="8106" xr:uid="{80639988-5790-4A13-8249-232C05FF23DB}"/>
    <cellStyle name="Currency 2 2 2 4 7 2" xfId="13314" xr:uid="{F5BCF07C-C89B-4ACE-8943-0E3BF85156FA}"/>
    <cellStyle name="Currency 2 2 2 4 7 2 2" xfId="27365" xr:uid="{17AE909D-B0B5-4DBB-B3DA-E1C61199402E}"/>
    <cellStyle name="Currency 2 2 2 4 7 3" xfId="22157" xr:uid="{6185C488-2767-4175-9635-4FC46A09AC40}"/>
    <cellStyle name="Currency 2 2 2 4 8" xfId="7238" xr:uid="{845217E4-AB87-4566-B063-596D5A65B502}"/>
    <cellStyle name="Currency 2 2 2 4 8 2" xfId="21289" xr:uid="{1D920F38-D22A-4EEF-A206-BC3E249D1FAF}"/>
    <cellStyle name="Currency 2 2 2 4 9" xfId="10710" xr:uid="{6F0BAFFE-A71F-4574-A450-DC75C3BBF63F}"/>
    <cellStyle name="Currency 2 2 2 4 9 2" xfId="24761" xr:uid="{41277036-A1D1-455A-AFDB-549A56F31171}"/>
    <cellStyle name="Currency 2 2 2 5" xfId="1333" xr:uid="{77FE3ACA-0412-42F7-8F27-669C1FDA1347}"/>
    <cellStyle name="Currency 2 2 2 5 2" xfId="3524" xr:uid="{C6A62527-1115-41CF-8D05-3940C9554198}"/>
    <cellStyle name="Currency 2 2 2 5 2 2" xfId="5296" xr:uid="{EFC59341-8822-4039-B9E5-C74227C53600}"/>
    <cellStyle name="Currency 2 2 2 5 2 2 2" xfId="6164" xr:uid="{6AE0CFAC-67A9-47E3-AA74-5BD23FDBC062}"/>
    <cellStyle name="Currency 2 2 2 5 2 2 2 2" xfId="9636" xr:uid="{9CB2C9E7-8B1A-4E87-A9B2-DDE3C7EAEA3D}"/>
    <cellStyle name="Currency 2 2 2 5 2 2 2 2 2" xfId="23687" xr:uid="{BE1B0466-BDA1-4302-B5B3-7AC55BBBB427}"/>
    <cellStyle name="Currency 2 2 2 5 2 2 2 3" xfId="12240" xr:uid="{82E68633-1D64-4894-AF5E-7D47FEE6C825}"/>
    <cellStyle name="Currency 2 2 2 5 2 2 2 3 2" xfId="26291" xr:uid="{25D29CD8-2371-4CDA-AFC0-54D787579D9C}"/>
    <cellStyle name="Currency 2 2 2 5 2 2 2 4" xfId="20215" xr:uid="{F98D960E-0EEC-4001-9870-4A22E27A64EE}"/>
    <cellStyle name="Currency 2 2 2 5 2 2 3" xfId="7032" xr:uid="{E26C80AF-88D2-429F-A94B-16AA06017102}"/>
    <cellStyle name="Currency 2 2 2 5 2 2 3 2" xfId="10504" xr:uid="{C5F4F1AB-4966-4834-BCE6-A23AF874FB62}"/>
    <cellStyle name="Currency 2 2 2 5 2 2 3 2 2" xfId="24555" xr:uid="{97495E20-2F2F-4480-B3B4-72BE4DA23750}"/>
    <cellStyle name="Currency 2 2 2 5 2 2 3 3" xfId="13108" xr:uid="{6168A158-2710-4A77-A019-377396CC1C9F}"/>
    <cellStyle name="Currency 2 2 2 5 2 2 3 3 2" xfId="27159" xr:uid="{EE2202D4-ED56-4209-AF3E-E6D42EE02021}"/>
    <cellStyle name="Currency 2 2 2 5 2 2 3 4" xfId="21083" xr:uid="{A5AED7A6-772E-45B2-A74A-35FF9824A3A8}"/>
    <cellStyle name="Currency 2 2 2 5 2 2 4" xfId="8768" xr:uid="{E0A7C3E5-045F-409D-B7E5-2D193A8321E8}"/>
    <cellStyle name="Currency 2 2 2 5 2 2 4 2" xfId="13976" xr:uid="{68D6F22F-5792-43A3-8122-EDB9FED706F5}"/>
    <cellStyle name="Currency 2 2 2 5 2 2 4 2 2" xfId="28027" xr:uid="{B2E36A37-2023-4518-897A-1C49C139CD5C}"/>
    <cellStyle name="Currency 2 2 2 5 2 2 4 3" xfId="22819" xr:uid="{2E43B4AD-8561-411F-9FA7-8C86533F0691}"/>
    <cellStyle name="Currency 2 2 2 5 2 2 5" xfId="7900" xr:uid="{842820A6-CBAE-4D02-B666-317B490D8E7D}"/>
    <cellStyle name="Currency 2 2 2 5 2 2 5 2" xfId="21951" xr:uid="{C48790E0-FFF5-435C-9612-AF52E839A3A8}"/>
    <cellStyle name="Currency 2 2 2 5 2 2 6" xfId="11372" xr:uid="{5E7147FE-7022-4A9B-B336-D24F12CED2BC}"/>
    <cellStyle name="Currency 2 2 2 5 2 2 6 2" xfId="25423" xr:uid="{DAB93CCA-6299-4B44-8A23-20AA37E3B417}"/>
    <cellStyle name="Currency 2 2 2 5 2 2 7" xfId="19347" xr:uid="{75C7843D-A041-4E53-96C1-71364EE855FC}"/>
    <cellStyle name="Currency 2 2 2 5 2 3" xfId="5730" xr:uid="{BDA5B664-5DD5-408C-BC4C-89D50E3CD831}"/>
    <cellStyle name="Currency 2 2 2 5 2 3 2" xfId="9202" xr:uid="{37526EE2-FDFB-49A1-B482-EC787E60F1F9}"/>
    <cellStyle name="Currency 2 2 2 5 2 3 2 2" xfId="23253" xr:uid="{8E9F15D3-0DE7-4F55-B0B6-FCA999E8A73D}"/>
    <cellStyle name="Currency 2 2 2 5 2 3 3" xfId="11806" xr:uid="{2E64B2BC-DB62-4F4B-B69D-28D8335C4459}"/>
    <cellStyle name="Currency 2 2 2 5 2 3 3 2" xfId="25857" xr:uid="{7F834D6F-4122-4903-835E-D0B874300FF5}"/>
    <cellStyle name="Currency 2 2 2 5 2 3 4" xfId="19781" xr:uid="{EB1ED5D7-8A79-4F78-A798-353A46B582D6}"/>
    <cellStyle name="Currency 2 2 2 5 2 4" xfId="6598" xr:uid="{80DC3C6A-924E-4540-9077-3C23BEFD7B89}"/>
    <cellStyle name="Currency 2 2 2 5 2 4 2" xfId="10070" xr:uid="{1712E32D-23CD-4283-823A-050585270655}"/>
    <cellStyle name="Currency 2 2 2 5 2 4 2 2" xfId="24121" xr:uid="{FB8171D4-A4A1-491E-A7D7-FEF078CB128D}"/>
    <cellStyle name="Currency 2 2 2 5 2 4 3" xfId="12674" xr:uid="{9935505B-CFFB-4AC3-874A-159B529B4BFF}"/>
    <cellStyle name="Currency 2 2 2 5 2 4 3 2" xfId="26725" xr:uid="{0B2AFB3B-15A7-4C58-B1D7-7AA92038B548}"/>
    <cellStyle name="Currency 2 2 2 5 2 4 4" xfId="20649" xr:uid="{78578E93-9067-4E67-8355-BAE861FFD583}"/>
    <cellStyle name="Currency 2 2 2 5 2 5" xfId="8334" xr:uid="{F9B4605F-CF73-47A3-B781-F6A846772E28}"/>
    <cellStyle name="Currency 2 2 2 5 2 5 2" xfId="13542" xr:uid="{6DBB7409-5887-4BB6-95D5-467EAD1E8532}"/>
    <cellStyle name="Currency 2 2 2 5 2 5 2 2" xfId="27593" xr:uid="{7D108E0A-3ED6-466C-89DD-4EBE7D69CF83}"/>
    <cellStyle name="Currency 2 2 2 5 2 5 3" xfId="22385" xr:uid="{4ED36B93-AC1D-4659-B6CB-C13D3260E912}"/>
    <cellStyle name="Currency 2 2 2 5 2 6" xfId="7466" xr:uid="{08897A97-E304-4A18-BA7B-7D4DF1FF4215}"/>
    <cellStyle name="Currency 2 2 2 5 2 6 2" xfId="21517" xr:uid="{424DC91D-9059-434A-99F1-415618507653}"/>
    <cellStyle name="Currency 2 2 2 5 2 7" xfId="10938" xr:uid="{C2DC45A4-0D87-45A9-8572-FE39596CEAA9}"/>
    <cellStyle name="Currency 2 2 2 5 2 7 2" xfId="24989" xr:uid="{6ED36880-4AD5-42AB-9958-8BC22CB1183C}"/>
    <cellStyle name="Currency 2 2 2 5 2 8" xfId="17576" xr:uid="{34BAC02B-FDD3-4D91-8994-A7D2F80CDA3D}"/>
    <cellStyle name="Currency 2 2 2 5 3" xfId="5105" xr:uid="{69618FAA-005B-4F51-9249-8A3FB3A0690B}"/>
    <cellStyle name="Currency 2 2 2 5 3 2" xfId="5973" xr:uid="{AEC4A9BF-5D04-4DE3-B07C-AFAF770A6BB9}"/>
    <cellStyle name="Currency 2 2 2 5 3 2 2" xfId="9445" xr:uid="{C7DB528C-8684-4B0A-AE32-95C206B9E491}"/>
    <cellStyle name="Currency 2 2 2 5 3 2 2 2" xfId="23496" xr:uid="{037101E1-F2E3-49C1-887C-B76043728105}"/>
    <cellStyle name="Currency 2 2 2 5 3 2 3" xfId="12049" xr:uid="{6F7F5CD3-7106-4399-BCBD-1606E7CB7725}"/>
    <cellStyle name="Currency 2 2 2 5 3 2 3 2" xfId="26100" xr:uid="{B95132DC-8D64-43CB-85B4-8E0E48E95653}"/>
    <cellStyle name="Currency 2 2 2 5 3 2 4" xfId="20024" xr:uid="{ADD5AE63-6A50-4F37-A505-8F99C901CC7A}"/>
    <cellStyle name="Currency 2 2 2 5 3 3" xfId="6841" xr:uid="{01D9E9DA-0B1E-49B1-80B9-AA468153DC8E}"/>
    <cellStyle name="Currency 2 2 2 5 3 3 2" xfId="10313" xr:uid="{B52F8FF0-E412-4542-BED3-9D6869C46E92}"/>
    <cellStyle name="Currency 2 2 2 5 3 3 2 2" xfId="24364" xr:uid="{DFC8FEE0-F513-4F96-8594-35BFD5DDD7C5}"/>
    <cellStyle name="Currency 2 2 2 5 3 3 3" xfId="12917" xr:uid="{29E7B4BB-5BAE-4580-BAA1-0E7976CADB12}"/>
    <cellStyle name="Currency 2 2 2 5 3 3 3 2" xfId="26968" xr:uid="{5327D404-CBA8-4E5B-BFD5-2A15D5153447}"/>
    <cellStyle name="Currency 2 2 2 5 3 3 4" xfId="20892" xr:uid="{B00E405A-5120-45B0-82A3-4F7BF29ADBC6}"/>
    <cellStyle name="Currency 2 2 2 5 3 4" xfId="8577" xr:uid="{C0A37EBD-C9E6-4A8D-BA3E-B8A9DCB787A9}"/>
    <cellStyle name="Currency 2 2 2 5 3 4 2" xfId="13785" xr:uid="{9882DEE1-EA4A-4628-BC23-898A130BA2B2}"/>
    <cellStyle name="Currency 2 2 2 5 3 4 2 2" xfId="27836" xr:uid="{F44B3731-2604-4226-A5EE-1C727B04E448}"/>
    <cellStyle name="Currency 2 2 2 5 3 4 3" xfId="22628" xr:uid="{B346E9DA-18B6-4959-BEFC-8D7AE9E18B63}"/>
    <cellStyle name="Currency 2 2 2 5 3 5" xfId="7709" xr:uid="{DD02312D-10FF-438B-8AB2-F63C97D8C153}"/>
    <cellStyle name="Currency 2 2 2 5 3 5 2" xfId="21760" xr:uid="{FF374900-9A79-4867-91C1-1D5ABF853D62}"/>
    <cellStyle name="Currency 2 2 2 5 3 6" xfId="11181" xr:uid="{BDA491BE-F42D-4AC8-A56C-B5939A8F6104}"/>
    <cellStyle name="Currency 2 2 2 5 3 6 2" xfId="25232" xr:uid="{2EFED295-74C6-400D-9A4F-AEBCE4D12782}"/>
    <cellStyle name="Currency 2 2 2 5 3 7" xfId="19156" xr:uid="{ED21833D-D916-41F4-8577-7EEC7025A774}"/>
    <cellStyle name="Currency 2 2 2 5 4" xfId="5539" xr:uid="{4327386F-AF9B-4307-853B-7532374553DE}"/>
    <cellStyle name="Currency 2 2 2 5 4 2" xfId="9011" xr:uid="{AEFB6E55-E9B8-4F63-9555-BD04EFFACC2B}"/>
    <cellStyle name="Currency 2 2 2 5 4 2 2" xfId="23062" xr:uid="{B5A986D4-89B3-42B3-9933-3C4D320A4CDB}"/>
    <cellStyle name="Currency 2 2 2 5 4 3" xfId="11615" xr:uid="{D64B9AA4-D044-4D60-BE46-7ED79523DB80}"/>
    <cellStyle name="Currency 2 2 2 5 4 3 2" xfId="25666" xr:uid="{BDA9F11B-47ED-49E1-AA3B-8E7B098F660F}"/>
    <cellStyle name="Currency 2 2 2 5 4 4" xfId="19590" xr:uid="{8CC89DDC-FC8D-40C4-A4FD-21B5C31A450F}"/>
    <cellStyle name="Currency 2 2 2 5 5" xfId="6407" xr:uid="{C935B941-C84D-4AF0-9CCB-4344225714CD}"/>
    <cellStyle name="Currency 2 2 2 5 5 2" xfId="9879" xr:uid="{1C722D96-8AEB-4B00-8D56-07BD40FD13C0}"/>
    <cellStyle name="Currency 2 2 2 5 5 2 2" xfId="23930" xr:uid="{5C421F03-CF67-4431-9637-92A4908DDC83}"/>
    <cellStyle name="Currency 2 2 2 5 5 3" xfId="12483" xr:uid="{73D1EC12-BA42-4EA3-92D2-EFEFB21489DC}"/>
    <cellStyle name="Currency 2 2 2 5 5 3 2" xfId="26534" xr:uid="{22BCDA41-21DA-4898-9706-D2598114B491}"/>
    <cellStyle name="Currency 2 2 2 5 5 4" xfId="20458" xr:uid="{4C97C75B-3887-4A8F-964D-DE7E50F7CA61}"/>
    <cellStyle name="Currency 2 2 2 5 6" xfId="8143" xr:uid="{182C4784-FC31-42DF-B11B-94A353716606}"/>
    <cellStyle name="Currency 2 2 2 5 6 2" xfId="13351" xr:uid="{607F9402-9203-4455-8C70-52893507D126}"/>
    <cellStyle name="Currency 2 2 2 5 6 2 2" xfId="27402" xr:uid="{D472255E-4ABC-4ED4-94E6-9BD0148266B9}"/>
    <cellStyle name="Currency 2 2 2 5 6 3" xfId="22194" xr:uid="{BE21D8AB-9123-4B10-9616-0E2DA74FE74E}"/>
    <cellStyle name="Currency 2 2 2 5 7" xfId="7275" xr:uid="{2C43E00C-7B80-4DB5-A98D-12BBA5626E97}"/>
    <cellStyle name="Currency 2 2 2 5 7 2" xfId="21326" xr:uid="{C24D7832-66D3-477D-A03A-7469CE952778}"/>
    <cellStyle name="Currency 2 2 2 5 8" xfId="10747" xr:uid="{A7550F90-4CBA-44DC-B95F-957111E4AD5A}"/>
    <cellStyle name="Currency 2 2 2 5 8 2" xfId="24798" xr:uid="{A10AC398-6B01-4B9D-BD07-2A07AEE32BFD}"/>
    <cellStyle name="Currency 2 2 2 5 9" xfId="15382" xr:uid="{E6C02B66-611D-44D1-ABD9-DF241622CF36}"/>
    <cellStyle name="Currency 2 2 2 6" xfId="2425" xr:uid="{2972825E-0279-4FC2-920A-63792EE53DD8}"/>
    <cellStyle name="Currency 2 2 2 6 2" xfId="5200" xr:uid="{AD78D66C-19C2-4FDE-9A3D-71F3BEECB2F3}"/>
    <cellStyle name="Currency 2 2 2 6 2 2" xfId="6068" xr:uid="{0D6C5812-1B1C-4B9E-98CE-ECF3943B722B}"/>
    <cellStyle name="Currency 2 2 2 6 2 2 2" xfId="9540" xr:uid="{817DB377-69B8-4D8B-9BF5-BDE5DAD6AD11}"/>
    <cellStyle name="Currency 2 2 2 6 2 2 2 2" xfId="23591" xr:uid="{EA240647-1BFD-4780-9234-FD959099D32F}"/>
    <cellStyle name="Currency 2 2 2 6 2 2 3" xfId="12144" xr:uid="{959C7CC3-A47D-4AB8-8011-9F3D080E76D9}"/>
    <cellStyle name="Currency 2 2 2 6 2 2 3 2" xfId="26195" xr:uid="{66C2567E-D268-4BFB-A56A-99C101B70D86}"/>
    <cellStyle name="Currency 2 2 2 6 2 2 4" xfId="20119" xr:uid="{6385C858-A0C5-47A1-A059-D2DD16C599A9}"/>
    <cellStyle name="Currency 2 2 2 6 2 3" xfId="6936" xr:uid="{F25DD981-BCE5-4F47-B32D-C32D2F3C11D0}"/>
    <cellStyle name="Currency 2 2 2 6 2 3 2" xfId="10408" xr:uid="{3C5B149B-E5D7-487D-9CCE-DCAF55EF0DA4}"/>
    <cellStyle name="Currency 2 2 2 6 2 3 2 2" xfId="24459" xr:uid="{1338E258-B5D1-4F66-8D97-81D2EEDE1FAA}"/>
    <cellStyle name="Currency 2 2 2 6 2 3 3" xfId="13012" xr:uid="{4C03EBDF-DAA9-4854-9CD2-F336FC1A3BF2}"/>
    <cellStyle name="Currency 2 2 2 6 2 3 3 2" xfId="27063" xr:uid="{A9BB9B28-83A5-4B1F-A056-E0085D7FCB43}"/>
    <cellStyle name="Currency 2 2 2 6 2 3 4" xfId="20987" xr:uid="{2F3894A2-D9DE-4E71-9605-E2F3803ADE74}"/>
    <cellStyle name="Currency 2 2 2 6 2 4" xfId="8672" xr:uid="{B4DC36C4-44D7-4509-A9C6-ECBB1ECC0FED}"/>
    <cellStyle name="Currency 2 2 2 6 2 4 2" xfId="13880" xr:uid="{5AA431C2-6679-4974-A643-F377E3290093}"/>
    <cellStyle name="Currency 2 2 2 6 2 4 2 2" xfId="27931" xr:uid="{8DF23992-9CF6-45A0-A6E0-690852E50AB3}"/>
    <cellStyle name="Currency 2 2 2 6 2 4 3" xfId="22723" xr:uid="{FAE4EAA2-F446-47C0-A5F4-94F1FA900140}"/>
    <cellStyle name="Currency 2 2 2 6 2 5" xfId="7804" xr:uid="{811EA432-E9FF-473E-B242-BF1AF8551F37}"/>
    <cellStyle name="Currency 2 2 2 6 2 5 2" xfId="21855" xr:uid="{9CB816B5-1F21-43C9-B191-4009BCB31956}"/>
    <cellStyle name="Currency 2 2 2 6 2 6" xfId="11276" xr:uid="{0BCD8688-7D43-4BDF-9D23-3427423454DD}"/>
    <cellStyle name="Currency 2 2 2 6 2 6 2" xfId="25327" xr:uid="{3B6B4E40-85AE-41AB-9CB1-90B9D6CDE663}"/>
    <cellStyle name="Currency 2 2 2 6 2 7" xfId="19251" xr:uid="{A35AD205-2026-421D-8DA7-EFAEF2D58C0A}"/>
    <cellStyle name="Currency 2 2 2 6 3" xfId="5634" xr:uid="{CD4AC396-0733-4E8B-8446-FA200D880EB6}"/>
    <cellStyle name="Currency 2 2 2 6 3 2" xfId="9106" xr:uid="{C67E5DB9-5568-4D84-B826-201B9D5B4247}"/>
    <cellStyle name="Currency 2 2 2 6 3 2 2" xfId="23157" xr:uid="{BA2E4123-03A2-474A-8DD4-B0375D5F4656}"/>
    <cellStyle name="Currency 2 2 2 6 3 3" xfId="11710" xr:uid="{3E8BCDBB-A933-4C33-A2A6-BE70DC2A8C5B}"/>
    <cellStyle name="Currency 2 2 2 6 3 3 2" xfId="25761" xr:uid="{3F2A08AE-47B7-4134-B6EF-BBC907C57E84}"/>
    <cellStyle name="Currency 2 2 2 6 3 4" xfId="19685" xr:uid="{39FA57B2-67DC-4F16-BD76-865A0D7B67D8}"/>
    <cellStyle name="Currency 2 2 2 6 4" xfId="6502" xr:uid="{3E0D575D-54EC-4CB8-AB84-BA1F85D6C465}"/>
    <cellStyle name="Currency 2 2 2 6 4 2" xfId="9974" xr:uid="{3E24DEA3-AD46-462E-8BEC-0CA5A27C83FF}"/>
    <cellStyle name="Currency 2 2 2 6 4 2 2" xfId="24025" xr:uid="{4C74D2ED-35C4-4897-B515-DAF66745E7EA}"/>
    <cellStyle name="Currency 2 2 2 6 4 3" xfId="12578" xr:uid="{EA47D860-0357-456A-A8C6-9AB7B09C1F35}"/>
    <cellStyle name="Currency 2 2 2 6 4 3 2" xfId="26629" xr:uid="{79D5F9EF-46A2-4209-9154-B45CA61F9190}"/>
    <cellStyle name="Currency 2 2 2 6 4 4" xfId="20553" xr:uid="{135AB97A-4D0D-40A5-B5C5-411919331B39}"/>
    <cellStyle name="Currency 2 2 2 6 5" xfId="8238" xr:uid="{DBB913D4-6623-45C8-A6EF-5B5F53B2FCB0}"/>
    <cellStyle name="Currency 2 2 2 6 5 2" xfId="13446" xr:uid="{A524114F-C541-4768-8C6D-692E33C8CDFB}"/>
    <cellStyle name="Currency 2 2 2 6 5 2 2" xfId="27497" xr:uid="{9963E142-9FFD-45E3-A818-396DCB0387BD}"/>
    <cellStyle name="Currency 2 2 2 6 5 3" xfId="22289" xr:uid="{6FB349B7-472A-49C3-AAB2-5454D6F1AD6D}"/>
    <cellStyle name="Currency 2 2 2 6 6" xfId="7370" xr:uid="{84F3BC8E-9EC5-4994-B51B-EED5EF6DE333}"/>
    <cellStyle name="Currency 2 2 2 6 6 2" xfId="21421" xr:uid="{BA13B6D5-87CE-43AB-A5D5-F9FB6F3080CD}"/>
    <cellStyle name="Currency 2 2 2 6 7" xfId="10842" xr:uid="{30ABE5AC-2D80-4109-87D9-17584C2D9790}"/>
    <cellStyle name="Currency 2 2 2 6 7 2" xfId="24893" xr:uid="{A9F3DE4D-D310-4C1F-8F8B-120C48F594F3}"/>
    <cellStyle name="Currency 2 2 2 6 8" xfId="16476" xr:uid="{99A065B8-2E0C-4BFB-8A28-AEE9CCCC09BD}"/>
    <cellStyle name="Currency 2 2 2 7" xfId="4618" xr:uid="{003E2816-34DD-4587-8F22-36DD9076F6BB}"/>
    <cellStyle name="Currency 2 2 2 7 2" xfId="5391" xr:uid="{62BAAB4D-2562-4348-B29E-A2C997347A20}"/>
    <cellStyle name="Currency 2 2 2 7 2 2" xfId="6259" xr:uid="{B987839B-4FC5-48F1-BA31-A0BFF26508AF}"/>
    <cellStyle name="Currency 2 2 2 7 2 2 2" xfId="9731" xr:uid="{19CEC75D-FCC5-4881-9A50-A2393C8A9B63}"/>
    <cellStyle name="Currency 2 2 2 7 2 2 2 2" xfId="23782" xr:uid="{E887848E-4B5E-441B-8A63-60CB852C506A}"/>
    <cellStyle name="Currency 2 2 2 7 2 2 3" xfId="12335" xr:uid="{F8F58C5C-5C34-489D-B1C3-D678690D6C4B}"/>
    <cellStyle name="Currency 2 2 2 7 2 2 3 2" xfId="26386" xr:uid="{57367A47-5E87-4928-8B3B-FF0A6ED80FA8}"/>
    <cellStyle name="Currency 2 2 2 7 2 2 4" xfId="20310" xr:uid="{1A4F7944-5813-406A-88BA-C30608B8D018}"/>
    <cellStyle name="Currency 2 2 2 7 2 3" xfId="7127" xr:uid="{D958BC7E-95EC-4113-B151-73DF067C5933}"/>
    <cellStyle name="Currency 2 2 2 7 2 3 2" xfId="10599" xr:uid="{78632378-860A-4A8F-9CAE-50AEFAD2CA02}"/>
    <cellStyle name="Currency 2 2 2 7 2 3 2 2" xfId="24650" xr:uid="{AA50502D-F71C-4DD4-BA4C-AFCF2926D034}"/>
    <cellStyle name="Currency 2 2 2 7 2 3 3" xfId="13203" xr:uid="{EC570272-F80C-4607-B52D-3A0D88BC66DB}"/>
    <cellStyle name="Currency 2 2 2 7 2 3 3 2" xfId="27254" xr:uid="{8F998DB9-68A2-4A6F-A4F6-8B06AFE2C005}"/>
    <cellStyle name="Currency 2 2 2 7 2 3 4" xfId="21178" xr:uid="{4F4C9D2C-DAE3-43C9-ADDC-744915B4D920}"/>
    <cellStyle name="Currency 2 2 2 7 2 4" xfId="8863" xr:uid="{2659EEBD-B075-4BAF-A5DB-A3E4B0A9EA11}"/>
    <cellStyle name="Currency 2 2 2 7 2 4 2" xfId="14071" xr:uid="{BC0EFAC2-826D-4D2D-AFDB-02E69D7D888A}"/>
    <cellStyle name="Currency 2 2 2 7 2 4 2 2" xfId="28122" xr:uid="{FC82FB3D-FD6F-4F4E-977F-0C4266F3386D}"/>
    <cellStyle name="Currency 2 2 2 7 2 4 3" xfId="22914" xr:uid="{6A4C7113-60B8-45CA-9EB3-9692C0786358}"/>
    <cellStyle name="Currency 2 2 2 7 2 5" xfId="7995" xr:uid="{FBC12DAA-F880-42BA-95D5-C099447270B6}"/>
    <cellStyle name="Currency 2 2 2 7 2 5 2" xfId="22046" xr:uid="{3C7A07B5-F4E6-4D9C-809C-D638D5B4DC39}"/>
    <cellStyle name="Currency 2 2 2 7 2 6" xfId="11467" xr:uid="{500B60D0-52D8-4EA0-B500-3F6FF9878489}"/>
    <cellStyle name="Currency 2 2 2 7 2 6 2" xfId="25518" xr:uid="{30C637B2-C743-4245-BE58-835B5F9FA64A}"/>
    <cellStyle name="Currency 2 2 2 7 2 7" xfId="19442" xr:uid="{5EB3E583-843B-4512-B36E-0F50BCEC377A}"/>
    <cellStyle name="Currency 2 2 2 7 3" xfId="5825" xr:uid="{8FCCB30F-D45A-4C60-BA67-149CEECEAA7C}"/>
    <cellStyle name="Currency 2 2 2 7 3 2" xfId="9297" xr:uid="{6407280C-83D2-4158-A033-F2A93F827859}"/>
    <cellStyle name="Currency 2 2 2 7 3 2 2" xfId="23348" xr:uid="{2DB03754-9AFD-4728-9BA2-7F0C3B073CD3}"/>
    <cellStyle name="Currency 2 2 2 7 3 3" xfId="11901" xr:uid="{067D7827-E8B0-482A-87A3-917DF508C3CD}"/>
    <cellStyle name="Currency 2 2 2 7 3 3 2" xfId="25952" xr:uid="{8B7882A2-237B-4250-8748-0FEBE63719D0}"/>
    <cellStyle name="Currency 2 2 2 7 3 4" xfId="19876" xr:uid="{2F15C63E-A4F2-4930-9DB5-C0642241A505}"/>
    <cellStyle name="Currency 2 2 2 7 4" xfId="6693" xr:uid="{DDD5F617-0F46-4450-8E1D-CDB760256917}"/>
    <cellStyle name="Currency 2 2 2 7 4 2" xfId="10165" xr:uid="{34AC7D90-4250-4E4D-8A60-E1BC3C9CB231}"/>
    <cellStyle name="Currency 2 2 2 7 4 2 2" xfId="24216" xr:uid="{40AFFE83-6EFA-4E40-AB04-0E439EF47898}"/>
    <cellStyle name="Currency 2 2 2 7 4 3" xfId="12769" xr:uid="{C11EABB6-F4FC-4497-83A4-462C7E5797EC}"/>
    <cellStyle name="Currency 2 2 2 7 4 3 2" xfId="26820" xr:uid="{D7C9C033-41E4-4BE7-B9C7-8BD7AF9471A0}"/>
    <cellStyle name="Currency 2 2 2 7 4 4" xfId="20744" xr:uid="{716FDC89-15DB-4AC6-8F88-B80CE37F63EB}"/>
    <cellStyle name="Currency 2 2 2 7 5" xfId="8429" xr:uid="{7EE29542-1CD6-41D7-9094-A18C4997711B}"/>
    <cellStyle name="Currency 2 2 2 7 5 2" xfId="13637" xr:uid="{DE56A8D0-7A6E-47A4-AA37-13E71F0AAD9A}"/>
    <cellStyle name="Currency 2 2 2 7 5 2 2" xfId="27688" xr:uid="{984F88AD-5324-41E4-982A-54412A7E10F7}"/>
    <cellStyle name="Currency 2 2 2 7 5 3" xfId="22480" xr:uid="{76079EEE-1128-4305-9964-D772EABFACC9}"/>
    <cellStyle name="Currency 2 2 2 7 6" xfId="7561" xr:uid="{FBDA22C8-9B65-4FE4-BE94-3B3AA5271DA8}"/>
    <cellStyle name="Currency 2 2 2 7 6 2" xfId="21612" xr:uid="{27EFB058-6C6C-4A01-B64A-DC5A905D2AF9}"/>
    <cellStyle name="Currency 2 2 2 7 7" xfId="11033" xr:uid="{8100ED6C-A9AD-4D5E-9AED-0C75D5C1808E}"/>
    <cellStyle name="Currency 2 2 2 7 7 2" xfId="25084" xr:uid="{39E9B208-E6CF-4E05-B8DC-82DB87BBFA20}"/>
    <cellStyle name="Currency 2 2 2 7 8" xfId="18670" xr:uid="{DA5F15F1-7D9B-4A29-8618-F6AFEC578F00}"/>
    <cellStyle name="Currency 2 2 2 8" xfId="5005" xr:uid="{8E35B05B-BF8B-46DF-8BDD-319F451B1596}"/>
    <cellStyle name="Currency 2 2 2 8 2" xfId="5873" xr:uid="{B0365DA7-6236-4E07-B077-B907BFFECE46}"/>
    <cellStyle name="Currency 2 2 2 8 2 2" xfId="9345" xr:uid="{B207D6A0-ACF4-4521-8418-2C064D261944}"/>
    <cellStyle name="Currency 2 2 2 8 2 2 2" xfId="23396" xr:uid="{5D355AF1-45D2-4504-9C7B-376CDD968FD3}"/>
    <cellStyle name="Currency 2 2 2 8 2 3" xfId="11949" xr:uid="{09D08C40-E7F7-406A-B2EA-79D48537EF14}"/>
    <cellStyle name="Currency 2 2 2 8 2 3 2" xfId="26000" xr:uid="{A4565573-A5FE-4789-9B70-1CEA3569F73D}"/>
    <cellStyle name="Currency 2 2 2 8 2 4" xfId="19924" xr:uid="{D5D5F957-F421-4F91-9B57-BC33CAA73BA9}"/>
    <cellStyle name="Currency 2 2 2 8 3" xfId="6741" xr:uid="{5B0FD470-8FF4-42E6-BAD4-73F5C2EF8903}"/>
    <cellStyle name="Currency 2 2 2 8 3 2" xfId="10213" xr:uid="{D76EB3F3-A47D-4D30-9C43-F85D258DE136}"/>
    <cellStyle name="Currency 2 2 2 8 3 2 2" xfId="24264" xr:uid="{B93F1271-B296-4B6F-89A3-A4B5590AB393}"/>
    <cellStyle name="Currency 2 2 2 8 3 3" xfId="12817" xr:uid="{1D1DB410-05AF-466D-A689-BC8FF0639B50}"/>
    <cellStyle name="Currency 2 2 2 8 3 3 2" xfId="26868" xr:uid="{0B228B65-7046-47C6-95AB-5AFDA6A155D5}"/>
    <cellStyle name="Currency 2 2 2 8 3 4" xfId="20792" xr:uid="{412FB1FB-2287-43DE-8107-2664D211D7B3}"/>
    <cellStyle name="Currency 2 2 2 8 4" xfId="8477" xr:uid="{1E503EA9-D436-4EF4-A709-9864653C3CD9}"/>
    <cellStyle name="Currency 2 2 2 8 4 2" xfId="13685" xr:uid="{E82F6E6D-154E-4D43-90BA-55C9CFCD41EB}"/>
    <cellStyle name="Currency 2 2 2 8 4 2 2" xfId="27736" xr:uid="{6021A98C-92BD-4F15-B750-4AC5186FDE32}"/>
    <cellStyle name="Currency 2 2 2 8 4 3" xfId="22528" xr:uid="{0FB6F906-4CC9-455B-A808-FE9C2125971E}"/>
    <cellStyle name="Currency 2 2 2 8 5" xfId="7609" xr:uid="{0F1613EC-46FF-4763-8BF7-898865194634}"/>
    <cellStyle name="Currency 2 2 2 8 5 2" xfId="21660" xr:uid="{FCD2C392-F53A-466A-9973-8F4E42BC91E2}"/>
    <cellStyle name="Currency 2 2 2 8 6" xfId="11081" xr:uid="{C15DFD59-B4CA-45D2-B19B-777AC8B7136C}"/>
    <cellStyle name="Currency 2 2 2 8 6 2" xfId="25132" xr:uid="{7CEED7EA-59CF-4CFD-8F49-84A663E0715E}"/>
    <cellStyle name="Currency 2 2 2 8 7" xfId="19056" xr:uid="{141BF87C-2508-4A20-B77E-F0F1D1388B53}"/>
    <cellStyle name="Currency 2 2 2 9" xfId="5439" xr:uid="{6DA12240-7551-48B5-9FC8-E11D5B4E6C18}"/>
    <cellStyle name="Currency 2 2 2 9 2" xfId="8911" xr:uid="{921C27F3-646E-41B1-B7B3-5A661F7D5896}"/>
    <cellStyle name="Currency 2 2 2 9 2 2" xfId="22962" xr:uid="{6F32F477-7315-4B23-BAB9-547FC12A4E25}"/>
    <cellStyle name="Currency 2 2 2 9 3" xfId="11515" xr:uid="{C7B6F4EF-E947-4242-9146-5CA12CB6CF9D}"/>
    <cellStyle name="Currency 2 2 2 9 3 2" xfId="25566" xr:uid="{D1D7210E-00BC-4BD0-BA05-64550CB57611}"/>
    <cellStyle name="Currency 2 2 2 9 4" xfId="19490" xr:uid="{E6D5E8C6-5A73-4552-9DC0-0869BA9FD6F9}"/>
    <cellStyle name="Currency 2 2 3" xfId="165" xr:uid="{72B311DB-F9C1-4D51-9593-98EDFF1A482F}"/>
    <cellStyle name="Currency 2 2 3 10" xfId="6302" xr:uid="{FCA4F781-84D1-4CD6-8E1A-6A573F946F3D}"/>
    <cellStyle name="Currency 2 2 3 10 2" xfId="9774" xr:uid="{7FEA47CD-3498-4DF5-92B1-45B188764BDB}"/>
    <cellStyle name="Currency 2 2 3 10 2 2" xfId="23825" xr:uid="{3F19597B-EE34-42AF-92E8-19631E9731CC}"/>
    <cellStyle name="Currency 2 2 3 10 3" xfId="12378" xr:uid="{241D49AA-5A6B-4ABC-AB58-575336429134}"/>
    <cellStyle name="Currency 2 2 3 10 3 2" xfId="26429" xr:uid="{56456044-0E0D-46C0-A99F-A7431183E45D}"/>
    <cellStyle name="Currency 2 2 3 10 4" xfId="20353" xr:uid="{0B0295EA-A433-4673-BB8D-7D2B497E6674}"/>
    <cellStyle name="Currency 2 2 3 11" xfId="8038" xr:uid="{DD3A44E0-CBA2-4E56-AA6C-5323575DE8D9}"/>
    <cellStyle name="Currency 2 2 3 11 2" xfId="13246" xr:uid="{C085DD58-B4F2-4006-A2BF-1A47A5974EEE}"/>
    <cellStyle name="Currency 2 2 3 11 2 2" xfId="27297" xr:uid="{945459B4-9528-4C93-AA95-2D732A2EFB49}"/>
    <cellStyle name="Currency 2 2 3 11 3" xfId="22089" xr:uid="{FA71375C-468D-46F6-AB4D-A12B2D1157BE}"/>
    <cellStyle name="Currency 2 2 3 12" xfId="7170" xr:uid="{B2AFAD5B-3339-4561-9687-3348761CB601}"/>
    <cellStyle name="Currency 2 2 3 12 2" xfId="21221" xr:uid="{88CC904B-3A02-442B-84C6-E5112E26AA60}"/>
    <cellStyle name="Currency 2 2 3 13" xfId="10642" xr:uid="{A2FE062D-04AD-4177-8896-C6E4E65270D1}"/>
    <cellStyle name="Currency 2 2 3 13 2" xfId="24693" xr:uid="{7523119A-68F6-4DB6-A97B-5F889882365D}"/>
    <cellStyle name="Currency 2 2 3 14" xfId="14224" xr:uid="{D65D5047-8AF1-4D1D-8649-039CEB301B72}"/>
    <cellStyle name="Currency 2 2 3 2" xfId="342" xr:uid="{4A1DBCEE-0AD7-4BA2-A242-15699CF91EEB}"/>
    <cellStyle name="Currency 2 2 3 2 10" xfId="8054" xr:uid="{071BE9EB-048A-4BBD-9471-C677C517DDC9}"/>
    <cellStyle name="Currency 2 2 3 2 10 2" xfId="13262" xr:uid="{50377364-B401-42DD-91C5-9CE23129B229}"/>
    <cellStyle name="Currency 2 2 3 2 10 2 2" xfId="27313" xr:uid="{353C1EE2-681B-4E29-9339-7378BF7D3BFE}"/>
    <cellStyle name="Currency 2 2 3 2 10 3" xfId="22105" xr:uid="{7C4D864F-33E0-44D5-9873-115CFE8F3771}"/>
    <cellStyle name="Currency 2 2 3 2 11" xfId="7186" xr:uid="{59565669-19DB-497C-9D04-CA7429BCCAC3}"/>
    <cellStyle name="Currency 2 2 3 2 11 2" xfId="21237" xr:uid="{5DE91D2C-7785-4920-86D3-C70A7C1F6C46}"/>
    <cellStyle name="Currency 2 2 3 2 12" xfId="10658" xr:uid="{F0516DA3-6C3C-45E5-A668-FC6AB0634D34}"/>
    <cellStyle name="Currency 2 2 3 2 12 2" xfId="24709" xr:uid="{2EFD5863-1716-4FB8-91DD-17085D130A46}"/>
    <cellStyle name="Currency 2 2 3 2 13" xfId="14399" xr:uid="{79886E69-452E-4636-B0AD-49C5969D6F59}"/>
    <cellStyle name="Currency 2 2 3 2 2" xfId="696" xr:uid="{CBFCAD1B-0C32-43D5-AFF7-CE32167C9698}"/>
    <cellStyle name="Currency 2 2 3 2 2 10" xfId="14747" xr:uid="{BA1A2CE0-AFEF-4884-B20A-B6795A16DB91}"/>
    <cellStyle name="Currency 2 2 3 2 2 2" xfId="1797" xr:uid="{72B0E857-2AB9-4F48-AB6C-0D2CBF673808}"/>
    <cellStyle name="Currency 2 2 3 2 2 2 2" xfId="3986" xr:uid="{0E7FBB53-7233-4F20-9AA5-DA67B9EF8677}"/>
    <cellStyle name="Currency 2 2 3 2 2 2 2 2" xfId="5336" xr:uid="{2EF71D67-1BFC-4BC0-BBF3-B69052F84934}"/>
    <cellStyle name="Currency 2 2 3 2 2 2 2 2 2" xfId="6204" xr:uid="{C724EFBA-420A-4866-84F4-70DE89AA2E3D}"/>
    <cellStyle name="Currency 2 2 3 2 2 2 2 2 2 2" xfId="9676" xr:uid="{9EEBFC50-ACD3-4093-9047-D4423ACADCB4}"/>
    <cellStyle name="Currency 2 2 3 2 2 2 2 2 2 2 2" xfId="23727" xr:uid="{00A05A71-F1BA-4B15-A422-CC5544490676}"/>
    <cellStyle name="Currency 2 2 3 2 2 2 2 2 2 3" xfId="12280" xr:uid="{5CFB0434-EB5F-4C95-B85D-566AC4156CFB}"/>
    <cellStyle name="Currency 2 2 3 2 2 2 2 2 2 3 2" xfId="26331" xr:uid="{4419F6A8-92F3-42C8-9B1B-0FC3F05551E1}"/>
    <cellStyle name="Currency 2 2 3 2 2 2 2 2 2 4" xfId="20255" xr:uid="{17ACF19E-A2EF-42C1-8EDB-2B36C9432C23}"/>
    <cellStyle name="Currency 2 2 3 2 2 2 2 2 3" xfId="7072" xr:uid="{5E09A8B3-5EEF-48FD-9F0A-CAF27CB8D128}"/>
    <cellStyle name="Currency 2 2 3 2 2 2 2 2 3 2" xfId="10544" xr:uid="{F64BF03C-9230-4532-9D2C-EE66AA743367}"/>
    <cellStyle name="Currency 2 2 3 2 2 2 2 2 3 2 2" xfId="24595" xr:uid="{894C60BF-EC2D-4755-8080-3C902155C440}"/>
    <cellStyle name="Currency 2 2 3 2 2 2 2 2 3 3" xfId="13148" xr:uid="{AC251E96-2DF1-4DDF-B1CF-85F78E4EC639}"/>
    <cellStyle name="Currency 2 2 3 2 2 2 2 2 3 3 2" xfId="27199" xr:uid="{010337AA-B80A-46B9-8C8B-864567B7DB8D}"/>
    <cellStyle name="Currency 2 2 3 2 2 2 2 2 3 4" xfId="21123" xr:uid="{AD878949-471C-4382-AF9D-1C1CF88E5015}"/>
    <cellStyle name="Currency 2 2 3 2 2 2 2 2 4" xfId="8808" xr:uid="{01DCBF8D-A2BF-45A4-803A-EF3171225BAB}"/>
    <cellStyle name="Currency 2 2 3 2 2 2 2 2 4 2" xfId="14016" xr:uid="{3FBC3150-1005-4EB0-9F2E-A794D81B85BE}"/>
    <cellStyle name="Currency 2 2 3 2 2 2 2 2 4 2 2" xfId="28067" xr:uid="{7CA56848-512F-4B9D-BF37-E1EAD3E607F5}"/>
    <cellStyle name="Currency 2 2 3 2 2 2 2 2 4 3" xfId="22859" xr:uid="{230F2911-E14C-4DFF-AFFB-4E386B0E8B7B}"/>
    <cellStyle name="Currency 2 2 3 2 2 2 2 2 5" xfId="7940" xr:uid="{9EDAF341-47EC-4313-B1F0-DB0D2ED1A123}"/>
    <cellStyle name="Currency 2 2 3 2 2 2 2 2 5 2" xfId="21991" xr:uid="{46E247D4-2727-47CD-B4CA-C2B87D3157B9}"/>
    <cellStyle name="Currency 2 2 3 2 2 2 2 2 6" xfId="11412" xr:uid="{0A5A8923-670B-4116-840E-9D2A2C9FDD19}"/>
    <cellStyle name="Currency 2 2 3 2 2 2 2 2 6 2" xfId="25463" xr:uid="{CBFEEF95-80FA-4ECA-A49A-D3CC14A501D7}"/>
    <cellStyle name="Currency 2 2 3 2 2 2 2 2 7" xfId="19387" xr:uid="{8CA9B17F-22DF-4A93-8FE9-E6FB132015EA}"/>
    <cellStyle name="Currency 2 2 3 2 2 2 2 3" xfId="5770" xr:uid="{01C6591A-E5B6-415B-895E-49B829CC88BE}"/>
    <cellStyle name="Currency 2 2 3 2 2 2 2 3 2" xfId="9242" xr:uid="{603A075C-4757-4A8D-9773-818D338DA11C}"/>
    <cellStyle name="Currency 2 2 3 2 2 2 2 3 2 2" xfId="23293" xr:uid="{DA9D719B-A182-40DA-8787-0696F12A13A8}"/>
    <cellStyle name="Currency 2 2 3 2 2 2 2 3 3" xfId="11846" xr:uid="{FA3C339D-CE3C-42CF-98F9-D70C18000EC4}"/>
    <cellStyle name="Currency 2 2 3 2 2 2 2 3 3 2" xfId="25897" xr:uid="{BAFCA199-4749-45CA-B4A6-2B0B2FEAFF90}"/>
    <cellStyle name="Currency 2 2 3 2 2 2 2 3 4" xfId="19821" xr:uid="{BEC95093-7EAD-4301-80C4-2D55DB0573CA}"/>
    <cellStyle name="Currency 2 2 3 2 2 2 2 4" xfId="6638" xr:uid="{5250D479-FDDF-4203-9F49-C0684F43FEFA}"/>
    <cellStyle name="Currency 2 2 3 2 2 2 2 4 2" xfId="10110" xr:uid="{8A165EF3-020C-4C3B-8E04-BA12C237208B}"/>
    <cellStyle name="Currency 2 2 3 2 2 2 2 4 2 2" xfId="24161" xr:uid="{D58430F5-DFAE-4215-B01D-09503C8158D0}"/>
    <cellStyle name="Currency 2 2 3 2 2 2 2 4 3" xfId="12714" xr:uid="{B350CE0E-9CF6-4D27-9AFB-D45B92ED2EA5}"/>
    <cellStyle name="Currency 2 2 3 2 2 2 2 4 3 2" xfId="26765" xr:uid="{C4869582-7586-42AB-BA2A-236829424392}"/>
    <cellStyle name="Currency 2 2 3 2 2 2 2 4 4" xfId="20689" xr:uid="{B3089AFD-0DC1-41B6-8D9B-2B7643651BEB}"/>
    <cellStyle name="Currency 2 2 3 2 2 2 2 5" xfId="8374" xr:uid="{4A919FF4-8C28-4032-9A04-B31067B838C9}"/>
    <cellStyle name="Currency 2 2 3 2 2 2 2 5 2" xfId="13582" xr:uid="{B64C6A86-D5BC-4B13-BF64-3FDE7DC3CA53}"/>
    <cellStyle name="Currency 2 2 3 2 2 2 2 5 2 2" xfId="27633" xr:uid="{40B19B67-B4A4-4528-85EB-7AE7F26DB43C}"/>
    <cellStyle name="Currency 2 2 3 2 2 2 2 5 3" xfId="22425" xr:uid="{6DD46670-D021-4EA3-B64C-94B365435AE1}"/>
    <cellStyle name="Currency 2 2 3 2 2 2 2 6" xfId="7506" xr:uid="{EB4C05EE-3BED-4732-A8A6-29443B0AAEBB}"/>
    <cellStyle name="Currency 2 2 3 2 2 2 2 6 2" xfId="21557" xr:uid="{8FAC29C2-9752-4699-A549-B582A08874AF}"/>
    <cellStyle name="Currency 2 2 3 2 2 2 2 7" xfId="10978" xr:uid="{68CC221A-1BE8-4F8B-AFE0-54FE39904BF0}"/>
    <cellStyle name="Currency 2 2 3 2 2 2 2 7 2" xfId="25029" xr:uid="{5115CD49-C0B1-454B-ADC6-9E83A3146414}"/>
    <cellStyle name="Currency 2 2 3 2 2 2 2 8" xfId="18038" xr:uid="{D09A69E3-4703-4928-9F5F-105D9E6EF731}"/>
    <cellStyle name="Currency 2 2 3 2 2 2 3" xfId="5146" xr:uid="{1F6D6729-7B4E-4668-B8E4-90205DF51D71}"/>
    <cellStyle name="Currency 2 2 3 2 2 2 3 2" xfId="6014" xr:uid="{463BFCEF-38C3-4758-98EE-D55FDFFAE223}"/>
    <cellStyle name="Currency 2 2 3 2 2 2 3 2 2" xfId="9486" xr:uid="{6A68121B-1476-4AE1-98E2-2DC483F24772}"/>
    <cellStyle name="Currency 2 2 3 2 2 2 3 2 2 2" xfId="23537" xr:uid="{847FE351-2B16-4E85-99BB-4FB2C7E93036}"/>
    <cellStyle name="Currency 2 2 3 2 2 2 3 2 3" xfId="12090" xr:uid="{40B26F30-3896-4A2E-98B4-A77D3D219460}"/>
    <cellStyle name="Currency 2 2 3 2 2 2 3 2 3 2" xfId="26141" xr:uid="{EEC36F63-C96A-4C14-8ECA-AC29553CD0DB}"/>
    <cellStyle name="Currency 2 2 3 2 2 2 3 2 4" xfId="20065" xr:uid="{1B56908C-63D3-4F23-A15F-F647EE986B19}"/>
    <cellStyle name="Currency 2 2 3 2 2 2 3 3" xfId="6882" xr:uid="{01D55E86-04DE-4444-99F9-2468CE3AC2C3}"/>
    <cellStyle name="Currency 2 2 3 2 2 2 3 3 2" xfId="10354" xr:uid="{69620732-9E6D-464D-BD0C-34BF52294173}"/>
    <cellStyle name="Currency 2 2 3 2 2 2 3 3 2 2" xfId="24405" xr:uid="{60BB4CCC-5A61-4DB6-970D-2FDB1A2AFCFF}"/>
    <cellStyle name="Currency 2 2 3 2 2 2 3 3 3" xfId="12958" xr:uid="{E9635E55-9B4F-476C-B376-222F3C271756}"/>
    <cellStyle name="Currency 2 2 3 2 2 2 3 3 3 2" xfId="27009" xr:uid="{AFBCC754-0700-4050-BFED-DB1791245786}"/>
    <cellStyle name="Currency 2 2 3 2 2 2 3 3 4" xfId="20933" xr:uid="{F83331B5-8766-4EA6-8A51-6642601CFB4F}"/>
    <cellStyle name="Currency 2 2 3 2 2 2 3 4" xfId="8618" xr:uid="{79BA6543-EFA0-4065-9A42-5D780B6E7E6B}"/>
    <cellStyle name="Currency 2 2 3 2 2 2 3 4 2" xfId="13826" xr:uid="{AB52FEEB-DA74-4094-8F11-099C916A16EE}"/>
    <cellStyle name="Currency 2 2 3 2 2 2 3 4 2 2" xfId="27877" xr:uid="{904AB574-7D1C-4932-A57E-4B7765FA656F}"/>
    <cellStyle name="Currency 2 2 3 2 2 2 3 4 3" xfId="22669" xr:uid="{BEB7F63A-6684-4357-A554-F8F255286523}"/>
    <cellStyle name="Currency 2 2 3 2 2 2 3 5" xfId="7750" xr:uid="{1ECB1846-CE59-4845-A1EE-BF66762501AF}"/>
    <cellStyle name="Currency 2 2 3 2 2 2 3 5 2" xfId="21801" xr:uid="{FAF83C81-B67F-4926-A162-7D5A9A01CFF5}"/>
    <cellStyle name="Currency 2 2 3 2 2 2 3 6" xfId="11222" xr:uid="{08B93773-D90A-4231-92F2-20A372246E44}"/>
    <cellStyle name="Currency 2 2 3 2 2 2 3 6 2" xfId="25273" xr:uid="{CD9E5615-1F07-4945-9C2A-16158F5C2BA3}"/>
    <cellStyle name="Currency 2 2 3 2 2 2 3 7" xfId="19197" xr:uid="{AC79A453-4B96-4F89-BC60-639D32DFA35D}"/>
    <cellStyle name="Currency 2 2 3 2 2 2 4" xfId="5580" xr:uid="{6850DA06-634C-441F-8589-2405AFD02246}"/>
    <cellStyle name="Currency 2 2 3 2 2 2 4 2" xfId="9052" xr:uid="{27B5A8FA-DEFC-4F46-B409-062D113E3E0E}"/>
    <cellStyle name="Currency 2 2 3 2 2 2 4 2 2" xfId="23103" xr:uid="{AC3160D0-21AF-4B4D-BA1F-8F350E88B7D4}"/>
    <cellStyle name="Currency 2 2 3 2 2 2 4 3" xfId="11656" xr:uid="{0054425F-988D-431C-97E6-6F3199CC15B8}"/>
    <cellStyle name="Currency 2 2 3 2 2 2 4 3 2" xfId="25707" xr:uid="{9D181B43-C449-40BD-BC90-895D7884977E}"/>
    <cellStyle name="Currency 2 2 3 2 2 2 4 4" xfId="19631" xr:uid="{F600B31B-633B-4CCB-B2D6-90CCDA8CDC94}"/>
    <cellStyle name="Currency 2 2 3 2 2 2 5" xfId="6448" xr:uid="{C1154F9A-9C5D-4F30-A707-8E65C0407190}"/>
    <cellStyle name="Currency 2 2 3 2 2 2 5 2" xfId="9920" xr:uid="{2C53BC15-EEFC-4335-9732-EF72DE3D5076}"/>
    <cellStyle name="Currency 2 2 3 2 2 2 5 2 2" xfId="23971" xr:uid="{EAD50961-6E37-45BB-B6E9-69E7365FE11A}"/>
    <cellStyle name="Currency 2 2 3 2 2 2 5 3" xfId="12524" xr:uid="{E77F803F-711D-47B3-8251-B5CBE6D0227D}"/>
    <cellStyle name="Currency 2 2 3 2 2 2 5 3 2" xfId="26575" xr:uid="{B6A3DF63-004C-4EA7-AB06-616879DEC7A3}"/>
    <cellStyle name="Currency 2 2 3 2 2 2 5 4" xfId="20499" xr:uid="{A22C57A7-A16C-4479-985D-0851C0CEDA90}"/>
    <cellStyle name="Currency 2 2 3 2 2 2 6" xfId="8184" xr:uid="{CE03CDBF-ED07-40E4-A05C-9638F5B4416D}"/>
    <cellStyle name="Currency 2 2 3 2 2 2 6 2" xfId="13392" xr:uid="{0D81F075-A7CE-4A23-ACC9-668406144FF7}"/>
    <cellStyle name="Currency 2 2 3 2 2 2 6 2 2" xfId="27443" xr:uid="{B8F7E355-86E8-40F4-BCE0-B6BCE03985C0}"/>
    <cellStyle name="Currency 2 2 3 2 2 2 6 3" xfId="22235" xr:uid="{B4CF4DAE-0118-4DC8-A005-67F306E2EE79}"/>
    <cellStyle name="Currency 2 2 3 2 2 2 7" xfId="7316" xr:uid="{A528EC30-EBF8-4123-8D3E-4AC96DF6457E}"/>
    <cellStyle name="Currency 2 2 3 2 2 2 7 2" xfId="21367" xr:uid="{24E712FB-95FE-46D9-B2C8-DEA363CA676B}"/>
    <cellStyle name="Currency 2 2 3 2 2 2 8" xfId="10788" xr:uid="{16A57634-431B-4020-A9AF-96F9872B5999}"/>
    <cellStyle name="Currency 2 2 3 2 2 2 8 2" xfId="24839" xr:uid="{0D289710-1316-46A1-9407-337990009DD9}"/>
    <cellStyle name="Currency 2 2 3 2 2 2 9" xfId="15846" xr:uid="{0A996AF7-2103-4120-8479-0F0D618ABA7D}"/>
    <cellStyle name="Currency 2 2 3 2 2 3" xfId="2888" xr:uid="{B621CDCB-A594-4161-8B41-F55353C725D2}"/>
    <cellStyle name="Currency 2 2 3 2 2 3 2" xfId="5240" xr:uid="{BD2A14B0-B963-4C14-ADE1-74B94F7A5144}"/>
    <cellStyle name="Currency 2 2 3 2 2 3 2 2" xfId="6108" xr:uid="{B59EBB49-B825-4915-8534-973C94573FF9}"/>
    <cellStyle name="Currency 2 2 3 2 2 3 2 2 2" xfId="9580" xr:uid="{59FCBB50-8475-461B-A558-D9BAEEE5824D}"/>
    <cellStyle name="Currency 2 2 3 2 2 3 2 2 2 2" xfId="23631" xr:uid="{78ED69F8-4595-4CE2-BD93-CBFC19137CE1}"/>
    <cellStyle name="Currency 2 2 3 2 2 3 2 2 3" xfId="12184" xr:uid="{8B433A94-244D-461B-95E6-472493896716}"/>
    <cellStyle name="Currency 2 2 3 2 2 3 2 2 3 2" xfId="26235" xr:uid="{FA8BFF8D-439B-4F21-BCF9-99CEDB975073}"/>
    <cellStyle name="Currency 2 2 3 2 2 3 2 2 4" xfId="20159" xr:uid="{4A7F0B60-71F2-4814-9CBE-65DA7F8EFE91}"/>
    <cellStyle name="Currency 2 2 3 2 2 3 2 3" xfId="6976" xr:uid="{204C6D3E-7F57-4ABB-B43B-1DC5AE789B72}"/>
    <cellStyle name="Currency 2 2 3 2 2 3 2 3 2" xfId="10448" xr:uid="{1B6AC159-D6BD-40FC-A8DB-410E1428432E}"/>
    <cellStyle name="Currency 2 2 3 2 2 3 2 3 2 2" xfId="24499" xr:uid="{7C2477E3-1468-4C0E-8D62-76A13E56DE6B}"/>
    <cellStyle name="Currency 2 2 3 2 2 3 2 3 3" xfId="13052" xr:uid="{633DF56D-8B14-4987-AEF0-C36D50674E38}"/>
    <cellStyle name="Currency 2 2 3 2 2 3 2 3 3 2" xfId="27103" xr:uid="{B1DF1E0F-B8FF-4810-80AC-34B53E91BEF7}"/>
    <cellStyle name="Currency 2 2 3 2 2 3 2 3 4" xfId="21027" xr:uid="{DAF51248-D75E-4575-98C6-E803049DE564}"/>
    <cellStyle name="Currency 2 2 3 2 2 3 2 4" xfId="8712" xr:uid="{CC2943A8-5D31-444E-B3D7-1FF91B212535}"/>
    <cellStyle name="Currency 2 2 3 2 2 3 2 4 2" xfId="13920" xr:uid="{9E18CEED-6066-42AC-8E13-0000F6C56CAB}"/>
    <cellStyle name="Currency 2 2 3 2 2 3 2 4 2 2" xfId="27971" xr:uid="{EE4B0DD2-B3D9-48C2-BF22-53CE7364B1E0}"/>
    <cellStyle name="Currency 2 2 3 2 2 3 2 4 3" xfId="22763" xr:uid="{F87EF73E-A390-460A-AB17-6FB6F14AB4B1}"/>
    <cellStyle name="Currency 2 2 3 2 2 3 2 5" xfId="7844" xr:uid="{6DC8AFA6-EA8F-411D-91DE-C2A5AB0BE950}"/>
    <cellStyle name="Currency 2 2 3 2 2 3 2 5 2" xfId="21895" xr:uid="{E16CC4D9-9034-4C89-9ED6-AE1AEF33CD9E}"/>
    <cellStyle name="Currency 2 2 3 2 2 3 2 6" xfId="11316" xr:uid="{78CA2C90-8FCB-4484-A212-A95696918777}"/>
    <cellStyle name="Currency 2 2 3 2 2 3 2 6 2" xfId="25367" xr:uid="{FC31D4B8-F98C-4BAA-8601-10266B6BF810}"/>
    <cellStyle name="Currency 2 2 3 2 2 3 2 7" xfId="19291" xr:uid="{86233738-FF32-4022-B60D-721639A2B339}"/>
    <cellStyle name="Currency 2 2 3 2 2 3 3" xfId="5674" xr:uid="{32B7EB91-3DE5-4C0B-BF6E-52E563D8BC50}"/>
    <cellStyle name="Currency 2 2 3 2 2 3 3 2" xfId="9146" xr:uid="{0DA6E04E-2E83-4401-9763-C6204C47935F}"/>
    <cellStyle name="Currency 2 2 3 2 2 3 3 2 2" xfId="23197" xr:uid="{5FCCD5B4-FD7D-48A2-82DE-7CB7F1AB6CEC}"/>
    <cellStyle name="Currency 2 2 3 2 2 3 3 3" xfId="11750" xr:uid="{02FE4F36-8C3C-4902-A171-5CBF85B5A35A}"/>
    <cellStyle name="Currency 2 2 3 2 2 3 3 3 2" xfId="25801" xr:uid="{3651DD72-D31F-4B42-ADCE-101F073682F5}"/>
    <cellStyle name="Currency 2 2 3 2 2 3 3 4" xfId="19725" xr:uid="{177BF00D-CFDA-495B-9658-5A7EF5076886}"/>
    <cellStyle name="Currency 2 2 3 2 2 3 4" xfId="6542" xr:uid="{FEAA8859-7E33-4EB6-9C9B-DA9AE3EA12F5}"/>
    <cellStyle name="Currency 2 2 3 2 2 3 4 2" xfId="10014" xr:uid="{CA75C40D-F436-4AD4-8C54-FBA75294D00E}"/>
    <cellStyle name="Currency 2 2 3 2 2 3 4 2 2" xfId="24065" xr:uid="{6FE19AC9-2088-43D4-96ED-1C0C1E358EB2}"/>
    <cellStyle name="Currency 2 2 3 2 2 3 4 3" xfId="12618" xr:uid="{031526E4-A271-4739-95D6-8D6C205413C3}"/>
    <cellStyle name="Currency 2 2 3 2 2 3 4 3 2" xfId="26669" xr:uid="{917DAAF7-1974-40CE-A29D-6DA5CBFE7A66}"/>
    <cellStyle name="Currency 2 2 3 2 2 3 4 4" xfId="20593" xr:uid="{6AFF3109-EFBB-4354-ACCF-ED6A69744251}"/>
    <cellStyle name="Currency 2 2 3 2 2 3 5" xfId="8278" xr:uid="{B24FF31F-598C-4552-8DD2-A6923ABFE132}"/>
    <cellStyle name="Currency 2 2 3 2 2 3 5 2" xfId="13486" xr:uid="{E8AF3F82-1FC5-4902-9FC9-73461C0FEFDB}"/>
    <cellStyle name="Currency 2 2 3 2 2 3 5 2 2" xfId="27537" xr:uid="{3E400B11-09AD-4354-A5C1-77D55B99E245}"/>
    <cellStyle name="Currency 2 2 3 2 2 3 5 3" xfId="22329" xr:uid="{7FF7B0CF-F9C2-4DDA-900A-D87DD9664327}"/>
    <cellStyle name="Currency 2 2 3 2 2 3 6" xfId="7410" xr:uid="{BEF62933-562E-4396-B061-02979ADED47A}"/>
    <cellStyle name="Currency 2 2 3 2 2 3 6 2" xfId="21461" xr:uid="{60431C02-C194-44EC-AEC8-876D224344EE}"/>
    <cellStyle name="Currency 2 2 3 2 2 3 7" xfId="10882" xr:uid="{DAE98591-B6A1-4A54-80BF-A3679667D0C5}"/>
    <cellStyle name="Currency 2 2 3 2 2 3 7 2" xfId="24933" xr:uid="{50939361-B534-4FEC-86E4-3B0F8ED27E5D}"/>
    <cellStyle name="Currency 2 2 3 2 2 3 8" xfId="16940" xr:uid="{B308B419-71A2-4D03-B1AA-6420EF84C192}"/>
    <cellStyle name="Currency 2 2 3 2 2 4" xfId="5048" xr:uid="{6FCFAD04-85EB-4B2B-BE56-FFE431C5FE4A}"/>
    <cellStyle name="Currency 2 2 3 2 2 4 2" xfId="5916" xr:uid="{4833742C-33E7-4FAA-BDF6-087FB75F416E}"/>
    <cellStyle name="Currency 2 2 3 2 2 4 2 2" xfId="9388" xr:uid="{DFB9628D-2693-4C79-A36F-652160517853}"/>
    <cellStyle name="Currency 2 2 3 2 2 4 2 2 2" xfId="23439" xr:uid="{B5CAADE8-A7A9-4D94-9583-3010B5AA4D61}"/>
    <cellStyle name="Currency 2 2 3 2 2 4 2 3" xfId="11992" xr:uid="{C22F0034-4C86-4A02-AE73-C1E7D313F79A}"/>
    <cellStyle name="Currency 2 2 3 2 2 4 2 3 2" xfId="26043" xr:uid="{0C3CD317-1959-4CC4-AFE0-5B7CEB7F11E9}"/>
    <cellStyle name="Currency 2 2 3 2 2 4 2 4" xfId="19967" xr:uid="{CC60FEAB-CC41-4810-9513-A753F5C352FF}"/>
    <cellStyle name="Currency 2 2 3 2 2 4 3" xfId="6784" xr:uid="{22B38807-4FA8-4BAC-9BBC-FB6325A2ACF5}"/>
    <cellStyle name="Currency 2 2 3 2 2 4 3 2" xfId="10256" xr:uid="{28E4B768-AF79-4E12-BEE1-A2BC651EB13B}"/>
    <cellStyle name="Currency 2 2 3 2 2 4 3 2 2" xfId="24307" xr:uid="{DCAED65D-B30A-4C4F-AE57-15506510277B}"/>
    <cellStyle name="Currency 2 2 3 2 2 4 3 3" xfId="12860" xr:uid="{C50178B1-8B51-4A53-9229-06E6F3920EF3}"/>
    <cellStyle name="Currency 2 2 3 2 2 4 3 3 2" xfId="26911" xr:uid="{ABF2E855-1251-4BBE-9A23-6A429186FBC7}"/>
    <cellStyle name="Currency 2 2 3 2 2 4 3 4" xfId="20835" xr:uid="{114D1F9B-07FC-4414-ABB1-8345104E42F3}"/>
    <cellStyle name="Currency 2 2 3 2 2 4 4" xfId="8520" xr:uid="{FDC4BA39-B861-431F-BE9E-BAD45FBE7160}"/>
    <cellStyle name="Currency 2 2 3 2 2 4 4 2" xfId="13728" xr:uid="{C094CDAC-D14A-4A60-8E6B-4D46A5CFC72A}"/>
    <cellStyle name="Currency 2 2 3 2 2 4 4 2 2" xfId="27779" xr:uid="{494CBA5A-E22D-4BEB-BD0D-081469A181B6}"/>
    <cellStyle name="Currency 2 2 3 2 2 4 4 3" xfId="22571" xr:uid="{D64F7558-3BD4-4786-A2E7-D6667534E8F5}"/>
    <cellStyle name="Currency 2 2 3 2 2 4 5" xfId="7652" xr:uid="{48A0DCB6-2269-4D17-9489-DEA79826F654}"/>
    <cellStyle name="Currency 2 2 3 2 2 4 5 2" xfId="21703" xr:uid="{94744734-389A-4DCC-A66B-268BA69C5BE4}"/>
    <cellStyle name="Currency 2 2 3 2 2 4 6" xfId="11124" xr:uid="{2E3B04B3-9A3F-4119-A2CD-8774EBFB8C1A}"/>
    <cellStyle name="Currency 2 2 3 2 2 4 6 2" xfId="25175" xr:uid="{C5BFC271-9599-47EB-8234-536FDC7EE521}"/>
    <cellStyle name="Currency 2 2 3 2 2 4 7" xfId="19099" xr:uid="{12AABDB0-F54B-45EA-B326-F6422DE56F0C}"/>
    <cellStyle name="Currency 2 2 3 2 2 5" xfId="5482" xr:uid="{32A3BA1F-DFC7-4F56-B8CB-5CBD0CA97547}"/>
    <cellStyle name="Currency 2 2 3 2 2 5 2" xfId="8954" xr:uid="{3CC60719-2DAD-4D1C-90DD-A0529759A411}"/>
    <cellStyle name="Currency 2 2 3 2 2 5 2 2" xfId="23005" xr:uid="{F799C5BA-9AAA-4B31-8A5A-EB7BC135D11C}"/>
    <cellStyle name="Currency 2 2 3 2 2 5 3" xfId="11558" xr:uid="{1EC1F60C-88D0-4AFD-BA72-E4CFDA204C35}"/>
    <cellStyle name="Currency 2 2 3 2 2 5 3 2" xfId="25609" xr:uid="{DB646EDA-1D7A-48D1-848D-960292DD3EDF}"/>
    <cellStyle name="Currency 2 2 3 2 2 5 4" xfId="19533" xr:uid="{1183FC3F-133A-4A0D-AFEC-40E12BDBE66A}"/>
    <cellStyle name="Currency 2 2 3 2 2 6" xfId="6350" xr:uid="{47747147-C57C-4B5B-9810-C14E50D1D350}"/>
    <cellStyle name="Currency 2 2 3 2 2 6 2" xfId="9822" xr:uid="{A17A0732-D855-413E-9D09-7A0D167A88E8}"/>
    <cellStyle name="Currency 2 2 3 2 2 6 2 2" xfId="23873" xr:uid="{BC9F4F09-D388-4AC4-8FA8-10EAF7837157}"/>
    <cellStyle name="Currency 2 2 3 2 2 6 3" xfId="12426" xr:uid="{AA9B3D60-F6AD-4966-B97A-2AFB9FD837B7}"/>
    <cellStyle name="Currency 2 2 3 2 2 6 3 2" xfId="26477" xr:uid="{33C90552-9AC8-4806-BB7E-AE3679FD719F}"/>
    <cellStyle name="Currency 2 2 3 2 2 6 4" xfId="20401" xr:uid="{1925472E-6977-49BF-B63A-599DC12304C0}"/>
    <cellStyle name="Currency 2 2 3 2 2 7" xfId="8086" xr:uid="{2A7B1ADB-27B3-40F5-B8A0-AD4D77F5C67A}"/>
    <cellStyle name="Currency 2 2 3 2 2 7 2" xfId="13294" xr:uid="{A263991B-08F2-47BE-8236-F7940312E0FE}"/>
    <cellStyle name="Currency 2 2 3 2 2 7 2 2" xfId="27345" xr:uid="{3A146D3A-5426-4C5B-8919-65E100CB11E4}"/>
    <cellStyle name="Currency 2 2 3 2 2 7 3" xfId="22137" xr:uid="{30694FE1-930A-4D5C-A4DB-21E80CDE100F}"/>
    <cellStyle name="Currency 2 2 3 2 2 8" xfId="7218" xr:uid="{8BA0EE98-EEEB-4823-84F5-19286CA4E2DC}"/>
    <cellStyle name="Currency 2 2 3 2 2 8 2" xfId="21269" xr:uid="{8F30C8F3-AF00-4614-AA49-3C87958C38EC}"/>
    <cellStyle name="Currency 2 2 3 2 2 9" xfId="10690" xr:uid="{5182457F-5C96-453A-AC0C-3C1B5D8E03CB}"/>
    <cellStyle name="Currency 2 2 3 2 2 9 2" xfId="24741" xr:uid="{91E42159-6F00-444D-8320-536B0C4677D3}"/>
    <cellStyle name="Currency 2 2 3 2 3" xfId="1043" xr:uid="{CA9DF655-D857-4575-B49B-682519866331}"/>
    <cellStyle name="Currency 2 2 3 2 3 10" xfId="15093" xr:uid="{F9A93732-9301-419F-9754-08A07F58BD8D}"/>
    <cellStyle name="Currency 2 2 3 2 3 2" xfId="2142" xr:uid="{FE669D89-E488-4193-8E66-E992F5A9995A}"/>
    <cellStyle name="Currency 2 2 3 2 3 2 2" xfId="4331" xr:uid="{457C3793-9007-4AE1-A185-9A26A553602B}"/>
    <cellStyle name="Currency 2 2 3 2 3 2 2 2" xfId="5365" xr:uid="{5F48D59A-1E87-4D75-A9FD-B6A0FFDBD8FD}"/>
    <cellStyle name="Currency 2 2 3 2 3 2 2 2 2" xfId="6233" xr:uid="{62F93450-A7D2-4282-8B82-E3D1E57C2D7C}"/>
    <cellStyle name="Currency 2 2 3 2 3 2 2 2 2 2" xfId="9705" xr:uid="{7477F3AD-B3B6-4BB6-9FF1-173CD50FF3E1}"/>
    <cellStyle name="Currency 2 2 3 2 3 2 2 2 2 2 2" xfId="23756" xr:uid="{43FD2E09-A170-4CF2-84A5-31F735E32444}"/>
    <cellStyle name="Currency 2 2 3 2 3 2 2 2 2 3" xfId="12309" xr:uid="{9DFF8F8A-AB51-4DB1-91AF-A200C0B70942}"/>
    <cellStyle name="Currency 2 2 3 2 3 2 2 2 2 3 2" xfId="26360" xr:uid="{F6DFC05F-A669-46FE-A0FB-0762C73C7165}"/>
    <cellStyle name="Currency 2 2 3 2 3 2 2 2 2 4" xfId="20284" xr:uid="{DE93AC02-2817-45CB-AA6B-29E92756D9DB}"/>
    <cellStyle name="Currency 2 2 3 2 3 2 2 2 3" xfId="7101" xr:uid="{5AA2334D-529C-40E7-A2B3-44CC52A679BE}"/>
    <cellStyle name="Currency 2 2 3 2 3 2 2 2 3 2" xfId="10573" xr:uid="{D416EB94-5288-494F-89E7-966413B5092F}"/>
    <cellStyle name="Currency 2 2 3 2 3 2 2 2 3 2 2" xfId="24624" xr:uid="{1C1564FF-00CE-42E6-91A6-B5E4E231742A}"/>
    <cellStyle name="Currency 2 2 3 2 3 2 2 2 3 3" xfId="13177" xr:uid="{0EEE542D-3836-437A-A3D4-BB277A611B57}"/>
    <cellStyle name="Currency 2 2 3 2 3 2 2 2 3 3 2" xfId="27228" xr:uid="{BB7CDF2E-8020-4544-B895-CBBFFFB6FF68}"/>
    <cellStyle name="Currency 2 2 3 2 3 2 2 2 3 4" xfId="21152" xr:uid="{4A79285C-78A0-4A2E-B21C-DC1E6F07B091}"/>
    <cellStyle name="Currency 2 2 3 2 3 2 2 2 4" xfId="8837" xr:uid="{5CD9A770-F356-48A5-8ACB-5CB350453A54}"/>
    <cellStyle name="Currency 2 2 3 2 3 2 2 2 4 2" xfId="14045" xr:uid="{0E1E90FC-7518-41E8-A1EB-94EE62D4A53F}"/>
    <cellStyle name="Currency 2 2 3 2 3 2 2 2 4 2 2" xfId="28096" xr:uid="{9CB3841F-2F7F-4AFA-AAE8-C8B0E34179AC}"/>
    <cellStyle name="Currency 2 2 3 2 3 2 2 2 4 3" xfId="22888" xr:uid="{2C5EDEED-DEEE-40A1-98C6-F60F89B1BDBB}"/>
    <cellStyle name="Currency 2 2 3 2 3 2 2 2 5" xfId="7969" xr:uid="{8BBD6235-396A-49FC-BBDF-9B70C40B55DD}"/>
    <cellStyle name="Currency 2 2 3 2 3 2 2 2 5 2" xfId="22020" xr:uid="{019BC3E3-A086-44B5-8ECB-F3B3EE9CF315}"/>
    <cellStyle name="Currency 2 2 3 2 3 2 2 2 6" xfId="11441" xr:uid="{98EE195C-C211-4CC6-A95D-05D4D2C99063}"/>
    <cellStyle name="Currency 2 2 3 2 3 2 2 2 6 2" xfId="25492" xr:uid="{C2B6A787-2DC9-4CF5-9FAA-0D90ED7067DA}"/>
    <cellStyle name="Currency 2 2 3 2 3 2 2 2 7" xfId="19416" xr:uid="{70BBFEE2-E73F-4A7B-8CCB-7294154973D5}"/>
    <cellStyle name="Currency 2 2 3 2 3 2 2 3" xfId="5799" xr:uid="{685D405B-229D-45A7-98E3-4FB620CF4CA8}"/>
    <cellStyle name="Currency 2 2 3 2 3 2 2 3 2" xfId="9271" xr:uid="{C7E39B28-A39A-4C86-8047-004FC24F4D67}"/>
    <cellStyle name="Currency 2 2 3 2 3 2 2 3 2 2" xfId="23322" xr:uid="{19BD4465-099B-442F-96CE-7F37608525F4}"/>
    <cellStyle name="Currency 2 2 3 2 3 2 2 3 3" xfId="11875" xr:uid="{EC6FEA44-C2CC-4106-B913-A79A7C235B75}"/>
    <cellStyle name="Currency 2 2 3 2 3 2 2 3 3 2" xfId="25926" xr:uid="{4212F1C3-2888-4C6E-868B-CA5AE67415F0}"/>
    <cellStyle name="Currency 2 2 3 2 3 2 2 3 4" xfId="19850" xr:uid="{17CA9F40-9521-46DA-BA97-649179947B8C}"/>
    <cellStyle name="Currency 2 2 3 2 3 2 2 4" xfId="6667" xr:uid="{03DB1BBB-5DCD-4C64-A41E-C25F49200EC8}"/>
    <cellStyle name="Currency 2 2 3 2 3 2 2 4 2" xfId="10139" xr:uid="{4543461B-EE55-4971-9B10-06D563A3F15D}"/>
    <cellStyle name="Currency 2 2 3 2 3 2 2 4 2 2" xfId="24190" xr:uid="{A0B98521-C59C-49DC-ACAB-EA09D185C438}"/>
    <cellStyle name="Currency 2 2 3 2 3 2 2 4 3" xfId="12743" xr:uid="{0E936526-6581-421A-9833-85AE0A86C1A0}"/>
    <cellStyle name="Currency 2 2 3 2 3 2 2 4 3 2" xfId="26794" xr:uid="{207A2D34-D0EE-4A6B-A1DA-F7D0FBFC55E2}"/>
    <cellStyle name="Currency 2 2 3 2 3 2 2 4 4" xfId="20718" xr:uid="{940AD1CA-2D1E-4B61-932D-95CB6EE4BC8F}"/>
    <cellStyle name="Currency 2 2 3 2 3 2 2 5" xfId="8403" xr:uid="{1890DF71-B24D-4725-A56D-858C4E0828C7}"/>
    <cellStyle name="Currency 2 2 3 2 3 2 2 5 2" xfId="13611" xr:uid="{C8509545-8DA0-45A1-90F4-32BA8A309B68}"/>
    <cellStyle name="Currency 2 2 3 2 3 2 2 5 2 2" xfId="27662" xr:uid="{8BD5A1F2-2F16-448B-9E7F-0F866FCD6924}"/>
    <cellStyle name="Currency 2 2 3 2 3 2 2 5 3" xfId="22454" xr:uid="{C2DD2CCC-FB93-4A62-B5BC-2DCFA193BD1B}"/>
    <cellStyle name="Currency 2 2 3 2 3 2 2 6" xfId="7535" xr:uid="{A129DA56-6F06-4903-9152-342D63E5D2A2}"/>
    <cellStyle name="Currency 2 2 3 2 3 2 2 6 2" xfId="21586" xr:uid="{D07522BB-F4D3-4A28-97CC-CE256FFF4DF9}"/>
    <cellStyle name="Currency 2 2 3 2 3 2 2 7" xfId="11007" xr:uid="{37D084A4-63F8-44F8-99B9-E5FABE438524}"/>
    <cellStyle name="Currency 2 2 3 2 3 2 2 7 2" xfId="25058" xr:uid="{AD8FD983-4B0F-46C1-A21D-4E43CA32963C}"/>
    <cellStyle name="Currency 2 2 3 2 3 2 2 8" xfId="18381" xr:uid="{5F378572-F6AF-4136-8204-F71D82A464EC}"/>
    <cellStyle name="Currency 2 2 3 2 3 2 3" xfId="5175" xr:uid="{E00F947E-21B5-4AD8-A8AD-838C507DC3DC}"/>
    <cellStyle name="Currency 2 2 3 2 3 2 3 2" xfId="6043" xr:uid="{EAC2C855-E7BB-406B-BF6F-B96CA5A74B9E}"/>
    <cellStyle name="Currency 2 2 3 2 3 2 3 2 2" xfId="9515" xr:uid="{9D31A4C5-1017-40F3-B845-9E4DE0608E83}"/>
    <cellStyle name="Currency 2 2 3 2 3 2 3 2 2 2" xfId="23566" xr:uid="{B45D9C87-F312-4031-A047-B1707D866F43}"/>
    <cellStyle name="Currency 2 2 3 2 3 2 3 2 3" xfId="12119" xr:uid="{1F4E1D5D-1DA0-4DAE-A6C3-EB3A6C9AF932}"/>
    <cellStyle name="Currency 2 2 3 2 3 2 3 2 3 2" xfId="26170" xr:uid="{D9708ABD-5A9C-4E49-BA03-F988E8F73FAA}"/>
    <cellStyle name="Currency 2 2 3 2 3 2 3 2 4" xfId="20094" xr:uid="{4D08EB44-F20D-4934-9D31-9F3E20AC13CF}"/>
    <cellStyle name="Currency 2 2 3 2 3 2 3 3" xfId="6911" xr:uid="{EAAD123D-671E-4D75-9B4A-8CC692B9591C}"/>
    <cellStyle name="Currency 2 2 3 2 3 2 3 3 2" xfId="10383" xr:uid="{1762C23B-D37D-4222-AA2B-94804546DC7A}"/>
    <cellStyle name="Currency 2 2 3 2 3 2 3 3 2 2" xfId="24434" xr:uid="{4BED84B3-6FD0-431F-87D5-A7635140A635}"/>
    <cellStyle name="Currency 2 2 3 2 3 2 3 3 3" xfId="12987" xr:uid="{EDFAF980-861D-436A-98BA-039A6E4D18EA}"/>
    <cellStyle name="Currency 2 2 3 2 3 2 3 3 3 2" xfId="27038" xr:uid="{B9CCF185-6278-457C-AE75-94D6F62E7A70}"/>
    <cellStyle name="Currency 2 2 3 2 3 2 3 3 4" xfId="20962" xr:uid="{D000363F-6234-4A1B-8BE1-5CB30C2AA054}"/>
    <cellStyle name="Currency 2 2 3 2 3 2 3 4" xfId="8647" xr:uid="{646F94E9-BD73-4859-AE94-46654C07F2A8}"/>
    <cellStyle name="Currency 2 2 3 2 3 2 3 4 2" xfId="13855" xr:uid="{19FA2DB6-12F3-4453-8EA9-B05A9CC8158D}"/>
    <cellStyle name="Currency 2 2 3 2 3 2 3 4 2 2" xfId="27906" xr:uid="{71B03956-4C3E-4028-9030-30AC8B01F42A}"/>
    <cellStyle name="Currency 2 2 3 2 3 2 3 4 3" xfId="22698" xr:uid="{F1932015-C035-4A43-AC6B-8EB8F5243D1F}"/>
    <cellStyle name="Currency 2 2 3 2 3 2 3 5" xfId="7779" xr:uid="{F203D000-5081-46C0-81D2-C501358170C9}"/>
    <cellStyle name="Currency 2 2 3 2 3 2 3 5 2" xfId="21830" xr:uid="{2DEBFC27-A6BC-4677-ACAC-5E056A16524C}"/>
    <cellStyle name="Currency 2 2 3 2 3 2 3 6" xfId="11251" xr:uid="{D9D8ADF1-EFAD-4BB1-8053-9851A28EE75C}"/>
    <cellStyle name="Currency 2 2 3 2 3 2 3 6 2" xfId="25302" xr:uid="{13DD712E-5E13-4464-9D13-EA59050E2946}"/>
    <cellStyle name="Currency 2 2 3 2 3 2 3 7" xfId="19226" xr:uid="{BE52AEB1-726A-4BB1-AD8F-BAACF530FE4A}"/>
    <cellStyle name="Currency 2 2 3 2 3 2 4" xfId="5609" xr:uid="{E3B2D112-FBA7-4664-A67B-27747F746016}"/>
    <cellStyle name="Currency 2 2 3 2 3 2 4 2" xfId="9081" xr:uid="{25F490C4-DC84-49B4-9AF7-DBD8FA73DF7B}"/>
    <cellStyle name="Currency 2 2 3 2 3 2 4 2 2" xfId="23132" xr:uid="{45F5FB58-1B1F-46D9-9868-6AAE4B357783}"/>
    <cellStyle name="Currency 2 2 3 2 3 2 4 3" xfId="11685" xr:uid="{344372CF-77D6-4DE2-BC9D-42AC685936C2}"/>
    <cellStyle name="Currency 2 2 3 2 3 2 4 3 2" xfId="25736" xr:uid="{6405F907-6E8D-405C-8394-2E696AD78711}"/>
    <cellStyle name="Currency 2 2 3 2 3 2 4 4" xfId="19660" xr:uid="{538CE671-3862-4EF4-A1E2-AD15308815E2}"/>
    <cellStyle name="Currency 2 2 3 2 3 2 5" xfId="6477" xr:uid="{11339041-59FD-4B51-BA33-F8D071333F7C}"/>
    <cellStyle name="Currency 2 2 3 2 3 2 5 2" xfId="9949" xr:uid="{4C101C01-BB93-4E73-9138-EB9C53B1F7D9}"/>
    <cellStyle name="Currency 2 2 3 2 3 2 5 2 2" xfId="24000" xr:uid="{433A1917-F466-4F71-9852-4B2E6AB62400}"/>
    <cellStyle name="Currency 2 2 3 2 3 2 5 3" xfId="12553" xr:uid="{3676056A-A59E-4BEB-ACA6-D7C5B01BA950}"/>
    <cellStyle name="Currency 2 2 3 2 3 2 5 3 2" xfId="26604" xr:uid="{845DE58B-97C5-4F70-A7A3-706BA68A4091}"/>
    <cellStyle name="Currency 2 2 3 2 3 2 5 4" xfId="20528" xr:uid="{83964062-250F-43C5-B794-D3B3C1F059C0}"/>
    <cellStyle name="Currency 2 2 3 2 3 2 6" xfId="8213" xr:uid="{65723031-B41B-462D-9420-4D52DAADDC08}"/>
    <cellStyle name="Currency 2 2 3 2 3 2 6 2" xfId="13421" xr:uid="{A934E153-7838-497B-9763-8F3D3BBF1A61}"/>
    <cellStyle name="Currency 2 2 3 2 3 2 6 2 2" xfId="27472" xr:uid="{0C6252B6-93A1-4206-9E2E-DE9C952E3C4B}"/>
    <cellStyle name="Currency 2 2 3 2 3 2 6 3" xfId="22264" xr:uid="{0AC1736A-86DC-4760-9D2B-71DAD2EC39DB}"/>
    <cellStyle name="Currency 2 2 3 2 3 2 7" xfId="7345" xr:uid="{5B1193D1-4724-4667-9DC8-36CCE26091A1}"/>
    <cellStyle name="Currency 2 2 3 2 3 2 7 2" xfId="21396" xr:uid="{B919E545-0812-4DBB-8C38-244F3F0558B3}"/>
    <cellStyle name="Currency 2 2 3 2 3 2 8" xfId="10817" xr:uid="{06614E89-76E7-45C7-AC3D-5C7DAEE3AC3B}"/>
    <cellStyle name="Currency 2 2 3 2 3 2 8 2" xfId="24868" xr:uid="{C4E35B8F-916C-49EF-B1AF-2127A84200AF}"/>
    <cellStyle name="Currency 2 2 3 2 3 2 9" xfId="16191" xr:uid="{57E6BC0F-38B8-442C-980A-079E1ED07A2B}"/>
    <cellStyle name="Currency 2 2 3 2 3 3" xfId="3235" xr:uid="{3AB56C95-7B4A-427D-AC0F-AF930FD6FAE7}"/>
    <cellStyle name="Currency 2 2 3 2 3 3 2" xfId="5270" xr:uid="{440E9144-5104-4B63-9836-66C62B3A4434}"/>
    <cellStyle name="Currency 2 2 3 2 3 3 2 2" xfId="6138" xr:uid="{245A3350-CA79-4E02-AA13-5BD9656FB481}"/>
    <cellStyle name="Currency 2 2 3 2 3 3 2 2 2" xfId="9610" xr:uid="{FA366025-0E82-4976-96D9-FF92243B5F66}"/>
    <cellStyle name="Currency 2 2 3 2 3 3 2 2 2 2" xfId="23661" xr:uid="{E1BD83EB-1FA3-4E2D-B5F0-F150D4952C0D}"/>
    <cellStyle name="Currency 2 2 3 2 3 3 2 2 3" xfId="12214" xr:uid="{D5C3DD3F-81B8-46F6-92B8-0FA8CD4D9AB9}"/>
    <cellStyle name="Currency 2 2 3 2 3 3 2 2 3 2" xfId="26265" xr:uid="{BFDD8DE5-26EC-4C78-B6B5-46F730995B32}"/>
    <cellStyle name="Currency 2 2 3 2 3 3 2 2 4" xfId="20189" xr:uid="{AD2B5EE6-62F2-4BA7-B74F-375FB2B35266}"/>
    <cellStyle name="Currency 2 2 3 2 3 3 2 3" xfId="7006" xr:uid="{BD644812-7EA8-46FA-B89F-EA633998316D}"/>
    <cellStyle name="Currency 2 2 3 2 3 3 2 3 2" xfId="10478" xr:uid="{A201B6AC-912C-4A65-AED1-8EE6F83180D5}"/>
    <cellStyle name="Currency 2 2 3 2 3 3 2 3 2 2" xfId="24529" xr:uid="{78431B84-0A4E-4691-8FEB-427BFF36BD1E}"/>
    <cellStyle name="Currency 2 2 3 2 3 3 2 3 3" xfId="13082" xr:uid="{71565B36-FB2C-4735-89D1-30573F328AF2}"/>
    <cellStyle name="Currency 2 2 3 2 3 3 2 3 3 2" xfId="27133" xr:uid="{36D96E9B-813C-43B0-8DBF-7931F9EEBAFE}"/>
    <cellStyle name="Currency 2 2 3 2 3 3 2 3 4" xfId="21057" xr:uid="{DAA0DFDB-76FB-4CE8-94D7-C1EC2A941CFA}"/>
    <cellStyle name="Currency 2 2 3 2 3 3 2 4" xfId="8742" xr:uid="{C6333F15-FCC7-428F-B5CF-55F2C91F433E}"/>
    <cellStyle name="Currency 2 2 3 2 3 3 2 4 2" xfId="13950" xr:uid="{A5F8627F-27B6-409C-AE21-F6732CDBE011}"/>
    <cellStyle name="Currency 2 2 3 2 3 3 2 4 2 2" xfId="28001" xr:uid="{AAF1E8ED-F077-4E65-B208-ABF31ACE04C0}"/>
    <cellStyle name="Currency 2 2 3 2 3 3 2 4 3" xfId="22793" xr:uid="{AA69AA06-BF71-411E-95C3-756F7B9E6B07}"/>
    <cellStyle name="Currency 2 2 3 2 3 3 2 5" xfId="7874" xr:uid="{D2423DB9-B714-4C70-A16F-9F010CEF8978}"/>
    <cellStyle name="Currency 2 2 3 2 3 3 2 5 2" xfId="21925" xr:uid="{AA44825A-2BD4-4D35-B6E1-7C9FB32F458D}"/>
    <cellStyle name="Currency 2 2 3 2 3 3 2 6" xfId="11346" xr:uid="{7F21CA1B-6454-4700-B827-40AA78E72FD3}"/>
    <cellStyle name="Currency 2 2 3 2 3 3 2 6 2" xfId="25397" xr:uid="{9F9FC9EE-07FD-43BC-A159-B0BBF7FB01F1}"/>
    <cellStyle name="Currency 2 2 3 2 3 3 2 7" xfId="19321" xr:uid="{3BC3E3BA-B1DF-4B89-9699-B6A8D33D4802}"/>
    <cellStyle name="Currency 2 2 3 2 3 3 3" xfId="5704" xr:uid="{4DCCE550-944F-498D-A55C-BFFF16DF4D68}"/>
    <cellStyle name="Currency 2 2 3 2 3 3 3 2" xfId="9176" xr:uid="{D99BAE80-1431-4760-B82F-AB764A06F888}"/>
    <cellStyle name="Currency 2 2 3 2 3 3 3 2 2" xfId="23227" xr:uid="{973CF62C-4BDE-4595-9C0F-36557BE2863F}"/>
    <cellStyle name="Currency 2 2 3 2 3 3 3 3" xfId="11780" xr:uid="{710A6D93-21E1-4328-9F30-4E48310574D9}"/>
    <cellStyle name="Currency 2 2 3 2 3 3 3 3 2" xfId="25831" xr:uid="{7545115D-06B0-48AA-B725-17169C94086C}"/>
    <cellStyle name="Currency 2 2 3 2 3 3 3 4" xfId="19755" xr:uid="{67918DE6-954A-4E67-B08E-F75D28F721FE}"/>
    <cellStyle name="Currency 2 2 3 2 3 3 4" xfId="6572" xr:uid="{379EEDCC-D934-43D5-A776-5716081F2088}"/>
    <cellStyle name="Currency 2 2 3 2 3 3 4 2" xfId="10044" xr:uid="{11F53D98-E076-4FF3-92A8-00A50807E104}"/>
    <cellStyle name="Currency 2 2 3 2 3 3 4 2 2" xfId="24095" xr:uid="{BDECED57-DE30-41FE-A51C-A2A22B5F29D4}"/>
    <cellStyle name="Currency 2 2 3 2 3 3 4 3" xfId="12648" xr:uid="{65267770-1A13-4CEA-A5D0-24449D36C6A7}"/>
    <cellStyle name="Currency 2 2 3 2 3 3 4 3 2" xfId="26699" xr:uid="{8EC3915A-C826-4C11-84B3-40A9B97F0F71}"/>
    <cellStyle name="Currency 2 2 3 2 3 3 4 4" xfId="20623" xr:uid="{D9330037-F2D8-4F68-AF76-C441CB38AF12}"/>
    <cellStyle name="Currency 2 2 3 2 3 3 5" xfId="8308" xr:uid="{C58FF31D-C237-4226-9EB0-52952E29AF2E}"/>
    <cellStyle name="Currency 2 2 3 2 3 3 5 2" xfId="13516" xr:uid="{497CC25E-2247-4AA5-8D49-7C24CC156E75}"/>
    <cellStyle name="Currency 2 2 3 2 3 3 5 2 2" xfId="27567" xr:uid="{8921F206-3619-4327-B00E-449553F86B4A}"/>
    <cellStyle name="Currency 2 2 3 2 3 3 5 3" xfId="22359" xr:uid="{6E59721C-FA43-42ED-A382-ADAE3EB38F3B}"/>
    <cellStyle name="Currency 2 2 3 2 3 3 6" xfId="7440" xr:uid="{749F6316-A746-45C1-871C-EF799BD5EBBE}"/>
    <cellStyle name="Currency 2 2 3 2 3 3 6 2" xfId="21491" xr:uid="{F8E31BD3-85EB-4FFD-B69E-733DC00A6F03}"/>
    <cellStyle name="Currency 2 2 3 2 3 3 7" xfId="10912" xr:uid="{67E78DDF-03B2-4516-AFEB-7742A5D01F97}"/>
    <cellStyle name="Currency 2 2 3 2 3 3 7 2" xfId="24963" xr:uid="{21CE3A30-324E-478A-8F02-97B642A28871}"/>
    <cellStyle name="Currency 2 2 3 2 3 3 8" xfId="17287" xr:uid="{D207B391-0D7F-45D0-AFC7-1E07F69E5212}"/>
    <cellStyle name="Currency 2 2 3 2 3 4" xfId="5078" xr:uid="{02DB6529-955B-4507-8006-5DA700EEBE76}"/>
    <cellStyle name="Currency 2 2 3 2 3 4 2" xfId="5946" xr:uid="{BD4D6758-6F5E-421A-B63D-DA38EE67C99D}"/>
    <cellStyle name="Currency 2 2 3 2 3 4 2 2" xfId="9418" xr:uid="{7CB35F8A-0B3B-47C2-A07E-CAB84930522A}"/>
    <cellStyle name="Currency 2 2 3 2 3 4 2 2 2" xfId="23469" xr:uid="{18B340BF-5F34-40FB-BF1D-DD3EA54B2403}"/>
    <cellStyle name="Currency 2 2 3 2 3 4 2 3" xfId="12022" xr:uid="{9B8517A5-BA3A-4DCB-ADC4-07852B0C05BE}"/>
    <cellStyle name="Currency 2 2 3 2 3 4 2 3 2" xfId="26073" xr:uid="{7E88AC2A-EF6B-4EDE-B3CB-9927C7A27858}"/>
    <cellStyle name="Currency 2 2 3 2 3 4 2 4" xfId="19997" xr:uid="{8B07C240-6D62-46E8-A666-F4B55C343CF5}"/>
    <cellStyle name="Currency 2 2 3 2 3 4 3" xfId="6814" xr:uid="{C8E0CE7D-FE7F-4951-B972-418AD45CB2AB}"/>
    <cellStyle name="Currency 2 2 3 2 3 4 3 2" xfId="10286" xr:uid="{A4A16749-22E3-43C3-97F0-D6551FDFE894}"/>
    <cellStyle name="Currency 2 2 3 2 3 4 3 2 2" xfId="24337" xr:uid="{B66D9654-DFAC-44FE-BBAC-3CFB631534A3}"/>
    <cellStyle name="Currency 2 2 3 2 3 4 3 3" xfId="12890" xr:uid="{E362F8FF-86AF-4AF6-BAE5-B8FC7A08FD88}"/>
    <cellStyle name="Currency 2 2 3 2 3 4 3 3 2" xfId="26941" xr:uid="{C29D93FB-B720-48BD-BD24-42CF78960713}"/>
    <cellStyle name="Currency 2 2 3 2 3 4 3 4" xfId="20865" xr:uid="{65BC9BDD-7B82-4CA2-908E-97CF30F137B4}"/>
    <cellStyle name="Currency 2 2 3 2 3 4 4" xfId="8550" xr:uid="{2697EB95-2A31-440B-ADF6-E7DF356373DC}"/>
    <cellStyle name="Currency 2 2 3 2 3 4 4 2" xfId="13758" xr:uid="{9DC7DF68-B9B2-4274-B84A-08F95F1B35B0}"/>
    <cellStyle name="Currency 2 2 3 2 3 4 4 2 2" xfId="27809" xr:uid="{989A26A4-77A3-4B8C-9462-8337FBC84AE2}"/>
    <cellStyle name="Currency 2 2 3 2 3 4 4 3" xfId="22601" xr:uid="{111D8CD6-8643-4B4E-9857-7799135F7569}"/>
    <cellStyle name="Currency 2 2 3 2 3 4 5" xfId="7682" xr:uid="{678CF743-9656-47E4-BA9A-935C7D1581E2}"/>
    <cellStyle name="Currency 2 2 3 2 3 4 5 2" xfId="21733" xr:uid="{D7F6723E-1AB2-48E2-B266-506DDB24BC32}"/>
    <cellStyle name="Currency 2 2 3 2 3 4 6" xfId="11154" xr:uid="{76B776ED-C7D9-4A7F-80D4-FDE5C83469FB}"/>
    <cellStyle name="Currency 2 2 3 2 3 4 6 2" xfId="25205" xr:uid="{48EB3887-7C9D-4549-9DCA-B75818FACEC3}"/>
    <cellStyle name="Currency 2 2 3 2 3 4 7" xfId="19129" xr:uid="{D33A222C-56C6-4CA6-AD30-8E21E42874D5}"/>
    <cellStyle name="Currency 2 2 3 2 3 5" xfId="5512" xr:uid="{0DB26F36-D1C6-4A13-9A74-03707107EDD3}"/>
    <cellStyle name="Currency 2 2 3 2 3 5 2" xfId="8984" xr:uid="{77C5BFDD-EAA7-4B4E-A5A0-B6D0D966A0DE}"/>
    <cellStyle name="Currency 2 2 3 2 3 5 2 2" xfId="23035" xr:uid="{DC54E6FC-8048-4D6D-BDD2-05B2B0DEC3CD}"/>
    <cellStyle name="Currency 2 2 3 2 3 5 3" xfId="11588" xr:uid="{CC7336E0-9CDE-4D70-B7C4-154141ADC068}"/>
    <cellStyle name="Currency 2 2 3 2 3 5 3 2" xfId="25639" xr:uid="{9AE7A834-A6FB-4E65-877E-3ECC3C9A3907}"/>
    <cellStyle name="Currency 2 2 3 2 3 5 4" xfId="19563" xr:uid="{864DBD8C-CA79-4B23-8B76-F6789A516FB6}"/>
    <cellStyle name="Currency 2 2 3 2 3 6" xfId="6380" xr:uid="{195C1E26-C976-4F19-AF86-B2706B7BECE3}"/>
    <cellStyle name="Currency 2 2 3 2 3 6 2" xfId="9852" xr:uid="{2058A2AC-4FB0-4B9B-B58E-04917B290C9F}"/>
    <cellStyle name="Currency 2 2 3 2 3 6 2 2" xfId="23903" xr:uid="{4389F520-C3E5-4EEE-BCE1-74CD2444E0FF}"/>
    <cellStyle name="Currency 2 2 3 2 3 6 3" xfId="12456" xr:uid="{0ABAE63C-A7D1-407C-945C-422B0AF1AB99}"/>
    <cellStyle name="Currency 2 2 3 2 3 6 3 2" xfId="26507" xr:uid="{5C82B0A8-1DE2-4446-8A80-F51011BE28A0}"/>
    <cellStyle name="Currency 2 2 3 2 3 6 4" xfId="20431" xr:uid="{CE2A1466-34A1-4A61-ACB6-4337AE339B4E}"/>
    <cellStyle name="Currency 2 2 3 2 3 7" xfId="8116" xr:uid="{FBA53E32-AC54-480C-98CD-1D6EC88E4431}"/>
    <cellStyle name="Currency 2 2 3 2 3 7 2" xfId="13324" xr:uid="{442BFC69-7E74-4592-940A-71DF116A4AA4}"/>
    <cellStyle name="Currency 2 2 3 2 3 7 2 2" xfId="27375" xr:uid="{15200D4A-E0A5-4DE5-A75A-8E3DBD8EFE53}"/>
    <cellStyle name="Currency 2 2 3 2 3 7 3" xfId="22167" xr:uid="{E7CBDD5E-164F-419D-8C60-E41FFA389689}"/>
    <cellStyle name="Currency 2 2 3 2 3 8" xfId="7248" xr:uid="{FE28A111-4518-4413-B1BC-871E69E8A6D5}"/>
    <cellStyle name="Currency 2 2 3 2 3 8 2" xfId="21299" xr:uid="{B8A367D9-FB4F-4E2A-97AF-5258240F982E}"/>
    <cellStyle name="Currency 2 2 3 2 3 9" xfId="10720" xr:uid="{E102589B-A1C2-424E-BAFF-84F70BC4876B}"/>
    <cellStyle name="Currency 2 2 3 2 3 9 2" xfId="24771" xr:uid="{B4437C04-F80B-41B8-AFB8-B262F1E46B4C}"/>
    <cellStyle name="Currency 2 2 3 2 4" xfId="1623" xr:uid="{D337BDC1-4ED8-40AC-ABC9-72B25A0DD894}"/>
    <cellStyle name="Currency 2 2 3 2 4 2" xfId="3813" xr:uid="{FB71C554-C8A7-4830-B9B9-9E41757C79D5}"/>
    <cellStyle name="Currency 2 2 3 2 4 2 2" xfId="5321" xr:uid="{67B128AE-BEEE-408C-8EF7-1FAE7BEE5017}"/>
    <cellStyle name="Currency 2 2 3 2 4 2 2 2" xfId="6189" xr:uid="{A5B02AE1-09DD-4010-AF80-5FD5CD974DEF}"/>
    <cellStyle name="Currency 2 2 3 2 4 2 2 2 2" xfId="9661" xr:uid="{E4F78E30-E6AF-4360-B469-C6D40ABFAA07}"/>
    <cellStyle name="Currency 2 2 3 2 4 2 2 2 2 2" xfId="23712" xr:uid="{09CD3DB0-AE87-41C9-8D00-5B575369D40A}"/>
    <cellStyle name="Currency 2 2 3 2 4 2 2 2 3" xfId="12265" xr:uid="{BC7F0050-9C55-4279-ABCE-4F23E767C426}"/>
    <cellStyle name="Currency 2 2 3 2 4 2 2 2 3 2" xfId="26316" xr:uid="{493143AF-5EA7-4900-B544-851BC63424ED}"/>
    <cellStyle name="Currency 2 2 3 2 4 2 2 2 4" xfId="20240" xr:uid="{00D77767-C7DB-4B5D-A7AC-F6DF21F0E420}"/>
    <cellStyle name="Currency 2 2 3 2 4 2 2 3" xfId="7057" xr:uid="{9A015BBD-A4FF-428C-A673-CD676D5E483F}"/>
    <cellStyle name="Currency 2 2 3 2 4 2 2 3 2" xfId="10529" xr:uid="{824B0DAC-5985-42C2-B706-447F28B8C4A2}"/>
    <cellStyle name="Currency 2 2 3 2 4 2 2 3 2 2" xfId="24580" xr:uid="{605B128F-B7EB-4C5C-88E6-1680339E8EE6}"/>
    <cellStyle name="Currency 2 2 3 2 4 2 2 3 3" xfId="13133" xr:uid="{44B06288-FF39-41C6-887E-4BDFA47C45D3}"/>
    <cellStyle name="Currency 2 2 3 2 4 2 2 3 3 2" xfId="27184" xr:uid="{2FD9E1BB-3377-45E4-AB67-FA2898AA99D0}"/>
    <cellStyle name="Currency 2 2 3 2 4 2 2 3 4" xfId="21108" xr:uid="{1BA761CB-6C13-4734-86C9-4DC7C670D052}"/>
    <cellStyle name="Currency 2 2 3 2 4 2 2 4" xfId="8793" xr:uid="{16BEDB94-0317-4A7D-89DB-4C51B5536A93}"/>
    <cellStyle name="Currency 2 2 3 2 4 2 2 4 2" xfId="14001" xr:uid="{0BDF7D25-130F-4402-801F-FEA871D1F208}"/>
    <cellStyle name="Currency 2 2 3 2 4 2 2 4 2 2" xfId="28052" xr:uid="{3438DA96-72BC-4BEA-A743-AE8B30D22AB6}"/>
    <cellStyle name="Currency 2 2 3 2 4 2 2 4 3" xfId="22844" xr:uid="{48484DC3-6977-4D10-A798-420C41454202}"/>
    <cellStyle name="Currency 2 2 3 2 4 2 2 5" xfId="7925" xr:uid="{3D53D269-C925-4505-8CE8-E055B0B91894}"/>
    <cellStyle name="Currency 2 2 3 2 4 2 2 5 2" xfId="21976" xr:uid="{0F67C838-0E7B-420E-924D-24E512DF867D}"/>
    <cellStyle name="Currency 2 2 3 2 4 2 2 6" xfId="11397" xr:uid="{E98E56FF-F624-44DE-AAD3-62D99E7560F8}"/>
    <cellStyle name="Currency 2 2 3 2 4 2 2 6 2" xfId="25448" xr:uid="{454C0ED6-4401-4CEC-9A7F-9948F4555DEB}"/>
    <cellStyle name="Currency 2 2 3 2 4 2 2 7" xfId="19372" xr:uid="{D91CA5E1-9C54-46DC-B65B-59888486B9C0}"/>
    <cellStyle name="Currency 2 2 3 2 4 2 3" xfId="5755" xr:uid="{15292757-B86A-4F14-88A4-1221D96284CC}"/>
    <cellStyle name="Currency 2 2 3 2 4 2 3 2" xfId="9227" xr:uid="{D651FF4D-B21F-4E3C-96A6-D3476F6D2B02}"/>
    <cellStyle name="Currency 2 2 3 2 4 2 3 2 2" xfId="23278" xr:uid="{71B23709-472C-4E44-AD06-FA15BBFD308B}"/>
    <cellStyle name="Currency 2 2 3 2 4 2 3 3" xfId="11831" xr:uid="{00FC6CE0-9531-429D-A3A4-1938D027DBF6}"/>
    <cellStyle name="Currency 2 2 3 2 4 2 3 3 2" xfId="25882" xr:uid="{12C6CF6A-AD19-4409-94CB-A7C683DC3DAD}"/>
    <cellStyle name="Currency 2 2 3 2 4 2 3 4" xfId="19806" xr:uid="{4F9986EC-D365-4C51-9661-A59698D210BD}"/>
    <cellStyle name="Currency 2 2 3 2 4 2 4" xfId="6623" xr:uid="{A55B2D60-F3C5-445D-AFCC-9C6D2DC5E623}"/>
    <cellStyle name="Currency 2 2 3 2 4 2 4 2" xfId="10095" xr:uid="{641A6CF5-D0B6-462E-8799-4A40624349A6}"/>
    <cellStyle name="Currency 2 2 3 2 4 2 4 2 2" xfId="24146" xr:uid="{6DB991E0-FA11-4A4E-9A42-64DB85F0C94C}"/>
    <cellStyle name="Currency 2 2 3 2 4 2 4 3" xfId="12699" xr:uid="{1904E26B-DA03-48DF-A6F1-E986E89FA2E2}"/>
    <cellStyle name="Currency 2 2 3 2 4 2 4 3 2" xfId="26750" xr:uid="{35C6CF7F-8C15-4B4E-B6CE-2E06B60226AE}"/>
    <cellStyle name="Currency 2 2 3 2 4 2 4 4" xfId="20674" xr:uid="{DAFFA39C-1D38-49A0-B0E8-B728EFAE415E}"/>
    <cellStyle name="Currency 2 2 3 2 4 2 5" xfId="8359" xr:uid="{EBF03654-3D51-449C-9BEC-089A53430B00}"/>
    <cellStyle name="Currency 2 2 3 2 4 2 5 2" xfId="13567" xr:uid="{9C87BFFF-22F9-4EE7-BFBF-2B47D42C70AA}"/>
    <cellStyle name="Currency 2 2 3 2 4 2 5 2 2" xfId="27618" xr:uid="{3BD85403-6B90-4991-BE66-27C88B848FB6}"/>
    <cellStyle name="Currency 2 2 3 2 4 2 5 3" xfId="22410" xr:uid="{C29069EE-B16A-4917-BF77-B7B14A8932B6}"/>
    <cellStyle name="Currency 2 2 3 2 4 2 6" xfId="7491" xr:uid="{B84DD863-C291-4D97-B5FC-0F7024EE1021}"/>
    <cellStyle name="Currency 2 2 3 2 4 2 6 2" xfId="21542" xr:uid="{F60B9960-8868-46D2-8F89-39D28ED9A90D}"/>
    <cellStyle name="Currency 2 2 3 2 4 2 7" xfId="10963" xr:uid="{3022996F-F90A-49D3-8F3E-D936FE3C63A0}"/>
    <cellStyle name="Currency 2 2 3 2 4 2 7 2" xfId="25014" xr:uid="{9C91A5AA-20A7-4DCF-BE89-998CEF62DEBC}"/>
    <cellStyle name="Currency 2 2 3 2 4 2 8" xfId="17866" xr:uid="{D6D78965-E79A-4C49-8FCC-CA9CC6301980}"/>
    <cellStyle name="Currency 2 2 3 2 4 3" xfId="5130" xr:uid="{CD4576DC-1FFC-47BF-975F-D3BA8FA9603C}"/>
    <cellStyle name="Currency 2 2 3 2 4 3 2" xfId="5998" xr:uid="{A063A632-4C37-4550-BD15-B8355C616C45}"/>
    <cellStyle name="Currency 2 2 3 2 4 3 2 2" xfId="9470" xr:uid="{422E7FC1-1B16-4F26-B204-E1885BE7DE05}"/>
    <cellStyle name="Currency 2 2 3 2 4 3 2 2 2" xfId="23521" xr:uid="{7B9FF934-D8D6-4EEB-9109-8EF9BD440C6A}"/>
    <cellStyle name="Currency 2 2 3 2 4 3 2 3" xfId="12074" xr:uid="{994958B7-5A44-4FC9-A2EE-0C70A59D3F25}"/>
    <cellStyle name="Currency 2 2 3 2 4 3 2 3 2" xfId="26125" xr:uid="{DAA6DEF1-3063-4E54-ADB8-8BE765163F01}"/>
    <cellStyle name="Currency 2 2 3 2 4 3 2 4" xfId="20049" xr:uid="{D7339288-8B7F-4DD1-A9AE-B0C93C18CFDD}"/>
    <cellStyle name="Currency 2 2 3 2 4 3 3" xfId="6866" xr:uid="{A2D7086C-FEA5-4C8C-8E3D-0160AE7CB3E0}"/>
    <cellStyle name="Currency 2 2 3 2 4 3 3 2" xfId="10338" xr:uid="{B2A3FAD9-47FB-4C3C-828A-B2E1989B135B}"/>
    <cellStyle name="Currency 2 2 3 2 4 3 3 2 2" xfId="24389" xr:uid="{0F9B9B02-2798-4CC5-8023-94A2C3931B90}"/>
    <cellStyle name="Currency 2 2 3 2 4 3 3 3" xfId="12942" xr:uid="{0F2783AB-D202-4C52-B23C-26B42CC4CC65}"/>
    <cellStyle name="Currency 2 2 3 2 4 3 3 3 2" xfId="26993" xr:uid="{A855B690-E0A4-4770-A4E8-9F1B450D58CE}"/>
    <cellStyle name="Currency 2 2 3 2 4 3 3 4" xfId="20917" xr:uid="{C95153DB-CDD6-40D1-9FA6-CE4EAC2E8F4F}"/>
    <cellStyle name="Currency 2 2 3 2 4 3 4" xfId="8602" xr:uid="{DB5371C9-FE0B-4CC7-89C2-0A5AFC0C0CFF}"/>
    <cellStyle name="Currency 2 2 3 2 4 3 4 2" xfId="13810" xr:uid="{FD1CF30F-C8F9-44CB-AC02-0AAE8C33F7FD}"/>
    <cellStyle name="Currency 2 2 3 2 4 3 4 2 2" xfId="27861" xr:uid="{020B936B-43F1-4674-96C1-8099423C522B}"/>
    <cellStyle name="Currency 2 2 3 2 4 3 4 3" xfId="22653" xr:uid="{87C4B2F4-9362-4086-9439-8C983A44C9CE}"/>
    <cellStyle name="Currency 2 2 3 2 4 3 5" xfId="7734" xr:uid="{55B87458-60A3-4946-ADA3-C5A736E0F305}"/>
    <cellStyle name="Currency 2 2 3 2 4 3 5 2" xfId="21785" xr:uid="{E162ABEB-BE68-4993-9970-B394F24D0D7F}"/>
    <cellStyle name="Currency 2 2 3 2 4 3 6" xfId="11206" xr:uid="{4944E350-761B-4618-9B7F-57077F932653}"/>
    <cellStyle name="Currency 2 2 3 2 4 3 6 2" xfId="25257" xr:uid="{CC670BE0-D930-474E-8F78-E22B833B1C05}"/>
    <cellStyle name="Currency 2 2 3 2 4 3 7" xfId="19181" xr:uid="{969A6FFF-A0CB-4E71-A0AD-F7055260285F}"/>
    <cellStyle name="Currency 2 2 3 2 4 4" xfId="5564" xr:uid="{74C1E192-5658-4D21-B6DE-2D82263F2BB4}"/>
    <cellStyle name="Currency 2 2 3 2 4 4 2" xfId="9036" xr:uid="{EFA93A5A-D37D-45C1-AF63-CA34FD5BA697}"/>
    <cellStyle name="Currency 2 2 3 2 4 4 2 2" xfId="23087" xr:uid="{CBBF4CFD-5F90-4AAC-A8D2-F5FA53A6F224}"/>
    <cellStyle name="Currency 2 2 3 2 4 4 3" xfId="11640" xr:uid="{4007DF36-6480-472F-B5B8-0F4972B49244}"/>
    <cellStyle name="Currency 2 2 3 2 4 4 3 2" xfId="25691" xr:uid="{3145E9CE-F359-4168-8272-13A200F8064F}"/>
    <cellStyle name="Currency 2 2 3 2 4 4 4" xfId="19615" xr:uid="{A8AE7663-EC1B-4EB9-9B69-3C9ED5B7D6C3}"/>
    <cellStyle name="Currency 2 2 3 2 4 5" xfId="6432" xr:uid="{7FE21E0E-9F77-486E-A4D6-C84FF3B60DF6}"/>
    <cellStyle name="Currency 2 2 3 2 4 5 2" xfId="9904" xr:uid="{AC4CDB70-FF6D-4115-8389-2D73D724D381}"/>
    <cellStyle name="Currency 2 2 3 2 4 5 2 2" xfId="23955" xr:uid="{3B7EE5EA-6240-4F55-9297-B19255E340B5}"/>
    <cellStyle name="Currency 2 2 3 2 4 5 3" xfId="12508" xr:uid="{CF9D8C4D-9CDD-48CD-9570-CE35B222560E}"/>
    <cellStyle name="Currency 2 2 3 2 4 5 3 2" xfId="26559" xr:uid="{B541D491-6D8C-49CA-A401-341E6B01DE95}"/>
    <cellStyle name="Currency 2 2 3 2 4 5 4" xfId="20483" xr:uid="{ED86A144-0BA5-426F-A003-9223B8BBB31B}"/>
    <cellStyle name="Currency 2 2 3 2 4 6" xfId="8168" xr:uid="{B5B0860B-AC1A-4FB2-8D0A-50D60022D2EE}"/>
    <cellStyle name="Currency 2 2 3 2 4 6 2" xfId="13376" xr:uid="{34629910-9720-419E-A638-7C5378332C90}"/>
    <cellStyle name="Currency 2 2 3 2 4 6 2 2" xfId="27427" xr:uid="{608AC471-1C48-4DB9-80D0-C753D4DD9F4B}"/>
    <cellStyle name="Currency 2 2 3 2 4 6 3" xfId="22219" xr:uid="{AEC6476F-BCA7-4C67-9DB0-CB6F55A83BF7}"/>
    <cellStyle name="Currency 2 2 3 2 4 7" xfId="7300" xr:uid="{7992B47F-0A82-42E3-972D-0E92CEC74BFC}"/>
    <cellStyle name="Currency 2 2 3 2 4 7 2" xfId="21351" xr:uid="{AB620B38-D07F-4F38-A270-0C5CF7A10715}"/>
    <cellStyle name="Currency 2 2 3 2 4 8" xfId="10772" xr:uid="{1B8CC8A1-B184-42A9-B761-1E8898A7A32A}"/>
    <cellStyle name="Currency 2 2 3 2 4 8 2" xfId="24823" xr:uid="{71B341F4-C638-48C9-8A28-7DF51AC7A859}"/>
    <cellStyle name="Currency 2 2 3 2 4 9" xfId="15672" xr:uid="{FA44D528-010F-4E7A-ADAD-08AB467365B5}"/>
    <cellStyle name="Currency 2 2 3 2 5" xfId="2542" xr:uid="{7DB8FD19-BCD6-4B7B-BD72-96734B1C71C0}"/>
    <cellStyle name="Currency 2 2 3 2 5 2" xfId="5210" xr:uid="{A6661CE2-4199-49FB-AFCD-DB5BCA69A015}"/>
    <cellStyle name="Currency 2 2 3 2 5 2 2" xfId="6078" xr:uid="{1BAFCA4A-C948-4187-8A3A-E837D60A53ED}"/>
    <cellStyle name="Currency 2 2 3 2 5 2 2 2" xfId="9550" xr:uid="{E12ADB87-0BF3-4B07-86AE-04E1201CBDCF}"/>
    <cellStyle name="Currency 2 2 3 2 5 2 2 2 2" xfId="23601" xr:uid="{3BA6E181-18F2-461F-8960-B0B663969A73}"/>
    <cellStyle name="Currency 2 2 3 2 5 2 2 3" xfId="12154" xr:uid="{9F9E3DEB-EC65-483C-B67A-84DB788B5760}"/>
    <cellStyle name="Currency 2 2 3 2 5 2 2 3 2" xfId="26205" xr:uid="{9DD55C84-AD98-4D1A-9D97-3D54CA0F71AD}"/>
    <cellStyle name="Currency 2 2 3 2 5 2 2 4" xfId="20129" xr:uid="{11F66321-1DC5-4A24-8F2D-28A28D3C8C23}"/>
    <cellStyle name="Currency 2 2 3 2 5 2 3" xfId="6946" xr:uid="{220768B1-E324-4778-B92D-98F44D6155D9}"/>
    <cellStyle name="Currency 2 2 3 2 5 2 3 2" xfId="10418" xr:uid="{CA165A8C-0BFC-415A-B35A-9D6E05ABFC22}"/>
    <cellStyle name="Currency 2 2 3 2 5 2 3 2 2" xfId="24469" xr:uid="{8619F812-565C-4B3D-96E0-550F2FDE8D64}"/>
    <cellStyle name="Currency 2 2 3 2 5 2 3 3" xfId="13022" xr:uid="{93FB7509-1B3A-4387-9B89-F70DDFD16F13}"/>
    <cellStyle name="Currency 2 2 3 2 5 2 3 3 2" xfId="27073" xr:uid="{ED23FA16-C1D5-4731-8E64-5F51B2F40194}"/>
    <cellStyle name="Currency 2 2 3 2 5 2 3 4" xfId="20997" xr:uid="{CB9A306B-8AAB-49DC-94E7-93C2B4D12D97}"/>
    <cellStyle name="Currency 2 2 3 2 5 2 4" xfId="8682" xr:uid="{93F1C2BD-D4C7-4EB2-8BBF-D200C372FF56}"/>
    <cellStyle name="Currency 2 2 3 2 5 2 4 2" xfId="13890" xr:uid="{E5FEED18-1B0F-48DC-9C72-7695F3E9DC00}"/>
    <cellStyle name="Currency 2 2 3 2 5 2 4 2 2" xfId="27941" xr:uid="{A7E9A9F9-5614-4FEE-AEAE-6B3A341FE361}"/>
    <cellStyle name="Currency 2 2 3 2 5 2 4 3" xfId="22733" xr:uid="{2D3BAE16-E775-451B-BE0A-164102C89EB1}"/>
    <cellStyle name="Currency 2 2 3 2 5 2 5" xfId="7814" xr:uid="{F43C6456-92AA-4D24-8D65-A02D6CF8B5E6}"/>
    <cellStyle name="Currency 2 2 3 2 5 2 5 2" xfId="21865" xr:uid="{1E448663-1595-4960-A8BF-2385E6424782}"/>
    <cellStyle name="Currency 2 2 3 2 5 2 6" xfId="11286" xr:uid="{00CE0AE6-CBF8-4DB5-B9AF-D6A363EB94DA}"/>
    <cellStyle name="Currency 2 2 3 2 5 2 6 2" xfId="25337" xr:uid="{3AC0F883-07E2-4673-BECA-7FA4F8EB3645}"/>
    <cellStyle name="Currency 2 2 3 2 5 2 7" xfId="19261" xr:uid="{BD662E25-9FD8-4C55-A413-BE7613D0A433}"/>
    <cellStyle name="Currency 2 2 3 2 5 3" xfId="5644" xr:uid="{A6B86885-8D2B-43F7-99DF-0A6D356A6F5B}"/>
    <cellStyle name="Currency 2 2 3 2 5 3 2" xfId="9116" xr:uid="{EA11EA86-AA25-4E45-977E-AE7C8BB07C45}"/>
    <cellStyle name="Currency 2 2 3 2 5 3 2 2" xfId="23167" xr:uid="{90E30D2B-CFE5-4F36-AC22-5BF84F7FAD7D}"/>
    <cellStyle name="Currency 2 2 3 2 5 3 3" xfId="11720" xr:uid="{E18554FD-83C9-4FB4-B1DC-309481989F7A}"/>
    <cellStyle name="Currency 2 2 3 2 5 3 3 2" xfId="25771" xr:uid="{B94BFF0D-CC58-499F-A1AB-C5929ABA87A8}"/>
    <cellStyle name="Currency 2 2 3 2 5 3 4" xfId="19695" xr:uid="{1E9D755A-7E53-4864-9760-376ABB64420F}"/>
    <cellStyle name="Currency 2 2 3 2 5 4" xfId="6512" xr:uid="{A49951F4-4F7D-467D-8988-BE1D97D1AC8F}"/>
    <cellStyle name="Currency 2 2 3 2 5 4 2" xfId="9984" xr:uid="{266963D2-5753-402B-93D8-BAA1E6116C61}"/>
    <cellStyle name="Currency 2 2 3 2 5 4 2 2" xfId="24035" xr:uid="{DF13D8C2-97A2-4F3C-A6E9-67DDA8A2B2FF}"/>
    <cellStyle name="Currency 2 2 3 2 5 4 3" xfId="12588" xr:uid="{B997B5DE-26F2-4971-9FB4-69582BC2FC76}"/>
    <cellStyle name="Currency 2 2 3 2 5 4 3 2" xfId="26639" xr:uid="{4CDFAF28-A725-4CA2-A091-648581AB9C56}"/>
    <cellStyle name="Currency 2 2 3 2 5 4 4" xfId="20563" xr:uid="{B0B636AB-92C7-4799-B50A-9F8B3002A2B9}"/>
    <cellStyle name="Currency 2 2 3 2 5 5" xfId="8248" xr:uid="{6ECB32C5-294A-4F8B-BC62-A04D21AF5109}"/>
    <cellStyle name="Currency 2 2 3 2 5 5 2" xfId="13456" xr:uid="{7FF7A449-E244-4A01-A795-1F2FC73B41B8}"/>
    <cellStyle name="Currency 2 2 3 2 5 5 2 2" xfId="27507" xr:uid="{AEE7E363-AFA2-48F6-973A-CC84B005D0DF}"/>
    <cellStyle name="Currency 2 2 3 2 5 5 3" xfId="22299" xr:uid="{9CE768F2-D8A0-4B6D-943B-75E18A0F44BE}"/>
    <cellStyle name="Currency 2 2 3 2 5 6" xfId="7380" xr:uid="{C4DCD611-6912-44FC-9DC1-8EB7220C2664}"/>
    <cellStyle name="Currency 2 2 3 2 5 6 2" xfId="21431" xr:uid="{6576ECD8-6466-41E5-8B26-E7DE16E6B5D4}"/>
    <cellStyle name="Currency 2 2 3 2 5 7" xfId="10852" xr:uid="{F54987EB-56AC-49EF-B1CC-33EB00B0D1A7}"/>
    <cellStyle name="Currency 2 2 3 2 5 7 2" xfId="24903" xr:uid="{8283BC33-1E4E-4D3B-B4A8-BAA1A2E602B8}"/>
    <cellStyle name="Currency 2 2 3 2 5 8" xfId="16593" xr:uid="{FB7D9694-DF65-481F-9CB1-02814A825FDA}"/>
    <cellStyle name="Currency 2 2 3 2 6" xfId="4908" xr:uid="{95790AC1-1D13-4175-B7DD-D11251E9437E}"/>
    <cellStyle name="Currency 2 2 3 2 6 2" xfId="5416" xr:uid="{5ADF8315-5B56-47F1-BFFE-AFA5C61BEA71}"/>
    <cellStyle name="Currency 2 2 3 2 6 2 2" xfId="6284" xr:uid="{6262150C-5078-47E0-A848-CCCADFF1EC3E}"/>
    <cellStyle name="Currency 2 2 3 2 6 2 2 2" xfId="9756" xr:uid="{4D190723-10E8-40F7-9218-28B9D57695B4}"/>
    <cellStyle name="Currency 2 2 3 2 6 2 2 2 2" xfId="23807" xr:uid="{EDB836A5-E055-49E0-9CC6-0FF8DC16E81F}"/>
    <cellStyle name="Currency 2 2 3 2 6 2 2 3" xfId="12360" xr:uid="{2B6EC472-81B8-49CD-B633-119B66313BB5}"/>
    <cellStyle name="Currency 2 2 3 2 6 2 2 3 2" xfId="26411" xr:uid="{DE7F12CB-7231-4538-9330-B5F809702957}"/>
    <cellStyle name="Currency 2 2 3 2 6 2 2 4" xfId="20335" xr:uid="{0603D81D-E873-4DCF-B286-4B09762FEA64}"/>
    <cellStyle name="Currency 2 2 3 2 6 2 3" xfId="7152" xr:uid="{E69DC507-CB9C-482A-9E95-9D886C27292F}"/>
    <cellStyle name="Currency 2 2 3 2 6 2 3 2" xfId="10624" xr:uid="{11E3D18A-3609-4D64-BE62-6B7F89E66BEE}"/>
    <cellStyle name="Currency 2 2 3 2 6 2 3 2 2" xfId="24675" xr:uid="{EF6148FB-02FD-4F7A-A414-81DDB24E7800}"/>
    <cellStyle name="Currency 2 2 3 2 6 2 3 3" xfId="13228" xr:uid="{F7DBFAC9-1909-479A-8939-2F92F5CEF5B2}"/>
    <cellStyle name="Currency 2 2 3 2 6 2 3 3 2" xfId="27279" xr:uid="{794435D5-D9DC-4402-BADE-2059E79D1B1D}"/>
    <cellStyle name="Currency 2 2 3 2 6 2 3 4" xfId="21203" xr:uid="{744A87F5-90D2-4086-A34B-C96FA53616D7}"/>
    <cellStyle name="Currency 2 2 3 2 6 2 4" xfId="8888" xr:uid="{9F2F41EA-50CF-4E7C-93C6-89B81291E1F4}"/>
    <cellStyle name="Currency 2 2 3 2 6 2 4 2" xfId="14096" xr:uid="{E09C14A4-48CD-4CE9-BF02-DE304AA6D106}"/>
    <cellStyle name="Currency 2 2 3 2 6 2 4 2 2" xfId="28147" xr:uid="{73936A04-7CE0-4284-9855-AAE886944703}"/>
    <cellStyle name="Currency 2 2 3 2 6 2 4 3" xfId="22939" xr:uid="{D3DE91C9-6A1B-4D26-896B-A1510AD42D76}"/>
    <cellStyle name="Currency 2 2 3 2 6 2 5" xfId="8020" xr:uid="{DFD987F8-16A4-436E-8D25-E9CE5F24DD9B}"/>
    <cellStyle name="Currency 2 2 3 2 6 2 5 2" xfId="22071" xr:uid="{37A885ED-5FA3-458E-AF83-5F45CB97B3D3}"/>
    <cellStyle name="Currency 2 2 3 2 6 2 6" xfId="11492" xr:uid="{694CBC52-1AF3-48EA-B4B8-E3A1E7D6C244}"/>
    <cellStyle name="Currency 2 2 3 2 6 2 6 2" xfId="25543" xr:uid="{B70D55FF-EABE-464F-B900-B8A23C863149}"/>
    <cellStyle name="Currency 2 2 3 2 6 2 7" xfId="19467" xr:uid="{C8AC7B91-12F0-4FE4-B4FC-0571E704C222}"/>
    <cellStyle name="Currency 2 2 3 2 6 3" xfId="5850" xr:uid="{9C18FC04-7B77-4213-B4FB-BC1ACB7644DC}"/>
    <cellStyle name="Currency 2 2 3 2 6 3 2" xfId="9322" xr:uid="{A76AC625-0DAE-40CB-A2CC-4E5C4E212DAE}"/>
    <cellStyle name="Currency 2 2 3 2 6 3 2 2" xfId="23373" xr:uid="{A6A12E19-CE74-43C4-A76B-72445655933F}"/>
    <cellStyle name="Currency 2 2 3 2 6 3 3" xfId="11926" xr:uid="{6EA9E18F-91DE-438F-9350-FA281CFED2B6}"/>
    <cellStyle name="Currency 2 2 3 2 6 3 3 2" xfId="25977" xr:uid="{B2BAA291-8ECB-4C63-B336-C3DE1C15925D}"/>
    <cellStyle name="Currency 2 2 3 2 6 3 4" xfId="19901" xr:uid="{38D07600-A7E2-4218-8E0E-3B26F71064EF}"/>
    <cellStyle name="Currency 2 2 3 2 6 4" xfId="6718" xr:uid="{6EC7EE83-3563-4227-B948-95437F602BC2}"/>
    <cellStyle name="Currency 2 2 3 2 6 4 2" xfId="10190" xr:uid="{C0C08F6D-15CA-4C11-835A-8C503BB89ACF}"/>
    <cellStyle name="Currency 2 2 3 2 6 4 2 2" xfId="24241" xr:uid="{BACC3A29-2F26-4DC8-B0AF-04465E9F1172}"/>
    <cellStyle name="Currency 2 2 3 2 6 4 3" xfId="12794" xr:uid="{9B67F16B-CD62-4C5D-A3D6-E8E1C79C3DBA}"/>
    <cellStyle name="Currency 2 2 3 2 6 4 3 2" xfId="26845" xr:uid="{770C2ED4-9D76-4617-AE77-BA8EAFD05B5D}"/>
    <cellStyle name="Currency 2 2 3 2 6 4 4" xfId="20769" xr:uid="{A8CAA879-2519-4E77-B20E-BBA7115007EC}"/>
    <cellStyle name="Currency 2 2 3 2 6 5" xfId="8454" xr:uid="{ADC89282-D97F-4E47-B94F-5B0EEE17EA3A}"/>
    <cellStyle name="Currency 2 2 3 2 6 5 2" xfId="13662" xr:uid="{10D5938B-AB10-4E67-8DF0-3D67CA4B54C3}"/>
    <cellStyle name="Currency 2 2 3 2 6 5 2 2" xfId="27713" xr:uid="{A34D618B-F852-400E-B9FE-AC4339B61D0A}"/>
    <cellStyle name="Currency 2 2 3 2 6 5 3" xfId="22505" xr:uid="{8161187D-9E52-49F4-8523-3D230A945BA2}"/>
    <cellStyle name="Currency 2 2 3 2 6 6" xfId="7586" xr:uid="{4DFB4260-2B12-435E-8E21-E03FFAA22033}"/>
    <cellStyle name="Currency 2 2 3 2 6 6 2" xfId="21637" xr:uid="{4EDD7147-0D5C-4181-84DB-9F79F239156E}"/>
    <cellStyle name="Currency 2 2 3 2 6 7" xfId="11058" xr:uid="{E3CCEB78-08A2-49F6-A6DD-CE4289A309BD}"/>
    <cellStyle name="Currency 2 2 3 2 6 7 2" xfId="25109" xr:uid="{4A67E607-84F4-4CDD-8826-62AA7A5634B2}"/>
    <cellStyle name="Currency 2 2 3 2 6 8" xfId="18960" xr:uid="{BE56D537-4A10-412E-8580-FF9A773A9E68}"/>
    <cellStyle name="Currency 2 2 3 2 7" xfId="5016" xr:uid="{1E5CFA7B-122E-46D2-9367-5B77060E6281}"/>
    <cellStyle name="Currency 2 2 3 2 7 2" xfId="5884" xr:uid="{532837E9-243E-4796-9009-1732666A70A5}"/>
    <cellStyle name="Currency 2 2 3 2 7 2 2" xfId="9356" xr:uid="{B0894BC6-B0B8-4DD5-96FE-43C1798A79AE}"/>
    <cellStyle name="Currency 2 2 3 2 7 2 2 2" xfId="23407" xr:uid="{707704EB-B791-424E-8BA4-D9EC1DCB3D6A}"/>
    <cellStyle name="Currency 2 2 3 2 7 2 3" xfId="11960" xr:uid="{2C80BAF2-2DF8-48AA-A96E-E32A96BCC495}"/>
    <cellStyle name="Currency 2 2 3 2 7 2 3 2" xfId="26011" xr:uid="{F1A7D1CD-7A7D-4925-AA21-2292D5542251}"/>
    <cellStyle name="Currency 2 2 3 2 7 2 4" xfId="19935" xr:uid="{30BCD165-0B97-415A-B3D7-259513C98D31}"/>
    <cellStyle name="Currency 2 2 3 2 7 3" xfId="6752" xr:uid="{9E741E66-AF86-43B8-868D-F2144029E652}"/>
    <cellStyle name="Currency 2 2 3 2 7 3 2" xfId="10224" xr:uid="{20F841FD-8064-416F-846A-02608F0733F6}"/>
    <cellStyle name="Currency 2 2 3 2 7 3 2 2" xfId="24275" xr:uid="{D7FAFBBE-654F-46AD-A4EC-C3FF6ACE18B4}"/>
    <cellStyle name="Currency 2 2 3 2 7 3 3" xfId="12828" xr:uid="{AEF5895F-6E33-4E69-BECA-51B28F5BB9CC}"/>
    <cellStyle name="Currency 2 2 3 2 7 3 3 2" xfId="26879" xr:uid="{77CE3152-88C8-4963-A0E9-B7B443E271C9}"/>
    <cellStyle name="Currency 2 2 3 2 7 3 4" xfId="20803" xr:uid="{842E4A48-3543-4E33-9305-1D2CC01A367E}"/>
    <cellStyle name="Currency 2 2 3 2 7 4" xfId="8488" xr:uid="{90C25BCD-44D9-4A40-AC66-9D774CDB6709}"/>
    <cellStyle name="Currency 2 2 3 2 7 4 2" xfId="13696" xr:uid="{7306F5A1-73DF-4608-A35B-689A4894EC1D}"/>
    <cellStyle name="Currency 2 2 3 2 7 4 2 2" xfId="27747" xr:uid="{1BA0321F-930A-4CEC-99B8-646C207F2644}"/>
    <cellStyle name="Currency 2 2 3 2 7 4 3" xfId="22539" xr:uid="{06741924-20B7-4507-87C1-1F033BB7070C}"/>
    <cellStyle name="Currency 2 2 3 2 7 5" xfId="7620" xr:uid="{5EA8E334-5101-45AA-9139-31EF7E708E2E}"/>
    <cellStyle name="Currency 2 2 3 2 7 5 2" xfId="21671" xr:uid="{97D28004-7A9D-4409-810C-E7CEB558158F}"/>
    <cellStyle name="Currency 2 2 3 2 7 6" xfId="11092" xr:uid="{3FD52B50-80A5-455F-8F1D-3F036852A379}"/>
    <cellStyle name="Currency 2 2 3 2 7 6 2" xfId="25143" xr:uid="{E094896C-8241-42CB-BDF5-1251266A16A9}"/>
    <cellStyle name="Currency 2 2 3 2 7 7" xfId="19067" xr:uid="{FB0DE5FE-8608-4159-A875-2DB53826BF93}"/>
    <cellStyle name="Currency 2 2 3 2 8" xfId="5450" xr:uid="{AA2FFC2E-7579-4497-89F6-B9715020ACEA}"/>
    <cellStyle name="Currency 2 2 3 2 8 2" xfId="8922" xr:uid="{49EED909-CDCC-4036-9CAB-F83DD62D8C4E}"/>
    <cellStyle name="Currency 2 2 3 2 8 2 2" xfId="22973" xr:uid="{175BD9B5-81E7-4139-802B-A1B8DD8B8D06}"/>
    <cellStyle name="Currency 2 2 3 2 8 3" xfId="11526" xr:uid="{AD117ECB-CAF6-4141-97C6-4F6F4E62199F}"/>
    <cellStyle name="Currency 2 2 3 2 8 3 2" xfId="25577" xr:uid="{D79C4301-24FD-40DF-93C1-F8E24D92162B}"/>
    <cellStyle name="Currency 2 2 3 2 8 4" xfId="19501" xr:uid="{AF39812F-4B74-4082-9ECA-040F6BCCB075}"/>
    <cellStyle name="Currency 2 2 3 2 9" xfId="6318" xr:uid="{FBA310B5-C981-459D-BDD5-980DA67CCEFB}"/>
    <cellStyle name="Currency 2 2 3 2 9 2" xfId="9790" xr:uid="{60E698CF-04D9-49F1-86EB-62722C93DA0A}"/>
    <cellStyle name="Currency 2 2 3 2 9 2 2" xfId="23841" xr:uid="{3154CE35-244C-4261-B87C-6FFDA018C8E4}"/>
    <cellStyle name="Currency 2 2 3 2 9 3" xfId="12394" xr:uid="{00587DC9-0F40-45E0-95E1-10127F6414CE}"/>
    <cellStyle name="Currency 2 2 3 2 9 3 2" xfId="26445" xr:uid="{3B552852-8900-45AF-8EF0-920F248EF845}"/>
    <cellStyle name="Currency 2 2 3 2 9 4" xfId="20369" xr:uid="{D7B868B8-9AD8-4AB8-A4FE-944FBF2D883F}"/>
    <cellStyle name="Currency 2 2 3 3" xfId="516" xr:uid="{F6BA6B65-1928-4434-9FB6-7DBF227D4D93}"/>
    <cellStyle name="Currency 2 2 3 3 10" xfId="10673" xr:uid="{7013CADD-0B5B-4797-9935-C11DA4989A26}"/>
    <cellStyle name="Currency 2 2 3 3 10 2" xfId="24724" xr:uid="{EBBD8A8E-02E9-408A-8D47-2BDF5CCA50C6}"/>
    <cellStyle name="Currency 2 2 3 3 11" xfId="14571" xr:uid="{D4A86881-1848-429B-B97A-2939EFE6B855}"/>
    <cellStyle name="Currency 2 2 3 3 2" xfId="1449" xr:uid="{A479D7B9-88FB-45CE-AAE6-2B757DDF80ED}"/>
    <cellStyle name="Currency 2 2 3 3 2 2" xfId="3639" xr:uid="{5BF7B27F-DA72-4223-BA9C-F0BC88349DCC}"/>
    <cellStyle name="Currency 2 2 3 3 2 2 2" xfId="5306" xr:uid="{468546EC-7146-4826-8982-C9B36E6DDF61}"/>
    <cellStyle name="Currency 2 2 3 3 2 2 2 2" xfId="6174" xr:uid="{0AD51D04-BD63-431A-824A-FF9A74E9DDC9}"/>
    <cellStyle name="Currency 2 2 3 3 2 2 2 2 2" xfId="9646" xr:uid="{03830A48-A4D9-4B1C-A169-327BC2F6C6DD}"/>
    <cellStyle name="Currency 2 2 3 3 2 2 2 2 2 2" xfId="23697" xr:uid="{CA01B72A-C0F7-4598-B765-3E0DE18B2F87}"/>
    <cellStyle name="Currency 2 2 3 3 2 2 2 2 3" xfId="12250" xr:uid="{49244900-9695-45C8-9C10-3E3F2A9D1844}"/>
    <cellStyle name="Currency 2 2 3 3 2 2 2 2 3 2" xfId="26301" xr:uid="{2FB5C0E1-1529-495E-873B-0C701E540E7F}"/>
    <cellStyle name="Currency 2 2 3 3 2 2 2 2 4" xfId="20225" xr:uid="{8EDBFEA2-C1A3-49E8-84AE-389C2120648B}"/>
    <cellStyle name="Currency 2 2 3 3 2 2 2 3" xfId="7042" xr:uid="{9069874B-08FC-4281-BBFB-F89932B6BCCD}"/>
    <cellStyle name="Currency 2 2 3 3 2 2 2 3 2" xfId="10514" xr:uid="{28CF700C-1DCC-4AF1-94B4-38651DD7BD6E}"/>
    <cellStyle name="Currency 2 2 3 3 2 2 2 3 2 2" xfId="24565" xr:uid="{CD84ABE9-D665-4B85-A8D0-95FF8CF62E88}"/>
    <cellStyle name="Currency 2 2 3 3 2 2 2 3 3" xfId="13118" xr:uid="{FF7CAE21-26F5-4C08-8C4E-44AF1DB42DB4}"/>
    <cellStyle name="Currency 2 2 3 3 2 2 2 3 3 2" xfId="27169" xr:uid="{39585E4D-52BA-4166-BA6B-F803DB7ECE70}"/>
    <cellStyle name="Currency 2 2 3 3 2 2 2 3 4" xfId="21093" xr:uid="{2E59663A-80C8-4A95-9E14-67DB638EDA55}"/>
    <cellStyle name="Currency 2 2 3 3 2 2 2 4" xfId="8778" xr:uid="{10DDC097-D4E1-48AD-9630-09E7B053F551}"/>
    <cellStyle name="Currency 2 2 3 3 2 2 2 4 2" xfId="13986" xr:uid="{4FD93BEC-908F-4D71-BA59-D5003236E31B}"/>
    <cellStyle name="Currency 2 2 3 3 2 2 2 4 2 2" xfId="28037" xr:uid="{046A6DFE-9000-422E-B535-5B64E81A19F1}"/>
    <cellStyle name="Currency 2 2 3 3 2 2 2 4 3" xfId="22829" xr:uid="{55A2609B-42F4-4664-9990-C9938191BEC0}"/>
    <cellStyle name="Currency 2 2 3 3 2 2 2 5" xfId="7910" xr:uid="{53E269DD-E49F-4BC6-9044-D26CC72C7847}"/>
    <cellStyle name="Currency 2 2 3 3 2 2 2 5 2" xfId="21961" xr:uid="{A3DA5864-0BC3-4B95-B302-0F46891ABB83}"/>
    <cellStyle name="Currency 2 2 3 3 2 2 2 6" xfId="11382" xr:uid="{30E64BD0-FED4-4829-BCEE-6835E1DA57BB}"/>
    <cellStyle name="Currency 2 2 3 3 2 2 2 6 2" xfId="25433" xr:uid="{AC18A32A-C8E9-439D-85DD-7BBC29CD4E4C}"/>
    <cellStyle name="Currency 2 2 3 3 2 2 2 7" xfId="19357" xr:uid="{640E1CEB-D61D-41A8-8A47-CEDB3D162BC9}"/>
    <cellStyle name="Currency 2 2 3 3 2 2 3" xfId="5740" xr:uid="{0F9E0047-4E03-49C1-9ABD-DF4A95A84A9C}"/>
    <cellStyle name="Currency 2 2 3 3 2 2 3 2" xfId="9212" xr:uid="{17624E36-C6A1-4E95-ADF2-7B63F7E1351F}"/>
    <cellStyle name="Currency 2 2 3 3 2 2 3 2 2" xfId="23263" xr:uid="{BA6C5071-A609-4820-921D-486D69454DED}"/>
    <cellStyle name="Currency 2 2 3 3 2 2 3 3" xfId="11816" xr:uid="{53250FAA-2D37-488C-B06F-2C6C876E0D42}"/>
    <cellStyle name="Currency 2 2 3 3 2 2 3 3 2" xfId="25867" xr:uid="{AC31A8DA-848C-497A-9375-FB625BFDBFA4}"/>
    <cellStyle name="Currency 2 2 3 3 2 2 3 4" xfId="19791" xr:uid="{67F9CE7C-56DB-415B-84C7-E7BD90998409}"/>
    <cellStyle name="Currency 2 2 3 3 2 2 4" xfId="6608" xr:uid="{DE600B3F-8B72-4036-80F9-EEAF3506C71F}"/>
    <cellStyle name="Currency 2 2 3 3 2 2 4 2" xfId="10080" xr:uid="{EC33EF92-3F2B-4F6A-9982-B3F384CAA481}"/>
    <cellStyle name="Currency 2 2 3 3 2 2 4 2 2" xfId="24131" xr:uid="{F1DF8759-9BF7-4E15-A36E-79004C10A1B6}"/>
    <cellStyle name="Currency 2 2 3 3 2 2 4 3" xfId="12684" xr:uid="{289B7CB6-5F15-4435-AF6C-9A3BB7A3D1A2}"/>
    <cellStyle name="Currency 2 2 3 3 2 2 4 3 2" xfId="26735" xr:uid="{921592E5-B7D0-431F-8161-C87118BCDF64}"/>
    <cellStyle name="Currency 2 2 3 3 2 2 4 4" xfId="20659" xr:uid="{398AB13D-7A76-4A1C-A08A-71F4415D3815}"/>
    <cellStyle name="Currency 2 2 3 3 2 2 5" xfId="8344" xr:uid="{BFE18C12-B5A4-4F28-B91D-E5F6735F0347}"/>
    <cellStyle name="Currency 2 2 3 3 2 2 5 2" xfId="13552" xr:uid="{2C2A8215-6BF7-4053-BEE9-6982A1685E5E}"/>
    <cellStyle name="Currency 2 2 3 3 2 2 5 2 2" xfId="27603" xr:uid="{60A43DDA-B86D-488B-A642-1DDFDAC0B60C}"/>
    <cellStyle name="Currency 2 2 3 3 2 2 5 3" xfId="22395" xr:uid="{A92E7B74-35AC-44CC-AEAB-CCF502617390}"/>
    <cellStyle name="Currency 2 2 3 3 2 2 6" xfId="7476" xr:uid="{6B0D8E52-EE41-4D69-8CE0-9338F8924179}"/>
    <cellStyle name="Currency 2 2 3 3 2 2 6 2" xfId="21527" xr:uid="{E76CF09D-B2D0-45A6-BB64-C2A430DA5141}"/>
    <cellStyle name="Currency 2 2 3 3 2 2 7" xfId="10948" xr:uid="{B59AAE85-7107-4A76-BC1E-FE520012BE4C}"/>
    <cellStyle name="Currency 2 2 3 3 2 2 7 2" xfId="24999" xr:uid="{CB17D20B-959E-4F04-A64E-536F02DBF1B8}"/>
    <cellStyle name="Currency 2 2 3 3 2 2 8" xfId="17692" xr:uid="{1372CBC8-CEF4-424F-888A-0BA7ECE742A2}"/>
    <cellStyle name="Currency 2 2 3 3 2 3" xfId="5115" xr:uid="{D1681EE6-6D28-4DA7-B45D-5E993B6DFFB1}"/>
    <cellStyle name="Currency 2 2 3 3 2 3 2" xfId="5983" xr:uid="{A4D76D47-AA4B-4EC3-9006-9E2D5ADA9E3A}"/>
    <cellStyle name="Currency 2 2 3 3 2 3 2 2" xfId="9455" xr:uid="{70B4E8E5-92A4-4919-AE1F-0F7E68A5550A}"/>
    <cellStyle name="Currency 2 2 3 3 2 3 2 2 2" xfId="23506" xr:uid="{62E4CF26-B5A9-4E78-9CBA-662D8FD00D74}"/>
    <cellStyle name="Currency 2 2 3 3 2 3 2 3" xfId="12059" xr:uid="{60F1B692-3A9A-489F-9109-80E6417A3FB9}"/>
    <cellStyle name="Currency 2 2 3 3 2 3 2 3 2" xfId="26110" xr:uid="{E6525B5C-6E63-493E-AFA5-0659B0D14A6A}"/>
    <cellStyle name="Currency 2 2 3 3 2 3 2 4" xfId="20034" xr:uid="{31282130-1AA2-410C-AE7D-D9FD3FEA322E}"/>
    <cellStyle name="Currency 2 2 3 3 2 3 3" xfId="6851" xr:uid="{18F060B3-E474-4AC4-BA3B-D7E3FB376415}"/>
    <cellStyle name="Currency 2 2 3 3 2 3 3 2" xfId="10323" xr:uid="{5682511F-0AD3-4973-B9A0-934685E284EE}"/>
    <cellStyle name="Currency 2 2 3 3 2 3 3 2 2" xfId="24374" xr:uid="{AB1EEEA3-EEF0-44D8-97B6-BCB641FA0DCC}"/>
    <cellStyle name="Currency 2 2 3 3 2 3 3 3" xfId="12927" xr:uid="{A8D58639-4B34-47CE-B372-A027AEAD5EA1}"/>
    <cellStyle name="Currency 2 2 3 3 2 3 3 3 2" xfId="26978" xr:uid="{0713EC5A-57D0-432A-89BD-F0BB6CF3D520}"/>
    <cellStyle name="Currency 2 2 3 3 2 3 3 4" xfId="20902" xr:uid="{C5B397A2-1935-4EDD-BD19-F4D99DDF25AC}"/>
    <cellStyle name="Currency 2 2 3 3 2 3 4" xfId="8587" xr:uid="{A090A129-B8A3-4D4D-9A49-1EC060C07123}"/>
    <cellStyle name="Currency 2 2 3 3 2 3 4 2" xfId="13795" xr:uid="{792452E8-B202-4CB1-AADF-3BA25C062B94}"/>
    <cellStyle name="Currency 2 2 3 3 2 3 4 2 2" xfId="27846" xr:uid="{A094A08C-E90E-43FF-A1DF-F62B61F1725C}"/>
    <cellStyle name="Currency 2 2 3 3 2 3 4 3" xfId="22638" xr:uid="{D806E810-FE25-417E-AB29-A46A016C5B52}"/>
    <cellStyle name="Currency 2 2 3 3 2 3 5" xfId="7719" xr:uid="{A0DDF7D4-2B1C-41D9-BF62-29A0EF5B103A}"/>
    <cellStyle name="Currency 2 2 3 3 2 3 5 2" xfId="21770" xr:uid="{11D68C97-08E2-4660-8974-FCFF8345DC87}"/>
    <cellStyle name="Currency 2 2 3 3 2 3 6" xfId="11191" xr:uid="{7830F1C3-F2BA-4655-9A8A-C1F4824640AB}"/>
    <cellStyle name="Currency 2 2 3 3 2 3 6 2" xfId="25242" xr:uid="{E407C441-12A6-432A-AECB-09CAC1CA1481}"/>
    <cellStyle name="Currency 2 2 3 3 2 3 7" xfId="19166" xr:uid="{012E6C86-BDEA-4D0C-87A6-83CAC5520238}"/>
    <cellStyle name="Currency 2 2 3 3 2 4" xfId="5549" xr:uid="{0CB23821-2A31-458B-9EE7-FC82DB2347DD}"/>
    <cellStyle name="Currency 2 2 3 3 2 4 2" xfId="9021" xr:uid="{BB152A32-9B9D-4762-A980-B0EB865EF64E}"/>
    <cellStyle name="Currency 2 2 3 3 2 4 2 2" xfId="23072" xr:uid="{2842ACB1-B480-4E50-9B5E-1FAECDB57195}"/>
    <cellStyle name="Currency 2 2 3 3 2 4 3" xfId="11625" xr:uid="{0AA134BE-35F2-460F-AFE0-B61A2913A643}"/>
    <cellStyle name="Currency 2 2 3 3 2 4 3 2" xfId="25676" xr:uid="{20674558-3743-416D-BCF2-635619CDE9D8}"/>
    <cellStyle name="Currency 2 2 3 3 2 4 4" xfId="19600" xr:uid="{861EAE26-D153-4C86-8F03-45C9CE97A24E}"/>
    <cellStyle name="Currency 2 2 3 3 2 5" xfId="6417" xr:uid="{FE90D574-EC22-4398-9E46-A52D044B8227}"/>
    <cellStyle name="Currency 2 2 3 3 2 5 2" xfId="9889" xr:uid="{D761E880-9B2E-4023-97D5-72C5CEFA9255}"/>
    <cellStyle name="Currency 2 2 3 3 2 5 2 2" xfId="23940" xr:uid="{9B07487C-D880-47B4-BC35-C619BA8F4B36}"/>
    <cellStyle name="Currency 2 2 3 3 2 5 3" xfId="12493" xr:uid="{9C9BC259-4F3D-4B3B-A6BC-BD4383B4467C}"/>
    <cellStyle name="Currency 2 2 3 3 2 5 3 2" xfId="26544" xr:uid="{EF6BD2F4-885A-44E0-B221-71E162D81A57}"/>
    <cellStyle name="Currency 2 2 3 3 2 5 4" xfId="20468" xr:uid="{3664BFA1-F093-42D1-86B4-13541320A56D}"/>
    <cellStyle name="Currency 2 2 3 3 2 6" xfId="8153" xr:uid="{0E657E8A-9561-4A79-AF80-EA6706DB388C}"/>
    <cellStyle name="Currency 2 2 3 3 2 6 2" xfId="13361" xr:uid="{54C863A4-5044-459F-99B7-235937DC030E}"/>
    <cellStyle name="Currency 2 2 3 3 2 6 2 2" xfId="27412" xr:uid="{E48BC04C-0EA2-4709-928F-82B7819DC9AD}"/>
    <cellStyle name="Currency 2 2 3 3 2 6 3" xfId="22204" xr:uid="{D36B2F58-8FBE-427A-95A9-CC2D1AD72407}"/>
    <cellStyle name="Currency 2 2 3 3 2 7" xfId="7285" xr:uid="{6933FFF7-B844-44DD-8945-CBA60B70EC88}"/>
    <cellStyle name="Currency 2 2 3 3 2 7 2" xfId="21336" xr:uid="{EA20CF62-1845-435B-B02B-484522186B1A}"/>
    <cellStyle name="Currency 2 2 3 3 2 8" xfId="10757" xr:uid="{DBF85691-4C40-4B3E-8FE0-43A6B894F282}"/>
    <cellStyle name="Currency 2 2 3 3 2 8 2" xfId="24808" xr:uid="{170FE477-EC2B-4D4B-B9EA-570E993BEAED}"/>
    <cellStyle name="Currency 2 2 3 3 2 9" xfId="15498" xr:uid="{A74225D7-C600-45D4-977C-8E4C53824D46}"/>
    <cellStyle name="Currency 2 2 3 3 3" xfId="2715" xr:uid="{BDDEA7B5-00FC-4916-9AE3-B06D366C7ADA}"/>
    <cellStyle name="Currency 2 2 3 3 3 2" xfId="5225" xr:uid="{8F2F8AB0-7959-47D4-A749-8C1871551900}"/>
    <cellStyle name="Currency 2 2 3 3 3 2 2" xfId="6093" xr:uid="{A565DD3A-5E3C-469B-8E81-351EFA914056}"/>
    <cellStyle name="Currency 2 2 3 3 3 2 2 2" xfId="9565" xr:uid="{3E3EDF69-F38C-42A5-9173-58DC0D4A5A81}"/>
    <cellStyle name="Currency 2 2 3 3 3 2 2 2 2" xfId="23616" xr:uid="{DA89ED39-32E0-4FD1-A152-54ECDFA7CD25}"/>
    <cellStyle name="Currency 2 2 3 3 3 2 2 3" xfId="12169" xr:uid="{C14288B5-14DA-4176-94F9-7FFB9C5F9297}"/>
    <cellStyle name="Currency 2 2 3 3 3 2 2 3 2" xfId="26220" xr:uid="{589B42E9-6BE2-44F3-B387-A97EBDE5BCE0}"/>
    <cellStyle name="Currency 2 2 3 3 3 2 2 4" xfId="20144" xr:uid="{7C4C5341-C69A-4890-AFD6-C64DDFB93FD0}"/>
    <cellStyle name="Currency 2 2 3 3 3 2 3" xfId="6961" xr:uid="{348586CD-BDB5-486E-85DB-72F8918BAC3C}"/>
    <cellStyle name="Currency 2 2 3 3 3 2 3 2" xfId="10433" xr:uid="{1E9949AC-C341-487D-B340-F71E352B4F9F}"/>
    <cellStyle name="Currency 2 2 3 3 3 2 3 2 2" xfId="24484" xr:uid="{4788BE56-5116-4E6A-89A1-CCF2E09B43C8}"/>
    <cellStyle name="Currency 2 2 3 3 3 2 3 3" xfId="13037" xr:uid="{939E4426-D145-49E8-A7FC-191FEF62659B}"/>
    <cellStyle name="Currency 2 2 3 3 3 2 3 3 2" xfId="27088" xr:uid="{D8FCA506-17F1-446B-8ABB-20F278986D9D}"/>
    <cellStyle name="Currency 2 2 3 3 3 2 3 4" xfId="21012" xr:uid="{E179A4E5-E665-4D39-A652-3227980E23F7}"/>
    <cellStyle name="Currency 2 2 3 3 3 2 4" xfId="8697" xr:uid="{A77C43AB-1251-42D7-A671-45CCBDA45ECB}"/>
    <cellStyle name="Currency 2 2 3 3 3 2 4 2" xfId="13905" xr:uid="{55F08A07-7DF3-4679-8DA4-3BDD3D5E24FF}"/>
    <cellStyle name="Currency 2 2 3 3 3 2 4 2 2" xfId="27956" xr:uid="{B4F3543B-A82F-47C6-AD27-2B383AEEC573}"/>
    <cellStyle name="Currency 2 2 3 3 3 2 4 3" xfId="22748" xr:uid="{04AF9E53-DB8A-4618-B3FC-611BEE4ACE8C}"/>
    <cellStyle name="Currency 2 2 3 3 3 2 5" xfId="7829" xr:uid="{4F05085C-1A9A-40A5-A596-EA43069CF0A2}"/>
    <cellStyle name="Currency 2 2 3 3 3 2 5 2" xfId="21880" xr:uid="{2F1CDACD-7D1D-49AA-AB6E-E5AD5A30C051}"/>
    <cellStyle name="Currency 2 2 3 3 3 2 6" xfId="11301" xr:uid="{23E4780F-8BFE-4158-A115-BEC054D446C9}"/>
    <cellStyle name="Currency 2 2 3 3 3 2 6 2" xfId="25352" xr:uid="{D7315984-4582-448C-8F8D-A21C6D305672}"/>
    <cellStyle name="Currency 2 2 3 3 3 2 7" xfId="19276" xr:uid="{8EF546D5-6A26-4B28-B66D-644A2B1CE3FD}"/>
    <cellStyle name="Currency 2 2 3 3 3 3" xfId="5659" xr:uid="{6FB86FF4-8D89-475E-935B-1341936B1A46}"/>
    <cellStyle name="Currency 2 2 3 3 3 3 2" xfId="9131" xr:uid="{2E191CA0-5FE8-4B31-A2A7-8FE92C33ED2B}"/>
    <cellStyle name="Currency 2 2 3 3 3 3 2 2" xfId="23182" xr:uid="{FADA7FCD-6D95-4432-B57E-D3D471E5A7D1}"/>
    <cellStyle name="Currency 2 2 3 3 3 3 3" xfId="11735" xr:uid="{7E18BC70-3A66-4DA7-80F6-26653D10473C}"/>
    <cellStyle name="Currency 2 2 3 3 3 3 3 2" xfId="25786" xr:uid="{975E2DDA-4C7A-490F-B0A7-197E74F7F77F}"/>
    <cellStyle name="Currency 2 2 3 3 3 3 4" xfId="19710" xr:uid="{5A12FDBE-FEBF-4DA8-87DD-9F1B2B2EBB12}"/>
    <cellStyle name="Currency 2 2 3 3 3 4" xfId="6527" xr:uid="{9351436D-B07E-4301-A2CF-D85B9817C493}"/>
    <cellStyle name="Currency 2 2 3 3 3 4 2" xfId="9999" xr:uid="{8B23B34F-7954-490B-AB63-A2C431C8BCBA}"/>
    <cellStyle name="Currency 2 2 3 3 3 4 2 2" xfId="24050" xr:uid="{5D2D80AC-3F06-44F0-857F-0ED3B250A9FD}"/>
    <cellStyle name="Currency 2 2 3 3 3 4 3" xfId="12603" xr:uid="{71A8F780-481F-44E9-B805-E74FDB8BAFFD}"/>
    <cellStyle name="Currency 2 2 3 3 3 4 3 2" xfId="26654" xr:uid="{E14AB59B-F56C-45F0-9F1A-4EA3FE16F24A}"/>
    <cellStyle name="Currency 2 2 3 3 3 4 4" xfId="20578" xr:uid="{F2FE4FA1-8819-4369-BB64-3CB8DDD4D727}"/>
    <cellStyle name="Currency 2 2 3 3 3 5" xfId="8263" xr:uid="{04D2AA7D-2775-4FDD-AD3D-20E7F9E6ED5C}"/>
    <cellStyle name="Currency 2 2 3 3 3 5 2" xfId="13471" xr:uid="{F257A2C2-BFE1-43A1-BF18-2E24FADE9657}"/>
    <cellStyle name="Currency 2 2 3 3 3 5 2 2" xfId="27522" xr:uid="{4C62BD7D-C7D2-4A8A-BFA7-1C95779C36AB}"/>
    <cellStyle name="Currency 2 2 3 3 3 5 3" xfId="22314" xr:uid="{7656C475-9966-4E43-A856-0CE679B79C2A}"/>
    <cellStyle name="Currency 2 2 3 3 3 6" xfId="7395" xr:uid="{4720A14F-498A-45C0-A0B9-053700E3A785}"/>
    <cellStyle name="Currency 2 2 3 3 3 6 2" xfId="21446" xr:uid="{E0F378A1-E12F-47E0-A4A2-617AA321826A}"/>
    <cellStyle name="Currency 2 2 3 3 3 7" xfId="10867" xr:uid="{0ABD9FDE-8ACF-46A2-98DF-574A623D1673}"/>
    <cellStyle name="Currency 2 2 3 3 3 7 2" xfId="24918" xr:uid="{DBCDB6AB-A486-476C-9B03-61BBA44F231C}"/>
    <cellStyle name="Currency 2 2 3 3 3 8" xfId="16766" xr:uid="{8DDADCB1-5BBC-47F8-9114-11EDE2BFA9B1}"/>
    <cellStyle name="Currency 2 2 3 3 4" xfId="4734" xr:uid="{AE1C7150-5A1D-4D3C-8D1F-46B1AE09710D}"/>
    <cellStyle name="Currency 2 2 3 3 4 2" xfId="5401" xr:uid="{3ABDC55E-A3A6-4247-AEC7-806812C04D2A}"/>
    <cellStyle name="Currency 2 2 3 3 4 2 2" xfId="6269" xr:uid="{8C41DAFA-F846-4346-A69C-2317787449D6}"/>
    <cellStyle name="Currency 2 2 3 3 4 2 2 2" xfId="9741" xr:uid="{7C2DB1DD-6564-4519-B7CE-C04712F5278A}"/>
    <cellStyle name="Currency 2 2 3 3 4 2 2 2 2" xfId="23792" xr:uid="{DE6F2D3F-7512-460C-978D-E5A50A4B9F7E}"/>
    <cellStyle name="Currency 2 2 3 3 4 2 2 3" xfId="12345" xr:uid="{CC8477A9-7B50-4054-88CC-CA172DE6B786}"/>
    <cellStyle name="Currency 2 2 3 3 4 2 2 3 2" xfId="26396" xr:uid="{AC90551A-EB5B-496E-9475-8C094D071435}"/>
    <cellStyle name="Currency 2 2 3 3 4 2 2 4" xfId="20320" xr:uid="{36E285BF-6461-4E71-B540-20494A5086AC}"/>
    <cellStyle name="Currency 2 2 3 3 4 2 3" xfId="7137" xr:uid="{B48F4056-6229-4D6E-A3ED-F7D0BA380AAE}"/>
    <cellStyle name="Currency 2 2 3 3 4 2 3 2" xfId="10609" xr:uid="{96FF7DDB-9B41-4E8B-88CA-A7C571B57224}"/>
    <cellStyle name="Currency 2 2 3 3 4 2 3 2 2" xfId="24660" xr:uid="{1E4134CA-8BA9-4F00-9CFF-0A39A2848161}"/>
    <cellStyle name="Currency 2 2 3 3 4 2 3 3" xfId="13213" xr:uid="{9A326DF4-45C4-493B-82EC-F8EE50BB93FC}"/>
    <cellStyle name="Currency 2 2 3 3 4 2 3 3 2" xfId="27264" xr:uid="{FB5505B5-1828-46E6-A0E6-1B0F39B325EC}"/>
    <cellStyle name="Currency 2 2 3 3 4 2 3 4" xfId="21188" xr:uid="{688B2D21-507B-481F-8226-CB8CBBC67031}"/>
    <cellStyle name="Currency 2 2 3 3 4 2 4" xfId="8873" xr:uid="{F93A9E6C-AEDB-48C9-B9D2-A501D8789B55}"/>
    <cellStyle name="Currency 2 2 3 3 4 2 4 2" xfId="14081" xr:uid="{78399497-4B33-4A02-832B-8F9256D15037}"/>
    <cellStyle name="Currency 2 2 3 3 4 2 4 2 2" xfId="28132" xr:uid="{1A74E38F-336E-4584-8ED8-5BFF2B2C50B7}"/>
    <cellStyle name="Currency 2 2 3 3 4 2 4 3" xfId="22924" xr:uid="{446322F1-2F22-4443-AAD0-EC14C3557993}"/>
    <cellStyle name="Currency 2 2 3 3 4 2 5" xfId="8005" xr:uid="{38E75523-584F-4EF0-B6C1-95B89980A323}"/>
    <cellStyle name="Currency 2 2 3 3 4 2 5 2" xfId="22056" xr:uid="{86E74A98-EC45-45C8-AD0B-7D28B870A3A6}"/>
    <cellStyle name="Currency 2 2 3 3 4 2 6" xfId="11477" xr:uid="{8F4A7468-7093-474E-A5D4-C7E2F59C40D7}"/>
    <cellStyle name="Currency 2 2 3 3 4 2 6 2" xfId="25528" xr:uid="{2B987C97-3AA4-4B75-947E-7A13998295C5}"/>
    <cellStyle name="Currency 2 2 3 3 4 2 7" xfId="19452" xr:uid="{90DF513C-E902-4BA6-B3D2-62770B4CC095}"/>
    <cellStyle name="Currency 2 2 3 3 4 3" xfId="5835" xr:uid="{F91231AF-E7BE-48D8-8F8D-2E380503F8A1}"/>
    <cellStyle name="Currency 2 2 3 3 4 3 2" xfId="9307" xr:uid="{32FD6663-3C38-410E-BF3A-7408BA1147B0}"/>
    <cellStyle name="Currency 2 2 3 3 4 3 2 2" xfId="23358" xr:uid="{1A8F1B2B-4438-4302-8744-7ED9D4F5DD03}"/>
    <cellStyle name="Currency 2 2 3 3 4 3 3" xfId="11911" xr:uid="{258D2732-DF91-4FF5-8191-7457158A3B8B}"/>
    <cellStyle name="Currency 2 2 3 3 4 3 3 2" xfId="25962" xr:uid="{D21019A2-AD92-4AE0-8B99-7979C531199C}"/>
    <cellStyle name="Currency 2 2 3 3 4 3 4" xfId="19886" xr:uid="{8398A200-7D60-4733-9C1E-3E6CA123C17F}"/>
    <cellStyle name="Currency 2 2 3 3 4 4" xfId="6703" xr:uid="{9DFC6ECB-73F7-4F7D-9C0D-452A4987D6F1}"/>
    <cellStyle name="Currency 2 2 3 3 4 4 2" xfId="10175" xr:uid="{92F5EDB6-A12A-455C-ABFD-E9A3D812B9D1}"/>
    <cellStyle name="Currency 2 2 3 3 4 4 2 2" xfId="24226" xr:uid="{A27BFF25-CDB9-45DD-BA4E-510E21FEDAED}"/>
    <cellStyle name="Currency 2 2 3 3 4 4 3" xfId="12779" xr:uid="{23583CA9-ACAE-41BF-A5B1-41812523525E}"/>
    <cellStyle name="Currency 2 2 3 3 4 4 3 2" xfId="26830" xr:uid="{D986C086-13A1-46CA-881C-D5334B135DE7}"/>
    <cellStyle name="Currency 2 2 3 3 4 4 4" xfId="20754" xr:uid="{6691F459-D56A-430D-B1D6-CFFAAA1D205A}"/>
    <cellStyle name="Currency 2 2 3 3 4 5" xfId="8439" xr:uid="{2DCCC109-4FF5-4448-9301-5404E81B247F}"/>
    <cellStyle name="Currency 2 2 3 3 4 5 2" xfId="13647" xr:uid="{7D2379DB-534C-4CB2-80EE-47F05A4F2C4B}"/>
    <cellStyle name="Currency 2 2 3 3 4 5 2 2" xfId="27698" xr:uid="{1F9A8944-B993-4166-A7CC-858D03DCA02A}"/>
    <cellStyle name="Currency 2 2 3 3 4 5 3" xfId="22490" xr:uid="{A51A81DB-1462-407F-83A4-D95ED0B9B531}"/>
    <cellStyle name="Currency 2 2 3 3 4 6" xfId="7571" xr:uid="{CCA413C0-DAAA-4398-957B-5FF52B5E7516}"/>
    <cellStyle name="Currency 2 2 3 3 4 6 2" xfId="21622" xr:uid="{0695E51A-9F1C-4BCD-B62F-54B73966BB17}"/>
    <cellStyle name="Currency 2 2 3 3 4 7" xfId="11043" xr:uid="{DDCE3B13-2441-409B-8E90-08F9D7A48E19}"/>
    <cellStyle name="Currency 2 2 3 3 4 7 2" xfId="25094" xr:uid="{549910A2-CE62-4B33-AA2B-8133995116AD}"/>
    <cellStyle name="Currency 2 2 3 3 4 8" xfId="18786" xr:uid="{3BBCB0E1-453F-43FF-A115-871105D86B1C}"/>
    <cellStyle name="Currency 2 2 3 3 5" xfId="5031" xr:uid="{36339839-86DD-4334-8D9B-45212402AB25}"/>
    <cellStyle name="Currency 2 2 3 3 5 2" xfId="5899" xr:uid="{7D51D934-80AD-493F-8F8D-644313624B63}"/>
    <cellStyle name="Currency 2 2 3 3 5 2 2" xfId="9371" xr:uid="{C1F3CB34-59DF-46DA-823B-608AA79E0147}"/>
    <cellStyle name="Currency 2 2 3 3 5 2 2 2" xfId="23422" xr:uid="{1BAEFD47-D9FA-41AC-A716-F2BAC5799533}"/>
    <cellStyle name="Currency 2 2 3 3 5 2 3" xfId="11975" xr:uid="{CC2D6C18-3E77-43BF-AD1E-E9D0B456115E}"/>
    <cellStyle name="Currency 2 2 3 3 5 2 3 2" xfId="26026" xr:uid="{E561B08C-9C8E-47B1-AA68-D82DD8DB2588}"/>
    <cellStyle name="Currency 2 2 3 3 5 2 4" xfId="19950" xr:uid="{7292A953-4AB5-4052-AC49-F6C9EC0C65B2}"/>
    <cellStyle name="Currency 2 2 3 3 5 3" xfId="6767" xr:uid="{70EC34A3-0527-40BB-B6F4-757E8156D25D}"/>
    <cellStyle name="Currency 2 2 3 3 5 3 2" xfId="10239" xr:uid="{F49E4AFD-272C-451F-9BC9-48CC9A5398B9}"/>
    <cellStyle name="Currency 2 2 3 3 5 3 2 2" xfId="24290" xr:uid="{47E725C6-2729-42AB-947C-03B6B421CD26}"/>
    <cellStyle name="Currency 2 2 3 3 5 3 3" xfId="12843" xr:uid="{8FD2CC48-18AA-439B-BE5B-F8930A96CA6F}"/>
    <cellStyle name="Currency 2 2 3 3 5 3 3 2" xfId="26894" xr:uid="{E5D58FDE-814C-47E1-A8DA-D7D51D34A049}"/>
    <cellStyle name="Currency 2 2 3 3 5 3 4" xfId="20818" xr:uid="{D4660BA3-26A2-4CD7-8BEF-672975B01211}"/>
    <cellStyle name="Currency 2 2 3 3 5 4" xfId="8503" xr:uid="{B3FCCEC0-403A-41A8-95F0-B5AAE51F87CF}"/>
    <cellStyle name="Currency 2 2 3 3 5 4 2" xfId="13711" xr:uid="{289E5D14-233D-4B6C-AD9A-E045D2CCE30C}"/>
    <cellStyle name="Currency 2 2 3 3 5 4 2 2" xfId="27762" xr:uid="{60067AD9-C10E-4FD6-ADDB-4A8617DF1B75}"/>
    <cellStyle name="Currency 2 2 3 3 5 4 3" xfId="22554" xr:uid="{93A98D8A-A1BA-478F-ABE6-C936E1246CEC}"/>
    <cellStyle name="Currency 2 2 3 3 5 5" xfId="7635" xr:uid="{71A93876-7845-411D-A956-C578FF79DA3C}"/>
    <cellStyle name="Currency 2 2 3 3 5 5 2" xfId="21686" xr:uid="{F75493BA-0301-4C47-BF9C-60A589E5ED2B}"/>
    <cellStyle name="Currency 2 2 3 3 5 6" xfId="11107" xr:uid="{14770422-EBA5-4483-98E0-1084040F3E9A}"/>
    <cellStyle name="Currency 2 2 3 3 5 6 2" xfId="25158" xr:uid="{0148441E-75DE-4643-A682-E53B1EB650E3}"/>
    <cellStyle name="Currency 2 2 3 3 5 7" xfId="19082" xr:uid="{70774C80-CB99-4BC4-9440-672320E29FC1}"/>
    <cellStyle name="Currency 2 2 3 3 6" xfId="5465" xr:uid="{C50BD711-62D5-475B-839B-3CF5D2172D75}"/>
    <cellStyle name="Currency 2 2 3 3 6 2" xfId="8937" xr:uid="{ADD17D37-B5C6-4CB7-A022-AB56C96DBAB5}"/>
    <cellStyle name="Currency 2 2 3 3 6 2 2" xfId="22988" xr:uid="{8F11CCEC-4207-4FA1-911F-079A1A152B4C}"/>
    <cellStyle name="Currency 2 2 3 3 6 3" xfId="11541" xr:uid="{F51AA093-DCAD-4B52-979F-49B261B58EEC}"/>
    <cellStyle name="Currency 2 2 3 3 6 3 2" xfId="25592" xr:uid="{D687D09B-52E7-4F3C-A289-81B39043DC48}"/>
    <cellStyle name="Currency 2 2 3 3 6 4" xfId="19516" xr:uid="{E420DB19-A35C-49DA-9F71-0B076FF7294D}"/>
    <cellStyle name="Currency 2 2 3 3 7" xfId="6333" xr:uid="{3B09A986-09CA-4885-BDDB-4FED73F3E051}"/>
    <cellStyle name="Currency 2 2 3 3 7 2" xfId="9805" xr:uid="{B282B46C-7676-4BC5-8D58-4DA0CE98E871}"/>
    <cellStyle name="Currency 2 2 3 3 7 2 2" xfId="23856" xr:uid="{5BD0AF24-B57E-4550-B556-47C70D9C476A}"/>
    <cellStyle name="Currency 2 2 3 3 7 3" xfId="12409" xr:uid="{C0D7E9CF-BB89-4DA9-8B88-493A2F343E54}"/>
    <cellStyle name="Currency 2 2 3 3 7 3 2" xfId="26460" xr:uid="{BAADF09C-ACE7-4932-A5B4-B4139A6EBDC2}"/>
    <cellStyle name="Currency 2 2 3 3 7 4" xfId="20384" xr:uid="{83C2CC32-64BA-431D-B3D2-8AB130391DA1}"/>
    <cellStyle name="Currency 2 2 3 3 8" xfId="8069" xr:uid="{A8107EB1-CADC-43F9-A3E9-00A88892481F}"/>
    <cellStyle name="Currency 2 2 3 3 8 2" xfId="13277" xr:uid="{1EEAE6B0-4E56-4A94-A692-D08E591EFC3B}"/>
    <cellStyle name="Currency 2 2 3 3 8 2 2" xfId="27328" xr:uid="{04B76440-5E12-4A9F-9B6A-58D747A1DD8A}"/>
    <cellStyle name="Currency 2 2 3 3 8 3" xfId="22120" xr:uid="{BBBBDD50-E374-43F8-A05B-8ECF21F20AA4}"/>
    <cellStyle name="Currency 2 2 3 3 9" xfId="7201" xr:uid="{7C35D31F-0B46-4F2D-977E-C081B1483A88}"/>
    <cellStyle name="Currency 2 2 3 3 9 2" xfId="21252" xr:uid="{DA6F7132-96ED-4D0D-851F-E444B08B7624}"/>
    <cellStyle name="Currency 2 2 3 4" xfId="869" xr:uid="{3D603A40-F8C2-4CBF-92C1-0954CEC8F63E}"/>
    <cellStyle name="Currency 2 2 3 4 10" xfId="14919" xr:uid="{37A143D5-2712-4A7B-BB43-EFA7B7C736C0}"/>
    <cellStyle name="Currency 2 2 3 4 2" xfId="1968" xr:uid="{E55BBD31-BCC8-4A34-AB55-3B7D01E52880}"/>
    <cellStyle name="Currency 2 2 3 4 2 2" xfId="4157" xr:uid="{034EE5A3-744A-4647-8019-36D9120B6085}"/>
    <cellStyle name="Currency 2 2 3 4 2 2 2" xfId="5350" xr:uid="{334B18C7-100C-4063-B605-1D3656E43F93}"/>
    <cellStyle name="Currency 2 2 3 4 2 2 2 2" xfId="6218" xr:uid="{2A51E882-3D11-4F7A-AE4D-6C4F93EFEC3D}"/>
    <cellStyle name="Currency 2 2 3 4 2 2 2 2 2" xfId="9690" xr:uid="{4F9145C9-296D-426B-9E6E-BA01B39F5A75}"/>
    <cellStyle name="Currency 2 2 3 4 2 2 2 2 2 2" xfId="23741" xr:uid="{8759F0D8-014D-452D-BE5B-75A1748B0BD9}"/>
    <cellStyle name="Currency 2 2 3 4 2 2 2 2 3" xfId="12294" xr:uid="{0DA5BF76-05DE-447D-9024-3BD5CC5B9EAB}"/>
    <cellStyle name="Currency 2 2 3 4 2 2 2 2 3 2" xfId="26345" xr:uid="{582C96A5-428F-418B-88B8-BEE63A0D9C41}"/>
    <cellStyle name="Currency 2 2 3 4 2 2 2 2 4" xfId="20269" xr:uid="{77939351-5219-4EA6-B1AB-2A10234EA7E0}"/>
    <cellStyle name="Currency 2 2 3 4 2 2 2 3" xfId="7086" xr:uid="{39FFAF81-4776-4FAE-A55D-193CF5FE8D11}"/>
    <cellStyle name="Currency 2 2 3 4 2 2 2 3 2" xfId="10558" xr:uid="{7B827FE7-A1EA-4D1E-B948-0828C1C72C61}"/>
    <cellStyle name="Currency 2 2 3 4 2 2 2 3 2 2" xfId="24609" xr:uid="{76A490FC-24BD-4EA9-BC24-8CE33343BDDA}"/>
    <cellStyle name="Currency 2 2 3 4 2 2 2 3 3" xfId="13162" xr:uid="{B35CFE96-068D-4F55-B483-6D1A0A8A38E0}"/>
    <cellStyle name="Currency 2 2 3 4 2 2 2 3 3 2" xfId="27213" xr:uid="{7E38F579-A1A5-4146-A828-3FBE6872DFF6}"/>
    <cellStyle name="Currency 2 2 3 4 2 2 2 3 4" xfId="21137" xr:uid="{68DD579E-07F1-4C5E-8897-1F4786C7E1C4}"/>
    <cellStyle name="Currency 2 2 3 4 2 2 2 4" xfId="8822" xr:uid="{CA82340F-A2D0-47A8-9F92-194C9D5C2604}"/>
    <cellStyle name="Currency 2 2 3 4 2 2 2 4 2" xfId="14030" xr:uid="{87176653-BE2D-4B6C-9FA7-FBEAF10257E1}"/>
    <cellStyle name="Currency 2 2 3 4 2 2 2 4 2 2" xfId="28081" xr:uid="{4CA74621-B2E1-48B5-BCB6-8E7765048EC1}"/>
    <cellStyle name="Currency 2 2 3 4 2 2 2 4 3" xfId="22873" xr:uid="{FD469E1F-E316-47D5-AD87-B96EDDF26085}"/>
    <cellStyle name="Currency 2 2 3 4 2 2 2 5" xfId="7954" xr:uid="{C90234D7-5F5A-4E0A-AE70-6FB6426F7306}"/>
    <cellStyle name="Currency 2 2 3 4 2 2 2 5 2" xfId="22005" xr:uid="{09E79C75-EBFB-4325-8406-E945F42E82D2}"/>
    <cellStyle name="Currency 2 2 3 4 2 2 2 6" xfId="11426" xr:uid="{6AD6ABEC-C551-4D84-BE55-D28A638D559B}"/>
    <cellStyle name="Currency 2 2 3 4 2 2 2 6 2" xfId="25477" xr:uid="{59F769FC-1A39-4A9A-88D6-6DC1D7FB23F8}"/>
    <cellStyle name="Currency 2 2 3 4 2 2 2 7" xfId="19401" xr:uid="{549660D5-6C21-4AE3-ABE6-61FC252B6618}"/>
    <cellStyle name="Currency 2 2 3 4 2 2 3" xfId="5784" xr:uid="{CA1413BC-5252-496B-839F-234A2E607192}"/>
    <cellStyle name="Currency 2 2 3 4 2 2 3 2" xfId="9256" xr:uid="{B8251E97-ABE6-4C8F-92B4-FB45CBB542B9}"/>
    <cellStyle name="Currency 2 2 3 4 2 2 3 2 2" xfId="23307" xr:uid="{13800F18-FB81-4235-9670-7D4F58B87713}"/>
    <cellStyle name="Currency 2 2 3 4 2 2 3 3" xfId="11860" xr:uid="{2C2D938A-E193-416F-AE4E-02A09AC5FB6E}"/>
    <cellStyle name="Currency 2 2 3 4 2 2 3 3 2" xfId="25911" xr:uid="{BE461A16-A6CD-4696-BD15-9EB501EACCE8}"/>
    <cellStyle name="Currency 2 2 3 4 2 2 3 4" xfId="19835" xr:uid="{45DCC5A3-AD82-479C-92D3-A4529E53D619}"/>
    <cellStyle name="Currency 2 2 3 4 2 2 4" xfId="6652" xr:uid="{6D8975FB-2753-4A83-AB7D-D2571DCBDE41}"/>
    <cellStyle name="Currency 2 2 3 4 2 2 4 2" xfId="10124" xr:uid="{11A46111-9C44-4974-B46B-F2F6DC7AB93B}"/>
    <cellStyle name="Currency 2 2 3 4 2 2 4 2 2" xfId="24175" xr:uid="{C4ED4000-186C-4A82-A9BA-1E6879EE266C}"/>
    <cellStyle name="Currency 2 2 3 4 2 2 4 3" xfId="12728" xr:uid="{D13BB733-9F2B-4076-943C-522B9BE0E73B}"/>
    <cellStyle name="Currency 2 2 3 4 2 2 4 3 2" xfId="26779" xr:uid="{3A1910CD-FD2E-4F76-8DD4-EF5FDD94B45E}"/>
    <cellStyle name="Currency 2 2 3 4 2 2 4 4" xfId="20703" xr:uid="{6FC4FEF2-BE1F-4E8B-AF25-C11CF3B9F8A3}"/>
    <cellStyle name="Currency 2 2 3 4 2 2 5" xfId="8388" xr:uid="{A755F66C-5D95-4690-BA81-A15886CF1ED8}"/>
    <cellStyle name="Currency 2 2 3 4 2 2 5 2" xfId="13596" xr:uid="{264D4792-E70C-499C-82B0-639A71517B7E}"/>
    <cellStyle name="Currency 2 2 3 4 2 2 5 2 2" xfId="27647" xr:uid="{67A9A9A9-634E-4DA6-BD16-0F0B364838E2}"/>
    <cellStyle name="Currency 2 2 3 4 2 2 5 3" xfId="22439" xr:uid="{8F10C529-C4EA-4D09-BC3C-97AD3EAB2438}"/>
    <cellStyle name="Currency 2 2 3 4 2 2 6" xfId="7520" xr:uid="{C5218D5E-DE33-416B-8B34-E5341F6812C3}"/>
    <cellStyle name="Currency 2 2 3 4 2 2 6 2" xfId="21571" xr:uid="{DEBB3DE5-BF62-4944-9804-E3E5D12F25DB}"/>
    <cellStyle name="Currency 2 2 3 4 2 2 7" xfId="10992" xr:uid="{492E2725-25A5-43A3-9CDF-B070C33FAAA8}"/>
    <cellStyle name="Currency 2 2 3 4 2 2 7 2" xfId="25043" xr:uid="{6AD7FF8E-588C-4DB2-9B29-7DAD419B25A4}"/>
    <cellStyle name="Currency 2 2 3 4 2 2 8" xfId="18208" xr:uid="{274FBF06-79BD-42B7-92A6-B5510BCFD293}"/>
    <cellStyle name="Currency 2 2 3 4 2 3" xfId="5160" xr:uid="{3821D113-40CD-4345-B8F2-11B98E07A043}"/>
    <cellStyle name="Currency 2 2 3 4 2 3 2" xfId="6028" xr:uid="{40D5D193-10EA-4908-AD1B-D10A9C165474}"/>
    <cellStyle name="Currency 2 2 3 4 2 3 2 2" xfId="9500" xr:uid="{B6D88082-B6E0-4A1D-9399-CC1FCE39C1CB}"/>
    <cellStyle name="Currency 2 2 3 4 2 3 2 2 2" xfId="23551" xr:uid="{F1E8079C-3FBE-4AE7-A9F2-B7EA053AB5A2}"/>
    <cellStyle name="Currency 2 2 3 4 2 3 2 3" xfId="12104" xr:uid="{618CB80E-CFB9-4339-B8AF-11550D0F44F5}"/>
    <cellStyle name="Currency 2 2 3 4 2 3 2 3 2" xfId="26155" xr:uid="{C3CF8024-A3CD-41BF-B9E3-7EBC034EABAA}"/>
    <cellStyle name="Currency 2 2 3 4 2 3 2 4" xfId="20079" xr:uid="{3ACB781D-B073-4609-8B19-8B5627BA3754}"/>
    <cellStyle name="Currency 2 2 3 4 2 3 3" xfId="6896" xr:uid="{7246DB24-E57E-4315-934E-4CABF642B40E}"/>
    <cellStyle name="Currency 2 2 3 4 2 3 3 2" xfId="10368" xr:uid="{DDBA8AAB-1B0F-483C-9680-774AFA2D6B51}"/>
    <cellStyle name="Currency 2 2 3 4 2 3 3 2 2" xfId="24419" xr:uid="{BB4D29C0-1C49-44B4-B470-A5B9A468ACBB}"/>
    <cellStyle name="Currency 2 2 3 4 2 3 3 3" xfId="12972" xr:uid="{401B2492-5366-49F2-A371-A1ABFD973AAD}"/>
    <cellStyle name="Currency 2 2 3 4 2 3 3 3 2" xfId="27023" xr:uid="{A863091C-2445-4A22-BF67-0C90A943A49F}"/>
    <cellStyle name="Currency 2 2 3 4 2 3 3 4" xfId="20947" xr:uid="{979B8C63-9739-48F6-B392-2BCA7ADCD25D}"/>
    <cellStyle name="Currency 2 2 3 4 2 3 4" xfId="8632" xr:uid="{428A8C8D-264C-469D-B100-04F234E4A3D5}"/>
    <cellStyle name="Currency 2 2 3 4 2 3 4 2" xfId="13840" xr:uid="{7F3E81EF-F38C-4AD7-A687-316EDFF00277}"/>
    <cellStyle name="Currency 2 2 3 4 2 3 4 2 2" xfId="27891" xr:uid="{7959A379-1537-4AB2-9D31-EAFC2404F5CF}"/>
    <cellStyle name="Currency 2 2 3 4 2 3 4 3" xfId="22683" xr:uid="{0446B906-2421-41E7-BFFC-B99CB632D9AA}"/>
    <cellStyle name="Currency 2 2 3 4 2 3 5" xfId="7764" xr:uid="{0C7B71B8-79FF-43FE-A5AF-215020343911}"/>
    <cellStyle name="Currency 2 2 3 4 2 3 5 2" xfId="21815" xr:uid="{CE104C6A-4690-467B-8327-5298263CAC44}"/>
    <cellStyle name="Currency 2 2 3 4 2 3 6" xfId="11236" xr:uid="{40645FA3-CECC-4D03-A5F0-311ABC4003CD}"/>
    <cellStyle name="Currency 2 2 3 4 2 3 6 2" xfId="25287" xr:uid="{326E21E4-47FF-4A46-B7FE-7D9F96708C7C}"/>
    <cellStyle name="Currency 2 2 3 4 2 3 7" xfId="19211" xr:uid="{6BFEAF7F-CDED-4CB1-BF60-9B1F1F732C3E}"/>
    <cellStyle name="Currency 2 2 3 4 2 4" xfId="5594" xr:uid="{31CC999E-FD63-4E43-8F9E-5D036098E873}"/>
    <cellStyle name="Currency 2 2 3 4 2 4 2" xfId="9066" xr:uid="{0D2D3D9C-FCE4-43E9-9273-4DBF5D91E5BC}"/>
    <cellStyle name="Currency 2 2 3 4 2 4 2 2" xfId="23117" xr:uid="{7D414F23-C3BC-4465-AC95-AA60DE3F5CE2}"/>
    <cellStyle name="Currency 2 2 3 4 2 4 3" xfId="11670" xr:uid="{2E78E452-12CF-41BF-B4CD-B514ED4B2A25}"/>
    <cellStyle name="Currency 2 2 3 4 2 4 3 2" xfId="25721" xr:uid="{A8F47F25-3C82-4CBB-9FD8-CDFF05524B58}"/>
    <cellStyle name="Currency 2 2 3 4 2 4 4" xfId="19645" xr:uid="{BD9DEF7C-6D53-49D7-A020-EFF2275BD0A9}"/>
    <cellStyle name="Currency 2 2 3 4 2 5" xfId="6462" xr:uid="{ECEC18E8-5DAE-40F9-895C-C98730BB9B38}"/>
    <cellStyle name="Currency 2 2 3 4 2 5 2" xfId="9934" xr:uid="{444437E1-5044-458C-A876-916D131FCA21}"/>
    <cellStyle name="Currency 2 2 3 4 2 5 2 2" xfId="23985" xr:uid="{8EBD0398-4AA9-47F7-A3EC-0B9558A3194F}"/>
    <cellStyle name="Currency 2 2 3 4 2 5 3" xfId="12538" xr:uid="{3BF19451-A38E-41A5-8D26-6AAA74E81D53}"/>
    <cellStyle name="Currency 2 2 3 4 2 5 3 2" xfId="26589" xr:uid="{BAB97B62-E986-4567-AEAB-AFC200FB6642}"/>
    <cellStyle name="Currency 2 2 3 4 2 5 4" xfId="20513" xr:uid="{D9736472-08F8-4B64-8428-E7EF4E7FDBA0}"/>
    <cellStyle name="Currency 2 2 3 4 2 6" xfId="8198" xr:uid="{94EAF5D6-47F4-455B-BBBD-0A9D424EF3C6}"/>
    <cellStyle name="Currency 2 2 3 4 2 6 2" xfId="13406" xr:uid="{B451E048-C84C-4C85-8878-A946D8CB571E}"/>
    <cellStyle name="Currency 2 2 3 4 2 6 2 2" xfId="27457" xr:uid="{11AD9C3C-0BEF-4BC1-8BFE-52595628D293}"/>
    <cellStyle name="Currency 2 2 3 4 2 6 3" xfId="22249" xr:uid="{8FC70862-1CF4-4FD4-8A32-F8C489733D54}"/>
    <cellStyle name="Currency 2 2 3 4 2 7" xfId="7330" xr:uid="{857C0CD7-162E-40DD-BAE2-2271D048465B}"/>
    <cellStyle name="Currency 2 2 3 4 2 7 2" xfId="21381" xr:uid="{DE942A5E-18D0-4790-AFB1-1E9AE9DC8339}"/>
    <cellStyle name="Currency 2 2 3 4 2 8" xfId="10802" xr:uid="{700A192F-7BB1-4580-9842-DC4965FBEBE3}"/>
    <cellStyle name="Currency 2 2 3 4 2 8 2" xfId="24853" xr:uid="{AEFC5020-DCBF-409A-8E25-606D9EDC49EB}"/>
    <cellStyle name="Currency 2 2 3 4 2 9" xfId="16017" xr:uid="{63D27BD1-9EC6-404E-97D8-914B44859DBD}"/>
    <cellStyle name="Currency 2 2 3 4 3" xfId="3061" xr:uid="{50535DB7-3A76-4130-B630-F8363794542B}"/>
    <cellStyle name="Currency 2 2 3 4 3 2" xfId="5255" xr:uid="{F2A5199E-94CE-4E48-84E3-1F6D0CCA655F}"/>
    <cellStyle name="Currency 2 2 3 4 3 2 2" xfId="6123" xr:uid="{097AD557-1224-45FF-9F9B-E927BC6A5573}"/>
    <cellStyle name="Currency 2 2 3 4 3 2 2 2" xfId="9595" xr:uid="{7D43017F-C4A0-43C3-8661-9F758E934113}"/>
    <cellStyle name="Currency 2 2 3 4 3 2 2 2 2" xfId="23646" xr:uid="{306EF2DF-0AF2-4425-8FC2-818ED1461D75}"/>
    <cellStyle name="Currency 2 2 3 4 3 2 2 3" xfId="12199" xr:uid="{CAE172E5-D496-4FC7-BF3D-181E3603E2A3}"/>
    <cellStyle name="Currency 2 2 3 4 3 2 2 3 2" xfId="26250" xr:uid="{3987E4EA-F772-4756-A869-82C98EA9A132}"/>
    <cellStyle name="Currency 2 2 3 4 3 2 2 4" xfId="20174" xr:uid="{3646BAA8-D1EB-45DA-BEBF-CCD81DA467DA}"/>
    <cellStyle name="Currency 2 2 3 4 3 2 3" xfId="6991" xr:uid="{56582F48-7613-497B-94D2-B16941184E15}"/>
    <cellStyle name="Currency 2 2 3 4 3 2 3 2" xfId="10463" xr:uid="{88EE376F-0B36-4CDD-A074-919EC1ACCA85}"/>
    <cellStyle name="Currency 2 2 3 4 3 2 3 2 2" xfId="24514" xr:uid="{A9BD95EA-EB50-439E-B45D-260FAB5CDCFD}"/>
    <cellStyle name="Currency 2 2 3 4 3 2 3 3" xfId="13067" xr:uid="{191CF7A5-9F8E-472B-B58F-1EAB476FC92B}"/>
    <cellStyle name="Currency 2 2 3 4 3 2 3 3 2" xfId="27118" xr:uid="{FF827395-6F2E-40A9-A9D0-FE01D3D576C0}"/>
    <cellStyle name="Currency 2 2 3 4 3 2 3 4" xfId="21042" xr:uid="{E1EBBF98-13B6-4BE9-918D-78645962C5F2}"/>
    <cellStyle name="Currency 2 2 3 4 3 2 4" xfId="8727" xr:uid="{CF9662B8-D1BE-4288-B13D-72675E19F642}"/>
    <cellStyle name="Currency 2 2 3 4 3 2 4 2" xfId="13935" xr:uid="{67DDF96E-D7F2-4604-8F6B-CFB33DBA93F5}"/>
    <cellStyle name="Currency 2 2 3 4 3 2 4 2 2" xfId="27986" xr:uid="{709D9FFD-1E5B-4C48-86DF-98400D038514}"/>
    <cellStyle name="Currency 2 2 3 4 3 2 4 3" xfId="22778" xr:uid="{6A6F81DF-6987-4BD9-859C-4A65B634911B}"/>
    <cellStyle name="Currency 2 2 3 4 3 2 5" xfId="7859" xr:uid="{464041DF-2650-48A5-B027-6F63A1FED59E}"/>
    <cellStyle name="Currency 2 2 3 4 3 2 5 2" xfId="21910" xr:uid="{914211AE-6FEB-489C-9701-0437BE93C32C}"/>
    <cellStyle name="Currency 2 2 3 4 3 2 6" xfId="11331" xr:uid="{2B4CBD4F-B851-4283-B826-8E28FFFA6881}"/>
    <cellStyle name="Currency 2 2 3 4 3 2 6 2" xfId="25382" xr:uid="{6C01C8B2-C937-41A5-BA94-3335BDD68857}"/>
    <cellStyle name="Currency 2 2 3 4 3 2 7" xfId="19306" xr:uid="{A0773CD7-4E98-4139-83B2-9BD44CFB970A}"/>
    <cellStyle name="Currency 2 2 3 4 3 3" xfId="5689" xr:uid="{E0C9F46D-0D91-4F88-ABFC-89B148093F89}"/>
    <cellStyle name="Currency 2 2 3 4 3 3 2" xfId="9161" xr:uid="{296A7C68-ADB5-4555-9ACF-CCE8BADEDC79}"/>
    <cellStyle name="Currency 2 2 3 4 3 3 2 2" xfId="23212" xr:uid="{54D9C7A7-529F-4A62-AD51-A7A6FEFE05FA}"/>
    <cellStyle name="Currency 2 2 3 4 3 3 3" xfId="11765" xr:uid="{13AA6BA1-2C46-4BCA-8CE5-A3ACA5AB991B}"/>
    <cellStyle name="Currency 2 2 3 4 3 3 3 2" xfId="25816" xr:uid="{1AB22578-9247-4241-A146-BDA632E37569}"/>
    <cellStyle name="Currency 2 2 3 4 3 3 4" xfId="19740" xr:uid="{634E59AA-DE0F-46BC-92F4-16279B30A931}"/>
    <cellStyle name="Currency 2 2 3 4 3 4" xfId="6557" xr:uid="{9A0D2A2B-5DE9-4A83-B9F9-A233271A66B6}"/>
    <cellStyle name="Currency 2 2 3 4 3 4 2" xfId="10029" xr:uid="{D6B50877-9825-4BA9-9BC8-7EA2EF4E1ABE}"/>
    <cellStyle name="Currency 2 2 3 4 3 4 2 2" xfId="24080" xr:uid="{9081C666-0532-48F8-943A-C703389A130D}"/>
    <cellStyle name="Currency 2 2 3 4 3 4 3" xfId="12633" xr:uid="{E9727DC4-9173-4AA3-9190-C01EA75F3F0E}"/>
    <cellStyle name="Currency 2 2 3 4 3 4 3 2" xfId="26684" xr:uid="{8923956D-DE2D-4425-906F-BD7990116B00}"/>
    <cellStyle name="Currency 2 2 3 4 3 4 4" xfId="20608" xr:uid="{6B5E3141-DEC4-4E52-B301-EF04C097C925}"/>
    <cellStyle name="Currency 2 2 3 4 3 5" xfId="8293" xr:uid="{CF87BCA7-0B5B-45F7-AAC2-B0936AECFC1A}"/>
    <cellStyle name="Currency 2 2 3 4 3 5 2" xfId="13501" xr:uid="{59CF4DF5-B877-4297-9BED-341BB8A3F826}"/>
    <cellStyle name="Currency 2 2 3 4 3 5 2 2" xfId="27552" xr:uid="{D5B47519-3D5E-4CF1-888E-CA8BA56BFBD2}"/>
    <cellStyle name="Currency 2 2 3 4 3 5 3" xfId="22344" xr:uid="{6650CCE9-6109-4DCD-8C43-E90688913E25}"/>
    <cellStyle name="Currency 2 2 3 4 3 6" xfId="7425" xr:uid="{0C14E1CD-A544-4C64-8043-7CD8053E209E}"/>
    <cellStyle name="Currency 2 2 3 4 3 6 2" xfId="21476" xr:uid="{74ECF086-923E-435B-9085-6469A6EBB0CD}"/>
    <cellStyle name="Currency 2 2 3 4 3 7" xfId="10897" xr:uid="{44AB210D-1336-47A3-A380-9280F3160072}"/>
    <cellStyle name="Currency 2 2 3 4 3 7 2" xfId="24948" xr:uid="{4C8E76EB-20D9-4691-9C41-00E4469D32ED}"/>
    <cellStyle name="Currency 2 2 3 4 3 8" xfId="17113" xr:uid="{41E03669-081E-4FA9-BE56-D94357EC82F6}"/>
    <cellStyle name="Currency 2 2 3 4 4" xfId="5063" xr:uid="{EAEE25BA-0D12-494F-B078-F086BB43AF7A}"/>
    <cellStyle name="Currency 2 2 3 4 4 2" xfId="5931" xr:uid="{4842B8BF-73AB-4640-B056-011CCF9F953F}"/>
    <cellStyle name="Currency 2 2 3 4 4 2 2" xfId="9403" xr:uid="{205F440B-827A-4E28-9AE6-3458A4223F43}"/>
    <cellStyle name="Currency 2 2 3 4 4 2 2 2" xfId="23454" xr:uid="{FBB31321-B8D1-4EB4-A2A5-5739E6861491}"/>
    <cellStyle name="Currency 2 2 3 4 4 2 3" xfId="12007" xr:uid="{968E5B70-6169-4F63-9FAC-BC0D1ACAD2EB}"/>
    <cellStyle name="Currency 2 2 3 4 4 2 3 2" xfId="26058" xr:uid="{B29CE0E3-9942-4785-A9D8-DD0DDA18F3BE}"/>
    <cellStyle name="Currency 2 2 3 4 4 2 4" xfId="19982" xr:uid="{9D485E82-3149-4404-B5C0-E7AC84A1FDE3}"/>
    <cellStyle name="Currency 2 2 3 4 4 3" xfId="6799" xr:uid="{E88C0C89-58C0-4244-B800-8F6B1D269D14}"/>
    <cellStyle name="Currency 2 2 3 4 4 3 2" xfId="10271" xr:uid="{7C151B93-2EE7-43F4-9263-018B159B7285}"/>
    <cellStyle name="Currency 2 2 3 4 4 3 2 2" xfId="24322" xr:uid="{9E266DCA-5B0E-4531-8DC7-8925EFDF1B4B}"/>
    <cellStyle name="Currency 2 2 3 4 4 3 3" xfId="12875" xr:uid="{3F4E74B5-E7A3-419E-90F9-30CEEE8064A9}"/>
    <cellStyle name="Currency 2 2 3 4 4 3 3 2" xfId="26926" xr:uid="{C9E3ED52-E57D-437A-9260-24548DB6B1D8}"/>
    <cellStyle name="Currency 2 2 3 4 4 3 4" xfId="20850" xr:uid="{1A468ED7-5341-4B03-83CB-2A1472C791AF}"/>
    <cellStyle name="Currency 2 2 3 4 4 4" xfId="8535" xr:uid="{65B56D63-AEDE-47A2-9C30-EC8E01B55645}"/>
    <cellStyle name="Currency 2 2 3 4 4 4 2" xfId="13743" xr:uid="{A5A0EDA6-FE2C-4D38-A0CF-3995B1CBA3D7}"/>
    <cellStyle name="Currency 2 2 3 4 4 4 2 2" xfId="27794" xr:uid="{8D5C3F4F-A73C-4F7C-BC5C-9DD95FD3FD16}"/>
    <cellStyle name="Currency 2 2 3 4 4 4 3" xfId="22586" xr:uid="{3EB91B01-8373-4292-8F6C-E2D1EF7934B8}"/>
    <cellStyle name="Currency 2 2 3 4 4 5" xfId="7667" xr:uid="{1D943A7A-A541-4491-AC8F-5F80F6A97093}"/>
    <cellStyle name="Currency 2 2 3 4 4 5 2" xfId="21718" xr:uid="{73611EE5-349E-4FD7-A780-4538F51CA7A1}"/>
    <cellStyle name="Currency 2 2 3 4 4 6" xfId="11139" xr:uid="{E560E00B-8C2F-4BC5-9EBA-FB6CAE460C32}"/>
    <cellStyle name="Currency 2 2 3 4 4 6 2" xfId="25190" xr:uid="{2C91A311-C494-4949-9E4F-D10B1583D0E3}"/>
    <cellStyle name="Currency 2 2 3 4 4 7" xfId="19114" xr:uid="{894767B6-3F7A-476A-ACF1-5285D3E81DAB}"/>
    <cellStyle name="Currency 2 2 3 4 5" xfId="5497" xr:uid="{A332DEF0-6122-442A-BC9B-C4223AE01A8A}"/>
    <cellStyle name="Currency 2 2 3 4 5 2" xfId="8969" xr:uid="{109A78CB-2186-4169-BFCF-E72011D22B8F}"/>
    <cellStyle name="Currency 2 2 3 4 5 2 2" xfId="23020" xr:uid="{1D22D1AC-8947-485E-84CA-480344388AEA}"/>
    <cellStyle name="Currency 2 2 3 4 5 3" xfId="11573" xr:uid="{C047E14D-9F7A-4AAA-91B4-2DC6AE9DD9B6}"/>
    <cellStyle name="Currency 2 2 3 4 5 3 2" xfId="25624" xr:uid="{20B418CC-3030-440F-9D22-0D0B18A21866}"/>
    <cellStyle name="Currency 2 2 3 4 5 4" xfId="19548" xr:uid="{EEE107B9-3939-4BCE-BD1D-823502205BAF}"/>
    <cellStyle name="Currency 2 2 3 4 6" xfId="6365" xr:uid="{ECD4969D-C042-4D59-8650-61195165291F}"/>
    <cellStyle name="Currency 2 2 3 4 6 2" xfId="9837" xr:uid="{68026857-C5F1-412D-B708-0E7166FE26B6}"/>
    <cellStyle name="Currency 2 2 3 4 6 2 2" xfId="23888" xr:uid="{317BD06E-2DF3-4E9F-96E3-2B042646209D}"/>
    <cellStyle name="Currency 2 2 3 4 6 3" xfId="12441" xr:uid="{93DFD7CE-3418-492A-9570-F316DF3B5557}"/>
    <cellStyle name="Currency 2 2 3 4 6 3 2" xfId="26492" xr:uid="{7928C640-1210-4377-81BF-4503D7C9E3FE}"/>
    <cellStyle name="Currency 2 2 3 4 6 4" xfId="20416" xr:uid="{5DF4332D-4EC7-41B7-8C49-9753BC4DC102}"/>
    <cellStyle name="Currency 2 2 3 4 7" xfId="8101" xr:uid="{86CC4B1D-B89C-4464-B2B1-CA751D9E1F82}"/>
    <cellStyle name="Currency 2 2 3 4 7 2" xfId="13309" xr:uid="{138040A2-77B4-4A44-96D9-E1C0D40A0612}"/>
    <cellStyle name="Currency 2 2 3 4 7 2 2" xfId="27360" xr:uid="{5EBB171F-5C61-4C8E-872B-42E48BAEA095}"/>
    <cellStyle name="Currency 2 2 3 4 7 3" xfId="22152" xr:uid="{CDEBD90F-6AA5-4CDE-9E20-EBDDFF87D7C3}"/>
    <cellStyle name="Currency 2 2 3 4 8" xfId="7233" xr:uid="{81BC4073-A24B-4559-A92B-BB2B553598C3}"/>
    <cellStyle name="Currency 2 2 3 4 8 2" xfId="21284" xr:uid="{9DD1B3FE-2421-490D-9781-C9CF09B6A958}"/>
    <cellStyle name="Currency 2 2 3 4 9" xfId="10705" xr:uid="{330E94BB-EE8D-4094-B847-583C87776C73}"/>
    <cellStyle name="Currency 2 2 3 4 9 2" xfId="24756" xr:uid="{3FA96AA1-846B-4164-9EBE-547D93CCBA87}"/>
    <cellStyle name="Currency 2 2 3 5" xfId="1277" xr:uid="{0ABB1190-1787-4F60-B108-AB911F39C0FD}"/>
    <cellStyle name="Currency 2 2 3 5 2" xfId="3467" xr:uid="{34E0A9A8-E514-4F4B-B8D4-8F6772ACEF51}"/>
    <cellStyle name="Currency 2 2 3 5 2 2" xfId="5291" xr:uid="{E7E9084C-717F-482E-83EC-5DC1EF2D80F1}"/>
    <cellStyle name="Currency 2 2 3 5 2 2 2" xfId="6159" xr:uid="{5CCA81FF-8083-444F-A6B2-834BEE51D14C}"/>
    <cellStyle name="Currency 2 2 3 5 2 2 2 2" xfId="9631" xr:uid="{CD8EBCF3-A37A-400E-881E-14460A7E8E9D}"/>
    <cellStyle name="Currency 2 2 3 5 2 2 2 2 2" xfId="23682" xr:uid="{5E6C1304-3ED6-47C8-B462-9863A457697D}"/>
    <cellStyle name="Currency 2 2 3 5 2 2 2 3" xfId="12235" xr:uid="{0E0ABA6C-4BE0-4ABB-93A4-FAC7966F1879}"/>
    <cellStyle name="Currency 2 2 3 5 2 2 2 3 2" xfId="26286" xr:uid="{4B2D4C38-BBC7-48D0-A17D-AC97B1C61286}"/>
    <cellStyle name="Currency 2 2 3 5 2 2 2 4" xfId="20210" xr:uid="{19F3611F-C14C-48DA-BF8E-394EE3D16A05}"/>
    <cellStyle name="Currency 2 2 3 5 2 2 3" xfId="7027" xr:uid="{67C1AF85-EFFA-4C64-8915-A521F8308C17}"/>
    <cellStyle name="Currency 2 2 3 5 2 2 3 2" xfId="10499" xr:uid="{FD38AA0C-3C5C-4F3A-A253-5284930DA8B4}"/>
    <cellStyle name="Currency 2 2 3 5 2 2 3 2 2" xfId="24550" xr:uid="{63517020-5378-4628-9604-75E8160D19C8}"/>
    <cellStyle name="Currency 2 2 3 5 2 2 3 3" xfId="13103" xr:uid="{F483427D-FE59-42CE-B598-2E8DA9A9AEBA}"/>
    <cellStyle name="Currency 2 2 3 5 2 2 3 3 2" xfId="27154" xr:uid="{C23ADF7A-A778-439A-928C-92A07D2A0054}"/>
    <cellStyle name="Currency 2 2 3 5 2 2 3 4" xfId="21078" xr:uid="{B69B6FE5-72D9-4733-93D2-FEBFEADF3432}"/>
    <cellStyle name="Currency 2 2 3 5 2 2 4" xfId="8763" xr:uid="{C38F0432-DACB-48FF-A850-E31E77F0D169}"/>
    <cellStyle name="Currency 2 2 3 5 2 2 4 2" xfId="13971" xr:uid="{DAD16354-40F9-419B-8DDE-4F480D911E99}"/>
    <cellStyle name="Currency 2 2 3 5 2 2 4 2 2" xfId="28022" xr:uid="{AE79AC1E-8E4A-48B5-AC18-3E419721F3FA}"/>
    <cellStyle name="Currency 2 2 3 5 2 2 4 3" xfId="22814" xr:uid="{32FD2D1B-12D4-45C6-94B1-D923410B59D1}"/>
    <cellStyle name="Currency 2 2 3 5 2 2 5" xfId="7895" xr:uid="{D5D7A05F-DE39-4375-AD75-68794AE0B56A}"/>
    <cellStyle name="Currency 2 2 3 5 2 2 5 2" xfId="21946" xr:uid="{FD2E1CEC-22A2-4846-A04E-4CEAF2C5ADCE}"/>
    <cellStyle name="Currency 2 2 3 5 2 2 6" xfId="11367" xr:uid="{3A3052A0-6B6A-458E-8DDA-3A2517F60C03}"/>
    <cellStyle name="Currency 2 2 3 5 2 2 6 2" xfId="25418" xr:uid="{0EECBFFF-2088-4822-9B6E-0095BDBC0B89}"/>
    <cellStyle name="Currency 2 2 3 5 2 2 7" xfId="19342" xr:uid="{032CF4ED-CEE5-4483-A0C0-CF5E67F2BD78}"/>
    <cellStyle name="Currency 2 2 3 5 2 3" xfId="5725" xr:uid="{6C960330-3A51-4810-9012-1618792F4833}"/>
    <cellStyle name="Currency 2 2 3 5 2 3 2" xfId="9197" xr:uid="{BE155CC7-0DCC-47B2-B79F-14721E78287E}"/>
    <cellStyle name="Currency 2 2 3 5 2 3 2 2" xfId="23248" xr:uid="{051374CD-274E-4EAD-A747-887ACC9BA5BB}"/>
    <cellStyle name="Currency 2 2 3 5 2 3 3" xfId="11801" xr:uid="{EFED2202-EE66-46BC-9EA1-05E8D90DE8C8}"/>
    <cellStyle name="Currency 2 2 3 5 2 3 3 2" xfId="25852" xr:uid="{C0071283-EA4E-4AE7-8F45-2824B7E605D2}"/>
    <cellStyle name="Currency 2 2 3 5 2 3 4" xfId="19776" xr:uid="{50EE1510-3EE2-41E4-8022-6F21F7CA481A}"/>
    <cellStyle name="Currency 2 2 3 5 2 4" xfId="6593" xr:uid="{C1F5B525-D61D-4313-B7D1-8DA54BF27203}"/>
    <cellStyle name="Currency 2 2 3 5 2 4 2" xfId="10065" xr:uid="{3C9D9B6B-B1F5-4373-9546-58DADDB8BF4D}"/>
    <cellStyle name="Currency 2 2 3 5 2 4 2 2" xfId="24116" xr:uid="{9D059243-311D-4ACB-AC51-999AFF3B561D}"/>
    <cellStyle name="Currency 2 2 3 5 2 4 3" xfId="12669" xr:uid="{FEF8D646-9426-487E-AED1-A3789ECCC162}"/>
    <cellStyle name="Currency 2 2 3 5 2 4 3 2" xfId="26720" xr:uid="{240F8030-6F32-4C35-ABDA-1B46655F9FF6}"/>
    <cellStyle name="Currency 2 2 3 5 2 4 4" xfId="20644" xr:uid="{171DEE51-C6D8-4530-A3DC-A7D0FBBE85EF}"/>
    <cellStyle name="Currency 2 2 3 5 2 5" xfId="8329" xr:uid="{5E68B125-E675-4072-8ABE-0A5D3A520AD8}"/>
    <cellStyle name="Currency 2 2 3 5 2 5 2" xfId="13537" xr:uid="{2F4AC409-2F63-41E9-AA1A-3A2BCB12F6EB}"/>
    <cellStyle name="Currency 2 2 3 5 2 5 2 2" xfId="27588" xr:uid="{A499A576-CADC-448F-ABDD-1E5230D50321}"/>
    <cellStyle name="Currency 2 2 3 5 2 5 3" xfId="22380" xr:uid="{3A543044-AF33-4E7C-B741-6FA406135E6C}"/>
    <cellStyle name="Currency 2 2 3 5 2 6" xfId="7461" xr:uid="{FB3EE0D7-CB11-49E9-8D88-7345E63FADB0}"/>
    <cellStyle name="Currency 2 2 3 5 2 6 2" xfId="21512" xr:uid="{1959F7AB-7901-4832-87CC-2C697D9E380E}"/>
    <cellStyle name="Currency 2 2 3 5 2 7" xfId="10933" xr:uid="{2699AF7B-DAD8-43C9-9EB4-48E6DCD21758}"/>
    <cellStyle name="Currency 2 2 3 5 2 7 2" xfId="24984" xr:uid="{3BC3D57E-A2E7-4F66-ADC1-576393CB50EE}"/>
    <cellStyle name="Currency 2 2 3 5 2 8" xfId="17519" xr:uid="{99A58990-6D9C-4FAE-8E60-E023D4878A2F}"/>
    <cellStyle name="Currency 2 2 3 5 3" xfId="5100" xr:uid="{0FB33A7F-2BF8-4F30-9178-04B477955C7D}"/>
    <cellStyle name="Currency 2 2 3 5 3 2" xfId="5968" xr:uid="{5F678C80-6EDA-4155-A4B3-F40BC1DF111D}"/>
    <cellStyle name="Currency 2 2 3 5 3 2 2" xfId="9440" xr:uid="{B70C00E5-0073-41D8-8913-AD8C6E8652A7}"/>
    <cellStyle name="Currency 2 2 3 5 3 2 2 2" xfId="23491" xr:uid="{836225AD-68B7-47A0-9BB6-F6225F0EBA4E}"/>
    <cellStyle name="Currency 2 2 3 5 3 2 3" xfId="12044" xr:uid="{5FDC804B-7D9E-4DAC-81AA-F753529CEB32}"/>
    <cellStyle name="Currency 2 2 3 5 3 2 3 2" xfId="26095" xr:uid="{960ECE67-8962-480A-9BC4-145CAE86EECA}"/>
    <cellStyle name="Currency 2 2 3 5 3 2 4" xfId="20019" xr:uid="{1F94D5CE-65E4-4358-B9DF-EE754E3ACDE3}"/>
    <cellStyle name="Currency 2 2 3 5 3 3" xfId="6836" xr:uid="{D58BD013-38DF-4565-AC47-42E5E4129488}"/>
    <cellStyle name="Currency 2 2 3 5 3 3 2" xfId="10308" xr:uid="{1DA77546-1739-4E3B-A34D-8FC740FC835B}"/>
    <cellStyle name="Currency 2 2 3 5 3 3 2 2" xfId="24359" xr:uid="{4212D2B9-3DA3-4D02-BAB9-ECFB57C21723}"/>
    <cellStyle name="Currency 2 2 3 5 3 3 3" xfId="12912" xr:uid="{138E1943-BAD3-454A-A78B-BC7B128FBAD1}"/>
    <cellStyle name="Currency 2 2 3 5 3 3 3 2" xfId="26963" xr:uid="{44F644B8-999B-4ABA-8BC5-1FBDC5D8D822}"/>
    <cellStyle name="Currency 2 2 3 5 3 3 4" xfId="20887" xr:uid="{9C01D798-3AC6-42BB-8E6A-003682AD2FA2}"/>
    <cellStyle name="Currency 2 2 3 5 3 4" xfId="8572" xr:uid="{C47E1C11-521D-40EC-9B1F-57C1D1004E54}"/>
    <cellStyle name="Currency 2 2 3 5 3 4 2" xfId="13780" xr:uid="{635893C7-7190-47FF-A1D8-203C269B4837}"/>
    <cellStyle name="Currency 2 2 3 5 3 4 2 2" xfId="27831" xr:uid="{BC812652-ABEE-4838-A703-66332DDC1CF9}"/>
    <cellStyle name="Currency 2 2 3 5 3 4 3" xfId="22623" xr:uid="{B233E242-CEF0-4DE7-A329-9575AEA5BDA3}"/>
    <cellStyle name="Currency 2 2 3 5 3 5" xfId="7704" xr:uid="{3B240AA9-E162-4449-B336-A58074C44AD3}"/>
    <cellStyle name="Currency 2 2 3 5 3 5 2" xfId="21755" xr:uid="{1E073AED-D5B6-4682-BC12-18D6FA045EF5}"/>
    <cellStyle name="Currency 2 2 3 5 3 6" xfId="11176" xr:uid="{23C7C59D-D121-4953-BC4C-BDA0235C2E5F}"/>
    <cellStyle name="Currency 2 2 3 5 3 6 2" xfId="25227" xr:uid="{7A849943-F827-4AC2-94AA-FE5EDE710738}"/>
    <cellStyle name="Currency 2 2 3 5 3 7" xfId="19151" xr:uid="{3B803A3F-3855-4FF6-9DB4-472F3BDA6923}"/>
    <cellStyle name="Currency 2 2 3 5 4" xfId="5534" xr:uid="{314270FF-3D45-4F23-88E6-68503A59ED17}"/>
    <cellStyle name="Currency 2 2 3 5 4 2" xfId="9006" xr:uid="{EFC5F1F5-23C0-433E-8EDE-E568BF3EE9D7}"/>
    <cellStyle name="Currency 2 2 3 5 4 2 2" xfId="23057" xr:uid="{29826BE9-81C7-410E-AB5A-DB51FF14AE60}"/>
    <cellStyle name="Currency 2 2 3 5 4 3" xfId="11610" xr:uid="{B4B1B17C-0D7C-4BA9-9F13-41231BDA8002}"/>
    <cellStyle name="Currency 2 2 3 5 4 3 2" xfId="25661" xr:uid="{E9857C20-3D39-4669-AA16-C3831C056919}"/>
    <cellStyle name="Currency 2 2 3 5 4 4" xfId="19585" xr:uid="{DD518368-10DA-42D7-8262-A17BFA07D4BA}"/>
    <cellStyle name="Currency 2 2 3 5 5" xfId="6402" xr:uid="{8E163260-606C-4940-B35A-36C4216FE2CC}"/>
    <cellStyle name="Currency 2 2 3 5 5 2" xfId="9874" xr:uid="{C5FBF892-79A6-47DF-BB38-DF9F236CDA39}"/>
    <cellStyle name="Currency 2 2 3 5 5 2 2" xfId="23925" xr:uid="{0A640E47-0042-4947-89AF-953FFC1C1813}"/>
    <cellStyle name="Currency 2 2 3 5 5 3" xfId="12478" xr:uid="{69BE4BFF-65F2-4E35-ACCB-6B1B5C9E8130}"/>
    <cellStyle name="Currency 2 2 3 5 5 3 2" xfId="26529" xr:uid="{975D69E0-B945-4F4D-A0C9-CC4DDACB8875}"/>
    <cellStyle name="Currency 2 2 3 5 5 4" xfId="20453" xr:uid="{F87A64E4-9311-4F4C-92D8-D6D121494B54}"/>
    <cellStyle name="Currency 2 2 3 5 6" xfId="8138" xr:uid="{A029CA1C-1D08-4C91-87FC-66FD0B963C49}"/>
    <cellStyle name="Currency 2 2 3 5 6 2" xfId="13346" xr:uid="{0D8997F7-9586-464A-9925-61CCC27E6446}"/>
    <cellStyle name="Currency 2 2 3 5 6 2 2" xfId="27397" xr:uid="{2BEB7190-6705-4A6B-9C59-74465049AF71}"/>
    <cellStyle name="Currency 2 2 3 5 6 3" xfId="22189" xr:uid="{6B6D7C30-5753-40C8-9657-EEFA583A6123}"/>
    <cellStyle name="Currency 2 2 3 5 7" xfId="7270" xr:uid="{397EB816-BE53-412D-86B7-469CCF24613D}"/>
    <cellStyle name="Currency 2 2 3 5 7 2" xfId="21321" xr:uid="{655A9738-F2DA-4431-A5A1-437F12EDEA8C}"/>
    <cellStyle name="Currency 2 2 3 5 8" xfId="10742" xr:uid="{DD7CF04E-C2AC-4CAB-8E27-11459B48FA67}"/>
    <cellStyle name="Currency 2 2 3 5 8 2" xfId="24793" xr:uid="{A4B4A600-1B89-4EC7-8462-4056F2847F5F}"/>
    <cellStyle name="Currency 2 2 3 5 9" xfId="15325" xr:uid="{151B3ACC-94B4-40AC-BF11-0EA5F5B83A05}"/>
    <cellStyle name="Currency 2 2 3 6" xfId="2368" xr:uid="{67D60B4F-9F38-4291-B47C-F0D37631BE80}"/>
    <cellStyle name="Currency 2 2 3 6 2" xfId="5195" xr:uid="{D7556F1D-60E6-4E99-9C74-8CA46777A5C2}"/>
    <cellStyle name="Currency 2 2 3 6 2 2" xfId="6063" xr:uid="{2DF45B3A-F1FF-4241-B97A-36E7B3888B87}"/>
    <cellStyle name="Currency 2 2 3 6 2 2 2" xfId="9535" xr:uid="{6798C02F-4CFE-4942-9BFA-B90B61B6B0D9}"/>
    <cellStyle name="Currency 2 2 3 6 2 2 2 2" xfId="23586" xr:uid="{40FF670B-B8C5-4C88-B08C-FCCAAC1F4B8E}"/>
    <cellStyle name="Currency 2 2 3 6 2 2 3" xfId="12139" xr:uid="{3BF62B28-D478-4F9B-A3CF-75A3B0EA122E}"/>
    <cellStyle name="Currency 2 2 3 6 2 2 3 2" xfId="26190" xr:uid="{6BFE8D3D-AD29-481E-B17C-B8AC1F24B754}"/>
    <cellStyle name="Currency 2 2 3 6 2 2 4" xfId="20114" xr:uid="{3EBEBFEA-4D2D-42ED-8AFA-B748109B3654}"/>
    <cellStyle name="Currency 2 2 3 6 2 3" xfId="6931" xr:uid="{F15340C2-F043-46B9-A7EC-E0599D20E350}"/>
    <cellStyle name="Currency 2 2 3 6 2 3 2" xfId="10403" xr:uid="{4E73BDB2-9192-4F22-95FD-A7CC594CA129}"/>
    <cellStyle name="Currency 2 2 3 6 2 3 2 2" xfId="24454" xr:uid="{36C4CCBB-851B-4F42-8449-77BB368F546F}"/>
    <cellStyle name="Currency 2 2 3 6 2 3 3" xfId="13007" xr:uid="{8FA28C1C-5F31-4A4B-94EB-38939FB243C3}"/>
    <cellStyle name="Currency 2 2 3 6 2 3 3 2" xfId="27058" xr:uid="{EB0A54EC-414A-4DAB-8AB1-CA57F758BCEB}"/>
    <cellStyle name="Currency 2 2 3 6 2 3 4" xfId="20982" xr:uid="{74EC70B8-0045-4E85-B6A6-5F49C3BD73DE}"/>
    <cellStyle name="Currency 2 2 3 6 2 4" xfId="8667" xr:uid="{2462C6E1-1C4B-423B-8E94-314326B5B105}"/>
    <cellStyle name="Currency 2 2 3 6 2 4 2" xfId="13875" xr:uid="{98330071-D5B6-485C-9FB2-68008AB4EB59}"/>
    <cellStyle name="Currency 2 2 3 6 2 4 2 2" xfId="27926" xr:uid="{19883ABC-09B7-46F0-9792-393E81A7BEFF}"/>
    <cellStyle name="Currency 2 2 3 6 2 4 3" xfId="22718" xr:uid="{088CB0B1-FC54-409B-B573-94EA6BC491B0}"/>
    <cellStyle name="Currency 2 2 3 6 2 5" xfId="7799" xr:uid="{BB5F2300-A488-485B-95B5-7D4B65208537}"/>
    <cellStyle name="Currency 2 2 3 6 2 5 2" xfId="21850" xr:uid="{C34D4825-F326-47BB-9E45-43AAF753BFBB}"/>
    <cellStyle name="Currency 2 2 3 6 2 6" xfId="11271" xr:uid="{20B58138-8C63-4DD3-899B-3C3586EF7720}"/>
    <cellStyle name="Currency 2 2 3 6 2 6 2" xfId="25322" xr:uid="{929AC367-BB63-47DC-BEDE-04073BF44B6A}"/>
    <cellStyle name="Currency 2 2 3 6 2 7" xfId="19246" xr:uid="{1C679D75-8315-404A-9B0D-34E79ED0B931}"/>
    <cellStyle name="Currency 2 2 3 6 3" xfId="5629" xr:uid="{6C662298-74EA-4FC2-87A1-FCF2FBD7BF17}"/>
    <cellStyle name="Currency 2 2 3 6 3 2" xfId="9101" xr:uid="{1A73A932-A7D0-4331-952D-1539B9D00827}"/>
    <cellStyle name="Currency 2 2 3 6 3 2 2" xfId="23152" xr:uid="{FC6B4A26-10D5-4F09-8353-25AD698DB434}"/>
    <cellStyle name="Currency 2 2 3 6 3 3" xfId="11705" xr:uid="{F56C31ED-E510-4ED3-AE1A-034B5F4E01A4}"/>
    <cellStyle name="Currency 2 2 3 6 3 3 2" xfId="25756" xr:uid="{4350B1E1-087B-4800-91B4-5C84A512B2D7}"/>
    <cellStyle name="Currency 2 2 3 6 3 4" xfId="19680" xr:uid="{6B55BE6D-AD58-4AF6-AA4B-D2E104AC26FD}"/>
    <cellStyle name="Currency 2 2 3 6 4" xfId="6497" xr:uid="{A1B6AC82-6996-465F-8094-318FC12129D5}"/>
    <cellStyle name="Currency 2 2 3 6 4 2" xfId="9969" xr:uid="{37E70438-8276-48CD-A61F-3DFD8D794ADD}"/>
    <cellStyle name="Currency 2 2 3 6 4 2 2" xfId="24020" xr:uid="{CFC24480-82C0-4945-932F-86F0239517C7}"/>
    <cellStyle name="Currency 2 2 3 6 4 3" xfId="12573" xr:uid="{5D037032-5A3F-40ED-A85F-F5CD9D7B8F6E}"/>
    <cellStyle name="Currency 2 2 3 6 4 3 2" xfId="26624" xr:uid="{359D3C53-F751-49D9-903D-4EB126DE1564}"/>
    <cellStyle name="Currency 2 2 3 6 4 4" xfId="20548" xr:uid="{A5F06482-FB9E-4385-ADEB-B36E334A8F82}"/>
    <cellStyle name="Currency 2 2 3 6 5" xfId="8233" xr:uid="{5F626823-C525-438C-B24B-123421948C23}"/>
    <cellStyle name="Currency 2 2 3 6 5 2" xfId="13441" xr:uid="{63836790-7EC0-4F65-A5B7-DB14D4291F3C}"/>
    <cellStyle name="Currency 2 2 3 6 5 2 2" xfId="27492" xr:uid="{3BA4E4BC-7504-44E6-830A-F22D04CE1BD1}"/>
    <cellStyle name="Currency 2 2 3 6 5 3" xfId="22284" xr:uid="{9DD67DC0-23AA-41BC-8260-068B7DC7544A}"/>
    <cellStyle name="Currency 2 2 3 6 6" xfId="7365" xr:uid="{DAF54E84-B3F9-4B6C-A707-B0C65701AFD2}"/>
    <cellStyle name="Currency 2 2 3 6 6 2" xfId="21416" xr:uid="{27E5A3F7-FCA6-4505-8713-138450909F59}"/>
    <cellStyle name="Currency 2 2 3 6 7" xfId="10837" xr:uid="{55181200-FF53-4C29-9D77-A562CC8EDAFF}"/>
    <cellStyle name="Currency 2 2 3 6 7 2" xfId="24888" xr:uid="{5473C2A7-CFD3-4EDA-887D-FD98565A726D}"/>
    <cellStyle name="Currency 2 2 3 6 8" xfId="16419" xr:uid="{98B96A45-C304-4490-9D71-891DE921A957}"/>
    <cellStyle name="Currency 2 2 3 7" xfId="4561" xr:uid="{DC26CB44-B56A-4E47-96CA-EEC83FF3A714}"/>
    <cellStyle name="Currency 2 2 3 7 2" xfId="5386" xr:uid="{235655F1-B205-41ED-B882-594D20F765EC}"/>
    <cellStyle name="Currency 2 2 3 7 2 2" xfId="6254" xr:uid="{7660BEBF-A838-44F5-9F01-9CA1CCCB9A5E}"/>
    <cellStyle name="Currency 2 2 3 7 2 2 2" xfId="9726" xr:uid="{CD80C953-8B60-4580-8018-1287B89AF1D2}"/>
    <cellStyle name="Currency 2 2 3 7 2 2 2 2" xfId="23777" xr:uid="{B28E5819-A3A8-4206-AAEA-B86747AF1EE5}"/>
    <cellStyle name="Currency 2 2 3 7 2 2 3" xfId="12330" xr:uid="{6C0AA35F-46A6-491B-88EF-2F5662CDC708}"/>
    <cellStyle name="Currency 2 2 3 7 2 2 3 2" xfId="26381" xr:uid="{E63EE6B7-DDA2-402F-A2EE-A7745ABBB9BA}"/>
    <cellStyle name="Currency 2 2 3 7 2 2 4" xfId="20305" xr:uid="{6C255E8F-C776-4669-94C2-2EA9B3D10A03}"/>
    <cellStyle name="Currency 2 2 3 7 2 3" xfId="7122" xr:uid="{DA0375C0-9CFC-44FF-98EA-C6A904AB40AD}"/>
    <cellStyle name="Currency 2 2 3 7 2 3 2" xfId="10594" xr:uid="{4CD4E8C6-B9D3-47FF-9B6F-4BFBE34DB4D7}"/>
    <cellStyle name="Currency 2 2 3 7 2 3 2 2" xfId="24645" xr:uid="{C4D6153F-999E-44A6-9F51-E93B852E8DFE}"/>
    <cellStyle name="Currency 2 2 3 7 2 3 3" xfId="13198" xr:uid="{7B00E83A-3181-46ED-B83B-19C32F3C817E}"/>
    <cellStyle name="Currency 2 2 3 7 2 3 3 2" xfId="27249" xr:uid="{0D589A67-3EF2-4F43-A01C-7A76F3D88521}"/>
    <cellStyle name="Currency 2 2 3 7 2 3 4" xfId="21173" xr:uid="{807EC4E9-ABA4-49CF-B09F-3266CCB70610}"/>
    <cellStyle name="Currency 2 2 3 7 2 4" xfId="8858" xr:uid="{CA8EEC9B-0829-440D-9100-AD93E3A60AFB}"/>
    <cellStyle name="Currency 2 2 3 7 2 4 2" xfId="14066" xr:uid="{51FD1B8A-89B0-43E3-A81E-8D71DDE30B56}"/>
    <cellStyle name="Currency 2 2 3 7 2 4 2 2" xfId="28117" xr:uid="{D6964B22-C1FC-435A-9206-6C245F2A2307}"/>
    <cellStyle name="Currency 2 2 3 7 2 4 3" xfId="22909" xr:uid="{7C5B274E-CBE5-4164-8018-6351CABA9711}"/>
    <cellStyle name="Currency 2 2 3 7 2 5" xfId="7990" xr:uid="{00536CBE-2542-4D4D-825B-774B471DC059}"/>
    <cellStyle name="Currency 2 2 3 7 2 5 2" xfId="22041" xr:uid="{D16AFFDE-6DE6-4AEB-930B-0DF31B52E8F8}"/>
    <cellStyle name="Currency 2 2 3 7 2 6" xfId="11462" xr:uid="{E89F49BB-F587-4698-81D8-AC8333C2E4C3}"/>
    <cellStyle name="Currency 2 2 3 7 2 6 2" xfId="25513" xr:uid="{37D86A58-7DE6-4C87-A0C5-6D97C464E034}"/>
    <cellStyle name="Currency 2 2 3 7 2 7" xfId="19437" xr:uid="{FF139D45-CC83-44FD-BA7B-470FD13EEFA8}"/>
    <cellStyle name="Currency 2 2 3 7 3" xfId="5820" xr:uid="{D9C15E7A-BB70-4178-BFF5-B9F2A8CA51BD}"/>
    <cellStyle name="Currency 2 2 3 7 3 2" xfId="9292" xr:uid="{6B87B0CB-B42C-437D-A6AC-DBFFB467B836}"/>
    <cellStyle name="Currency 2 2 3 7 3 2 2" xfId="23343" xr:uid="{7E26D630-27F8-4EFB-ACD4-E3BC58B94D13}"/>
    <cellStyle name="Currency 2 2 3 7 3 3" xfId="11896" xr:uid="{D43B31F6-29FF-4B68-BDD4-646953F7BA93}"/>
    <cellStyle name="Currency 2 2 3 7 3 3 2" xfId="25947" xr:uid="{698568CF-8547-40DA-AD91-959D9873D7BC}"/>
    <cellStyle name="Currency 2 2 3 7 3 4" xfId="19871" xr:uid="{048654E0-BE63-4FEB-872B-4C1792829C91}"/>
    <cellStyle name="Currency 2 2 3 7 4" xfId="6688" xr:uid="{BE229E5D-B373-4569-96BB-6B4EF2575028}"/>
    <cellStyle name="Currency 2 2 3 7 4 2" xfId="10160" xr:uid="{5F796CE2-6C84-4911-8ABB-EB8DEDF5DFB5}"/>
    <cellStyle name="Currency 2 2 3 7 4 2 2" xfId="24211" xr:uid="{45D76A2F-CE32-4D9B-ABF7-C7FD0D8C92C7}"/>
    <cellStyle name="Currency 2 2 3 7 4 3" xfId="12764" xr:uid="{100517B8-CDF7-4D44-8F1F-47EDE30EFB58}"/>
    <cellStyle name="Currency 2 2 3 7 4 3 2" xfId="26815" xr:uid="{AA990BB8-3A70-49AC-8898-D3F6ED563360}"/>
    <cellStyle name="Currency 2 2 3 7 4 4" xfId="20739" xr:uid="{D361A127-4027-4E7E-A0D6-E49D27A749DB}"/>
    <cellStyle name="Currency 2 2 3 7 5" xfId="8424" xr:uid="{49664755-7F78-4E69-A6E0-2C8AABF00A9C}"/>
    <cellStyle name="Currency 2 2 3 7 5 2" xfId="13632" xr:uid="{BDD789A3-150C-4392-A090-81D4DF42F920}"/>
    <cellStyle name="Currency 2 2 3 7 5 2 2" xfId="27683" xr:uid="{7F64AAF6-D033-42BB-8BE5-449519DEB492}"/>
    <cellStyle name="Currency 2 2 3 7 5 3" xfId="22475" xr:uid="{BC5076B3-3E70-48A7-B1CA-EB242CC056FD}"/>
    <cellStyle name="Currency 2 2 3 7 6" xfId="7556" xr:uid="{24D5E50C-1680-47C5-909F-B5777178F6A3}"/>
    <cellStyle name="Currency 2 2 3 7 6 2" xfId="21607" xr:uid="{1E2E768E-F9E4-49B0-BFF4-1956EA7585A0}"/>
    <cellStyle name="Currency 2 2 3 7 7" xfId="11028" xr:uid="{4A726403-B39D-4364-9280-10F266BA4A83}"/>
    <cellStyle name="Currency 2 2 3 7 7 2" xfId="25079" xr:uid="{1B0048B2-B8BE-4845-BA2C-D8D3473290CA}"/>
    <cellStyle name="Currency 2 2 3 7 8" xfId="18613" xr:uid="{6E049EA5-ECC0-4A12-9160-485FD9EDA55C}"/>
    <cellStyle name="Currency 2 2 3 8" xfId="5000" xr:uid="{CCB72704-4178-4C74-83B1-F4D9D4712F54}"/>
    <cellStyle name="Currency 2 2 3 8 2" xfId="5868" xr:uid="{3AA44116-C66A-490B-B2A8-B95CA364D993}"/>
    <cellStyle name="Currency 2 2 3 8 2 2" xfId="9340" xr:uid="{48A56A79-A47D-4009-B014-F236B1A331E2}"/>
    <cellStyle name="Currency 2 2 3 8 2 2 2" xfId="23391" xr:uid="{1BB524DF-251E-4A2D-BC0B-29A96839B1F0}"/>
    <cellStyle name="Currency 2 2 3 8 2 3" xfId="11944" xr:uid="{D8512177-7745-47FA-A801-390AD536699E}"/>
    <cellStyle name="Currency 2 2 3 8 2 3 2" xfId="25995" xr:uid="{4B5F438B-6F8E-4A7D-81A0-7F6C0AC2925F}"/>
    <cellStyle name="Currency 2 2 3 8 2 4" xfId="19919" xr:uid="{16B3C942-D38F-4B19-9952-18853740EF01}"/>
    <cellStyle name="Currency 2 2 3 8 3" xfId="6736" xr:uid="{54892C95-B24D-4F8E-8A2C-477D6ACB71F9}"/>
    <cellStyle name="Currency 2 2 3 8 3 2" xfId="10208" xr:uid="{11A67EE4-E03D-4E35-B27F-4AF858257B4B}"/>
    <cellStyle name="Currency 2 2 3 8 3 2 2" xfId="24259" xr:uid="{904BDEB6-1103-413C-837D-A7D81DC7ADCD}"/>
    <cellStyle name="Currency 2 2 3 8 3 3" xfId="12812" xr:uid="{AE7757E8-BED9-41CF-A2E6-FB84FB4A2176}"/>
    <cellStyle name="Currency 2 2 3 8 3 3 2" xfId="26863" xr:uid="{E6C5C243-CEE8-4B3B-B5A4-4CB18CB84CD2}"/>
    <cellStyle name="Currency 2 2 3 8 3 4" xfId="20787" xr:uid="{4BB21A8D-5308-4D47-9031-88015683EBC8}"/>
    <cellStyle name="Currency 2 2 3 8 4" xfId="8472" xr:uid="{2301B956-ACBA-4DC9-81C3-B940B5D178C4}"/>
    <cellStyle name="Currency 2 2 3 8 4 2" xfId="13680" xr:uid="{78CDB1C0-6916-4C6A-BBFC-A26EA8C352C0}"/>
    <cellStyle name="Currency 2 2 3 8 4 2 2" xfId="27731" xr:uid="{67B09A8B-6522-4A41-86A6-F299932C1FB6}"/>
    <cellStyle name="Currency 2 2 3 8 4 3" xfId="22523" xr:uid="{D229375C-662F-4614-98F1-4B482EDF8B64}"/>
    <cellStyle name="Currency 2 2 3 8 5" xfId="7604" xr:uid="{4558FEDA-FA01-4583-82DA-C8166EBE6FA9}"/>
    <cellStyle name="Currency 2 2 3 8 5 2" xfId="21655" xr:uid="{FAD3F708-5DEE-4206-9A78-169AA76D3F3B}"/>
    <cellStyle name="Currency 2 2 3 8 6" xfId="11076" xr:uid="{E2577172-37E5-4958-9136-970DEF73C3EC}"/>
    <cellStyle name="Currency 2 2 3 8 6 2" xfId="25127" xr:uid="{D856BD20-836B-4D61-BFCA-254B7213709A}"/>
    <cellStyle name="Currency 2 2 3 8 7" xfId="19051" xr:uid="{14F8A943-FE30-42F7-B6C1-C27D530DFE5D}"/>
    <cellStyle name="Currency 2 2 3 9" xfId="5434" xr:uid="{ED64DB9B-7E46-4D54-9318-DF97D5ACD111}"/>
    <cellStyle name="Currency 2 2 3 9 2" xfId="8906" xr:uid="{1C7F7413-3CE3-4C8D-91DA-998E7341553A}"/>
    <cellStyle name="Currency 2 2 3 9 2 2" xfId="22957" xr:uid="{C875C0AC-73DD-4A4B-AB45-54C7ED4A8560}"/>
    <cellStyle name="Currency 2 2 3 9 3" xfId="11510" xr:uid="{704A9D51-C02A-4854-A423-92C5E08F6716}"/>
    <cellStyle name="Currency 2 2 3 9 3 2" xfId="25561" xr:uid="{3BBCDDBC-1C8C-426C-9ED4-273FF7CE77A7}"/>
    <cellStyle name="Currency 2 2 3 9 4" xfId="19485" xr:uid="{7C371854-9899-4EC1-9723-16EE50D3C8D9}"/>
    <cellStyle name="Currency 2 2 4" xfId="285" xr:uid="{F7B6885D-50BB-4483-BDB8-D66BC9E4D895}"/>
    <cellStyle name="Currency 2 2 4 10" xfId="8049" xr:uid="{3DFC4677-7DD2-4840-B1B9-0A96EC57D18C}"/>
    <cellStyle name="Currency 2 2 4 10 2" xfId="13257" xr:uid="{5881517B-95A0-499E-906A-94BFFC8F5099}"/>
    <cellStyle name="Currency 2 2 4 10 2 2" xfId="27308" xr:uid="{2E5294C6-7F21-43BD-A579-8708E2C3BEC6}"/>
    <cellStyle name="Currency 2 2 4 10 3" xfId="22100" xr:uid="{5A7F13EC-7979-4A1D-B529-17C1FC25F564}"/>
    <cellStyle name="Currency 2 2 4 11" xfId="7181" xr:uid="{2A7A7FED-7406-4D8E-95DC-CA7DF2DB13AF}"/>
    <cellStyle name="Currency 2 2 4 11 2" xfId="21232" xr:uid="{A38F6046-9D75-41D5-9C6C-8F3773E40E72}"/>
    <cellStyle name="Currency 2 2 4 12" xfId="10653" xr:uid="{2289CAEB-2260-4E12-934F-FEF53A19358C}"/>
    <cellStyle name="Currency 2 2 4 12 2" xfId="24704" xr:uid="{02BFE896-D6E3-4B92-A4AD-E7ECDE2EE55A}"/>
    <cellStyle name="Currency 2 2 4 13" xfId="14342" xr:uid="{46952234-C82D-4F86-A57D-E3A024952A46}"/>
    <cellStyle name="Currency 2 2 4 2" xfId="639" xr:uid="{D011629B-A8AA-4C45-ADE3-3F9417EEF883}"/>
    <cellStyle name="Currency 2 2 4 2 10" xfId="14690" xr:uid="{CD150398-BBD5-4B92-814A-A2C072AC51D6}"/>
    <cellStyle name="Currency 2 2 4 2 2" xfId="1741" xr:uid="{8CF060DF-57E5-4C87-BF79-331E4D07492E}"/>
    <cellStyle name="Currency 2 2 4 2 2 2" xfId="3929" xr:uid="{75E2CEA5-120B-4900-9182-F4F5F4E422A5}"/>
    <cellStyle name="Currency 2 2 4 2 2 2 2" xfId="5331" xr:uid="{AB0D097F-FF2C-41CC-9080-1DEAF3D49D2A}"/>
    <cellStyle name="Currency 2 2 4 2 2 2 2 2" xfId="6199" xr:uid="{76CEF1D1-3329-4FEC-9E7E-220D758BAD27}"/>
    <cellStyle name="Currency 2 2 4 2 2 2 2 2 2" xfId="9671" xr:uid="{2EB2E8B9-D766-45A6-B43F-70D5F6D7FBEA}"/>
    <cellStyle name="Currency 2 2 4 2 2 2 2 2 2 2" xfId="23722" xr:uid="{EC6215AD-0A19-4E5F-9B97-E6F9C3F1D4F6}"/>
    <cellStyle name="Currency 2 2 4 2 2 2 2 2 3" xfId="12275" xr:uid="{2DD04A9D-B79D-4D14-AF45-62E5580BA363}"/>
    <cellStyle name="Currency 2 2 4 2 2 2 2 2 3 2" xfId="26326" xr:uid="{C4F19944-F854-4B4B-B1C6-F4C3434D3984}"/>
    <cellStyle name="Currency 2 2 4 2 2 2 2 2 4" xfId="20250" xr:uid="{07EB34A4-3332-41AE-A0E7-1A736ADCAEA2}"/>
    <cellStyle name="Currency 2 2 4 2 2 2 2 3" xfId="7067" xr:uid="{6A03325E-25F8-4E12-AD58-EACCA993D5D8}"/>
    <cellStyle name="Currency 2 2 4 2 2 2 2 3 2" xfId="10539" xr:uid="{CCFF6638-2B37-4E1E-956B-EA1688A96983}"/>
    <cellStyle name="Currency 2 2 4 2 2 2 2 3 2 2" xfId="24590" xr:uid="{3BA1D0F7-4FDB-4408-9C0F-62A9255D2550}"/>
    <cellStyle name="Currency 2 2 4 2 2 2 2 3 3" xfId="13143" xr:uid="{8F7A7641-D7B2-4F47-AAA5-70F52711A416}"/>
    <cellStyle name="Currency 2 2 4 2 2 2 2 3 3 2" xfId="27194" xr:uid="{27B4F849-9E4D-482E-8548-A90DA9A9A23D}"/>
    <cellStyle name="Currency 2 2 4 2 2 2 2 3 4" xfId="21118" xr:uid="{9516059B-DFE2-4299-BEE8-B5FC83995AA4}"/>
    <cellStyle name="Currency 2 2 4 2 2 2 2 4" xfId="8803" xr:uid="{C9CEFEE2-2286-4F37-A511-7CDA801CD58D}"/>
    <cellStyle name="Currency 2 2 4 2 2 2 2 4 2" xfId="14011" xr:uid="{D86F6D28-C6BA-49A6-8098-1C2CE19EF188}"/>
    <cellStyle name="Currency 2 2 4 2 2 2 2 4 2 2" xfId="28062" xr:uid="{E34FB256-B4E9-444A-9B8E-FE006CCB8AE0}"/>
    <cellStyle name="Currency 2 2 4 2 2 2 2 4 3" xfId="22854" xr:uid="{EF7B2912-9A1E-4D62-876A-BBDEC8FD67D6}"/>
    <cellStyle name="Currency 2 2 4 2 2 2 2 5" xfId="7935" xr:uid="{F14EF7AA-E4C1-4AF6-879A-92B3E4A0CFA8}"/>
    <cellStyle name="Currency 2 2 4 2 2 2 2 5 2" xfId="21986" xr:uid="{D9BABD31-5CA0-4A2B-BAC9-C6B9F033ED14}"/>
    <cellStyle name="Currency 2 2 4 2 2 2 2 6" xfId="11407" xr:uid="{E015D5F4-27DD-492A-8D5C-3CE45F6EA9EA}"/>
    <cellStyle name="Currency 2 2 4 2 2 2 2 6 2" xfId="25458" xr:uid="{59E111AA-6A45-4418-81E3-780E76C76728}"/>
    <cellStyle name="Currency 2 2 4 2 2 2 2 7" xfId="19382" xr:uid="{1DC28829-528B-40BF-8EE9-E4A8613BCF40}"/>
    <cellStyle name="Currency 2 2 4 2 2 2 3" xfId="5765" xr:uid="{8EB993C8-F957-4E14-A8A0-8A962ED2D1A3}"/>
    <cellStyle name="Currency 2 2 4 2 2 2 3 2" xfId="9237" xr:uid="{B4096103-2AEE-4539-9F68-EFED49A5E40F}"/>
    <cellStyle name="Currency 2 2 4 2 2 2 3 2 2" xfId="23288" xr:uid="{86C116A1-CA41-40DE-82AA-22A2697B5E6F}"/>
    <cellStyle name="Currency 2 2 4 2 2 2 3 3" xfId="11841" xr:uid="{36792F4A-4489-43B4-9EC6-B6071AAB5812}"/>
    <cellStyle name="Currency 2 2 4 2 2 2 3 3 2" xfId="25892" xr:uid="{23BD6DA7-F0C0-4AF4-8663-A8E6C2949BFF}"/>
    <cellStyle name="Currency 2 2 4 2 2 2 3 4" xfId="19816" xr:uid="{C04864F2-1AC0-4F32-87A2-2C39A29DCCA4}"/>
    <cellStyle name="Currency 2 2 4 2 2 2 4" xfId="6633" xr:uid="{559BEFA4-0DBF-4D8E-B92B-2071DA64F1F0}"/>
    <cellStyle name="Currency 2 2 4 2 2 2 4 2" xfId="10105" xr:uid="{7FC32721-77B7-41C5-855C-3C447E48D038}"/>
    <cellStyle name="Currency 2 2 4 2 2 2 4 2 2" xfId="24156" xr:uid="{9D22062B-2A83-4DD9-859F-CC16E5208CE5}"/>
    <cellStyle name="Currency 2 2 4 2 2 2 4 3" xfId="12709" xr:uid="{80C669FD-B7AE-41F5-813C-101CB109D106}"/>
    <cellStyle name="Currency 2 2 4 2 2 2 4 3 2" xfId="26760" xr:uid="{5F1C7F48-BBE1-4B8C-980D-8D02F72D3888}"/>
    <cellStyle name="Currency 2 2 4 2 2 2 4 4" xfId="20684" xr:uid="{86201A88-1020-429E-933D-1E1B1C14C78E}"/>
    <cellStyle name="Currency 2 2 4 2 2 2 5" xfId="8369" xr:uid="{B780B4B2-56C8-49EA-A1CF-A24013D441CA}"/>
    <cellStyle name="Currency 2 2 4 2 2 2 5 2" xfId="13577" xr:uid="{F41A67BA-CF7A-4FBB-9930-AE89D753BA5D}"/>
    <cellStyle name="Currency 2 2 4 2 2 2 5 2 2" xfId="27628" xr:uid="{214E6046-067D-45C0-8C68-8D004F952649}"/>
    <cellStyle name="Currency 2 2 4 2 2 2 5 3" xfId="22420" xr:uid="{E2727872-C807-4783-A15F-7041101A210F}"/>
    <cellStyle name="Currency 2 2 4 2 2 2 6" xfId="7501" xr:uid="{51F2D503-2DD4-46D0-A12C-C52860ECD5AB}"/>
    <cellStyle name="Currency 2 2 4 2 2 2 6 2" xfId="21552" xr:uid="{C1F97F17-BFD2-4227-A1D6-216E4D448D82}"/>
    <cellStyle name="Currency 2 2 4 2 2 2 7" xfId="10973" xr:uid="{783981FA-E54F-4BEC-89F0-BB7BD78D69D9}"/>
    <cellStyle name="Currency 2 2 4 2 2 2 7 2" xfId="25024" xr:uid="{87856207-1C05-4541-B378-4BB2BE2A51C9}"/>
    <cellStyle name="Currency 2 2 4 2 2 2 8" xfId="17981" xr:uid="{3558184D-7FA1-47D0-B627-BDA8ECFA8F9A}"/>
    <cellStyle name="Currency 2 2 4 2 2 3" xfId="5141" xr:uid="{6296EF38-F853-429A-B880-CAB12CB65CD5}"/>
    <cellStyle name="Currency 2 2 4 2 2 3 2" xfId="6009" xr:uid="{CEFCA120-5FD8-4925-8C82-68C7C4B2416F}"/>
    <cellStyle name="Currency 2 2 4 2 2 3 2 2" xfId="9481" xr:uid="{086B2E69-2ACF-4914-B6CC-82DD3D695988}"/>
    <cellStyle name="Currency 2 2 4 2 2 3 2 2 2" xfId="23532" xr:uid="{9CDC22F7-D339-4B22-9991-E720EC4DBBB7}"/>
    <cellStyle name="Currency 2 2 4 2 2 3 2 3" xfId="12085" xr:uid="{CB6856B5-A96B-4A27-B129-0DCA4FEBEAAA}"/>
    <cellStyle name="Currency 2 2 4 2 2 3 2 3 2" xfId="26136" xr:uid="{D37E54A3-D4FE-4EDF-B04D-5B7B044FC0FA}"/>
    <cellStyle name="Currency 2 2 4 2 2 3 2 4" xfId="20060" xr:uid="{37E365BE-A155-4E28-90DD-7102650887FC}"/>
    <cellStyle name="Currency 2 2 4 2 2 3 3" xfId="6877" xr:uid="{4CB325A8-6F80-45B8-B1BC-0CF158519F20}"/>
    <cellStyle name="Currency 2 2 4 2 2 3 3 2" xfId="10349" xr:uid="{4ED836E4-2A3B-46E8-ADDB-A7B3069F5182}"/>
    <cellStyle name="Currency 2 2 4 2 2 3 3 2 2" xfId="24400" xr:uid="{E4772C49-0E58-4D1E-AC85-BC63A9DEA196}"/>
    <cellStyle name="Currency 2 2 4 2 2 3 3 3" xfId="12953" xr:uid="{A692C6F0-05EF-439E-8F4E-CCB7A4153499}"/>
    <cellStyle name="Currency 2 2 4 2 2 3 3 3 2" xfId="27004" xr:uid="{BD9380CA-F356-46C7-B34B-4E309C4BB9E2}"/>
    <cellStyle name="Currency 2 2 4 2 2 3 3 4" xfId="20928" xr:uid="{E6902C02-7F73-4CA6-8F74-D5EF295B1AB8}"/>
    <cellStyle name="Currency 2 2 4 2 2 3 4" xfId="8613" xr:uid="{9CE36AB4-FD59-4789-B47E-AE7C89BE677C}"/>
    <cellStyle name="Currency 2 2 4 2 2 3 4 2" xfId="13821" xr:uid="{973D45F0-9D0E-413B-9CCD-65451CBCB74F}"/>
    <cellStyle name="Currency 2 2 4 2 2 3 4 2 2" xfId="27872" xr:uid="{AA290441-A224-4529-B857-070FC47A2A6D}"/>
    <cellStyle name="Currency 2 2 4 2 2 3 4 3" xfId="22664" xr:uid="{6B48F9D3-CB34-4650-B64E-E25E6FBD3881}"/>
    <cellStyle name="Currency 2 2 4 2 2 3 5" xfId="7745" xr:uid="{7A2AFDD7-6928-48BF-BCD1-A0614BE4DE5E}"/>
    <cellStyle name="Currency 2 2 4 2 2 3 5 2" xfId="21796" xr:uid="{EBE30222-9DBB-4078-80F8-6E546117BCE2}"/>
    <cellStyle name="Currency 2 2 4 2 2 3 6" xfId="11217" xr:uid="{FD4826E5-5B20-4664-9119-A00EF69D13F1}"/>
    <cellStyle name="Currency 2 2 4 2 2 3 6 2" xfId="25268" xr:uid="{DC58BD95-1365-46A4-9616-C4F095DF0FCB}"/>
    <cellStyle name="Currency 2 2 4 2 2 3 7" xfId="19192" xr:uid="{682AC48A-3670-412D-9DB5-884E893A08A0}"/>
    <cellStyle name="Currency 2 2 4 2 2 4" xfId="5575" xr:uid="{DF136C72-6FAB-49C8-BFE5-4DF0B0D8C253}"/>
    <cellStyle name="Currency 2 2 4 2 2 4 2" xfId="9047" xr:uid="{AC11F353-678D-4C82-8C13-C76B17301A31}"/>
    <cellStyle name="Currency 2 2 4 2 2 4 2 2" xfId="23098" xr:uid="{4699373F-7F08-4AFF-94FD-74671346BC84}"/>
    <cellStyle name="Currency 2 2 4 2 2 4 3" xfId="11651" xr:uid="{8AF1B25B-000B-414B-8254-F73E2AB4D7F9}"/>
    <cellStyle name="Currency 2 2 4 2 2 4 3 2" xfId="25702" xr:uid="{94C6F21E-89B8-44DD-BB4A-F23A8817D088}"/>
    <cellStyle name="Currency 2 2 4 2 2 4 4" xfId="19626" xr:uid="{64DC6811-97BC-44E8-A8C0-D3B84EC3FD7B}"/>
    <cellStyle name="Currency 2 2 4 2 2 5" xfId="6443" xr:uid="{83904F40-CE99-4474-89C4-8E785A59C88E}"/>
    <cellStyle name="Currency 2 2 4 2 2 5 2" xfId="9915" xr:uid="{B5B949AF-33FF-401C-90C2-62B791050DE3}"/>
    <cellStyle name="Currency 2 2 4 2 2 5 2 2" xfId="23966" xr:uid="{1838689C-844A-4939-A72A-7FE86B52A2E0}"/>
    <cellStyle name="Currency 2 2 4 2 2 5 3" xfId="12519" xr:uid="{C978A675-DF65-4B19-AEDC-A9FDFE4D902C}"/>
    <cellStyle name="Currency 2 2 4 2 2 5 3 2" xfId="26570" xr:uid="{88922996-38FC-40AB-A3D6-AA4C1C5B1373}"/>
    <cellStyle name="Currency 2 2 4 2 2 5 4" xfId="20494" xr:uid="{3D74031F-DCB9-4D13-B3CF-732BC4EABCB3}"/>
    <cellStyle name="Currency 2 2 4 2 2 6" xfId="8179" xr:uid="{897034B1-B983-437E-B054-B4DC2E1C6CA7}"/>
    <cellStyle name="Currency 2 2 4 2 2 6 2" xfId="13387" xr:uid="{63245372-DDC0-4655-A1AA-17BE16FFBE97}"/>
    <cellStyle name="Currency 2 2 4 2 2 6 2 2" xfId="27438" xr:uid="{4AA9BBEE-4730-4B2C-87D9-16A7EC4112BB}"/>
    <cellStyle name="Currency 2 2 4 2 2 6 3" xfId="22230" xr:uid="{57AB99FD-FCCE-441F-8521-9F19DE777D93}"/>
    <cellStyle name="Currency 2 2 4 2 2 7" xfId="7311" xr:uid="{DBE737C0-A796-4F16-8E52-2CE37EC99CF2}"/>
    <cellStyle name="Currency 2 2 4 2 2 7 2" xfId="21362" xr:uid="{52F4C9B2-BD46-4828-9F75-D5F3840A1CFE}"/>
    <cellStyle name="Currency 2 2 4 2 2 8" xfId="10783" xr:uid="{928D3A2C-3F76-4D9D-9C93-E1A090ABBC5E}"/>
    <cellStyle name="Currency 2 2 4 2 2 8 2" xfId="24834" xr:uid="{05EBD2CD-4FAE-45BB-9CD1-EA1F84ADF133}"/>
    <cellStyle name="Currency 2 2 4 2 2 9" xfId="15789" xr:uid="{274CB70B-5C0E-4289-AC2C-6C683F9DD4EF}"/>
    <cellStyle name="Currency 2 2 4 2 3" xfId="2832" xr:uid="{1ED95E15-CAB5-4D4F-B994-980428D3AA64}"/>
    <cellStyle name="Currency 2 2 4 2 3 2" xfId="5235" xr:uid="{A0902AAD-12F8-4726-B4F8-6A396980C4F9}"/>
    <cellStyle name="Currency 2 2 4 2 3 2 2" xfId="6103" xr:uid="{4D834637-23C7-4A5E-9870-19948A320D58}"/>
    <cellStyle name="Currency 2 2 4 2 3 2 2 2" xfId="9575" xr:uid="{88A19131-7441-4F71-AAB3-AE4991953447}"/>
    <cellStyle name="Currency 2 2 4 2 3 2 2 2 2" xfId="23626" xr:uid="{85998AAA-3C3D-40EA-8B51-F6B2EDE267EC}"/>
    <cellStyle name="Currency 2 2 4 2 3 2 2 3" xfId="12179" xr:uid="{88790A23-DC40-4A0C-9684-3F8EFB646DA2}"/>
    <cellStyle name="Currency 2 2 4 2 3 2 2 3 2" xfId="26230" xr:uid="{F98CB0DA-6CF4-418F-A519-D24794C0C023}"/>
    <cellStyle name="Currency 2 2 4 2 3 2 2 4" xfId="20154" xr:uid="{256BCC38-6CA1-410A-BBA0-A52EC77D15E4}"/>
    <cellStyle name="Currency 2 2 4 2 3 2 3" xfId="6971" xr:uid="{190FA479-7FED-4A9E-965F-76E4E1175E3F}"/>
    <cellStyle name="Currency 2 2 4 2 3 2 3 2" xfId="10443" xr:uid="{B9A3801E-D6D7-4E74-8764-7B591B383B1D}"/>
    <cellStyle name="Currency 2 2 4 2 3 2 3 2 2" xfId="24494" xr:uid="{D2F9C47C-7DA6-4F86-8801-752B34109E0F}"/>
    <cellStyle name="Currency 2 2 4 2 3 2 3 3" xfId="13047" xr:uid="{3FAF7F96-EDE5-4CDF-ADE6-734A38B8E08D}"/>
    <cellStyle name="Currency 2 2 4 2 3 2 3 3 2" xfId="27098" xr:uid="{7C291692-0EF8-4DA6-BF73-9EDB670D716A}"/>
    <cellStyle name="Currency 2 2 4 2 3 2 3 4" xfId="21022" xr:uid="{1F84EF45-2865-4520-B0F0-38CC4B78D407}"/>
    <cellStyle name="Currency 2 2 4 2 3 2 4" xfId="8707" xr:uid="{1D490C9A-B80E-43F6-A500-1F58E8388166}"/>
    <cellStyle name="Currency 2 2 4 2 3 2 4 2" xfId="13915" xr:uid="{3ABD96E5-8BE7-42C0-8E91-8BB19B35B4BF}"/>
    <cellStyle name="Currency 2 2 4 2 3 2 4 2 2" xfId="27966" xr:uid="{FA5EFF38-6B23-4A42-9F48-57EE6F1A42D7}"/>
    <cellStyle name="Currency 2 2 4 2 3 2 4 3" xfId="22758" xr:uid="{9F8168B1-89FB-4396-A12C-2CCADD9E7439}"/>
    <cellStyle name="Currency 2 2 4 2 3 2 5" xfId="7839" xr:uid="{FC0D0E81-4D23-4454-9B16-AA60FFEE5767}"/>
    <cellStyle name="Currency 2 2 4 2 3 2 5 2" xfId="21890" xr:uid="{10151FB0-A3A5-4C1B-899B-D58F7624293E}"/>
    <cellStyle name="Currency 2 2 4 2 3 2 6" xfId="11311" xr:uid="{AC426BE8-EB5B-4C1C-AD6D-4519C952CDDA}"/>
    <cellStyle name="Currency 2 2 4 2 3 2 6 2" xfId="25362" xr:uid="{91640385-EB45-4762-B9BD-972F6C1D638E}"/>
    <cellStyle name="Currency 2 2 4 2 3 2 7" xfId="19286" xr:uid="{1D92AFB5-6337-47B3-9A23-FD6E15E85327}"/>
    <cellStyle name="Currency 2 2 4 2 3 3" xfId="5669" xr:uid="{53EC4138-8D14-4B3D-B0BA-50DC30172777}"/>
    <cellStyle name="Currency 2 2 4 2 3 3 2" xfId="9141" xr:uid="{802C78C1-1149-4130-8EB4-AE6969ADC3BB}"/>
    <cellStyle name="Currency 2 2 4 2 3 3 2 2" xfId="23192" xr:uid="{344B9151-780F-4787-AE0A-018115129951}"/>
    <cellStyle name="Currency 2 2 4 2 3 3 3" xfId="11745" xr:uid="{9A37B1CA-D52D-43A1-9017-E2D69D85FACE}"/>
    <cellStyle name="Currency 2 2 4 2 3 3 3 2" xfId="25796" xr:uid="{A37E5AFF-852E-4783-BA1C-B220538C2EF4}"/>
    <cellStyle name="Currency 2 2 4 2 3 3 4" xfId="19720" xr:uid="{0A01EF4F-6B6B-4034-A2F4-369BDDD09003}"/>
    <cellStyle name="Currency 2 2 4 2 3 4" xfId="6537" xr:uid="{BF3F7C7C-5454-420B-B7B8-4C3E62EC8D0A}"/>
    <cellStyle name="Currency 2 2 4 2 3 4 2" xfId="10009" xr:uid="{79F09B32-8C8F-4319-8A20-3FFCC8E32379}"/>
    <cellStyle name="Currency 2 2 4 2 3 4 2 2" xfId="24060" xr:uid="{61AE857F-2CE0-491C-BA48-6B1E34DD2097}"/>
    <cellStyle name="Currency 2 2 4 2 3 4 3" xfId="12613" xr:uid="{F3D7B7F9-A1BF-4ADD-AAC6-F38DF556C4F2}"/>
    <cellStyle name="Currency 2 2 4 2 3 4 3 2" xfId="26664" xr:uid="{A9E074C2-B892-4D9F-9586-0E493A56E4C8}"/>
    <cellStyle name="Currency 2 2 4 2 3 4 4" xfId="20588" xr:uid="{9F15268D-97DF-490E-B6D1-8AF491D97A52}"/>
    <cellStyle name="Currency 2 2 4 2 3 5" xfId="8273" xr:uid="{49B451C5-DB42-4A09-8DA0-C9CD46151F0B}"/>
    <cellStyle name="Currency 2 2 4 2 3 5 2" xfId="13481" xr:uid="{B220F930-04AF-4C99-A7C1-5CA5B5C18210}"/>
    <cellStyle name="Currency 2 2 4 2 3 5 2 2" xfId="27532" xr:uid="{BA49DBF7-F0C4-49D9-B38C-E75DC356C5D6}"/>
    <cellStyle name="Currency 2 2 4 2 3 5 3" xfId="22324" xr:uid="{F466734C-E196-4425-AE61-EF4F31DB0733}"/>
    <cellStyle name="Currency 2 2 4 2 3 6" xfId="7405" xr:uid="{439152AF-9686-419E-A7C5-F0A65DCA7888}"/>
    <cellStyle name="Currency 2 2 4 2 3 6 2" xfId="21456" xr:uid="{3206047F-B4B6-4E2C-9845-9B37B95BE0DA}"/>
    <cellStyle name="Currency 2 2 4 2 3 7" xfId="10877" xr:uid="{2FF7175A-7D6F-41CA-8F60-F91CC9489778}"/>
    <cellStyle name="Currency 2 2 4 2 3 7 2" xfId="24928" xr:uid="{6EC09D32-7397-4F8A-A86E-297F931302B5}"/>
    <cellStyle name="Currency 2 2 4 2 3 8" xfId="16883" xr:uid="{EC833491-A31D-426D-AD5A-D57D1CCD2B3F}"/>
    <cellStyle name="Currency 2 2 4 2 4" xfId="5043" xr:uid="{301D9567-57F1-4632-91A3-827A499EDE10}"/>
    <cellStyle name="Currency 2 2 4 2 4 2" xfId="5911" xr:uid="{1F6BBE75-7136-4830-B594-7620997B8214}"/>
    <cellStyle name="Currency 2 2 4 2 4 2 2" xfId="9383" xr:uid="{08A64036-5110-470D-93B4-50EB6DB04ABB}"/>
    <cellStyle name="Currency 2 2 4 2 4 2 2 2" xfId="23434" xr:uid="{AB9D332B-CBDF-4B7A-AA6D-C7D90B475209}"/>
    <cellStyle name="Currency 2 2 4 2 4 2 3" xfId="11987" xr:uid="{1BFC91AD-10FD-4088-A443-AADCA1F3061E}"/>
    <cellStyle name="Currency 2 2 4 2 4 2 3 2" xfId="26038" xr:uid="{B09331F5-AB4B-4265-8490-892D2F69A3E4}"/>
    <cellStyle name="Currency 2 2 4 2 4 2 4" xfId="19962" xr:uid="{72A77C99-3345-4521-9A6A-4C66B39AE65E}"/>
    <cellStyle name="Currency 2 2 4 2 4 3" xfId="6779" xr:uid="{DA0C4E18-F2BA-4D23-903F-EFD00FE59C58}"/>
    <cellStyle name="Currency 2 2 4 2 4 3 2" xfId="10251" xr:uid="{302E01C0-D4A4-42E9-BC1E-936CFFB3D757}"/>
    <cellStyle name="Currency 2 2 4 2 4 3 2 2" xfId="24302" xr:uid="{65A0F900-DDFB-4733-BD52-FB50DE19DD22}"/>
    <cellStyle name="Currency 2 2 4 2 4 3 3" xfId="12855" xr:uid="{527E7A64-EF39-43CF-80DC-CE63C3A3927C}"/>
    <cellStyle name="Currency 2 2 4 2 4 3 3 2" xfId="26906" xr:uid="{B07CF927-C485-4A70-9E93-5B65BC308D8F}"/>
    <cellStyle name="Currency 2 2 4 2 4 3 4" xfId="20830" xr:uid="{0AD89635-56F5-48BC-9853-B76BE5E9BD0F}"/>
    <cellStyle name="Currency 2 2 4 2 4 4" xfId="8515" xr:uid="{581AB0F2-A14A-4072-80B9-2F50F3FDA780}"/>
    <cellStyle name="Currency 2 2 4 2 4 4 2" xfId="13723" xr:uid="{2C2A5C07-BAE2-4C06-9198-4AE085E2A944}"/>
    <cellStyle name="Currency 2 2 4 2 4 4 2 2" xfId="27774" xr:uid="{5DAB5AEE-F18B-4133-ACCD-443AD51C8CCD}"/>
    <cellStyle name="Currency 2 2 4 2 4 4 3" xfId="22566" xr:uid="{EDFEA0DF-5620-477D-AB06-94943616390A}"/>
    <cellStyle name="Currency 2 2 4 2 4 5" xfId="7647" xr:uid="{AD848FDE-B8CF-4760-A572-FF2745580C78}"/>
    <cellStyle name="Currency 2 2 4 2 4 5 2" xfId="21698" xr:uid="{FF248254-3E67-4EB6-BE8E-3806DCC5EA05}"/>
    <cellStyle name="Currency 2 2 4 2 4 6" xfId="11119" xr:uid="{99F6209C-46B3-4A2D-9D19-52D0FADF0546}"/>
    <cellStyle name="Currency 2 2 4 2 4 6 2" xfId="25170" xr:uid="{ECC7E154-134E-4F9A-9888-92FB09A327AE}"/>
    <cellStyle name="Currency 2 2 4 2 4 7" xfId="19094" xr:uid="{A0EBD681-6760-4E93-A0FE-3A91AB46A0A8}"/>
    <cellStyle name="Currency 2 2 4 2 5" xfId="5477" xr:uid="{8C3FFDB8-A755-4743-B552-A880EC87B385}"/>
    <cellStyle name="Currency 2 2 4 2 5 2" xfId="8949" xr:uid="{AA44D1AE-4829-416E-9C09-7DAF54B404FE}"/>
    <cellStyle name="Currency 2 2 4 2 5 2 2" xfId="23000" xr:uid="{0390D7CA-2855-4E01-9C53-892E140D79C7}"/>
    <cellStyle name="Currency 2 2 4 2 5 3" xfId="11553" xr:uid="{5E282B90-9310-418C-9C3B-C7181FAF60C8}"/>
    <cellStyle name="Currency 2 2 4 2 5 3 2" xfId="25604" xr:uid="{2E0A587A-2413-4A90-AE41-1EF143DA2D4D}"/>
    <cellStyle name="Currency 2 2 4 2 5 4" xfId="19528" xr:uid="{6F35AE36-2EB9-46E0-BBA9-935D76E6506A}"/>
    <cellStyle name="Currency 2 2 4 2 6" xfId="6345" xr:uid="{C4BAC3C1-47FC-47EE-874B-9C0A26E056E0}"/>
    <cellStyle name="Currency 2 2 4 2 6 2" xfId="9817" xr:uid="{F5898BB2-E1A4-4628-A9A5-6CDD27A16EF6}"/>
    <cellStyle name="Currency 2 2 4 2 6 2 2" xfId="23868" xr:uid="{A646E027-709B-4AA8-9C72-FCCEC6D60213}"/>
    <cellStyle name="Currency 2 2 4 2 6 3" xfId="12421" xr:uid="{BE427656-452E-41EB-B57F-FF5D44C0FA8D}"/>
    <cellStyle name="Currency 2 2 4 2 6 3 2" xfId="26472" xr:uid="{02C4B3BC-636C-4E36-8721-AB4771535A46}"/>
    <cellStyle name="Currency 2 2 4 2 6 4" xfId="20396" xr:uid="{18B370A9-04E0-432B-94AA-0AE4EDF40AE4}"/>
    <cellStyle name="Currency 2 2 4 2 7" xfId="8081" xr:uid="{CD103D6E-7A50-49FE-B833-6F1722F73859}"/>
    <cellStyle name="Currency 2 2 4 2 7 2" xfId="13289" xr:uid="{63E25F33-6F3D-4873-B37C-8D022155FDE1}"/>
    <cellStyle name="Currency 2 2 4 2 7 2 2" xfId="27340" xr:uid="{F86BD840-E284-4A12-B759-CAB1013E2AE8}"/>
    <cellStyle name="Currency 2 2 4 2 7 3" xfId="22132" xr:uid="{C7EFA469-E214-4D04-993A-E1343B2C712C}"/>
    <cellStyle name="Currency 2 2 4 2 8" xfId="7213" xr:uid="{52191933-9767-4B77-8B01-485193B3BA0F}"/>
    <cellStyle name="Currency 2 2 4 2 8 2" xfId="21264" xr:uid="{7EA06E38-0DCE-4D7B-808D-B95AC466BC9E}"/>
    <cellStyle name="Currency 2 2 4 2 9" xfId="10685" xr:uid="{91E3D4A2-2F33-411C-8949-5A85FAD5EACD}"/>
    <cellStyle name="Currency 2 2 4 2 9 2" xfId="24736" xr:uid="{7A916858-ACD7-4167-803C-D23A8610787A}"/>
    <cellStyle name="Currency 2 2 4 3" xfId="986" xr:uid="{BACC6079-ED0F-4524-ADCB-8533C6AF36AB}"/>
    <cellStyle name="Currency 2 2 4 3 10" xfId="15036" xr:uid="{1A402A49-8D66-48C7-AFE2-EA339A756022}"/>
    <cellStyle name="Currency 2 2 4 3 2" xfId="2085" xr:uid="{10C7306E-4E93-4350-866E-7C6D30C2C879}"/>
    <cellStyle name="Currency 2 2 4 3 2 2" xfId="4274" xr:uid="{757FF1CF-9D0D-4E22-BFE3-FC833704604C}"/>
    <cellStyle name="Currency 2 2 4 3 2 2 2" xfId="5360" xr:uid="{6DACC5BD-A68C-42F1-8A54-08B358944BD9}"/>
    <cellStyle name="Currency 2 2 4 3 2 2 2 2" xfId="6228" xr:uid="{C77E4418-B2DC-4795-A739-5367E2D6EEA7}"/>
    <cellStyle name="Currency 2 2 4 3 2 2 2 2 2" xfId="9700" xr:uid="{2AFB7763-E249-4184-89B1-9B545CD66568}"/>
    <cellStyle name="Currency 2 2 4 3 2 2 2 2 2 2" xfId="23751" xr:uid="{C09228EB-969D-462C-AEB0-4441F4DECAF1}"/>
    <cellStyle name="Currency 2 2 4 3 2 2 2 2 3" xfId="12304" xr:uid="{D4AC67BC-C717-4437-A1A9-E93B4C04335B}"/>
    <cellStyle name="Currency 2 2 4 3 2 2 2 2 3 2" xfId="26355" xr:uid="{A7BE7D75-C751-43F0-A20C-74665D27E149}"/>
    <cellStyle name="Currency 2 2 4 3 2 2 2 2 4" xfId="20279" xr:uid="{9179F425-D5A4-4EA4-B168-A7427886396A}"/>
    <cellStyle name="Currency 2 2 4 3 2 2 2 3" xfId="7096" xr:uid="{A2B440BF-48AA-444B-B843-149AEE4F2F35}"/>
    <cellStyle name="Currency 2 2 4 3 2 2 2 3 2" xfId="10568" xr:uid="{6A7A488D-4C14-4085-908F-A575D8E57E26}"/>
    <cellStyle name="Currency 2 2 4 3 2 2 2 3 2 2" xfId="24619" xr:uid="{F5F76378-0F02-4A40-87DA-8258A4925184}"/>
    <cellStyle name="Currency 2 2 4 3 2 2 2 3 3" xfId="13172" xr:uid="{769ACD20-8F68-493A-B0A7-E5050785AA38}"/>
    <cellStyle name="Currency 2 2 4 3 2 2 2 3 3 2" xfId="27223" xr:uid="{61BDADC4-4296-4203-BAD0-6AD5C085B7CD}"/>
    <cellStyle name="Currency 2 2 4 3 2 2 2 3 4" xfId="21147" xr:uid="{A5772F40-2A18-4D3C-8CA4-BE108BF0AFFA}"/>
    <cellStyle name="Currency 2 2 4 3 2 2 2 4" xfId="8832" xr:uid="{E146DAA5-3E7B-4D3A-97A5-AB02136C6001}"/>
    <cellStyle name="Currency 2 2 4 3 2 2 2 4 2" xfId="14040" xr:uid="{BF8F2D64-98FF-4CDF-AB0D-F82C1F7E2D8E}"/>
    <cellStyle name="Currency 2 2 4 3 2 2 2 4 2 2" xfId="28091" xr:uid="{B6091CDD-7F3A-4ABE-BFC5-B6AE6C16CB85}"/>
    <cellStyle name="Currency 2 2 4 3 2 2 2 4 3" xfId="22883" xr:uid="{07AB96E3-D2AB-499C-8223-E48586812BC5}"/>
    <cellStyle name="Currency 2 2 4 3 2 2 2 5" xfId="7964" xr:uid="{01449D06-E333-4078-B0AB-92C048039174}"/>
    <cellStyle name="Currency 2 2 4 3 2 2 2 5 2" xfId="22015" xr:uid="{2FD89BF7-8416-4F20-8F0C-D1F778B4EB50}"/>
    <cellStyle name="Currency 2 2 4 3 2 2 2 6" xfId="11436" xr:uid="{AF00B65F-D626-4A26-B53D-6D0EAD658B0F}"/>
    <cellStyle name="Currency 2 2 4 3 2 2 2 6 2" xfId="25487" xr:uid="{EE6E6B47-7D4D-4A92-8ED0-7F361F78DBFD}"/>
    <cellStyle name="Currency 2 2 4 3 2 2 2 7" xfId="19411" xr:uid="{8F290E9B-69A9-4F2E-BAEA-D8861D326FAD}"/>
    <cellStyle name="Currency 2 2 4 3 2 2 3" xfId="5794" xr:uid="{C11031E7-57B7-406D-B680-7E9BA5A36442}"/>
    <cellStyle name="Currency 2 2 4 3 2 2 3 2" xfId="9266" xr:uid="{C18F1586-87FB-47B1-B89E-C7B6ED551952}"/>
    <cellStyle name="Currency 2 2 4 3 2 2 3 2 2" xfId="23317" xr:uid="{C916077F-5151-4C7C-815B-6AE561E97A80}"/>
    <cellStyle name="Currency 2 2 4 3 2 2 3 3" xfId="11870" xr:uid="{3324B2E4-3D20-4C08-8DEF-093B4A8BB55F}"/>
    <cellStyle name="Currency 2 2 4 3 2 2 3 3 2" xfId="25921" xr:uid="{D92B5C1C-306E-4CD9-A663-923F8D45B450}"/>
    <cellStyle name="Currency 2 2 4 3 2 2 3 4" xfId="19845" xr:uid="{612BCDF5-EBE1-414C-96D4-AE88DBB2EEAB}"/>
    <cellStyle name="Currency 2 2 4 3 2 2 4" xfId="6662" xr:uid="{7153BD31-1CE3-436F-9471-AA92EDE4038E}"/>
    <cellStyle name="Currency 2 2 4 3 2 2 4 2" xfId="10134" xr:uid="{19AB9F70-EFF3-4D39-B65B-235232603F53}"/>
    <cellStyle name="Currency 2 2 4 3 2 2 4 2 2" xfId="24185" xr:uid="{52A46A99-EB92-4191-9BAF-4DAB92B346FD}"/>
    <cellStyle name="Currency 2 2 4 3 2 2 4 3" xfId="12738" xr:uid="{06629D8D-E905-4F39-AEEF-5E0242E55E39}"/>
    <cellStyle name="Currency 2 2 4 3 2 2 4 3 2" xfId="26789" xr:uid="{7D554E81-155C-4A71-ADB6-ADB7455A519D}"/>
    <cellStyle name="Currency 2 2 4 3 2 2 4 4" xfId="20713" xr:uid="{805A5732-1B12-4F5D-B094-AC832F575B1F}"/>
    <cellStyle name="Currency 2 2 4 3 2 2 5" xfId="8398" xr:uid="{D7006212-A3AB-4013-8953-6E54BD1A8AF8}"/>
    <cellStyle name="Currency 2 2 4 3 2 2 5 2" xfId="13606" xr:uid="{2054F1CE-8F55-41AB-8F1E-8B2B6033FAA5}"/>
    <cellStyle name="Currency 2 2 4 3 2 2 5 2 2" xfId="27657" xr:uid="{EE61351E-1F00-4943-B6E2-736EBAA3D516}"/>
    <cellStyle name="Currency 2 2 4 3 2 2 5 3" xfId="22449" xr:uid="{5B7C6D81-B528-475F-A864-A4F25D61F1DB}"/>
    <cellStyle name="Currency 2 2 4 3 2 2 6" xfId="7530" xr:uid="{95B77E2E-0D03-4454-8624-7F100EED8DEC}"/>
    <cellStyle name="Currency 2 2 4 3 2 2 6 2" xfId="21581" xr:uid="{6B138783-C831-4B59-81C6-450A661FE977}"/>
    <cellStyle name="Currency 2 2 4 3 2 2 7" xfId="11002" xr:uid="{1E789E7C-6130-4D5A-BCE5-6237D8DB8BE8}"/>
    <cellStyle name="Currency 2 2 4 3 2 2 7 2" xfId="25053" xr:uid="{36680BBE-8A46-4F3C-98E2-A978E97E97FD}"/>
    <cellStyle name="Currency 2 2 4 3 2 2 8" xfId="18325" xr:uid="{0BFD5D11-0197-4D8F-9206-487C40868A37}"/>
    <cellStyle name="Currency 2 2 4 3 2 3" xfId="5170" xr:uid="{C4EEFAEE-9FCA-4AA6-A51C-0EA96D207EB8}"/>
    <cellStyle name="Currency 2 2 4 3 2 3 2" xfId="6038" xr:uid="{4D9CAD31-5D3D-427D-9C16-52227C8046AB}"/>
    <cellStyle name="Currency 2 2 4 3 2 3 2 2" xfId="9510" xr:uid="{F0DD86E8-2872-4C6C-9994-23ECCBB88153}"/>
    <cellStyle name="Currency 2 2 4 3 2 3 2 2 2" xfId="23561" xr:uid="{5D532709-00DC-412A-824D-687B5886469B}"/>
    <cellStyle name="Currency 2 2 4 3 2 3 2 3" xfId="12114" xr:uid="{6578E017-8C40-46D8-A180-ECC74C591FA0}"/>
    <cellStyle name="Currency 2 2 4 3 2 3 2 3 2" xfId="26165" xr:uid="{A06F387A-0FE8-4C95-B3E1-A471EFB73EEB}"/>
    <cellStyle name="Currency 2 2 4 3 2 3 2 4" xfId="20089" xr:uid="{F95BC92B-ECFE-4A96-B83B-B1D24DC54ED7}"/>
    <cellStyle name="Currency 2 2 4 3 2 3 3" xfId="6906" xr:uid="{34DBAC3E-06AF-4D9A-B916-4302C0F3598C}"/>
    <cellStyle name="Currency 2 2 4 3 2 3 3 2" xfId="10378" xr:uid="{5C25BDC8-0D6B-48E3-9E36-1DDF9168210E}"/>
    <cellStyle name="Currency 2 2 4 3 2 3 3 2 2" xfId="24429" xr:uid="{861406BD-0516-459C-AEA8-0ED7D668694A}"/>
    <cellStyle name="Currency 2 2 4 3 2 3 3 3" xfId="12982" xr:uid="{6F5D6EDE-B88E-4F17-AA08-5C2BB7965C8F}"/>
    <cellStyle name="Currency 2 2 4 3 2 3 3 3 2" xfId="27033" xr:uid="{53093C07-F147-48A7-9C82-D6A01A5B479A}"/>
    <cellStyle name="Currency 2 2 4 3 2 3 3 4" xfId="20957" xr:uid="{21FABE18-62F1-4B0A-96F4-F3C6958E34F3}"/>
    <cellStyle name="Currency 2 2 4 3 2 3 4" xfId="8642" xr:uid="{453A6AFD-687D-452E-BF05-EEBA9D4AD465}"/>
    <cellStyle name="Currency 2 2 4 3 2 3 4 2" xfId="13850" xr:uid="{6AF8E5B1-CC01-43E1-AC1A-39C1A27C4B3B}"/>
    <cellStyle name="Currency 2 2 4 3 2 3 4 2 2" xfId="27901" xr:uid="{C4D62CE9-5D49-43C6-8A3C-517DC0F29AD4}"/>
    <cellStyle name="Currency 2 2 4 3 2 3 4 3" xfId="22693" xr:uid="{171CC9D7-F6E2-4E52-B2BD-955D0CF27926}"/>
    <cellStyle name="Currency 2 2 4 3 2 3 5" xfId="7774" xr:uid="{0CC57B62-8F99-4C76-B8C9-BA6E89BFDD7C}"/>
    <cellStyle name="Currency 2 2 4 3 2 3 5 2" xfId="21825" xr:uid="{D521DE89-68D2-4E51-B6DC-91E72F1721B6}"/>
    <cellStyle name="Currency 2 2 4 3 2 3 6" xfId="11246" xr:uid="{195D3C12-236A-422E-A626-F9B5AC0F235A}"/>
    <cellStyle name="Currency 2 2 4 3 2 3 6 2" xfId="25297" xr:uid="{F042D96F-737C-4B6B-97A1-000513484F9B}"/>
    <cellStyle name="Currency 2 2 4 3 2 3 7" xfId="19221" xr:uid="{2F7FB01D-C467-4C84-8352-EF50FE3C8CDF}"/>
    <cellStyle name="Currency 2 2 4 3 2 4" xfId="5604" xr:uid="{A26EB2D8-410A-4785-8DA1-354BDA6BB79C}"/>
    <cellStyle name="Currency 2 2 4 3 2 4 2" xfId="9076" xr:uid="{901866C0-C9AB-4E78-AD96-FE4FBE99C12C}"/>
    <cellStyle name="Currency 2 2 4 3 2 4 2 2" xfId="23127" xr:uid="{4CF944B9-F9EB-4BEC-A446-BCAA0790FAA5}"/>
    <cellStyle name="Currency 2 2 4 3 2 4 3" xfId="11680" xr:uid="{BF3405A8-446B-452D-A1C9-AEABBCC6ED60}"/>
    <cellStyle name="Currency 2 2 4 3 2 4 3 2" xfId="25731" xr:uid="{BBA051D9-B132-4350-BD97-E8EB2683DF2D}"/>
    <cellStyle name="Currency 2 2 4 3 2 4 4" xfId="19655" xr:uid="{8A66CB77-EA04-435E-BAEF-92C65C87BBEF}"/>
    <cellStyle name="Currency 2 2 4 3 2 5" xfId="6472" xr:uid="{ABEA7A4B-DFCB-41B6-9C9D-53751F2FE003}"/>
    <cellStyle name="Currency 2 2 4 3 2 5 2" xfId="9944" xr:uid="{0A8A9B9D-FDEC-42C2-B248-2C891BD1F03F}"/>
    <cellStyle name="Currency 2 2 4 3 2 5 2 2" xfId="23995" xr:uid="{8E0AFE50-E093-40E3-B612-F36D1C5E68AC}"/>
    <cellStyle name="Currency 2 2 4 3 2 5 3" xfId="12548" xr:uid="{A7DFC5B1-0679-407C-A636-6428A85B7348}"/>
    <cellStyle name="Currency 2 2 4 3 2 5 3 2" xfId="26599" xr:uid="{8CE908F5-C801-4C0B-8FE3-ECA05DF0EC50}"/>
    <cellStyle name="Currency 2 2 4 3 2 5 4" xfId="20523" xr:uid="{EFF50147-B251-4618-88AD-F2C158C00F4E}"/>
    <cellStyle name="Currency 2 2 4 3 2 6" xfId="8208" xr:uid="{0CC59E9D-AFCA-4F56-AD49-0B989EAF277E}"/>
    <cellStyle name="Currency 2 2 4 3 2 6 2" xfId="13416" xr:uid="{13F7997D-3A08-4B0E-A9B0-346EA8221CEF}"/>
    <cellStyle name="Currency 2 2 4 3 2 6 2 2" xfId="27467" xr:uid="{155620F5-54D0-4CD7-A2F3-A772F36E6FC7}"/>
    <cellStyle name="Currency 2 2 4 3 2 6 3" xfId="22259" xr:uid="{DD0A4860-8EF2-470A-A576-BE5F3FEFA63A}"/>
    <cellStyle name="Currency 2 2 4 3 2 7" xfId="7340" xr:uid="{9A17EE4D-CD69-4DAE-AED1-BD73295BB795}"/>
    <cellStyle name="Currency 2 2 4 3 2 7 2" xfId="21391" xr:uid="{549A95D0-635C-40DD-9A17-7FE1B457C763}"/>
    <cellStyle name="Currency 2 2 4 3 2 8" xfId="10812" xr:uid="{9DD4D293-9244-4BFA-BC3A-36A48DB0ED06}"/>
    <cellStyle name="Currency 2 2 4 3 2 8 2" xfId="24863" xr:uid="{4DD8A933-6F1F-42BD-98D0-55527FE6AB5C}"/>
    <cellStyle name="Currency 2 2 4 3 2 9" xfId="16134" xr:uid="{AA321CB4-E976-4335-A868-BDA9AFBF4011}"/>
    <cellStyle name="Currency 2 2 4 3 3" xfId="3178" xr:uid="{D67B4675-90D5-46DC-8D25-C69F593E6A31}"/>
    <cellStyle name="Currency 2 2 4 3 3 2" xfId="5265" xr:uid="{52F292E3-4821-4163-9A76-260B6AB801D9}"/>
    <cellStyle name="Currency 2 2 4 3 3 2 2" xfId="6133" xr:uid="{5FBF32E0-C9DF-453B-B3BE-0C37DA08BB25}"/>
    <cellStyle name="Currency 2 2 4 3 3 2 2 2" xfId="9605" xr:uid="{B847420A-AB1B-49AD-A8A7-95087A395893}"/>
    <cellStyle name="Currency 2 2 4 3 3 2 2 2 2" xfId="23656" xr:uid="{2E1196DD-525E-47F6-9262-55866D6F3BD5}"/>
    <cellStyle name="Currency 2 2 4 3 3 2 2 3" xfId="12209" xr:uid="{134CF0A2-85C8-4A9A-8772-832C0B500D09}"/>
    <cellStyle name="Currency 2 2 4 3 3 2 2 3 2" xfId="26260" xr:uid="{84432A60-9612-4901-BC9D-23C15A67899D}"/>
    <cellStyle name="Currency 2 2 4 3 3 2 2 4" xfId="20184" xr:uid="{EFEF8289-7F12-445E-95F3-D841E2790F72}"/>
    <cellStyle name="Currency 2 2 4 3 3 2 3" xfId="7001" xr:uid="{392CCDD9-F318-46DB-B36F-6E32113E9C53}"/>
    <cellStyle name="Currency 2 2 4 3 3 2 3 2" xfId="10473" xr:uid="{B8E2A86C-AE98-491D-85B8-90D2FB676CE4}"/>
    <cellStyle name="Currency 2 2 4 3 3 2 3 2 2" xfId="24524" xr:uid="{4B04D971-B09D-42A0-BB6F-4923EA8C87DB}"/>
    <cellStyle name="Currency 2 2 4 3 3 2 3 3" xfId="13077" xr:uid="{7C19CD14-D3EE-4D1F-A85E-C493E346D157}"/>
    <cellStyle name="Currency 2 2 4 3 3 2 3 3 2" xfId="27128" xr:uid="{6D312AD9-97ED-44FD-9F5E-D68E32F3E43E}"/>
    <cellStyle name="Currency 2 2 4 3 3 2 3 4" xfId="21052" xr:uid="{B6AB105F-E904-4A5A-8244-139757F487F6}"/>
    <cellStyle name="Currency 2 2 4 3 3 2 4" xfId="8737" xr:uid="{95760046-683D-4975-BDE7-CC0FD42E779E}"/>
    <cellStyle name="Currency 2 2 4 3 3 2 4 2" xfId="13945" xr:uid="{527165DB-E4A4-4CF0-84DF-55C5D9FF2F6C}"/>
    <cellStyle name="Currency 2 2 4 3 3 2 4 2 2" xfId="27996" xr:uid="{A0D6753C-1C66-4300-A42B-9C1E044DD6A5}"/>
    <cellStyle name="Currency 2 2 4 3 3 2 4 3" xfId="22788" xr:uid="{2FE5402B-F631-4030-8F30-C81E2CE8AAA0}"/>
    <cellStyle name="Currency 2 2 4 3 3 2 5" xfId="7869" xr:uid="{C21D4840-EC05-4495-B90E-60CCFFB6C3BB}"/>
    <cellStyle name="Currency 2 2 4 3 3 2 5 2" xfId="21920" xr:uid="{8A54C092-4405-43CF-B39C-F5D6150F6449}"/>
    <cellStyle name="Currency 2 2 4 3 3 2 6" xfId="11341" xr:uid="{BC629820-38D6-4572-8EA8-49752BCAD435}"/>
    <cellStyle name="Currency 2 2 4 3 3 2 6 2" xfId="25392" xr:uid="{BBE4A01D-3183-48E9-A06A-3D30DDE8904B}"/>
    <cellStyle name="Currency 2 2 4 3 3 2 7" xfId="19316" xr:uid="{A5DC2065-525B-4D58-A057-2E2ED6C175DA}"/>
    <cellStyle name="Currency 2 2 4 3 3 3" xfId="5699" xr:uid="{102F3B07-136F-4594-B9DA-69895E5EC9BE}"/>
    <cellStyle name="Currency 2 2 4 3 3 3 2" xfId="9171" xr:uid="{058C0937-F2A1-437E-9B79-1CBC90EB8CB6}"/>
    <cellStyle name="Currency 2 2 4 3 3 3 2 2" xfId="23222" xr:uid="{6F2E2395-4899-4A78-BBD8-78DB4EDC2ACC}"/>
    <cellStyle name="Currency 2 2 4 3 3 3 3" xfId="11775" xr:uid="{3AE79CAB-D52C-47B0-BE59-3CF6E623527A}"/>
    <cellStyle name="Currency 2 2 4 3 3 3 3 2" xfId="25826" xr:uid="{F0D1474A-22DB-476D-ACB4-CB55EDDA66CA}"/>
    <cellStyle name="Currency 2 2 4 3 3 3 4" xfId="19750" xr:uid="{C31E5322-68E1-492F-AA96-9C5C021753E4}"/>
    <cellStyle name="Currency 2 2 4 3 3 4" xfId="6567" xr:uid="{2489CD47-5D36-4790-9797-F807E02233AE}"/>
    <cellStyle name="Currency 2 2 4 3 3 4 2" xfId="10039" xr:uid="{EC0A9208-FF15-491F-B860-9C9CC523CC79}"/>
    <cellStyle name="Currency 2 2 4 3 3 4 2 2" xfId="24090" xr:uid="{5E95FFE5-7347-4C7B-80DA-AF9FAE73E36F}"/>
    <cellStyle name="Currency 2 2 4 3 3 4 3" xfId="12643" xr:uid="{A32E71F1-50EB-454A-B8BE-304A99E5F86B}"/>
    <cellStyle name="Currency 2 2 4 3 3 4 3 2" xfId="26694" xr:uid="{444B687D-2C06-44C5-9372-8122BA4AA210}"/>
    <cellStyle name="Currency 2 2 4 3 3 4 4" xfId="20618" xr:uid="{F967997C-CB90-4C63-B9A4-B7BA73C02CF6}"/>
    <cellStyle name="Currency 2 2 4 3 3 5" xfId="8303" xr:uid="{6205910B-72DF-430D-9F03-B9827170BCB9}"/>
    <cellStyle name="Currency 2 2 4 3 3 5 2" xfId="13511" xr:uid="{1AA3B497-B301-4C73-96C1-C8F05310BD63}"/>
    <cellStyle name="Currency 2 2 4 3 3 5 2 2" xfId="27562" xr:uid="{FB7D8F2D-23DD-4CE4-8D8F-B502FC8807F3}"/>
    <cellStyle name="Currency 2 2 4 3 3 5 3" xfId="22354" xr:uid="{D984D8BC-EF5C-4703-9052-45CD6FFFFF90}"/>
    <cellStyle name="Currency 2 2 4 3 3 6" xfId="7435" xr:uid="{C0D358B6-94AD-442D-9DCF-EB2C943DF06D}"/>
    <cellStyle name="Currency 2 2 4 3 3 6 2" xfId="21486" xr:uid="{A20B3B2D-B9A2-4CB7-953A-E0D7DD10E2F1}"/>
    <cellStyle name="Currency 2 2 4 3 3 7" xfId="10907" xr:uid="{03B4694A-553E-4993-BD09-BDDF7AF8D106}"/>
    <cellStyle name="Currency 2 2 4 3 3 7 2" xfId="24958" xr:uid="{D19CF936-533F-4467-8879-8350AE70B04B}"/>
    <cellStyle name="Currency 2 2 4 3 3 8" xfId="17230" xr:uid="{5357B188-CE6F-46B1-8732-BF29120587BE}"/>
    <cellStyle name="Currency 2 2 4 3 4" xfId="5073" xr:uid="{B995B277-B010-41DF-934E-BBAD71C93C1B}"/>
    <cellStyle name="Currency 2 2 4 3 4 2" xfId="5941" xr:uid="{F9E1FFB7-E513-49A7-97BE-7DF96D0FD14D}"/>
    <cellStyle name="Currency 2 2 4 3 4 2 2" xfId="9413" xr:uid="{C3F4865A-855D-402F-B214-3480059F292C}"/>
    <cellStyle name="Currency 2 2 4 3 4 2 2 2" xfId="23464" xr:uid="{4D83499C-EA58-4145-8849-4FA4A74D40C9}"/>
    <cellStyle name="Currency 2 2 4 3 4 2 3" xfId="12017" xr:uid="{39E4C878-958E-4D82-B405-8A57419499EC}"/>
    <cellStyle name="Currency 2 2 4 3 4 2 3 2" xfId="26068" xr:uid="{89CE1A97-60A6-4741-B167-9D66F4926AAB}"/>
    <cellStyle name="Currency 2 2 4 3 4 2 4" xfId="19992" xr:uid="{E17A57BF-93BF-48F5-979C-49C834A17080}"/>
    <cellStyle name="Currency 2 2 4 3 4 3" xfId="6809" xr:uid="{C422DE2F-837C-4E5F-8493-E1266B34C0C9}"/>
    <cellStyle name="Currency 2 2 4 3 4 3 2" xfId="10281" xr:uid="{5D462D85-3874-4A28-A228-2D8909DE1310}"/>
    <cellStyle name="Currency 2 2 4 3 4 3 2 2" xfId="24332" xr:uid="{85E23905-2FB8-4DA0-94EA-E27988D60E0E}"/>
    <cellStyle name="Currency 2 2 4 3 4 3 3" xfId="12885" xr:uid="{B5387706-6CA2-4977-B791-0A712C6A75F8}"/>
    <cellStyle name="Currency 2 2 4 3 4 3 3 2" xfId="26936" xr:uid="{0A46F700-0F2D-4651-8DBF-2C913453A138}"/>
    <cellStyle name="Currency 2 2 4 3 4 3 4" xfId="20860" xr:uid="{C2FB6FD0-BD74-42CB-B6B2-AC9DA83EDA62}"/>
    <cellStyle name="Currency 2 2 4 3 4 4" xfId="8545" xr:uid="{7AD8C974-E839-472D-A119-ED0578637853}"/>
    <cellStyle name="Currency 2 2 4 3 4 4 2" xfId="13753" xr:uid="{064B567D-4A46-41F7-A159-1452FDEF2261}"/>
    <cellStyle name="Currency 2 2 4 3 4 4 2 2" xfId="27804" xr:uid="{D2D69B7D-2A2F-4424-8747-ACA45C8C38CE}"/>
    <cellStyle name="Currency 2 2 4 3 4 4 3" xfId="22596" xr:uid="{76D87208-CBC2-4025-97FB-CE2D5F67C774}"/>
    <cellStyle name="Currency 2 2 4 3 4 5" xfId="7677" xr:uid="{4CF5A39E-CFCF-4B91-8755-942B8417124A}"/>
    <cellStyle name="Currency 2 2 4 3 4 5 2" xfId="21728" xr:uid="{556F20F4-624D-40D5-892A-595A018AC1B9}"/>
    <cellStyle name="Currency 2 2 4 3 4 6" xfId="11149" xr:uid="{86E39E00-7101-4946-B634-875C8053A9AB}"/>
    <cellStyle name="Currency 2 2 4 3 4 6 2" xfId="25200" xr:uid="{4ECC2B19-1F77-4FB5-9ABC-4AB0E175E720}"/>
    <cellStyle name="Currency 2 2 4 3 4 7" xfId="19124" xr:uid="{5776981D-ED94-490B-ACE4-F4D035822EA8}"/>
    <cellStyle name="Currency 2 2 4 3 5" xfId="5507" xr:uid="{020EEB59-4F3C-4E2B-A63C-780EF3F5DA26}"/>
    <cellStyle name="Currency 2 2 4 3 5 2" xfId="8979" xr:uid="{C9CFBBBE-CDA7-44E8-8B73-6465F0F604BA}"/>
    <cellStyle name="Currency 2 2 4 3 5 2 2" xfId="23030" xr:uid="{B1ACED1C-3B3E-47BF-AAF8-D2F940644517}"/>
    <cellStyle name="Currency 2 2 4 3 5 3" xfId="11583" xr:uid="{39A3B685-1140-4E9D-9B4F-7F87A42D7FA7}"/>
    <cellStyle name="Currency 2 2 4 3 5 3 2" xfId="25634" xr:uid="{478F3674-F425-49A9-AF7C-1EB75F7074E5}"/>
    <cellStyle name="Currency 2 2 4 3 5 4" xfId="19558" xr:uid="{54E0DB20-AEC1-4652-A5E9-D6260EA9BE20}"/>
    <cellStyle name="Currency 2 2 4 3 6" xfId="6375" xr:uid="{80DE5D44-51A6-4075-9679-62781893A7A8}"/>
    <cellStyle name="Currency 2 2 4 3 6 2" xfId="9847" xr:uid="{E9F3AF4A-3B43-4793-85A9-82DA864678C8}"/>
    <cellStyle name="Currency 2 2 4 3 6 2 2" xfId="23898" xr:uid="{BFFE7C9E-C5C4-474E-A7BC-380D527096BF}"/>
    <cellStyle name="Currency 2 2 4 3 6 3" xfId="12451" xr:uid="{B67A9C2C-ABAA-4D3C-AE6D-0D34C8FE9AB4}"/>
    <cellStyle name="Currency 2 2 4 3 6 3 2" xfId="26502" xr:uid="{10CF60BD-B2AD-4EDF-8EE5-3CD11B499AFB}"/>
    <cellStyle name="Currency 2 2 4 3 6 4" xfId="20426" xr:uid="{B2A1F4DB-E0E8-4791-9DF6-D7AD389F351D}"/>
    <cellStyle name="Currency 2 2 4 3 7" xfId="8111" xr:uid="{C74775EA-58B5-43EA-86AA-7EACC420E59E}"/>
    <cellStyle name="Currency 2 2 4 3 7 2" xfId="13319" xr:uid="{EE3AF784-8DAB-4134-8270-F31E708DF49C}"/>
    <cellStyle name="Currency 2 2 4 3 7 2 2" xfId="27370" xr:uid="{15A9C69A-6086-4938-AA3A-6939F2E80E4A}"/>
    <cellStyle name="Currency 2 2 4 3 7 3" xfId="22162" xr:uid="{EB6F2475-C964-4191-A252-FB129BC4837D}"/>
    <cellStyle name="Currency 2 2 4 3 8" xfId="7243" xr:uid="{324F7E1F-D43D-4847-A55D-2AEB976D9AF1}"/>
    <cellStyle name="Currency 2 2 4 3 8 2" xfId="21294" xr:uid="{4843BFA5-4DB9-4EDB-9A05-A6FACF41E26D}"/>
    <cellStyle name="Currency 2 2 4 3 9" xfId="10715" xr:uid="{7A321A68-FB2B-4989-9EE1-8037E24F3786}"/>
    <cellStyle name="Currency 2 2 4 3 9 2" xfId="24766" xr:uid="{8F2553EE-3830-4845-AB30-89D6E50AA41D}"/>
    <cellStyle name="Currency 2 2 4 4" xfId="1566" xr:uid="{ABE0166F-B8E7-469A-ADA7-55973D2162AE}"/>
    <cellStyle name="Currency 2 2 4 4 2" xfId="3756" xr:uid="{8FBDD032-9B74-43BF-B225-C27DBD760784}"/>
    <cellStyle name="Currency 2 2 4 4 2 2" xfId="5316" xr:uid="{2CD533EB-B4C0-4852-BBDD-50D3FFAC400F}"/>
    <cellStyle name="Currency 2 2 4 4 2 2 2" xfId="6184" xr:uid="{06604EE2-9322-435A-85CC-048C638F62F6}"/>
    <cellStyle name="Currency 2 2 4 4 2 2 2 2" xfId="9656" xr:uid="{E96131BF-7878-4B68-9CED-7E1EA5FBF4A1}"/>
    <cellStyle name="Currency 2 2 4 4 2 2 2 2 2" xfId="23707" xr:uid="{C9BCBAEC-6CFF-4DE5-B256-EA49669804DF}"/>
    <cellStyle name="Currency 2 2 4 4 2 2 2 3" xfId="12260" xr:uid="{1D6A62D4-C044-42FC-911C-492DFF6A7208}"/>
    <cellStyle name="Currency 2 2 4 4 2 2 2 3 2" xfId="26311" xr:uid="{4AE26B32-F865-4351-ACC2-2F8D6FE01CF2}"/>
    <cellStyle name="Currency 2 2 4 4 2 2 2 4" xfId="20235" xr:uid="{A4FDE5E5-A381-4D16-8759-BC9D1294786D}"/>
    <cellStyle name="Currency 2 2 4 4 2 2 3" xfId="7052" xr:uid="{24EAA24F-F762-4E70-943C-55E4EA25ED51}"/>
    <cellStyle name="Currency 2 2 4 4 2 2 3 2" xfId="10524" xr:uid="{34AD1866-A356-4E9C-8D23-1C17B31C925E}"/>
    <cellStyle name="Currency 2 2 4 4 2 2 3 2 2" xfId="24575" xr:uid="{455C28E7-987C-4D01-B7BD-7189AD1D067F}"/>
    <cellStyle name="Currency 2 2 4 4 2 2 3 3" xfId="13128" xr:uid="{7C5E5B41-CE32-41EC-9237-714826B28663}"/>
    <cellStyle name="Currency 2 2 4 4 2 2 3 3 2" xfId="27179" xr:uid="{F3F80AC3-1E52-42C0-BC00-5779CD30248E}"/>
    <cellStyle name="Currency 2 2 4 4 2 2 3 4" xfId="21103" xr:uid="{C89329A7-221C-43BF-A2BC-24F92A228805}"/>
    <cellStyle name="Currency 2 2 4 4 2 2 4" xfId="8788" xr:uid="{F03E2E72-FB23-449A-9562-DDD3F520A4C9}"/>
    <cellStyle name="Currency 2 2 4 4 2 2 4 2" xfId="13996" xr:uid="{E6B3010E-B295-4447-9B79-E6BB0B2064DC}"/>
    <cellStyle name="Currency 2 2 4 4 2 2 4 2 2" xfId="28047" xr:uid="{9D816F6D-CE36-443B-BCA8-D5AE0006C886}"/>
    <cellStyle name="Currency 2 2 4 4 2 2 4 3" xfId="22839" xr:uid="{07FA5748-E308-478B-B638-358863FC8826}"/>
    <cellStyle name="Currency 2 2 4 4 2 2 5" xfId="7920" xr:uid="{58DCE6FE-1F88-432B-A1E5-C8F34FC726AD}"/>
    <cellStyle name="Currency 2 2 4 4 2 2 5 2" xfId="21971" xr:uid="{12A5C26B-81D3-490E-AF1B-5E97C0555186}"/>
    <cellStyle name="Currency 2 2 4 4 2 2 6" xfId="11392" xr:uid="{B23B58BD-2339-490C-9B7D-D7ADDEA653F1}"/>
    <cellStyle name="Currency 2 2 4 4 2 2 6 2" xfId="25443" xr:uid="{A00A3E92-49EB-487B-9D32-0D4782284D7B}"/>
    <cellStyle name="Currency 2 2 4 4 2 2 7" xfId="19367" xr:uid="{91B9B0BF-5026-4D5F-B2DA-122E1CAB1559}"/>
    <cellStyle name="Currency 2 2 4 4 2 3" xfId="5750" xr:uid="{9F82C22E-1B3D-416D-AB8B-615E1A38B98C}"/>
    <cellStyle name="Currency 2 2 4 4 2 3 2" xfId="9222" xr:uid="{9558EA12-3E27-48B6-A61A-6F751C3DECCE}"/>
    <cellStyle name="Currency 2 2 4 4 2 3 2 2" xfId="23273" xr:uid="{9B3BD7F0-01DB-40EF-B8EA-1C891EEA79F8}"/>
    <cellStyle name="Currency 2 2 4 4 2 3 3" xfId="11826" xr:uid="{B9642555-CA4F-484A-91BF-721AED699227}"/>
    <cellStyle name="Currency 2 2 4 4 2 3 3 2" xfId="25877" xr:uid="{46F8FA18-E24A-4A6A-9D9B-32555E63FE1E}"/>
    <cellStyle name="Currency 2 2 4 4 2 3 4" xfId="19801" xr:uid="{BB00B513-249A-4380-9F0C-04AB8F1423CD}"/>
    <cellStyle name="Currency 2 2 4 4 2 4" xfId="6618" xr:uid="{75C7F270-42DF-4EB3-B1EE-002E3D90824C}"/>
    <cellStyle name="Currency 2 2 4 4 2 4 2" xfId="10090" xr:uid="{FD43EFEB-2D39-4F55-95CE-17F2EAE3ECCE}"/>
    <cellStyle name="Currency 2 2 4 4 2 4 2 2" xfId="24141" xr:uid="{A300247A-E315-4DF2-9EB3-AF030A8763FD}"/>
    <cellStyle name="Currency 2 2 4 4 2 4 3" xfId="12694" xr:uid="{BD3F58C8-A5D8-47C7-89EA-E901A20827C9}"/>
    <cellStyle name="Currency 2 2 4 4 2 4 3 2" xfId="26745" xr:uid="{2EE756CC-1942-4E92-82F6-B79035C895C7}"/>
    <cellStyle name="Currency 2 2 4 4 2 4 4" xfId="20669" xr:uid="{5F1FDA7A-B98F-470D-AF99-49B9553CDD2D}"/>
    <cellStyle name="Currency 2 2 4 4 2 5" xfId="8354" xr:uid="{8D8757AE-6323-44A6-88E5-BB4A959DB78B}"/>
    <cellStyle name="Currency 2 2 4 4 2 5 2" xfId="13562" xr:uid="{DE908457-AE65-4778-B7AA-43DB95A06538}"/>
    <cellStyle name="Currency 2 2 4 4 2 5 2 2" xfId="27613" xr:uid="{8E3D9807-6B0D-4B06-84CB-B7FF1E0A5F09}"/>
    <cellStyle name="Currency 2 2 4 4 2 5 3" xfId="22405" xr:uid="{8F4667ED-ED00-4570-9F6E-9CCA5DD12679}"/>
    <cellStyle name="Currency 2 2 4 4 2 6" xfId="7486" xr:uid="{237C5937-FFB6-4102-9218-C2261B280B07}"/>
    <cellStyle name="Currency 2 2 4 4 2 6 2" xfId="21537" xr:uid="{305646B9-83C1-4A52-8908-E5A70166EBCB}"/>
    <cellStyle name="Currency 2 2 4 4 2 7" xfId="10958" xr:uid="{727D8AA0-DB85-47B2-8639-6C329B8BF87B}"/>
    <cellStyle name="Currency 2 2 4 4 2 7 2" xfId="25009" xr:uid="{84F6E54A-706B-4126-8601-2A94ADE2C656}"/>
    <cellStyle name="Currency 2 2 4 4 2 8" xfId="17809" xr:uid="{1D042DDB-3FE0-44CE-80B3-2111A9418C0F}"/>
    <cellStyle name="Currency 2 2 4 4 3" xfId="5125" xr:uid="{9493DEBB-7EF1-4759-9A24-439A6A66BAD0}"/>
    <cellStyle name="Currency 2 2 4 4 3 2" xfId="5993" xr:uid="{A6325B4F-370B-4268-A6FD-71AC103208E1}"/>
    <cellStyle name="Currency 2 2 4 4 3 2 2" xfId="9465" xr:uid="{5B68F079-FB32-4E02-9AB2-7DD223EEE2B8}"/>
    <cellStyle name="Currency 2 2 4 4 3 2 2 2" xfId="23516" xr:uid="{5F9C2284-0E29-49F7-ACF6-46E6EBA51743}"/>
    <cellStyle name="Currency 2 2 4 4 3 2 3" xfId="12069" xr:uid="{ECDE21BD-3D91-426E-A559-4A94FD8733D5}"/>
    <cellStyle name="Currency 2 2 4 4 3 2 3 2" xfId="26120" xr:uid="{68659989-D775-47A3-99E8-EA3FADE1BBF4}"/>
    <cellStyle name="Currency 2 2 4 4 3 2 4" xfId="20044" xr:uid="{03B07E4E-B894-47B4-B96B-D1A8653365DD}"/>
    <cellStyle name="Currency 2 2 4 4 3 3" xfId="6861" xr:uid="{A36E3706-B562-40B9-A6E3-87677C933EE1}"/>
    <cellStyle name="Currency 2 2 4 4 3 3 2" xfId="10333" xr:uid="{7B7833DA-9A53-47D1-BF7E-CEAAE07DA010}"/>
    <cellStyle name="Currency 2 2 4 4 3 3 2 2" xfId="24384" xr:uid="{5F876606-A487-4E01-BB6A-ACAD9B0D2768}"/>
    <cellStyle name="Currency 2 2 4 4 3 3 3" xfId="12937" xr:uid="{FA1A0F6A-DF0D-4479-AF12-07A23691479B}"/>
    <cellStyle name="Currency 2 2 4 4 3 3 3 2" xfId="26988" xr:uid="{1B4C687B-D55F-4DA6-83C6-9ABB776C0A8A}"/>
    <cellStyle name="Currency 2 2 4 4 3 3 4" xfId="20912" xr:uid="{91F8DE2C-E8A4-4E08-8058-3CA35DAB2814}"/>
    <cellStyle name="Currency 2 2 4 4 3 4" xfId="8597" xr:uid="{4EFFBE79-E788-4BBD-9073-667C9EB8A0A3}"/>
    <cellStyle name="Currency 2 2 4 4 3 4 2" xfId="13805" xr:uid="{37C13E60-24CF-4395-9C86-13DCE2AF989F}"/>
    <cellStyle name="Currency 2 2 4 4 3 4 2 2" xfId="27856" xr:uid="{B89FDDDA-F2A5-4269-A323-BD4656385D54}"/>
    <cellStyle name="Currency 2 2 4 4 3 4 3" xfId="22648" xr:uid="{6C0A5584-68DF-44E2-8108-6C05E124BBB8}"/>
    <cellStyle name="Currency 2 2 4 4 3 5" xfId="7729" xr:uid="{95263E6E-C0A7-4E46-A8C3-6163F913A09A}"/>
    <cellStyle name="Currency 2 2 4 4 3 5 2" xfId="21780" xr:uid="{907C30E3-5E75-42D7-81F4-661EEC678678}"/>
    <cellStyle name="Currency 2 2 4 4 3 6" xfId="11201" xr:uid="{FE984513-1C5F-4F4A-8FB7-701EA41A5A9C}"/>
    <cellStyle name="Currency 2 2 4 4 3 6 2" xfId="25252" xr:uid="{8A29F331-89A6-4C9C-9380-FC3521A18C02}"/>
    <cellStyle name="Currency 2 2 4 4 3 7" xfId="19176" xr:uid="{35457178-3FF7-4E3D-8D43-A8CE2FBFCF26}"/>
    <cellStyle name="Currency 2 2 4 4 4" xfId="5559" xr:uid="{AFFA5A7F-8359-4A31-864B-9DAD1405BDFB}"/>
    <cellStyle name="Currency 2 2 4 4 4 2" xfId="9031" xr:uid="{57C9298B-12F8-4B01-B08F-937FF968E647}"/>
    <cellStyle name="Currency 2 2 4 4 4 2 2" xfId="23082" xr:uid="{50D574F9-A2BB-4EE5-B2CD-D1C2EDA6E852}"/>
    <cellStyle name="Currency 2 2 4 4 4 3" xfId="11635" xr:uid="{4064AAB1-3290-4197-B5E1-38077E9DFBA5}"/>
    <cellStyle name="Currency 2 2 4 4 4 3 2" xfId="25686" xr:uid="{6822B904-C400-48D1-B22A-75B528122EFA}"/>
    <cellStyle name="Currency 2 2 4 4 4 4" xfId="19610" xr:uid="{38966084-F0B4-4658-9CEF-5C0B474CBB57}"/>
    <cellStyle name="Currency 2 2 4 4 5" xfId="6427" xr:uid="{FEE62A06-ADD0-48D5-99FE-2D186DB17DE2}"/>
    <cellStyle name="Currency 2 2 4 4 5 2" xfId="9899" xr:uid="{8B2998B6-D19F-4CB7-9A38-CD1AE8CC6F44}"/>
    <cellStyle name="Currency 2 2 4 4 5 2 2" xfId="23950" xr:uid="{FA4BCFEC-7025-4838-ADAC-EBB3B32C8E88}"/>
    <cellStyle name="Currency 2 2 4 4 5 3" xfId="12503" xr:uid="{6C5343B3-9808-46F7-BD09-27595275031C}"/>
    <cellStyle name="Currency 2 2 4 4 5 3 2" xfId="26554" xr:uid="{FE0655DF-CE69-41A3-8CCA-6C903843C07E}"/>
    <cellStyle name="Currency 2 2 4 4 5 4" xfId="20478" xr:uid="{E45B2FEC-22C1-41D6-B6D8-0EFDD13263C7}"/>
    <cellStyle name="Currency 2 2 4 4 6" xfId="8163" xr:uid="{8BCDD62C-ED1E-4148-98E0-7FEE94BB8C6C}"/>
    <cellStyle name="Currency 2 2 4 4 6 2" xfId="13371" xr:uid="{26AB22FE-BFB0-4474-B666-0DC4F8F5C438}"/>
    <cellStyle name="Currency 2 2 4 4 6 2 2" xfId="27422" xr:uid="{786DDDDA-E5CC-4B6E-A323-A86F3D4593E2}"/>
    <cellStyle name="Currency 2 2 4 4 6 3" xfId="22214" xr:uid="{1C5D3976-9B3F-43B8-A55E-4BB59CE3C0B3}"/>
    <cellStyle name="Currency 2 2 4 4 7" xfId="7295" xr:uid="{1857586E-9D16-4CC5-9FCB-A3B3B4B1C931}"/>
    <cellStyle name="Currency 2 2 4 4 7 2" xfId="21346" xr:uid="{98BC5A84-5E85-46C6-84F4-8A3897895077}"/>
    <cellStyle name="Currency 2 2 4 4 8" xfId="10767" xr:uid="{6A33D6A9-5338-4CBE-9812-00CA904FD8A3}"/>
    <cellStyle name="Currency 2 2 4 4 8 2" xfId="24818" xr:uid="{17423009-B567-43B7-860C-C29EBAC99E60}"/>
    <cellStyle name="Currency 2 2 4 4 9" xfId="15615" xr:uid="{ABD3012C-4E51-4241-AEEB-183F95B76668}"/>
    <cellStyle name="Currency 2 2 4 5" xfId="2485" xr:uid="{0BCC07DB-7C1F-4BE4-9113-5744F6C4E2A2}"/>
    <cellStyle name="Currency 2 2 4 5 2" xfId="5205" xr:uid="{11BA75D6-CC52-4DE0-9573-413A1E933344}"/>
    <cellStyle name="Currency 2 2 4 5 2 2" xfId="6073" xr:uid="{4B38A180-B1B4-47A4-A51F-B85CDA4D320C}"/>
    <cellStyle name="Currency 2 2 4 5 2 2 2" xfId="9545" xr:uid="{3CF2EAF7-386D-4B2B-BF8D-A695428C7C66}"/>
    <cellStyle name="Currency 2 2 4 5 2 2 2 2" xfId="23596" xr:uid="{A45B2C35-A6D7-4655-9BC8-928111B634C1}"/>
    <cellStyle name="Currency 2 2 4 5 2 2 3" xfId="12149" xr:uid="{45D62059-5051-4C36-8512-78693213C847}"/>
    <cellStyle name="Currency 2 2 4 5 2 2 3 2" xfId="26200" xr:uid="{E2386FFD-D196-4C91-AB98-42CC83CD7999}"/>
    <cellStyle name="Currency 2 2 4 5 2 2 4" xfId="20124" xr:uid="{009FCB51-DD0A-4136-9907-4E72CF431CF5}"/>
    <cellStyle name="Currency 2 2 4 5 2 3" xfId="6941" xr:uid="{1FA5E5B1-6D38-48A0-ABA9-E4107FBD5172}"/>
    <cellStyle name="Currency 2 2 4 5 2 3 2" xfId="10413" xr:uid="{171E999A-F7ED-4794-AB44-FD9F8ABAC8F8}"/>
    <cellStyle name="Currency 2 2 4 5 2 3 2 2" xfId="24464" xr:uid="{87EB783E-ED18-4DF5-BA97-AA21A09DE04C}"/>
    <cellStyle name="Currency 2 2 4 5 2 3 3" xfId="13017" xr:uid="{EF967805-F41D-4F01-B2F9-53A0EBDC168E}"/>
    <cellStyle name="Currency 2 2 4 5 2 3 3 2" xfId="27068" xr:uid="{FC08EA94-A798-43AA-BD50-109698F22AD2}"/>
    <cellStyle name="Currency 2 2 4 5 2 3 4" xfId="20992" xr:uid="{3F43DEB3-A95B-4AB9-963F-869D4E0227A3}"/>
    <cellStyle name="Currency 2 2 4 5 2 4" xfId="8677" xr:uid="{07EB4720-E2DC-4283-A111-B76E44D9A1CF}"/>
    <cellStyle name="Currency 2 2 4 5 2 4 2" xfId="13885" xr:uid="{170271F6-DF68-4BAD-8177-C2F94230F2F5}"/>
    <cellStyle name="Currency 2 2 4 5 2 4 2 2" xfId="27936" xr:uid="{612CAFFE-E8B0-4E23-9D20-4F8B40274DB8}"/>
    <cellStyle name="Currency 2 2 4 5 2 4 3" xfId="22728" xr:uid="{D0FAA1FB-CD8D-4DEA-887B-0249766797D5}"/>
    <cellStyle name="Currency 2 2 4 5 2 5" xfId="7809" xr:uid="{364B6F9D-4C46-42C2-BFC4-7FDA766DBB00}"/>
    <cellStyle name="Currency 2 2 4 5 2 5 2" xfId="21860" xr:uid="{0FD2F7A3-6C9C-4102-AF23-3AB51F9C6C80}"/>
    <cellStyle name="Currency 2 2 4 5 2 6" xfId="11281" xr:uid="{55C32BAF-F2B2-49B9-A18B-758A32C52F7A}"/>
    <cellStyle name="Currency 2 2 4 5 2 6 2" xfId="25332" xr:uid="{0BE548F3-0A63-43D0-9D3E-0EA7C7267E22}"/>
    <cellStyle name="Currency 2 2 4 5 2 7" xfId="19256" xr:uid="{9460BCAB-AE1A-4F66-92C9-74A3D414FEDB}"/>
    <cellStyle name="Currency 2 2 4 5 3" xfId="5639" xr:uid="{E0C83707-2FF6-42AB-AD72-DC8A87313B86}"/>
    <cellStyle name="Currency 2 2 4 5 3 2" xfId="9111" xr:uid="{D60EC24F-CB8B-4065-9DA8-08753FFB453D}"/>
    <cellStyle name="Currency 2 2 4 5 3 2 2" xfId="23162" xr:uid="{0FA71499-BB14-4A06-B760-6BBEC1BCF095}"/>
    <cellStyle name="Currency 2 2 4 5 3 3" xfId="11715" xr:uid="{4390D3F3-A5FB-49D6-B755-6FD2AE92A25A}"/>
    <cellStyle name="Currency 2 2 4 5 3 3 2" xfId="25766" xr:uid="{674858B4-61DB-4EE3-87F9-241B955E7861}"/>
    <cellStyle name="Currency 2 2 4 5 3 4" xfId="19690" xr:uid="{FCEDCC1E-B594-4A33-9E84-A81E38D922F0}"/>
    <cellStyle name="Currency 2 2 4 5 4" xfId="6507" xr:uid="{2F805CBF-3935-4A17-BA22-DFE893B7218C}"/>
    <cellStyle name="Currency 2 2 4 5 4 2" xfId="9979" xr:uid="{1CE4E7EA-6CA3-4856-88D1-6579574DA244}"/>
    <cellStyle name="Currency 2 2 4 5 4 2 2" xfId="24030" xr:uid="{7CB56A52-E394-43D9-9F02-586BCD1CF8D8}"/>
    <cellStyle name="Currency 2 2 4 5 4 3" xfId="12583" xr:uid="{C9768088-B7A5-460D-99CB-6CF83685A433}"/>
    <cellStyle name="Currency 2 2 4 5 4 3 2" xfId="26634" xr:uid="{891D1724-A463-4C93-811A-98DF071D992E}"/>
    <cellStyle name="Currency 2 2 4 5 4 4" xfId="20558" xr:uid="{DE3A5544-E8DE-4D46-8CCC-C3A75C734FBB}"/>
    <cellStyle name="Currency 2 2 4 5 5" xfId="8243" xr:uid="{5EC6DA5E-3520-43C4-BCA3-E39DC3A4BC53}"/>
    <cellStyle name="Currency 2 2 4 5 5 2" xfId="13451" xr:uid="{52879ADF-C11E-41D4-B621-F2B1A26ECE13}"/>
    <cellStyle name="Currency 2 2 4 5 5 2 2" xfId="27502" xr:uid="{7776144C-C517-4F6A-9690-20F48493554E}"/>
    <cellStyle name="Currency 2 2 4 5 5 3" xfId="22294" xr:uid="{5EAF6DBE-BF11-4C17-A9F3-7A06CC04EFAC}"/>
    <cellStyle name="Currency 2 2 4 5 6" xfId="7375" xr:uid="{63A48991-4832-4298-BE16-C64AC4959860}"/>
    <cellStyle name="Currency 2 2 4 5 6 2" xfId="21426" xr:uid="{BA9E9C8B-34A4-4D13-8A25-BB935CBC9E93}"/>
    <cellStyle name="Currency 2 2 4 5 7" xfId="10847" xr:uid="{174088B7-219D-41CF-9B62-9959766A34B7}"/>
    <cellStyle name="Currency 2 2 4 5 7 2" xfId="24898" xr:uid="{5348B622-719D-4DD9-827F-B52AEE0E0430}"/>
    <cellStyle name="Currency 2 2 4 5 8" xfId="16536" xr:uid="{066B0293-48DF-4562-B749-BD771F3D6287}"/>
    <cellStyle name="Currency 2 2 4 6" xfId="4851" xr:uid="{ED8D790F-0E1F-47B5-933F-4BA6DF05979B}"/>
    <cellStyle name="Currency 2 2 4 6 2" xfId="5411" xr:uid="{410123AC-0F5E-4374-AA12-2B53B949F7D9}"/>
    <cellStyle name="Currency 2 2 4 6 2 2" xfId="6279" xr:uid="{088632C1-F10E-4326-8EF8-658733863E46}"/>
    <cellStyle name="Currency 2 2 4 6 2 2 2" xfId="9751" xr:uid="{3B2872F3-921B-4579-90B4-52EF3B4BEAE7}"/>
    <cellStyle name="Currency 2 2 4 6 2 2 2 2" xfId="23802" xr:uid="{A6D13F56-EE29-4D95-8AFC-1D24DF59DC1A}"/>
    <cellStyle name="Currency 2 2 4 6 2 2 3" xfId="12355" xr:uid="{EC5C3D5E-1A31-460B-8894-5301A1857FFE}"/>
    <cellStyle name="Currency 2 2 4 6 2 2 3 2" xfId="26406" xr:uid="{8CE3B8C4-1C9E-4994-88DB-4A0200EFE537}"/>
    <cellStyle name="Currency 2 2 4 6 2 2 4" xfId="20330" xr:uid="{ECD49C1C-028E-4AAE-9D1B-0DD3A2E6AFBA}"/>
    <cellStyle name="Currency 2 2 4 6 2 3" xfId="7147" xr:uid="{AD41872D-EC36-4140-B036-B0A3661E7093}"/>
    <cellStyle name="Currency 2 2 4 6 2 3 2" xfId="10619" xr:uid="{350BDB59-AEE0-402C-9191-7AB313883205}"/>
    <cellStyle name="Currency 2 2 4 6 2 3 2 2" xfId="24670" xr:uid="{0F44DB15-4809-4DAF-A18D-84256A1C543E}"/>
    <cellStyle name="Currency 2 2 4 6 2 3 3" xfId="13223" xr:uid="{9ECA29E9-90A9-49B7-A243-311D7B929E59}"/>
    <cellStyle name="Currency 2 2 4 6 2 3 3 2" xfId="27274" xr:uid="{EA925A24-2D62-4628-B438-294AA27C5AB8}"/>
    <cellStyle name="Currency 2 2 4 6 2 3 4" xfId="21198" xr:uid="{2CB1E630-440A-48C0-AB20-94261969123B}"/>
    <cellStyle name="Currency 2 2 4 6 2 4" xfId="8883" xr:uid="{D836EBC2-4C2C-426D-BB55-7FCE320DAD4C}"/>
    <cellStyle name="Currency 2 2 4 6 2 4 2" xfId="14091" xr:uid="{9E4960CC-DC95-43EF-A4D1-2BF23ED91BA3}"/>
    <cellStyle name="Currency 2 2 4 6 2 4 2 2" xfId="28142" xr:uid="{10ADCCD6-38B2-4D14-96E3-8F170E436045}"/>
    <cellStyle name="Currency 2 2 4 6 2 4 3" xfId="22934" xr:uid="{93A7FA04-5D4E-4789-BA72-00FF9F535E01}"/>
    <cellStyle name="Currency 2 2 4 6 2 5" xfId="8015" xr:uid="{557B49A4-7542-45C1-91FD-7AE87C7908F2}"/>
    <cellStyle name="Currency 2 2 4 6 2 5 2" xfId="22066" xr:uid="{12E7059C-F149-4C8B-ADC8-3F6597DE9B87}"/>
    <cellStyle name="Currency 2 2 4 6 2 6" xfId="11487" xr:uid="{E470494C-E345-4ECA-A0F5-2461C913E848}"/>
    <cellStyle name="Currency 2 2 4 6 2 6 2" xfId="25538" xr:uid="{7F278A38-7776-4A71-9D9B-5CBAF9C661B3}"/>
    <cellStyle name="Currency 2 2 4 6 2 7" xfId="19462" xr:uid="{CA989EAC-0D37-4C44-8AD5-96CD3B7F0814}"/>
    <cellStyle name="Currency 2 2 4 6 3" xfId="5845" xr:uid="{05548E03-B871-41E6-AE79-D2DAD84AA8DA}"/>
    <cellStyle name="Currency 2 2 4 6 3 2" xfId="9317" xr:uid="{C2C23B1E-E469-4E2A-A923-EE75F4B3B3BB}"/>
    <cellStyle name="Currency 2 2 4 6 3 2 2" xfId="23368" xr:uid="{85983BF6-6C3B-48D6-9516-3CBB53888407}"/>
    <cellStyle name="Currency 2 2 4 6 3 3" xfId="11921" xr:uid="{981F9547-8D4E-4D49-9B3E-633836CDC553}"/>
    <cellStyle name="Currency 2 2 4 6 3 3 2" xfId="25972" xr:uid="{224618F4-DF0B-47B5-966D-D15C4509BA0C}"/>
    <cellStyle name="Currency 2 2 4 6 3 4" xfId="19896" xr:uid="{2E95FB1C-9255-4197-8E87-6350135043E8}"/>
    <cellStyle name="Currency 2 2 4 6 4" xfId="6713" xr:uid="{51F9DDAD-50CE-47E6-B371-FC33F2CA0BCD}"/>
    <cellStyle name="Currency 2 2 4 6 4 2" xfId="10185" xr:uid="{B9C963C3-1D2B-49A5-A0AE-23715315FD4B}"/>
    <cellStyle name="Currency 2 2 4 6 4 2 2" xfId="24236" xr:uid="{3AD141AE-2054-4DE7-9437-8AB6E21ED9CB}"/>
    <cellStyle name="Currency 2 2 4 6 4 3" xfId="12789" xr:uid="{B49C1CB5-D739-4B36-B21E-770FD90F8C1C}"/>
    <cellStyle name="Currency 2 2 4 6 4 3 2" xfId="26840" xr:uid="{8D9E9409-2F65-4F8D-9AF1-5DF12F86A4B7}"/>
    <cellStyle name="Currency 2 2 4 6 4 4" xfId="20764" xr:uid="{C5EDA7EC-C684-46E3-8E93-380DF3C00339}"/>
    <cellStyle name="Currency 2 2 4 6 5" xfId="8449" xr:uid="{193CD1EB-66F4-4294-A905-941F89B4B81C}"/>
    <cellStyle name="Currency 2 2 4 6 5 2" xfId="13657" xr:uid="{3A5D1347-CD0F-47D9-B5FE-2D36AACE615C}"/>
    <cellStyle name="Currency 2 2 4 6 5 2 2" xfId="27708" xr:uid="{21EA8FFF-6891-4F35-B402-97727D5F6FF5}"/>
    <cellStyle name="Currency 2 2 4 6 5 3" xfId="22500" xr:uid="{07DF11DC-9E81-4CC8-B122-C3413B8713B9}"/>
    <cellStyle name="Currency 2 2 4 6 6" xfId="7581" xr:uid="{D51F0B7E-2729-43D2-ACBD-CC2F3EE1EAEE}"/>
    <cellStyle name="Currency 2 2 4 6 6 2" xfId="21632" xr:uid="{7BBCE1AD-6710-409A-B920-3B6820707F2D}"/>
    <cellStyle name="Currency 2 2 4 6 7" xfId="11053" xr:uid="{786F7D05-B583-47D6-A45E-4EC607EA18FC}"/>
    <cellStyle name="Currency 2 2 4 6 7 2" xfId="25104" xr:uid="{3FEC3AD8-1CE5-4486-AAF4-C5058553A526}"/>
    <cellStyle name="Currency 2 2 4 6 8" xfId="18903" xr:uid="{00972D5E-ACFE-4D8F-91FF-7DEE20BDDEB4}"/>
    <cellStyle name="Currency 2 2 4 7" xfId="5011" xr:uid="{97D37722-1EF3-4DDE-A5CE-CBFC65F7E6BF}"/>
    <cellStyle name="Currency 2 2 4 7 2" xfId="5879" xr:uid="{D2B9ED43-35F0-4CDC-972A-02D589580669}"/>
    <cellStyle name="Currency 2 2 4 7 2 2" xfId="9351" xr:uid="{1840A26A-6980-4BCB-88DF-3625DA70E279}"/>
    <cellStyle name="Currency 2 2 4 7 2 2 2" xfId="23402" xr:uid="{540EBE7D-D139-48DD-A4D5-C3964AACCC9B}"/>
    <cellStyle name="Currency 2 2 4 7 2 3" xfId="11955" xr:uid="{3C94B117-A4C7-4D22-8117-3CF37F3F16D6}"/>
    <cellStyle name="Currency 2 2 4 7 2 3 2" xfId="26006" xr:uid="{100A3F52-18A5-45C1-B8B7-7BB57B3220DB}"/>
    <cellStyle name="Currency 2 2 4 7 2 4" xfId="19930" xr:uid="{BC890951-951A-4942-89A6-85D6A64E34DA}"/>
    <cellStyle name="Currency 2 2 4 7 3" xfId="6747" xr:uid="{D222711C-1756-4853-9737-9D6ED4DFB8DB}"/>
    <cellStyle name="Currency 2 2 4 7 3 2" xfId="10219" xr:uid="{6D40B5BA-A4B9-4058-B758-5C99E7B20D04}"/>
    <cellStyle name="Currency 2 2 4 7 3 2 2" xfId="24270" xr:uid="{A4199B5A-7A87-4D08-95FD-A648D964C136}"/>
    <cellStyle name="Currency 2 2 4 7 3 3" xfId="12823" xr:uid="{C84FCD4F-E4DB-45B5-A299-9B2B014EA614}"/>
    <cellStyle name="Currency 2 2 4 7 3 3 2" xfId="26874" xr:uid="{E895DEA0-9FFB-4D61-AF24-25ED2141D114}"/>
    <cellStyle name="Currency 2 2 4 7 3 4" xfId="20798" xr:uid="{0E04B6B6-DDAF-4FCF-AB16-0E1A9BFBB0A2}"/>
    <cellStyle name="Currency 2 2 4 7 4" xfId="8483" xr:uid="{B0F1730C-CAB4-4720-8047-55D9117CBA52}"/>
    <cellStyle name="Currency 2 2 4 7 4 2" xfId="13691" xr:uid="{67F30B50-8E03-4267-909C-0B690D3CB886}"/>
    <cellStyle name="Currency 2 2 4 7 4 2 2" xfId="27742" xr:uid="{74DEBEBE-1756-488A-959D-567FECB92E61}"/>
    <cellStyle name="Currency 2 2 4 7 4 3" xfId="22534" xr:uid="{FED3A7DA-7258-4F84-916A-C273142E5A6C}"/>
    <cellStyle name="Currency 2 2 4 7 5" xfId="7615" xr:uid="{36FC1DE9-7A9D-4CC8-AC58-16889A4895B3}"/>
    <cellStyle name="Currency 2 2 4 7 5 2" xfId="21666" xr:uid="{734755B6-1EE1-462A-B1C1-675BF4FF4514}"/>
    <cellStyle name="Currency 2 2 4 7 6" xfId="11087" xr:uid="{8F884DD2-F939-429E-BA92-EA7E671EB119}"/>
    <cellStyle name="Currency 2 2 4 7 6 2" xfId="25138" xr:uid="{F10ACE7E-70A1-42C4-9BAB-E53FB0173C79}"/>
    <cellStyle name="Currency 2 2 4 7 7" xfId="19062" xr:uid="{418C1D1C-56DF-4398-AFB0-DC1706651961}"/>
    <cellStyle name="Currency 2 2 4 8" xfId="5445" xr:uid="{58EC7C13-9D59-47FD-B8FE-067FEAE8BC19}"/>
    <cellStyle name="Currency 2 2 4 8 2" xfId="8917" xr:uid="{D1B28936-B244-4925-A221-6C58C31F2E6F}"/>
    <cellStyle name="Currency 2 2 4 8 2 2" xfId="22968" xr:uid="{1C27D0C7-5D71-4A2A-BF28-23B9CBE9148F}"/>
    <cellStyle name="Currency 2 2 4 8 3" xfId="11521" xr:uid="{F11CAA87-7F6D-42CA-B04D-8DC8A6C2C24F}"/>
    <cellStyle name="Currency 2 2 4 8 3 2" xfId="25572" xr:uid="{1F8D6699-5AD5-4414-A34B-A95BA4E502BD}"/>
    <cellStyle name="Currency 2 2 4 8 4" xfId="19496" xr:uid="{AFF302B7-D39E-41BC-B660-D37ED99C3627}"/>
    <cellStyle name="Currency 2 2 4 9" xfId="6313" xr:uid="{0DA2A046-396F-470E-AF50-5E2DE51FF5EF}"/>
    <cellStyle name="Currency 2 2 4 9 2" xfId="9785" xr:uid="{FB91433D-EE3A-4DC8-95A8-7FA06A331777}"/>
    <cellStyle name="Currency 2 2 4 9 2 2" xfId="23836" xr:uid="{6D782DC9-A9FA-41A9-8EB0-5AD4453A2E73}"/>
    <cellStyle name="Currency 2 2 4 9 3" xfId="12389" xr:uid="{7CF7D74F-790A-4E93-AA6A-F574A723998E}"/>
    <cellStyle name="Currency 2 2 4 9 3 2" xfId="26440" xr:uid="{7C34EA34-DF03-4332-861B-496676FDE7AD}"/>
    <cellStyle name="Currency 2 2 4 9 4" xfId="20364" xr:uid="{5D2ACC06-825B-4104-8D84-98C29301B8FC}"/>
    <cellStyle name="Currency 2 2 5" xfId="459" xr:uid="{0664D1C9-47F0-4AB8-80FF-9419AADD94A0}"/>
    <cellStyle name="Currency 2 2 5 10" xfId="10668" xr:uid="{AFE05E6D-05A3-4D30-921C-47DBCA3FEB81}"/>
    <cellStyle name="Currency 2 2 5 10 2" xfId="24719" xr:uid="{A067D961-CC54-484B-9281-8061FE3E8288}"/>
    <cellStyle name="Currency 2 2 5 11" xfId="14514" xr:uid="{B3FA63EC-C295-4342-BF29-4ADF5DD5EE78}"/>
    <cellStyle name="Currency 2 2 5 2" xfId="1392" xr:uid="{15B64EED-4E96-4D2D-BC50-3AA85A279FC8}"/>
    <cellStyle name="Currency 2 2 5 2 2" xfId="3582" xr:uid="{C824E529-28A2-476F-928F-1BD8725438BD}"/>
    <cellStyle name="Currency 2 2 5 2 2 2" xfId="5301" xr:uid="{A759CDD2-6C75-477B-BD86-B46EEBA49470}"/>
    <cellStyle name="Currency 2 2 5 2 2 2 2" xfId="6169" xr:uid="{9DD3242F-B6B0-47BB-8FFE-FC20CE01963A}"/>
    <cellStyle name="Currency 2 2 5 2 2 2 2 2" xfId="9641" xr:uid="{5D93FB48-9563-4E2B-83EE-85AF8BB4F836}"/>
    <cellStyle name="Currency 2 2 5 2 2 2 2 2 2" xfId="23692" xr:uid="{C0E9FEB0-38CA-48DC-B835-E8AD8E7F7EE1}"/>
    <cellStyle name="Currency 2 2 5 2 2 2 2 3" xfId="12245" xr:uid="{53498A69-DAC4-44FA-8278-D4408AF3979E}"/>
    <cellStyle name="Currency 2 2 5 2 2 2 2 3 2" xfId="26296" xr:uid="{8BFCE023-AD9C-4645-B35F-F172E42D421F}"/>
    <cellStyle name="Currency 2 2 5 2 2 2 2 4" xfId="20220" xr:uid="{6E2DB1DD-1764-4B62-968B-0846E302B3CD}"/>
    <cellStyle name="Currency 2 2 5 2 2 2 3" xfId="7037" xr:uid="{C70A62A0-71D9-4E32-81D7-898E37E8DA0C}"/>
    <cellStyle name="Currency 2 2 5 2 2 2 3 2" xfId="10509" xr:uid="{F6C135F0-F0EC-4CE6-9B63-45825D137385}"/>
    <cellStyle name="Currency 2 2 5 2 2 2 3 2 2" xfId="24560" xr:uid="{8BFCA481-C924-4425-85BC-2C895F83C03A}"/>
    <cellStyle name="Currency 2 2 5 2 2 2 3 3" xfId="13113" xr:uid="{BEC3ED3B-2374-4A91-B2C6-A1A2FDBF6E2C}"/>
    <cellStyle name="Currency 2 2 5 2 2 2 3 3 2" xfId="27164" xr:uid="{61FECFA4-FCDE-44A9-ADFD-8B3559EF9D77}"/>
    <cellStyle name="Currency 2 2 5 2 2 2 3 4" xfId="21088" xr:uid="{E27F5B0D-3725-4FBB-963D-A435A32EF247}"/>
    <cellStyle name="Currency 2 2 5 2 2 2 4" xfId="8773" xr:uid="{0071FB3F-272B-4945-91E3-0624A6E294ED}"/>
    <cellStyle name="Currency 2 2 5 2 2 2 4 2" xfId="13981" xr:uid="{F613C150-93C0-4430-9377-DAD0984C7995}"/>
    <cellStyle name="Currency 2 2 5 2 2 2 4 2 2" xfId="28032" xr:uid="{63699039-16E0-4494-A2C1-320AB0B62B15}"/>
    <cellStyle name="Currency 2 2 5 2 2 2 4 3" xfId="22824" xr:uid="{B1C58B56-45E7-4973-AE88-FA80443D006D}"/>
    <cellStyle name="Currency 2 2 5 2 2 2 5" xfId="7905" xr:uid="{15E918FC-7363-43EC-B696-FFE35DD0AE58}"/>
    <cellStyle name="Currency 2 2 5 2 2 2 5 2" xfId="21956" xr:uid="{B2D58D9A-792E-4059-961D-1AA1E2E9CACE}"/>
    <cellStyle name="Currency 2 2 5 2 2 2 6" xfId="11377" xr:uid="{8664FFD4-9053-4003-AB49-BF9113F30A22}"/>
    <cellStyle name="Currency 2 2 5 2 2 2 6 2" xfId="25428" xr:uid="{FB058C56-8135-48E6-823E-9C160F6D97CE}"/>
    <cellStyle name="Currency 2 2 5 2 2 2 7" xfId="19352" xr:uid="{A1E444EE-77DF-4EF2-87F0-252E12113A0C}"/>
    <cellStyle name="Currency 2 2 5 2 2 3" xfId="5735" xr:uid="{9456813D-1912-4A8A-8387-65619BE83AA7}"/>
    <cellStyle name="Currency 2 2 5 2 2 3 2" xfId="9207" xr:uid="{D303018F-259E-4343-8A67-A041FB04F53E}"/>
    <cellStyle name="Currency 2 2 5 2 2 3 2 2" xfId="23258" xr:uid="{113B069D-3B61-455D-879B-E944A70263EC}"/>
    <cellStyle name="Currency 2 2 5 2 2 3 3" xfId="11811" xr:uid="{E046892F-7A5E-4A24-817C-859A412985CC}"/>
    <cellStyle name="Currency 2 2 5 2 2 3 3 2" xfId="25862" xr:uid="{7D831733-47A5-4D3E-8097-870C3B7D6767}"/>
    <cellStyle name="Currency 2 2 5 2 2 3 4" xfId="19786" xr:uid="{C7778C4A-962C-44A6-948D-9428499C0F33}"/>
    <cellStyle name="Currency 2 2 5 2 2 4" xfId="6603" xr:uid="{327288F5-2929-4B10-9CF5-BBF737C62875}"/>
    <cellStyle name="Currency 2 2 5 2 2 4 2" xfId="10075" xr:uid="{179EB713-39B0-46D7-9ABE-BDC727F66326}"/>
    <cellStyle name="Currency 2 2 5 2 2 4 2 2" xfId="24126" xr:uid="{EB94C8A3-FD1A-4ABD-8908-2C73B29D1517}"/>
    <cellStyle name="Currency 2 2 5 2 2 4 3" xfId="12679" xr:uid="{7429D62D-5715-4C84-B0B0-9C088737596E}"/>
    <cellStyle name="Currency 2 2 5 2 2 4 3 2" xfId="26730" xr:uid="{641E691F-063C-4DE9-BFB7-04317520D8B9}"/>
    <cellStyle name="Currency 2 2 5 2 2 4 4" xfId="20654" xr:uid="{A758A852-473E-4EA1-92DF-5018E7FE683F}"/>
    <cellStyle name="Currency 2 2 5 2 2 5" xfId="8339" xr:uid="{2EF95398-21CB-4B6B-A0D4-A20517B093F7}"/>
    <cellStyle name="Currency 2 2 5 2 2 5 2" xfId="13547" xr:uid="{74EF7AAC-5290-483F-8548-359835002190}"/>
    <cellStyle name="Currency 2 2 5 2 2 5 2 2" xfId="27598" xr:uid="{D5BC8EBF-2A23-4182-A74B-CC25D5A4D340}"/>
    <cellStyle name="Currency 2 2 5 2 2 5 3" xfId="22390" xr:uid="{54A33651-3E6E-46F6-9969-2364D56D2586}"/>
    <cellStyle name="Currency 2 2 5 2 2 6" xfId="7471" xr:uid="{ABBD9E89-AFF9-42D4-A6A1-FA6DC544459C}"/>
    <cellStyle name="Currency 2 2 5 2 2 6 2" xfId="21522" xr:uid="{AEB119CC-9793-46BE-9452-2EEE1A24E2B9}"/>
    <cellStyle name="Currency 2 2 5 2 2 7" xfId="10943" xr:uid="{39BCA649-92DC-418A-AA4E-1CDAF66CCDF0}"/>
    <cellStyle name="Currency 2 2 5 2 2 7 2" xfId="24994" xr:uid="{B3222BFD-8850-4E02-BE10-0868BCD6CC32}"/>
    <cellStyle name="Currency 2 2 5 2 2 8" xfId="17635" xr:uid="{6FE78A03-4AD2-4A17-AB7B-FF5356EDAE60}"/>
    <cellStyle name="Currency 2 2 5 2 3" xfId="5110" xr:uid="{3427015B-230C-4A67-8060-1F84BB9B4B5B}"/>
    <cellStyle name="Currency 2 2 5 2 3 2" xfId="5978" xr:uid="{59EA745F-E1DB-4AFA-BB33-7953ABAF2E58}"/>
    <cellStyle name="Currency 2 2 5 2 3 2 2" xfId="9450" xr:uid="{FFD4D4DF-86CE-40E9-8C50-470ED1E2A993}"/>
    <cellStyle name="Currency 2 2 5 2 3 2 2 2" xfId="23501" xr:uid="{B5869B23-9A6A-427C-B35E-E11DD9AD1052}"/>
    <cellStyle name="Currency 2 2 5 2 3 2 3" xfId="12054" xr:uid="{EED7DB4D-80A9-4317-8AC3-D98BFC49480F}"/>
    <cellStyle name="Currency 2 2 5 2 3 2 3 2" xfId="26105" xr:uid="{29DFEA74-43FC-48D4-A050-1488A549454F}"/>
    <cellStyle name="Currency 2 2 5 2 3 2 4" xfId="20029" xr:uid="{0559C7FB-6EF6-4964-95AF-CD6550A82C34}"/>
    <cellStyle name="Currency 2 2 5 2 3 3" xfId="6846" xr:uid="{82982174-A5EE-4418-9EF5-90095978ACA1}"/>
    <cellStyle name="Currency 2 2 5 2 3 3 2" xfId="10318" xr:uid="{69E0708F-E1EE-433B-85AF-50522BE5114D}"/>
    <cellStyle name="Currency 2 2 5 2 3 3 2 2" xfId="24369" xr:uid="{7215B86A-977A-4FDA-8439-806E5B7B89D0}"/>
    <cellStyle name="Currency 2 2 5 2 3 3 3" xfId="12922" xr:uid="{F7C4CB79-811F-4644-AA9B-4DCD8F3F100C}"/>
    <cellStyle name="Currency 2 2 5 2 3 3 3 2" xfId="26973" xr:uid="{3809AEFA-A986-4E99-AA0A-24CB6169B244}"/>
    <cellStyle name="Currency 2 2 5 2 3 3 4" xfId="20897" xr:uid="{0BF45DB8-DFBB-46E6-A590-C62642938EA2}"/>
    <cellStyle name="Currency 2 2 5 2 3 4" xfId="8582" xr:uid="{F8120A62-89B9-4E9B-8CF7-DC2E21FE54ED}"/>
    <cellStyle name="Currency 2 2 5 2 3 4 2" xfId="13790" xr:uid="{52DC683C-6F7D-4622-BD0F-3F3E55F2DD2F}"/>
    <cellStyle name="Currency 2 2 5 2 3 4 2 2" xfId="27841" xr:uid="{B70A8E01-9501-48C6-BCAD-F19B2580974B}"/>
    <cellStyle name="Currency 2 2 5 2 3 4 3" xfId="22633" xr:uid="{2A628745-74EA-4A9D-B55D-EA50B751B86D}"/>
    <cellStyle name="Currency 2 2 5 2 3 5" xfId="7714" xr:uid="{08542976-FEC4-4E16-84B6-56242F419E7A}"/>
    <cellStyle name="Currency 2 2 5 2 3 5 2" xfId="21765" xr:uid="{EB93CFC2-2639-459B-9107-DAAAF85A9FC2}"/>
    <cellStyle name="Currency 2 2 5 2 3 6" xfId="11186" xr:uid="{4AC3E061-DBAA-49DA-A24E-ED2BBE1E86CC}"/>
    <cellStyle name="Currency 2 2 5 2 3 6 2" xfId="25237" xr:uid="{0D961BFD-3054-4274-8C03-29BFCA25F95A}"/>
    <cellStyle name="Currency 2 2 5 2 3 7" xfId="19161" xr:uid="{794A5620-D292-4D1D-AF14-5A6060606BF2}"/>
    <cellStyle name="Currency 2 2 5 2 4" xfId="5544" xr:uid="{AA541428-B88F-4339-A559-72FDA341A67E}"/>
    <cellStyle name="Currency 2 2 5 2 4 2" xfId="9016" xr:uid="{CB41EE35-2166-41BA-8856-0574B87CB0F9}"/>
    <cellStyle name="Currency 2 2 5 2 4 2 2" xfId="23067" xr:uid="{D36DF7C6-BCCB-439D-B623-794BC0917BE1}"/>
    <cellStyle name="Currency 2 2 5 2 4 3" xfId="11620" xr:uid="{06204804-BC41-4C4E-B657-338701987D6C}"/>
    <cellStyle name="Currency 2 2 5 2 4 3 2" xfId="25671" xr:uid="{2BC05859-D439-4ABC-A272-C215B6C86E06}"/>
    <cellStyle name="Currency 2 2 5 2 4 4" xfId="19595" xr:uid="{7F16FB59-32A4-4F58-9053-502629B302F4}"/>
    <cellStyle name="Currency 2 2 5 2 5" xfId="6412" xr:uid="{6E042BCB-8FAB-4F48-A40C-9F273EA2190D}"/>
    <cellStyle name="Currency 2 2 5 2 5 2" xfId="9884" xr:uid="{00A8F50C-9CCF-42EB-9B7D-0BDA92FB2DC2}"/>
    <cellStyle name="Currency 2 2 5 2 5 2 2" xfId="23935" xr:uid="{976F33CB-367D-4D7A-A42E-1FC142832AD3}"/>
    <cellStyle name="Currency 2 2 5 2 5 3" xfId="12488" xr:uid="{CB76F873-835A-4A9D-B15C-29918A7BBADB}"/>
    <cellStyle name="Currency 2 2 5 2 5 3 2" xfId="26539" xr:uid="{70694127-6FC8-427E-B28F-4C02F71571C5}"/>
    <cellStyle name="Currency 2 2 5 2 5 4" xfId="20463" xr:uid="{5C650C48-1382-4DB9-8C6A-4CD7B72F9CA9}"/>
    <cellStyle name="Currency 2 2 5 2 6" xfId="8148" xr:uid="{5F0C7FFF-3008-4A81-91ED-689148A6CAF1}"/>
    <cellStyle name="Currency 2 2 5 2 6 2" xfId="13356" xr:uid="{C7441776-CF91-49AB-AFD8-335428CD3602}"/>
    <cellStyle name="Currency 2 2 5 2 6 2 2" xfId="27407" xr:uid="{D2597510-727A-412C-82AE-164DC7CB7FFC}"/>
    <cellStyle name="Currency 2 2 5 2 6 3" xfId="22199" xr:uid="{D9966AC4-B2A0-41DA-9E86-149438F074A6}"/>
    <cellStyle name="Currency 2 2 5 2 7" xfId="7280" xr:uid="{293D44AA-8D7D-47BE-A9B0-AF1D26581BAE}"/>
    <cellStyle name="Currency 2 2 5 2 7 2" xfId="21331" xr:uid="{590EBAAE-2DA4-4173-9BED-1CD244F5CC2B}"/>
    <cellStyle name="Currency 2 2 5 2 8" xfId="10752" xr:uid="{8F1D17AD-2631-42E5-92DC-1083378BEF9D}"/>
    <cellStyle name="Currency 2 2 5 2 8 2" xfId="24803" xr:uid="{3A6E7671-C74A-4D06-A6F4-F6D9E958CBEE}"/>
    <cellStyle name="Currency 2 2 5 2 9" xfId="15441" xr:uid="{55EE7483-006F-4CE0-BB4F-C2373ED51836}"/>
    <cellStyle name="Currency 2 2 5 3" xfId="2658" xr:uid="{FDBDAD6A-4593-4EC0-8E72-3E312AEFD507}"/>
    <cellStyle name="Currency 2 2 5 3 2" xfId="5220" xr:uid="{76F2ED71-D89A-4C0E-89C1-36FC7135CDF7}"/>
    <cellStyle name="Currency 2 2 5 3 2 2" xfId="6088" xr:uid="{980F4235-8CB2-41EB-BCDC-3A75D2B3FAC9}"/>
    <cellStyle name="Currency 2 2 5 3 2 2 2" xfId="9560" xr:uid="{7F536A11-009C-44AC-8D14-21F470867238}"/>
    <cellStyle name="Currency 2 2 5 3 2 2 2 2" xfId="23611" xr:uid="{307A1914-BF45-4B7F-862D-39940211AA34}"/>
    <cellStyle name="Currency 2 2 5 3 2 2 3" xfId="12164" xr:uid="{7CB38705-ADAC-4186-ABFD-C5A1CE7CCA9E}"/>
    <cellStyle name="Currency 2 2 5 3 2 2 3 2" xfId="26215" xr:uid="{0D62DEE8-5C76-415B-B1EA-480A5DD36C25}"/>
    <cellStyle name="Currency 2 2 5 3 2 2 4" xfId="20139" xr:uid="{FA08E7F4-A736-4170-BC31-BC919198EDF9}"/>
    <cellStyle name="Currency 2 2 5 3 2 3" xfId="6956" xr:uid="{5EDB85B9-8A50-4064-A6C5-E62122785DC2}"/>
    <cellStyle name="Currency 2 2 5 3 2 3 2" xfId="10428" xr:uid="{92D9E92D-A0B6-41DC-B6EC-DC5CA63FA5D7}"/>
    <cellStyle name="Currency 2 2 5 3 2 3 2 2" xfId="24479" xr:uid="{B66FF691-760B-41E1-9C6A-75B5924B046E}"/>
    <cellStyle name="Currency 2 2 5 3 2 3 3" xfId="13032" xr:uid="{4B03625F-AECA-4811-8BC0-D84B0DC1DA84}"/>
    <cellStyle name="Currency 2 2 5 3 2 3 3 2" xfId="27083" xr:uid="{25762843-2964-4FE5-BD10-4CDEFB73B6A2}"/>
    <cellStyle name="Currency 2 2 5 3 2 3 4" xfId="21007" xr:uid="{1B047D53-B2AF-4611-A212-DAB450D33B58}"/>
    <cellStyle name="Currency 2 2 5 3 2 4" xfId="8692" xr:uid="{BAB53ECE-1CBC-40BD-8330-0A9A2354140C}"/>
    <cellStyle name="Currency 2 2 5 3 2 4 2" xfId="13900" xr:uid="{B993F8ED-3003-4E85-A573-016672DCBBDD}"/>
    <cellStyle name="Currency 2 2 5 3 2 4 2 2" xfId="27951" xr:uid="{C5C73B85-3AA8-4F55-8670-43B2B2E4840C}"/>
    <cellStyle name="Currency 2 2 5 3 2 4 3" xfId="22743" xr:uid="{F822BB9C-AD93-4CA2-8C0F-56917EC8CAB6}"/>
    <cellStyle name="Currency 2 2 5 3 2 5" xfId="7824" xr:uid="{D4C601E3-E3B8-4CB9-A2C7-6AD5C9B968DD}"/>
    <cellStyle name="Currency 2 2 5 3 2 5 2" xfId="21875" xr:uid="{9F6764A0-D899-446A-80ED-05EB54BBB4D4}"/>
    <cellStyle name="Currency 2 2 5 3 2 6" xfId="11296" xr:uid="{4F30B15A-680C-41F5-8D1E-CC7318492F31}"/>
    <cellStyle name="Currency 2 2 5 3 2 6 2" xfId="25347" xr:uid="{26C79999-6753-4AB2-98B4-853947DE04E6}"/>
    <cellStyle name="Currency 2 2 5 3 2 7" xfId="19271" xr:uid="{D456E7B5-CFB0-49B1-8533-40571B4B8AF2}"/>
    <cellStyle name="Currency 2 2 5 3 3" xfId="5654" xr:uid="{244EB13C-9F73-417A-A187-25708AE10E32}"/>
    <cellStyle name="Currency 2 2 5 3 3 2" xfId="9126" xr:uid="{CF1CBF04-CA57-4C07-892A-CA754C5946DE}"/>
    <cellStyle name="Currency 2 2 5 3 3 2 2" xfId="23177" xr:uid="{739D8D8A-5C50-4338-93FB-4A373841F857}"/>
    <cellStyle name="Currency 2 2 5 3 3 3" xfId="11730" xr:uid="{DBC914E0-8348-4945-984E-6FD4D743794C}"/>
    <cellStyle name="Currency 2 2 5 3 3 3 2" xfId="25781" xr:uid="{1FB5BC9E-A682-48CD-A0C8-41C140B0A25B}"/>
    <cellStyle name="Currency 2 2 5 3 3 4" xfId="19705" xr:uid="{4155B03B-0656-4026-A4CA-CCE38F3A50F0}"/>
    <cellStyle name="Currency 2 2 5 3 4" xfId="6522" xr:uid="{8B629ADF-E388-4FE3-9B98-1194FF315F27}"/>
    <cellStyle name="Currency 2 2 5 3 4 2" xfId="9994" xr:uid="{119DB630-B36A-4EC6-9CA4-51623408EB27}"/>
    <cellStyle name="Currency 2 2 5 3 4 2 2" xfId="24045" xr:uid="{A179063E-3FA9-4D6F-8F83-2D150DBC1F5E}"/>
    <cellStyle name="Currency 2 2 5 3 4 3" xfId="12598" xr:uid="{DEB63248-D7D4-4C8B-8D01-EEDE0C6FC8DD}"/>
    <cellStyle name="Currency 2 2 5 3 4 3 2" xfId="26649" xr:uid="{06AD7453-32D8-43BB-ADFE-66695A8C18CE}"/>
    <cellStyle name="Currency 2 2 5 3 4 4" xfId="20573" xr:uid="{8187B5DD-5CEB-49CD-89FA-5170D310F47D}"/>
    <cellStyle name="Currency 2 2 5 3 5" xfId="8258" xr:uid="{77588DB7-DC86-4040-A95C-80631F59C4A0}"/>
    <cellStyle name="Currency 2 2 5 3 5 2" xfId="13466" xr:uid="{44EBB9E5-067E-432C-81C1-DECB18D4DD7A}"/>
    <cellStyle name="Currency 2 2 5 3 5 2 2" xfId="27517" xr:uid="{8FDF5579-A830-4073-A4FB-D7BD2448078D}"/>
    <cellStyle name="Currency 2 2 5 3 5 3" xfId="22309" xr:uid="{E688AFAD-00E4-4C15-BD70-80B970FAC1EE}"/>
    <cellStyle name="Currency 2 2 5 3 6" xfId="7390" xr:uid="{7F5843BE-6EDC-4888-8B78-CEEC7292ABAE}"/>
    <cellStyle name="Currency 2 2 5 3 6 2" xfId="21441" xr:uid="{909195DF-FA30-4DE2-9D68-C1F07BA235F4}"/>
    <cellStyle name="Currency 2 2 5 3 7" xfId="10862" xr:uid="{99E6103D-96E1-4257-951E-528B770B9B37}"/>
    <cellStyle name="Currency 2 2 5 3 7 2" xfId="24913" xr:uid="{F491044D-8E16-4151-910B-C7BA07E8B12D}"/>
    <cellStyle name="Currency 2 2 5 3 8" xfId="16709" xr:uid="{B220C111-44FC-4FE8-B657-E3FDC3788013}"/>
    <cellStyle name="Currency 2 2 5 4" xfId="4677" xr:uid="{D81D5A32-8250-4652-9B8A-DCF4C858C9A0}"/>
    <cellStyle name="Currency 2 2 5 4 2" xfId="5396" xr:uid="{CAF01E14-5914-499A-A91D-B4687084791A}"/>
    <cellStyle name="Currency 2 2 5 4 2 2" xfId="6264" xr:uid="{B099FFCF-AC10-44C9-B185-81D552F190BD}"/>
    <cellStyle name="Currency 2 2 5 4 2 2 2" xfId="9736" xr:uid="{DB4B4453-1657-4008-9D42-80D7E06CBBCD}"/>
    <cellStyle name="Currency 2 2 5 4 2 2 2 2" xfId="23787" xr:uid="{4B2778C7-EA2C-4B5C-8EF1-6B26B2FBD44A}"/>
    <cellStyle name="Currency 2 2 5 4 2 2 3" xfId="12340" xr:uid="{EA4B9F15-08D5-4A5F-8C6F-C2461FFFFA73}"/>
    <cellStyle name="Currency 2 2 5 4 2 2 3 2" xfId="26391" xr:uid="{58F66BD4-50D7-4AEC-9383-01FCCD397330}"/>
    <cellStyle name="Currency 2 2 5 4 2 2 4" xfId="20315" xr:uid="{FEE63D71-E960-4D55-AB42-A4FD9D2FE392}"/>
    <cellStyle name="Currency 2 2 5 4 2 3" xfId="7132" xr:uid="{17953852-F543-4241-9104-B7E453AB1784}"/>
    <cellStyle name="Currency 2 2 5 4 2 3 2" xfId="10604" xr:uid="{3B1FF256-087C-42BC-B275-A7A7530025A6}"/>
    <cellStyle name="Currency 2 2 5 4 2 3 2 2" xfId="24655" xr:uid="{D5CBB058-E6C0-422F-90C2-0A82FB3C9C1F}"/>
    <cellStyle name="Currency 2 2 5 4 2 3 3" xfId="13208" xr:uid="{9BE5AA05-2A0E-4997-8477-0917D997A312}"/>
    <cellStyle name="Currency 2 2 5 4 2 3 3 2" xfId="27259" xr:uid="{F4802EB4-93B5-4B97-9CB0-1738F3916382}"/>
    <cellStyle name="Currency 2 2 5 4 2 3 4" xfId="21183" xr:uid="{EB0C3E04-BE19-43BC-8F97-CCB81C2306F7}"/>
    <cellStyle name="Currency 2 2 5 4 2 4" xfId="8868" xr:uid="{604ECA87-3D3D-4B9C-A54C-02AC9B88F53F}"/>
    <cellStyle name="Currency 2 2 5 4 2 4 2" xfId="14076" xr:uid="{974F7CAC-89DD-4618-882D-73EC7E46807F}"/>
    <cellStyle name="Currency 2 2 5 4 2 4 2 2" xfId="28127" xr:uid="{729E1320-D759-46F7-8A0E-90F0817B065D}"/>
    <cellStyle name="Currency 2 2 5 4 2 4 3" xfId="22919" xr:uid="{7314C3D7-E718-458A-A24E-081C1DFF7D86}"/>
    <cellStyle name="Currency 2 2 5 4 2 5" xfId="8000" xr:uid="{85E63E38-3BBE-47E2-BE47-C0D222D8A649}"/>
    <cellStyle name="Currency 2 2 5 4 2 5 2" xfId="22051" xr:uid="{48B1C0DD-DB7C-4625-9150-9A4269D472F9}"/>
    <cellStyle name="Currency 2 2 5 4 2 6" xfId="11472" xr:uid="{6B08C285-7C5D-4931-A53F-68502C831F37}"/>
    <cellStyle name="Currency 2 2 5 4 2 6 2" xfId="25523" xr:uid="{03F5A9F1-9D4A-46C3-B53C-7A878209BEA9}"/>
    <cellStyle name="Currency 2 2 5 4 2 7" xfId="19447" xr:uid="{5F0C29D1-2304-45CE-AEBE-7E509520FE06}"/>
    <cellStyle name="Currency 2 2 5 4 3" xfId="5830" xr:uid="{4D829387-E991-4B86-8E05-73908E2882DF}"/>
    <cellStyle name="Currency 2 2 5 4 3 2" xfId="9302" xr:uid="{EB2907FF-0938-41EA-8BC7-0AD6F4CB86C9}"/>
    <cellStyle name="Currency 2 2 5 4 3 2 2" xfId="23353" xr:uid="{9959D45F-74D2-4FDD-827A-0036E48EEDE1}"/>
    <cellStyle name="Currency 2 2 5 4 3 3" xfId="11906" xr:uid="{AE73E266-4CB6-4813-B713-689F1394A448}"/>
    <cellStyle name="Currency 2 2 5 4 3 3 2" xfId="25957" xr:uid="{F66400F0-3B97-494A-8C4B-E9F21B02EA78}"/>
    <cellStyle name="Currency 2 2 5 4 3 4" xfId="19881" xr:uid="{7395C1F4-B7F8-4C0B-B624-430EF5BC370C}"/>
    <cellStyle name="Currency 2 2 5 4 4" xfId="6698" xr:uid="{C3A27093-0318-4F34-9352-C8B6F15E29FB}"/>
    <cellStyle name="Currency 2 2 5 4 4 2" xfId="10170" xr:uid="{24013FB1-C66B-4480-A2D1-CBA627D18A02}"/>
    <cellStyle name="Currency 2 2 5 4 4 2 2" xfId="24221" xr:uid="{49F1B44D-B3BA-4C1A-AE65-19B466B4D8C4}"/>
    <cellStyle name="Currency 2 2 5 4 4 3" xfId="12774" xr:uid="{EA2CF849-B4D9-45AE-BC71-400E016A4A9A}"/>
    <cellStyle name="Currency 2 2 5 4 4 3 2" xfId="26825" xr:uid="{E1EB8714-8182-41FF-82C4-E901CA03D408}"/>
    <cellStyle name="Currency 2 2 5 4 4 4" xfId="20749" xr:uid="{6FE30893-637E-4C14-B8A7-C928DB93C56A}"/>
    <cellStyle name="Currency 2 2 5 4 5" xfId="8434" xr:uid="{51E49F12-F5E2-4601-8A36-01F765D326C8}"/>
    <cellStyle name="Currency 2 2 5 4 5 2" xfId="13642" xr:uid="{D884A0A1-69E4-4486-89FF-B66EEC3EA18F}"/>
    <cellStyle name="Currency 2 2 5 4 5 2 2" xfId="27693" xr:uid="{2A20C46A-9EE5-4B85-919E-6D64D65F56AA}"/>
    <cellStyle name="Currency 2 2 5 4 5 3" xfId="22485" xr:uid="{20237EB1-E13C-4309-AE2F-F002C38EFA25}"/>
    <cellStyle name="Currency 2 2 5 4 6" xfId="7566" xr:uid="{180C4258-9B7E-401F-B7DB-E899CCD3A2EA}"/>
    <cellStyle name="Currency 2 2 5 4 6 2" xfId="21617" xr:uid="{48051881-786A-45EA-B699-1C0A5AE5F759}"/>
    <cellStyle name="Currency 2 2 5 4 7" xfId="11038" xr:uid="{BF77BB05-3F8E-477B-95AB-F3195293D7F4}"/>
    <cellStyle name="Currency 2 2 5 4 7 2" xfId="25089" xr:uid="{041B9D28-AD64-4FC3-A29D-30F1D1634D8C}"/>
    <cellStyle name="Currency 2 2 5 4 8" xfId="18729" xr:uid="{30B6E09A-7382-4DD7-9E91-29F0635DA2E1}"/>
    <cellStyle name="Currency 2 2 5 5" xfId="5026" xr:uid="{49EC3812-C500-4FA6-A4C4-D0976368C113}"/>
    <cellStyle name="Currency 2 2 5 5 2" xfId="5894" xr:uid="{C4482555-144A-4844-94C1-23C700B33595}"/>
    <cellStyle name="Currency 2 2 5 5 2 2" xfId="9366" xr:uid="{08F2D238-7E0F-4F16-85BE-5BF089335353}"/>
    <cellStyle name="Currency 2 2 5 5 2 2 2" xfId="23417" xr:uid="{D091D458-F05F-4E55-B9EC-0786171AA195}"/>
    <cellStyle name="Currency 2 2 5 5 2 3" xfId="11970" xr:uid="{663681AC-2B94-40DB-B5F6-A6515B513926}"/>
    <cellStyle name="Currency 2 2 5 5 2 3 2" xfId="26021" xr:uid="{6F6DAF0A-7C5E-4138-8BD5-131B77FEEB90}"/>
    <cellStyle name="Currency 2 2 5 5 2 4" xfId="19945" xr:uid="{B475AB00-0741-4BBC-AE12-AD558CDED7E8}"/>
    <cellStyle name="Currency 2 2 5 5 3" xfId="6762" xr:uid="{629EEB27-28BC-4035-B63A-4E38F819E531}"/>
    <cellStyle name="Currency 2 2 5 5 3 2" xfId="10234" xr:uid="{CFF6B234-9A20-4F3B-A432-1F2412A401EA}"/>
    <cellStyle name="Currency 2 2 5 5 3 2 2" xfId="24285" xr:uid="{B3EE5E98-9212-47B0-A2DB-FBCCCC215F55}"/>
    <cellStyle name="Currency 2 2 5 5 3 3" xfId="12838" xr:uid="{EA003C7D-5869-4A14-A75C-77F98607F1EF}"/>
    <cellStyle name="Currency 2 2 5 5 3 3 2" xfId="26889" xr:uid="{9E82E875-298D-4192-8A89-2D1F23C9EF7D}"/>
    <cellStyle name="Currency 2 2 5 5 3 4" xfId="20813" xr:uid="{4F17B2B7-B4C2-468F-806B-7AC4F41EA804}"/>
    <cellStyle name="Currency 2 2 5 5 4" xfId="8498" xr:uid="{BB8A86AC-4BC0-4197-85DF-9C43DBBA873C}"/>
    <cellStyle name="Currency 2 2 5 5 4 2" xfId="13706" xr:uid="{D858BE57-6925-41A7-9E13-AA777E62F3DA}"/>
    <cellStyle name="Currency 2 2 5 5 4 2 2" xfId="27757" xr:uid="{960C291D-1AA5-42C6-8625-47298A12865F}"/>
    <cellStyle name="Currency 2 2 5 5 4 3" xfId="22549" xr:uid="{776BAF52-0D8B-43BA-A84A-2497055B6628}"/>
    <cellStyle name="Currency 2 2 5 5 5" xfId="7630" xr:uid="{21F02B8E-DD9A-4996-9935-0C4018309E3B}"/>
    <cellStyle name="Currency 2 2 5 5 5 2" xfId="21681" xr:uid="{735FAFD5-B15D-40B3-BF0E-8DE059BC2F1E}"/>
    <cellStyle name="Currency 2 2 5 5 6" xfId="11102" xr:uid="{CBBCC84D-A7BF-477E-B15D-E719296B7446}"/>
    <cellStyle name="Currency 2 2 5 5 6 2" xfId="25153" xr:uid="{9DB87562-A929-4301-8BB6-E676F478347C}"/>
    <cellStyle name="Currency 2 2 5 5 7" xfId="19077" xr:uid="{4215F4EC-FCF1-4ADA-B634-ABB35654372A}"/>
    <cellStyle name="Currency 2 2 5 6" xfId="5460" xr:uid="{DE942726-F5B5-4522-99E9-7D472DE892ED}"/>
    <cellStyle name="Currency 2 2 5 6 2" xfId="8932" xr:uid="{628F7295-0D67-4D7C-B97B-66ED09707392}"/>
    <cellStyle name="Currency 2 2 5 6 2 2" xfId="22983" xr:uid="{65B2C4C6-B27E-4381-A88F-EA8C80740389}"/>
    <cellStyle name="Currency 2 2 5 6 3" xfId="11536" xr:uid="{43CCE7DE-3B09-4E46-9904-2DD475B51A96}"/>
    <cellStyle name="Currency 2 2 5 6 3 2" xfId="25587" xr:uid="{08DD14DA-DF55-48F7-9E4E-57687886D3BD}"/>
    <cellStyle name="Currency 2 2 5 6 4" xfId="19511" xr:uid="{48FED518-C66E-4758-B3A1-EAEA85956102}"/>
    <cellStyle name="Currency 2 2 5 7" xfId="6328" xr:uid="{D95B6B08-FB57-497E-9083-B41696535B61}"/>
    <cellStyle name="Currency 2 2 5 7 2" xfId="9800" xr:uid="{C4AB9975-4C0A-48E3-8263-00BE3FDA4040}"/>
    <cellStyle name="Currency 2 2 5 7 2 2" xfId="23851" xr:uid="{D638C64B-E94F-49DB-88CF-2B8323F6972A}"/>
    <cellStyle name="Currency 2 2 5 7 3" xfId="12404" xr:uid="{2715CC8D-50DA-48B8-85E3-33C72A434FC3}"/>
    <cellStyle name="Currency 2 2 5 7 3 2" xfId="26455" xr:uid="{54B0EBBB-AF41-4BB1-8BE6-999FB604425D}"/>
    <cellStyle name="Currency 2 2 5 7 4" xfId="20379" xr:uid="{C321AFE6-76A2-48C7-BCCA-205D8390E4E6}"/>
    <cellStyle name="Currency 2 2 5 8" xfId="8064" xr:uid="{12DCD368-69DB-4BB4-B761-3EAC635920D2}"/>
    <cellStyle name="Currency 2 2 5 8 2" xfId="13272" xr:uid="{33D2A57C-A6AE-4551-9FF5-A711FAB87DE5}"/>
    <cellStyle name="Currency 2 2 5 8 2 2" xfId="27323" xr:uid="{281AC5A8-D607-4D83-B748-A1549A40E12B}"/>
    <cellStyle name="Currency 2 2 5 8 3" xfId="22115" xr:uid="{716D5068-D6FD-47ED-AEBC-98111E1CA6FE}"/>
    <cellStyle name="Currency 2 2 5 9" xfId="7196" xr:uid="{E2831F8F-7374-40E1-80A8-F5229F978066}"/>
    <cellStyle name="Currency 2 2 5 9 2" xfId="21247" xr:uid="{B531E6ED-F1E0-4258-80AB-A4942377F2B3}"/>
    <cellStyle name="Currency 2 2 6" xfId="812" xr:uid="{499D6409-8D1F-43EC-839B-5386BBA3B241}"/>
    <cellStyle name="Currency 2 2 6 10" xfId="14862" xr:uid="{2303591C-1AD0-422E-8555-54B6B22A5025}"/>
    <cellStyle name="Currency 2 2 6 2" xfId="1911" xr:uid="{85D76297-E719-4661-BF6A-0D797CBB3EE7}"/>
    <cellStyle name="Currency 2 2 6 2 2" xfId="4100" xr:uid="{498532B9-DE61-4A69-A0A3-93A980DD3C55}"/>
    <cellStyle name="Currency 2 2 6 2 2 2" xfId="5345" xr:uid="{561CC531-887B-4E3A-9F74-3E458C8645AE}"/>
    <cellStyle name="Currency 2 2 6 2 2 2 2" xfId="6213" xr:uid="{197331CA-D46A-4221-A6D1-673989B20C37}"/>
    <cellStyle name="Currency 2 2 6 2 2 2 2 2" xfId="9685" xr:uid="{DD14E009-5361-48A1-B877-61EC5448DD48}"/>
    <cellStyle name="Currency 2 2 6 2 2 2 2 2 2" xfId="23736" xr:uid="{C3C6885A-7E5D-4746-8515-38F5906B14DB}"/>
    <cellStyle name="Currency 2 2 6 2 2 2 2 3" xfId="12289" xr:uid="{57ACCC79-FC58-4EFF-81E3-72C971F04347}"/>
    <cellStyle name="Currency 2 2 6 2 2 2 2 3 2" xfId="26340" xr:uid="{727CE3BB-2BAD-49AE-BA8E-070C6FBAEFC1}"/>
    <cellStyle name="Currency 2 2 6 2 2 2 2 4" xfId="20264" xr:uid="{4A28DDFA-9314-4611-8D20-8199032A63F6}"/>
    <cellStyle name="Currency 2 2 6 2 2 2 3" xfId="7081" xr:uid="{10450E94-F99C-459E-ABAF-C5C85E2F274F}"/>
    <cellStyle name="Currency 2 2 6 2 2 2 3 2" xfId="10553" xr:uid="{BF616587-1D79-47B5-A892-EC9F36FC951A}"/>
    <cellStyle name="Currency 2 2 6 2 2 2 3 2 2" xfId="24604" xr:uid="{43ED8C84-76F2-4604-8190-002966C5156A}"/>
    <cellStyle name="Currency 2 2 6 2 2 2 3 3" xfId="13157" xr:uid="{7E7C8A99-8ECF-4E14-80E1-2CEA9CC3462B}"/>
    <cellStyle name="Currency 2 2 6 2 2 2 3 3 2" xfId="27208" xr:uid="{ED0EAA71-23F7-4C8F-9AB1-8F4CA48D56F7}"/>
    <cellStyle name="Currency 2 2 6 2 2 2 3 4" xfId="21132" xr:uid="{AD78C94E-217E-4989-8EAB-BBD488F490EF}"/>
    <cellStyle name="Currency 2 2 6 2 2 2 4" xfId="8817" xr:uid="{575C1367-4A42-4C01-A672-1AB1B7A9B7CD}"/>
    <cellStyle name="Currency 2 2 6 2 2 2 4 2" xfId="14025" xr:uid="{FC4F2D75-7796-4851-B94B-4ED9DB04AC27}"/>
    <cellStyle name="Currency 2 2 6 2 2 2 4 2 2" xfId="28076" xr:uid="{4DEA1A0A-6727-4964-8101-A966686AD578}"/>
    <cellStyle name="Currency 2 2 6 2 2 2 4 3" xfId="22868" xr:uid="{5F06959D-C830-44D8-8E19-B94611984DAC}"/>
    <cellStyle name="Currency 2 2 6 2 2 2 5" xfId="7949" xr:uid="{E51FC58B-4191-40A4-B12C-39DC0EB730B1}"/>
    <cellStyle name="Currency 2 2 6 2 2 2 5 2" xfId="22000" xr:uid="{5FE25C30-D95A-47EC-96C2-CFD9CA3AB06B}"/>
    <cellStyle name="Currency 2 2 6 2 2 2 6" xfId="11421" xr:uid="{6C7E8A84-C0E3-4572-AA5F-AC3AA468D54C}"/>
    <cellStyle name="Currency 2 2 6 2 2 2 6 2" xfId="25472" xr:uid="{5EC07567-BCFE-4E2F-A4F0-C6816CB867B8}"/>
    <cellStyle name="Currency 2 2 6 2 2 2 7" xfId="19396" xr:uid="{763D2A63-6508-49BF-898D-7BE7F7C702CD}"/>
    <cellStyle name="Currency 2 2 6 2 2 3" xfId="5779" xr:uid="{45D9A3C0-9F51-41B3-A4C4-1F960E20753E}"/>
    <cellStyle name="Currency 2 2 6 2 2 3 2" xfId="9251" xr:uid="{DF9BC369-2B4E-41FC-B252-469D302F1D36}"/>
    <cellStyle name="Currency 2 2 6 2 2 3 2 2" xfId="23302" xr:uid="{9D0FDE66-18F1-4BA0-BF43-DCFF948B5206}"/>
    <cellStyle name="Currency 2 2 6 2 2 3 3" xfId="11855" xr:uid="{5EC5EF3D-6560-40E7-BF2A-D31A1D2ACF5D}"/>
    <cellStyle name="Currency 2 2 6 2 2 3 3 2" xfId="25906" xr:uid="{5CA9346C-0451-4A8F-A3A3-87446ABB4F93}"/>
    <cellStyle name="Currency 2 2 6 2 2 3 4" xfId="19830" xr:uid="{BB0DBB50-1841-4D6B-9F5B-3E3B590472EB}"/>
    <cellStyle name="Currency 2 2 6 2 2 4" xfId="6647" xr:uid="{69D4FEA1-6B5E-4B16-91E4-9BD4E1FC9E40}"/>
    <cellStyle name="Currency 2 2 6 2 2 4 2" xfId="10119" xr:uid="{76077EA9-6C85-4DEE-9A13-0FB15AE2F304}"/>
    <cellStyle name="Currency 2 2 6 2 2 4 2 2" xfId="24170" xr:uid="{C5DDEADA-0433-4136-8B7B-CE9CBE632968}"/>
    <cellStyle name="Currency 2 2 6 2 2 4 3" xfId="12723" xr:uid="{919F3F5A-814F-48BA-B762-BD12DEDAA1AC}"/>
    <cellStyle name="Currency 2 2 6 2 2 4 3 2" xfId="26774" xr:uid="{CDEE6DB9-1C6B-453F-8D97-9E7104B39161}"/>
    <cellStyle name="Currency 2 2 6 2 2 4 4" xfId="20698" xr:uid="{5CDD5C22-9487-457E-A54E-F02E5DB8F001}"/>
    <cellStyle name="Currency 2 2 6 2 2 5" xfId="8383" xr:uid="{C6F57D63-002E-4B4E-AAB3-C24DFF806803}"/>
    <cellStyle name="Currency 2 2 6 2 2 5 2" xfId="13591" xr:uid="{31331422-E523-4A6D-8747-2C832CF6EC4F}"/>
    <cellStyle name="Currency 2 2 6 2 2 5 2 2" xfId="27642" xr:uid="{6BC81214-72EE-480E-9725-E6318BB26710}"/>
    <cellStyle name="Currency 2 2 6 2 2 5 3" xfId="22434" xr:uid="{D4514A98-3B87-41D7-A02E-D1A1DF35989D}"/>
    <cellStyle name="Currency 2 2 6 2 2 6" xfId="7515" xr:uid="{8D2BAE85-1107-4402-B904-D1AC8B269028}"/>
    <cellStyle name="Currency 2 2 6 2 2 6 2" xfId="21566" xr:uid="{71C4197E-9346-41FD-9260-721981A9A534}"/>
    <cellStyle name="Currency 2 2 6 2 2 7" xfId="10987" xr:uid="{A45C0224-C0F7-42B7-880C-0CFEA1154F61}"/>
    <cellStyle name="Currency 2 2 6 2 2 7 2" xfId="25038" xr:uid="{99F1F8AB-BC36-45E1-BFCE-A8190B2109CD}"/>
    <cellStyle name="Currency 2 2 6 2 2 8" xfId="18152" xr:uid="{99B8FA61-CF00-492F-9311-CDD6DBB3088D}"/>
    <cellStyle name="Currency 2 2 6 2 3" xfId="5155" xr:uid="{58F1710D-726D-482E-9410-1FCDC83DB47A}"/>
    <cellStyle name="Currency 2 2 6 2 3 2" xfId="6023" xr:uid="{0E6F02D2-8F95-47BB-AB2F-CD9B822F11EC}"/>
    <cellStyle name="Currency 2 2 6 2 3 2 2" xfId="9495" xr:uid="{2516E47F-BA84-4E94-ACEF-035948CD2979}"/>
    <cellStyle name="Currency 2 2 6 2 3 2 2 2" xfId="23546" xr:uid="{6253DEAD-7866-4B47-BF4D-72DE9286D93D}"/>
    <cellStyle name="Currency 2 2 6 2 3 2 3" xfId="12099" xr:uid="{C26AC491-6EA8-472C-B902-B994AC7BC786}"/>
    <cellStyle name="Currency 2 2 6 2 3 2 3 2" xfId="26150" xr:uid="{90C36DBC-2997-4885-BDC1-C0F8ECD8BFC3}"/>
    <cellStyle name="Currency 2 2 6 2 3 2 4" xfId="20074" xr:uid="{1F97DB31-186A-4F60-9A35-9521A04C4BEF}"/>
    <cellStyle name="Currency 2 2 6 2 3 3" xfId="6891" xr:uid="{6223BED4-3E52-430C-A4DC-FC1BE0158ABE}"/>
    <cellStyle name="Currency 2 2 6 2 3 3 2" xfId="10363" xr:uid="{EB030036-E241-430F-8918-A112235838FA}"/>
    <cellStyle name="Currency 2 2 6 2 3 3 2 2" xfId="24414" xr:uid="{713CC261-8FF1-4A3B-B382-73A04E997B29}"/>
    <cellStyle name="Currency 2 2 6 2 3 3 3" xfId="12967" xr:uid="{FA51209F-F272-41DF-BF25-7B573FE9CCC0}"/>
    <cellStyle name="Currency 2 2 6 2 3 3 3 2" xfId="27018" xr:uid="{AC00540A-2CEE-47AA-B583-DF42697C176F}"/>
    <cellStyle name="Currency 2 2 6 2 3 3 4" xfId="20942" xr:uid="{2DF30A37-773C-4D2F-A01F-3AC5F5B89D78}"/>
    <cellStyle name="Currency 2 2 6 2 3 4" xfId="8627" xr:uid="{5116AC9F-65DF-44CA-A162-1BF718530B6A}"/>
    <cellStyle name="Currency 2 2 6 2 3 4 2" xfId="13835" xr:uid="{2BEB5CF3-554A-497E-BFEA-36514D615A68}"/>
    <cellStyle name="Currency 2 2 6 2 3 4 2 2" xfId="27886" xr:uid="{61621F1B-D981-41E6-828A-C3E793E11DFE}"/>
    <cellStyle name="Currency 2 2 6 2 3 4 3" xfId="22678" xr:uid="{696A7C60-858B-4282-853E-06F591E369F6}"/>
    <cellStyle name="Currency 2 2 6 2 3 5" xfId="7759" xr:uid="{DEEADD4E-D471-4A71-89C3-2C69E5F63D58}"/>
    <cellStyle name="Currency 2 2 6 2 3 5 2" xfId="21810" xr:uid="{82258CDB-58B2-4EA9-B999-7F3AB5F25A05}"/>
    <cellStyle name="Currency 2 2 6 2 3 6" xfId="11231" xr:uid="{65C737CB-E96D-4EAA-B771-6EF45320E175}"/>
    <cellStyle name="Currency 2 2 6 2 3 6 2" xfId="25282" xr:uid="{99CEA996-FD84-4347-ABAE-D97D614559DB}"/>
    <cellStyle name="Currency 2 2 6 2 3 7" xfId="19206" xr:uid="{19DD7328-8E2E-46D6-B29A-4395FC1C6B60}"/>
    <cellStyle name="Currency 2 2 6 2 4" xfId="5589" xr:uid="{6B279506-BC58-4FF6-8841-855DB390BD4B}"/>
    <cellStyle name="Currency 2 2 6 2 4 2" xfId="9061" xr:uid="{1382DB1B-35BA-4BB1-A761-BA25D2C041BE}"/>
    <cellStyle name="Currency 2 2 6 2 4 2 2" xfId="23112" xr:uid="{599CB58E-142C-4C26-80BD-CB3E6E69AFFF}"/>
    <cellStyle name="Currency 2 2 6 2 4 3" xfId="11665" xr:uid="{61966B59-641B-4B68-9CA0-0A3A1C28BC80}"/>
    <cellStyle name="Currency 2 2 6 2 4 3 2" xfId="25716" xr:uid="{DC9E9245-7C7D-445C-B9AD-CD0554C09966}"/>
    <cellStyle name="Currency 2 2 6 2 4 4" xfId="19640" xr:uid="{3DEDB628-F300-4DF1-8819-0755A31CF07E}"/>
    <cellStyle name="Currency 2 2 6 2 5" xfId="6457" xr:uid="{2D3BF41A-9472-4434-B25E-5C575FB42B40}"/>
    <cellStyle name="Currency 2 2 6 2 5 2" xfId="9929" xr:uid="{42EE331E-61C8-42E4-AF8F-219E677873E1}"/>
    <cellStyle name="Currency 2 2 6 2 5 2 2" xfId="23980" xr:uid="{30A97F86-71D5-4A22-8EC2-668C74A3E237}"/>
    <cellStyle name="Currency 2 2 6 2 5 3" xfId="12533" xr:uid="{CBA1F3B2-8033-4B28-99E1-0EF5A9470694}"/>
    <cellStyle name="Currency 2 2 6 2 5 3 2" xfId="26584" xr:uid="{5FBF988C-A6CA-41DD-9ECA-E7E82BDDD66E}"/>
    <cellStyle name="Currency 2 2 6 2 5 4" xfId="20508" xr:uid="{0A3D3538-B578-4BE7-85FC-C13D70EC2AEA}"/>
    <cellStyle name="Currency 2 2 6 2 6" xfId="8193" xr:uid="{7B0A6793-1454-4F40-9DEA-B31C884878D2}"/>
    <cellStyle name="Currency 2 2 6 2 6 2" xfId="13401" xr:uid="{B82D7B04-B9F3-4ABE-B863-D8AC849865AD}"/>
    <cellStyle name="Currency 2 2 6 2 6 2 2" xfId="27452" xr:uid="{1825589B-BA54-45AE-99B8-5F0FCBC0AC82}"/>
    <cellStyle name="Currency 2 2 6 2 6 3" xfId="22244" xr:uid="{C921B44C-82E9-44D9-B7CA-02FDCCDB6996}"/>
    <cellStyle name="Currency 2 2 6 2 7" xfId="7325" xr:uid="{AAFB165E-5359-4604-9860-34E538D68D89}"/>
    <cellStyle name="Currency 2 2 6 2 7 2" xfId="21376" xr:uid="{9A1E4DC9-B84A-4386-982B-3D9ABA40B4A1}"/>
    <cellStyle name="Currency 2 2 6 2 8" xfId="10797" xr:uid="{8214FDDB-DB41-4A45-82D1-0AD6491D9201}"/>
    <cellStyle name="Currency 2 2 6 2 8 2" xfId="24848" xr:uid="{51E48B2F-F8C5-4123-8A56-2EBA4B64DEC4}"/>
    <cellStyle name="Currency 2 2 6 2 9" xfId="15960" xr:uid="{7F0ABD52-D91C-409F-AA0E-1AD1A3B0D924}"/>
    <cellStyle name="Currency 2 2 6 3" xfId="3004" xr:uid="{6F1C1093-DA83-4EFC-AD8C-E1376AEBFB4B}"/>
    <cellStyle name="Currency 2 2 6 3 2" xfId="5250" xr:uid="{427EB6B6-6095-4B02-BCF6-9F250359BA37}"/>
    <cellStyle name="Currency 2 2 6 3 2 2" xfId="6118" xr:uid="{F7FF999B-524B-4660-86D1-6273138CC3ED}"/>
    <cellStyle name="Currency 2 2 6 3 2 2 2" xfId="9590" xr:uid="{BB6A92F6-B84C-4D41-AD81-DF461B436143}"/>
    <cellStyle name="Currency 2 2 6 3 2 2 2 2" xfId="23641" xr:uid="{9858A077-DE53-4EF2-930F-79D134D3513B}"/>
    <cellStyle name="Currency 2 2 6 3 2 2 3" xfId="12194" xr:uid="{E45F859B-BB86-447E-A695-89EDB3EB9D43}"/>
    <cellStyle name="Currency 2 2 6 3 2 2 3 2" xfId="26245" xr:uid="{C09120EB-1AE7-415A-9E2C-37D44ED0A21D}"/>
    <cellStyle name="Currency 2 2 6 3 2 2 4" xfId="20169" xr:uid="{0EDD1669-A867-4FE6-BA20-EBE0D355D8E1}"/>
    <cellStyle name="Currency 2 2 6 3 2 3" xfId="6986" xr:uid="{B8145583-B1EF-4FB8-BC05-F506D8B34199}"/>
    <cellStyle name="Currency 2 2 6 3 2 3 2" xfId="10458" xr:uid="{A63C4BC9-BBB7-4ABE-B635-8880F10DF3BD}"/>
    <cellStyle name="Currency 2 2 6 3 2 3 2 2" xfId="24509" xr:uid="{4F29A30A-4448-48EE-9074-3DA56A933CDF}"/>
    <cellStyle name="Currency 2 2 6 3 2 3 3" xfId="13062" xr:uid="{97988C05-608E-48FF-BC1B-B22B3322FE71}"/>
    <cellStyle name="Currency 2 2 6 3 2 3 3 2" xfId="27113" xr:uid="{74D25629-D3DC-40DB-A647-80F86879FBA7}"/>
    <cellStyle name="Currency 2 2 6 3 2 3 4" xfId="21037" xr:uid="{275F25A4-6B91-4577-9BF2-7B8ADCC20143}"/>
    <cellStyle name="Currency 2 2 6 3 2 4" xfId="8722" xr:uid="{6A156178-AE0C-46F6-A51B-59D3968DC296}"/>
    <cellStyle name="Currency 2 2 6 3 2 4 2" xfId="13930" xr:uid="{BB3B6D9E-C17F-4C74-BF1C-87BC9CA648FF}"/>
    <cellStyle name="Currency 2 2 6 3 2 4 2 2" xfId="27981" xr:uid="{F94E3F04-C18D-4E5E-BE2E-A477DE8EA800}"/>
    <cellStyle name="Currency 2 2 6 3 2 4 3" xfId="22773" xr:uid="{59F6FF97-9D9A-4DDB-B363-1CFF480C44CF}"/>
    <cellStyle name="Currency 2 2 6 3 2 5" xfId="7854" xr:uid="{5012F7F5-5571-4D48-94E0-0C2DD1650930}"/>
    <cellStyle name="Currency 2 2 6 3 2 5 2" xfId="21905" xr:uid="{7BE2C4EE-EDB4-4652-B760-AD9944FBB1C1}"/>
    <cellStyle name="Currency 2 2 6 3 2 6" xfId="11326" xr:uid="{B80EF034-64B8-4587-BEB7-8EFA8589BFF0}"/>
    <cellStyle name="Currency 2 2 6 3 2 6 2" xfId="25377" xr:uid="{40609BD2-540C-4CDE-BBB5-3FA9FC11D2D7}"/>
    <cellStyle name="Currency 2 2 6 3 2 7" xfId="19301" xr:uid="{859914EE-4D75-43D3-AC50-8829316628F5}"/>
    <cellStyle name="Currency 2 2 6 3 3" xfId="5684" xr:uid="{6179ED01-91C1-4783-AC82-E0B3F9C61A72}"/>
    <cellStyle name="Currency 2 2 6 3 3 2" xfId="9156" xr:uid="{4AEFFE7B-95F2-46FB-847E-83A364F7A082}"/>
    <cellStyle name="Currency 2 2 6 3 3 2 2" xfId="23207" xr:uid="{5D177CFF-F4F3-4FEE-8B3A-B21906522EBA}"/>
    <cellStyle name="Currency 2 2 6 3 3 3" xfId="11760" xr:uid="{4495A992-DE32-4DB0-AA14-2E9F4B45CBDD}"/>
    <cellStyle name="Currency 2 2 6 3 3 3 2" xfId="25811" xr:uid="{1D7CEE9C-A319-4227-99B8-9B12A26296AF}"/>
    <cellStyle name="Currency 2 2 6 3 3 4" xfId="19735" xr:uid="{B09E4EAE-BC99-4AC0-9E21-73CC851AE6B1}"/>
    <cellStyle name="Currency 2 2 6 3 4" xfId="6552" xr:uid="{094727CF-7DED-447C-9C12-3EE42CD0893B}"/>
    <cellStyle name="Currency 2 2 6 3 4 2" xfId="10024" xr:uid="{B1D75868-F397-4019-B236-663465F52E7F}"/>
    <cellStyle name="Currency 2 2 6 3 4 2 2" xfId="24075" xr:uid="{EACA7E35-9A46-4C00-A378-62D927C61261}"/>
    <cellStyle name="Currency 2 2 6 3 4 3" xfId="12628" xr:uid="{80B1BEEC-84D4-4550-AD84-3CB1DB7E645D}"/>
    <cellStyle name="Currency 2 2 6 3 4 3 2" xfId="26679" xr:uid="{ED7287C7-5826-4E3E-AA86-FEA574D97ED8}"/>
    <cellStyle name="Currency 2 2 6 3 4 4" xfId="20603" xr:uid="{4FEAFEC0-564C-4CD5-9CFA-4547AE1682EF}"/>
    <cellStyle name="Currency 2 2 6 3 5" xfId="8288" xr:uid="{5998C3BA-876B-4985-8347-2866CA0C4889}"/>
    <cellStyle name="Currency 2 2 6 3 5 2" xfId="13496" xr:uid="{5198D7F0-2060-40D3-AF7E-FCF75F607EF7}"/>
    <cellStyle name="Currency 2 2 6 3 5 2 2" xfId="27547" xr:uid="{A23E428C-1BB1-4C59-80EA-CD50080C959A}"/>
    <cellStyle name="Currency 2 2 6 3 5 3" xfId="22339" xr:uid="{42A6685C-E2C8-4211-BEE1-817F583D85C4}"/>
    <cellStyle name="Currency 2 2 6 3 6" xfId="7420" xr:uid="{1FDD4153-1A62-40E6-B79B-AC3D8B95E33A}"/>
    <cellStyle name="Currency 2 2 6 3 6 2" xfId="21471" xr:uid="{4297E1DC-E3D1-486E-B7AC-F9F1EA404A43}"/>
    <cellStyle name="Currency 2 2 6 3 7" xfId="10892" xr:uid="{F4860C00-74F3-488A-800F-A8A7C041EFC4}"/>
    <cellStyle name="Currency 2 2 6 3 7 2" xfId="24943" xr:uid="{6B033E12-081D-4BC5-B0F8-C2B2F5B4E028}"/>
    <cellStyle name="Currency 2 2 6 3 8" xfId="17056" xr:uid="{25C64706-FC97-42B7-83A7-9979C74D5582}"/>
    <cellStyle name="Currency 2 2 6 4" xfId="5058" xr:uid="{27D1EC54-D1BF-4D2E-B98C-6986E021315C}"/>
    <cellStyle name="Currency 2 2 6 4 2" xfId="5926" xr:uid="{35C04BC2-9596-4E58-821D-8F3EE9A7D14C}"/>
    <cellStyle name="Currency 2 2 6 4 2 2" xfId="9398" xr:uid="{DCAB6AF3-9F12-48C9-82B0-56D3F9C0C2DE}"/>
    <cellStyle name="Currency 2 2 6 4 2 2 2" xfId="23449" xr:uid="{F8224A97-05D2-4C9D-A821-A7612E20446C}"/>
    <cellStyle name="Currency 2 2 6 4 2 3" xfId="12002" xr:uid="{54A63DAE-E185-4AFE-B214-4D1670002E8A}"/>
    <cellStyle name="Currency 2 2 6 4 2 3 2" xfId="26053" xr:uid="{6CA688FC-0593-4A54-B447-1A2DAE79609D}"/>
    <cellStyle name="Currency 2 2 6 4 2 4" xfId="19977" xr:uid="{85C4D09A-8FF3-4059-A857-A5C241BBD8FC}"/>
    <cellStyle name="Currency 2 2 6 4 3" xfId="6794" xr:uid="{485BEDC3-1F4F-4741-A80A-713A92E6CADC}"/>
    <cellStyle name="Currency 2 2 6 4 3 2" xfId="10266" xr:uid="{32F2892F-7036-4A61-AC6F-83007E019404}"/>
    <cellStyle name="Currency 2 2 6 4 3 2 2" xfId="24317" xr:uid="{D9D25C25-9035-43A5-ABB0-5344B304C244}"/>
    <cellStyle name="Currency 2 2 6 4 3 3" xfId="12870" xr:uid="{49D9F9CB-AB55-47F0-B783-D23FA5BF7316}"/>
    <cellStyle name="Currency 2 2 6 4 3 3 2" xfId="26921" xr:uid="{7E305F9D-695A-4AAB-9E61-DFCFB4EAAFE8}"/>
    <cellStyle name="Currency 2 2 6 4 3 4" xfId="20845" xr:uid="{84F82CAB-9406-449E-8C05-4F1C1FA8B84B}"/>
    <cellStyle name="Currency 2 2 6 4 4" xfId="8530" xr:uid="{8468A020-2103-473F-99B9-4C329DDEAB2C}"/>
    <cellStyle name="Currency 2 2 6 4 4 2" xfId="13738" xr:uid="{7BAA556F-4D33-4FB1-973B-1E3A911C2C8C}"/>
    <cellStyle name="Currency 2 2 6 4 4 2 2" xfId="27789" xr:uid="{97AF5E49-A968-4F87-B9EA-698CE85A72EA}"/>
    <cellStyle name="Currency 2 2 6 4 4 3" xfId="22581" xr:uid="{13D7FD65-A6AC-4018-A30F-E94DFF62CF1E}"/>
    <cellStyle name="Currency 2 2 6 4 5" xfId="7662" xr:uid="{A410E575-FB27-42C5-9437-1F0EA3FDBE1D}"/>
    <cellStyle name="Currency 2 2 6 4 5 2" xfId="21713" xr:uid="{41C7961E-D4D4-4E9B-A0DF-6C4B9E94D258}"/>
    <cellStyle name="Currency 2 2 6 4 6" xfId="11134" xr:uid="{EE26A072-C58A-4FA0-839E-A915A26E5A8A}"/>
    <cellStyle name="Currency 2 2 6 4 6 2" xfId="25185" xr:uid="{8DEB14FA-6FD8-4A96-B64A-8A749EC8AF1B}"/>
    <cellStyle name="Currency 2 2 6 4 7" xfId="19109" xr:uid="{E427D04D-1341-485A-BC07-3BA678AA8D2C}"/>
    <cellStyle name="Currency 2 2 6 5" xfId="5492" xr:uid="{300C83DD-B63C-48F4-82E5-DAA4A0EE95D4}"/>
    <cellStyle name="Currency 2 2 6 5 2" xfId="8964" xr:uid="{8AC5A955-FD37-4D99-A286-165C71B0EAE2}"/>
    <cellStyle name="Currency 2 2 6 5 2 2" xfId="23015" xr:uid="{31590982-85B3-4A9C-B795-4F82CBA2DEC1}"/>
    <cellStyle name="Currency 2 2 6 5 3" xfId="11568" xr:uid="{1EE32EF7-6DE6-408B-94C5-41C624803AFF}"/>
    <cellStyle name="Currency 2 2 6 5 3 2" xfId="25619" xr:uid="{EB81C709-3AA2-4D60-85D2-E6BADE81DC3E}"/>
    <cellStyle name="Currency 2 2 6 5 4" xfId="19543" xr:uid="{281CEEDE-0EE3-4C6B-AC8B-B337F29C534A}"/>
    <cellStyle name="Currency 2 2 6 6" xfId="6360" xr:uid="{1E7E0644-8EEB-460F-A305-94C11A337B7A}"/>
    <cellStyle name="Currency 2 2 6 6 2" xfId="9832" xr:uid="{68781A8F-6871-449C-82B9-020FD50BB681}"/>
    <cellStyle name="Currency 2 2 6 6 2 2" xfId="23883" xr:uid="{2373B72B-2AD4-4A5E-9634-73F8618CE102}"/>
    <cellStyle name="Currency 2 2 6 6 3" xfId="12436" xr:uid="{B69EFFDF-EB54-45C2-8706-2DB02CD9C52B}"/>
    <cellStyle name="Currency 2 2 6 6 3 2" xfId="26487" xr:uid="{FC14BEB2-8B81-4D32-849E-77E43E2586F6}"/>
    <cellStyle name="Currency 2 2 6 6 4" xfId="20411" xr:uid="{51D472CD-2D0F-481A-BBDC-091F467A40FB}"/>
    <cellStyle name="Currency 2 2 6 7" xfId="8096" xr:uid="{B684412A-C745-411E-9175-F69A72FD1A9E}"/>
    <cellStyle name="Currency 2 2 6 7 2" xfId="13304" xr:uid="{38004B90-C883-4554-8596-96FD78DB3DE8}"/>
    <cellStyle name="Currency 2 2 6 7 2 2" xfId="27355" xr:uid="{B2E87255-2CE1-4E81-8BB8-7508D3BD590F}"/>
    <cellStyle name="Currency 2 2 6 7 3" xfId="22147" xr:uid="{48933B5F-1546-41F1-94CC-2064812DCC98}"/>
    <cellStyle name="Currency 2 2 6 8" xfId="7228" xr:uid="{F523E62F-628D-4E41-9BB5-50E4815BBC1C}"/>
    <cellStyle name="Currency 2 2 6 8 2" xfId="21279" xr:uid="{FF1E7B1C-0B5B-4D38-BF02-A407A6E763A3}"/>
    <cellStyle name="Currency 2 2 6 9" xfId="10700" xr:uid="{F2BA5A0B-9E43-42D4-AD28-580358F5D782}"/>
    <cellStyle name="Currency 2 2 6 9 2" xfId="24751" xr:uid="{05031FEB-13CA-4480-8D91-E51B3EBEB7DD}"/>
    <cellStyle name="Currency 2 2 7" xfId="1156" xr:uid="{CEE7CA4C-27F4-4192-88AA-B00914EE39B2}"/>
    <cellStyle name="Currency 2 2 7 10" xfId="15207" xr:uid="{1A97C95B-AA61-4FC7-A169-34861A37BA9B}"/>
    <cellStyle name="Currency 2 2 7 2" xfId="2256" xr:uid="{F5EE28D4-92D2-4AE5-B567-37E0CEDEF343}"/>
    <cellStyle name="Currency 2 2 7 2 2" xfId="4445" xr:uid="{DCEB88AC-042F-48F4-80FD-A7CB06ADF1C5}"/>
    <cellStyle name="Currency 2 2 7 2 2 2" xfId="5375" xr:uid="{FF0C95DE-5284-4ADC-AEDD-D751A73DFE20}"/>
    <cellStyle name="Currency 2 2 7 2 2 2 2" xfId="6243" xr:uid="{9AF6145F-8672-45C7-AC52-018F6D3466B8}"/>
    <cellStyle name="Currency 2 2 7 2 2 2 2 2" xfId="9715" xr:uid="{C5ED6D55-2512-47E2-8E0F-4801FAA07F6A}"/>
    <cellStyle name="Currency 2 2 7 2 2 2 2 2 2" xfId="23766" xr:uid="{87D69ACF-4FDB-4860-87AF-59C36E962058}"/>
    <cellStyle name="Currency 2 2 7 2 2 2 2 3" xfId="12319" xr:uid="{FDAD49A4-EF2F-4BCB-9D0A-97C03109AB5C}"/>
    <cellStyle name="Currency 2 2 7 2 2 2 2 3 2" xfId="26370" xr:uid="{5B069ED8-46A8-4CCD-A2E2-A70345E213D0}"/>
    <cellStyle name="Currency 2 2 7 2 2 2 2 4" xfId="20294" xr:uid="{9FB18657-7432-4194-B32F-F1690999418B}"/>
    <cellStyle name="Currency 2 2 7 2 2 2 3" xfId="7111" xr:uid="{947F6E18-A2FB-44DC-9B0D-3BBEC175095B}"/>
    <cellStyle name="Currency 2 2 7 2 2 2 3 2" xfId="10583" xr:uid="{BBA98C68-B180-4DA6-98AD-F907D269F1DF}"/>
    <cellStyle name="Currency 2 2 7 2 2 2 3 2 2" xfId="24634" xr:uid="{A6831BEE-784A-44FD-8AE1-BBA2FC0051B8}"/>
    <cellStyle name="Currency 2 2 7 2 2 2 3 3" xfId="13187" xr:uid="{0184BFB8-F367-411E-92E8-13CA6DB7E25A}"/>
    <cellStyle name="Currency 2 2 7 2 2 2 3 3 2" xfId="27238" xr:uid="{54C29FB4-7ABC-4C0D-A0C4-21635E899D6B}"/>
    <cellStyle name="Currency 2 2 7 2 2 2 3 4" xfId="21162" xr:uid="{DD28046E-EAEC-423F-8B5D-F842C65CC1D0}"/>
    <cellStyle name="Currency 2 2 7 2 2 2 4" xfId="8847" xr:uid="{8932B36E-875C-45C1-820A-05FD82BCA848}"/>
    <cellStyle name="Currency 2 2 7 2 2 2 4 2" xfId="14055" xr:uid="{55FC7595-F0E5-4344-8CD2-35D336F5FE36}"/>
    <cellStyle name="Currency 2 2 7 2 2 2 4 2 2" xfId="28106" xr:uid="{A94504BD-3AF9-4071-8436-C8EAD00F05F1}"/>
    <cellStyle name="Currency 2 2 7 2 2 2 4 3" xfId="22898" xr:uid="{9DF8F50C-3236-4ED9-BFE6-EB021858E6A3}"/>
    <cellStyle name="Currency 2 2 7 2 2 2 5" xfId="7979" xr:uid="{ADB12FDE-6654-4883-ACD2-AC92AA838149}"/>
    <cellStyle name="Currency 2 2 7 2 2 2 5 2" xfId="22030" xr:uid="{67422B83-1420-483F-A056-C41659A7525B}"/>
    <cellStyle name="Currency 2 2 7 2 2 2 6" xfId="11451" xr:uid="{CE5562EE-4938-4C98-AD56-C7BA6517EEA5}"/>
    <cellStyle name="Currency 2 2 7 2 2 2 6 2" xfId="25502" xr:uid="{9D235A47-1B4A-4309-9864-C4B3B535E502}"/>
    <cellStyle name="Currency 2 2 7 2 2 2 7" xfId="19426" xr:uid="{CD65970A-FC07-4EC5-B464-969304000931}"/>
    <cellStyle name="Currency 2 2 7 2 2 3" xfId="5809" xr:uid="{23E3A181-45E6-4538-AFC3-E3AE375E224B}"/>
    <cellStyle name="Currency 2 2 7 2 2 3 2" xfId="9281" xr:uid="{0046E6D1-1D17-4C7A-9ABC-7615AE760C6D}"/>
    <cellStyle name="Currency 2 2 7 2 2 3 2 2" xfId="23332" xr:uid="{7E293A5A-8F19-4642-BF1B-BADE75048FD7}"/>
    <cellStyle name="Currency 2 2 7 2 2 3 3" xfId="11885" xr:uid="{5205CF93-F8FA-4A26-92DF-1B6EF7118469}"/>
    <cellStyle name="Currency 2 2 7 2 2 3 3 2" xfId="25936" xr:uid="{6D6BF1BE-5900-4198-A25B-A2BE0001F482}"/>
    <cellStyle name="Currency 2 2 7 2 2 3 4" xfId="19860" xr:uid="{C6196876-6A63-4912-BB24-8FAC8A020D99}"/>
    <cellStyle name="Currency 2 2 7 2 2 4" xfId="6677" xr:uid="{7B6CAEAF-8D02-43BD-ABC6-E9C541250513}"/>
    <cellStyle name="Currency 2 2 7 2 2 4 2" xfId="10149" xr:uid="{A26A5A1D-947E-45D3-B745-194641E28E00}"/>
    <cellStyle name="Currency 2 2 7 2 2 4 2 2" xfId="24200" xr:uid="{AA96674B-B29A-4C03-9915-6BE54C9E61AE}"/>
    <cellStyle name="Currency 2 2 7 2 2 4 3" xfId="12753" xr:uid="{B1135A8D-DBA1-473B-AE79-478C06F8F3A0}"/>
    <cellStyle name="Currency 2 2 7 2 2 4 3 2" xfId="26804" xr:uid="{A36B00E4-162A-4F47-88DB-5FB00DFA87F4}"/>
    <cellStyle name="Currency 2 2 7 2 2 4 4" xfId="20728" xr:uid="{11667496-08A0-48B1-B072-B411FF99289F}"/>
    <cellStyle name="Currency 2 2 7 2 2 5" xfId="8413" xr:uid="{ADB772BE-BF60-4EBE-99DB-42E9FB2DB93D}"/>
    <cellStyle name="Currency 2 2 7 2 2 5 2" xfId="13621" xr:uid="{275162CC-3547-47D0-956F-270F5DA8B936}"/>
    <cellStyle name="Currency 2 2 7 2 2 5 2 2" xfId="27672" xr:uid="{BFEC663D-D95E-4646-A223-C82AD7AF92C8}"/>
    <cellStyle name="Currency 2 2 7 2 2 5 3" xfId="22464" xr:uid="{4708D938-F1A2-455C-93B1-9BE7B8979AE0}"/>
    <cellStyle name="Currency 2 2 7 2 2 6" xfId="7545" xr:uid="{B2C6A429-750A-415B-9FC4-1E4D7791863F}"/>
    <cellStyle name="Currency 2 2 7 2 2 6 2" xfId="21596" xr:uid="{50912BE3-39AE-4730-AE84-A536BA564B19}"/>
    <cellStyle name="Currency 2 2 7 2 2 7" xfId="11017" xr:uid="{27DFB43E-F606-44F4-B761-2A40CFFF31B9}"/>
    <cellStyle name="Currency 2 2 7 2 2 7 2" xfId="25068" xr:uid="{E2242A18-54D1-4A22-B7D6-9C9EB3B0B12E}"/>
    <cellStyle name="Currency 2 2 7 2 2 8" xfId="18495" xr:uid="{00A8165A-6F05-41CA-8537-987BD3BCDC9E}"/>
    <cellStyle name="Currency 2 2 7 2 3" xfId="5185" xr:uid="{5899DD3C-6393-437C-BCD7-E4F2937DF68F}"/>
    <cellStyle name="Currency 2 2 7 2 3 2" xfId="6053" xr:uid="{819141DF-B4D2-41A6-8B64-680B379FE20B}"/>
    <cellStyle name="Currency 2 2 7 2 3 2 2" xfId="9525" xr:uid="{116F5B4F-DF3F-4E06-9847-21BA4F1242FA}"/>
    <cellStyle name="Currency 2 2 7 2 3 2 2 2" xfId="23576" xr:uid="{B613A709-BA65-4AE5-BDDC-B947DEDB7BFA}"/>
    <cellStyle name="Currency 2 2 7 2 3 2 3" xfId="12129" xr:uid="{5BAD88F3-6225-4419-A497-B49AE473C1CC}"/>
    <cellStyle name="Currency 2 2 7 2 3 2 3 2" xfId="26180" xr:uid="{4F0DB628-6ED5-43B1-99F3-12E004F4A346}"/>
    <cellStyle name="Currency 2 2 7 2 3 2 4" xfId="20104" xr:uid="{C6CD9DBB-0421-4DC1-995F-A0F1AE51CC91}"/>
    <cellStyle name="Currency 2 2 7 2 3 3" xfId="6921" xr:uid="{890F3D7D-F492-4DBB-B466-C39FC2EE1A5A}"/>
    <cellStyle name="Currency 2 2 7 2 3 3 2" xfId="10393" xr:uid="{DA95BC12-06B5-421A-A576-BC309F35E723}"/>
    <cellStyle name="Currency 2 2 7 2 3 3 2 2" xfId="24444" xr:uid="{F289A641-211C-43B6-8448-D072984008E8}"/>
    <cellStyle name="Currency 2 2 7 2 3 3 3" xfId="12997" xr:uid="{553081FA-285A-4C0E-AEFA-FEA84ADDF136}"/>
    <cellStyle name="Currency 2 2 7 2 3 3 3 2" xfId="27048" xr:uid="{0FA1DD49-8E32-4FE2-B7E0-5F82AC6FD6E9}"/>
    <cellStyle name="Currency 2 2 7 2 3 3 4" xfId="20972" xr:uid="{BCE70314-ABE7-4798-8388-0A1D5E61AA49}"/>
    <cellStyle name="Currency 2 2 7 2 3 4" xfId="8657" xr:uid="{DA313518-0CDA-4DCF-AA1F-62D67A83A215}"/>
    <cellStyle name="Currency 2 2 7 2 3 4 2" xfId="13865" xr:uid="{17B8B37B-1A66-4DFD-A56A-0B7F11A62EC0}"/>
    <cellStyle name="Currency 2 2 7 2 3 4 2 2" xfId="27916" xr:uid="{A323C6F0-CD67-42B2-AD2E-B1F167144B8B}"/>
    <cellStyle name="Currency 2 2 7 2 3 4 3" xfId="22708" xr:uid="{0E42E3E4-AFAE-4BEB-B7AC-09BB96429E06}"/>
    <cellStyle name="Currency 2 2 7 2 3 5" xfId="7789" xr:uid="{A4628F15-CD60-4C9F-BE87-E4EE17FC4C9B}"/>
    <cellStyle name="Currency 2 2 7 2 3 5 2" xfId="21840" xr:uid="{EF344198-F6DD-4A32-B6A7-108B135C63DC}"/>
    <cellStyle name="Currency 2 2 7 2 3 6" xfId="11261" xr:uid="{7E990830-68F5-4673-8E58-C1567F131555}"/>
    <cellStyle name="Currency 2 2 7 2 3 6 2" xfId="25312" xr:uid="{A67FB0CA-328E-4F7F-B7DE-2D5D4B672BBB}"/>
    <cellStyle name="Currency 2 2 7 2 3 7" xfId="19236" xr:uid="{6BD7F966-CC75-4276-B8A3-1E17D1CABEAB}"/>
    <cellStyle name="Currency 2 2 7 2 4" xfId="5619" xr:uid="{818DF24B-B788-44FC-81BC-5EDA5425D417}"/>
    <cellStyle name="Currency 2 2 7 2 4 2" xfId="9091" xr:uid="{F66E177A-E5D3-4F96-B06B-8570332E26C9}"/>
    <cellStyle name="Currency 2 2 7 2 4 2 2" xfId="23142" xr:uid="{9A66AAD3-F96B-461A-AACA-013861A09A56}"/>
    <cellStyle name="Currency 2 2 7 2 4 3" xfId="11695" xr:uid="{09F40B50-760B-4C08-B30F-E700647131DB}"/>
    <cellStyle name="Currency 2 2 7 2 4 3 2" xfId="25746" xr:uid="{86C846F2-6F8A-4501-A4E4-DC9BA2E4FB27}"/>
    <cellStyle name="Currency 2 2 7 2 4 4" xfId="19670" xr:uid="{93583C01-A598-4AB8-ADFA-A2612CEB96C3}"/>
    <cellStyle name="Currency 2 2 7 2 5" xfId="6487" xr:uid="{84D86D18-3121-4672-87C2-8150B8F8FDDD}"/>
    <cellStyle name="Currency 2 2 7 2 5 2" xfId="9959" xr:uid="{E1671C95-8F5E-40F9-8F05-3CD9381768C9}"/>
    <cellStyle name="Currency 2 2 7 2 5 2 2" xfId="24010" xr:uid="{86D8C9BC-0081-4A3D-B0FD-3D7209445056}"/>
    <cellStyle name="Currency 2 2 7 2 5 3" xfId="12563" xr:uid="{2EB9C636-4AC4-4EE0-A30E-B9336C45BEEA}"/>
    <cellStyle name="Currency 2 2 7 2 5 3 2" xfId="26614" xr:uid="{9450EA05-48CA-489A-9C04-C934C98473C0}"/>
    <cellStyle name="Currency 2 2 7 2 5 4" xfId="20538" xr:uid="{36F15882-EBA4-4C96-98FB-E1412B727535}"/>
    <cellStyle name="Currency 2 2 7 2 6" xfId="8223" xr:uid="{C726E1B8-64C3-4869-AF13-F3855B87C816}"/>
    <cellStyle name="Currency 2 2 7 2 6 2" xfId="13431" xr:uid="{116A7203-411C-4063-822D-BC826FAEC93A}"/>
    <cellStyle name="Currency 2 2 7 2 6 2 2" xfId="27482" xr:uid="{1969FED6-FC5C-445C-B4FE-C0E30BA88D68}"/>
    <cellStyle name="Currency 2 2 7 2 6 3" xfId="22274" xr:uid="{0961631B-F930-4FD7-A475-FEABEECB3B7B}"/>
    <cellStyle name="Currency 2 2 7 2 7" xfId="7355" xr:uid="{D8B08075-0A86-453E-AB7C-F6EA73F10265}"/>
    <cellStyle name="Currency 2 2 7 2 7 2" xfId="21406" xr:uid="{C4BBDEC7-6331-473A-95A9-663132621DB6}"/>
    <cellStyle name="Currency 2 2 7 2 8" xfId="10827" xr:uid="{9EB1DEFF-6CF3-44A9-A7AF-5A8DF9B81833}"/>
    <cellStyle name="Currency 2 2 7 2 8 2" xfId="24878" xr:uid="{4A3E001F-3A53-42D4-97A8-906906E0AC3D}"/>
    <cellStyle name="Currency 2 2 7 2 9" xfId="16305" xr:uid="{A73FA1A0-EFCC-453F-83D0-C45492D378A2}"/>
    <cellStyle name="Currency 2 2 7 3" xfId="3349" xr:uid="{86368E3F-9006-4CFD-9A56-AB78FEBEE9BC}"/>
    <cellStyle name="Currency 2 2 7 3 2" xfId="5280" xr:uid="{7CA3F6D1-29C1-4EE0-830C-4BE3CEB96BA8}"/>
    <cellStyle name="Currency 2 2 7 3 2 2" xfId="6148" xr:uid="{AD7B5EA8-FE9A-4D91-8C8E-326C2311747E}"/>
    <cellStyle name="Currency 2 2 7 3 2 2 2" xfId="9620" xr:uid="{8FDBCECE-D0E0-4353-972B-B59E6BFC9FD8}"/>
    <cellStyle name="Currency 2 2 7 3 2 2 2 2" xfId="23671" xr:uid="{E6EF3940-E7E0-488D-85AA-F436C7FE2C25}"/>
    <cellStyle name="Currency 2 2 7 3 2 2 3" xfId="12224" xr:uid="{03F4D59D-5F8F-4890-8651-6C18DFB91899}"/>
    <cellStyle name="Currency 2 2 7 3 2 2 3 2" xfId="26275" xr:uid="{6A1195FA-8A7A-4D2C-957C-BD448DA0D8F4}"/>
    <cellStyle name="Currency 2 2 7 3 2 2 4" xfId="20199" xr:uid="{991A9D99-47E4-4BED-BDFA-E5A65A9103CE}"/>
    <cellStyle name="Currency 2 2 7 3 2 3" xfId="7016" xr:uid="{86BC98E7-F046-4875-9E53-F46117922F10}"/>
    <cellStyle name="Currency 2 2 7 3 2 3 2" xfId="10488" xr:uid="{0E3D78E1-1D2A-4A47-A800-4C5226FCE75C}"/>
    <cellStyle name="Currency 2 2 7 3 2 3 2 2" xfId="24539" xr:uid="{49F7FCA4-86AB-40F3-AD0B-709345527F46}"/>
    <cellStyle name="Currency 2 2 7 3 2 3 3" xfId="13092" xr:uid="{A9CF55F3-FE37-4073-A191-5B9E32A1CFCB}"/>
    <cellStyle name="Currency 2 2 7 3 2 3 3 2" xfId="27143" xr:uid="{1A44D1C1-604B-4520-A5B2-AA37942E25C5}"/>
    <cellStyle name="Currency 2 2 7 3 2 3 4" xfId="21067" xr:uid="{5EF6D29E-0F57-44FD-BFCB-78DDA062CBBF}"/>
    <cellStyle name="Currency 2 2 7 3 2 4" xfId="8752" xr:uid="{15A37DA1-288D-4F59-BFCF-C04EFD8A7F08}"/>
    <cellStyle name="Currency 2 2 7 3 2 4 2" xfId="13960" xr:uid="{1E6B3727-375A-426D-8153-FCA9C083888A}"/>
    <cellStyle name="Currency 2 2 7 3 2 4 2 2" xfId="28011" xr:uid="{5D22A393-7D9D-446D-B899-08FC98A6BD31}"/>
    <cellStyle name="Currency 2 2 7 3 2 4 3" xfId="22803" xr:uid="{5BA0EF9D-A309-49B0-B36F-429D90F917B3}"/>
    <cellStyle name="Currency 2 2 7 3 2 5" xfId="7884" xr:uid="{FC64ABB1-5D41-43E3-A27B-4B8578902F0A}"/>
    <cellStyle name="Currency 2 2 7 3 2 5 2" xfId="21935" xr:uid="{35656247-0B88-49D8-9B38-DF40C889D744}"/>
    <cellStyle name="Currency 2 2 7 3 2 6" xfId="11356" xr:uid="{C6CBFA02-9317-4714-98A1-BA68753465E1}"/>
    <cellStyle name="Currency 2 2 7 3 2 6 2" xfId="25407" xr:uid="{625F7609-5021-4E2D-B2D4-AF3AC102A5F2}"/>
    <cellStyle name="Currency 2 2 7 3 2 7" xfId="19331" xr:uid="{34E0DC44-9A24-4A85-A733-B553FF3B5CC3}"/>
    <cellStyle name="Currency 2 2 7 3 3" xfId="5714" xr:uid="{8DD5B539-A2DE-4A4F-8585-FEF168828B19}"/>
    <cellStyle name="Currency 2 2 7 3 3 2" xfId="9186" xr:uid="{A48BF955-2CD0-4824-AB9A-A896128EEC4A}"/>
    <cellStyle name="Currency 2 2 7 3 3 2 2" xfId="23237" xr:uid="{8D81F4AB-ED73-462C-A6E4-B6518E61F8EE}"/>
    <cellStyle name="Currency 2 2 7 3 3 3" xfId="11790" xr:uid="{39C20E55-E8A7-4314-A80B-ACDFD742FE23}"/>
    <cellStyle name="Currency 2 2 7 3 3 3 2" xfId="25841" xr:uid="{B33027DD-81F3-4BAB-8490-617A3087FB4F}"/>
    <cellStyle name="Currency 2 2 7 3 3 4" xfId="19765" xr:uid="{EAC2ED72-C6DA-40D7-B20B-B69370ADDD04}"/>
    <cellStyle name="Currency 2 2 7 3 4" xfId="6582" xr:uid="{2962CD83-5638-4F40-B091-97E017D46239}"/>
    <cellStyle name="Currency 2 2 7 3 4 2" xfId="10054" xr:uid="{89F87C23-0FD9-481F-8A42-7995F9BEAE02}"/>
    <cellStyle name="Currency 2 2 7 3 4 2 2" xfId="24105" xr:uid="{DF214219-322E-4707-891C-4BDC2E8741AE}"/>
    <cellStyle name="Currency 2 2 7 3 4 3" xfId="12658" xr:uid="{AE845902-3063-4D78-B09C-D5A9E0B2A2BE}"/>
    <cellStyle name="Currency 2 2 7 3 4 3 2" xfId="26709" xr:uid="{A9785934-B817-474B-9BBD-9829D74E9BA9}"/>
    <cellStyle name="Currency 2 2 7 3 4 4" xfId="20633" xr:uid="{EA253A03-1FCD-478C-AD96-A45E8E76F962}"/>
    <cellStyle name="Currency 2 2 7 3 5" xfId="8318" xr:uid="{7C22F53C-FEA1-4BFA-B037-87C366CACF50}"/>
    <cellStyle name="Currency 2 2 7 3 5 2" xfId="13526" xr:uid="{E0CD14F6-81E5-48DD-84FC-D6A91BF8F81A}"/>
    <cellStyle name="Currency 2 2 7 3 5 2 2" xfId="27577" xr:uid="{F68E0853-59C3-4C46-AE49-7977E59AFD91}"/>
    <cellStyle name="Currency 2 2 7 3 5 3" xfId="22369" xr:uid="{83E8370D-4B6B-4675-9053-647EFDA44660}"/>
    <cellStyle name="Currency 2 2 7 3 6" xfId="7450" xr:uid="{A042029F-15C4-4566-A235-F0E58C04939B}"/>
    <cellStyle name="Currency 2 2 7 3 6 2" xfId="21501" xr:uid="{CD6455A5-0AA9-42CA-BE93-708D25187748}"/>
    <cellStyle name="Currency 2 2 7 3 7" xfId="10922" xr:uid="{8CA4A3E4-0E2E-4C16-B6E5-16C16DEFAC48}"/>
    <cellStyle name="Currency 2 2 7 3 7 2" xfId="24973" xr:uid="{1CB87A3D-150B-4792-BECF-680DBB7D2EB6}"/>
    <cellStyle name="Currency 2 2 7 3 8" xfId="17401" xr:uid="{86EEB9AA-3120-41C1-A0ED-DDD34040BB77}"/>
    <cellStyle name="Currency 2 2 7 4" xfId="5088" xr:uid="{B646B641-801F-4C85-9C35-A84B0132A2D5}"/>
    <cellStyle name="Currency 2 2 7 4 2" xfId="5956" xr:uid="{3E3EE4EC-9F82-4A55-913C-7E25C4386079}"/>
    <cellStyle name="Currency 2 2 7 4 2 2" xfId="9428" xr:uid="{64E60D78-530E-4510-87D3-3000AD3EA06A}"/>
    <cellStyle name="Currency 2 2 7 4 2 2 2" xfId="23479" xr:uid="{AD107DE2-00C5-47F5-95B7-1A28420A7487}"/>
    <cellStyle name="Currency 2 2 7 4 2 3" xfId="12032" xr:uid="{582E903D-CC2D-4CE4-BECC-162EDACB4FF7}"/>
    <cellStyle name="Currency 2 2 7 4 2 3 2" xfId="26083" xr:uid="{BA892A74-0751-4D70-8F39-9C6BCCC60CC8}"/>
    <cellStyle name="Currency 2 2 7 4 2 4" xfId="20007" xr:uid="{48BA3EE3-F54B-4417-8F40-6317B57E01C1}"/>
    <cellStyle name="Currency 2 2 7 4 3" xfId="6824" xr:uid="{318AE148-48FD-4F8D-8355-290DF5233B95}"/>
    <cellStyle name="Currency 2 2 7 4 3 2" xfId="10296" xr:uid="{B105A17B-70D3-456D-8E2D-3803E236EA14}"/>
    <cellStyle name="Currency 2 2 7 4 3 2 2" xfId="24347" xr:uid="{BB309728-02A6-4453-8CE7-C2CDF2514F06}"/>
    <cellStyle name="Currency 2 2 7 4 3 3" xfId="12900" xr:uid="{E3B4C2EB-4923-431A-AE7F-F84C845D1DF6}"/>
    <cellStyle name="Currency 2 2 7 4 3 3 2" xfId="26951" xr:uid="{D301046B-0EC8-456D-96FD-F9902ADC6AEB}"/>
    <cellStyle name="Currency 2 2 7 4 3 4" xfId="20875" xr:uid="{6925A749-8C6C-44D2-993E-BD8C221648D7}"/>
    <cellStyle name="Currency 2 2 7 4 4" xfId="8560" xr:uid="{BFE0512D-3C3B-40EE-944F-A31ACF2626A7}"/>
    <cellStyle name="Currency 2 2 7 4 4 2" xfId="13768" xr:uid="{69F0FEE7-728D-4E02-A247-A96435F6AC08}"/>
    <cellStyle name="Currency 2 2 7 4 4 2 2" xfId="27819" xr:uid="{26C7399E-8023-476B-8769-926E1248B43D}"/>
    <cellStyle name="Currency 2 2 7 4 4 3" xfId="22611" xr:uid="{DA6AFB3D-007D-4DB1-821D-C0324B0E365D}"/>
    <cellStyle name="Currency 2 2 7 4 5" xfId="7692" xr:uid="{91733DF2-357A-4D72-A2F6-227F23BF9653}"/>
    <cellStyle name="Currency 2 2 7 4 5 2" xfId="21743" xr:uid="{1A2A657E-33A5-4AE3-B69C-0AC6CB2BAB99}"/>
    <cellStyle name="Currency 2 2 7 4 6" xfId="11164" xr:uid="{857ECAEC-69DD-4B5A-ACB8-24C183F12ECA}"/>
    <cellStyle name="Currency 2 2 7 4 6 2" xfId="25215" xr:uid="{7F22D2EF-822D-4465-A112-E4B61A3FCA37}"/>
    <cellStyle name="Currency 2 2 7 4 7" xfId="19139" xr:uid="{2C9D513E-911E-4D41-B64C-A856FB3FFB17}"/>
    <cellStyle name="Currency 2 2 7 5" xfId="5522" xr:uid="{9C344BBE-5D35-421E-993D-CEB681402A2B}"/>
    <cellStyle name="Currency 2 2 7 5 2" xfId="8994" xr:uid="{9583C5C1-58D8-4D1A-84F2-947C16909F07}"/>
    <cellStyle name="Currency 2 2 7 5 2 2" xfId="23045" xr:uid="{0F8918FE-8BD2-444E-9D45-CC53A0F91A78}"/>
    <cellStyle name="Currency 2 2 7 5 3" xfId="11598" xr:uid="{2C63A5DD-3342-4604-8708-42247E40D37E}"/>
    <cellStyle name="Currency 2 2 7 5 3 2" xfId="25649" xr:uid="{5390FDDE-444D-4208-9E93-6FAB60A41835}"/>
    <cellStyle name="Currency 2 2 7 5 4" xfId="19573" xr:uid="{D9F3B387-3FCB-4D0A-9745-FED2664DEA6A}"/>
    <cellStyle name="Currency 2 2 7 6" xfId="6390" xr:uid="{E07D561D-88A8-4480-84AC-A7BDF3CBAD46}"/>
    <cellStyle name="Currency 2 2 7 6 2" xfId="9862" xr:uid="{A4349A0D-263C-410C-8FB6-3FE1BA86370B}"/>
    <cellStyle name="Currency 2 2 7 6 2 2" xfId="23913" xr:uid="{F511776C-5784-4530-80CD-405ADDAB6342}"/>
    <cellStyle name="Currency 2 2 7 6 3" xfId="12466" xr:uid="{FA308F6B-588E-4CEB-85B9-3DBC6F96E38E}"/>
    <cellStyle name="Currency 2 2 7 6 3 2" xfId="26517" xr:uid="{8421E9D9-1601-418F-BE93-E53FA662D517}"/>
    <cellStyle name="Currency 2 2 7 6 4" xfId="20441" xr:uid="{585D0557-437C-4EDD-BEC3-A8534E292DA6}"/>
    <cellStyle name="Currency 2 2 7 7" xfId="8126" xr:uid="{9B5321A2-2FB6-4E27-8762-B1662201B63F}"/>
    <cellStyle name="Currency 2 2 7 7 2" xfId="13334" xr:uid="{46FA141E-6C23-4027-B0EC-3FF3B45115D2}"/>
    <cellStyle name="Currency 2 2 7 7 2 2" xfId="27385" xr:uid="{520458EE-1FE2-4682-B4B8-A7DBE77A9724}"/>
    <cellStyle name="Currency 2 2 7 7 3" xfId="22177" xr:uid="{BFA25E3A-5E24-4892-8DA2-6B47256752BC}"/>
    <cellStyle name="Currency 2 2 7 8" xfId="7258" xr:uid="{8CB7EE10-F776-406B-842D-68FAD4D01690}"/>
    <cellStyle name="Currency 2 2 7 8 2" xfId="21309" xr:uid="{4C3104BF-CFCB-4C5D-96EA-9B128035CF3E}"/>
    <cellStyle name="Currency 2 2 7 9" xfId="10730" xr:uid="{A3FA0067-5A35-42E7-8501-7EC9ED1F1E60}"/>
    <cellStyle name="Currency 2 2 7 9 2" xfId="24781" xr:uid="{A05154B3-18EC-4970-AA55-774603D86F2E}"/>
    <cellStyle name="Currency 2 2 8" xfId="1220" xr:uid="{004F912C-9F7F-4F08-836F-FFC8432D7B72}"/>
    <cellStyle name="Currency 2 2 8 2" xfId="3410" xr:uid="{7E35C8F4-F657-4945-BBE5-AD19B41B2287}"/>
    <cellStyle name="Currency 2 2 8 2 2" xfId="5286" xr:uid="{E88B0B4E-892C-4969-9C63-CCBDBFC319AB}"/>
    <cellStyle name="Currency 2 2 8 2 2 2" xfId="6154" xr:uid="{D10013A1-7E1C-4D0D-A029-54E5800705BB}"/>
    <cellStyle name="Currency 2 2 8 2 2 2 2" xfId="9626" xr:uid="{5115B9B6-C2C5-490D-AE43-621CCD6DD926}"/>
    <cellStyle name="Currency 2 2 8 2 2 2 2 2" xfId="23677" xr:uid="{3161670A-A589-4BA7-9C0C-F148EE68AFA9}"/>
    <cellStyle name="Currency 2 2 8 2 2 2 3" xfId="12230" xr:uid="{4F93E113-EF98-4727-8C5F-771148132FB8}"/>
    <cellStyle name="Currency 2 2 8 2 2 2 3 2" xfId="26281" xr:uid="{C1FB04CC-69D3-4593-AF91-87580C466BD9}"/>
    <cellStyle name="Currency 2 2 8 2 2 2 4" xfId="20205" xr:uid="{BE75FF78-4F4B-48F0-A47A-37A443B75622}"/>
    <cellStyle name="Currency 2 2 8 2 2 3" xfId="7022" xr:uid="{A9426D7C-B9EA-48B8-829F-1628CA891E4B}"/>
    <cellStyle name="Currency 2 2 8 2 2 3 2" xfId="10494" xr:uid="{707E17EA-9617-4253-A059-62268C9D3DFE}"/>
    <cellStyle name="Currency 2 2 8 2 2 3 2 2" xfId="24545" xr:uid="{F3D714EA-C50B-494B-AAEE-222CC76F425C}"/>
    <cellStyle name="Currency 2 2 8 2 2 3 3" xfId="13098" xr:uid="{D7121237-3FBA-4B2B-B48B-F27B07E5BF45}"/>
    <cellStyle name="Currency 2 2 8 2 2 3 3 2" xfId="27149" xr:uid="{CF255CE1-D964-4F53-94C8-E66204F8B343}"/>
    <cellStyle name="Currency 2 2 8 2 2 3 4" xfId="21073" xr:uid="{49E1E96B-5487-48F4-8D70-29630A4A514D}"/>
    <cellStyle name="Currency 2 2 8 2 2 4" xfId="8758" xr:uid="{40CB7308-DC4F-4978-9027-9D6F968D9757}"/>
    <cellStyle name="Currency 2 2 8 2 2 4 2" xfId="13966" xr:uid="{C10C6682-985E-4E33-B2CE-09B900AA8B66}"/>
    <cellStyle name="Currency 2 2 8 2 2 4 2 2" xfId="28017" xr:uid="{DBE675E1-FC59-41F9-9CFF-2DC0296B8BBF}"/>
    <cellStyle name="Currency 2 2 8 2 2 4 3" xfId="22809" xr:uid="{DC26D8A9-44C9-482F-ADA8-4494FA3242DC}"/>
    <cellStyle name="Currency 2 2 8 2 2 5" xfId="7890" xr:uid="{F4E1EE23-B680-446C-A18F-90925EF50799}"/>
    <cellStyle name="Currency 2 2 8 2 2 5 2" xfId="21941" xr:uid="{75BB4319-991B-4D8D-903E-EDF75182ED7D}"/>
    <cellStyle name="Currency 2 2 8 2 2 6" xfId="11362" xr:uid="{1E5DEE25-A31C-460A-956A-9CDD786E3AFB}"/>
    <cellStyle name="Currency 2 2 8 2 2 6 2" xfId="25413" xr:uid="{0987065C-79A1-4A30-86B3-0B3047465DB0}"/>
    <cellStyle name="Currency 2 2 8 2 2 7" xfId="19337" xr:uid="{78D2173E-2769-4F8D-9C22-6C255ADF9422}"/>
    <cellStyle name="Currency 2 2 8 2 3" xfId="5720" xr:uid="{778CB0D5-57C9-49BE-922A-F705446CFD7B}"/>
    <cellStyle name="Currency 2 2 8 2 3 2" xfId="9192" xr:uid="{13AFD4D3-7403-4558-9D36-911015DFB736}"/>
    <cellStyle name="Currency 2 2 8 2 3 2 2" xfId="23243" xr:uid="{EFECA138-8F71-4D95-A4E3-51AD11ABDC07}"/>
    <cellStyle name="Currency 2 2 8 2 3 3" xfId="11796" xr:uid="{86246F24-E0A5-437B-A778-CE221CD94C30}"/>
    <cellStyle name="Currency 2 2 8 2 3 3 2" xfId="25847" xr:uid="{22CA2535-48AC-48D1-821F-6D53A04281DE}"/>
    <cellStyle name="Currency 2 2 8 2 3 4" xfId="19771" xr:uid="{5E8E218B-9B35-4272-AB0C-DB8575C3D052}"/>
    <cellStyle name="Currency 2 2 8 2 4" xfId="6588" xr:uid="{C4D754F6-6B3E-4897-A0D9-B96E9E05769E}"/>
    <cellStyle name="Currency 2 2 8 2 4 2" xfId="10060" xr:uid="{DB094EC0-B49C-4F2D-BF29-D2F32502F542}"/>
    <cellStyle name="Currency 2 2 8 2 4 2 2" xfId="24111" xr:uid="{94DC309E-316D-4D52-8C0E-5848C25D19E7}"/>
    <cellStyle name="Currency 2 2 8 2 4 3" xfId="12664" xr:uid="{427D4DD3-7EF1-4EFD-8AE4-8491F74C3C32}"/>
    <cellStyle name="Currency 2 2 8 2 4 3 2" xfId="26715" xr:uid="{61D4AC42-1F78-43A7-A4D6-22E4E367E051}"/>
    <cellStyle name="Currency 2 2 8 2 4 4" xfId="20639" xr:uid="{B48E6B2D-B632-4C43-940A-270F0F989063}"/>
    <cellStyle name="Currency 2 2 8 2 5" xfId="8324" xr:uid="{FEB284AF-3B85-4BAE-8119-E37BF88768F4}"/>
    <cellStyle name="Currency 2 2 8 2 5 2" xfId="13532" xr:uid="{953E9875-D562-4BD1-BF8B-6AC1C4BEA1D1}"/>
    <cellStyle name="Currency 2 2 8 2 5 2 2" xfId="27583" xr:uid="{B0B78432-9586-4D22-9F27-A88D5EAA3554}"/>
    <cellStyle name="Currency 2 2 8 2 5 3" xfId="22375" xr:uid="{420E8FA2-4D04-488A-9B41-27E743966F14}"/>
    <cellStyle name="Currency 2 2 8 2 6" xfId="7456" xr:uid="{83836CE2-27D5-4B3F-B3E4-93BE66A77D06}"/>
    <cellStyle name="Currency 2 2 8 2 6 2" xfId="21507" xr:uid="{DBD6130D-1964-4CED-B682-6489A40BCFFD}"/>
    <cellStyle name="Currency 2 2 8 2 7" xfId="10928" xr:uid="{623F1E41-745C-4752-8D4E-999D4F2DA760}"/>
    <cellStyle name="Currency 2 2 8 2 7 2" xfId="24979" xr:uid="{718356C6-1137-4824-8A5B-110554C158BF}"/>
    <cellStyle name="Currency 2 2 8 2 8" xfId="17462" xr:uid="{BC0EC39C-1B99-431A-BA30-894A95F0B3BE}"/>
    <cellStyle name="Currency 2 2 8 3" xfId="5095" xr:uid="{99D12193-9D5B-4F77-A335-E28FF71904C5}"/>
    <cellStyle name="Currency 2 2 8 3 2" xfId="5963" xr:uid="{CC211637-CE36-456A-9110-A01B086BF496}"/>
    <cellStyle name="Currency 2 2 8 3 2 2" xfId="9435" xr:uid="{C7BE6A7E-4292-44F6-8044-ED4FE3F9C5CB}"/>
    <cellStyle name="Currency 2 2 8 3 2 2 2" xfId="23486" xr:uid="{2C10CF1B-1786-45E2-8D68-67D4F50E9CB5}"/>
    <cellStyle name="Currency 2 2 8 3 2 3" xfId="12039" xr:uid="{45E07C61-2860-448C-B731-5E63DCED929A}"/>
    <cellStyle name="Currency 2 2 8 3 2 3 2" xfId="26090" xr:uid="{A3F4685F-0006-404C-BCB4-1E9ED5CC0D26}"/>
    <cellStyle name="Currency 2 2 8 3 2 4" xfId="20014" xr:uid="{82637049-8F7B-46CD-86A0-F25570369B91}"/>
    <cellStyle name="Currency 2 2 8 3 3" xfId="6831" xr:uid="{C6A8EA93-1F68-4741-ABBD-A2E4F10551DF}"/>
    <cellStyle name="Currency 2 2 8 3 3 2" xfId="10303" xr:uid="{9C3D93F1-0C74-4B8B-A30B-989027189B94}"/>
    <cellStyle name="Currency 2 2 8 3 3 2 2" xfId="24354" xr:uid="{FD05B7B9-4502-437A-A8FD-3155F73AC0FA}"/>
    <cellStyle name="Currency 2 2 8 3 3 3" xfId="12907" xr:uid="{6266A359-F8C4-4D53-94F0-A511E0867CB1}"/>
    <cellStyle name="Currency 2 2 8 3 3 3 2" xfId="26958" xr:uid="{DB95592A-A1C0-4761-AE37-BC4D041DCA9F}"/>
    <cellStyle name="Currency 2 2 8 3 3 4" xfId="20882" xr:uid="{A2DF501C-4E48-4A1C-B34A-7144E51D67ED}"/>
    <cellStyle name="Currency 2 2 8 3 4" xfId="8567" xr:uid="{2C7F98B6-E2F2-4DB5-AA30-14847CEC6037}"/>
    <cellStyle name="Currency 2 2 8 3 4 2" xfId="13775" xr:uid="{7AA8DFB9-EF52-4C93-84B4-41E3302A4CE2}"/>
    <cellStyle name="Currency 2 2 8 3 4 2 2" xfId="27826" xr:uid="{A20A2D15-771B-45E1-BAB1-6DD9D67A0B0B}"/>
    <cellStyle name="Currency 2 2 8 3 4 3" xfId="22618" xr:uid="{70DBAA6C-6A68-4CB7-86B1-DCE4F004A095}"/>
    <cellStyle name="Currency 2 2 8 3 5" xfId="7699" xr:uid="{11C5AFC4-3818-41D5-89D6-BBB8B29A0E5E}"/>
    <cellStyle name="Currency 2 2 8 3 5 2" xfId="21750" xr:uid="{D5CF7B17-D885-4F4D-B311-A7F0FFB0A314}"/>
    <cellStyle name="Currency 2 2 8 3 6" xfId="11171" xr:uid="{5EBD58C3-7E39-4AD3-8397-689AF31981B4}"/>
    <cellStyle name="Currency 2 2 8 3 6 2" xfId="25222" xr:uid="{A7E56B46-E24A-478F-8F2E-EDE918F6806C}"/>
    <cellStyle name="Currency 2 2 8 3 7" xfId="19146" xr:uid="{8170BD5B-454D-4BE5-B80B-474D3207221F}"/>
    <cellStyle name="Currency 2 2 8 4" xfId="5529" xr:uid="{5B63C33E-6339-4FFC-B43F-0CD306262354}"/>
    <cellStyle name="Currency 2 2 8 4 2" xfId="9001" xr:uid="{FB53B3F5-B72B-4F48-8CD7-7E32F959B75B}"/>
    <cellStyle name="Currency 2 2 8 4 2 2" xfId="23052" xr:uid="{FFF1463E-19CA-4A70-8F5B-A5F6ED71A220}"/>
    <cellStyle name="Currency 2 2 8 4 3" xfId="11605" xr:uid="{DBA5DF98-D150-42FB-B810-8ED82836C467}"/>
    <cellStyle name="Currency 2 2 8 4 3 2" xfId="25656" xr:uid="{B7EB8B92-D46A-4EF9-BF42-853810950CCC}"/>
    <cellStyle name="Currency 2 2 8 4 4" xfId="19580" xr:uid="{1F030D81-8E0E-400C-82F3-65B619C71BF2}"/>
    <cellStyle name="Currency 2 2 8 5" xfId="6397" xr:uid="{979A33C2-6B07-46C9-9D19-7A16472861CC}"/>
    <cellStyle name="Currency 2 2 8 5 2" xfId="9869" xr:uid="{C683ECB0-5E91-45AF-925D-2CDA4364B9E9}"/>
    <cellStyle name="Currency 2 2 8 5 2 2" xfId="23920" xr:uid="{8CE0EA4D-D128-48F5-BE4B-939752DF189C}"/>
    <cellStyle name="Currency 2 2 8 5 3" xfId="12473" xr:uid="{016DFBD2-1E92-40E6-91D9-83C648ECCA68}"/>
    <cellStyle name="Currency 2 2 8 5 3 2" xfId="26524" xr:uid="{31EE763D-13CB-4057-A269-CBE8BC2E664E}"/>
    <cellStyle name="Currency 2 2 8 5 4" xfId="20448" xr:uid="{AE618BB0-8843-495A-91DB-6B8EC8FA93EC}"/>
    <cellStyle name="Currency 2 2 8 6" xfId="8133" xr:uid="{99E7098C-AF20-4D02-9F93-6FAA549B2D7B}"/>
    <cellStyle name="Currency 2 2 8 6 2" xfId="13341" xr:uid="{3844B08F-F6B2-4C55-860B-DC1C4F57F618}"/>
    <cellStyle name="Currency 2 2 8 6 2 2" xfId="27392" xr:uid="{C2E58A79-F029-487B-8BF0-98D3E4E74173}"/>
    <cellStyle name="Currency 2 2 8 6 3" xfId="22184" xr:uid="{A081BBFE-B475-4BBD-9794-F616CD4BCE7F}"/>
    <cellStyle name="Currency 2 2 8 7" xfId="7265" xr:uid="{02DE68E0-923D-45CB-B268-35069CC43385}"/>
    <cellStyle name="Currency 2 2 8 7 2" xfId="21316" xr:uid="{178D936C-2542-4E42-B362-C3DE3AD02C50}"/>
    <cellStyle name="Currency 2 2 8 8" xfId="10737" xr:uid="{3C2FE8F1-3A14-4A1B-BC67-060780DBA134}"/>
    <cellStyle name="Currency 2 2 8 8 2" xfId="24788" xr:uid="{9ABBA9FE-4337-44FB-B4EF-E21D108517D4}"/>
    <cellStyle name="Currency 2 2 8 9" xfId="15268" xr:uid="{1D42B80E-9A70-41D2-8A16-73241082A961}"/>
    <cellStyle name="Currency 2 2 9" xfId="2311" xr:uid="{DB8CA979-1818-42CE-AB57-E8230C39C41D}"/>
    <cellStyle name="Currency 2 2 9 2" xfId="5190" xr:uid="{B382FBB8-34E5-4488-BEF6-73842E092F7E}"/>
    <cellStyle name="Currency 2 2 9 2 2" xfId="6058" xr:uid="{E46DA87F-C32B-4EE7-9A58-CA39DD2AE697}"/>
    <cellStyle name="Currency 2 2 9 2 2 2" xfId="9530" xr:uid="{C2250724-872C-4E99-ADDF-C8DBAD73C193}"/>
    <cellStyle name="Currency 2 2 9 2 2 2 2" xfId="23581" xr:uid="{CD4D5250-4105-40C8-B98A-CC47E58B1221}"/>
    <cellStyle name="Currency 2 2 9 2 2 3" xfId="12134" xr:uid="{D2D11925-F2A1-47B1-B901-2938B64AEEA3}"/>
    <cellStyle name="Currency 2 2 9 2 2 3 2" xfId="26185" xr:uid="{F45C8991-24F4-4D97-97D3-5B6BA657BFE4}"/>
    <cellStyle name="Currency 2 2 9 2 2 4" xfId="20109" xr:uid="{34C13A1D-4DBF-418F-9565-99CF21375C17}"/>
    <cellStyle name="Currency 2 2 9 2 3" xfId="6926" xr:uid="{115233B0-A708-47FA-BE71-4D6F7A3694FC}"/>
    <cellStyle name="Currency 2 2 9 2 3 2" xfId="10398" xr:uid="{3956B4D9-C2EC-4AD8-BB2A-B3022765E169}"/>
    <cellStyle name="Currency 2 2 9 2 3 2 2" xfId="24449" xr:uid="{CBD6A21C-174B-4994-BDB4-8E01F0618AAF}"/>
    <cellStyle name="Currency 2 2 9 2 3 3" xfId="13002" xr:uid="{0DEB8809-50CA-4EED-B144-262851EF5820}"/>
    <cellStyle name="Currency 2 2 9 2 3 3 2" xfId="27053" xr:uid="{F8F334A5-4C5E-4B72-A5B9-390CC01BA79E}"/>
    <cellStyle name="Currency 2 2 9 2 3 4" xfId="20977" xr:uid="{D8EC8367-3788-4DF9-897A-0E6230EA15A0}"/>
    <cellStyle name="Currency 2 2 9 2 4" xfId="8662" xr:uid="{784C397E-E25E-49BD-BC80-1D94F441C28F}"/>
    <cellStyle name="Currency 2 2 9 2 4 2" xfId="13870" xr:uid="{C496E0C3-44AC-4B54-9DFE-0DC03A5FCAB1}"/>
    <cellStyle name="Currency 2 2 9 2 4 2 2" xfId="27921" xr:uid="{1B9FD87A-2840-43A5-8025-F6380D8BED71}"/>
    <cellStyle name="Currency 2 2 9 2 4 3" xfId="22713" xr:uid="{0F25F564-D626-404F-99FA-07A91C415388}"/>
    <cellStyle name="Currency 2 2 9 2 5" xfId="7794" xr:uid="{580A4A41-4506-44CA-8C67-F0E076BDDF00}"/>
    <cellStyle name="Currency 2 2 9 2 5 2" xfId="21845" xr:uid="{3BA7E965-4F2F-455A-81D6-271ED14FA792}"/>
    <cellStyle name="Currency 2 2 9 2 6" xfId="11266" xr:uid="{2F09D138-016A-4810-A7D7-04D852309C7F}"/>
    <cellStyle name="Currency 2 2 9 2 6 2" xfId="25317" xr:uid="{26364CC1-445E-43CA-8BAD-AB67C0E2560A}"/>
    <cellStyle name="Currency 2 2 9 2 7" xfId="19241" xr:uid="{406C0BDE-8369-46DB-9379-3FC4FB6B1D95}"/>
    <cellStyle name="Currency 2 2 9 3" xfId="5624" xr:uid="{2A0F2D07-31AB-4F8E-A403-7982240406BA}"/>
    <cellStyle name="Currency 2 2 9 3 2" xfId="9096" xr:uid="{01E8AD77-F397-49FA-9E83-B9914D17E5DF}"/>
    <cellStyle name="Currency 2 2 9 3 2 2" xfId="23147" xr:uid="{52BD67A0-B943-418D-BE2D-C9977B0ABD55}"/>
    <cellStyle name="Currency 2 2 9 3 3" xfId="11700" xr:uid="{6F0223D7-9BB9-4020-B1F6-8388BD0EEED5}"/>
    <cellStyle name="Currency 2 2 9 3 3 2" xfId="25751" xr:uid="{FA06C3AD-6089-400A-B259-985A4A6B8993}"/>
    <cellStyle name="Currency 2 2 9 3 4" xfId="19675" xr:uid="{B862CFC6-A4C1-4481-B255-E083F88ECECB}"/>
    <cellStyle name="Currency 2 2 9 4" xfId="6492" xr:uid="{C1579BEA-650A-40B4-9728-0C85D7292EA2}"/>
    <cellStyle name="Currency 2 2 9 4 2" xfId="9964" xr:uid="{82A20627-DE18-4E97-B22C-F38768BA3942}"/>
    <cellStyle name="Currency 2 2 9 4 2 2" xfId="24015" xr:uid="{0C09F406-4DBD-4ED8-84AC-CAAEEE35E463}"/>
    <cellStyle name="Currency 2 2 9 4 3" xfId="12568" xr:uid="{3ED08A0A-69AA-414C-BDF2-6258CFF02F2B}"/>
    <cellStyle name="Currency 2 2 9 4 3 2" xfId="26619" xr:uid="{D04DB732-931A-4FD7-93F7-8372687CA729}"/>
    <cellStyle name="Currency 2 2 9 4 4" xfId="20543" xr:uid="{6AA45B42-DEE8-4CF1-9016-06B1F9BD251C}"/>
    <cellStyle name="Currency 2 2 9 5" xfId="8228" xr:uid="{B02B30D8-4EDA-4393-83F6-1C42CFF81010}"/>
    <cellStyle name="Currency 2 2 9 5 2" xfId="13436" xr:uid="{BDCD4631-AB05-4C22-A969-3BC8E17B7EE0}"/>
    <cellStyle name="Currency 2 2 9 5 2 2" xfId="27487" xr:uid="{FF81FA56-F918-4039-965C-7AE119D4E6F2}"/>
    <cellStyle name="Currency 2 2 9 5 3" xfId="22279" xr:uid="{E8A57F04-F9AA-4190-9B6D-3505184ADD81}"/>
    <cellStyle name="Currency 2 2 9 6" xfId="7360" xr:uid="{5A880524-6BF4-413F-BC19-ED2F746103B4}"/>
    <cellStyle name="Currency 2 2 9 6 2" xfId="21411" xr:uid="{ABA08F82-AD41-42C7-9119-2ED89414E114}"/>
    <cellStyle name="Currency 2 2 9 7" xfId="10832" xr:uid="{78EFAA86-156F-4340-9D75-7233DAB219A4}"/>
    <cellStyle name="Currency 2 2 9 7 2" xfId="24883" xr:uid="{BCDC0EE7-C8F7-458F-8D3F-EDAD8D63BCE1}"/>
    <cellStyle name="Currency 2 2 9 8" xfId="16362" xr:uid="{9557F7A4-B4C4-49A2-A3D3-FD5089611864}"/>
    <cellStyle name="Currency 2 3" xfId="202" xr:uid="{5F2042AE-D1C8-4CA3-ACD6-D562CB661745}"/>
    <cellStyle name="Currency 2 3 10" xfId="6305" xr:uid="{D8784DDE-7F82-4EDA-B394-C8391232834A}"/>
    <cellStyle name="Currency 2 3 10 2" xfId="9777" xr:uid="{5ED961CA-6E38-456F-AD66-9CE80812FA22}"/>
    <cellStyle name="Currency 2 3 10 2 2" xfId="23828" xr:uid="{76B2FE85-F591-4CCE-99C3-217AFD8CD42A}"/>
    <cellStyle name="Currency 2 3 10 3" xfId="12381" xr:uid="{DEDE77EA-DA78-420E-903B-F5BC8A80E2FF}"/>
    <cellStyle name="Currency 2 3 10 3 2" xfId="26432" xr:uid="{66880A25-595E-4AA3-8A89-F87466A797F1}"/>
    <cellStyle name="Currency 2 3 10 4" xfId="20356" xr:uid="{C48792BD-A5DE-45F8-940F-799ED3764531}"/>
    <cellStyle name="Currency 2 3 11" xfId="8041" xr:uid="{008CD0E9-DB3A-48D2-B12A-AA6EEFFD88F4}"/>
    <cellStyle name="Currency 2 3 11 2" xfId="13249" xr:uid="{28908535-D58C-4449-9A41-0FC06102F477}"/>
    <cellStyle name="Currency 2 3 11 2 2" xfId="27300" xr:uid="{4261D50B-2D02-415E-908E-2537D309A0E6}"/>
    <cellStyle name="Currency 2 3 11 3" xfId="22092" xr:uid="{F7F52E9F-2496-41A6-8958-195066625642}"/>
    <cellStyle name="Currency 2 3 12" xfId="7173" xr:uid="{CDA187D3-8163-4A97-BEC9-B36AB54C8B55}"/>
    <cellStyle name="Currency 2 3 12 2" xfId="21224" xr:uid="{78795645-D246-4263-BDE3-8D5540495AC1}"/>
    <cellStyle name="Currency 2 3 13" xfId="10645" xr:uid="{36F9BF39-C17C-417F-A2F3-A547FF96FA4C}"/>
    <cellStyle name="Currency 2 3 13 2" xfId="24696" xr:uid="{F1CE1A62-013A-4D89-A121-8529BEA4DDE8}"/>
    <cellStyle name="Currency 2 3 14" xfId="14261" xr:uid="{69A2D827-296B-41BC-8A8B-CAE1B8673D14}"/>
    <cellStyle name="Currency 2 3 2" xfId="379" xr:uid="{A2F7E74A-A414-42B7-B5D7-C1A175456FBA}"/>
    <cellStyle name="Currency 2 3 2 10" xfId="8057" xr:uid="{8CB19C3F-E150-4F60-A1F0-50DFA8691867}"/>
    <cellStyle name="Currency 2 3 2 10 2" xfId="13265" xr:uid="{7E5BDDBA-C03A-48AD-9800-0BCFA9C9826B}"/>
    <cellStyle name="Currency 2 3 2 10 2 2" xfId="27316" xr:uid="{19433E85-99B9-41A1-A1EE-7FB7B3DCCA0E}"/>
    <cellStyle name="Currency 2 3 2 10 3" xfId="22108" xr:uid="{DE10B150-6C52-48E0-8769-6EA209212DD2}"/>
    <cellStyle name="Currency 2 3 2 11" xfId="7189" xr:uid="{1EA2F958-330C-4571-B559-AF143ECE59DA}"/>
    <cellStyle name="Currency 2 3 2 11 2" xfId="21240" xr:uid="{A4B64547-ABE1-4B47-A316-E69663745FB1}"/>
    <cellStyle name="Currency 2 3 2 12" xfId="10661" xr:uid="{596F1934-A205-4846-8543-7617B1D5F9E2}"/>
    <cellStyle name="Currency 2 3 2 12 2" xfId="24712" xr:uid="{F3300B8F-DC29-4740-AA65-FABC22424111}"/>
    <cellStyle name="Currency 2 3 2 13" xfId="14436" xr:uid="{ABF39944-8F94-4159-B3EC-E4479EFD4F30}"/>
    <cellStyle name="Currency 2 3 2 2" xfId="733" xr:uid="{CB7B6C6F-BE8C-4843-94CC-065237702E91}"/>
    <cellStyle name="Currency 2 3 2 2 10" xfId="14784" xr:uid="{60EE3CA0-D6E0-4ADD-9616-EB1D606E40C8}"/>
    <cellStyle name="Currency 2 3 2 2 2" xfId="1834" xr:uid="{05A89BEB-1A41-448A-AA78-583B8B734AFD}"/>
    <cellStyle name="Currency 2 3 2 2 2 2" xfId="4023" xr:uid="{2FF5F430-64CB-4114-A2E2-81A54434FE56}"/>
    <cellStyle name="Currency 2 3 2 2 2 2 2" xfId="5339" xr:uid="{CEC35FDD-B3E6-48AC-864C-C955700BE6E9}"/>
    <cellStyle name="Currency 2 3 2 2 2 2 2 2" xfId="6207" xr:uid="{612FB7DC-30FB-4874-A521-634AA6369F7D}"/>
    <cellStyle name="Currency 2 3 2 2 2 2 2 2 2" xfId="9679" xr:uid="{A6CF3674-C3A5-49BA-AF92-AF0BE785387F}"/>
    <cellStyle name="Currency 2 3 2 2 2 2 2 2 2 2" xfId="23730" xr:uid="{EAB8743B-1BA8-48F5-9AA7-ABDE179F4F95}"/>
    <cellStyle name="Currency 2 3 2 2 2 2 2 2 3" xfId="12283" xr:uid="{334E95CE-DEAB-4129-BC51-38AA4488121D}"/>
    <cellStyle name="Currency 2 3 2 2 2 2 2 2 3 2" xfId="26334" xr:uid="{8081BB11-E649-4C7C-A679-37ED3D476C87}"/>
    <cellStyle name="Currency 2 3 2 2 2 2 2 2 4" xfId="20258" xr:uid="{7D1CD867-A53F-4FA9-A3FB-7710EB43A4C7}"/>
    <cellStyle name="Currency 2 3 2 2 2 2 2 3" xfId="7075" xr:uid="{E82FCA58-E45C-4575-8DF4-12159D087F2D}"/>
    <cellStyle name="Currency 2 3 2 2 2 2 2 3 2" xfId="10547" xr:uid="{2312B61F-381C-4A3D-9AC6-828108560AE6}"/>
    <cellStyle name="Currency 2 3 2 2 2 2 2 3 2 2" xfId="24598" xr:uid="{A9E21E37-E4B9-442A-8A1C-77E33CE46AE0}"/>
    <cellStyle name="Currency 2 3 2 2 2 2 2 3 3" xfId="13151" xr:uid="{1B715010-D7B5-4BE5-A0CC-31DA0427BBC5}"/>
    <cellStyle name="Currency 2 3 2 2 2 2 2 3 3 2" xfId="27202" xr:uid="{33891660-F7D4-47EC-998F-E42A3701CB9E}"/>
    <cellStyle name="Currency 2 3 2 2 2 2 2 3 4" xfId="21126" xr:uid="{4E870847-4987-471B-B16E-7E1809FEC9FE}"/>
    <cellStyle name="Currency 2 3 2 2 2 2 2 4" xfId="8811" xr:uid="{F340A1E2-1184-49E1-8ACC-F0CBFA7CC3A3}"/>
    <cellStyle name="Currency 2 3 2 2 2 2 2 4 2" xfId="14019" xr:uid="{0C79471E-21B9-4292-A694-DE01F4497201}"/>
    <cellStyle name="Currency 2 3 2 2 2 2 2 4 2 2" xfId="28070" xr:uid="{C7790AD4-FB28-41B1-A491-56B5C862F8FE}"/>
    <cellStyle name="Currency 2 3 2 2 2 2 2 4 3" xfId="22862" xr:uid="{1F32FD19-0327-413F-A74B-9CA37C65A80E}"/>
    <cellStyle name="Currency 2 3 2 2 2 2 2 5" xfId="7943" xr:uid="{7CF63103-2459-4BB8-8463-1DEAE0D4A628}"/>
    <cellStyle name="Currency 2 3 2 2 2 2 2 5 2" xfId="21994" xr:uid="{1D4D21CE-F5BA-4069-8375-7DFB449829E5}"/>
    <cellStyle name="Currency 2 3 2 2 2 2 2 6" xfId="11415" xr:uid="{E9D5D23D-846A-4C10-BCA1-35F9E57BCF37}"/>
    <cellStyle name="Currency 2 3 2 2 2 2 2 6 2" xfId="25466" xr:uid="{6BAF9663-5A8D-41A9-AB72-CC12414A3A8B}"/>
    <cellStyle name="Currency 2 3 2 2 2 2 2 7" xfId="19390" xr:uid="{42E1F8C1-F3D8-448B-AED8-F5E7ABE7A279}"/>
    <cellStyle name="Currency 2 3 2 2 2 2 3" xfId="5773" xr:uid="{80E287EB-6D05-4E82-A314-1C1DD05F6634}"/>
    <cellStyle name="Currency 2 3 2 2 2 2 3 2" xfId="9245" xr:uid="{72713DC4-14DB-4B7F-B1AA-EE9DDA68F6B0}"/>
    <cellStyle name="Currency 2 3 2 2 2 2 3 2 2" xfId="23296" xr:uid="{2D8FD971-A783-422B-AD05-BB9D4462BA00}"/>
    <cellStyle name="Currency 2 3 2 2 2 2 3 3" xfId="11849" xr:uid="{9B628FDF-EFFA-4F07-BE43-986B240ACDC8}"/>
    <cellStyle name="Currency 2 3 2 2 2 2 3 3 2" xfId="25900" xr:uid="{C0744EEF-BC7D-4342-9DE6-0C257BE008E9}"/>
    <cellStyle name="Currency 2 3 2 2 2 2 3 4" xfId="19824" xr:uid="{6928CF68-244F-4808-A619-DC0DADA8B2B8}"/>
    <cellStyle name="Currency 2 3 2 2 2 2 4" xfId="6641" xr:uid="{77B51CB4-A3E9-4729-B954-25D72A5E2DA8}"/>
    <cellStyle name="Currency 2 3 2 2 2 2 4 2" xfId="10113" xr:uid="{9AAC0504-00E5-4967-9212-CDE9DBD9C605}"/>
    <cellStyle name="Currency 2 3 2 2 2 2 4 2 2" xfId="24164" xr:uid="{B9BFFBE3-33A1-47BA-A50D-B36A23C76B27}"/>
    <cellStyle name="Currency 2 3 2 2 2 2 4 3" xfId="12717" xr:uid="{65E13EE4-46CF-4CBD-BD08-F9B386044183}"/>
    <cellStyle name="Currency 2 3 2 2 2 2 4 3 2" xfId="26768" xr:uid="{56E6C158-0C46-41EB-9EF2-95E42A99EC18}"/>
    <cellStyle name="Currency 2 3 2 2 2 2 4 4" xfId="20692" xr:uid="{56903653-299B-4976-99E5-9FF1FD113814}"/>
    <cellStyle name="Currency 2 3 2 2 2 2 5" xfId="8377" xr:uid="{A82EB460-11D4-48A3-BE45-85077BD6D538}"/>
    <cellStyle name="Currency 2 3 2 2 2 2 5 2" xfId="13585" xr:uid="{BD9F6432-2143-4131-9F47-D45AC43AEEE0}"/>
    <cellStyle name="Currency 2 3 2 2 2 2 5 2 2" xfId="27636" xr:uid="{01822083-9C16-4DE7-8A55-78CE59E41303}"/>
    <cellStyle name="Currency 2 3 2 2 2 2 5 3" xfId="22428" xr:uid="{00AF15B9-C5CB-460A-83B5-79A62CD01687}"/>
    <cellStyle name="Currency 2 3 2 2 2 2 6" xfId="7509" xr:uid="{341616CE-1800-4A44-B43A-D1ADA323D536}"/>
    <cellStyle name="Currency 2 3 2 2 2 2 6 2" xfId="21560" xr:uid="{BC7C45DF-C347-4214-BCC0-70E7FDCC5C0F}"/>
    <cellStyle name="Currency 2 3 2 2 2 2 7" xfId="10981" xr:uid="{AC055C53-0733-4320-8486-4241916A50D0}"/>
    <cellStyle name="Currency 2 3 2 2 2 2 7 2" xfId="25032" xr:uid="{B5C839FC-4B9E-4B27-AEB6-291209DB0B27}"/>
    <cellStyle name="Currency 2 3 2 2 2 2 8" xfId="18075" xr:uid="{7E59B0E4-F050-4502-915F-9178F031D820}"/>
    <cellStyle name="Currency 2 3 2 2 2 3" xfId="5149" xr:uid="{D96EFD76-F0B5-48F7-90A9-1E4DFD59AF29}"/>
    <cellStyle name="Currency 2 3 2 2 2 3 2" xfId="6017" xr:uid="{700E0AF3-2AEB-4B14-9B2D-D0F15270E189}"/>
    <cellStyle name="Currency 2 3 2 2 2 3 2 2" xfId="9489" xr:uid="{AA42C1A5-4F73-40EB-B518-8DD4F1B2A9F4}"/>
    <cellStyle name="Currency 2 3 2 2 2 3 2 2 2" xfId="23540" xr:uid="{5329DE4F-3A0B-4568-AF7D-3F2DF8CDC615}"/>
    <cellStyle name="Currency 2 3 2 2 2 3 2 3" xfId="12093" xr:uid="{327903FE-F3FF-413C-B2B8-1383513D7F48}"/>
    <cellStyle name="Currency 2 3 2 2 2 3 2 3 2" xfId="26144" xr:uid="{1301EC9F-01AC-46D7-8BD8-287E7A00FD63}"/>
    <cellStyle name="Currency 2 3 2 2 2 3 2 4" xfId="20068" xr:uid="{BA881DC3-EB9E-4120-AAC5-94143F082B67}"/>
    <cellStyle name="Currency 2 3 2 2 2 3 3" xfId="6885" xr:uid="{51177358-F043-46D4-ADAF-3E7EA49BF6C0}"/>
    <cellStyle name="Currency 2 3 2 2 2 3 3 2" xfId="10357" xr:uid="{0F47693A-39B1-4D8C-8095-6115AD36987C}"/>
    <cellStyle name="Currency 2 3 2 2 2 3 3 2 2" xfId="24408" xr:uid="{1703630A-F0A9-44BB-92E4-CF91AD1369BA}"/>
    <cellStyle name="Currency 2 3 2 2 2 3 3 3" xfId="12961" xr:uid="{8906B0A9-4197-4F07-8D5C-A151CC0A889C}"/>
    <cellStyle name="Currency 2 3 2 2 2 3 3 3 2" xfId="27012" xr:uid="{739ED8B9-E2E6-4B50-AD90-A0AD39FCFF5A}"/>
    <cellStyle name="Currency 2 3 2 2 2 3 3 4" xfId="20936" xr:uid="{9ACBDC61-34FD-4450-9F08-D6BDB7BAF347}"/>
    <cellStyle name="Currency 2 3 2 2 2 3 4" xfId="8621" xr:uid="{4AA08F01-ED93-429D-A09A-9BB5CB347F2C}"/>
    <cellStyle name="Currency 2 3 2 2 2 3 4 2" xfId="13829" xr:uid="{80FB729F-3AC6-4912-A164-DEB749D34196}"/>
    <cellStyle name="Currency 2 3 2 2 2 3 4 2 2" xfId="27880" xr:uid="{570E29DF-CD64-4C7F-9A88-B4D107934F0C}"/>
    <cellStyle name="Currency 2 3 2 2 2 3 4 3" xfId="22672" xr:uid="{C769D598-D6B0-424E-96DA-0BA688775E44}"/>
    <cellStyle name="Currency 2 3 2 2 2 3 5" xfId="7753" xr:uid="{EAC0F5A8-6330-4C45-9B3F-2C6481A2FA97}"/>
    <cellStyle name="Currency 2 3 2 2 2 3 5 2" xfId="21804" xr:uid="{A9CECB0F-4523-4D7D-B059-8901027CEE47}"/>
    <cellStyle name="Currency 2 3 2 2 2 3 6" xfId="11225" xr:uid="{04D5239A-6AB4-4E6A-A4FF-896A13BF13D7}"/>
    <cellStyle name="Currency 2 3 2 2 2 3 6 2" xfId="25276" xr:uid="{6CB8867E-1865-4F44-B2FD-6B7C20A58CF2}"/>
    <cellStyle name="Currency 2 3 2 2 2 3 7" xfId="19200" xr:uid="{EBCB7A14-A729-417A-B95F-A72A6B8A6856}"/>
    <cellStyle name="Currency 2 3 2 2 2 4" xfId="5583" xr:uid="{624797DD-66C7-40E5-A8D5-42474FCEB1BE}"/>
    <cellStyle name="Currency 2 3 2 2 2 4 2" xfId="9055" xr:uid="{4629B66F-7566-458B-8F89-D6063754AAD0}"/>
    <cellStyle name="Currency 2 3 2 2 2 4 2 2" xfId="23106" xr:uid="{3FB10EBB-D3D8-4689-A34B-613D94828281}"/>
    <cellStyle name="Currency 2 3 2 2 2 4 3" xfId="11659" xr:uid="{CDBC1281-702D-470A-A65C-6D5DF8367EEE}"/>
    <cellStyle name="Currency 2 3 2 2 2 4 3 2" xfId="25710" xr:uid="{0535D13A-1C91-4961-8A20-0503995DA42C}"/>
    <cellStyle name="Currency 2 3 2 2 2 4 4" xfId="19634" xr:uid="{DF7F0679-3AB7-4B50-9B3E-DFD8A38ADCB8}"/>
    <cellStyle name="Currency 2 3 2 2 2 5" xfId="6451" xr:uid="{FB8FB9DB-776B-4CEE-A8B6-5410A4BC7B10}"/>
    <cellStyle name="Currency 2 3 2 2 2 5 2" xfId="9923" xr:uid="{A93FFE4B-0391-4B32-98B0-7656E534C9BE}"/>
    <cellStyle name="Currency 2 3 2 2 2 5 2 2" xfId="23974" xr:uid="{DA55BB7D-BB13-4821-B81A-5778CB87DC8B}"/>
    <cellStyle name="Currency 2 3 2 2 2 5 3" xfId="12527" xr:uid="{10BD4D48-802C-4523-A5A0-93FF412F3DF6}"/>
    <cellStyle name="Currency 2 3 2 2 2 5 3 2" xfId="26578" xr:uid="{8F68C73F-5265-4D11-BF46-6FB2AB961047}"/>
    <cellStyle name="Currency 2 3 2 2 2 5 4" xfId="20502" xr:uid="{1A5E3427-0A65-4CD4-B667-119AB13CA1F9}"/>
    <cellStyle name="Currency 2 3 2 2 2 6" xfId="8187" xr:uid="{66AC6FDA-41D7-4823-89F3-CECEA1E8C633}"/>
    <cellStyle name="Currency 2 3 2 2 2 6 2" xfId="13395" xr:uid="{E7283E48-0F20-468E-9580-BC91484A6B61}"/>
    <cellStyle name="Currency 2 3 2 2 2 6 2 2" xfId="27446" xr:uid="{E1F01190-CFD6-456B-BF7F-F9A9DF86266A}"/>
    <cellStyle name="Currency 2 3 2 2 2 6 3" xfId="22238" xr:uid="{660E3C93-94FF-4367-B0DC-00282888CBE5}"/>
    <cellStyle name="Currency 2 3 2 2 2 7" xfId="7319" xr:uid="{58399729-6A66-485C-B2AC-385D5F74A3A9}"/>
    <cellStyle name="Currency 2 3 2 2 2 7 2" xfId="21370" xr:uid="{DC5A10AB-027F-4134-8ADB-AF62329B5008}"/>
    <cellStyle name="Currency 2 3 2 2 2 8" xfId="10791" xr:uid="{9D14A0BB-E7FE-4774-B157-A0C4D360803D}"/>
    <cellStyle name="Currency 2 3 2 2 2 8 2" xfId="24842" xr:uid="{8788CCEC-1411-4B7A-A24C-C633E60735DF}"/>
    <cellStyle name="Currency 2 3 2 2 2 9" xfId="15883" xr:uid="{15E0B95C-9E0E-48DB-93BC-E3E2FF94E78E}"/>
    <cellStyle name="Currency 2 3 2 2 3" xfId="2925" xr:uid="{89FF6291-3CDD-41A4-B8E7-5C53A397A5AC}"/>
    <cellStyle name="Currency 2 3 2 2 3 2" xfId="5243" xr:uid="{AE9F0EFC-5547-48D8-AD51-A99F7420E2F2}"/>
    <cellStyle name="Currency 2 3 2 2 3 2 2" xfId="6111" xr:uid="{E3E745B4-B9C6-4EB6-9597-02FB73EC75A1}"/>
    <cellStyle name="Currency 2 3 2 2 3 2 2 2" xfId="9583" xr:uid="{A38A0CFA-DCF5-443C-BC74-51F44D9C6911}"/>
    <cellStyle name="Currency 2 3 2 2 3 2 2 2 2" xfId="23634" xr:uid="{968057DA-AA31-4269-AE01-563159DCFD93}"/>
    <cellStyle name="Currency 2 3 2 2 3 2 2 3" xfId="12187" xr:uid="{C5EAABAF-6F92-48E9-8030-DA7E4E6AB063}"/>
    <cellStyle name="Currency 2 3 2 2 3 2 2 3 2" xfId="26238" xr:uid="{CBABA881-F649-4B81-AA51-0A27BE4F7594}"/>
    <cellStyle name="Currency 2 3 2 2 3 2 2 4" xfId="20162" xr:uid="{E1C27881-3485-4EB5-A539-0F9D2E4EA8BE}"/>
    <cellStyle name="Currency 2 3 2 2 3 2 3" xfId="6979" xr:uid="{9F276066-5960-4D41-B85F-A58951F16BD6}"/>
    <cellStyle name="Currency 2 3 2 2 3 2 3 2" xfId="10451" xr:uid="{D937F018-7FE8-4356-9514-D8FD0A109270}"/>
    <cellStyle name="Currency 2 3 2 2 3 2 3 2 2" xfId="24502" xr:uid="{421D537D-AB36-4D23-830C-B237EB4669EB}"/>
    <cellStyle name="Currency 2 3 2 2 3 2 3 3" xfId="13055" xr:uid="{A8884E7F-1392-423C-836B-54FA7B0B341C}"/>
    <cellStyle name="Currency 2 3 2 2 3 2 3 3 2" xfId="27106" xr:uid="{2CE3B178-B174-4E56-9C8D-65E3D410BD68}"/>
    <cellStyle name="Currency 2 3 2 2 3 2 3 4" xfId="21030" xr:uid="{E70E64C2-44C1-46BF-84AF-BECD4B65D1A4}"/>
    <cellStyle name="Currency 2 3 2 2 3 2 4" xfId="8715" xr:uid="{A4405111-006C-4E14-8D39-54E6541A2AD2}"/>
    <cellStyle name="Currency 2 3 2 2 3 2 4 2" xfId="13923" xr:uid="{9EAEBF30-81A6-4DAF-9D4E-7281EFA27732}"/>
    <cellStyle name="Currency 2 3 2 2 3 2 4 2 2" xfId="27974" xr:uid="{C53D041F-374C-4B4D-9AE4-DE808BAA2D5A}"/>
    <cellStyle name="Currency 2 3 2 2 3 2 4 3" xfId="22766" xr:uid="{67666A95-C11B-43AD-B0B4-AB070A587466}"/>
    <cellStyle name="Currency 2 3 2 2 3 2 5" xfId="7847" xr:uid="{8DF0ED29-0DDB-4F6A-947E-86FD53566039}"/>
    <cellStyle name="Currency 2 3 2 2 3 2 5 2" xfId="21898" xr:uid="{198A409F-8AAC-4613-96DC-C2096D93F041}"/>
    <cellStyle name="Currency 2 3 2 2 3 2 6" xfId="11319" xr:uid="{A4BC18B9-FE14-489F-BA84-6019621B8529}"/>
    <cellStyle name="Currency 2 3 2 2 3 2 6 2" xfId="25370" xr:uid="{30E554BE-A3D4-4F81-B5C2-34E0884FA996}"/>
    <cellStyle name="Currency 2 3 2 2 3 2 7" xfId="19294" xr:uid="{C8F9E52D-3DF3-4611-B3A7-47D771BEA79E}"/>
    <cellStyle name="Currency 2 3 2 2 3 3" xfId="5677" xr:uid="{B484BE8D-9F86-40D4-9E8C-EF2608B99CE6}"/>
    <cellStyle name="Currency 2 3 2 2 3 3 2" xfId="9149" xr:uid="{9CB0DE50-D78D-40C1-8433-3A9564B78172}"/>
    <cellStyle name="Currency 2 3 2 2 3 3 2 2" xfId="23200" xr:uid="{8AEBF171-EC27-4F72-9A9A-A73F7F5C7334}"/>
    <cellStyle name="Currency 2 3 2 2 3 3 3" xfId="11753" xr:uid="{44EEC8B2-4F80-420C-A3DA-05E3D378D5D6}"/>
    <cellStyle name="Currency 2 3 2 2 3 3 3 2" xfId="25804" xr:uid="{B74955AD-84B4-48DE-AE6E-47764A27308A}"/>
    <cellStyle name="Currency 2 3 2 2 3 3 4" xfId="19728" xr:uid="{E40EFC62-4C8F-4A36-8A70-044891FD0F63}"/>
    <cellStyle name="Currency 2 3 2 2 3 4" xfId="6545" xr:uid="{41746610-E0C6-4608-B5A8-165FC5B1672D}"/>
    <cellStyle name="Currency 2 3 2 2 3 4 2" xfId="10017" xr:uid="{91ECD59A-7038-426C-963E-16DDE7DF78FE}"/>
    <cellStyle name="Currency 2 3 2 2 3 4 2 2" xfId="24068" xr:uid="{2A53DF09-9620-47BE-AB52-D553BD7274D7}"/>
    <cellStyle name="Currency 2 3 2 2 3 4 3" xfId="12621" xr:uid="{F509B8BD-E48D-41D3-BD52-624ED30B4FE9}"/>
    <cellStyle name="Currency 2 3 2 2 3 4 3 2" xfId="26672" xr:uid="{675B50B5-B15D-44B4-9DBA-3AB652729631}"/>
    <cellStyle name="Currency 2 3 2 2 3 4 4" xfId="20596" xr:uid="{F9C4295C-CEF3-4382-8551-0BB62FFAFFF4}"/>
    <cellStyle name="Currency 2 3 2 2 3 5" xfId="8281" xr:uid="{8029F34A-D52C-4BE0-9F4D-06EBB9483198}"/>
    <cellStyle name="Currency 2 3 2 2 3 5 2" xfId="13489" xr:uid="{619E693C-120E-46D2-8330-FBDAE4B9AC9D}"/>
    <cellStyle name="Currency 2 3 2 2 3 5 2 2" xfId="27540" xr:uid="{D3B8DAEC-CD8D-4222-BC1D-4115D117C0FC}"/>
    <cellStyle name="Currency 2 3 2 2 3 5 3" xfId="22332" xr:uid="{68FD680A-F0D8-4319-8094-B5E8CDC187AF}"/>
    <cellStyle name="Currency 2 3 2 2 3 6" xfId="7413" xr:uid="{78806E20-6973-4B53-896D-E6E98348A46F}"/>
    <cellStyle name="Currency 2 3 2 2 3 6 2" xfId="21464" xr:uid="{37FD3606-69AD-482C-AFBA-4D1F5B6F8FB9}"/>
    <cellStyle name="Currency 2 3 2 2 3 7" xfId="10885" xr:uid="{91F39114-4A7E-4058-B464-498CEA3C81EB}"/>
    <cellStyle name="Currency 2 3 2 2 3 7 2" xfId="24936" xr:uid="{D507ACDB-C8F8-4700-859C-57F5547D3F19}"/>
    <cellStyle name="Currency 2 3 2 2 3 8" xfId="16977" xr:uid="{D74D1677-239E-4100-A3F7-5D148F0E076A}"/>
    <cellStyle name="Currency 2 3 2 2 4" xfId="5051" xr:uid="{28D1FC7C-F096-4784-ADA0-63FDE819996A}"/>
    <cellStyle name="Currency 2 3 2 2 4 2" xfId="5919" xr:uid="{205C29FD-DC6D-4961-AE7F-D5FB606F9394}"/>
    <cellStyle name="Currency 2 3 2 2 4 2 2" xfId="9391" xr:uid="{DB294F5E-C993-4DDB-91B4-65C62E64ABCA}"/>
    <cellStyle name="Currency 2 3 2 2 4 2 2 2" xfId="23442" xr:uid="{B6841A98-3658-4CC2-AF0D-08E8A6E5B9D6}"/>
    <cellStyle name="Currency 2 3 2 2 4 2 3" xfId="11995" xr:uid="{2D916C46-711F-4C87-B9DA-1AE420EA14F2}"/>
    <cellStyle name="Currency 2 3 2 2 4 2 3 2" xfId="26046" xr:uid="{2CF61D66-77C1-4379-B3C4-993377E764CE}"/>
    <cellStyle name="Currency 2 3 2 2 4 2 4" xfId="19970" xr:uid="{61A5FDB7-2D15-47BB-AC08-6521BECDD97F}"/>
    <cellStyle name="Currency 2 3 2 2 4 3" xfId="6787" xr:uid="{3E95A615-BAE4-4069-A759-E56D4CEEA569}"/>
    <cellStyle name="Currency 2 3 2 2 4 3 2" xfId="10259" xr:uid="{591D24AB-9D27-4F30-A84F-C88A59D6F11E}"/>
    <cellStyle name="Currency 2 3 2 2 4 3 2 2" xfId="24310" xr:uid="{7955599A-9315-46FE-88CC-577D7AABE0E1}"/>
    <cellStyle name="Currency 2 3 2 2 4 3 3" xfId="12863" xr:uid="{460D9A97-D94A-4289-BE7F-A6F7FCCCB95C}"/>
    <cellStyle name="Currency 2 3 2 2 4 3 3 2" xfId="26914" xr:uid="{DE1433EC-E6D7-4AE9-9023-00C3AC287677}"/>
    <cellStyle name="Currency 2 3 2 2 4 3 4" xfId="20838" xr:uid="{B6743EF0-3AAD-42A3-B043-872280FA8AE0}"/>
    <cellStyle name="Currency 2 3 2 2 4 4" xfId="8523" xr:uid="{979969BE-E1CE-44AA-A165-CEDF13BCDFAC}"/>
    <cellStyle name="Currency 2 3 2 2 4 4 2" xfId="13731" xr:uid="{91BD096A-C66C-44AE-B54B-331D9F5E6533}"/>
    <cellStyle name="Currency 2 3 2 2 4 4 2 2" xfId="27782" xr:uid="{A2FC02D3-3092-4963-A375-8B926F731848}"/>
    <cellStyle name="Currency 2 3 2 2 4 4 3" xfId="22574" xr:uid="{11D4AC53-F800-4504-BA0E-B4012D8FB9AB}"/>
    <cellStyle name="Currency 2 3 2 2 4 5" xfId="7655" xr:uid="{FD6A568E-7F94-46A6-8C29-FB45A1EF52DF}"/>
    <cellStyle name="Currency 2 3 2 2 4 5 2" xfId="21706" xr:uid="{39A81E0C-986E-4356-8EC9-F4469834F0DF}"/>
    <cellStyle name="Currency 2 3 2 2 4 6" xfId="11127" xr:uid="{FB6D2129-3B65-4F67-AC5C-378536409EA7}"/>
    <cellStyle name="Currency 2 3 2 2 4 6 2" xfId="25178" xr:uid="{8C6E23FD-0FC3-4111-A745-2E72599EE4BB}"/>
    <cellStyle name="Currency 2 3 2 2 4 7" xfId="19102" xr:uid="{F6B85937-B100-47BE-BA4F-245E293BBDD8}"/>
    <cellStyle name="Currency 2 3 2 2 5" xfId="5485" xr:uid="{7B873949-FD39-4652-90DB-881D57E473F6}"/>
    <cellStyle name="Currency 2 3 2 2 5 2" xfId="8957" xr:uid="{7F0A14E0-6B80-4C03-8E97-57B2FB567638}"/>
    <cellStyle name="Currency 2 3 2 2 5 2 2" xfId="23008" xr:uid="{EF9F1F4A-5522-45C2-A855-6371060F6A4B}"/>
    <cellStyle name="Currency 2 3 2 2 5 3" xfId="11561" xr:uid="{D7AD1193-72DC-4049-B2CC-D5DA83D8D1DA}"/>
    <cellStyle name="Currency 2 3 2 2 5 3 2" xfId="25612" xr:uid="{63DC4266-C9EE-4C81-AF80-980AB6FC5E04}"/>
    <cellStyle name="Currency 2 3 2 2 5 4" xfId="19536" xr:uid="{8647DD76-F4F4-47AA-970C-6CD395C9789F}"/>
    <cellStyle name="Currency 2 3 2 2 6" xfId="6353" xr:uid="{BD9D9666-426C-4BB5-A665-66019F346811}"/>
    <cellStyle name="Currency 2 3 2 2 6 2" xfId="9825" xr:uid="{B6972FCA-7A34-4142-A1F6-2A65DF44388E}"/>
    <cellStyle name="Currency 2 3 2 2 6 2 2" xfId="23876" xr:uid="{BA233661-6FF1-4967-8BA8-A23E41BCB232}"/>
    <cellStyle name="Currency 2 3 2 2 6 3" xfId="12429" xr:uid="{C58D1CFD-188E-4542-A1D9-CA3A8927B4DF}"/>
    <cellStyle name="Currency 2 3 2 2 6 3 2" xfId="26480" xr:uid="{654318C5-5167-4818-81CF-E4643C87B280}"/>
    <cellStyle name="Currency 2 3 2 2 6 4" xfId="20404" xr:uid="{387EAE84-620F-45D9-BA0E-7F8FE0E8552E}"/>
    <cellStyle name="Currency 2 3 2 2 7" xfId="8089" xr:uid="{4C5F648B-9E8B-4238-8065-37E20804B7F5}"/>
    <cellStyle name="Currency 2 3 2 2 7 2" xfId="13297" xr:uid="{7DAA9946-C9B3-4895-9BFA-F74B2B806154}"/>
    <cellStyle name="Currency 2 3 2 2 7 2 2" xfId="27348" xr:uid="{BC87CBCD-82F4-494D-A318-9BA3D112A671}"/>
    <cellStyle name="Currency 2 3 2 2 7 3" xfId="22140" xr:uid="{6C67EF7F-FE96-4BE5-BABB-ED33E6B12218}"/>
    <cellStyle name="Currency 2 3 2 2 8" xfId="7221" xr:uid="{FC05D990-BD51-4914-91AF-BBEFE679A614}"/>
    <cellStyle name="Currency 2 3 2 2 8 2" xfId="21272" xr:uid="{3FB7842C-BB9B-4600-8D2B-45750A18AF77}"/>
    <cellStyle name="Currency 2 3 2 2 9" xfId="10693" xr:uid="{3756DBF5-A638-4FB0-AFB0-492DCCE6E2A3}"/>
    <cellStyle name="Currency 2 3 2 2 9 2" xfId="24744" xr:uid="{8630860E-C384-43E0-AB79-2CBA1C0F2BAB}"/>
    <cellStyle name="Currency 2 3 2 3" xfId="1080" xr:uid="{6924BD6A-1314-4980-851D-56594E17D232}"/>
    <cellStyle name="Currency 2 3 2 3 10" xfId="15130" xr:uid="{0B9A0C00-8637-43B9-B70E-1DA64A5D10BA}"/>
    <cellStyle name="Currency 2 3 2 3 2" xfId="2179" xr:uid="{9037B0AD-9F12-496D-9A96-7F5399FC993A}"/>
    <cellStyle name="Currency 2 3 2 3 2 2" xfId="4368" xr:uid="{5CAB020D-FF6F-40AB-91ED-9FFAB5B0C1B8}"/>
    <cellStyle name="Currency 2 3 2 3 2 2 2" xfId="5368" xr:uid="{4001CB30-91DA-4BC9-9A7B-7FAB670D0D73}"/>
    <cellStyle name="Currency 2 3 2 3 2 2 2 2" xfId="6236" xr:uid="{EC1E58BC-6C5E-4358-928C-ABE3D3770F51}"/>
    <cellStyle name="Currency 2 3 2 3 2 2 2 2 2" xfId="9708" xr:uid="{8827141A-5499-4703-AE8F-DFF4EC079850}"/>
    <cellStyle name="Currency 2 3 2 3 2 2 2 2 2 2" xfId="23759" xr:uid="{08029691-55E3-44FB-ABBA-B7BC53E8DDA0}"/>
    <cellStyle name="Currency 2 3 2 3 2 2 2 2 3" xfId="12312" xr:uid="{356B88E2-C3E3-43E8-934A-06B9C94B0B97}"/>
    <cellStyle name="Currency 2 3 2 3 2 2 2 2 3 2" xfId="26363" xr:uid="{FB28CBFB-AC7C-406C-A96E-A2B4107F90D3}"/>
    <cellStyle name="Currency 2 3 2 3 2 2 2 2 4" xfId="20287" xr:uid="{4B8CF5CC-54A9-4984-8F5A-82D544B7FF0A}"/>
    <cellStyle name="Currency 2 3 2 3 2 2 2 3" xfId="7104" xr:uid="{C0DA7C91-FB2F-42AF-90F4-5D411D72D571}"/>
    <cellStyle name="Currency 2 3 2 3 2 2 2 3 2" xfId="10576" xr:uid="{8005FE1B-F7C0-46CF-A4AF-796F2A99933D}"/>
    <cellStyle name="Currency 2 3 2 3 2 2 2 3 2 2" xfId="24627" xr:uid="{EDDBEACA-936D-4342-AD96-A99860FDC58A}"/>
    <cellStyle name="Currency 2 3 2 3 2 2 2 3 3" xfId="13180" xr:uid="{8E0EE7EC-9D63-42A3-923E-00ACC44B0C6B}"/>
    <cellStyle name="Currency 2 3 2 3 2 2 2 3 3 2" xfId="27231" xr:uid="{B7EADB74-DFDD-4287-9FF0-64586E91F6B0}"/>
    <cellStyle name="Currency 2 3 2 3 2 2 2 3 4" xfId="21155" xr:uid="{FDA4C4F4-9A45-48C5-8245-8CCFFB1A99CC}"/>
    <cellStyle name="Currency 2 3 2 3 2 2 2 4" xfId="8840" xr:uid="{B96E5047-D0E0-48FE-AAD6-7D0B248C2EB9}"/>
    <cellStyle name="Currency 2 3 2 3 2 2 2 4 2" xfId="14048" xr:uid="{EB93CE3B-6AEB-4317-BACE-E98800CDDEA7}"/>
    <cellStyle name="Currency 2 3 2 3 2 2 2 4 2 2" xfId="28099" xr:uid="{A8DEC467-3D0D-4457-AEE5-B00C09CAB2C0}"/>
    <cellStyle name="Currency 2 3 2 3 2 2 2 4 3" xfId="22891" xr:uid="{E166F457-9F89-45D2-B832-4D1DB3CE26D4}"/>
    <cellStyle name="Currency 2 3 2 3 2 2 2 5" xfId="7972" xr:uid="{6A57292B-74CF-443E-8206-0A3E36E7975A}"/>
    <cellStyle name="Currency 2 3 2 3 2 2 2 5 2" xfId="22023" xr:uid="{E75895B8-72E3-4324-BBB1-8A47D70CB9DE}"/>
    <cellStyle name="Currency 2 3 2 3 2 2 2 6" xfId="11444" xr:uid="{72EE1601-3A10-4705-AD67-0F111243DC68}"/>
    <cellStyle name="Currency 2 3 2 3 2 2 2 6 2" xfId="25495" xr:uid="{C456A598-586F-4E1B-860E-A8E63E860E46}"/>
    <cellStyle name="Currency 2 3 2 3 2 2 2 7" xfId="19419" xr:uid="{D863C091-205E-4E35-90D1-0D142EE5C265}"/>
    <cellStyle name="Currency 2 3 2 3 2 2 3" xfId="5802" xr:uid="{0DEE12BA-B7CF-4E37-B0E2-E7152FAB9F43}"/>
    <cellStyle name="Currency 2 3 2 3 2 2 3 2" xfId="9274" xr:uid="{0673D267-F557-47A6-BC6F-85399596A691}"/>
    <cellStyle name="Currency 2 3 2 3 2 2 3 2 2" xfId="23325" xr:uid="{8FF79985-2225-4C88-898D-EF0100B0027B}"/>
    <cellStyle name="Currency 2 3 2 3 2 2 3 3" xfId="11878" xr:uid="{967AB3EE-CB5B-4749-AF58-5484CA1EDD83}"/>
    <cellStyle name="Currency 2 3 2 3 2 2 3 3 2" xfId="25929" xr:uid="{4F134A41-E393-4019-B409-C4A02D5C4CA7}"/>
    <cellStyle name="Currency 2 3 2 3 2 2 3 4" xfId="19853" xr:uid="{27ABCA2E-1DC7-4466-B18E-4818053DAA0A}"/>
    <cellStyle name="Currency 2 3 2 3 2 2 4" xfId="6670" xr:uid="{3049C2ED-34CE-4015-8859-FDB20FCEFC66}"/>
    <cellStyle name="Currency 2 3 2 3 2 2 4 2" xfId="10142" xr:uid="{8A98725C-CBFF-45F4-9512-1497A6A3AD88}"/>
    <cellStyle name="Currency 2 3 2 3 2 2 4 2 2" xfId="24193" xr:uid="{1D62D7B9-13ED-4719-8344-C92EF31958EA}"/>
    <cellStyle name="Currency 2 3 2 3 2 2 4 3" xfId="12746" xr:uid="{182B2942-6399-408E-8F61-CB3F7F13F0AB}"/>
    <cellStyle name="Currency 2 3 2 3 2 2 4 3 2" xfId="26797" xr:uid="{5DD9BD26-6574-4678-B08C-C0ECEAA45C6C}"/>
    <cellStyle name="Currency 2 3 2 3 2 2 4 4" xfId="20721" xr:uid="{58C82A32-3EC5-4EB2-ACB9-1A967506FADB}"/>
    <cellStyle name="Currency 2 3 2 3 2 2 5" xfId="8406" xr:uid="{E9CD3959-2DBF-401E-8F67-648BED1FD2C8}"/>
    <cellStyle name="Currency 2 3 2 3 2 2 5 2" xfId="13614" xr:uid="{0E42B661-D4A7-4E14-A903-18C1B1C8EC4E}"/>
    <cellStyle name="Currency 2 3 2 3 2 2 5 2 2" xfId="27665" xr:uid="{00C25D03-41DE-44F7-ADF6-EFFABD09789B}"/>
    <cellStyle name="Currency 2 3 2 3 2 2 5 3" xfId="22457" xr:uid="{3EEE7ABE-0222-4047-BFEF-B384A6875D56}"/>
    <cellStyle name="Currency 2 3 2 3 2 2 6" xfId="7538" xr:uid="{9F856B60-2A81-41E0-BFBD-D9A8566D335A}"/>
    <cellStyle name="Currency 2 3 2 3 2 2 6 2" xfId="21589" xr:uid="{0F708B6E-7B64-4D01-BF00-AE4562213B36}"/>
    <cellStyle name="Currency 2 3 2 3 2 2 7" xfId="11010" xr:uid="{53384EF8-6551-4A1B-8DC5-924F72C45B56}"/>
    <cellStyle name="Currency 2 3 2 3 2 2 7 2" xfId="25061" xr:uid="{39108A56-11A7-4702-9957-ABACCA384E49}"/>
    <cellStyle name="Currency 2 3 2 3 2 2 8" xfId="18418" xr:uid="{C98B69C5-80E8-45DC-A611-4F4DEB32F442}"/>
    <cellStyle name="Currency 2 3 2 3 2 3" xfId="5178" xr:uid="{6D0D6F9D-B972-47AB-B530-CB50498BEC4C}"/>
    <cellStyle name="Currency 2 3 2 3 2 3 2" xfId="6046" xr:uid="{C9336825-DEC8-44DB-A063-96CA1E91F31E}"/>
    <cellStyle name="Currency 2 3 2 3 2 3 2 2" xfId="9518" xr:uid="{ADB5AD41-88A8-486B-A617-B13F389FC31A}"/>
    <cellStyle name="Currency 2 3 2 3 2 3 2 2 2" xfId="23569" xr:uid="{90ADAE96-29BC-4127-80A8-AFAE30219190}"/>
    <cellStyle name="Currency 2 3 2 3 2 3 2 3" xfId="12122" xr:uid="{D3AF4B68-7E36-4AFA-9034-33D43F33F5F2}"/>
    <cellStyle name="Currency 2 3 2 3 2 3 2 3 2" xfId="26173" xr:uid="{7B29EAE3-85AB-4DC7-B8D3-C4C8E73DD761}"/>
    <cellStyle name="Currency 2 3 2 3 2 3 2 4" xfId="20097" xr:uid="{DD94375C-C46B-4B09-8517-44F64CEB37BC}"/>
    <cellStyle name="Currency 2 3 2 3 2 3 3" xfId="6914" xr:uid="{AD3A2CD0-D278-4913-A57F-113F6D34CF18}"/>
    <cellStyle name="Currency 2 3 2 3 2 3 3 2" xfId="10386" xr:uid="{A35B6617-9FFE-4893-A399-C7264D791720}"/>
    <cellStyle name="Currency 2 3 2 3 2 3 3 2 2" xfId="24437" xr:uid="{264AE453-2B11-43C7-89C0-F7ABEF720436}"/>
    <cellStyle name="Currency 2 3 2 3 2 3 3 3" xfId="12990" xr:uid="{D6640C07-3895-4386-BE65-C923CF6EA6FC}"/>
    <cellStyle name="Currency 2 3 2 3 2 3 3 3 2" xfId="27041" xr:uid="{ED80188F-CF93-4441-8B8F-A4CEDE9C60E9}"/>
    <cellStyle name="Currency 2 3 2 3 2 3 3 4" xfId="20965" xr:uid="{D49FA630-C622-410E-B284-EE9C918DB2D7}"/>
    <cellStyle name="Currency 2 3 2 3 2 3 4" xfId="8650" xr:uid="{90E595BD-E6C9-49B2-AD18-D191AC607068}"/>
    <cellStyle name="Currency 2 3 2 3 2 3 4 2" xfId="13858" xr:uid="{D043EF6F-1EB7-486E-9889-31CF744B53DB}"/>
    <cellStyle name="Currency 2 3 2 3 2 3 4 2 2" xfId="27909" xr:uid="{C998A954-4819-486A-AF99-82AE7A64896C}"/>
    <cellStyle name="Currency 2 3 2 3 2 3 4 3" xfId="22701" xr:uid="{35E97BA6-3519-47D8-AC6D-FC4DE9CB9E3F}"/>
    <cellStyle name="Currency 2 3 2 3 2 3 5" xfId="7782" xr:uid="{EE3B09C3-76B4-4A3A-B5FF-7B6A18A0D3F8}"/>
    <cellStyle name="Currency 2 3 2 3 2 3 5 2" xfId="21833" xr:uid="{C01CADB5-7F73-4605-A78B-B2F11A679AF7}"/>
    <cellStyle name="Currency 2 3 2 3 2 3 6" xfId="11254" xr:uid="{2D1658AD-539A-46EC-B8B9-FF3519FF15D1}"/>
    <cellStyle name="Currency 2 3 2 3 2 3 6 2" xfId="25305" xr:uid="{E6A76A80-A3FF-4744-80A5-5CD680C6793D}"/>
    <cellStyle name="Currency 2 3 2 3 2 3 7" xfId="19229" xr:uid="{1B102E15-78CF-4957-9274-F1258FBDC1C6}"/>
    <cellStyle name="Currency 2 3 2 3 2 4" xfId="5612" xr:uid="{15C4EC40-83CD-4D06-B7AE-D0B29BEA5DA2}"/>
    <cellStyle name="Currency 2 3 2 3 2 4 2" xfId="9084" xr:uid="{55969A6A-5AD9-4AC5-885B-B9587CF483A1}"/>
    <cellStyle name="Currency 2 3 2 3 2 4 2 2" xfId="23135" xr:uid="{2A40797A-B9A0-46AA-9B65-5AF60F1126A0}"/>
    <cellStyle name="Currency 2 3 2 3 2 4 3" xfId="11688" xr:uid="{B72FADB6-8A39-4C38-B575-278E5A40D7B3}"/>
    <cellStyle name="Currency 2 3 2 3 2 4 3 2" xfId="25739" xr:uid="{D6CDC54C-D03C-4E81-9F70-D6E48489A41D}"/>
    <cellStyle name="Currency 2 3 2 3 2 4 4" xfId="19663" xr:uid="{B6689779-17E0-426F-A4AE-C5DB78229D9B}"/>
    <cellStyle name="Currency 2 3 2 3 2 5" xfId="6480" xr:uid="{6622C81E-2EFF-4415-A566-7AB3919F1260}"/>
    <cellStyle name="Currency 2 3 2 3 2 5 2" xfId="9952" xr:uid="{23142CED-A9B9-4B7E-A298-C8DFBBDC1865}"/>
    <cellStyle name="Currency 2 3 2 3 2 5 2 2" xfId="24003" xr:uid="{F60ABCE2-FC67-4B62-829A-A63E5E8D5457}"/>
    <cellStyle name="Currency 2 3 2 3 2 5 3" xfId="12556" xr:uid="{C9EA374F-81FF-4DD8-9CD5-987A9C336DC4}"/>
    <cellStyle name="Currency 2 3 2 3 2 5 3 2" xfId="26607" xr:uid="{108FD145-8929-4052-88A2-2D5700602CCD}"/>
    <cellStyle name="Currency 2 3 2 3 2 5 4" xfId="20531" xr:uid="{22B315D8-2D8F-4ACA-98E0-DFADA6A2051E}"/>
    <cellStyle name="Currency 2 3 2 3 2 6" xfId="8216" xr:uid="{6204619D-774D-411D-8155-69029FD47D83}"/>
    <cellStyle name="Currency 2 3 2 3 2 6 2" xfId="13424" xr:uid="{34D60C12-906F-45C0-93B1-E137707BB947}"/>
    <cellStyle name="Currency 2 3 2 3 2 6 2 2" xfId="27475" xr:uid="{A6CFD686-1570-40B4-815B-897022BD1673}"/>
    <cellStyle name="Currency 2 3 2 3 2 6 3" xfId="22267" xr:uid="{BB87AA6E-1BB7-41AD-8F38-16F4F5D4E89F}"/>
    <cellStyle name="Currency 2 3 2 3 2 7" xfId="7348" xr:uid="{5F8C394A-EA12-479A-8669-E6941ECFC933}"/>
    <cellStyle name="Currency 2 3 2 3 2 7 2" xfId="21399" xr:uid="{B1E01F90-481A-418A-9B9A-53D03553B8B7}"/>
    <cellStyle name="Currency 2 3 2 3 2 8" xfId="10820" xr:uid="{17786314-6526-4AA8-8003-E563B967956E}"/>
    <cellStyle name="Currency 2 3 2 3 2 8 2" xfId="24871" xr:uid="{E494D45E-05A1-4BDD-9BA5-8090FACE91FC}"/>
    <cellStyle name="Currency 2 3 2 3 2 9" xfId="16228" xr:uid="{575A7B49-28FF-41A4-B58C-72D4EA2CAB3D}"/>
    <cellStyle name="Currency 2 3 2 3 3" xfId="3272" xr:uid="{61C6D3A7-898E-49B4-AAB7-2A3C5939AAA3}"/>
    <cellStyle name="Currency 2 3 2 3 3 2" xfId="5273" xr:uid="{A422DE54-5403-4BE9-BF1B-0DD7C52EF96D}"/>
    <cellStyle name="Currency 2 3 2 3 3 2 2" xfId="6141" xr:uid="{AEB0A709-8A71-4294-9C4D-029C045F59FC}"/>
    <cellStyle name="Currency 2 3 2 3 3 2 2 2" xfId="9613" xr:uid="{BE720B73-835A-4A86-9ED8-1CAD57DBBED2}"/>
    <cellStyle name="Currency 2 3 2 3 3 2 2 2 2" xfId="23664" xr:uid="{38E6E293-A3AE-4261-99CE-65C77DCC9752}"/>
    <cellStyle name="Currency 2 3 2 3 3 2 2 3" xfId="12217" xr:uid="{1F50FFD3-D992-4AD9-B28C-88E8D7BD7AA4}"/>
    <cellStyle name="Currency 2 3 2 3 3 2 2 3 2" xfId="26268" xr:uid="{44D159AD-83BD-477B-900C-2979EA8E3F90}"/>
    <cellStyle name="Currency 2 3 2 3 3 2 2 4" xfId="20192" xr:uid="{99EA49E8-2BA5-4EB0-93F8-EC4B9C0EACB3}"/>
    <cellStyle name="Currency 2 3 2 3 3 2 3" xfId="7009" xr:uid="{2465E8E0-3711-43CE-812C-16459F8A8FB1}"/>
    <cellStyle name="Currency 2 3 2 3 3 2 3 2" xfId="10481" xr:uid="{7B68FDA7-26FF-475F-BBE1-F3D73CCDBF10}"/>
    <cellStyle name="Currency 2 3 2 3 3 2 3 2 2" xfId="24532" xr:uid="{4D56D7B3-B3FC-4777-9B80-D2635BD4D2C2}"/>
    <cellStyle name="Currency 2 3 2 3 3 2 3 3" xfId="13085" xr:uid="{20158206-4226-475B-B3BD-7E30D49D1EAE}"/>
    <cellStyle name="Currency 2 3 2 3 3 2 3 3 2" xfId="27136" xr:uid="{A635864A-B236-43DD-A862-7F7917DFEBD6}"/>
    <cellStyle name="Currency 2 3 2 3 3 2 3 4" xfId="21060" xr:uid="{17E3BEB3-7ADA-4A65-A31A-EC4B674518D4}"/>
    <cellStyle name="Currency 2 3 2 3 3 2 4" xfId="8745" xr:uid="{767F56D1-CA7C-4EB6-8F36-1F885421F382}"/>
    <cellStyle name="Currency 2 3 2 3 3 2 4 2" xfId="13953" xr:uid="{84D235E7-209C-4523-85C8-455F717BF8EA}"/>
    <cellStyle name="Currency 2 3 2 3 3 2 4 2 2" xfId="28004" xr:uid="{55758B48-4B8F-4D12-99A9-DF4529E4C89B}"/>
    <cellStyle name="Currency 2 3 2 3 3 2 4 3" xfId="22796" xr:uid="{0251A41D-D458-40A4-8A4A-5C235C5AC6B4}"/>
    <cellStyle name="Currency 2 3 2 3 3 2 5" xfId="7877" xr:uid="{4FD7983B-8080-41E7-B333-CB034D96FFCF}"/>
    <cellStyle name="Currency 2 3 2 3 3 2 5 2" xfId="21928" xr:uid="{2F876F23-5E80-4CD4-B81D-E5F4709E7975}"/>
    <cellStyle name="Currency 2 3 2 3 3 2 6" xfId="11349" xr:uid="{5EE5DEE4-454F-43C5-998C-109C8A12E744}"/>
    <cellStyle name="Currency 2 3 2 3 3 2 6 2" xfId="25400" xr:uid="{6E2886B2-873F-4200-8BD9-325F16C3AB34}"/>
    <cellStyle name="Currency 2 3 2 3 3 2 7" xfId="19324" xr:uid="{8E98E351-15DC-419A-B312-73DF49D02E7A}"/>
    <cellStyle name="Currency 2 3 2 3 3 3" xfId="5707" xr:uid="{0F47FE95-8BB2-4F19-A895-9266880C9075}"/>
    <cellStyle name="Currency 2 3 2 3 3 3 2" xfId="9179" xr:uid="{F92D0990-A0A9-44D7-8E07-7F27FA41D49D}"/>
    <cellStyle name="Currency 2 3 2 3 3 3 2 2" xfId="23230" xr:uid="{7026A05E-CA8B-495A-89D5-4E6EFB2D8513}"/>
    <cellStyle name="Currency 2 3 2 3 3 3 3" xfId="11783" xr:uid="{D690EAA4-70D2-4C62-911D-5B89017060F7}"/>
    <cellStyle name="Currency 2 3 2 3 3 3 3 2" xfId="25834" xr:uid="{A2F2B72C-652D-47AF-A260-8EF16646CAB5}"/>
    <cellStyle name="Currency 2 3 2 3 3 3 4" xfId="19758" xr:uid="{6F3C7289-4B51-4503-BF4E-15AD353F153C}"/>
    <cellStyle name="Currency 2 3 2 3 3 4" xfId="6575" xr:uid="{E1D3BB48-1437-4D2F-A4FF-77A37EEAEFD5}"/>
    <cellStyle name="Currency 2 3 2 3 3 4 2" xfId="10047" xr:uid="{E2DDE909-44A2-40FA-9E14-43A58A847005}"/>
    <cellStyle name="Currency 2 3 2 3 3 4 2 2" xfId="24098" xr:uid="{D3541025-4641-4792-9A3D-B0EDDCB8209C}"/>
    <cellStyle name="Currency 2 3 2 3 3 4 3" xfId="12651" xr:uid="{D0950DD2-34C4-464A-9C59-CA4F2751789F}"/>
    <cellStyle name="Currency 2 3 2 3 3 4 3 2" xfId="26702" xr:uid="{013C8E7A-B1A7-4DA4-B11D-0D1FCE595994}"/>
    <cellStyle name="Currency 2 3 2 3 3 4 4" xfId="20626" xr:uid="{146FBC79-D734-4BD7-9653-4667DC96D564}"/>
    <cellStyle name="Currency 2 3 2 3 3 5" xfId="8311" xr:uid="{13467B31-C130-4D6A-9FB1-A04DF57C4B75}"/>
    <cellStyle name="Currency 2 3 2 3 3 5 2" xfId="13519" xr:uid="{A12F8BDB-9275-4CC4-A1F8-7220F74BA4EE}"/>
    <cellStyle name="Currency 2 3 2 3 3 5 2 2" xfId="27570" xr:uid="{A7DE97EE-2136-495F-9520-4DF217F15501}"/>
    <cellStyle name="Currency 2 3 2 3 3 5 3" xfId="22362" xr:uid="{710C186D-6580-4AE6-9617-EB6E45446704}"/>
    <cellStyle name="Currency 2 3 2 3 3 6" xfId="7443" xr:uid="{B0AB7974-C74C-4DEC-AF60-8FF6C6CAA9D3}"/>
    <cellStyle name="Currency 2 3 2 3 3 6 2" xfId="21494" xr:uid="{B20FC6EF-68AE-4D88-BF42-CA3B213AE075}"/>
    <cellStyle name="Currency 2 3 2 3 3 7" xfId="10915" xr:uid="{02502DAE-2E83-4B61-A745-B6BB12C1FCDB}"/>
    <cellStyle name="Currency 2 3 2 3 3 7 2" xfId="24966" xr:uid="{66FB5C8C-B150-4980-9156-D6780A4F5916}"/>
    <cellStyle name="Currency 2 3 2 3 3 8" xfId="17324" xr:uid="{9412A876-6537-497E-ADE6-F37CBA0E1CC6}"/>
    <cellStyle name="Currency 2 3 2 3 4" xfId="5081" xr:uid="{05864F0D-715E-415F-BC58-E0DDB2229545}"/>
    <cellStyle name="Currency 2 3 2 3 4 2" xfId="5949" xr:uid="{86E04BBD-A181-40BE-AD80-989AABA24C56}"/>
    <cellStyle name="Currency 2 3 2 3 4 2 2" xfId="9421" xr:uid="{F1E87EBF-6028-4422-9655-DFD2D85D11A8}"/>
    <cellStyle name="Currency 2 3 2 3 4 2 2 2" xfId="23472" xr:uid="{F73FA878-06CE-4A38-B0E8-B56597F9CF72}"/>
    <cellStyle name="Currency 2 3 2 3 4 2 3" xfId="12025" xr:uid="{419CD4DB-BABE-493B-ADCE-06DA424C2D8B}"/>
    <cellStyle name="Currency 2 3 2 3 4 2 3 2" xfId="26076" xr:uid="{571051B8-1E40-46FE-9846-B6684E6FEA39}"/>
    <cellStyle name="Currency 2 3 2 3 4 2 4" xfId="20000" xr:uid="{03926840-73DC-4464-974B-21D8E82386CF}"/>
    <cellStyle name="Currency 2 3 2 3 4 3" xfId="6817" xr:uid="{04A494BD-7B30-498C-8B7A-A250A3EE957F}"/>
    <cellStyle name="Currency 2 3 2 3 4 3 2" xfId="10289" xr:uid="{0B934BDE-28AB-4ED7-B093-2F5DA88EE5ED}"/>
    <cellStyle name="Currency 2 3 2 3 4 3 2 2" xfId="24340" xr:uid="{94F55805-2134-48DC-9499-99E0E5E36F1D}"/>
    <cellStyle name="Currency 2 3 2 3 4 3 3" xfId="12893" xr:uid="{C59F0AD0-3835-47C9-9BE4-5C7001AE4091}"/>
    <cellStyle name="Currency 2 3 2 3 4 3 3 2" xfId="26944" xr:uid="{47AC0048-07AC-4F57-B21D-C2D94899337A}"/>
    <cellStyle name="Currency 2 3 2 3 4 3 4" xfId="20868" xr:uid="{FFE931C3-CD2B-4D1D-AC8C-33D642533445}"/>
    <cellStyle name="Currency 2 3 2 3 4 4" xfId="8553" xr:uid="{AF912B79-5D80-4A0A-A53F-7D6A2D985074}"/>
    <cellStyle name="Currency 2 3 2 3 4 4 2" xfId="13761" xr:uid="{29353310-8870-4CA5-B3A0-CA5F7343216B}"/>
    <cellStyle name="Currency 2 3 2 3 4 4 2 2" xfId="27812" xr:uid="{686492D5-B71B-4608-82B5-8AA57260F074}"/>
    <cellStyle name="Currency 2 3 2 3 4 4 3" xfId="22604" xr:uid="{B4B44ADC-A158-4EAD-BEEB-59892F5D2C63}"/>
    <cellStyle name="Currency 2 3 2 3 4 5" xfId="7685" xr:uid="{DCFB8D05-4581-4F11-B35C-A1AA254DB221}"/>
    <cellStyle name="Currency 2 3 2 3 4 5 2" xfId="21736" xr:uid="{D7DB6A47-B21C-4B50-BCEF-C012C6979924}"/>
    <cellStyle name="Currency 2 3 2 3 4 6" xfId="11157" xr:uid="{DFF0E696-AD88-45F7-95ED-06F242EAFCB4}"/>
    <cellStyle name="Currency 2 3 2 3 4 6 2" xfId="25208" xr:uid="{EEB95681-6DA4-4082-961F-4432F15561E5}"/>
    <cellStyle name="Currency 2 3 2 3 4 7" xfId="19132" xr:uid="{7021FDC7-9CAE-4A4C-BCF9-1F315492172D}"/>
    <cellStyle name="Currency 2 3 2 3 5" xfId="5515" xr:uid="{72EB47E6-09B0-486E-9623-1C873151FC18}"/>
    <cellStyle name="Currency 2 3 2 3 5 2" xfId="8987" xr:uid="{3DBC4DE7-DD70-4FAC-B732-C63B7D13880B}"/>
    <cellStyle name="Currency 2 3 2 3 5 2 2" xfId="23038" xr:uid="{9E26669C-4612-43B3-BDAC-0DE8A93C0825}"/>
    <cellStyle name="Currency 2 3 2 3 5 3" xfId="11591" xr:uid="{12936823-EC25-4C1D-BB1C-08E8062C6CB0}"/>
    <cellStyle name="Currency 2 3 2 3 5 3 2" xfId="25642" xr:uid="{C5ADA205-B4FB-4213-A521-BD4BE79BDD10}"/>
    <cellStyle name="Currency 2 3 2 3 5 4" xfId="19566" xr:uid="{BA331AC1-4A2C-41EA-B189-2BC65AD8CDFD}"/>
    <cellStyle name="Currency 2 3 2 3 6" xfId="6383" xr:uid="{83CA1273-72C9-4E0E-B493-3B0AA4CAEA5A}"/>
    <cellStyle name="Currency 2 3 2 3 6 2" xfId="9855" xr:uid="{F914E636-7C05-4B80-840F-C509F39063C3}"/>
    <cellStyle name="Currency 2 3 2 3 6 2 2" xfId="23906" xr:uid="{02F1E3AD-266C-499B-A029-6ECA267640A3}"/>
    <cellStyle name="Currency 2 3 2 3 6 3" xfId="12459" xr:uid="{AB421AF5-BB81-48AE-B347-F04A18E0DF6F}"/>
    <cellStyle name="Currency 2 3 2 3 6 3 2" xfId="26510" xr:uid="{9D278FB9-62D3-42C3-A7A7-579B35AEEFC0}"/>
    <cellStyle name="Currency 2 3 2 3 6 4" xfId="20434" xr:uid="{B265739A-8C98-43FA-82E4-951FA14F8830}"/>
    <cellStyle name="Currency 2 3 2 3 7" xfId="8119" xr:uid="{E704436B-16DE-4E84-B997-1BD7BEBFA44B}"/>
    <cellStyle name="Currency 2 3 2 3 7 2" xfId="13327" xr:uid="{742FFD0A-D6B0-4157-922D-157E2C8AD526}"/>
    <cellStyle name="Currency 2 3 2 3 7 2 2" xfId="27378" xr:uid="{A49CE0DA-29CB-48B8-813B-6D6BC154CD60}"/>
    <cellStyle name="Currency 2 3 2 3 7 3" xfId="22170" xr:uid="{F9988A1F-71A6-44DC-B5AD-36BED6FDCA81}"/>
    <cellStyle name="Currency 2 3 2 3 8" xfId="7251" xr:uid="{2028512C-78EA-42E3-B2E5-4DD45339785D}"/>
    <cellStyle name="Currency 2 3 2 3 8 2" xfId="21302" xr:uid="{35132528-8C37-4F86-A325-EB93A4447F45}"/>
    <cellStyle name="Currency 2 3 2 3 9" xfId="10723" xr:uid="{A5910B7C-0B30-460E-9EC1-F55687C96B3D}"/>
    <cellStyle name="Currency 2 3 2 3 9 2" xfId="24774" xr:uid="{C352F1EA-54BD-4C08-AC92-3ECFAD127BA2}"/>
    <cellStyle name="Currency 2 3 2 4" xfId="1660" xr:uid="{B86F10A6-183C-41B3-8657-FDB9158463EC}"/>
    <cellStyle name="Currency 2 3 2 4 2" xfId="3850" xr:uid="{63F5460B-9F76-471E-B6F8-36660A214197}"/>
    <cellStyle name="Currency 2 3 2 4 2 2" xfId="5324" xr:uid="{5A07D3B8-BDD5-4083-B695-EF6F72259AA2}"/>
    <cellStyle name="Currency 2 3 2 4 2 2 2" xfId="6192" xr:uid="{5AA0BEF5-F682-4B22-835F-3BD2FE180BDF}"/>
    <cellStyle name="Currency 2 3 2 4 2 2 2 2" xfId="9664" xr:uid="{FE997146-DAC5-4153-AFAA-E53CE08072A9}"/>
    <cellStyle name="Currency 2 3 2 4 2 2 2 2 2" xfId="23715" xr:uid="{7986EF62-0AD8-4BCC-A8AB-1B2E62380A09}"/>
    <cellStyle name="Currency 2 3 2 4 2 2 2 3" xfId="12268" xr:uid="{7E8C164C-8081-4D2D-96FF-45D4CF8076DB}"/>
    <cellStyle name="Currency 2 3 2 4 2 2 2 3 2" xfId="26319" xr:uid="{C1707D43-950F-454E-A14C-0A41F7EF76C4}"/>
    <cellStyle name="Currency 2 3 2 4 2 2 2 4" xfId="20243" xr:uid="{B0A89FEF-8C21-4260-AEE7-9D1864D4CCDC}"/>
    <cellStyle name="Currency 2 3 2 4 2 2 3" xfId="7060" xr:uid="{6A81D09E-991E-4E44-9DA7-510EF6F589F9}"/>
    <cellStyle name="Currency 2 3 2 4 2 2 3 2" xfId="10532" xr:uid="{B5FCE296-FFCF-49A8-AF46-A8433D98C2F4}"/>
    <cellStyle name="Currency 2 3 2 4 2 2 3 2 2" xfId="24583" xr:uid="{2113338C-1A8D-4000-9D15-18B9C2F706B7}"/>
    <cellStyle name="Currency 2 3 2 4 2 2 3 3" xfId="13136" xr:uid="{3CDE4B6B-73D8-4611-9B8C-2F03905F3211}"/>
    <cellStyle name="Currency 2 3 2 4 2 2 3 3 2" xfId="27187" xr:uid="{E643B5C6-138A-4E41-A225-2AFFDCF62223}"/>
    <cellStyle name="Currency 2 3 2 4 2 2 3 4" xfId="21111" xr:uid="{8C0616A2-34AF-41FA-8D6E-A23BA8FA5F9C}"/>
    <cellStyle name="Currency 2 3 2 4 2 2 4" xfId="8796" xr:uid="{528A3B29-B14B-4319-BA00-7AF1D42FDE4A}"/>
    <cellStyle name="Currency 2 3 2 4 2 2 4 2" xfId="14004" xr:uid="{09272AD5-6A6B-40F1-9D52-F2EBF87992A9}"/>
    <cellStyle name="Currency 2 3 2 4 2 2 4 2 2" xfId="28055" xr:uid="{52AC0E76-B47D-40E1-B796-E7E5B791366F}"/>
    <cellStyle name="Currency 2 3 2 4 2 2 4 3" xfId="22847" xr:uid="{C8C14B8C-8D0B-4D62-83BD-6E64A604AA55}"/>
    <cellStyle name="Currency 2 3 2 4 2 2 5" xfId="7928" xr:uid="{1FD97024-FE4F-45EA-976F-FF36F7DC2559}"/>
    <cellStyle name="Currency 2 3 2 4 2 2 5 2" xfId="21979" xr:uid="{89B58DE9-C86F-452D-B00E-CD8E05CB1DD6}"/>
    <cellStyle name="Currency 2 3 2 4 2 2 6" xfId="11400" xr:uid="{2EC8DC4F-5229-4801-B3F2-398E04F80E1B}"/>
    <cellStyle name="Currency 2 3 2 4 2 2 6 2" xfId="25451" xr:uid="{6E0487BA-5CD1-4540-94D7-270E115A81C8}"/>
    <cellStyle name="Currency 2 3 2 4 2 2 7" xfId="19375" xr:uid="{0DEF6E7C-61BD-4A27-9E7F-5BEB381868B3}"/>
    <cellStyle name="Currency 2 3 2 4 2 3" xfId="5758" xr:uid="{BED07B42-78C8-4504-8A9D-1752A66CBF92}"/>
    <cellStyle name="Currency 2 3 2 4 2 3 2" xfId="9230" xr:uid="{7B85F454-6ED3-4406-89B4-9A86CAF92D47}"/>
    <cellStyle name="Currency 2 3 2 4 2 3 2 2" xfId="23281" xr:uid="{51B02812-71A4-417F-A12F-0801223BFF6A}"/>
    <cellStyle name="Currency 2 3 2 4 2 3 3" xfId="11834" xr:uid="{6A8E42A1-E008-41F8-BFF3-B0BDDC0070A3}"/>
    <cellStyle name="Currency 2 3 2 4 2 3 3 2" xfId="25885" xr:uid="{12653C01-0EA5-4939-9434-7BDCFA73252F}"/>
    <cellStyle name="Currency 2 3 2 4 2 3 4" xfId="19809" xr:uid="{00E5586D-BA77-40BB-8B0A-2B4594B14933}"/>
    <cellStyle name="Currency 2 3 2 4 2 4" xfId="6626" xr:uid="{85B3075D-1512-4E2E-84A9-0AC90EAAC338}"/>
    <cellStyle name="Currency 2 3 2 4 2 4 2" xfId="10098" xr:uid="{85F534E2-0ED1-470E-840E-4A7CC3C59D61}"/>
    <cellStyle name="Currency 2 3 2 4 2 4 2 2" xfId="24149" xr:uid="{A12FC4DF-0AAF-4BC1-B2B4-1F38561FF596}"/>
    <cellStyle name="Currency 2 3 2 4 2 4 3" xfId="12702" xr:uid="{9834B5F5-1A45-4274-B913-E5500C4A91C7}"/>
    <cellStyle name="Currency 2 3 2 4 2 4 3 2" xfId="26753" xr:uid="{8DFDBD41-1B6D-49A3-ACDC-81D8840ECB85}"/>
    <cellStyle name="Currency 2 3 2 4 2 4 4" xfId="20677" xr:uid="{9E94F13D-28BB-49CB-9A08-A21AE8A5A4E4}"/>
    <cellStyle name="Currency 2 3 2 4 2 5" xfId="8362" xr:uid="{45D1C1AD-2DD7-477F-AE99-E6F08468C98B}"/>
    <cellStyle name="Currency 2 3 2 4 2 5 2" xfId="13570" xr:uid="{90C68EAA-A439-4ECB-8241-7E9BCDB44D63}"/>
    <cellStyle name="Currency 2 3 2 4 2 5 2 2" xfId="27621" xr:uid="{C535803D-EB9C-4582-A220-E7C34813C1F4}"/>
    <cellStyle name="Currency 2 3 2 4 2 5 3" xfId="22413" xr:uid="{897D5487-309B-4D56-8057-C3B34F196B90}"/>
    <cellStyle name="Currency 2 3 2 4 2 6" xfId="7494" xr:uid="{174B4333-5B36-429B-916B-1A7AD930A9E7}"/>
    <cellStyle name="Currency 2 3 2 4 2 6 2" xfId="21545" xr:uid="{473233EB-3FA5-4FB5-8253-CA3B9066AC1D}"/>
    <cellStyle name="Currency 2 3 2 4 2 7" xfId="10966" xr:uid="{B0E22015-BF2C-4EF9-B125-4AA2FCEC41F4}"/>
    <cellStyle name="Currency 2 3 2 4 2 7 2" xfId="25017" xr:uid="{0E402E27-42FA-4724-8A59-A29D63933E83}"/>
    <cellStyle name="Currency 2 3 2 4 2 8" xfId="17903" xr:uid="{E8A468AC-2A47-42B7-B136-107178D4725F}"/>
    <cellStyle name="Currency 2 3 2 4 3" xfId="5133" xr:uid="{1C8F7A70-14C7-4C53-80DB-4DC7D65514D6}"/>
    <cellStyle name="Currency 2 3 2 4 3 2" xfId="6001" xr:uid="{6A861FB2-5D15-429B-B391-E85EE25FBEB8}"/>
    <cellStyle name="Currency 2 3 2 4 3 2 2" xfId="9473" xr:uid="{09F4EC57-7A6F-4166-86E9-31F58E586B8F}"/>
    <cellStyle name="Currency 2 3 2 4 3 2 2 2" xfId="23524" xr:uid="{6550B540-943F-402D-BD14-40940A17EA30}"/>
    <cellStyle name="Currency 2 3 2 4 3 2 3" xfId="12077" xr:uid="{6DE969BA-0763-41BB-8160-1C7FC57C7C05}"/>
    <cellStyle name="Currency 2 3 2 4 3 2 3 2" xfId="26128" xr:uid="{5F70B5A9-104D-4437-8A8F-D891B0AC452A}"/>
    <cellStyle name="Currency 2 3 2 4 3 2 4" xfId="20052" xr:uid="{C336D07C-3D88-4EEC-A857-DDD70A4BAF70}"/>
    <cellStyle name="Currency 2 3 2 4 3 3" xfId="6869" xr:uid="{68ADBA8B-93D3-4576-83C2-1D21DF983507}"/>
    <cellStyle name="Currency 2 3 2 4 3 3 2" xfId="10341" xr:uid="{D2A43EC0-CC51-4B58-8DA2-78947874B8B7}"/>
    <cellStyle name="Currency 2 3 2 4 3 3 2 2" xfId="24392" xr:uid="{0036A3C7-7386-4881-B995-F132FCA502DB}"/>
    <cellStyle name="Currency 2 3 2 4 3 3 3" xfId="12945" xr:uid="{2703FB06-0966-4158-867F-234269BC287C}"/>
    <cellStyle name="Currency 2 3 2 4 3 3 3 2" xfId="26996" xr:uid="{EF47CCEA-76BF-4229-BEE1-AEE4A3BCCD5E}"/>
    <cellStyle name="Currency 2 3 2 4 3 3 4" xfId="20920" xr:uid="{F75B0DC9-72FF-4449-BFBC-16D7F8548661}"/>
    <cellStyle name="Currency 2 3 2 4 3 4" xfId="8605" xr:uid="{FA530E86-ACCC-4F58-BD81-5164D87B8C94}"/>
    <cellStyle name="Currency 2 3 2 4 3 4 2" xfId="13813" xr:uid="{CCCD0385-8389-48C0-A82A-95BA7F3DA7A4}"/>
    <cellStyle name="Currency 2 3 2 4 3 4 2 2" xfId="27864" xr:uid="{1BB2CA3E-2717-446F-A66C-9894DD2C0279}"/>
    <cellStyle name="Currency 2 3 2 4 3 4 3" xfId="22656" xr:uid="{CD86F397-03BA-46E9-AE24-623E251F82EF}"/>
    <cellStyle name="Currency 2 3 2 4 3 5" xfId="7737" xr:uid="{06582297-5DDF-4864-8453-2A3B53BE2557}"/>
    <cellStyle name="Currency 2 3 2 4 3 5 2" xfId="21788" xr:uid="{035DCB02-616D-4A74-935F-1F7551ED47A2}"/>
    <cellStyle name="Currency 2 3 2 4 3 6" xfId="11209" xr:uid="{1CFF7EEA-2C7E-4C42-85B2-4BB138E71945}"/>
    <cellStyle name="Currency 2 3 2 4 3 6 2" xfId="25260" xr:uid="{1AF4A657-0C0F-4B15-B07C-B688447EA84F}"/>
    <cellStyle name="Currency 2 3 2 4 3 7" xfId="19184" xr:uid="{E50B6DF3-4234-47E3-B4EF-154CCE329E9C}"/>
    <cellStyle name="Currency 2 3 2 4 4" xfId="5567" xr:uid="{52F3570E-F2B4-485C-B4B1-88E84321577F}"/>
    <cellStyle name="Currency 2 3 2 4 4 2" xfId="9039" xr:uid="{1FF6049A-D65E-4CD5-A2C2-42CDBCAB5866}"/>
    <cellStyle name="Currency 2 3 2 4 4 2 2" xfId="23090" xr:uid="{1711FFBB-9A6F-4A51-B2AD-E117E86FCB92}"/>
    <cellStyle name="Currency 2 3 2 4 4 3" xfId="11643" xr:uid="{6C8458B9-E26F-4E6D-B9B0-7D125CD26FBC}"/>
    <cellStyle name="Currency 2 3 2 4 4 3 2" xfId="25694" xr:uid="{E434A379-B7C7-4402-918E-886BEC0DD961}"/>
    <cellStyle name="Currency 2 3 2 4 4 4" xfId="19618" xr:uid="{19969B39-B875-443F-B0BD-13B266FBEBAE}"/>
    <cellStyle name="Currency 2 3 2 4 5" xfId="6435" xr:uid="{2925D6F8-76AB-4EF2-9235-47B127D0D617}"/>
    <cellStyle name="Currency 2 3 2 4 5 2" xfId="9907" xr:uid="{A341F250-6AEC-470B-BEEE-E111AB37EC29}"/>
    <cellStyle name="Currency 2 3 2 4 5 2 2" xfId="23958" xr:uid="{D7A1DA0C-BCDA-4799-B6D1-AC6BC9B3DD35}"/>
    <cellStyle name="Currency 2 3 2 4 5 3" xfId="12511" xr:uid="{1EA5CB4A-7BCD-4015-B702-276E3C064106}"/>
    <cellStyle name="Currency 2 3 2 4 5 3 2" xfId="26562" xr:uid="{BE217329-13C7-454E-8C93-40AD897B3A67}"/>
    <cellStyle name="Currency 2 3 2 4 5 4" xfId="20486" xr:uid="{075DB86C-B5B7-422B-8BB5-055388AE1E00}"/>
    <cellStyle name="Currency 2 3 2 4 6" xfId="8171" xr:uid="{C85F7C3D-0285-4549-9939-A03BC003F238}"/>
    <cellStyle name="Currency 2 3 2 4 6 2" xfId="13379" xr:uid="{C2A5204E-EEC8-45A4-A4C8-4C8A65863853}"/>
    <cellStyle name="Currency 2 3 2 4 6 2 2" xfId="27430" xr:uid="{E552C4C0-E58A-4E89-B12F-6603D527EFCF}"/>
    <cellStyle name="Currency 2 3 2 4 6 3" xfId="22222" xr:uid="{E6A381C4-41A6-42C8-8070-328844BEFFA7}"/>
    <cellStyle name="Currency 2 3 2 4 7" xfId="7303" xr:uid="{99ED5CFE-E18D-4727-9B99-F12DAB9EDF3D}"/>
    <cellStyle name="Currency 2 3 2 4 7 2" xfId="21354" xr:uid="{D1EF1DF4-D759-4921-BD23-3FEA89A90563}"/>
    <cellStyle name="Currency 2 3 2 4 8" xfId="10775" xr:uid="{8B50DFDD-3686-4230-A628-472B27D37BF8}"/>
    <cellStyle name="Currency 2 3 2 4 8 2" xfId="24826" xr:uid="{AD916DFE-8C46-49D2-94CF-57E1F4544D4C}"/>
    <cellStyle name="Currency 2 3 2 4 9" xfId="15709" xr:uid="{A929EA05-9BB6-4584-9D31-72D21BD0F8DC}"/>
    <cellStyle name="Currency 2 3 2 5" xfId="2579" xr:uid="{D3BF798D-10D1-42E1-A352-0464F579D6B4}"/>
    <cellStyle name="Currency 2 3 2 5 2" xfId="5213" xr:uid="{3FFBE368-D34C-41B9-8B17-8C2C8D182937}"/>
    <cellStyle name="Currency 2 3 2 5 2 2" xfId="6081" xr:uid="{D4C7CD99-1CA5-43A9-AE32-2B0A8743ECAC}"/>
    <cellStyle name="Currency 2 3 2 5 2 2 2" xfId="9553" xr:uid="{680BD3B5-A646-4886-BEA5-036B130E59D5}"/>
    <cellStyle name="Currency 2 3 2 5 2 2 2 2" xfId="23604" xr:uid="{E0DA4A81-0FB1-4029-B13E-CE672878143E}"/>
    <cellStyle name="Currency 2 3 2 5 2 2 3" xfId="12157" xr:uid="{1B77E293-971B-4E3A-8F01-CF403B010045}"/>
    <cellStyle name="Currency 2 3 2 5 2 2 3 2" xfId="26208" xr:uid="{ABFD7902-B720-4CB7-85B9-B3BA60D1198C}"/>
    <cellStyle name="Currency 2 3 2 5 2 2 4" xfId="20132" xr:uid="{A807DC0A-E3C1-4CBC-9A06-20D9620FE94C}"/>
    <cellStyle name="Currency 2 3 2 5 2 3" xfId="6949" xr:uid="{46EC3B83-3363-4AAF-8C35-919F13F9D8D0}"/>
    <cellStyle name="Currency 2 3 2 5 2 3 2" xfId="10421" xr:uid="{0BF839A4-781E-4C99-9206-14221E98B1B0}"/>
    <cellStyle name="Currency 2 3 2 5 2 3 2 2" xfId="24472" xr:uid="{E77BB400-9F09-45F7-AF1C-31AC228CD904}"/>
    <cellStyle name="Currency 2 3 2 5 2 3 3" xfId="13025" xr:uid="{4029939F-0197-4EF4-88D2-FF3A9BD094A5}"/>
    <cellStyle name="Currency 2 3 2 5 2 3 3 2" xfId="27076" xr:uid="{E038F64D-2524-4373-B078-254A4CFC13F6}"/>
    <cellStyle name="Currency 2 3 2 5 2 3 4" xfId="21000" xr:uid="{FE20905D-AF08-4FD9-838E-B6726C213725}"/>
    <cellStyle name="Currency 2 3 2 5 2 4" xfId="8685" xr:uid="{BBF456A2-56E7-4D1F-BA30-B65CEE7AB7B3}"/>
    <cellStyle name="Currency 2 3 2 5 2 4 2" xfId="13893" xr:uid="{C169F352-8BC8-4485-B715-4DA8267F624C}"/>
    <cellStyle name="Currency 2 3 2 5 2 4 2 2" xfId="27944" xr:uid="{5340D75B-DF7C-4D60-9ABF-CDEC5836ACA2}"/>
    <cellStyle name="Currency 2 3 2 5 2 4 3" xfId="22736" xr:uid="{0E5A1EB5-C9BE-47D3-A830-7738D655CBD0}"/>
    <cellStyle name="Currency 2 3 2 5 2 5" xfId="7817" xr:uid="{9EFC320E-257F-438D-8460-4E8F508A8AE6}"/>
    <cellStyle name="Currency 2 3 2 5 2 5 2" xfId="21868" xr:uid="{451A0B89-2FD2-4A8E-BF04-332DCDBC7378}"/>
    <cellStyle name="Currency 2 3 2 5 2 6" xfId="11289" xr:uid="{973E9C65-338E-4551-9A6C-6A2F0A04C4B1}"/>
    <cellStyle name="Currency 2 3 2 5 2 6 2" xfId="25340" xr:uid="{F9F76FD5-9EA7-4810-AD2C-1977D2477224}"/>
    <cellStyle name="Currency 2 3 2 5 2 7" xfId="19264" xr:uid="{59E9A5BA-2091-4199-8A7A-DF1B9B0D773F}"/>
    <cellStyle name="Currency 2 3 2 5 3" xfId="5647" xr:uid="{31D8D4B7-A0E2-4592-8A32-4387D1C8D9DB}"/>
    <cellStyle name="Currency 2 3 2 5 3 2" xfId="9119" xr:uid="{ECA65A5D-498A-4EC2-8F7B-862CF7AFDD8E}"/>
    <cellStyle name="Currency 2 3 2 5 3 2 2" xfId="23170" xr:uid="{66A63948-0467-4018-8DA8-1DC22B34FCA6}"/>
    <cellStyle name="Currency 2 3 2 5 3 3" xfId="11723" xr:uid="{B5D2D478-ECBE-4DED-9DCB-EDB7B1505734}"/>
    <cellStyle name="Currency 2 3 2 5 3 3 2" xfId="25774" xr:uid="{A7C64483-1634-4D0A-9F97-E6489D05853D}"/>
    <cellStyle name="Currency 2 3 2 5 3 4" xfId="19698" xr:uid="{9C21BB77-E196-4575-8BE5-6C75552C2434}"/>
    <cellStyle name="Currency 2 3 2 5 4" xfId="6515" xr:uid="{B7586595-C867-488A-8F87-12B14A73AFB5}"/>
    <cellStyle name="Currency 2 3 2 5 4 2" xfId="9987" xr:uid="{F718D8AA-DA17-416F-9E02-0AAC1C799C9A}"/>
    <cellStyle name="Currency 2 3 2 5 4 2 2" xfId="24038" xr:uid="{535EA24D-5338-41E1-8D57-E11FF2073983}"/>
    <cellStyle name="Currency 2 3 2 5 4 3" xfId="12591" xr:uid="{20E35B47-885D-43C7-BDD5-F69CE1E6A107}"/>
    <cellStyle name="Currency 2 3 2 5 4 3 2" xfId="26642" xr:uid="{B5BED893-D14F-4563-AD03-561395979483}"/>
    <cellStyle name="Currency 2 3 2 5 4 4" xfId="20566" xr:uid="{3B3F7630-DA4E-440C-83CD-8D0E8083FFA8}"/>
    <cellStyle name="Currency 2 3 2 5 5" xfId="8251" xr:uid="{B0337AEA-C43E-47C0-B7E7-8DE6A78C8F46}"/>
    <cellStyle name="Currency 2 3 2 5 5 2" xfId="13459" xr:uid="{985BBBD0-CFE1-4665-92C0-2325073EF31A}"/>
    <cellStyle name="Currency 2 3 2 5 5 2 2" xfId="27510" xr:uid="{C15EF2B7-9309-42ED-BE52-74A1F29ACF66}"/>
    <cellStyle name="Currency 2 3 2 5 5 3" xfId="22302" xr:uid="{3F77E3AA-F4DB-4FCE-8F73-4148F4AE0BEF}"/>
    <cellStyle name="Currency 2 3 2 5 6" xfId="7383" xr:uid="{F0492C87-F27B-44D8-B2B4-1E79455DF94E}"/>
    <cellStyle name="Currency 2 3 2 5 6 2" xfId="21434" xr:uid="{BDA19493-8A6A-4079-B11E-79F8A60CB56D}"/>
    <cellStyle name="Currency 2 3 2 5 7" xfId="10855" xr:uid="{FD9E6D2E-3DC7-4E13-AFAE-291356B10D45}"/>
    <cellStyle name="Currency 2 3 2 5 7 2" xfId="24906" xr:uid="{75A26579-17A5-4748-988F-3B229637FCB5}"/>
    <cellStyle name="Currency 2 3 2 5 8" xfId="16630" xr:uid="{AE7D8D51-7CCB-4BC1-B8F4-7FD615FC1A56}"/>
    <cellStyle name="Currency 2 3 2 6" xfId="4945" xr:uid="{28AE3EB0-64EF-44FF-9794-A4274402E00D}"/>
    <cellStyle name="Currency 2 3 2 6 2" xfId="5419" xr:uid="{EA40FC4B-D5D9-47EA-AC8B-540C1F281EE6}"/>
    <cellStyle name="Currency 2 3 2 6 2 2" xfId="6287" xr:uid="{990DE12A-B382-4A2E-8551-2BB2DB5722F9}"/>
    <cellStyle name="Currency 2 3 2 6 2 2 2" xfId="9759" xr:uid="{E0A837E3-4EE3-4C7B-8ACA-A2C690DB19A6}"/>
    <cellStyle name="Currency 2 3 2 6 2 2 2 2" xfId="23810" xr:uid="{689D4CAE-9603-4BB9-8504-DEE3CBDD7D0A}"/>
    <cellStyle name="Currency 2 3 2 6 2 2 3" xfId="12363" xr:uid="{1F68CDEF-6C58-4258-AA9C-8E83E88B0B90}"/>
    <cellStyle name="Currency 2 3 2 6 2 2 3 2" xfId="26414" xr:uid="{B91BF8DE-659F-43C5-8785-506FC001C1CF}"/>
    <cellStyle name="Currency 2 3 2 6 2 2 4" xfId="20338" xr:uid="{3C1C9CBB-4543-47A3-9979-E63213608FEE}"/>
    <cellStyle name="Currency 2 3 2 6 2 3" xfId="7155" xr:uid="{E58B0FA5-3147-4BDE-8548-DB31C74135DD}"/>
    <cellStyle name="Currency 2 3 2 6 2 3 2" xfId="10627" xr:uid="{A1C730AB-8AC9-405B-907C-E92EF51A631A}"/>
    <cellStyle name="Currency 2 3 2 6 2 3 2 2" xfId="24678" xr:uid="{3EA696BD-D70D-46C8-8F0E-5CB27BEB213C}"/>
    <cellStyle name="Currency 2 3 2 6 2 3 3" xfId="13231" xr:uid="{DCEEB0BD-CDEB-4949-AD67-AF3C07DAC330}"/>
    <cellStyle name="Currency 2 3 2 6 2 3 3 2" xfId="27282" xr:uid="{EC4A9B07-DDC0-470A-90CE-491F8F9030C7}"/>
    <cellStyle name="Currency 2 3 2 6 2 3 4" xfId="21206" xr:uid="{B7C992C9-6059-4F08-AF9F-1DEF48DC58BE}"/>
    <cellStyle name="Currency 2 3 2 6 2 4" xfId="8891" xr:uid="{D95A913A-383A-4D2E-A49E-8A7AC65C7FEC}"/>
    <cellStyle name="Currency 2 3 2 6 2 4 2" xfId="14099" xr:uid="{FD6997E0-10F8-4B9A-92B9-F840B3C42AC4}"/>
    <cellStyle name="Currency 2 3 2 6 2 4 2 2" xfId="28150" xr:uid="{237F5A9B-91BD-4D97-8164-6CADB54D0BF3}"/>
    <cellStyle name="Currency 2 3 2 6 2 4 3" xfId="22942" xr:uid="{3F7494F3-52DF-4BD2-9B74-52A98480C5A6}"/>
    <cellStyle name="Currency 2 3 2 6 2 5" xfId="8023" xr:uid="{8DA5E896-D76F-4A0D-8E13-F661AA5AB48E}"/>
    <cellStyle name="Currency 2 3 2 6 2 5 2" xfId="22074" xr:uid="{4DE4CFFA-D6E0-4EAA-AB00-5D18B6565052}"/>
    <cellStyle name="Currency 2 3 2 6 2 6" xfId="11495" xr:uid="{0614E19F-EB61-4FC7-85D4-BC5F4753C684}"/>
    <cellStyle name="Currency 2 3 2 6 2 6 2" xfId="25546" xr:uid="{8335BE7A-C75B-49D5-A96A-984ECB977D14}"/>
    <cellStyle name="Currency 2 3 2 6 2 7" xfId="19470" xr:uid="{E3FA869C-D6FB-4BF2-904E-95333F13DAD4}"/>
    <cellStyle name="Currency 2 3 2 6 3" xfId="5853" xr:uid="{21C60D68-26B7-42F2-8E41-4558312EB8B7}"/>
    <cellStyle name="Currency 2 3 2 6 3 2" xfId="9325" xr:uid="{6E874C3D-2BD6-42FF-B5CE-D3F418CB0890}"/>
    <cellStyle name="Currency 2 3 2 6 3 2 2" xfId="23376" xr:uid="{50A16B73-C42A-41AB-AF8A-2C6DF3532953}"/>
    <cellStyle name="Currency 2 3 2 6 3 3" xfId="11929" xr:uid="{480B46CC-7F0E-4A53-B028-A2410D5BF65C}"/>
    <cellStyle name="Currency 2 3 2 6 3 3 2" xfId="25980" xr:uid="{E774528C-7596-4DA9-939F-9D417E280FB8}"/>
    <cellStyle name="Currency 2 3 2 6 3 4" xfId="19904" xr:uid="{5872D668-5DEA-4E61-A6E3-7A51C734BB4E}"/>
    <cellStyle name="Currency 2 3 2 6 4" xfId="6721" xr:uid="{76F96E4E-8CDE-449D-9378-9745A6C28A13}"/>
    <cellStyle name="Currency 2 3 2 6 4 2" xfId="10193" xr:uid="{D7D0ADDD-F214-400F-B5B9-60A934DF58D7}"/>
    <cellStyle name="Currency 2 3 2 6 4 2 2" xfId="24244" xr:uid="{BD537525-7019-4EFD-A8AF-8D0BA10BBFB9}"/>
    <cellStyle name="Currency 2 3 2 6 4 3" xfId="12797" xr:uid="{B8237BE0-3E42-483B-9C56-BCB20DFD2EBD}"/>
    <cellStyle name="Currency 2 3 2 6 4 3 2" xfId="26848" xr:uid="{6D672C82-2334-4822-A74B-3F01FD3B5897}"/>
    <cellStyle name="Currency 2 3 2 6 4 4" xfId="20772" xr:uid="{A7672416-CEF0-4C26-B480-F288DB72AAF5}"/>
    <cellStyle name="Currency 2 3 2 6 5" xfId="8457" xr:uid="{E4E9A2C0-8645-42E5-B540-A75F6D422735}"/>
    <cellStyle name="Currency 2 3 2 6 5 2" xfId="13665" xr:uid="{AE208B5C-03EA-43B0-B080-D413C2A7A608}"/>
    <cellStyle name="Currency 2 3 2 6 5 2 2" xfId="27716" xr:uid="{761A4065-0364-463B-B096-2636DD9D32A6}"/>
    <cellStyle name="Currency 2 3 2 6 5 3" xfId="22508" xr:uid="{AA8C0B74-BCE3-43AC-889B-C411931DE7FC}"/>
    <cellStyle name="Currency 2 3 2 6 6" xfId="7589" xr:uid="{4D935975-D926-4E55-A562-AA53C0044074}"/>
    <cellStyle name="Currency 2 3 2 6 6 2" xfId="21640" xr:uid="{36120919-26B8-43D6-A883-91313A970503}"/>
    <cellStyle name="Currency 2 3 2 6 7" xfId="11061" xr:uid="{4B43CF29-DDDD-4539-B7EA-612336D162EC}"/>
    <cellStyle name="Currency 2 3 2 6 7 2" xfId="25112" xr:uid="{EC9C15E2-6A8D-447C-A8D1-0E8005A6EDB4}"/>
    <cellStyle name="Currency 2 3 2 6 8" xfId="18997" xr:uid="{1389672A-41C1-4EFA-8793-14508956DD66}"/>
    <cellStyle name="Currency 2 3 2 7" xfId="5019" xr:uid="{E09DD3B9-460B-445D-912E-E989685605D0}"/>
    <cellStyle name="Currency 2 3 2 7 2" xfId="5887" xr:uid="{D7D76835-18D3-4AB0-96AB-E1D031874C78}"/>
    <cellStyle name="Currency 2 3 2 7 2 2" xfId="9359" xr:uid="{3189CB64-B41E-4195-B9C8-144853264795}"/>
    <cellStyle name="Currency 2 3 2 7 2 2 2" xfId="23410" xr:uid="{448A7CC2-8B48-4BA1-8699-7F36FFAB0C7D}"/>
    <cellStyle name="Currency 2 3 2 7 2 3" xfId="11963" xr:uid="{769814C9-A113-465A-B84B-A1DA5C09ECDE}"/>
    <cellStyle name="Currency 2 3 2 7 2 3 2" xfId="26014" xr:uid="{D42B2F93-645B-4DFC-9F79-28B04CE53DA0}"/>
    <cellStyle name="Currency 2 3 2 7 2 4" xfId="19938" xr:uid="{0B3105F9-AE66-4FDA-BE17-A4CBE529FBC3}"/>
    <cellStyle name="Currency 2 3 2 7 3" xfId="6755" xr:uid="{1044FF38-DCE5-430A-B9B2-14112A0F1D18}"/>
    <cellStyle name="Currency 2 3 2 7 3 2" xfId="10227" xr:uid="{03AA56F7-7D22-4AD9-A3E0-E1E54D55A26C}"/>
    <cellStyle name="Currency 2 3 2 7 3 2 2" xfId="24278" xr:uid="{9AED0438-0B91-4AF4-99FA-88AA6F4A4BCE}"/>
    <cellStyle name="Currency 2 3 2 7 3 3" xfId="12831" xr:uid="{4769A458-8E67-4523-AA2E-4E01E527A693}"/>
    <cellStyle name="Currency 2 3 2 7 3 3 2" xfId="26882" xr:uid="{246A608B-2067-4853-87D9-7A758E3E11A1}"/>
    <cellStyle name="Currency 2 3 2 7 3 4" xfId="20806" xr:uid="{D329CE5B-527A-4149-AEF5-9B5DEADA4F2D}"/>
    <cellStyle name="Currency 2 3 2 7 4" xfId="8491" xr:uid="{67AAC4BD-0F03-4A45-AEBE-ED42D25F07FB}"/>
    <cellStyle name="Currency 2 3 2 7 4 2" xfId="13699" xr:uid="{2D17118C-2DDA-4D2E-989D-C877C32F1126}"/>
    <cellStyle name="Currency 2 3 2 7 4 2 2" xfId="27750" xr:uid="{8DF689C5-B182-4ECE-A985-223827FED03B}"/>
    <cellStyle name="Currency 2 3 2 7 4 3" xfId="22542" xr:uid="{3A13FF27-9421-4287-AEAB-9DA546E25B50}"/>
    <cellStyle name="Currency 2 3 2 7 5" xfId="7623" xr:uid="{63A174F9-70B9-4B25-84C0-4F69E46153DB}"/>
    <cellStyle name="Currency 2 3 2 7 5 2" xfId="21674" xr:uid="{4867B96C-3366-4095-A8D0-834FD9026FCD}"/>
    <cellStyle name="Currency 2 3 2 7 6" xfId="11095" xr:uid="{4F3A1B54-2D53-430F-AB7E-C43CC27BF436}"/>
    <cellStyle name="Currency 2 3 2 7 6 2" xfId="25146" xr:uid="{52CC3764-5987-4C2B-83A7-B1B64742F27F}"/>
    <cellStyle name="Currency 2 3 2 7 7" xfId="19070" xr:uid="{C8E23158-B974-47F6-A66E-B92165F5913D}"/>
    <cellStyle name="Currency 2 3 2 8" xfId="5453" xr:uid="{4A74E47D-5797-45E5-9DCB-447FCDDB7BFA}"/>
    <cellStyle name="Currency 2 3 2 8 2" xfId="8925" xr:uid="{6086BFC0-C944-4492-B4A3-AB88B295CDFC}"/>
    <cellStyle name="Currency 2 3 2 8 2 2" xfId="22976" xr:uid="{A268E240-4EE4-4431-A410-3C33EFC9BEE1}"/>
    <cellStyle name="Currency 2 3 2 8 3" xfId="11529" xr:uid="{82778ED6-B0C9-43F8-9B99-BCD11BA4F05A}"/>
    <cellStyle name="Currency 2 3 2 8 3 2" xfId="25580" xr:uid="{9816EF89-3022-4AF1-9643-2B697782D95A}"/>
    <cellStyle name="Currency 2 3 2 8 4" xfId="19504" xr:uid="{A331CCD4-688B-4CA6-9D54-4EFB01F3A5FD}"/>
    <cellStyle name="Currency 2 3 2 9" xfId="6321" xr:uid="{B4431DEF-01AA-4A36-B418-735C84A3E749}"/>
    <cellStyle name="Currency 2 3 2 9 2" xfId="9793" xr:uid="{19E875CA-1EC0-4EEC-B408-5FF6FC67F9FD}"/>
    <cellStyle name="Currency 2 3 2 9 2 2" xfId="23844" xr:uid="{A7C3AFD6-D771-4687-97E5-5BC292CD2F20}"/>
    <cellStyle name="Currency 2 3 2 9 3" xfId="12397" xr:uid="{CF072156-3A6B-44BF-ACFE-699515B5EEB3}"/>
    <cellStyle name="Currency 2 3 2 9 3 2" xfId="26448" xr:uid="{F1D2F9CA-71F7-4814-973F-47939EF0C372}"/>
    <cellStyle name="Currency 2 3 2 9 4" xfId="20372" xr:uid="{64381C48-3E83-428A-884A-BAF59EE77B5E}"/>
    <cellStyle name="Currency 2 3 3" xfId="553" xr:uid="{EA7A9669-5DEF-4D18-BE41-73ED7DB5A4B7}"/>
    <cellStyle name="Currency 2 3 3 10" xfId="10676" xr:uid="{A4DD33D7-749F-42D4-ABCF-EC158BBB23FF}"/>
    <cellStyle name="Currency 2 3 3 10 2" xfId="24727" xr:uid="{F4AA18B5-66F9-4267-9706-DEB320846433}"/>
    <cellStyle name="Currency 2 3 3 11" xfId="14608" xr:uid="{218FC3A9-1306-4259-93F8-8CF19D85033D}"/>
    <cellStyle name="Currency 2 3 3 2" xfId="1486" xr:uid="{F2610AFB-C1EA-45FB-8D95-89D6E9BBBDC9}"/>
    <cellStyle name="Currency 2 3 3 2 2" xfId="3676" xr:uid="{A3C855A7-5E0D-44AB-BC07-161B2A5A0E73}"/>
    <cellStyle name="Currency 2 3 3 2 2 2" xfId="5309" xr:uid="{0E9B9FBE-DB5B-4ADD-92AE-0AC092DCA221}"/>
    <cellStyle name="Currency 2 3 3 2 2 2 2" xfId="6177" xr:uid="{676E9BE0-C4C9-470C-A1B6-BB5B023E168F}"/>
    <cellStyle name="Currency 2 3 3 2 2 2 2 2" xfId="9649" xr:uid="{F5BFAF4B-7CBD-42DE-B8BC-F6D129A6E15A}"/>
    <cellStyle name="Currency 2 3 3 2 2 2 2 2 2" xfId="23700" xr:uid="{5F62C6B5-94C5-4AE2-A34B-77516112127D}"/>
    <cellStyle name="Currency 2 3 3 2 2 2 2 3" xfId="12253" xr:uid="{23A9D52F-CB76-4720-91B6-1959E9C512F9}"/>
    <cellStyle name="Currency 2 3 3 2 2 2 2 3 2" xfId="26304" xr:uid="{1D7FD905-80E8-4A15-A435-2A305F0A47EF}"/>
    <cellStyle name="Currency 2 3 3 2 2 2 2 4" xfId="20228" xr:uid="{6AD897E0-24A7-4F66-8C03-CF658A387A61}"/>
    <cellStyle name="Currency 2 3 3 2 2 2 3" xfId="7045" xr:uid="{02EA997A-750A-4FE0-8A63-480690FBA546}"/>
    <cellStyle name="Currency 2 3 3 2 2 2 3 2" xfId="10517" xr:uid="{977C4D11-3596-4F80-A767-FEB1DB290030}"/>
    <cellStyle name="Currency 2 3 3 2 2 2 3 2 2" xfId="24568" xr:uid="{958ADE56-48F2-4E81-A700-6627ACC0F966}"/>
    <cellStyle name="Currency 2 3 3 2 2 2 3 3" xfId="13121" xr:uid="{3F77B438-A418-4429-A4F4-F6998F6C9574}"/>
    <cellStyle name="Currency 2 3 3 2 2 2 3 3 2" xfId="27172" xr:uid="{4B05A48A-B664-4D0F-BD2E-7204CF579700}"/>
    <cellStyle name="Currency 2 3 3 2 2 2 3 4" xfId="21096" xr:uid="{8C538891-CECF-48A6-8BF7-303D01BD477C}"/>
    <cellStyle name="Currency 2 3 3 2 2 2 4" xfId="8781" xr:uid="{4014BF9C-1B66-4D6F-9EEB-B6F4B785EAB2}"/>
    <cellStyle name="Currency 2 3 3 2 2 2 4 2" xfId="13989" xr:uid="{DD00F678-C9E2-45BE-BEEB-012CC7684308}"/>
    <cellStyle name="Currency 2 3 3 2 2 2 4 2 2" xfId="28040" xr:uid="{2F17EA21-3626-48DA-AD68-87D78D44FD8F}"/>
    <cellStyle name="Currency 2 3 3 2 2 2 4 3" xfId="22832" xr:uid="{D02459F1-21A2-4516-AFB0-02579A114A23}"/>
    <cellStyle name="Currency 2 3 3 2 2 2 5" xfId="7913" xr:uid="{B1CD807F-81A2-4E8D-89F2-1B9F40FB8A06}"/>
    <cellStyle name="Currency 2 3 3 2 2 2 5 2" xfId="21964" xr:uid="{7C02C557-D6C5-44D2-B4A6-C80998E73954}"/>
    <cellStyle name="Currency 2 3 3 2 2 2 6" xfId="11385" xr:uid="{A08F9E38-A212-4470-AE1B-EF7925D5344B}"/>
    <cellStyle name="Currency 2 3 3 2 2 2 6 2" xfId="25436" xr:uid="{5F7126F5-716B-4652-A45A-E5FEBA80A4E4}"/>
    <cellStyle name="Currency 2 3 3 2 2 2 7" xfId="19360" xr:uid="{98B2E288-FAC4-42E5-A196-D9B303C834BE}"/>
    <cellStyle name="Currency 2 3 3 2 2 3" xfId="5743" xr:uid="{C93820EC-1AA9-4D1B-83C2-931B13B1941C}"/>
    <cellStyle name="Currency 2 3 3 2 2 3 2" xfId="9215" xr:uid="{66977427-4A2E-401A-A53F-30D6BD4C96D8}"/>
    <cellStyle name="Currency 2 3 3 2 2 3 2 2" xfId="23266" xr:uid="{DDE4FC9E-8276-495E-8E86-D2CDC257D4C1}"/>
    <cellStyle name="Currency 2 3 3 2 2 3 3" xfId="11819" xr:uid="{50DA670A-1C16-452C-A9AE-34E81E7CA1A5}"/>
    <cellStyle name="Currency 2 3 3 2 2 3 3 2" xfId="25870" xr:uid="{212DCBDF-D595-4C55-962F-A31F64731C28}"/>
    <cellStyle name="Currency 2 3 3 2 2 3 4" xfId="19794" xr:uid="{20EEBBA3-39A5-42E1-B707-1E8B11406846}"/>
    <cellStyle name="Currency 2 3 3 2 2 4" xfId="6611" xr:uid="{2E110934-CAF0-43CD-BE3A-017C05FD083B}"/>
    <cellStyle name="Currency 2 3 3 2 2 4 2" xfId="10083" xr:uid="{36CDBFA2-78AE-4BC2-924E-E54A560529C5}"/>
    <cellStyle name="Currency 2 3 3 2 2 4 2 2" xfId="24134" xr:uid="{F1F8A6C0-DA18-48C0-A040-DD783DCF351A}"/>
    <cellStyle name="Currency 2 3 3 2 2 4 3" xfId="12687" xr:uid="{A630D81F-CE81-41A3-8E66-450E9C6E1C42}"/>
    <cellStyle name="Currency 2 3 3 2 2 4 3 2" xfId="26738" xr:uid="{AEB95BBD-6CDA-419E-924A-201ECD818688}"/>
    <cellStyle name="Currency 2 3 3 2 2 4 4" xfId="20662" xr:uid="{D3D12D35-79C3-4BD9-8086-38843755E8D1}"/>
    <cellStyle name="Currency 2 3 3 2 2 5" xfId="8347" xr:uid="{2D1D35D4-00EE-464F-9694-D9ADBEAB6E47}"/>
    <cellStyle name="Currency 2 3 3 2 2 5 2" xfId="13555" xr:uid="{8F02BCE1-C3BA-4471-80B0-6124A802C1CC}"/>
    <cellStyle name="Currency 2 3 3 2 2 5 2 2" xfId="27606" xr:uid="{9FC0A3BC-229F-4DA3-B686-5222E7D317D3}"/>
    <cellStyle name="Currency 2 3 3 2 2 5 3" xfId="22398" xr:uid="{8BCFDF50-3F3E-40F9-8619-1961198F32F1}"/>
    <cellStyle name="Currency 2 3 3 2 2 6" xfId="7479" xr:uid="{4732847D-FCC6-4CFD-8A56-8A3AD5DEAFDB}"/>
    <cellStyle name="Currency 2 3 3 2 2 6 2" xfId="21530" xr:uid="{F14B597B-613B-408E-8D16-E6FAD708E4C9}"/>
    <cellStyle name="Currency 2 3 3 2 2 7" xfId="10951" xr:uid="{503367D0-30EB-48A3-BC65-3FAD4213A598}"/>
    <cellStyle name="Currency 2 3 3 2 2 7 2" xfId="25002" xr:uid="{987A895E-7CD5-4A74-9AD4-44B41920DE31}"/>
    <cellStyle name="Currency 2 3 3 2 2 8" xfId="17729" xr:uid="{8363A747-678F-4174-8654-240D96956D85}"/>
    <cellStyle name="Currency 2 3 3 2 3" xfId="5118" xr:uid="{AC4ABC44-2F27-401E-93E0-A35CEB96AE8E}"/>
    <cellStyle name="Currency 2 3 3 2 3 2" xfId="5986" xr:uid="{C0CD576B-983A-43D6-8D8A-FDC9B21A9BD9}"/>
    <cellStyle name="Currency 2 3 3 2 3 2 2" xfId="9458" xr:uid="{99731ABA-71A7-401B-9018-066F2E7E26E1}"/>
    <cellStyle name="Currency 2 3 3 2 3 2 2 2" xfId="23509" xr:uid="{0D4F0730-F515-46A3-93BB-3C91FB85CED2}"/>
    <cellStyle name="Currency 2 3 3 2 3 2 3" xfId="12062" xr:uid="{05BDB7E8-29B5-4A11-B794-D55ADA3BEBC6}"/>
    <cellStyle name="Currency 2 3 3 2 3 2 3 2" xfId="26113" xr:uid="{D544D5EF-CD3B-425D-BD1A-D9E0EE102704}"/>
    <cellStyle name="Currency 2 3 3 2 3 2 4" xfId="20037" xr:uid="{9754838A-ABEB-43B9-A452-57D67BFC765B}"/>
    <cellStyle name="Currency 2 3 3 2 3 3" xfId="6854" xr:uid="{9E452FCC-7879-4105-A43E-B1DC19469EB0}"/>
    <cellStyle name="Currency 2 3 3 2 3 3 2" xfId="10326" xr:uid="{77D36B93-2690-45CD-A85C-FE2ED6867AE6}"/>
    <cellStyle name="Currency 2 3 3 2 3 3 2 2" xfId="24377" xr:uid="{4217D954-3AEF-4F49-A5AD-9D9BEBAC05DC}"/>
    <cellStyle name="Currency 2 3 3 2 3 3 3" xfId="12930" xr:uid="{BCD2B2C4-D617-46E7-A334-5AB02415F638}"/>
    <cellStyle name="Currency 2 3 3 2 3 3 3 2" xfId="26981" xr:uid="{38968365-69CA-4354-95CF-7971D267FC3F}"/>
    <cellStyle name="Currency 2 3 3 2 3 3 4" xfId="20905" xr:uid="{3C3F930D-51B5-45BB-AF96-98E0E9A4B620}"/>
    <cellStyle name="Currency 2 3 3 2 3 4" xfId="8590" xr:uid="{9EEFBF21-74AB-43F3-9B8B-FD18EC556534}"/>
    <cellStyle name="Currency 2 3 3 2 3 4 2" xfId="13798" xr:uid="{20DB9EED-7EE5-4087-B01B-D98E0713890D}"/>
    <cellStyle name="Currency 2 3 3 2 3 4 2 2" xfId="27849" xr:uid="{D61E383F-AD8A-4ECE-87D9-DDCC0A693AAB}"/>
    <cellStyle name="Currency 2 3 3 2 3 4 3" xfId="22641" xr:uid="{314151F7-9770-4851-A32F-6A75C9DD83A5}"/>
    <cellStyle name="Currency 2 3 3 2 3 5" xfId="7722" xr:uid="{5E83DAC5-B203-4164-A1B4-3D20DA35CEE1}"/>
    <cellStyle name="Currency 2 3 3 2 3 5 2" xfId="21773" xr:uid="{63E3467C-61A2-4C16-BD9E-386D228BD63D}"/>
    <cellStyle name="Currency 2 3 3 2 3 6" xfId="11194" xr:uid="{4F5ECD95-23E2-4E3A-93CF-EBD07DC220B0}"/>
    <cellStyle name="Currency 2 3 3 2 3 6 2" xfId="25245" xr:uid="{5B418357-F755-4BCB-A7FA-9622C74D74AC}"/>
    <cellStyle name="Currency 2 3 3 2 3 7" xfId="19169" xr:uid="{01ABFD74-63EB-4CF3-9CB4-6D859F685D6F}"/>
    <cellStyle name="Currency 2 3 3 2 4" xfId="5552" xr:uid="{6D79237F-C358-45E3-A3B4-A35813482665}"/>
    <cellStyle name="Currency 2 3 3 2 4 2" xfId="9024" xr:uid="{C124FA92-EB9E-4D31-AE17-5815A351A2FC}"/>
    <cellStyle name="Currency 2 3 3 2 4 2 2" xfId="23075" xr:uid="{32E1B25A-4D41-4643-BDA1-35C962ABB10D}"/>
    <cellStyle name="Currency 2 3 3 2 4 3" xfId="11628" xr:uid="{F215DF2B-D312-4157-A189-38F7268014CA}"/>
    <cellStyle name="Currency 2 3 3 2 4 3 2" xfId="25679" xr:uid="{A4065C0D-1FDD-41AA-AB3F-999E1A86B767}"/>
    <cellStyle name="Currency 2 3 3 2 4 4" xfId="19603" xr:uid="{FE463006-A551-4BE7-B32F-120AE8839FCC}"/>
    <cellStyle name="Currency 2 3 3 2 5" xfId="6420" xr:uid="{99DF5B5A-B8D4-4DBF-92AA-B7862EAE8F02}"/>
    <cellStyle name="Currency 2 3 3 2 5 2" xfId="9892" xr:uid="{9170BC62-069E-492B-9610-7D4F3B189E62}"/>
    <cellStyle name="Currency 2 3 3 2 5 2 2" xfId="23943" xr:uid="{A8F7AA93-346B-45AD-A391-64CEEE5484E4}"/>
    <cellStyle name="Currency 2 3 3 2 5 3" xfId="12496" xr:uid="{162D1AEE-57C6-4EC4-AE24-10D3582F5BAE}"/>
    <cellStyle name="Currency 2 3 3 2 5 3 2" xfId="26547" xr:uid="{A0336B87-A71F-4CAC-88D0-42404F34D936}"/>
    <cellStyle name="Currency 2 3 3 2 5 4" xfId="20471" xr:uid="{55503CA6-2389-46F1-A33C-5F61F6068EE9}"/>
    <cellStyle name="Currency 2 3 3 2 6" xfId="8156" xr:uid="{368398E5-9933-4D71-9260-4A127C8D2214}"/>
    <cellStyle name="Currency 2 3 3 2 6 2" xfId="13364" xr:uid="{E9C701DE-CD92-4CCF-883D-D31D7E000BED}"/>
    <cellStyle name="Currency 2 3 3 2 6 2 2" xfId="27415" xr:uid="{DD2387D4-ABD4-42D5-A56D-46D572A09290}"/>
    <cellStyle name="Currency 2 3 3 2 6 3" xfId="22207" xr:uid="{9ABCC903-D7F2-4C62-A454-032E8179D0A3}"/>
    <cellStyle name="Currency 2 3 3 2 7" xfId="7288" xr:uid="{58C1721E-4FA0-467B-98A6-C62BF5EA5340}"/>
    <cellStyle name="Currency 2 3 3 2 7 2" xfId="21339" xr:uid="{D3CDD2DB-F566-44E3-9AC2-19A1C8B52D06}"/>
    <cellStyle name="Currency 2 3 3 2 8" xfId="10760" xr:uid="{E63851C3-3BCA-4373-8909-736DA1F5FE04}"/>
    <cellStyle name="Currency 2 3 3 2 8 2" xfId="24811" xr:uid="{E3137A5E-5F68-44BC-954B-83C4D974301D}"/>
    <cellStyle name="Currency 2 3 3 2 9" xfId="15535" xr:uid="{1BCFE8C6-2CAA-4458-BA0B-BD871425C768}"/>
    <cellStyle name="Currency 2 3 3 3" xfId="2752" xr:uid="{6F4CD2FB-266B-46AE-91C8-8937FBDF9BF4}"/>
    <cellStyle name="Currency 2 3 3 3 2" xfId="5228" xr:uid="{D8707D5C-6105-455A-A079-C4801893F679}"/>
    <cellStyle name="Currency 2 3 3 3 2 2" xfId="6096" xr:uid="{752746B0-C9C7-4B9A-8346-67785B182F5C}"/>
    <cellStyle name="Currency 2 3 3 3 2 2 2" xfId="9568" xr:uid="{3B698FB9-8F5A-409B-9C66-F96D8EE7F052}"/>
    <cellStyle name="Currency 2 3 3 3 2 2 2 2" xfId="23619" xr:uid="{7CF60536-E706-4CD6-8EA5-6DAE47525065}"/>
    <cellStyle name="Currency 2 3 3 3 2 2 3" xfId="12172" xr:uid="{261B8E6A-46B8-426A-9673-6BCD496138E0}"/>
    <cellStyle name="Currency 2 3 3 3 2 2 3 2" xfId="26223" xr:uid="{3B316C52-9153-4070-BF67-1AF6336D6D1D}"/>
    <cellStyle name="Currency 2 3 3 3 2 2 4" xfId="20147" xr:uid="{95E3C9C5-C65F-41F9-9C46-B709F11E1099}"/>
    <cellStyle name="Currency 2 3 3 3 2 3" xfId="6964" xr:uid="{667C1EF2-2573-4D46-9F35-E29B72B2D75B}"/>
    <cellStyle name="Currency 2 3 3 3 2 3 2" xfId="10436" xr:uid="{33CE3988-9F52-4174-9421-1929596438E0}"/>
    <cellStyle name="Currency 2 3 3 3 2 3 2 2" xfId="24487" xr:uid="{7A965122-8714-4AB7-A46E-525326327B79}"/>
    <cellStyle name="Currency 2 3 3 3 2 3 3" xfId="13040" xr:uid="{2BA924FB-17BD-4F1E-AD1F-A1AFB0BC286B}"/>
    <cellStyle name="Currency 2 3 3 3 2 3 3 2" xfId="27091" xr:uid="{737E4D8B-C160-4AD4-A694-A3D55EDA6A02}"/>
    <cellStyle name="Currency 2 3 3 3 2 3 4" xfId="21015" xr:uid="{8E8F4A19-B5FF-4A2F-A0D0-27276744DD1D}"/>
    <cellStyle name="Currency 2 3 3 3 2 4" xfId="8700" xr:uid="{6F09AD8F-BA79-442F-B71F-40EAA79A7287}"/>
    <cellStyle name="Currency 2 3 3 3 2 4 2" xfId="13908" xr:uid="{842307BB-3E6B-4E81-A61F-68E055509E8E}"/>
    <cellStyle name="Currency 2 3 3 3 2 4 2 2" xfId="27959" xr:uid="{B928077A-3E76-4213-9200-FA55AF5D7E86}"/>
    <cellStyle name="Currency 2 3 3 3 2 4 3" xfId="22751" xr:uid="{4F6C913F-3A0E-4F3D-9ED0-A9668913824D}"/>
    <cellStyle name="Currency 2 3 3 3 2 5" xfId="7832" xr:uid="{7BA674B5-EC35-4E7B-9294-F2FA27056296}"/>
    <cellStyle name="Currency 2 3 3 3 2 5 2" xfId="21883" xr:uid="{DD282A81-FD17-4514-B5E0-FB945F3ADE2A}"/>
    <cellStyle name="Currency 2 3 3 3 2 6" xfId="11304" xr:uid="{DDC856AE-3F12-43F8-B0F9-744FEE3DC133}"/>
    <cellStyle name="Currency 2 3 3 3 2 6 2" xfId="25355" xr:uid="{4D588C2A-0970-4650-990A-EFE189BD8EC1}"/>
    <cellStyle name="Currency 2 3 3 3 2 7" xfId="19279" xr:uid="{6B6E74A1-62D7-428F-AB18-128F4785F8D5}"/>
    <cellStyle name="Currency 2 3 3 3 3" xfId="5662" xr:uid="{B76AF5BF-30D3-4EF8-9139-8F4AD7D5FBA8}"/>
    <cellStyle name="Currency 2 3 3 3 3 2" xfId="9134" xr:uid="{F0AC2FEB-A741-4701-87D7-5758C0F49A0C}"/>
    <cellStyle name="Currency 2 3 3 3 3 2 2" xfId="23185" xr:uid="{4B35D97D-CC4F-49A2-BA33-4599B260532E}"/>
    <cellStyle name="Currency 2 3 3 3 3 3" xfId="11738" xr:uid="{CA9756D6-41B9-4789-81F5-32340CE65C48}"/>
    <cellStyle name="Currency 2 3 3 3 3 3 2" xfId="25789" xr:uid="{11B98FB7-3939-45DA-8048-92B3AFB0D06E}"/>
    <cellStyle name="Currency 2 3 3 3 3 4" xfId="19713" xr:uid="{56C12B08-6A60-4DBE-ABC0-69BAA450509D}"/>
    <cellStyle name="Currency 2 3 3 3 4" xfId="6530" xr:uid="{73370E17-D6D1-478C-ABB3-756D64E5C421}"/>
    <cellStyle name="Currency 2 3 3 3 4 2" xfId="10002" xr:uid="{68227870-85E4-49F2-B5E3-70416F98301C}"/>
    <cellStyle name="Currency 2 3 3 3 4 2 2" xfId="24053" xr:uid="{B30EC87A-0578-49B7-B900-CED3E7CE5F6B}"/>
    <cellStyle name="Currency 2 3 3 3 4 3" xfId="12606" xr:uid="{799DF776-BF91-49BF-AF43-9D49F2F43D8F}"/>
    <cellStyle name="Currency 2 3 3 3 4 3 2" xfId="26657" xr:uid="{C2D1C9C8-5C38-4369-B76B-C1763CC22D35}"/>
    <cellStyle name="Currency 2 3 3 3 4 4" xfId="20581" xr:uid="{C3E54C20-BAF9-4683-AB83-A16D0FF2A0B2}"/>
    <cellStyle name="Currency 2 3 3 3 5" xfId="8266" xr:uid="{A41DC367-7BEC-4269-BD24-1A7EDEE4BE2D}"/>
    <cellStyle name="Currency 2 3 3 3 5 2" xfId="13474" xr:uid="{B3423FFA-821B-45DB-A4F0-9F1246273B8F}"/>
    <cellStyle name="Currency 2 3 3 3 5 2 2" xfId="27525" xr:uid="{32AB0A17-69FD-4B4D-909A-60AC178D9185}"/>
    <cellStyle name="Currency 2 3 3 3 5 3" xfId="22317" xr:uid="{27851756-37C9-4F8F-8CAA-5933ED0613B0}"/>
    <cellStyle name="Currency 2 3 3 3 6" xfId="7398" xr:uid="{3178D0A2-9A11-4902-BA4D-6D5ECB543B64}"/>
    <cellStyle name="Currency 2 3 3 3 6 2" xfId="21449" xr:uid="{6F58AD25-48AB-44A7-9349-3AC222A633AB}"/>
    <cellStyle name="Currency 2 3 3 3 7" xfId="10870" xr:uid="{24F3ADB1-52BA-4509-B111-BDFC694F3C5E}"/>
    <cellStyle name="Currency 2 3 3 3 7 2" xfId="24921" xr:uid="{83E984E2-7D64-4DB4-93AB-B87A74FD7591}"/>
    <cellStyle name="Currency 2 3 3 3 8" xfId="16803" xr:uid="{8A1D6C87-8F94-45F5-A81F-A09D6555502E}"/>
    <cellStyle name="Currency 2 3 3 4" xfId="4771" xr:uid="{33847256-FCFC-4741-B75D-85DFF36B987C}"/>
    <cellStyle name="Currency 2 3 3 4 2" xfId="5404" xr:uid="{3DA08D0E-941A-4A97-A9FF-F234B3EA84EE}"/>
    <cellStyle name="Currency 2 3 3 4 2 2" xfId="6272" xr:uid="{48C9DA4D-0486-45F8-B3B6-2F825170E51E}"/>
    <cellStyle name="Currency 2 3 3 4 2 2 2" xfId="9744" xr:uid="{1F170985-A1FB-4516-8452-ACBB350E7759}"/>
    <cellStyle name="Currency 2 3 3 4 2 2 2 2" xfId="23795" xr:uid="{187BA2BF-71E8-4A04-920D-5BBB0A74FC3E}"/>
    <cellStyle name="Currency 2 3 3 4 2 2 3" xfId="12348" xr:uid="{2DC991B6-C60A-4FCD-92BC-4B27BBC67A92}"/>
    <cellStyle name="Currency 2 3 3 4 2 2 3 2" xfId="26399" xr:uid="{AC4C157C-72B4-44AF-8A3E-45042D370550}"/>
    <cellStyle name="Currency 2 3 3 4 2 2 4" xfId="20323" xr:uid="{6C1ABB39-54A8-493B-B985-1A61E0B94D56}"/>
    <cellStyle name="Currency 2 3 3 4 2 3" xfId="7140" xr:uid="{089C4128-8462-4AB8-9890-5D2EC9B44A7E}"/>
    <cellStyle name="Currency 2 3 3 4 2 3 2" xfId="10612" xr:uid="{A38B531C-F6F3-4366-A4C6-38BCBCF8BA6C}"/>
    <cellStyle name="Currency 2 3 3 4 2 3 2 2" xfId="24663" xr:uid="{CCE6C76D-6066-47A3-8D55-2CB5BFA1CC04}"/>
    <cellStyle name="Currency 2 3 3 4 2 3 3" xfId="13216" xr:uid="{8A31773B-BB60-46DD-8350-F32360EE4E92}"/>
    <cellStyle name="Currency 2 3 3 4 2 3 3 2" xfId="27267" xr:uid="{5A8DFFB8-F867-4A51-8573-FD4B1344BFD3}"/>
    <cellStyle name="Currency 2 3 3 4 2 3 4" xfId="21191" xr:uid="{B9285C7A-F174-495E-B535-1DF5E1F322A9}"/>
    <cellStyle name="Currency 2 3 3 4 2 4" xfId="8876" xr:uid="{30FE67AD-677D-4B50-B03A-40F06747BCC8}"/>
    <cellStyle name="Currency 2 3 3 4 2 4 2" xfId="14084" xr:uid="{E4807273-94A3-4531-88C6-B7E816CC8E3C}"/>
    <cellStyle name="Currency 2 3 3 4 2 4 2 2" xfId="28135" xr:uid="{15C9DAD2-899D-4397-BC83-73753929913E}"/>
    <cellStyle name="Currency 2 3 3 4 2 4 3" xfId="22927" xr:uid="{81C0646B-9D3F-4A22-A3F7-E0E719D1BB3C}"/>
    <cellStyle name="Currency 2 3 3 4 2 5" xfId="8008" xr:uid="{252B1AB9-5292-4504-A0B6-7B17C15DBCC8}"/>
    <cellStyle name="Currency 2 3 3 4 2 5 2" xfId="22059" xr:uid="{EF638187-2A43-4473-866D-65358962EEC5}"/>
    <cellStyle name="Currency 2 3 3 4 2 6" xfId="11480" xr:uid="{ED5FE6CA-1FC6-4FDF-ABAD-264F7E13CEC1}"/>
    <cellStyle name="Currency 2 3 3 4 2 6 2" xfId="25531" xr:uid="{F224505C-CDFD-4054-9D5A-75CD472E48C7}"/>
    <cellStyle name="Currency 2 3 3 4 2 7" xfId="19455" xr:uid="{26F17B80-95F9-4935-BCD8-E18D7A012582}"/>
    <cellStyle name="Currency 2 3 3 4 3" xfId="5838" xr:uid="{C74AD0C0-7354-486B-852B-642B03C921B9}"/>
    <cellStyle name="Currency 2 3 3 4 3 2" xfId="9310" xr:uid="{8F7CB060-2807-418E-9509-38F57E13D786}"/>
    <cellStyle name="Currency 2 3 3 4 3 2 2" xfId="23361" xr:uid="{BD1F2C84-A0C3-4FA5-BE3B-0742D6012439}"/>
    <cellStyle name="Currency 2 3 3 4 3 3" xfId="11914" xr:uid="{75562460-9EB4-4AA6-9BA4-BEA5C6223C98}"/>
    <cellStyle name="Currency 2 3 3 4 3 3 2" xfId="25965" xr:uid="{4013A3FC-08D9-423D-A47A-8442FD738990}"/>
    <cellStyle name="Currency 2 3 3 4 3 4" xfId="19889" xr:uid="{4A731872-9A3D-454D-89F7-E0E628DD3ABF}"/>
    <cellStyle name="Currency 2 3 3 4 4" xfId="6706" xr:uid="{9C0FDCDB-F22A-4241-8B13-D7286A90D4AD}"/>
    <cellStyle name="Currency 2 3 3 4 4 2" xfId="10178" xr:uid="{80576A00-6A4E-4990-8AF2-4172F181626C}"/>
    <cellStyle name="Currency 2 3 3 4 4 2 2" xfId="24229" xr:uid="{868943B8-CB97-42E3-81A0-824067ADF469}"/>
    <cellStyle name="Currency 2 3 3 4 4 3" xfId="12782" xr:uid="{817CA6CE-7082-4EA6-93A8-291EF624E71C}"/>
    <cellStyle name="Currency 2 3 3 4 4 3 2" xfId="26833" xr:uid="{7EA54B4A-8866-4E86-B169-7078BECE87D1}"/>
    <cellStyle name="Currency 2 3 3 4 4 4" xfId="20757" xr:uid="{96421875-3593-4701-9BA3-E6CFDA465E5D}"/>
    <cellStyle name="Currency 2 3 3 4 5" xfId="8442" xr:uid="{87703408-7DC5-42EC-BBA8-2ECA5B146810}"/>
    <cellStyle name="Currency 2 3 3 4 5 2" xfId="13650" xr:uid="{3013D982-9366-4307-92F1-6A1652DCBB29}"/>
    <cellStyle name="Currency 2 3 3 4 5 2 2" xfId="27701" xr:uid="{15612375-023C-4601-B3C5-225CE59085D9}"/>
    <cellStyle name="Currency 2 3 3 4 5 3" xfId="22493" xr:uid="{19851CB7-DE8C-431D-AAE2-64AA5609292D}"/>
    <cellStyle name="Currency 2 3 3 4 6" xfId="7574" xr:uid="{CCE51B21-C04D-4DC5-BAC6-F810DB4D6086}"/>
    <cellStyle name="Currency 2 3 3 4 6 2" xfId="21625" xr:uid="{D0B87E16-967B-41B1-A112-96792879B26D}"/>
    <cellStyle name="Currency 2 3 3 4 7" xfId="11046" xr:uid="{B44B2F1C-BB7C-4AE6-BBEC-0A177E20E812}"/>
    <cellStyle name="Currency 2 3 3 4 7 2" xfId="25097" xr:uid="{6F8E9213-090E-459E-9AFA-7DF98C5EF217}"/>
    <cellStyle name="Currency 2 3 3 4 8" xfId="18823" xr:uid="{74F150D7-64E4-449B-9D0C-8E3D44B80CFB}"/>
    <cellStyle name="Currency 2 3 3 5" xfId="5034" xr:uid="{28F99678-FF8A-4167-95F5-E74ABE8F8CC7}"/>
    <cellStyle name="Currency 2 3 3 5 2" xfId="5902" xr:uid="{321C4F62-1ABD-4E81-B252-6EBCD1DE3AD0}"/>
    <cellStyle name="Currency 2 3 3 5 2 2" xfId="9374" xr:uid="{2788F83B-160C-4AC8-A259-37BC0E52C308}"/>
    <cellStyle name="Currency 2 3 3 5 2 2 2" xfId="23425" xr:uid="{95C356A7-C410-4605-9F82-9D9865588A0D}"/>
    <cellStyle name="Currency 2 3 3 5 2 3" xfId="11978" xr:uid="{19BAA109-0483-4B74-A5D9-92398EFEA1C0}"/>
    <cellStyle name="Currency 2 3 3 5 2 3 2" xfId="26029" xr:uid="{6334A619-AB7C-48B8-ADB6-DFC3FA13B715}"/>
    <cellStyle name="Currency 2 3 3 5 2 4" xfId="19953" xr:uid="{AEC244DB-AFD7-4288-BB5C-FB1141CEA784}"/>
    <cellStyle name="Currency 2 3 3 5 3" xfId="6770" xr:uid="{898709C2-78E7-44D0-86F6-B68B1BA928F0}"/>
    <cellStyle name="Currency 2 3 3 5 3 2" xfId="10242" xr:uid="{356034A1-8F1B-4459-97CD-2EF8E4C77715}"/>
    <cellStyle name="Currency 2 3 3 5 3 2 2" xfId="24293" xr:uid="{D5826E66-DA37-40E3-A9A3-561B824BD312}"/>
    <cellStyle name="Currency 2 3 3 5 3 3" xfId="12846" xr:uid="{61F37F92-B1DC-41D5-9377-EB37A8B246E3}"/>
    <cellStyle name="Currency 2 3 3 5 3 3 2" xfId="26897" xr:uid="{B862823D-C901-4012-BEED-4B95669D0E4D}"/>
    <cellStyle name="Currency 2 3 3 5 3 4" xfId="20821" xr:uid="{B9B1A0B7-FCEA-437A-8693-912B9B409B54}"/>
    <cellStyle name="Currency 2 3 3 5 4" xfId="8506" xr:uid="{6B7F544C-70E5-40C3-B4A5-3A10D5CF6177}"/>
    <cellStyle name="Currency 2 3 3 5 4 2" xfId="13714" xr:uid="{8D8CDCEB-4935-4309-A1C3-9872D19EE169}"/>
    <cellStyle name="Currency 2 3 3 5 4 2 2" xfId="27765" xr:uid="{7D934D71-1E1E-43A9-B860-1DCF808FC48A}"/>
    <cellStyle name="Currency 2 3 3 5 4 3" xfId="22557" xr:uid="{4CD4656E-0432-4071-A798-BB602CEC1E3C}"/>
    <cellStyle name="Currency 2 3 3 5 5" xfId="7638" xr:uid="{7CD34495-E3EE-463D-BD8A-6EFF46CC7F22}"/>
    <cellStyle name="Currency 2 3 3 5 5 2" xfId="21689" xr:uid="{B5286741-6403-49A3-A347-4F91989AA7A0}"/>
    <cellStyle name="Currency 2 3 3 5 6" xfId="11110" xr:uid="{4F754A41-B4CA-461F-9A02-D9B6606AF7FA}"/>
    <cellStyle name="Currency 2 3 3 5 6 2" xfId="25161" xr:uid="{FF25A41D-F505-4353-8EBF-B45350A2148F}"/>
    <cellStyle name="Currency 2 3 3 5 7" xfId="19085" xr:uid="{4F5C70F0-35E8-4485-8C2D-53A0CBF12F25}"/>
    <cellStyle name="Currency 2 3 3 6" xfId="5468" xr:uid="{9B71E057-4CCA-4354-ACD6-11FE65F0BDC6}"/>
    <cellStyle name="Currency 2 3 3 6 2" xfId="8940" xr:uid="{8A919EC8-EA4E-46B1-A3D2-1AEA9407F4D8}"/>
    <cellStyle name="Currency 2 3 3 6 2 2" xfId="22991" xr:uid="{53810B2C-F938-429A-B33A-F98AC272A355}"/>
    <cellStyle name="Currency 2 3 3 6 3" xfId="11544" xr:uid="{CEF6A3DF-5396-4BD6-8E10-222CED1C0428}"/>
    <cellStyle name="Currency 2 3 3 6 3 2" xfId="25595" xr:uid="{F1EE163F-099E-425F-B1DF-4FB3F361B4B9}"/>
    <cellStyle name="Currency 2 3 3 6 4" xfId="19519" xr:uid="{8AB5F5BE-BFDC-4C12-A8DA-CE6EEB28CCE4}"/>
    <cellStyle name="Currency 2 3 3 7" xfId="6336" xr:uid="{C2CBEFDF-E5C2-4FE0-8C83-F3469CE58E3F}"/>
    <cellStyle name="Currency 2 3 3 7 2" xfId="9808" xr:uid="{A7EB9FC4-2466-4910-BB5F-328ACC196717}"/>
    <cellStyle name="Currency 2 3 3 7 2 2" xfId="23859" xr:uid="{CC4DB6C8-E148-4FAA-8B41-B37370E120DF}"/>
    <cellStyle name="Currency 2 3 3 7 3" xfId="12412" xr:uid="{CFC68604-33C4-424C-9255-3BF350878CE2}"/>
    <cellStyle name="Currency 2 3 3 7 3 2" xfId="26463" xr:uid="{2D031063-C8A7-4568-9A2E-48716CB885C8}"/>
    <cellStyle name="Currency 2 3 3 7 4" xfId="20387" xr:uid="{7FB1B955-86AE-42B3-A69E-678A95D9B513}"/>
    <cellStyle name="Currency 2 3 3 8" xfId="8072" xr:uid="{9955AA8F-88F3-4D8F-9CA1-E5321E59CB7A}"/>
    <cellStyle name="Currency 2 3 3 8 2" xfId="13280" xr:uid="{A53FC583-A90E-451D-B543-112869DBE89B}"/>
    <cellStyle name="Currency 2 3 3 8 2 2" xfId="27331" xr:uid="{E1F3CB42-F1E9-4430-A973-E52B79FD87D8}"/>
    <cellStyle name="Currency 2 3 3 8 3" xfId="22123" xr:uid="{14F63B8B-C2BF-4915-8BE5-ED912673EE00}"/>
    <cellStyle name="Currency 2 3 3 9" xfId="7204" xr:uid="{FF29D989-3800-443F-A746-5122B8FF3E1F}"/>
    <cellStyle name="Currency 2 3 3 9 2" xfId="21255" xr:uid="{17B3D5A4-7531-4828-A3C6-0AD36EF2AE7A}"/>
    <cellStyle name="Currency 2 3 4" xfId="906" xr:uid="{215117A1-635B-4DB2-B9D6-8566E1253859}"/>
    <cellStyle name="Currency 2 3 4 10" xfId="14956" xr:uid="{E2AAE634-9264-400B-A5F8-6D41A3F5CEEB}"/>
    <cellStyle name="Currency 2 3 4 2" xfId="2005" xr:uid="{85B4B5EB-F57E-4468-9EF1-F7A5C58E2640}"/>
    <cellStyle name="Currency 2 3 4 2 2" xfId="4194" xr:uid="{268C0240-E995-4E22-9718-E05D02D5321D}"/>
    <cellStyle name="Currency 2 3 4 2 2 2" xfId="5353" xr:uid="{885D2F80-E0A0-459B-A19C-18DA9F70B67C}"/>
    <cellStyle name="Currency 2 3 4 2 2 2 2" xfId="6221" xr:uid="{7728961B-9E4D-4A1E-ADD7-B4B3CB68B998}"/>
    <cellStyle name="Currency 2 3 4 2 2 2 2 2" xfId="9693" xr:uid="{CEB356B6-8E7C-474D-A81D-CBE3F0ABDFCC}"/>
    <cellStyle name="Currency 2 3 4 2 2 2 2 2 2" xfId="23744" xr:uid="{B3DD8246-B851-4D35-87C2-B238B49EE3A9}"/>
    <cellStyle name="Currency 2 3 4 2 2 2 2 3" xfId="12297" xr:uid="{0093F052-9078-46A1-AB9D-DD1849AB5D19}"/>
    <cellStyle name="Currency 2 3 4 2 2 2 2 3 2" xfId="26348" xr:uid="{9C9C4A5D-1B60-4803-919B-4050545D2DE3}"/>
    <cellStyle name="Currency 2 3 4 2 2 2 2 4" xfId="20272" xr:uid="{49C72105-5E93-422F-B712-1ED2DE0E3E6A}"/>
    <cellStyle name="Currency 2 3 4 2 2 2 3" xfId="7089" xr:uid="{50489350-B75B-4806-B430-3A55DA0BD93E}"/>
    <cellStyle name="Currency 2 3 4 2 2 2 3 2" xfId="10561" xr:uid="{E6DC5B9A-1049-40B8-8914-6B595FFC7F89}"/>
    <cellStyle name="Currency 2 3 4 2 2 2 3 2 2" xfId="24612" xr:uid="{16CD4AD5-6C41-46BF-BD56-9D882DED6815}"/>
    <cellStyle name="Currency 2 3 4 2 2 2 3 3" xfId="13165" xr:uid="{913A62F0-6688-4F9C-9C5C-B9EB03C80235}"/>
    <cellStyle name="Currency 2 3 4 2 2 2 3 3 2" xfId="27216" xr:uid="{49A9464A-5955-4158-BFCA-BE57A5F6CB16}"/>
    <cellStyle name="Currency 2 3 4 2 2 2 3 4" xfId="21140" xr:uid="{51F0C8F4-FE50-4527-B4FF-5661BF33E874}"/>
    <cellStyle name="Currency 2 3 4 2 2 2 4" xfId="8825" xr:uid="{FC7389D0-22AC-47ED-B5E0-93D94E4F1089}"/>
    <cellStyle name="Currency 2 3 4 2 2 2 4 2" xfId="14033" xr:uid="{04BAC9C9-F500-4BEA-A458-008154415D52}"/>
    <cellStyle name="Currency 2 3 4 2 2 2 4 2 2" xfId="28084" xr:uid="{095CBD11-2ADE-42D6-811E-8A356629061A}"/>
    <cellStyle name="Currency 2 3 4 2 2 2 4 3" xfId="22876" xr:uid="{136E3EB7-5352-4392-B761-EF9F86EDFB66}"/>
    <cellStyle name="Currency 2 3 4 2 2 2 5" xfId="7957" xr:uid="{761A4528-CC4E-4D4D-9076-27936AB7BE67}"/>
    <cellStyle name="Currency 2 3 4 2 2 2 5 2" xfId="22008" xr:uid="{C4A054C2-E79B-4B27-AEE0-069BD151C6AF}"/>
    <cellStyle name="Currency 2 3 4 2 2 2 6" xfId="11429" xr:uid="{7EA6B826-B3E4-4661-ABDE-7D8A445F5540}"/>
    <cellStyle name="Currency 2 3 4 2 2 2 6 2" xfId="25480" xr:uid="{6DA05E53-0B7A-4E40-BD5B-A0719FCCE245}"/>
    <cellStyle name="Currency 2 3 4 2 2 2 7" xfId="19404" xr:uid="{ADA9D6CC-11D6-4E16-99E3-2E8CED2FD3C9}"/>
    <cellStyle name="Currency 2 3 4 2 2 3" xfId="5787" xr:uid="{468B4875-1673-4E02-AB7C-73A71D4BD193}"/>
    <cellStyle name="Currency 2 3 4 2 2 3 2" xfId="9259" xr:uid="{07F164C2-EED0-4D14-BBE8-B7FD9B56C1DE}"/>
    <cellStyle name="Currency 2 3 4 2 2 3 2 2" xfId="23310" xr:uid="{06758A5F-F1BB-4759-9FE7-3D1115CA59E5}"/>
    <cellStyle name="Currency 2 3 4 2 2 3 3" xfId="11863" xr:uid="{7F5E3A51-7A01-4C7D-9FD4-9D402E01CE6A}"/>
    <cellStyle name="Currency 2 3 4 2 2 3 3 2" xfId="25914" xr:uid="{CDDD5833-B131-4402-9E38-45E23EF62ECB}"/>
    <cellStyle name="Currency 2 3 4 2 2 3 4" xfId="19838" xr:uid="{46988D4A-924C-4508-8172-C0596DD5D1CE}"/>
    <cellStyle name="Currency 2 3 4 2 2 4" xfId="6655" xr:uid="{CCD0E3E3-C1B3-40D9-B80E-B0D702B9C860}"/>
    <cellStyle name="Currency 2 3 4 2 2 4 2" xfId="10127" xr:uid="{9582C021-B562-4737-9B4D-FEAB41A31FD2}"/>
    <cellStyle name="Currency 2 3 4 2 2 4 2 2" xfId="24178" xr:uid="{9EBFB213-7E19-43F9-8F3F-B3F1F80BD2EC}"/>
    <cellStyle name="Currency 2 3 4 2 2 4 3" xfId="12731" xr:uid="{AFF70CE1-362F-4292-8E83-6FCCB9D4E907}"/>
    <cellStyle name="Currency 2 3 4 2 2 4 3 2" xfId="26782" xr:uid="{DF643C1D-4EDD-4EAB-9B35-FF58FEA1DC5D}"/>
    <cellStyle name="Currency 2 3 4 2 2 4 4" xfId="20706" xr:uid="{56520353-02E1-42F9-8609-E8691DC160C1}"/>
    <cellStyle name="Currency 2 3 4 2 2 5" xfId="8391" xr:uid="{1A7C8541-6C54-4D1A-8A43-F659E3629E3E}"/>
    <cellStyle name="Currency 2 3 4 2 2 5 2" xfId="13599" xr:uid="{5822F781-32F7-4376-A7FE-4FFF2FBFD574}"/>
    <cellStyle name="Currency 2 3 4 2 2 5 2 2" xfId="27650" xr:uid="{DEE22DC4-F4D0-4135-9E3C-DA970F851B42}"/>
    <cellStyle name="Currency 2 3 4 2 2 5 3" xfId="22442" xr:uid="{B642C241-BBFE-47D7-BD05-33902D962029}"/>
    <cellStyle name="Currency 2 3 4 2 2 6" xfId="7523" xr:uid="{CCD5C47F-1712-4055-995C-E0B40219320A}"/>
    <cellStyle name="Currency 2 3 4 2 2 6 2" xfId="21574" xr:uid="{80C6BEB6-0CDD-47E9-B01A-8481FEFE6FAF}"/>
    <cellStyle name="Currency 2 3 4 2 2 7" xfId="10995" xr:uid="{9D447F80-8F6C-43D1-82F7-1293070179CE}"/>
    <cellStyle name="Currency 2 3 4 2 2 7 2" xfId="25046" xr:uid="{11310C2D-33E6-42DB-A6E0-58FA907283D0}"/>
    <cellStyle name="Currency 2 3 4 2 2 8" xfId="18245" xr:uid="{6FE2A180-2534-4412-AA1A-86CAC3C69120}"/>
    <cellStyle name="Currency 2 3 4 2 3" xfId="5163" xr:uid="{497461FD-2031-47EB-A399-9398B061FBA5}"/>
    <cellStyle name="Currency 2 3 4 2 3 2" xfId="6031" xr:uid="{069CC56C-31A3-4B9F-8FBD-0EA7B8DBD685}"/>
    <cellStyle name="Currency 2 3 4 2 3 2 2" xfId="9503" xr:uid="{74A4A45B-78BA-4B66-B8C3-BFE3327A143F}"/>
    <cellStyle name="Currency 2 3 4 2 3 2 2 2" xfId="23554" xr:uid="{D4E9440D-A95C-4F88-BBA7-9240590F803C}"/>
    <cellStyle name="Currency 2 3 4 2 3 2 3" xfId="12107" xr:uid="{97B159C2-A2C3-4543-BEF0-DDF4A9E734C2}"/>
    <cellStyle name="Currency 2 3 4 2 3 2 3 2" xfId="26158" xr:uid="{C28F6069-2B39-4135-936A-04FD31841B4F}"/>
    <cellStyle name="Currency 2 3 4 2 3 2 4" xfId="20082" xr:uid="{544B259A-BB68-44C6-98C7-CCD319814061}"/>
    <cellStyle name="Currency 2 3 4 2 3 3" xfId="6899" xr:uid="{DC124E8C-2827-42E8-9AA8-37DC64DCF29A}"/>
    <cellStyle name="Currency 2 3 4 2 3 3 2" xfId="10371" xr:uid="{F86FD797-2ECA-4CF3-92AF-58AAAB58AE9F}"/>
    <cellStyle name="Currency 2 3 4 2 3 3 2 2" xfId="24422" xr:uid="{585FE0E0-CA29-4969-A93B-8C1CFBD4C497}"/>
    <cellStyle name="Currency 2 3 4 2 3 3 3" xfId="12975" xr:uid="{87B3A41E-639F-448F-8CCC-C03BACA89BC1}"/>
    <cellStyle name="Currency 2 3 4 2 3 3 3 2" xfId="27026" xr:uid="{6C73DDD4-9970-4E0E-AD51-88E8D76B29D2}"/>
    <cellStyle name="Currency 2 3 4 2 3 3 4" xfId="20950" xr:uid="{740B53FF-E567-438B-8776-C918B4F54796}"/>
    <cellStyle name="Currency 2 3 4 2 3 4" xfId="8635" xr:uid="{192E9D00-F9F0-4EA0-9A8E-3CBB9F1EBDA4}"/>
    <cellStyle name="Currency 2 3 4 2 3 4 2" xfId="13843" xr:uid="{C448C3DE-003B-4C0B-9E51-E6019C62875B}"/>
    <cellStyle name="Currency 2 3 4 2 3 4 2 2" xfId="27894" xr:uid="{9E17B5B9-5CC9-4AB2-8C82-D3E1AF77D469}"/>
    <cellStyle name="Currency 2 3 4 2 3 4 3" xfId="22686" xr:uid="{DEFA3F3D-A40B-4F77-B01E-21B59E52451B}"/>
    <cellStyle name="Currency 2 3 4 2 3 5" xfId="7767" xr:uid="{AA3217CD-9F13-4A9C-AE1D-65004B74824D}"/>
    <cellStyle name="Currency 2 3 4 2 3 5 2" xfId="21818" xr:uid="{09B61E2A-CD75-4B02-9603-408CD7FC9CBA}"/>
    <cellStyle name="Currency 2 3 4 2 3 6" xfId="11239" xr:uid="{5640A0B2-3540-4FE7-BDA3-0AE5FBAED9B9}"/>
    <cellStyle name="Currency 2 3 4 2 3 6 2" xfId="25290" xr:uid="{0C0A185A-BB66-4AC0-A1E3-0FDACD6A751C}"/>
    <cellStyle name="Currency 2 3 4 2 3 7" xfId="19214" xr:uid="{817BFD2B-ECFF-43BB-A996-FA644D14EB17}"/>
    <cellStyle name="Currency 2 3 4 2 4" xfId="5597" xr:uid="{07327AFC-5BCA-4C84-A5A4-0FEBE5A7299C}"/>
    <cellStyle name="Currency 2 3 4 2 4 2" xfId="9069" xr:uid="{3F9D76A3-CA02-4CBF-AC7E-F09912DDE509}"/>
    <cellStyle name="Currency 2 3 4 2 4 2 2" xfId="23120" xr:uid="{030F6111-E23D-4411-941A-86CD6B84E2EA}"/>
    <cellStyle name="Currency 2 3 4 2 4 3" xfId="11673" xr:uid="{B80C3B5F-7A7D-4424-83C7-5A3159AD27B5}"/>
    <cellStyle name="Currency 2 3 4 2 4 3 2" xfId="25724" xr:uid="{A8E3DC92-3A50-4182-842E-4C820D24C67B}"/>
    <cellStyle name="Currency 2 3 4 2 4 4" xfId="19648" xr:uid="{F038BDF7-AADE-4272-8E5A-31C7ADF8B374}"/>
    <cellStyle name="Currency 2 3 4 2 5" xfId="6465" xr:uid="{D49C7B2A-6CDD-4C23-9B1A-A5F2DA4491E4}"/>
    <cellStyle name="Currency 2 3 4 2 5 2" xfId="9937" xr:uid="{63F9B423-522D-4C38-80DD-3CA03C4B25C2}"/>
    <cellStyle name="Currency 2 3 4 2 5 2 2" xfId="23988" xr:uid="{DF60C00A-36E9-40DD-B3F5-6957EE05D69A}"/>
    <cellStyle name="Currency 2 3 4 2 5 3" xfId="12541" xr:uid="{E7948239-D508-434C-8505-224279258CA6}"/>
    <cellStyle name="Currency 2 3 4 2 5 3 2" xfId="26592" xr:uid="{6D80E922-40B6-417F-9115-3C33D6BE140C}"/>
    <cellStyle name="Currency 2 3 4 2 5 4" xfId="20516" xr:uid="{6425CF31-69C3-4E5D-BAAE-FAB3073F06BE}"/>
    <cellStyle name="Currency 2 3 4 2 6" xfId="8201" xr:uid="{B1E903BA-1234-4DF4-806F-2A52098C0DDA}"/>
    <cellStyle name="Currency 2 3 4 2 6 2" xfId="13409" xr:uid="{821CFD80-CAAC-44A2-97EC-5F70E929062F}"/>
    <cellStyle name="Currency 2 3 4 2 6 2 2" xfId="27460" xr:uid="{5CEE350E-8DF1-4277-AFDB-185968B216A6}"/>
    <cellStyle name="Currency 2 3 4 2 6 3" xfId="22252" xr:uid="{06544399-5CC4-4EDC-84C5-9683AF9F756A}"/>
    <cellStyle name="Currency 2 3 4 2 7" xfId="7333" xr:uid="{152FA4C9-68B1-494C-AF21-287EC9672986}"/>
    <cellStyle name="Currency 2 3 4 2 7 2" xfId="21384" xr:uid="{F3250546-90AD-4B1F-AA52-03D024D180E0}"/>
    <cellStyle name="Currency 2 3 4 2 8" xfId="10805" xr:uid="{9E47735D-AE50-4AA3-A236-332FE80CEF05}"/>
    <cellStyle name="Currency 2 3 4 2 8 2" xfId="24856" xr:uid="{17E2777F-81D3-43E0-8D35-C4151281F73A}"/>
    <cellStyle name="Currency 2 3 4 2 9" xfId="16054" xr:uid="{D9C258D8-FD7A-48F1-A553-C12008A7CAA3}"/>
    <cellStyle name="Currency 2 3 4 3" xfId="3098" xr:uid="{2970CD1C-E25F-4DA2-962D-F653E1519190}"/>
    <cellStyle name="Currency 2 3 4 3 2" xfId="5258" xr:uid="{4993FDB6-8997-4B4E-9B95-2F2C4021EA07}"/>
    <cellStyle name="Currency 2 3 4 3 2 2" xfId="6126" xr:uid="{38CB745B-8028-4AEE-B847-C34D4F5B3BD1}"/>
    <cellStyle name="Currency 2 3 4 3 2 2 2" xfId="9598" xr:uid="{99736349-F2A9-4B17-9ADD-F3ED4384545D}"/>
    <cellStyle name="Currency 2 3 4 3 2 2 2 2" xfId="23649" xr:uid="{44D7FB57-4342-4A3E-9631-13EE38446562}"/>
    <cellStyle name="Currency 2 3 4 3 2 2 3" xfId="12202" xr:uid="{FA9AE3B1-D83E-481E-BAE7-7537DD4298C3}"/>
    <cellStyle name="Currency 2 3 4 3 2 2 3 2" xfId="26253" xr:uid="{98DB4A6D-2F59-430A-8237-87125D34F682}"/>
    <cellStyle name="Currency 2 3 4 3 2 2 4" xfId="20177" xr:uid="{6AEFC67C-FA5F-40B4-B4EB-C600738DCF0E}"/>
    <cellStyle name="Currency 2 3 4 3 2 3" xfId="6994" xr:uid="{9669854E-44AC-4065-9B1B-A4ABFDDA50AF}"/>
    <cellStyle name="Currency 2 3 4 3 2 3 2" xfId="10466" xr:uid="{7A3A9BD6-F611-4ECE-AB96-D988A2F2758A}"/>
    <cellStyle name="Currency 2 3 4 3 2 3 2 2" xfId="24517" xr:uid="{19949E7E-9C24-4F2C-A3F5-FD2680E6CE29}"/>
    <cellStyle name="Currency 2 3 4 3 2 3 3" xfId="13070" xr:uid="{A021042A-4BF1-40DD-9931-8888077D8D15}"/>
    <cellStyle name="Currency 2 3 4 3 2 3 3 2" xfId="27121" xr:uid="{CFEF3206-A68E-4CDE-8AC3-562BFE570EFF}"/>
    <cellStyle name="Currency 2 3 4 3 2 3 4" xfId="21045" xr:uid="{7CF2F438-C811-4A6B-9F58-654D12B9F792}"/>
    <cellStyle name="Currency 2 3 4 3 2 4" xfId="8730" xr:uid="{61E82F1E-7E16-4360-80D3-A6F8BD6BD899}"/>
    <cellStyle name="Currency 2 3 4 3 2 4 2" xfId="13938" xr:uid="{A448EC32-0E60-457B-A204-5FDF78DBF8D9}"/>
    <cellStyle name="Currency 2 3 4 3 2 4 2 2" xfId="27989" xr:uid="{058A533C-A806-453A-BEF0-E5CE54F33717}"/>
    <cellStyle name="Currency 2 3 4 3 2 4 3" xfId="22781" xr:uid="{57542EF3-EEFE-45F6-9F9A-C25FDC54D522}"/>
    <cellStyle name="Currency 2 3 4 3 2 5" xfId="7862" xr:uid="{18BAD2AC-038C-43F6-B94B-A291B83794FE}"/>
    <cellStyle name="Currency 2 3 4 3 2 5 2" xfId="21913" xr:uid="{2B7739C5-DD16-4813-B96C-AB7F7B0F51E2}"/>
    <cellStyle name="Currency 2 3 4 3 2 6" xfId="11334" xr:uid="{8FD1A0ED-E7B0-42D9-8AF0-59812B3B4901}"/>
    <cellStyle name="Currency 2 3 4 3 2 6 2" xfId="25385" xr:uid="{E5999322-E629-474E-948E-F8C2A6D7F9C7}"/>
    <cellStyle name="Currency 2 3 4 3 2 7" xfId="19309" xr:uid="{36C26914-33AF-44A2-B354-AF24C9E2D9A7}"/>
    <cellStyle name="Currency 2 3 4 3 3" xfId="5692" xr:uid="{FF8EEFAE-762B-4973-9497-025AB4597A65}"/>
    <cellStyle name="Currency 2 3 4 3 3 2" xfId="9164" xr:uid="{CC12C88E-AC71-4619-B274-CCAC1F191E73}"/>
    <cellStyle name="Currency 2 3 4 3 3 2 2" xfId="23215" xr:uid="{E37D08D4-A3F6-4C96-A861-6F547570A417}"/>
    <cellStyle name="Currency 2 3 4 3 3 3" xfId="11768" xr:uid="{1916F8FA-94DA-4BD3-8EB3-D2FF3376CDE7}"/>
    <cellStyle name="Currency 2 3 4 3 3 3 2" xfId="25819" xr:uid="{37E57717-9DAC-4FE2-9152-72273BB1ABC7}"/>
    <cellStyle name="Currency 2 3 4 3 3 4" xfId="19743" xr:uid="{214A54D5-1D27-42D3-8276-AD590C54F0E3}"/>
    <cellStyle name="Currency 2 3 4 3 4" xfId="6560" xr:uid="{69BA07A1-A3AB-4600-884C-461AD6237F1C}"/>
    <cellStyle name="Currency 2 3 4 3 4 2" xfId="10032" xr:uid="{511AFBE2-7848-4418-A427-8E17432C58FF}"/>
    <cellStyle name="Currency 2 3 4 3 4 2 2" xfId="24083" xr:uid="{E3E112CB-A3A3-4793-AEE9-677DD44A533A}"/>
    <cellStyle name="Currency 2 3 4 3 4 3" xfId="12636" xr:uid="{6D4354EB-810D-45E3-862A-4D1CEF85B212}"/>
    <cellStyle name="Currency 2 3 4 3 4 3 2" xfId="26687" xr:uid="{2D5454FA-E653-4227-9D52-030F3F6FA20E}"/>
    <cellStyle name="Currency 2 3 4 3 4 4" xfId="20611" xr:uid="{E061D9FF-07E6-4F46-95DE-A4B54301F95C}"/>
    <cellStyle name="Currency 2 3 4 3 5" xfId="8296" xr:uid="{4F84BE44-CA65-4FD5-9CE4-9ECAB77A33FA}"/>
    <cellStyle name="Currency 2 3 4 3 5 2" xfId="13504" xr:uid="{E06FBD08-9F20-444B-AC4C-5684A7088BD2}"/>
    <cellStyle name="Currency 2 3 4 3 5 2 2" xfId="27555" xr:uid="{8E5684CD-C71C-4B4E-A40C-A504951FA767}"/>
    <cellStyle name="Currency 2 3 4 3 5 3" xfId="22347" xr:uid="{1F537579-CECA-4159-8D4A-12F07F0EC639}"/>
    <cellStyle name="Currency 2 3 4 3 6" xfId="7428" xr:uid="{157D54A1-9313-4092-84F4-3F2DE36961A3}"/>
    <cellStyle name="Currency 2 3 4 3 6 2" xfId="21479" xr:uid="{E25621E6-8790-4CF5-91CD-038178BBE3E9}"/>
    <cellStyle name="Currency 2 3 4 3 7" xfId="10900" xr:uid="{DE25840F-0BAA-4DAA-9EEA-E8E97CD056A5}"/>
    <cellStyle name="Currency 2 3 4 3 7 2" xfId="24951" xr:uid="{CDE51DBD-438E-4AFD-95F3-6BF4B12D065F}"/>
    <cellStyle name="Currency 2 3 4 3 8" xfId="17150" xr:uid="{57D8A25C-92AA-4CCF-9790-581F500D4635}"/>
    <cellStyle name="Currency 2 3 4 4" xfId="5066" xr:uid="{A30B5369-0581-4CA2-94B4-56A8B3B42FF4}"/>
    <cellStyle name="Currency 2 3 4 4 2" xfId="5934" xr:uid="{D4DD5538-59AE-4E58-811D-84A2AA41F4E2}"/>
    <cellStyle name="Currency 2 3 4 4 2 2" xfId="9406" xr:uid="{0EBA87E3-4DE8-43E1-A38A-66DE1A8E142F}"/>
    <cellStyle name="Currency 2 3 4 4 2 2 2" xfId="23457" xr:uid="{F3595109-CED1-42E6-90AB-FA9E8E49364B}"/>
    <cellStyle name="Currency 2 3 4 4 2 3" xfId="12010" xr:uid="{FADD4D83-CD7A-4FB2-BF83-C0DD93A18D68}"/>
    <cellStyle name="Currency 2 3 4 4 2 3 2" xfId="26061" xr:uid="{8A8F5393-A9B5-4A49-981B-CB8CD640FD32}"/>
    <cellStyle name="Currency 2 3 4 4 2 4" xfId="19985" xr:uid="{D7A79EAE-B8C9-47FE-83A8-08D7686CD7A0}"/>
    <cellStyle name="Currency 2 3 4 4 3" xfId="6802" xr:uid="{A42EC86A-B6CC-4E4C-AAD8-1A19AE311025}"/>
    <cellStyle name="Currency 2 3 4 4 3 2" xfId="10274" xr:uid="{A5FF07EE-1563-4AB1-BC8B-8ACB4A39CAE1}"/>
    <cellStyle name="Currency 2 3 4 4 3 2 2" xfId="24325" xr:uid="{F9DBC87C-6422-44C9-8D6E-634CD177968C}"/>
    <cellStyle name="Currency 2 3 4 4 3 3" xfId="12878" xr:uid="{22DC8EB8-D0E4-42EE-8033-D651121F6801}"/>
    <cellStyle name="Currency 2 3 4 4 3 3 2" xfId="26929" xr:uid="{AA3C82E1-1F3B-44AA-863F-415603F5071F}"/>
    <cellStyle name="Currency 2 3 4 4 3 4" xfId="20853" xr:uid="{8102A97A-6E57-4E97-BF76-F3F9586C7824}"/>
    <cellStyle name="Currency 2 3 4 4 4" xfId="8538" xr:uid="{CD096FE1-7A3E-47CB-B12F-2716AEA5E898}"/>
    <cellStyle name="Currency 2 3 4 4 4 2" xfId="13746" xr:uid="{F623D950-A94D-4943-AD95-323BAD33A3A2}"/>
    <cellStyle name="Currency 2 3 4 4 4 2 2" xfId="27797" xr:uid="{307A6FEB-34DE-4998-83B0-AF02485BB42C}"/>
    <cellStyle name="Currency 2 3 4 4 4 3" xfId="22589" xr:uid="{CE92F9FB-E052-428C-8B6A-0F0AE55CA84C}"/>
    <cellStyle name="Currency 2 3 4 4 5" xfId="7670" xr:uid="{22BFA51D-6912-41A5-A8A6-EEBCD1736E04}"/>
    <cellStyle name="Currency 2 3 4 4 5 2" xfId="21721" xr:uid="{D3D4665D-8E7C-4BC9-B0B7-A1D21FD4411E}"/>
    <cellStyle name="Currency 2 3 4 4 6" xfId="11142" xr:uid="{377460B9-B879-47E2-8AE7-C85B5EEC091F}"/>
    <cellStyle name="Currency 2 3 4 4 6 2" xfId="25193" xr:uid="{E189C5E7-E67B-4CC7-89EC-2B84AC99A2BF}"/>
    <cellStyle name="Currency 2 3 4 4 7" xfId="19117" xr:uid="{EDD316CC-DBF1-456C-A3E8-DEBC9FF87F83}"/>
    <cellStyle name="Currency 2 3 4 5" xfId="5500" xr:uid="{0ED102D8-4B3F-4B23-851A-EC59A4187562}"/>
    <cellStyle name="Currency 2 3 4 5 2" xfId="8972" xr:uid="{D11FD825-AAF1-40BD-8239-75F23511AACF}"/>
    <cellStyle name="Currency 2 3 4 5 2 2" xfId="23023" xr:uid="{19F044EB-A886-4DE7-AAD8-47852A862F65}"/>
    <cellStyle name="Currency 2 3 4 5 3" xfId="11576" xr:uid="{174E8AAD-AE93-4E68-9C1E-C3A3AF740F5A}"/>
    <cellStyle name="Currency 2 3 4 5 3 2" xfId="25627" xr:uid="{3DF4E43A-0F0C-4313-ADBF-1C0ACCBAA5A7}"/>
    <cellStyle name="Currency 2 3 4 5 4" xfId="19551" xr:uid="{92CB7267-D8C8-4750-A3B2-24AFDAAAD329}"/>
    <cellStyle name="Currency 2 3 4 6" xfId="6368" xr:uid="{05BBD6DA-270A-46A2-8BD8-35B9C7D58439}"/>
    <cellStyle name="Currency 2 3 4 6 2" xfId="9840" xr:uid="{BA443458-6260-4BF5-B42A-BC2A53EDAB66}"/>
    <cellStyle name="Currency 2 3 4 6 2 2" xfId="23891" xr:uid="{C538DB20-3ABB-4818-BF49-A223A897BEA5}"/>
    <cellStyle name="Currency 2 3 4 6 3" xfId="12444" xr:uid="{4B10F14D-D933-47ED-87C4-FA268C0BF12B}"/>
    <cellStyle name="Currency 2 3 4 6 3 2" xfId="26495" xr:uid="{6CD85A2C-3582-4D16-BF82-9007C3FB1EF1}"/>
    <cellStyle name="Currency 2 3 4 6 4" xfId="20419" xr:uid="{3ED19317-1A1D-461C-948B-FB0DC7CB83D9}"/>
    <cellStyle name="Currency 2 3 4 7" xfId="8104" xr:uid="{CBBF9255-8748-47DF-A75E-CFE56378132D}"/>
    <cellStyle name="Currency 2 3 4 7 2" xfId="13312" xr:uid="{7BBA3E89-78BD-41D8-A369-B1A958FD1BE7}"/>
    <cellStyle name="Currency 2 3 4 7 2 2" xfId="27363" xr:uid="{558FAFE5-E028-42A6-ACA8-E60704D9E905}"/>
    <cellStyle name="Currency 2 3 4 7 3" xfId="22155" xr:uid="{9BE97C19-1920-4AAE-A99F-E43F9179DA8D}"/>
    <cellStyle name="Currency 2 3 4 8" xfId="7236" xr:uid="{48C8CDF1-EDC9-4995-8EEB-B0DEF773CA37}"/>
    <cellStyle name="Currency 2 3 4 8 2" xfId="21287" xr:uid="{C77B126F-B249-4CF9-BAE8-6E4289D14037}"/>
    <cellStyle name="Currency 2 3 4 9" xfId="10708" xr:uid="{4DC1147F-983E-44BC-80D9-65741A19A1C6}"/>
    <cellStyle name="Currency 2 3 4 9 2" xfId="24759" xr:uid="{44775199-5A50-41A2-9D6D-00E774C240A9}"/>
    <cellStyle name="Currency 2 3 5" xfId="1313" xr:uid="{490E383B-0663-4B7B-8A6C-9FCFEE8353A1}"/>
    <cellStyle name="Currency 2 3 5 2" xfId="3504" xr:uid="{D7F09457-724D-4B63-A893-21ECBF295013}"/>
    <cellStyle name="Currency 2 3 5 2 2" xfId="5294" xr:uid="{88624A04-061B-450C-9301-D457084B4FDF}"/>
    <cellStyle name="Currency 2 3 5 2 2 2" xfId="6162" xr:uid="{FECD4C83-ED3B-4AA0-9534-4E7CDE2572BC}"/>
    <cellStyle name="Currency 2 3 5 2 2 2 2" xfId="9634" xr:uid="{43BDCDA7-B094-4595-B7CA-1C0CFF5B7100}"/>
    <cellStyle name="Currency 2 3 5 2 2 2 2 2" xfId="23685" xr:uid="{499408DB-FF37-48AB-896F-87D429808670}"/>
    <cellStyle name="Currency 2 3 5 2 2 2 3" xfId="12238" xr:uid="{14D6CF80-6A86-472F-89EE-F396D1C1E5E0}"/>
    <cellStyle name="Currency 2 3 5 2 2 2 3 2" xfId="26289" xr:uid="{16D357AA-D3B6-4860-A407-4EFCDF0ED72F}"/>
    <cellStyle name="Currency 2 3 5 2 2 2 4" xfId="20213" xr:uid="{0414B5BF-613C-4A02-8DAF-AE0CB37ED52B}"/>
    <cellStyle name="Currency 2 3 5 2 2 3" xfId="7030" xr:uid="{2717BE31-3FE1-48E6-8CD6-2C2F586BA4B4}"/>
    <cellStyle name="Currency 2 3 5 2 2 3 2" xfId="10502" xr:uid="{5CB47730-69F0-4398-B483-E07F0FFDDCA6}"/>
    <cellStyle name="Currency 2 3 5 2 2 3 2 2" xfId="24553" xr:uid="{E60781FF-F53D-41DC-964E-614F6D5FD05E}"/>
    <cellStyle name="Currency 2 3 5 2 2 3 3" xfId="13106" xr:uid="{11501DEF-CFD7-4A0F-AB3D-3A0B0C1B19BF}"/>
    <cellStyle name="Currency 2 3 5 2 2 3 3 2" xfId="27157" xr:uid="{36E3E4B4-E222-41DE-A75C-D6A15D5DEDA8}"/>
    <cellStyle name="Currency 2 3 5 2 2 3 4" xfId="21081" xr:uid="{277C677C-6912-4CF7-9650-3F76189D10FF}"/>
    <cellStyle name="Currency 2 3 5 2 2 4" xfId="8766" xr:uid="{D1A69CD3-12A0-44FF-B751-1AB8EDBE31DA}"/>
    <cellStyle name="Currency 2 3 5 2 2 4 2" xfId="13974" xr:uid="{6AD8B9D1-DCAB-4813-A247-C5A75007AEB8}"/>
    <cellStyle name="Currency 2 3 5 2 2 4 2 2" xfId="28025" xr:uid="{34E27E46-7736-400C-853E-D2B873CBC24B}"/>
    <cellStyle name="Currency 2 3 5 2 2 4 3" xfId="22817" xr:uid="{4B8362A1-C848-46FC-981B-A1E94643BC1F}"/>
    <cellStyle name="Currency 2 3 5 2 2 5" xfId="7898" xr:uid="{88C560EB-E54C-4C0D-BCE2-D0D27D28571A}"/>
    <cellStyle name="Currency 2 3 5 2 2 5 2" xfId="21949" xr:uid="{29E3182B-7EF8-42EA-9E74-B24936E5305D}"/>
    <cellStyle name="Currency 2 3 5 2 2 6" xfId="11370" xr:uid="{F74AC914-E3EF-4736-A37B-B6D0AE04100F}"/>
    <cellStyle name="Currency 2 3 5 2 2 6 2" xfId="25421" xr:uid="{975AF54F-DE3F-4537-A08E-CB7AB2136799}"/>
    <cellStyle name="Currency 2 3 5 2 2 7" xfId="19345" xr:uid="{62936011-FB02-4656-AD9E-FA0BCFCBB05B}"/>
    <cellStyle name="Currency 2 3 5 2 3" xfId="5728" xr:uid="{151DFE2F-7DF9-4C92-BF61-69740FEF5A99}"/>
    <cellStyle name="Currency 2 3 5 2 3 2" xfId="9200" xr:uid="{71F3F662-3AF7-438E-A5A4-E2F36FF6E2F0}"/>
    <cellStyle name="Currency 2 3 5 2 3 2 2" xfId="23251" xr:uid="{FDE1B183-04FB-47EA-AF82-9341FEEF37EB}"/>
    <cellStyle name="Currency 2 3 5 2 3 3" xfId="11804" xr:uid="{517E7278-04CD-4321-8E8E-BFBEF66BEBC0}"/>
    <cellStyle name="Currency 2 3 5 2 3 3 2" xfId="25855" xr:uid="{DB383C98-8777-4737-81FD-711E1CC1788B}"/>
    <cellStyle name="Currency 2 3 5 2 3 4" xfId="19779" xr:uid="{B8135E8B-FF77-4EAD-9D19-691CBBEBD361}"/>
    <cellStyle name="Currency 2 3 5 2 4" xfId="6596" xr:uid="{FEC4C1D0-7D51-4610-B380-5DBA85D6EF76}"/>
    <cellStyle name="Currency 2 3 5 2 4 2" xfId="10068" xr:uid="{80C45D6C-B38C-48FB-AA6F-28CA3AE3341E}"/>
    <cellStyle name="Currency 2 3 5 2 4 2 2" xfId="24119" xr:uid="{6B632A32-AF1B-4E51-B38D-0041ADAAE355}"/>
    <cellStyle name="Currency 2 3 5 2 4 3" xfId="12672" xr:uid="{55B121B5-05AE-46EB-AB68-A4AB28EDCB0D}"/>
    <cellStyle name="Currency 2 3 5 2 4 3 2" xfId="26723" xr:uid="{595CF5D5-1D4D-4F8E-A22E-94DDE14E5950}"/>
    <cellStyle name="Currency 2 3 5 2 4 4" xfId="20647" xr:uid="{6F3BF00D-C534-47A3-B100-2E6E305BF122}"/>
    <cellStyle name="Currency 2 3 5 2 5" xfId="8332" xr:uid="{2A3EE331-F9D6-4A42-98A1-5656F37835BB}"/>
    <cellStyle name="Currency 2 3 5 2 5 2" xfId="13540" xr:uid="{6AA78435-C4AA-45B8-8D03-08EEB586B7C1}"/>
    <cellStyle name="Currency 2 3 5 2 5 2 2" xfId="27591" xr:uid="{43C69488-DC65-4383-9A55-F3506EDB5CCE}"/>
    <cellStyle name="Currency 2 3 5 2 5 3" xfId="22383" xr:uid="{34CD141E-F0BE-47BA-95A1-4AB252AC605D}"/>
    <cellStyle name="Currency 2 3 5 2 6" xfId="7464" xr:uid="{EED0925E-F329-4379-9284-D6A5AF341964}"/>
    <cellStyle name="Currency 2 3 5 2 6 2" xfId="21515" xr:uid="{1FF4303C-5873-4FB6-87F6-3FFB34B18C2B}"/>
    <cellStyle name="Currency 2 3 5 2 7" xfId="10936" xr:uid="{330CB650-66E0-46A9-9D3A-B2AA1498482B}"/>
    <cellStyle name="Currency 2 3 5 2 7 2" xfId="24987" xr:uid="{4FCF4D07-D142-4D7B-B1ED-E0EBE7FE3455}"/>
    <cellStyle name="Currency 2 3 5 2 8" xfId="17556" xr:uid="{DEEA3CFC-0471-48C2-BC86-C6622D40AE81}"/>
    <cellStyle name="Currency 2 3 5 3" xfId="5103" xr:uid="{9A4D7409-F34E-4C0F-A4CA-6F812165FACA}"/>
    <cellStyle name="Currency 2 3 5 3 2" xfId="5971" xr:uid="{A31C9BCD-7732-4D7F-9DFE-4005180CA2A9}"/>
    <cellStyle name="Currency 2 3 5 3 2 2" xfId="9443" xr:uid="{8BF63361-6BAF-4E2E-94A4-8C11D22F5593}"/>
    <cellStyle name="Currency 2 3 5 3 2 2 2" xfId="23494" xr:uid="{893E5DF4-6A2F-4D68-A519-8263C4103B48}"/>
    <cellStyle name="Currency 2 3 5 3 2 3" xfId="12047" xr:uid="{6DBCCC80-F5DE-4D04-BC35-334B7AF941BC}"/>
    <cellStyle name="Currency 2 3 5 3 2 3 2" xfId="26098" xr:uid="{6B7B223E-A3F7-473D-BF9B-6D799EF84819}"/>
    <cellStyle name="Currency 2 3 5 3 2 4" xfId="20022" xr:uid="{0C1D7C00-3752-443A-9ED1-6215A9A801FA}"/>
    <cellStyle name="Currency 2 3 5 3 3" xfId="6839" xr:uid="{BEC8F0DA-1FAD-488F-95AA-F9A5CC378B88}"/>
    <cellStyle name="Currency 2 3 5 3 3 2" xfId="10311" xr:uid="{B63788C9-D4C4-48F5-88FF-435F6F35639C}"/>
    <cellStyle name="Currency 2 3 5 3 3 2 2" xfId="24362" xr:uid="{2C42F86C-D0D9-455F-AF8C-3ED7264B9033}"/>
    <cellStyle name="Currency 2 3 5 3 3 3" xfId="12915" xr:uid="{A1CAAF02-D43C-4794-857D-C6B54CF9C62E}"/>
    <cellStyle name="Currency 2 3 5 3 3 3 2" xfId="26966" xr:uid="{A3CA504B-B315-41D6-8C9E-45D9553815E7}"/>
    <cellStyle name="Currency 2 3 5 3 3 4" xfId="20890" xr:uid="{C28932D2-06F0-4A20-A52F-46D9DE91ECA3}"/>
    <cellStyle name="Currency 2 3 5 3 4" xfId="8575" xr:uid="{18A8B17E-27E2-44F1-AC91-967818F77D2C}"/>
    <cellStyle name="Currency 2 3 5 3 4 2" xfId="13783" xr:uid="{832B8AC7-AC74-4E3D-A9A3-0861829FB003}"/>
    <cellStyle name="Currency 2 3 5 3 4 2 2" xfId="27834" xr:uid="{508B970B-FCF2-4EF0-8B6A-50F43F24C5EB}"/>
    <cellStyle name="Currency 2 3 5 3 4 3" xfId="22626" xr:uid="{E36B5C41-15BA-4E78-8ACA-048B016C022B}"/>
    <cellStyle name="Currency 2 3 5 3 5" xfId="7707" xr:uid="{80D88373-FD26-46F2-9A0B-4FCE090DFF29}"/>
    <cellStyle name="Currency 2 3 5 3 5 2" xfId="21758" xr:uid="{818D0480-2ED7-4A2D-9CE8-9F77AFFD1464}"/>
    <cellStyle name="Currency 2 3 5 3 6" xfId="11179" xr:uid="{E8F6CDC6-FB98-4019-AF34-61B047A093E6}"/>
    <cellStyle name="Currency 2 3 5 3 6 2" xfId="25230" xr:uid="{CA623BFF-34E9-4131-BBB6-6DCD7C42F325}"/>
    <cellStyle name="Currency 2 3 5 3 7" xfId="19154" xr:uid="{A4F29C5F-BCA8-4335-9692-104071C7C4BC}"/>
    <cellStyle name="Currency 2 3 5 4" xfId="5537" xr:uid="{A9F9D532-9609-499C-A989-68112A412BC8}"/>
    <cellStyle name="Currency 2 3 5 4 2" xfId="9009" xr:uid="{F972607A-69E9-458C-A872-BAC8BC598F9E}"/>
    <cellStyle name="Currency 2 3 5 4 2 2" xfId="23060" xr:uid="{C0B01F4B-D171-4AE2-A874-4DBD00DC4E95}"/>
    <cellStyle name="Currency 2 3 5 4 3" xfId="11613" xr:uid="{BB5F8BF0-C5EC-4B31-8BEC-3CFC93B9C89B}"/>
    <cellStyle name="Currency 2 3 5 4 3 2" xfId="25664" xr:uid="{ADEE57BC-39D0-456D-BFED-3E145297E258}"/>
    <cellStyle name="Currency 2 3 5 4 4" xfId="19588" xr:uid="{E668CFED-6C3A-4736-8399-4FADC438E93E}"/>
    <cellStyle name="Currency 2 3 5 5" xfId="6405" xr:uid="{782A37C7-0972-421B-9C32-C3E3AD430D9C}"/>
    <cellStyle name="Currency 2 3 5 5 2" xfId="9877" xr:uid="{E45B8F33-5B4F-49D3-BE86-300AA65CD3EA}"/>
    <cellStyle name="Currency 2 3 5 5 2 2" xfId="23928" xr:uid="{6819C3C1-F936-4057-8864-BBCD9D1A5A61}"/>
    <cellStyle name="Currency 2 3 5 5 3" xfId="12481" xr:uid="{E178DFD0-3FDE-451A-A06D-14D020577605}"/>
    <cellStyle name="Currency 2 3 5 5 3 2" xfId="26532" xr:uid="{E89ED84A-9FE6-47BC-9C41-7EE7DC73C44E}"/>
    <cellStyle name="Currency 2 3 5 5 4" xfId="20456" xr:uid="{AE0E4C87-0FC7-4A48-BFA5-569DE1D60D15}"/>
    <cellStyle name="Currency 2 3 5 6" xfId="8141" xr:uid="{0184346B-2F65-45F9-B563-8EACAD5FFFFE}"/>
    <cellStyle name="Currency 2 3 5 6 2" xfId="13349" xr:uid="{6A2E3D3B-BFD9-47C0-8B04-BBB939068A3B}"/>
    <cellStyle name="Currency 2 3 5 6 2 2" xfId="27400" xr:uid="{E78DC1F7-FDC0-44E3-ACA6-CFB51FBF3858}"/>
    <cellStyle name="Currency 2 3 5 6 3" xfId="22192" xr:uid="{9EB53CF6-1614-4A73-BDD5-5A71190932AD}"/>
    <cellStyle name="Currency 2 3 5 7" xfId="7273" xr:uid="{FB397AFB-1927-41A2-A4C6-FCA8F652FAA6}"/>
    <cellStyle name="Currency 2 3 5 7 2" xfId="21324" xr:uid="{B43D6883-B9ED-4D26-8A7B-E6958254DC59}"/>
    <cellStyle name="Currency 2 3 5 8" xfId="10745" xr:uid="{D2D87E83-F0B7-4AAD-91CC-6326E24075D4}"/>
    <cellStyle name="Currency 2 3 5 8 2" xfId="24796" xr:uid="{EE643365-497E-419D-8FA9-EA1AC82270CA}"/>
    <cellStyle name="Currency 2 3 5 9" xfId="15362" xr:uid="{E0D51806-D014-40CA-8CDF-0D326B07E3C9}"/>
    <cellStyle name="Currency 2 3 6" xfId="2405" xr:uid="{40A951F0-8754-4A32-983A-A232B593818F}"/>
    <cellStyle name="Currency 2 3 6 2" xfId="5198" xr:uid="{50B29948-C112-470D-94B0-D50F8F667A82}"/>
    <cellStyle name="Currency 2 3 6 2 2" xfId="6066" xr:uid="{77AC0C50-EE6B-49AA-B9C1-1443EFAC2946}"/>
    <cellStyle name="Currency 2 3 6 2 2 2" xfId="9538" xr:uid="{6D29314D-B571-4F7C-BF63-A4B2E0993C02}"/>
    <cellStyle name="Currency 2 3 6 2 2 2 2" xfId="23589" xr:uid="{F6A516FD-4CF7-425F-AEB3-BB036330BD83}"/>
    <cellStyle name="Currency 2 3 6 2 2 3" xfId="12142" xr:uid="{472284E2-D53E-43F7-9896-162387599767}"/>
    <cellStyle name="Currency 2 3 6 2 2 3 2" xfId="26193" xr:uid="{6C633DE8-54C5-4DC6-AB7B-854D9A8A60DB}"/>
    <cellStyle name="Currency 2 3 6 2 2 4" xfId="20117" xr:uid="{22725963-8A76-48CD-9520-8EF9FB7494A9}"/>
    <cellStyle name="Currency 2 3 6 2 3" xfId="6934" xr:uid="{1A3B6E73-1CA5-40C7-A52F-391BC2376B40}"/>
    <cellStyle name="Currency 2 3 6 2 3 2" xfId="10406" xr:uid="{E6233380-2239-4C65-939F-E8EA44776753}"/>
    <cellStyle name="Currency 2 3 6 2 3 2 2" xfId="24457" xr:uid="{DE6CB574-DCAA-44DB-8E99-0DFF9C13A274}"/>
    <cellStyle name="Currency 2 3 6 2 3 3" xfId="13010" xr:uid="{98D6945E-6C9E-4566-A923-D95C2C264215}"/>
    <cellStyle name="Currency 2 3 6 2 3 3 2" xfId="27061" xr:uid="{A9063B24-788B-46C2-BE63-7599393B33A9}"/>
    <cellStyle name="Currency 2 3 6 2 3 4" xfId="20985" xr:uid="{F3347A05-7276-4AD9-A25C-E85B85B8938B}"/>
    <cellStyle name="Currency 2 3 6 2 4" xfId="8670" xr:uid="{E4154621-DF17-413D-8C97-7ED601AE1984}"/>
    <cellStyle name="Currency 2 3 6 2 4 2" xfId="13878" xr:uid="{29E74097-BA1A-4A0F-A983-80F8361FEF11}"/>
    <cellStyle name="Currency 2 3 6 2 4 2 2" xfId="27929" xr:uid="{229E94E1-41C5-4661-A6E1-E7B24E3C6971}"/>
    <cellStyle name="Currency 2 3 6 2 4 3" xfId="22721" xr:uid="{2EC4EBC5-31E4-467B-AC75-56006964B42E}"/>
    <cellStyle name="Currency 2 3 6 2 5" xfId="7802" xr:uid="{C97A8F09-34C7-4EC5-8AEF-F6C35919D5EF}"/>
    <cellStyle name="Currency 2 3 6 2 5 2" xfId="21853" xr:uid="{F3CEFF81-2EB2-44AF-9828-05CA87092E0B}"/>
    <cellStyle name="Currency 2 3 6 2 6" xfId="11274" xr:uid="{1D3AA3A5-B3BA-4BA7-A951-8861F3DC41D9}"/>
    <cellStyle name="Currency 2 3 6 2 6 2" xfId="25325" xr:uid="{A3104810-76B7-41C5-9013-3F03BAE5FF41}"/>
    <cellStyle name="Currency 2 3 6 2 7" xfId="19249" xr:uid="{C7818845-4F86-44CD-881C-F09D4743D378}"/>
    <cellStyle name="Currency 2 3 6 3" xfId="5632" xr:uid="{767EBEE8-8844-41AD-BB43-7875F6A4AC20}"/>
    <cellStyle name="Currency 2 3 6 3 2" xfId="9104" xr:uid="{5D91F14D-A2F5-471C-A5B7-4301D1BAEF2D}"/>
    <cellStyle name="Currency 2 3 6 3 2 2" xfId="23155" xr:uid="{E5C25BE7-2068-43C5-8688-81F7DF24150B}"/>
    <cellStyle name="Currency 2 3 6 3 3" xfId="11708" xr:uid="{CF650A3B-229C-4165-AF10-96AED66D2EC6}"/>
    <cellStyle name="Currency 2 3 6 3 3 2" xfId="25759" xr:uid="{1969DA78-C712-4055-AB09-6C17B224E485}"/>
    <cellStyle name="Currency 2 3 6 3 4" xfId="19683" xr:uid="{D9404574-5FDB-4595-94AA-C6D14525CC68}"/>
    <cellStyle name="Currency 2 3 6 4" xfId="6500" xr:uid="{D753273C-2108-4A39-BF78-F7DA971EA927}"/>
    <cellStyle name="Currency 2 3 6 4 2" xfId="9972" xr:uid="{993C3596-1BC7-456B-B1F7-F78E1B7198EE}"/>
    <cellStyle name="Currency 2 3 6 4 2 2" xfId="24023" xr:uid="{758A2A89-FB38-45AB-A992-275C990DC945}"/>
    <cellStyle name="Currency 2 3 6 4 3" xfId="12576" xr:uid="{82198239-4F49-414B-9CCB-268BEE08B9E2}"/>
    <cellStyle name="Currency 2 3 6 4 3 2" xfId="26627" xr:uid="{55450F11-CEDE-433E-A90C-607735A0B279}"/>
    <cellStyle name="Currency 2 3 6 4 4" xfId="20551" xr:uid="{0599004F-AA62-4D89-AFBD-08F8F5D328A5}"/>
    <cellStyle name="Currency 2 3 6 5" xfId="8236" xr:uid="{B0818388-2D69-46CC-A16D-AEACDF50BFB1}"/>
    <cellStyle name="Currency 2 3 6 5 2" xfId="13444" xr:uid="{2A0E1EA7-D6D6-4A71-92A6-2D475156E765}"/>
    <cellStyle name="Currency 2 3 6 5 2 2" xfId="27495" xr:uid="{28DE1834-D52D-40AF-8C92-03C28647DD1A}"/>
    <cellStyle name="Currency 2 3 6 5 3" xfId="22287" xr:uid="{F1845771-2FD3-471F-AB51-B8F8FBDE286D}"/>
    <cellStyle name="Currency 2 3 6 6" xfId="7368" xr:uid="{CDD39B7B-C377-4E75-B470-F9429527DF88}"/>
    <cellStyle name="Currency 2 3 6 6 2" xfId="21419" xr:uid="{5AB24B55-0AC3-4AD6-8805-3ACA163D3301}"/>
    <cellStyle name="Currency 2 3 6 7" xfId="10840" xr:uid="{A159A00D-6992-4318-909E-B14A25AE1615}"/>
    <cellStyle name="Currency 2 3 6 7 2" xfId="24891" xr:uid="{369D02F0-8CE3-4709-BC7F-6E6B05D96917}"/>
    <cellStyle name="Currency 2 3 6 8" xfId="16456" xr:uid="{3218A158-F1AC-4E47-A2EA-E425F4BF4C9F}"/>
    <cellStyle name="Currency 2 3 7" xfId="4598" xr:uid="{E5AB4CE6-80CA-4006-ADFE-E0524D4B942F}"/>
    <cellStyle name="Currency 2 3 7 2" xfId="5389" xr:uid="{55A2A7CC-9046-4D57-9D58-598C49417482}"/>
    <cellStyle name="Currency 2 3 7 2 2" xfId="6257" xr:uid="{768E4575-FFBB-40E3-813F-A5738A06DBAA}"/>
    <cellStyle name="Currency 2 3 7 2 2 2" xfId="9729" xr:uid="{F0A71958-7AA7-4EA5-BF26-8BB024F5F794}"/>
    <cellStyle name="Currency 2 3 7 2 2 2 2" xfId="23780" xr:uid="{93E82B48-BDFD-4105-B458-2FC1FB0FC37E}"/>
    <cellStyle name="Currency 2 3 7 2 2 3" xfId="12333" xr:uid="{5E5712ED-0E3C-4784-BF7F-267169B38034}"/>
    <cellStyle name="Currency 2 3 7 2 2 3 2" xfId="26384" xr:uid="{A9DAD69F-90A6-4F0D-B8EA-2DA028B40D42}"/>
    <cellStyle name="Currency 2 3 7 2 2 4" xfId="20308" xr:uid="{FED9CD83-D69D-423E-A3A4-FF7E76F786BE}"/>
    <cellStyle name="Currency 2 3 7 2 3" xfId="7125" xr:uid="{EB978BFF-43EE-4AF2-9CCA-C5DCD4716C20}"/>
    <cellStyle name="Currency 2 3 7 2 3 2" xfId="10597" xr:uid="{9156BEE1-796C-44D1-95AD-99CBABC47FCD}"/>
    <cellStyle name="Currency 2 3 7 2 3 2 2" xfId="24648" xr:uid="{063934D8-DE7F-43CC-B956-7D5F6F274593}"/>
    <cellStyle name="Currency 2 3 7 2 3 3" xfId="13201" xr:uid="{D88629D5-163E-4B5B-B2D3-AD99991F1C5B}"/>
    <cellStyle name="Currency 2 3 7 2 3 3 2" xfId="27252" xr:uid="{CB2E5190-40CA-4C10-AE1D-3AEE56DC6B0A}"/>
    <cellStyle name="Currency 2 3 7 2 3 4" xfId="21176" xr:uid="{8B131E5D-6D83-469D-9DA6-BDB99AED0E48}"/>
    <cellStyle name="Currency 2 3 7 2 4" xfId="8861" xr:uid="{1DBF1FA1-90E4-47C5-9213-4B1204145368}"/>
    <cellStyle name="Currency 2 3 7 2 4 2" xfId="14069" xr:uid="{46AFBC93-2EFF-466B-BB11-03012148621C}"/>
    <cellStyle name="Currency 2 3 7 2 4 2 2" xfId="28120" xr:uid="{BF9439FA-E1C4-4C10-80CA-1DB06262996F}"/>
    <cellStyle name="Currency 2 3 7 2 4 3" xfId="22912" xr:uid="{695733DC-E412-4CFB-8731-D08DA54C33BD}"/>
    <cellStyle name="Currency 2 3 7 2 5" xfId="7993" xr:uid="{541EF34E-95ED-4485-9471-A5D28EBC2F53}"/>
    <cellStyle name="Currency 2 3 7 2 5 2" xfId="22044" xr:uid="{29C5A287-9339-4134-9B68-067E898085D4}"/>
    <cellStyle name="Currency 2 3 7 2 6" xfId="11465" xr:uid="{FEB53CA9-AA93-4701-8EB0-9E73E73971CA}"/>
    <cellStyle name="Currency 2 3 7 2 6 2" xfId="25516" xr:uid="{BDF41FB5-C969-4C18-B8FB-EE3ED18EBA3C}"/>
    <cellStyle name="Currency 2 3 7 2 7" xfId="19440" xr:uid="{B9C68A65-C90A-4A55-9C96-EFC417F775EF}"/>
    <cellStyle name="Currency 2 3 7 3" xfId="5823" xr:uid="{514D963C-EC90-42C0-B441-13AAF9F8F451}"/>
    <cellStyle name="Currency 2 3 7 3 2" xfId="9295" xr:uid="{804C59F6-3926-4472-9733-E76214933B28}"/>
    <cellStyle name="Currency 2 3 7 3 2 2" xfId="23346" xr:uid="{8D04D347-808B-4B58-BE63-C772423DCA1F}"/>
    <cellStyle name="Currency 2 3 7 3 3" xfId="11899" xr:uid="{A6EEBA2D-A237-4C56-899B-B81FA79988F7}"/>
    <cellStyle name="Currency 2 3 7 3 3 2" xfId="25950" xr:uid="{810C1E93-8DD6-4ECC-AA54-6A7D4436897A}"/>
    <cellStyle name="Currency 2 3 7 3 4" xfId="19874" xr:uid="{676E7ADD-67E7-4A1C-B718-15046650FA1B}"/>
    <cellStyle name="Currency 2 3 7 4" xfId="6691" xr:uid="{AD285032-49C0-4576-B623-4674EA4883EE}"/>
    <cellStyle name="Currency 2 3 7 4 2" xfId="10163" xr:uid="{D7CD6CD6-F9A1-413C-B819-DA83DCF1CE6E}"/>
    <cellStyle name="Currency 2 3 7 4 2 2" xfId="24214" xr:uid="{87C4CA8F-63A3-4B15-B493-DDCC82F26325}"/>
    <cellStyle name="Currency 2 3 7 4 3" xfId="12767" xr:uid="{FB98AE73-5A39-475C-B5A5-74D26E9D91CF}"/>
    <cellStyle name="Currency 2 3 7 4 3 2" xfId="26818" xr:uid="{31E2506D-B7EE-4AED-9AB9-C5E0542A7309}"/>
    <cellStyle name="Currency 2 3 7 4 4" xfId="20742" xr:uid="{E9C3E5DE-1E97-4ABB-A8E7-76B7BA70F469}"/>
    <cellStyle name="Currency 2 3 7 5" xfId="8427" xr:uid="{5947E7C8-3A89-40D4-B7E9-9925A1F9D13F}"/>
    <cellStyle name="Currency 2 3 7 5 2" xfId="13635" xr:uid="{FD1100E8-68BA-4F3D-8F3F-94DB148BB37C}"/>
    <cellStyle name="Currency 2 3 7 5 2 2" xfId="27686" xr:uid="{C68A0A72-2A74-4B0A-8067-377E2CF28457}"/>
    <cellStyle name="Currency 2 3 7 5 3" xfId="22478" xr:uid="{79AF1614-BB64-4583-B577-FA53281B546B}"/>
    <cellStyle name="Currency 2 3 7 6" xfId="7559" xr:uid="{0C08BCFC-C09C-416D-B447-D416E14B2D60}"/>
    <cellStyle name="Currency 2 3 7 6 2" xfId="21610" xr:uid="{91795E27-8673-42A1-A7FB-EFB02EFDB180}"/>
    <cellStyle name="Currency 2 3 7 7" xfId="11031" xr:uid="{BCE7B337-8347-40AF-83A7-1A93A72CA040}"/>
    <cellStyle name="Currency 2 3 7 7 2" xfId="25082" xr:uid="{1E14C2BD-BC37-4CB2-9ECE-7332B5A22938}"/>
    <cellStyle name="Currency 2 3 7 8" xfId="18650" xr:uid="{9A3E6A0E-155C-4648-BECD-B61DFF2E766A}"/>
    <cellStyle name="Currency 2 3 8" xfId="5003" xr:uid="{47DA5CAE-028A-44BA-A610-FB1A7E8E8CDB}"/>
    <cellStyle name="Currency 2 3 8 2" xfId="5871" xr:uid="{5478F1F4-FBB9-4E87-B196-600C1BFFCB67}"/>
    <cellStyle name="Currency 2 3 8 2 2" xfId="9343" xr:uid="{541A74AF-4DE1-47BC-AC79-FA8E97D5C6EB}"/>
    <cellStyle name="Currency 2 3 8 2 2 2" xfId="23394" xr:uid="{2C2ABD87-9938-4243-B4C5-BC8AF5BBFEE1}"/>
    <cellStyle name="Currency 2 3 8 2 3" xfId="11947" xr:uid="{EBAD84D0-59C3-44CB-AD6E-33D79A262889}"/>
    <cellStyle name="Currency 2 3 8 2 3 2" xfId="25998" xr:uid="{BE53CD69-D5B2-441B-8428-030E8EB4A8B6}"/>
    <cellStyle name="Currency 2 3 8 2 4" xfId="19922" xr:uid="{3FC9573F-440E-4DB5-B5C3-A419597C5808}"/>
    <cellStyle name="Currency 2 3 8 3" xfId="6739" xr:uid="{2AEA1C31-DF02-43D3-A7F1-6F56E9F7DE80}"/>
    <cellStyle name="Currency 2 3 8 3 2" xfId="10211" xr:uid="{08C63971-57CE-4971-9CCA-CB54B9DCA647}"/>
    <cellStyle name="Currency 2 3 8 3 2 2" xfId="24262" xr:uid="{9BC56441-8672-4246-AA1C-B8E6D77111E0}"/>
    <cellStyle name="Currency 2 3 8 3 3" xfId="12815" xr:uid="{AB410C06-2DEA-4224-8F34-61849213CAB0}"/>
    <cellStyle name="Currency 2 3 8 3 3 2" xfId="26866" xr:uid="{EF517849-A469-4B0A-AE80-8EB7C61EC960}"/>
    <cellStyle name="Currency 2 3 8 3 4" xfId="20790" xr:uid="{460D26F8-3401-4F52-99C3-6D6383C1F998}"/>
    <cellStyle name="Currency 2 3 8 4" xfId="8475" xr:uid="{B78C862D-8D53-4C48-A286-A3B4A6CF8370}"/>
    <cellStyle name="Currency 2 3 8 4 2" xfId="13683" xr:uid="{94CFCBE1-AFBE-4CE7-9DAF-8824529B59D0}"/>
    <cellStyle name="Currency 2 3 8 4 2 2" xfId="27734" xr:uid="{0FB15F51-689C-4E2A-A0C9-5FE08B79EEE7}"/>
    <cellStyle name="Currency 2 3 8 4 3" xfId="22526" xr:uid="{9BDB6AE4-B8B2-466E-8895-3F3A7FA5F367}"/>
    <cellStyle name="Currency 2 3 8 5" xfId="7607" xr:uid="{A193B297-610C-479B-AEDE-CFF2161CCACA}"/>
    <cellStyle name="Currency 2 3 8 5 2" xfId="21658" xr:uid="{8E8606FA-3F8E-4914-81EA-6B345EFAE02D}"/>
    <cellStyle name="Currency 2 3 8 6" xfId="11079" xr:uid="{8E5B9D73-E5EE-4C17-BCD2-D9C2F000E55D}"/>
    <cellStyle name="Currency 2 3 8 6 2" xfId="25130" xr:uid="{32E92891-2A65-4268-A4FB-5A96E655FE69}"/>
    <cellStyle name="Currency 2 3 8 7" xfId="19054" xr:uid="{1784FECB-282A-48AE-A459-8FE3DB439F61}"/>
    <cellStyle name="Currency 2 3 9" xfId="5437" xr:uid="{D83B17E1-B3BA-4D9D-A2EB-083B31CE749E}"/>
    <cellStyle name="Currency 2 3 9 2" xfId="8909" xr:uid="{63382CC0-D350-42BF-B62C-1ADA236D887D}"/>
    <cellStyle name="Currency 2 3 9 2 2" xfId="22960" xr:uid="{6FCE39E5-165D-440D-8153-0001E3D36062}"/>
    <cellStyle name="Currency 2 3 9 3" xfId="11513" xr:uid="{73C05A83-B087-4DDD-8872-B38E3BDFD211}"/>
    <cellStyle name="Currency 2 3 9 3 2" xfId="25564" xr:uid="{8FFAF0CD-0D3E-45A2-89D0-7ED8017A8CDE}"/>
    <cellStyle name="Currency 2 3 9 4" xfId="19488" xr:uid="{0AC5A125-89C8-4F2C-B7BA-623DDA2AE4A9}"/>
    <cellStyle name="Currency 2 4" xfId="145" xr:uid="{9847D173-4282-4BD1-BC64-7453DDA03385}"/>
    <cellStyle name="Currency 2 4 10" xfId="6300" xr:uid="{BE76164F-15E0-4FBD-A6F5-829574610C03}"/>
    <cellStyle name="Currency 2 4 10 2" xfId="9772" xr:uid="{F51597AD-9F32-4469-9149-3EECD36BBC76}"/>
    <cellStyle name="Currency 2 4 10 2 2" xfId="23823" xr:uid="{02CA0FC1-5FDB-47E5-B780-31B5358A6529}"/>
    <cellStyle name="Currency 2 4 10 3" xfId="12376" xr:uid="{80DA42E2-BD6B-46CB-B10A-6F7B6275173A}"/>
    <cellStyle name="Currency 2 4 10 3 2" xfId="26427" xr:uid="{9716265B-2EBF-471F-872B-CBCA53C8D124}"/>
    <cellStyle name="Currency 2 4 10 4" xfId="20351" xr:uid="{E668C8D1-E4B4-4D6C-AE92-532308F2EF24}"/>
    <cellStyle name="Currency 2 4 11" xfId="8036" xr:uid="{71E490A8-D6FF-41D2-955E-6ACF0040A3F5}"/>
    <cellStyle name="Currency 2 4 11 2" xfId="13244" xr:uid="{77C8BC29-A27F-42F5-A8EA-2B520BDB3B3C}"/>
    <cellStyle name="Currency 2 4 11 2 2" xfId="27295" xr:uid="{02BDE536-F188-4252-B784-803EECCBBF3C}"/>
    <cellStyle name="Currency 2 4 11 3" xfId="22087" xr:uid="{B187D403-2203-4078-89F6-33DFC5466CCD}"/>
    <cellStyle name="Currency 2 4 12" xfId="7168" xr:uid="{D1806059-0EC1-4051-A05C-746D0265848E}"/>
    <cellStyle name="Currency 2 4 12 2" xfId="21219" xr:uid="{3F28DC46-F8C0-4F96-A456-E07C0516FF43}"/>
    <cellStyle name="Currency 2 4 13" xfId="10640" xr:uid="{CDA1B374-E97D-4395-A584-6656AF35BCDB}"/>
    <cellStyle name="Currency 2 4 13 2" xfId="24691" xr:uid="{738C6CF8-D688-45CA-9AA2-3C41FF3640CA}"/>
    <cellStyle name="Currency 2 4 14" xfId="14204" xr:uid="{40A20EB4-1399-47C2-AE28-02E4399B7BC6}"/>
    <cellStyle name="Currency 2 4 2" xfId="322" xr:uid="{EE0AC533-CCB1-4F8C-82DC-2437C8FDB4C5}"/>
    <cellStyle name="Currency 2 4 2 10" xfId="8052" xr:uid="{F66464D5-CF07-4287-A1EA-A8968EEE3945}"/>
    <cellStyle name="Currency 2 4 2 10 2" xfId="13260" xr:uid="{0BC69F6B-3534-423E-AA99-C8372EC3BF61}"/>
    <cellStyle name="Currency 2 4 2 10 2 2" xfId="27311" xr:uid="{267BC359-845E-43FB-9573-BFC8FD54D26D}"/>
    <cellStyle name="Currency 2 4 2 10 3" xfId="22103" xr:uid="{2556D520-108F-463F-98E6-CF1DE21C8143}"/>
    <cellStyle name="Currency 2 4 2 11" xfId="7184" xr:uid="{129AB4EA-9759-47A5-9E0B-C631AF8BF8DE}"/>
    <cellStyle name="Currency 2 4 2 11 2" xfId="21235" xr:uid="{4D020750-5AB1-49AA-8DBF-EF8BA57B0B8B}"/>
    <cellStyle name="Currency 2 4 2 12" xfId="10656" xr:uid="{7D085B67-70C2-4819-992B-5193C6AB093D}"/>
    <cellStyle name="Currency 2 4 2 12 2" xfId="24707" xr:uid="{EFB1F7B6-A5C4-413B-9900-ED82C1F85649}"/>
    <cellStyle name="Currency 2 4 2 13" xfId="14379" xr:uid="{5E2915AA-E1E9-404D-9273-E8B89AA6D0C5}"/>
    <cellStyle name="Currency 2 4 2 2" xfId="676" xr:uid="{36CA05BF-CB12-4747-AE7B-4B6526BF58A7}"/>
    <cellStyle name="Currency 2 4 2 2 10" xfId="14727" xr:uid="{BC2AA5ED-9ECE-491C-AA40-483E0286A0C6}"/>
    <cellStyle name="Currency 2 4 2 2 2" xfId="1777" xr:uid="{E21579EC-A0A2-4D4E-99C4-874761555936}"/>
    <cellStyle name="Currency 2 4 2 2 2 2" xfId="3966" xr:uid="{8DB27EC0-7BD4-422C-98B2-2902094552AA}"/>
    <cellStyle name="Currency 2 4 2 2 2 2 2" xfId="5334" xr:uid="{A4EC6DEE-427E-4410-BE12-3DA6D3F763D4}"/>
    <cellStyle name="Currency 2 4 2 2 2 2 2 2" xfId="6202" xr:uid="{8E58A1F3-416F-4845-94CC-883EEB3DCC15}"/>
    <cellStyle name="Currency 2 4 2 2 2 2 2 2 2" xfId="9674" xr:uid="{4A4EE306-2420-4F9C-9076-0A26A7D91AED}"/>
    <cellStyle name="Currency 2 4 2 2 2 2 2 2 2 2" xfId="23725" xr:uid="{8C81BCEB-4646-45C9-989D-3872E6E556B8}"/>
    <cellStyle name="Currency 2 4 2 2 2 2 2 2 3" xfId="12278" xr:uid="{CCAFD6BF-1396-4950-9F5C-DCC592F83CB2}"/>
    <cellStyle name="Currency 2 4 2 2 2 2 2 2 3 2" xfId="26329" xr:uid="{9D962568-BBDD-4520-BD9C-E855BE1AE201}"/>
    <cellStyle name="Currency 2 4 2 2 2 2 2 2 4" xfId="20253" xr:uid="{467A943B-DA6A-408A-A598-7970AAC649E1}"/>
    <cellStyle name="Currency 2 4 2 2 2 2 2 3" xfId="7070" xr:uid="{2576CBCA-5F01-4F96-9EB1-9E3B966BA108}"/>
    <cellStyle name="Currency 2 4 2 2 2 2 2 3 2" xfId="10542" xr:uid="{0D956BEA-4AB3-4EC2-8556-EC913A6A4627}"/>
    <cellStyle name="Currency 2 4 2 2 2 2 2 3 2 2" xfId="24593" xr:uid="{A1F45BF6-9538-4A3D-B35C-34B6C7411F71}"/>
    <cellStyle name="Currency 2 4 2 2 2 2 2 3 3" xfId="13146" xr:uid="{C09904E9-43CF-4605-ABA4-46F2743D591D}"/>
    <cellStyle name="Currency 2 4 2 2 2 2 2 3 3 2" xfId="27197" xr:uid="{EE87629E-7251-455D-AEF9-2D676751A0F9}"/>
    <cellStyle name="Currency 2 4 2 2 2 2 2 3 4" xfId="21121" xr:uid="{9850715D-8B89-44A0-A52E-BCE8802A3697}"/>
    <cellStyle name="Currency 2 4 2 2 2 2 2 4" xfId="8806" xr:uid="{16A2EA5D-2459-465F-96B9-DBE24396B07F}"/>
    <cellStyle name="Currency 2 4 2 2 2 2 2 4 2" xfId="14014" xr:uid="{CBFBC89A-0C03-4F80-891D-1ED348320949}"/>
    <cellStyle name="Currency 2 4 2 2 2 2 2 4 2 2" xfId="28065" xr:uid="{3A4668D3-282B-4322-AAC9-A391B9A4202C}"/>
    <cellStyle name="Currency 2 4 2 2 2 2 2 4 3" xfId="22857" xr:uid="{4EA95607-2A72-4FF1-BF76-F61CFCE7267C}"/>
    <cellStyle name="Currency 2 4 2 2 2 2 2 5" xfId="7938" xr:uid="{ACB2039E-ED0C-4D54-9304-3C637F975243}"/>
    <cellStyle name="Currency 2 4 2 2 2 2 2 5 2" xfId="21989" xr:uid="{6A2717EE-C27C-4615-87A0-A8A9C4BD9F2C}"/>
    <cellStyle name="Currency 2 4 2 2 2 2 2 6" xfId="11410" xr:uid="{F228141D-29DE-47EA-9459-0D76A3DA8C51}"/>
    <cellStyle name="Currency 2 4 2 2 2 2 2 6 2" xfId="25461" xr:uid="{2D102FEB-B24E-40FB-9376-F1B45B27D1AB}"/>
    <cellStyle name="Currency 2 4 2 2 2 2 2 7" xfId="19385" xr:uid="{7C820B65-1CDB-4EF7-AE7D-5420D0A09BAB}"/>
    <cellStyle name="Currency 2 4 2 2 2 2 3" xfId="5768" xr:uid="{CFA0A588-511B-4497-88EF-00343E9B123D}"/>
    <cellStyle name="Currency 2 4 2 2 2 2 3 2" xfId="9240" xr:uid="{808912BC-AAB6-4D16-B1A9-81FD53173D57}"/>
    <cellStyle name="Currency 2 4 2 2 2 2 3 2 2" xfId="23291" xr:uid="{200EB91E-A5B8-4DDB-8C07-4BF2489B029E}"/>
    <cellStyle name="Currency 2 4 2 2 2 2 3 3" xfId="11844" xr:uid="{D2284BB8-D7A0-4FAD-9851-6717967C5A07}"/>
    <cellStyle name="Currency 2 4 2 2 2 2 3 3 2" xfId="25895" xr:uid="{C4411D90-A40D-4196-A950-2ED144551F6D}"/>
    <cellStyle name="Currency 2 4 2 2 2 2 3 4" xfId="19819" xr:uid="{746D224C-B1BB-4DF9-8B25-4E9806AE8479}"/>
    <cellStyle name="Currency 2 4 2 2 2 2 4" xfId="6636" xr:uid="{6DC8BEE2-38D1-4E84-B57E-F30252E0D4C5}"/>
    <cellStyle name="Currency 2 4 2 2 2 2 4 2" xfId="10108" xr:uid="{7B2AC5A8-1921-4B16-BD85-A3CB5D4605DD}"/>
    <cellStyle name="Currency 2 4 2 2 2 2 4 2 2" xfId="24159" xr:uid="{26D00C6F-33D5-43BE-86BC-38D19E242789}"/>
    <cellStyle name="Currency 2 4 2 2 2 2 4 3" xfId="12712" xr:uid="{92DAB53F-1083-4F40-8639-E84F316C9312}"/>
    <cellStyle name="Currency 2 4 2 2 2 2 4 3 2" xfId="26763" xr:uid="{733656EE-D05D-46EA-8970-DDED2E5EA41E}"/>
    <cellStyle name="Currency 2 4 2 2 2 2 4 4" xfId="20687" xr:uid="{2AA88AB3-D9A3-4A82-8B61-690B5A5AA868}"/>
    <cellStyle name="Currency 2 4 2 2 2 2 5" xfId="8372" xr:uid="{3B3E521B-11E2-4544-8EEB-AC5ECA1222D6}"/>
    <cellStyle name="Currency 2 4 2 2 2 2 5 2" xfId="13580" xr:uid="{06E7AD9C-C69A-44BE-A515-2394B6F8DAA3}"/>
    <cellStyle name="Currency 2 4 2 2 2 2 5 2 2" xfId="27631" xr:uid="{69D5D55C-B3A1-4A89-A6A1-0EAAB1FD53A4}"/>
    <cellStyle name="Currency 2 4 2 2 2 2 5 3" xfId="22423" xr:uid="{F51E0C02-7B2D-4755-B481-E60800663648}"/>
    <cellStyle name="Currency 2 4 2 2 2 2 6" xfId="7504" xr:uid="{E8C9BECC-A6F6-40A4-9821-80734659DAF2}"/>
    <cellStyle name="Currency 2 4 2 2 2 2 6 2" xfId="21555" xr:uid="{4166F246-6713-4A1F-838D-E0FCE92B3F88}"/>
    <cellStyle name="Currency 2 4 2 2 2 2 7" xfId="10976" xr:uid="{75C4907C-68BE-41DC-BDD0-4532CA9D3AE7}"/>
    <cellStyle name="Currency 2 4 2 2 2 2 7 2" xfId="25027" xr:uid="{123CA689-D710-4407-9DDD-DFB46E550D58}"/>
    <cellStyle name="Currency 2 4 2 2 2 2 8" xfId="18018" xr:uid="{4D620A35-91BD-470C-A128-DC594C6EBDC5}"/>
    <cellStyle name="Currency 2 4 2 2 2 3" xfId="5144" xr:uid="{299E42A3-4957-47CA-B593-BA0C23EEE95B}"/>
    <cellStyle name="Currency 2 4 2 2 2 3 2" xfId="6012" xr:uid="{FDA67205-3D74-4E77-90BE-887592E9C44C}"/>
    <cellStyle name="Currency 2 4 2 2 2 3 2 2" xfId="9484" xr:uid="{996C5CBA-9819-407B-A6EC-2B28A58BA9E8}"/>
    <cellStyle name="Currency 2 4 2 2 2 3 2 2 2" xfId="23535" xr:uid="{D5925086-ED27-4E43-AC77-BA48D276D029}"/>
    <cellStyle name="Currency 2 4 2 2 2 3 2 3" xfId="12088" xr:uid="{0117554C-086D-472B-AA6A-DDA230E18F1A}"/>
    <cellStyle name="Currency 2 4 2 2 2 3 2 3 2" xfId="26139" xr:uid="{A6EEFA78-41D3-4108-B461-25F49A795F97}"/>
    <cellStyle name="Currency 2 4 2 2 2 3 2 4" xfId="20063" xr:uid="{D532A984-F3D7-4A51-90A9-CEA20F3352B3}"/>
    <cellStyle name="Currency 2 4 2 2 2 3 3" xfId="6880" xr:uid="{7F5F7115-0578-4D96-8D2D-9520AFD3FFEB}"/>
    <cellStyle name="Currency 2 4 2 2 2 3 3 2" xfId="10352" xr:uid="{0839C7DA-B1A5-4808-A9AC-7BC6AFD11448}"/>
    <cellStyle name="Currency 2 4 2 2 2 3 3 2 2" xfId="24403" xr:uid="{1E458D3F-9420-44E1-BA19-C9FF338B8DC5}"/>
    <cellStyle name="Currency 2 4 2 2 2 3 3 3" xfId="12956" xr:uid="{77AC585A-6B86-4EA7-9457-F859F6F6215C}"/>
    <cellStyle name="Currency 2 4 2 2 2 3 3 3 2" xfId="27007" xr:uid="{50CB1F31-6EDD-4429-8F65-E60B3D579302}"/>
    <cellStyle name="Currency 2 4 2 2 2 3 3 4" xfId="20931" xr:uid="{BBE3DC40-ADAA-4F02-A6C1-EBC508935F89}"/>
    <cellStyle name="Currency 2 4 2 2 2 3 4" xfId="8616" xr:uid="{13E622F4-4E47-4657-8C2B-AA75B7E0B5E7}"/>
    <cellStyle name="Currency 2 4 2 2 2 3 4 2" xfId="13824" xr:uid="{5424D14D-0F50-4C1A-B7D1-F65DF000243D}"/>
    <cellStyle name="Currency 2 4 2 2 2 3 4 2 2" xfId="27875" xr:uid="{9DD61EC6-ED9D-43E6-BFF6-E973BE496397}"/>
    <cellStyle name="Currency 2 4 2 2 2 3 4 3" xfId="22667" xr:uid="{53E02DD4-5B05-4407-87A0-CD26CFC728E7}"/>
    <cellStyle name="Currency 2 4 2 2 2 3 5" xfId="7748" xr:uid="{9079AA53-5B58-46EE-BEFD-D5723206F7E5}"/>
    <cellStyle name="Currency 2 4 2 2 2 3 5 2" xfId="21799" xr:uid="{413D8A3D-7A42-466B-89D2-0583BC42AE7E}"/>
    <cellStyle name="Currency 2 4 2 2 2 3 6" xfId="11220" xr:uid="{56599355-A723-4439-95BD-C253402BC587}"/>
    <cellStyle name="Currency 2 4 2 2 2 3 6 2" xfId="25271" xr:uid="{63E470AD-26E4-4F85-8924-ACC27C10A3FF}"/>
    <cellStyle name="Currency 2 4 2 2 2 3 7" xfId="19195" xr:uid="{3BBC0139-F23D-422F-B82A-8B48668581B7}"/>
    <cellStyle name="Currency 2 4 2 2 2 4" xfId="5578" xr:uid="{C5AB058E-AF76-44A6-B2CC-730B12857A8A}"/>
    <cellStyle name="Currency 2 4 2 2 2 4 2" xfId="9050" xr:uid="{031D00BA-0D37-49B5-9A83-5022D0D9213B}"/>
    <cellStyle name="Currency 2 4 2 2 2 4 2 2" xfId="23101" xr:uid="{6F18029B-7AFC-4E48-8A6B-4BBFF69ABA1C}"/>
    <cellStyle name="Currency 2 4 2 2 2 4 3" xfId="11654" xr:uid="{4EFBBA7A-26AC-48B2-B9DF-FA530FE58518}"/>
    <cellStyle name="Currency 2 4 2 2 2 4 3 2" xfId="25705" xr:uid="{688F73F9-3143-475F-BC19-65AA22AE829D}"/>
    <cellStyle name="Currency 2 4 2 2 2 4 4" xfId="19629" xr:uid="{1E2D6A4B-0AA3-4E25-A6B0-3B98D7812C0D}"/>
    <cellStyle name="Currency 2 4 2 2 2 5" xfId="6446" xr:uid="{C6BADB9D-B6A4-43CC-804F-3878FD52AD29}"/>
    <cellStyle name="Currency 2 4 2 2 2 5 2" xfId="9918" xr:uid="{4A1FBDE7-29B0-491C-A5F1-512E17021144}"/>
    <cellStyle name="Currency 2 4 2 2 2 5 2 2" xfId="23969" xr:uid="{66392FBA-492B-44A6-B657-E04310E3890A}"/>
    <cellStyle name="Currency 2 4 2 2 2 5 3" xfId="12522" xr:uid="{FBDCB48D-B9A9-42FD-829D-31B8A40126AC}"/>
    <cellStyle name="Currency 2 4 2 2 2 5 3 2" xfId="26573" xr:uid="{982F46B3-8080-4A8A-8729-8C156907030C}"/>
    <cellStyle name="Currency 2 4 2 2 2 5 4" xfId="20497" xr:uid="{CF7DD3EA-0BA5-4A1A-A3E9-622975F1395A}"/>
    <cellStyle name="Currency 2 4 2 2 2 6" xfId="8182" xr:uid="{382C49DF-BC26-4743-A83C-1608D482C3CD}"/>
    <cellStyle name="Currency 2 4 2 2 2 6 2" xfId="13390" xr:uid="{73D5CEBC-337E-4D91-AD28-BA3A8D79EC82}"/>
    <cellStyle name="Currency 2 4 2 2 2 6 2 2" xfId="27441" xr:uid="{8AD4694D-0366-4EEE-88A2-CB350AFCE21A}"/>
    <cellStyle name="Currency 2 4 2 2 2 6 3" xfId="22233" xr:uid="{BEE69409-8B8C-4554-8B97-B093CA0DB247}"/>
    <cellStyle name="Currency 2 4 2 2 2 7" xfId="7314" xr:uid="{7C992D07-27A8-4E4E-9FB8-8E5A56CB23EC}"/>
    <cellStyle name="Currency 2 4 2 2 2 7 2" xfId="21365" xr:uid="{061B85C2-AB31-4E66-BB06-FC5C968B08F9}"/>
    <cellStyle name="Currency 2 4 2 2 2 8" xfId="10786" xr:uid="{9EB8C214-A375-4342-8022-4F44857F3CD4}"/>
    <cellStyle name="Currency 2 4 2 2 2 8 2" xfId="24837" xr:uid="{B4F54D33-4F76-4818-A2CA-D5287BE0FFA8}"/>
    <cellStyle name="Currency 2 4 2 2 2 9" xfId="15826" xr:uid="{CB190531-6A16-43B2-9E40-B75AD5660D0C}"/>
    <cellStyle name="Currency 2 4 2 2 3" xfId="2868" xr:uid="{A284C6B3-F788-4A6C-B786-9C4536A82A15}"/>
    <cellStyle name="Currency 2 4 2 2 3 2" xfId="5238" xr:uid="{21775F50-DD74-452A-9C73-0FAAD99CC6BF}"/>
    <cellStyle name="Currency 2 4 2 2 3 2 2" xfId="6106" xr:uid="{4FDD73DE-9BF5-4DE7-906A-8F792A3180F3}"/>
    <cellStyle name="Currency 2 4 2 2 3 2 2 2" xfId="9578" xr:uid="{F4BAD1D6-68BC-4921-BA7B-5D448D5B8C14}"/>
    <cellStyle name="Currency 2 4 2 2 3 2 2 2 2" xfId="23629" xr:uid="{15510DF6-A951-4C52-BD14-E2ADD8F30630}"/>
    <cellStyle name="Currency 2 4 2 2 3 2 2 3" xfId="12182" xr:uid="{7912BAFE-F1C7-4459-A02F-ABEBC66FDC54}"/>
    <cellStyle name="Currency 2 4 2 2 3 2 2 3 2" xfId="26233" xr:uid="{0474D607-960A-41FD-936F-D75035CDDC29}"/>
    <cellStyle name="Currency 2 4 2 2 3 2 2 4" xfId="20157" xr:uid="{F028C8D6-3047-4868-B15F-0211BC5D6652}"/>
    <cellStyle name="Currency 2 4 2 2 3 2 3" xfId="6974" xr:uid="{4EF5CEC7-8B75-4CE3-8E9B-B72CC4170148}"/>
    <cellStyle name="Currency 2 4 2 2 3 2 3 2" xfId="10446" xr:uid="{AEEB41B6-07A1-48DA-B3CE-5001FAE6193D}"/>
    <cellStyle name="Currency 2 4 2 2 3 2 3 2 2" xfId="24497" xr:uid="{95BDDDAB-0CEE-435F-9388-DF93C72FA453}"/>
    <cellStyle name="Currency 2 4 2 2 3 2 3 3" xfId="13050" xr:uid="{744A90D9-38FD-4F96-8205-D886F1AC1720}"/>
    <cellStyle name="Currency 2 4 2 2 3 2 3 3 2" xfId="27101" xr:uid="{81C9933C-BC31-4343-BF30-5DF4F2C89FAA}"/>
    <cellStyle name="Currency 2 4 2 2 3 2 3 4" xfId="21025" xr:uid="{C35B3195-6DD2-4A1A-8650-6E26E568B4D5}"/>
    <cellStyle name="Currency 2 4 2 2 3 2 4" xfId="8710" xr:uid="{59313879-0A75-471D-9A9E-5CC6CCCA76D7}"/>
    <cellStyle name="Currency 2 4 2 2 3 2 4 2" xfId="13918" xr:uid="{AA1B7864-6F1B-4C10-9BB2-BE51F5DB352D}"/>
    <cellStyle name="Currency 2 4 2 2 3 2 4 2 2" xfId="27969" xr:uid="{AC6EA5C3-2B66-4BD0-83DF-4A7DEDDCB325}"/>
    <cellStyle name="Currency 2 4 2 2 3 2 4 3" xfId="22761" xr:uid="{F60DD875-50D5-42D1-89CD-562A1559BB19}"/>
    <cellStyle name="Currency 2 4 2 2 3 2 5" xfId="7842" xr:uid="{49E48980-66A3-407C-B51B-45F91248A05B}"/>
    <cellStyle name="Currency 2 4 2 2 3 2 5 2" xfId="21893" xr:uid="{96F262AD-433F-4C30-8438-FA573AEB3228}"/>
    <cellStyle name="Currency 2 4 2 2 3 2 6" xfId="11314" xr:uid="{4242966C-DAB9-4318-AF16-784A041BFE54}"/>
    <cellStyle name="Currency 2 4 2 2 3 2 6 2" xfId="25365" xr:uid="{3ABD0882-7C35-464E-9C22-AF3EDE2B434E}"/>
    <cellStyle name="Currency 2 4 2 2 3 2 7" xfId="19289" xr:uid="{0838C11C-AD7B-48CC-ACDD-1C128CDE85DD}"/>
    <cellStyle name="Currency 2 4 2 2 3 3" xfId="5672" xr:uid="{31E56163-0263-42F5-8AF3-FAAC77189CD8}"/>
    <cellStyle name="Currency 2 4 2 2 3 3 2" xfId="9144" xr:uid="{9302AD18-0BC1-4627-A3FC-ECDA10C00C31}"/>
    <cellStyle name="Currency 2 4 2 2 3 3 2 2" xfId="23195" xr:uid="{48CE0F73-EB6C-4E39-A039-8F76243B90B4}"/>
    <cellStyle name="Currency 2 4 2 2 3 3 3" xfId="11748" xr:uid="{8B1846C6-0B5E-4658-8DC9-FAFEF9C5A261}"/>
    <cellStyle name="Currency 2 4 2 2 3 3 3 2" xfId="25799" xr:uid="{0CAC9720-C768-4529-AD69-285403D9EC80}"/>
    <cellStyle name="Currency 2 4 2 2 3 3 4" xfId="19723" xr:uid="{6299D64C-B7D9-48EB-B71E-9B242B925B2A}"/>
    <cellStyle name="Currency 2 4 2 2 3 4" xfId="6540" xr:uid="{4D7D64E5-86AF-41F0-ADF3-7FCB04EE6DE0}"/>
    <cellStyle name="Currency 2 4 2 2 3 4 2" xfId="10012" xr:uid="{CCE944D7-73B4-43B4-A986-0BEE62D6B5A3}"/>
    <cellStyle name="Currency 2 4 2 2 3 4 2 2" xfId="24063" xr:uid="{68EC2A69-E10E-49BB-AE25-32C4AB8C6C02}"/>
    <cellStyle name="Currency 2 4 2 2 3 4 3" xfId="12616" xr:uid="{A4CF37A7-3DD5-4675-A580-558331E34497}"/>
    <cellStyle name="Currency 2 4 2 2 3 4 3 2" xfId="26667" xr:uid="{F260E363-7A85-4ADE-BAE0-EA9CBB4ABEE9}"/>
    <cellStyle name="Currency 2 4 2 2 3 4 4" xfId="20591" xr:uid="{28CB66CA-1D3B-44F2-9453-BE944BCF3D54}"/>
    <cellStyle name="Currency 2 4 2 2 3 5" xfId="8276" xr:uid="{57CAF7E6-51F5-4707-A17C-169CEC43B5AF}"/>
    <cellStyle name="Currency 2 4 2 2 3 5 2" xfId="13484" xr:uid="{E3497A42-9E77-495D-9A6F-9B4773668A03}"/>
    <cellStyle name="Currency 2 4 2 2 3 5 2 2" xfId="27535" xr:uid="{CAE4D837-074E-4A17-9B96-AFF543ED44EB}"/>
    <cellStyle name="Currency 2 4 2 2 3 5 3" xfId="22327" xr:uid="{5954263C-F25A-41DF-A8FC-8CA383FFE8B0}"/>
    <cellStyle name="Currency 2 4 2 2 3 6" xfId="7408" xr:uid="{D63F5162-EAFD-4FA9-B458-F35621B70911}"/>
    <cellStyle name="Currency 2 4 2 2 3 6 2" xfId="21459" xr:uid="{152FCCE0-E251-4609-A348-0C2E736B396A}"/>
    <cellStyle name="Currency 2 4 2 2 3 7" xfId="10880" xr:uid="{33438FAD-A7AF-47B3-BCBD-E28153A996D2}"/>
    <cellStyle name="Currency 2 4 2 2 3 7 2" xfId="24931" xr:uid="{A404E3F8-A204-4692-A692-9F13BBDF699B}"/>
    <cellStyle name="Currency 2 4 2 2 3 8" xfId="16920" xr:uid="{5F55E6A5-4DC4-4170-BB97-E409AB8DD1B5}"/>
    <cellStyle name="Currency 2 4 2 2 4" xfId="5046" xr:uid="{A232946B-2073-4781-88A1-B59F991ABCF2}"/>
    <cellStyle name="Currency 2 4 2 2 4 2" xfId="5914" xr:uid="{24180CC9-9B92-44CC-81A0-768780E99461}"/>
    <cellStyle name="Currency 2 4 2 2 4 2 2" xfId="9386" xr:uid="{FF437B4C-FC0A-40A8-A047-E2ADE48FE8CC}"/>
    <cellStyle name="Currency 2 4 2 2 4 2 2 2" xfId="23437" xr:uid="{15F454A6-BD1E-42FF-9B8D-AA57F662A50E}"/>
    <cellStyle name="Currency 2 4 2 2 4 2 3" xfId="11990" xr:uid="{6F33B45D-434D-41A4-A443-847D7A01CC1D}"/>
    <cellStyle name="Currency 2 4 2 2 4 2 3 2" xfId="26041" xr:uid="{8EE365B9-5895-46AB-BCCB-83F1DF85209C}"/>
    <cellStyle name="Currency 2 4 2 2 4 2 4" xfId="19965" xr:uid="{4BEFF072-4486-40D6-A3D9-72B5B2069A2F}"/>
    <cellStyle name="Currency 2 4 2 2 4 3" xfId="6782" xr:uid="{D2BEB58B-9985-4642-985A-EDBE7690CC0F}"/>
    <cellStyle name="Currency 2 4 2 2 4 3 2" xfId="10254" xr:uid="{7E302111-9677-4D8F-992E-203F9EFC3CC4}"/>
    <cellStyle name="Currency 2 4 2 2 4 3 2 2" xfId="24305" xr:uid="{5328FE50-7F29-4192-8A71-35E0900A0FC9}"/>
    <cellStyle name="Currency 2 4 2 2 4 3 3" xfId="12858" xr:uid="{3C5EFDD4-FB14-4759-AC4F-0A0401383EA9}"/>
    <cellStyle name="Currency 2 4 2 2 4 3 3 2" xfId="26909" xr:uid="{8F023E38-DE44-45C0-997B-E708C050658D}"/>
    <cellStyle name="Currency 2 4 2 2 4 3 4" xfId="20833" xr:uid="{3A30AC9F-8332-4552-A00D-428CA8343CE5}"/>
    <cellStyle name="Currency 2 4 2 2 4 4" xfId="8518" xr:uid="{66E880F4-C943-4BC7-95BC-15A7A0491148}"/>
    <cellStyle name="Currency 2 4 2 2 4 4 2" xfId="13726" xr:uid="{DA786B3D-EB2B-4E85-AC1E-97FF46C48AC9}"/>
    <cellStyle name="Currency 2 4 2 2 4 4 2 2" xfId="27777" xr:uid="{A0CD4FA4-DBDF-4B2F-B415-EB41A5915CCC}"/>
    <cellStyle name="Currency 2 4 2 2 4 4 3" xfId="22569" xr:uid="{F6D80495-7EC9-4AB5-94DA-6FF753049812}"/>
    <cellStyle name="Currency 2 4 2 2 4 5" xfId="7650" xr:uid="{D5BAFD9D-FAA6-4A5A-B006-B3EFE86A649F}"/>
    <cellStyle name="Currency 2 4 2 2 4 5 2" xfId="21701" xr:uid="{8BDE6385-11AC-498F-A8F3-21E0526F2B4D}"/>
    <cellStyle name="Currency 2 4 2 2 4 6" xfId="11122" xr:uid="{6675B540-868B-4DC5-A712-FFBA747A78FE}"/>
    <cellStyle name="Currency 2 4 2 2 4 6 2" xfId="25173" xr:uid="{73E4AA82-6EDF-4BCB-8E0E-96A41CC819A0}"/>
    <cellStyle name="Currency 2 4 2 2 4 7" xfId="19097" xr:uid="{57A40DCB-3DB0-4BC4-B840-4716288EC62E}"/>
    <cellStyle name="Currency 2 4 2 2 5" xfId="5480" xr:uid="{C4750C78-995F-454B-B450-89303297B3C3}"/>
    <cellStyle name="Currency 2 4 2 2 5 2" xfId="8952" xr:uid="{5DBC28FA-B51A-49D8-9171-254C3CE7A957}"/>
    <cellStyle name="Currency 2 4 2 2 5 2 2" xfId="23003" xr:uid="{55068D23-0E50-43E9-ABC8-C749CAE3CE4E}"/>
    <cellStyle name="Currency 2 4 2 2 5 3" xfId="11556" xr:uid="{4B5463B5-5B8E-4EEC-ADD2-458812361807}"/>
    <cellStyle name="Currency 2 4 2 2 5 3 2" xfId="25607" xr:uid="{4681F761-5015-42B6-9F8F-753A69BDF396}"/>
    <cellStyle name="Currency 2 4 2 2 5 4" xfId="19531" xr:uid="{50CBA969-F32F-457E-AFC2-6DB9FA697D6A}"/>
    <cellStyle name="Currency 2 4 2 2 6" xfId="6348" xr:uid="{45D454E3-8A79-44CE-9B28-F04ABB7D76BD}"/>
    <cellStyle name="Currency 2 4 2 2 6 2" xfId="9820" xr:uid="{C0A63155-4B37-442C-9840-C92676614A42}"/>
    <cellStyle name="Currency 2 4 2 2 6 2 2" xfId="23871" xr:uid="{AB1C00EA-05DA-44AA-8350-D70E6D8179A0}"/>
    <cellStyle name="Currency 2 4 2 2 6 3" xfId="12424" xr:uid="{721428CA-BD7B-42AD-AB18-2BE0C1F88EB8}"/>
    <cellStyle name="Currency 2 4 2 2 6 3 2" xfId="26475" xr:uid="{E4A54D2C-1D4C-436A-8803-4FFE243DA7AD}"/>
    <cellStyle name="Currency 2 4 2 2 6 4" xfId="20399" xr:uid="{828744A0-2392-4E56-A278-84180B8E0BC2}"/>
    <cellStyle name="Currency 2 4 2 2 7" xfId="8084" xr:uid="{F7835D31-48CB-4C4C-8A97-2B8E40BF5AAE}"/>
    <cellStyle name="Currency 2 4 2 2 7 2" xfId="13292" xr:uid="{1FAA89B1-15E3-431C-9A68-184BFBBE6BB8}"/>
    <cellStyle name="Currency 2 4 2 2 7 2 2" xfId="27343" xr:uid="{75F28638-8550-42DB-947C-D8431ACF3BB6}"/>
    <cellStyle name="Currency 2 4 2 2 7 3" xfId="22135" xr:uid="{F4DB52FB-DF10-465E-AFAD-F23957411C9E}"/>
    <cellStyle name="Currency 2 4 2 2 8" xfId="7216" xr:uid="{1340FACE-495A-4963-B410-C9F7A9E5A824}"/>
    <cellStyle name="Currency 2 4 2 2 8 2" xfId="21267" xr:uid="{449FA820-40F7-4858-BE61-5FE913AB16DA}"/>
    <cellStyle name="Currency 2 4 2 2 9" xfId="10688" xr:uid="{2715D332-611F-46EE-9872-BEAA9AD75BE5}"/>
    <cellStyle name="Currency 2 4 2 2 9 2" xfId="24739" xr:uid="{8363E59A-6A28-413B-B7F2-2B732864D21C}"/>
    <cellStyle name="Currency 2 4 2 3" xfId="1023" xr:uid="{05A6B959-D025-4B97-8092-0FE196C41418}"/>
    <cellStyle name="Currency 2 4 2 3 10" xfId="15073" xr:uid="{EE66782B-891B-4D00-96EE-6517B800A5BA}"/>
    <cellStyle name="Currency 2 4 2 3 2" xfId="2122" xr:uid="{4F126BE7-1BF1-40BC-BA56-2983159E0EED}"/>
    <cellStyle name="Currency 2 4 2 3 2 2" xfId="4311" xr:uid="{6C635D34-47AA-45C6-8347-FE9149800048}"/>
    <cellStyle name="Currency 2 4 2 3 2 2 2" xfId="5363" xr:uid="{A0368E44-AB77-4EF5-B6C6-E5AB81B3A978}"/>
    <cellStyle name="Currency 2 4 2 3 2 2 2 2" xfId="6231" xr:uid="{8E14445F-E81F-406C-80B9-166EC07DC16D}"/>
    <cellStyle name="Currency 2 4 2 3 2 2 2 2 2" xfId="9703" xr:uid="{10F97BFC-A99E-4212-9291-50430D955B75}"/>
    <cellStyle name="Currency 2 4 2 3 2 2 2 2 2 2" xfId="23754" xr:uid="{FE111109-07F9-4478-892C-EAEC13D04995}"/>
    <cellStyle name="Currency 2 4 2 3 2 2 2 2 3" xfId="12307" xr:uid="{30B18F6D-C8EE-47A0-BE7C-A3E23999B6FB}"/>
    <cellStyle name="Currency 2 4 2 3 2 2 2 2 3 2" xfId="26358" xr:uid="{45C3A0FD-2005-4B03-BC65-0C4DD9E32091}"/>
    <cellStyle name="Currency 2 4 2 3 2 2 2 2 4" xfId="20282" xr:uid="{D37F1ACC-0DB7-44DC-91DC-F8782E0CD209}"/>
    <cellStyle name="Currency 2 4 2 3 2 2 2 3" xfId="7099" xr:uid="{35369CB8-39C7-47C8-9DB9-24FA6ADEE97B}"/>
    <cellStyle name="Currency 2 4 2 3 2 2 2 3 2" xfId="10571" xr:uid="{9BB3FC57-E661-49D7-9A25-8168CB887DC1}"/>
    <cellStyle name="Currency 2 4 2 3 2 2 2 3 2 2" xfId="24622" xr:uid="{C079139F-8996-4787-AD3E-F3A8C07C13AF}"/>
    <cellStyle name="Currency 2 4 2 3 2 2 2 3 3" xfId="13175" xr:uid="{93927B36-F1DF-4B4E-96F8-932CA050B526}"/>
    <cellStyle name="Currency 2 4 2 3 2 2 2 3 3 2" xfId="27226" xr:uid="{F7C53447-9B3B-4DE5-AC30-8BB3A9F3040C}"/>
    <cellStyle name="Currency 2 4 2 3 2 2 2 3 4" xfId="21150" xr:uid="{12DB6479-8F1D-4D90-859C-5AC7A4D92187}"/>
    <cellStyle name="Currency 2 4 2 3 2 2 2 4" xfId="8835" xr:uid="{0983A247-6E91-41B1-B502-8032900DD124}"/>
    <cellStyle name="Currency 2 4 2 3 2 2 2 4 2" xfId="14043" xr:uid="{48F82D81-6BFA-4BC5-8B26-F7C1DAEA6401}"/>
    <cellStyle name="Currency 2 4 2 3 2 2 2 4 2 2" xfId="28094" xr:uid="{9D173681-7144-40ED-935A-A03A24601B90}"/>
    <cellStyle name="Currency 2 4 2 3 2 2 2 4 3" xfId="22886" xr:uid="{0AB88D00-57A9-42E3-9ACA-4EEE3919841D}"/>
    <cellStyle name="Currency 2 4 2 3 2 2 2 5" xfId="7967" xr:uid="{7C44AB70-4F6B-4851-8A4D-80099C224577}"/>
    <cellStyle name="Currency 2 4 2 3 2 2 2 5 2" xfId="22018" xr:uid="{21A28EB9-455A-4574-9CD5-C8D06FB81CCF}"/>
    <cellStyle name="Currency 2 4 2 3 2 2 2 6" xfId="11439" xr:uid="{745D9F61-B209-4582-8511-62EF2379931E}"/>
    <cellStyle name="Currency 2 4 2 3 2 2 2 6 2" xfId="25490" xr:uid="{764245D2-5C02-4A0C-975F-D93504B1A96D}"/>
    <cellStyle name="Currency 2 4 2 3 2 2 2 7" xfId="19414" xr:uid="{85F9AB77-C88E-4ACD-B7D5-082202118392}"/>
    <cellStyle name="Currency 2 4 2 3 2 2 3" xfId="5797" xr:uid="{FB0A856B-AEAC-44A5-8A34-E89F297881A6}"/>
    <cellStyle name="Currency 2 4 2 3 2 2 3 2" xfId="9269" xr:uid="{C4A3CEC2-7D7D-4400-9FEF-183FB91CA06D}"/>
    <cellStyle name="Currency 2 4 2 3 2 2 3 2 2" xfId="23320" xr:uid="{0B5A6B7B-1BA6-4AC3-A225-494DE71303B1}"/>
    <cellStyle name="Currency 2 4 2 3 2 2 3 3" xfId="11873" xr:uid="{EB487962-22F7-42FD-A410-E98512CA9CFB}"/>
    <cellStyle name="Currency 2 4 2 3 2 2 3 3 2" xfId="25924" xr:uid="{C6B7C6AF-E513-4E41-97AF-4E5C579A97D6}"/>
    <cellStyle name="Currency 2 4 2 3 2 2 3 4" xfId="19848" xr:uid="{0560A139-85DC-4F17-A983-352414494FD7}"/>
    <cellStyle name="Currency 2 4 2 3 2 2 4" xfId="6665" xr:uid="{707D2ACE-3D20-41AD-BCA5-C7E6BE72853B}"/>
    <cellStyle name="Currency 2 4 2 3 2 2 4 2" xfId="10137" xr:uid="{F34C7636-DAE7-4385-9079-8064EF3E6C83}"/>
    <cellStyle name="Currency 2 4 2 3 2 2 4 2 2" xfId="24188" xr:uid="{5890F008-24B8-4B62-90C8-5A04DE5C0EDB}"/>
    <cellStyle name="Currency 2 4 2 3 2 2 4 3" xfId="12741" xr:uid="{45696059-FBE0-477F-BBCA-A3AD0C7F9122}"/>
    <cellStyle name="Currency 2 4 2 3 2 2 4 3 2" xfId="26792" xr:uid="{61EF247F-9853-48F2-88BA-27199FD196C5}"/>
    <cellStyle name="Currency 2 4 2 3 2 2 4 4" xfId="20716" xr:uid="{BD9867A0-52C1-43FD-99F7-957799E29A6D}"/>
    <cellStyle name="Currency 2 4 2 3 2 2 5" xfId="8401" xr:uid="{AB5357DF-2F7E-4717-9B69-5CA76AB087E2}"/>
    <cellStyle name="Currency 2 4 2 3 2 2 5 2" xfId="13609" xr:uid="{7EA4A28E-22E1-4FEA-8FE0-82B45E7DA6AE}"/>
    <cellStyle name="Currency 2 4 2 3 2 2 5 2 2" xfId="27660" xr:uid="{C3E75727-6965-4A5D-BB9E-FAE259262139}"/>
    <cellStyle name="Currency 2 4 2 3 2 2 5 3" xfId="22452" xr:uid="{741794E9-C76D-4137-9620-16F39E22F499}"/>
    <cellStyle name="Currency 2 4 2 3 2 2 6" xfId="7533" xr:uid="{5D4EA6D5-EB9F-49AF-9FAC-FB65E05CDD84}"/>
    <cellStyle name="Currency 2 4 2 3 2 2 6 2" xfId="21584" xr:uid="{2F789855-93E1-4FDB-8DDF-0658B017505A}"/>
    <cellStyle name="Currency 2 4 2 3 2 2 7" xfId="11005" xr:uid="{D5ECEB0B-75E7-418F-86F3-5E109A93B4FA}"/>
    <cellStyle name="Currency 2 4 2 3 2 2 7 2" xfId="25056" xr:uid="{40D81B9B-E82D-430D-B288-EFD50C260E2C}"/>
    <cellStyle name="Currency 2 4 2 3 2 2 8" xfId="18361" xr:uid="{75660399-69A7-4F83-B54C-A0A060A3EC71}"/>
    <cellStyle name="Currency 2 4 2 3 2 3" xfId="5173" xr:uid="{EB0709B4-4147-4906-9E08-5CB89E1B3874}"/>
    <cellStyle name="Currency 2 4 2 3 2 3 2" xfId="6041" xr:uid="{F69522A8-4DE5-45D0-B87C-B2C190E65D00}"/>
    <cellStyle name="Currency 2 4 2 3 2 3 2 2" xfId="9513" xr:uid="{B9F6AE02-3404-4387-A6E6-D910682F5807}"/>
    <cellStyle name="Currency 2 4 2 3 2 3 2 2 2" xfId="23564" xr:uid="{29409DF0-3250-4461-BC9E-2CF51E56DBD0}"/>
    <cellStyle name="Currency 2 4 2 3 2 3 2 3" xfId="12117" xr:uid="{324443EE-23B1-4424-AA63-803F99A3C2B8}"/>
    <cellStyle name="Currency 2 4 2 3 2 3 2 3 2" xfId="26168" xr:uid="{BB101AFF-303F-4645-AF9C-7432BBB584C2}"/>
    <cellStyle name="Currency 2 4 2 3 2 3 2 4" xfId="20092" xr:uid="{F0B99EF3-B9FF-401D-9788-A85D933C0F86}"/>
    <cellStyle name="Currency 2 4 2 3 2 3 3" xfId="6909" xr:uid="{A0607836-093E-4F24-8BF6-5C97F840A657}"/>
    <cellStyle name="Currency 2 4 2 3 2 3 3 2" xfId="10381" xr:uid="{285840FC-0D91-4637-9E68-FF60F63632C3}"/>
    <cellStyle name="Currency 2 4 2 3 2 3 3 2 2" xfId="24432" xr:uid="{A3E9DDEC-7759-49A1-BDDC-1DE6226D40EA}"/>
    <cellStyle name="Currency 2 4 2 3 2 3 3 3" xfId="12985" xr:uid="{9A567807-C1ED-462D-AAED-3B231B0BEB50}"/>
    <cellStyle name="Currency 2 4 2 3 2 3 3 3 2" xfId="27036" xr:uid="{DC514391-FFF1-4D11-BB20-28CF65CDC1E1}"/>
    <cellStyle name="Currency 2 4 2 3 2 3 3 4" xfId="20960" xr:uid="{B15A8CDC-6FCA-43BA-A0C1-512D1EA9236C}"/>
    <cellStyle name="Currency 2 4 2 3 2 3 4" xfId="8645" xr:uid="{805C4ECC-EEEA-4AFE-AEAA-439B0A08F2AD}"/>
    <cellStyle name="Currency 2 4 2 3 2 3 4 2" xfId="13853" xr:uid="{1F34EFA3-C3C6-4133-898B-0246D604F345}"/>
    <cellStyle name="Currency 2 4 2 3 2 3 4 2 2" xfId="27904" xr:uid="{1B42832B-1B71-4C67-B2D3-89D6CF6A9EC7}"/>
    <cellStyle name="Currency 2 4 2 3 2 3 4 3" xfId="22696" xr:uid="{9CB1BE61-88F0-44D7-9FCD-ED9E5A44DCDC}"/>
    <cellStyle name="Currency 2 4 2 3 2 3 5" xfId="7777" xr:uid="{FED01A1A-FFD9-4AB1-BBBA-1FD5D472F715}"/>
    <cellStyle name="Currency 2 4 2 3 2 3 5 2" xfId="21828" xr:uid="{DB91201F-9E2A-49ED-B156-C22BD88C8C96}"/>
    <cellStyle name="Currency 2 4 2 3 2 3 6" xfId="11249" xr:uid="{D0626D27-FF9C-453F-89A8-5B986EE9129B}"/>
    <cellStyle name="Currency 2 4 2 3 2 3 6 2" xfId="25300" xr:uid="{C3321210-67DA-4DCC-BFA5-7BA8096C4979}"/>
    <cellStyle name="Currency 2 4 2 3 2 3 7" xfId="19224" xr:uid="{125E4F76-1C5C-4E4E-B425-36545162B1F6}"/>
    <cellStyle name="Currency 2 4 2 3 2 4" xfId="5607" xr:uid="{610F9B42-80AB-47B6-958C-C1E921E3AAA0}"/>
    <cellStyle name="Currency 2 4 2 3 2 4 2" xfId="9079" xr:uid="{2096A30B-F071-48AB-A52A-B89AA9A99580}"/>
    <cellStyle name="Currency 2 4 2 3 2 4 2 2" xfId="23130" xr:uid="{1B480CEE-85C5-4231-8C73-4ED76FD3B953}"/>
    <cellStyle name="Currency 2 4 2 3 2 4 3" xfId="11683" xr:uid="{FC92C353-62CE-4EEC-8C53-1455101D93A7}"/>
    <cellStyle name="Currency 2 4 2 3 2 4 3 2" xfId="25734" xr:uid="{8F707D63-D772-45E7-A2F9-FB87BF9B998A}"/>
    <cellStyle name="Currency 2 4 2 3 2 4 4" xfId="19658" xr:uid="{1DBB27D6-0509-4943-A9C4-314DBB710AAC}"/>
    <cellStyle name="Currency 2 4 2 3 2 5" xfId="6475" xr:uid="{D8F001A7-4460-4CEE-920C-E1FC87459DA8}"/>
    <cellStyle name="Currency 2 4 2 3 2 5 2" xfId="9947" xr:uid="{2D0FFD21-8326-40FE-A546-94EB3F6A93A3}"/>
    <cellStyle name="Currency 2 4 2 3 2 5 2 2" xfId="23998" xr:uid="{C46D3152-361B-42CF-B415-9B3D843F1666}"/>
    <cellStyle name="Currency 2 4 2 3 2 5 3" xfId="12551" xr:uid="{AF855DD1-22A1-41AA-ACA1-CDBE2099B5A1}"/>
    <cellStyle name="Currency 2 4 2 3 2 5 3 2" xfId="26602" xr:uid="{4A2EB2F5-7D57-4BDA-AFC2-F9F1EC7FDF40}"/>
    <cellStyle name="Currency 2 4 2 3 2 5 4" xfId="20526" xr:uid="{524A39BC-7EA3-4E22-93F9-6A83ABE7CF43}"/>
    <cellStyle name="Currency 2 4 2 3 2 6" xfId="8211" xr:uid="{01ECFF42-BBCA-45FB-9CA5-2B22B2EF1970}"/>
    <cellStyle name="Currency 2 4 2 3 2 6 2" xfId="13419" xr:uid="{69AD9E91-F29D-49C6-9D4E-F826CBCF48BA}"/>
    <cellStyle name="Currency 2 4 2 3 2 6 2 2" xfId="27470" xr:uid="{212B04B8-E008-447A-BC53-A4F7F7086837}"/>
    <cellStyle name="Currency 2 4 2 3 2 6 3" xfId="22262" xr:uid="{56C644AF-FB92-4960-826B-C15F69005075}"/>
    <cellStyle name="Currency 2 4 2 3 2 7" xfId="7343" xr:uid="{04777E55-0480-49EA-BBC5-7243C49EF71E}"/>
    <cellStyle name="Currency 2 4 2 3 2 7 2" xfId="21394" xr:uid="{3E99C8FE-1879-47D6-98C1-94C697CCCF2C}"/>
    <cellStyle name="Currency 2 4 2 3 2 8" xfId="10815" xr:uid="{0E618C7A-EC55-42A6-A7ED-2BBF6FD028CF}"/>
    <cellStyle name="Currency 2 4 2 3 2 8 2" xfId="24866" xr:uid="{2764C338-D608-4E62-9429-B855EC8F420F}"/>
    <cellStyle name="Currency 2 4 2 3 2 9" xfId="16171" xr:uid="{3EDBAC37-C07D-4AB8-93A4-037FBB7AC67D}"/>
    <cellStyle name="Currency 2 4 2 3 3" xfId="3215" xr:uid="{68E41866-8C18-4EF2-8FC3-04648B504071}"/>
    <cellStyle name="Currency 2 4 2 3 3 2" xfId="5268" xr:uid="{D6753410-2487-4902-B12D-42AC626D0DFA}"/>
    <cellStyle name="Currency 2 4 2 3 3 2 2" xfId="6136" xr:uid="{7CAD0F21-48E8-49F4-823C-974F75C8B905}"/>
    <cellStyle name="Currency 2 4 2 3 3 2 2 2" xfId="9608" xr:uid="{0CFF7B72-F548-4F56-818F-D415AA16F766}"/>
    <cellStyle name="Currency 2 4 2 3 3 2 2 2 2" xfId="23659" xr:uid="{DF96A0D2-9E42-4924-BB4E-743CC185E909}"/>
    <cellStyle name="Currency 2 4 2 3 3 2 2 3" xfId="12212" xr:uid="{9A54714C-E6E8-4267-967F-B949A05AA44A}"/>
    <cellStyle name="Currency 2 4 2 3 3 2 2 3 2" xfId="26263" xr:uid="{B8E233D6-9AF8-4F80-A383-A2DAF3A20393}"/>
    <cellStyle name="Currency 2 4 2 3 3 2 2 4" xfId="20187" xr:uid="{1AD3D601-27A7-4491-8439-31713BBC243D}"/>
    <cellStyle name="Currency 2 4 2 3 3 2 3" xfId="7004" xr:uid="{558958E7-1888-4783-88B2-778930FA62ED}"/>
    <cellStyle name="Currency 2 4 2 3 3 2 3 2" xfId="10476" xr:uid="{6CD5A3A1-A2AC-4B5E-91E2-613C5145E098}"/>
    <cellStyle name="Currency 2 4 2 3 3 2 3 2 2" xfId="24527" xr:uid="{5F881A7D-3DDD-43DC-8074-28CC2DB2FCD2}"/>
    <cellStyle name="Currency 2 4 2 3 3 2 3 3" xfId="13080" xr:uid="{0B642B0E-8D85-4320-B94F-E8804E103C83}"/>
    <cellStyle name="Currency 2 4 2 3 3 2 3 3 2" xfId="27131" xr:uid="{109281F1-5525-44F7-976A-1E6BE77054DF}"/>
    <cellStyle name="Currency 2 4 2 3 3 2 3 4" xfId="21055" xr:uid="{9786284B-428F-404A-8204-646D958D0AFB}"/>
    <cellStyle name="Currency 2 4 2 3 3 2 4" xfId="8740" xr:uid="{ABD488A6-998A-4748-B2D2-6473035E36CA}"/>
    <cellStyle name="Currency 2 4 2 3 3 2 4 2" xfId="13948" xr:uid="{00CEF743-9B82-4AA5-888A-2083FF3CDBAF}"/>
    <cellStyle name="Currency 2 4 2 3 3 2 4 2 2" xfId="27999" xr:uid="{1922BE62-70D8-45C0-9CE4-6FB5F291E8E6}"/>
    <cellStyle name="Currency 2 4 2 3 3 2 4 3" xfId="22791" xr:uid="{A12FA91E-1F7B-43E0-A42B-9299EB9C760D}"/>
    <cellStyle name="Currency 2 4 2 3 3 2 5" xfId="7872" xr:uid="{76D44B91-B226-4DF5-BA09-FB93969F0601}"/>
    <cellStyle name="Currency 2 4 2 3 3 2 5 2" xfId="21923" xr:uid="{EC771B10-9D66-4CA5-96BC-22C108C0D7CA}"/>
    <cellStyle name="Currency 2 4 2 3 3 2 6" xfId="11344" xr:uid="{52D959DC-6602-4A52-AD83-AF2DA2A2B434}"/>
    <cellStyle name="Currency 2 4 2 3 3 2 6 2" xfId="25395" xr:uid="{BD5BC56B-A16C-4750-BA5A-A3015FF28A1E}"/>
    <cellStyle name="Currency 2 4 2 3 3 2 7" xfId="19319" xr:uid="{A191C382-A82F-493E-AB06-CED6CA10F1FB}"/>
    <cellStyle name="Currency 2 4 2 3 3 3" xfId="5702" xr:uid="{26CDA396-EB89-4CB4-BB01-F939E0303F1C}"/>
    <cellStyle name="Currency 2 4 2 3 3 3 2" xfId="9174" xr:uid="{029F5A86-3348-4D1D-8F98-DA9819A6B0D0}"/>
    <cellStyle name="Currency 2 4 2 3 3 3 2 2" xfId="23225" xr:uid="{B26D9BEE-C7A9-449C-B24F-BC6B989AABC0}"/>
    <cellStyle name="Currency 2 4 2 3 3 3 3" xfId="11778" xr:uid="{F5A76658-B14F-4311-B0A7-E171EDA91B27}"/>
    <cellStyle name="Currency 2 4 2 3 3 3 3 2" xfId="25829" xr:uid="{E95950E8-15FA-451F-A936-EBE90E70DEA8}"/>
    <cellStyle name="Currency 2 4 2 3 3 3 4" xfId="19753" xr:uid="{B8D6399E-1760-45D0-BF5D-579B11C55395}"/>
    <cellStyle name="Currency 2 4 2 3 3 4" xfId="6570" xr:uid="{23A6221B-EA41-4774-A984-A2E0654D2F5E}"/>
    <cellStyle name="Currency 2 4 2 3 3 4 2" xfId="10042" xr:uid="{0291710B-ECA7-46AC-9BF8-E8D6BB377D67}"/>
    <cellStyle name="Currency 2 4 2 3 3 4 2 2" xfId="24093" xr:uid="{DBD365A4-625B-49AE-8034-9407FDB438E4}"/>
    <cellStyle name="Currency 2 4 2 3 3 4 3" xfId="12646" xr:uid="{CFF525E8-C7C2-4853-89D8-ACBE8F73EE08}"/>
    <cellStyle name="Currency 2 4 2 3 3 4 3 2" xfId="26697" xr:uid="{E119F42F-FF2C-4A68-B389-0DA9B1FE5784}"/>
    <cellStyle name="Currency 2 4 2 3 3 4 4" xfId="20621" xr:uid="{68D332E1-C6B0-48FE-BE6B-03D3A44213A6}"/>
    <cellStyle name="Currency 2 4 2 3 3 5" xfId="8306" xr:uid="{4C7B46E5-2715-46A8-B44F-9115235D8AFD}"/>
    <cellStyle name="Currency 2 4 2 3 3 5 2" xfId="13514" xr:uid="{433ECD4F-2FE2-46B7-90BD-C4BD9334ADED}"/>
    <cellStyle name="Currency 2 4 2 3 3 5 2 2" xfId="27565" xr:uid="{0AF584CC-D091-4484-AC73-C037F5C484B5}"/>
    <cellStyle name="Currency 2 4 2 3 3 5 3" xfId="22357" xr:uid="{315F9A02-A36E-49BB-8D0E-B03DCC59A9FB}"/>
    <cellStyle name="Currency 2 4 2 3 3 6" xfId="7438" xr:uid="{C56AD958-1EF1-4C12-923B-32F5BE17A0CA}"/>
    <cellStyle name="Currency 2 4 2 3 3 6 2" xfId="21489" xr:uid="{AA5D1CCC-C6EF-471A-A76D-B2BF7BCA78C2}"/>
    <cellStyle name="Currency 2 4 2 3 3 7" xfId="10910" xr:uid="{85ACE693-758B-493B-966F-2C77D0AEBD06}"/>
    <cellStyle name="Currency 2 4 2 3 3 7 2" xfId="24961" xr:uid="{CF926657-22CC-4313-8CC8-616ECE5C8BD4}"/>
    <cellStyle name="Currency 2 4 2 3 3 8" xfId="17267" xr:uid="{18C504D0-3F6C-42DE-9039-818722D23C5F}"/>
    <cellStyle name="Currency 2 4 2 3 4" xfId="5076" xr:uid="{868F9410-E5BE-4E82-914E-758A9A6EF9A1}"/>
    <cellStyle name="Currency 2 4 2 3 4 2" xfId="5944" xr:uid="{837E4E1E-1C28-4B7B-A27F-94560D2D7B13}"/>
    <cellStyle name="Currency 2 4 2 3 4 2 2" xfId="9416" xr:uid="{9ECE8D37-692B-4BE3-8491-080877C9B07B}"/>
    <cellStyle name="Currency 2 4 2 3 4 2 2 2" xfId="23467" xr:uid="{0ED2EC20-4786-4B93-AF9E-38A096ECDD18}"/>
    <cellStyle name="Currency 2 4 2 3 4 2 3" xfId="12020" xr:uid="{BDFF633F-0C34-4EE7-9167-29AFFCD12549}"/>
    <cellStyle name="Currency 2 4 2 3 4 2 3 2" xfId="26071" xr:uid="{54FDCF52-F314-4B44-831C-B42061982B16}"/>
    <cellStyle name="Currency 2 4 2 3 4 2 4" xfId="19995" xr:uid="{613D6606-2154-4B8B-A6DA-3DD7363A6702}"/>
    <cellStyle name="Currency 2 4 2 3 4 3" xfId="6812" xr:uid="{AE935D2A-94C4-43A1-9E61-66729AD63D41}"/>
    <cellStyle name="Currency 2 4 2 3 4 3 2" xfId="10284" xr:uid="{2E778034-A164-49C1-91E7-4DA0BC8C017C}"/>
    <cellStyle name="Currency 2 4 2 3 4 3 2 2" xfId="24335" xr:uid="{2CAD3505-FD5B-4D45-B02D-9BA46EADA8AC}"/>
    <cellStyle name="Currency 2 4 2 3 4 3 3" xfId="12888" xr:uid="{22F7B046-8F49-462C-8E68-FD5FD25D520D}"/>
    <cellStyle name="Currency 2 4 2 3 4 3 3 2" xfId="26939" xr:uid="{29F48C8D-1C30-4EE7-A78B-47155DDA7703}"/>
    <cellStyle name="Currency 2 4 2 3 4 3 4" xfId="20863" xr:uid="{8AA47AB2-1E15-405E-8A38-9EFD2829260B}"/>
    <cellStyle name="Currency 2 4 2 3 4 4" xfId="8548" xr:uid="{68E1B4C4-49DF-4EAE-AF68-5A4DA9A9E654}"/>
    <cellStyle name="Currency 2 4 2 3 4 4 2" xfId="13756" xr:uid="{450BC03F-91D1-42D1-9823-A1A09DC3F621}"/>
    <cellStyle name="Currency 2 4 2 3 4 4 2 2" xfId="27807" xr:uid="{E4CFF4F6-B053-4180-B11B-055F2315A4CE}"/>
    <cellStyle name="Currency 2 4 2 3 4 4 3" xfId="22599" xr:uid="{B527F018-C435-44C1-9AA2-2F35504F40CF}"/>
    <cellStyle name="Currency 2 4 2 3 4 5" xfId="7680" xr:uid="{AE9018A2-6EFF-4B6F-85C0-23B793E6F52F}"/>
    <cellStyle name="Currency 2 4 2 3 4 5 2" xfId="21731" xr:uid="{1D52316D-56F7-4008-813E-05AB1FFA8911}"/>
    <cellStyle name="Currency 2 4 2 3 4 6" xfId="11152" xr:uid="{E0DAEC50-2318-48E0-AA90-C285F16F4C70}"/>
    <cellStyle name="Currency 2 4 2 3 4 6 2" xfId="25203" xr:uid="{BF8C9680-1409-427E-8997-D10C8B6737C2}"/>
    <cellStyle name="Currency 2 4 2 3 4 7" xfId="19127" xr:uid="{8A9EE062-320A-4CA8-8490-AFEB05A1ED8C}"/>
    <cellStyle name="Currency 2 4 2 3 5" xfId="5510" xr:uid="{D2AA14ED-0B0F-43BF-94E3-DFA87B561EF9}"/>
    <cellStyle name="Currency 2 4 2 3 5 2" xfId="8982" xr:uid="{A7D44E79-2A0A-4431-84CB-C30314591043}"/>
    <cellStyle name="Currency 2 4 2 3 5 2 2" xfId="23033" xr:uid="{3E10651C-DC36-4DDF-B913-AAC942205EF0}"/>
    <cellStyle name="Currency 2 4 2 3 5 3" xfId="11586" xr:uid="{A8DAFF88-8F6A-441B-AD89-84C6FD915B0B}"/>
    <cellStyle name="Currency 2 4 2 3 5 3 2" xfId="25637" xr:uid="{C3C1F4AA-68B9-4FF7-BF9C-BA9E74225C8B}"/>
    <cellStyle name="Currency 2 4 2 3 5 4" xfId="19561" xr:uid="{5FD2BE8F-A909-43C9-89EB-6E5331F80B91}"/>
    <cellStyle name="Currency 2 4 2 3 6" xfId="6378" xr:uid="{0591FE69-1802-4096-8D70-5139687E8306}"/>
    <cellStyle name="Currency 2 4 2 3 6 2" xfId="9850" xr:uid="{31446786-184B-44FB-AD0D-7D84B085B68A}"/>
    <cellStyle name="Currency 2 4 2 3 6 2 2" xfId="23901" xr:uid="{68E70165-BAF7-493F-87E6-C093D836ABA9}"/>
    <cellStyle name="Currency 2 4 2 3 6 3" xfId="12454" xr:uid="{B42B3844-212A-470B-B245-B81867297F1C}"/>
    <cellStyle name="Currency 2 4 2 3 6 3 2" xfId="26505" xr:uid="{C17FD625-54CA-46E4-9724-4F8DF0556F78}"/>
    <cellStyle name="Currency 2 4 2 3 6 4" xfId="20429" xr:uid="{6408E7B8-A51C-421B-A9D3-124D8858A606}"/>
    <cellStyle name="Currency 2 4 2 3 7" xfId="8114" xr:uid="{52299F73-248E-4F42-AB6B-5836A86474E9}"/>
    <cellStyle name="Currency 2 4 2 3 7 2" xfId="13322" xr:uid="{B9E4E176-40B5-468D-8C63-B6952DB5D2F5}"/>
    <cellStyle name="Currency 2 4 2 3 7 2 2" xfId="27373" xr:uid="{76EFDBC0-FECD-4F4F-B64B-F50A47CE8174}"/>
    <cellStyle name="Currency 2 4 2 3 7 3" xfId="22165" xr:uid="{A837E832-FC31-4758-9BD0-A96BB461020E}"/>
    <cellStyle name="Currency 2 4 2 3 8" xfId="7246" xr:uid="{A5C02562-8514-445F-8D86-FB33E94CDF22}"/>
    <cellStyle name="Currency 2 4 2 3 8 2" xfId="21297" xr:uid="{C4E921A6-471D-47D6-B6D2-EAC013C12732}"/>
    <cellStyle name="Currency 2 4 2 3 9" xfId="10718" xr:uid="{F1C93D40-60B9-4D7D-8567-AE25BED100BB}"/>
    <cellStyle name="Currency 2 4 2 3 9 2" xfId="24769" xr:uid="{028C6FCE-C290-413C-B8EF-B910A4C00701}"/>
    <cellStyle name="Currency 2 4 2 4" xfId="1603" xr:uid="{BB8E49B4-DAED-4EF9-85E3-29BA2D448565}"/>
    <cellStyle name="Currency 2 4 2 4 2" xfId="3793" xr:uid="{1C741BAC-4387-4D1D-971D-8E94E142E27B}"/>
    <cellStyle name="Currency 2 4 2 4 2 2" xfId="5319" xr:uid="{9E8B30CC-0F1B-43EE-A5E2-E050BE224661}"/>
    <cellStyle name="Currency 2 4 2 4 2 2 2" xfId="6187" xr:uid="{9DAA12B7-0D4E-49FB-9E5D-56926B79CB62}"/>
    <cellStyle name="Currency 2 4 2 4 2 2 2 2" xfId="9659" xr:uid="{66969B6A-477C-47D2-AF1A-ACC357E03062}"/>
    <cellStyle name="Currency 2 4 2 4 2 2 2 2 2" xfId="23710" xr:uid="{B205B25F-A060-40E3-B3A3-85A1502B24AD}"/>
    <cellStyle name="Currency 2 4 2 4 2 2 2 3" xfId="12263" xr:uid="{ECB641E6-7FA6-4FDC-9AA6-C21D6E6E6992}"/>
    <cellStyle name="Currency 2 4 2 4 2 2 2 3 2" xfId="26314" xr:uid="{321A0B79-D40C-4120-B125-9E3E3AF6A8AF}"/>
    <cellStyle name="Currency 2 4 2 4 2 2 2 4" xfId="20238" xr:uid="{53CE8BA9-9084-4E2D-820F-472060F135E7}"/>
    <cellStyle name="Currency 2 4 2 4 2 2 3" xfId="7055" xr:uid="{4F91A8E8-1DB8-4BB4-A818-FA1DAADE3D7F}"/>
    <cellStyle name="Currency 2 4 2 4 2 2 3 2" xfId="10527" xr:uid="{CDFD00A5-89F2-4CEF-B42B-7B4FD4D698F2}"/>
    <cellStyle name="Currency 2 4 2 4 2 2 3 2 2" xfId="24578" xr:uid="{75E852E1-C35F-49E1-A9FD-46EEFAD8372E}"/>
    <cellStyle name="Currency 2 4 2 4 2 2 3 3" xfId="13131" xr:uid="{9AAB8C3A-74DA-4FF0-A8F4-235836F49211}"/>
    <cellStyle name="Currency 2 4 2 4 2 2 3 3 2" xfId="27182" xr:uid="{2F52D559-0605-4D9E-99F9-438E5778F064}"/>
    <cellStyle name="Currency 2 4 2 4 2 2 3 4" xfId="21106" xr:uid="{39983751-30A8-4D26-B93A-043084336990}"/>
    <cellStyle name="Currency 2 4 2 4 2 2 4" xfId="8791" xr:uid="{3F745D29-65D3-4DE0-9E81-960B170D2AB2}"/>
    <cellStyle name="Currency 2 4 2 4 2 2 4 2" xfId="13999" xr:uid="{8244B5C5-D03F-4A09-A25E-6F0CF7BCCAF2}"/>
    <cellStyle name="Currency 2 4 2 4 2 2 4 2 2" xfId="28050" xr:uid="{DB83DAFF-D355-41BA-8254-3616FA1F71DA}"/>
    <cellStyle name="Currency 2 4 2 4 2 2 4 3" xfId="22842" xr:uid="{DF2DBDBD-D0B6-45FC-9522-438CEA0882E2}"/>
    <cellStyle name="Currency 2 4 2 4 2 2 5" xfId="7923" xr:uid="{2353CE6E-D7E4-43ED-81A6-924F1960B751}"/>
    <cellStyle name="Currency 2 4 2 4 2 2 5 2" xfId="21974" xr:uid="{FD4401BC-FCF8-4716-AA01-F275C4630DE0}"/>
    <cellStyle name="Currency 2 4 2 4 2 2 6" xfId="11395" xr:uid="{552CE278-96E6-447A-8E42-E0A28BDE502A}"/>
    <cellStyle name="Currency 2 4 2 4 2 2 6 2" xfId="25446" xr:uid="{3426FF82-5EE6-4B65-8B62-B161FD4BA11A}"/>
    <cellStyle name="Currency 2 4 2 4 2 2 7" xfId="19370" xr:uid="{D7DF1896-2EFA-4C09-B4B7-0517E97F4C06}"/>
    <cellStyle name="Currency 2 4 2 4 2 3" xfId="5753" xr:uid="{2990431B-8A12-4DC0-9AF7-72718122CBA7}"/>
    <cellStyle name="Currency 2 4 2 4 2 3 2" xfId="9225" xr:uid="{E7B6B580-6A1E-47AF-9F51-F4F39CF328A1}"/>
    <cellStyle name="Currency 2 4 2 4 2 3 2 2" xfId="23276" xr:uid="{9AD3AE12-9D0E-43F0-B922-D65C5CF48125}"/>
    <cellStyle name="Currency 2 4 2 4 2 3 3" xfId="11829" xr:uid="{04B44E09-BA91-499C-98E7-F9CCA753C037}"/>
    <cellStyle name="Currency 2 4 2 4 2 3 3 2" xfId="25880" xr:uid="{F9ADC56B-23AA-45C7-B3E6-6C53A3370D6C}"/>
    <cellStyle name="Currency 2 4 2 4 2 3 4" xfId="19804" xr:uid="{BDA672F6-3EA6-4AE7-BC2C-4FD37D6BC493}"/>
    <cellStyle name="Currency 2 4 2 4 2 4" xfId="6621" xr:uid="{04F56AE0-DE07-4759-9629-54677C66B03B}"/>
    <cellStyle name="Currency 2 4 2 4 2 4 2" xfId="10093" xr:uid="{EF7EDDAA-2254-43BE-AD93-B023D01BD107}"/>
    <cellStyle name="Currency 2 4 2 4 2 4 2 2" xfId="24144" xr:uid="{9262BC03-593B-4DA5-96DB-0A761F6D7FE3}"/>
    <cellStyle name="Currency 2 4 2 4 2 4 3" xfId="12697" xr:uid="{37108377-ED93-43AF-9472-247CF57D6A81}"/>
    <cellStyle name="Currency 2 4 2 4 2 4 3 2" xfId="26748" xr:uid="{11F3EC8D-62DF-4A1D-91AE-46F6E66C83AA}"/>
    <cellStyle name="Currency 2 4 2 4 2 4 4" xfId="20672" xr:uid="{57427EB0-D818-44B9-87D2-68709EB72A50}"/>
    <cellStyle name="Currency 2 4 2 4 2 5" xfId="8357" xr:uid="{8EED2F70-B453-4784-9268-D434F7B586FB}"/>
    <cellStyle name="Currency 2 4 2 4 2 5 2" xfId="13565" xr:uid="{898DE951-C443-496C-8B1D-9ACC5B8E2EBA}"/>
    <cellStyle name="Currency 2 4 2 4 2 5 2 2" xfId="27616" xr:uid="{B1DBD0A3-BC17-4092-824D-968F66485B57}"/>
    <cellStyle name="Currency 2 4 2 4 2 5 3" xfId="22408" xr:uid="{DF5E3641-398C-4654-AC1B-DCADBE5AEF04}"/>
    <cellStyle name="Currency 2 4 2 4 2 6" xfId="7489" xr:uid="{A6BBEDBE-4379-40B6-8ED3-42850F18748F}"/>
    <cellStyle name="Currency 2 4 2 4 2 6 2" xfId="21540" xr:uid="{7D1E1E43-4FC4-4296-9BED-B966C8690E50}"/>
    <cellStyle name="Currency 2 4 2 4 2 7" xfId="10961" xr:uid="{72B55AE5-9656-4502-8839-54466A6DC4D7}"/>
    <cellStyle name="Currency 2 4 2 4 2 7 2" xfId="25012" xr:uid="{1FD8B377-3DCB-4C28-BCA9-A3DE3CED130F}"/>
    <cellStyle name="Currency 2 4 2 4 2 8" xfId="17846" xr:uid="{C732EDFF-CD6A-4AA8-B2BB-8CF17FDE4755}"/>
    <cellStyle name="Currency 2 4 2 4 3" xfId="5128" xr:uid="{2F3A51E3-6B5C-4C2D-A855-605A148FA2D3}"/>
    <cellStyle name="Currency 2 4 2 4 3 2" xfId="5996" xr:uid="{9FC2F16F-CF35-4685-AD6F-80B7A550EE27}"/>
    <cellStyle name="Currency 2 4 2 4 3 2 2" xfId="9468" xr:uid="{88A8B8D8-71EE-4EE2-8646-21850166A8C9}"/>
    <cellStyle name="Currency 2 4 2 4 3 2 2 2" xfId="23519" xr:uid="{A0F8B217-879E-4266-A1C3-9D01F84D1D92}"/>
    <cellStyle name="Currency 2 4 2 4 3 2 3" xfId="12072" xr:uid="{4206D541-FC73-4A26-8AD3-84B00193C725}"/>
    <cellStyle name="Currency 2 4 2 4 3 2 3 2" xfId="26123" xr:uid="{EB732079-6F9B-4BB4-87D6-A2CDB78F94F0}"/>
    <cellStyle name="Currency 2 4 2 4 3 2 4" xfId="20047" xr:uid="{A0E1944F-84B5-48ED-A0B5-A49C96FEE410}"/>
    <cellStyle name="Currency 2 4 2 4 3 3" xfId="6864" xr:uid="{2C2F8A27-5524-43EB-95C6-895467A1A0E8}"/>
    <cellStyle name="Currency 2 4 2 4 3 3 2" xfId="10336" xr:uid="{B2E21162-E416-4408-BDC1-9C08FA2C0A64}"/>
    <cellStyle name="Currency 2 4 2 4 3 3 2 2" xfId="24387" xr:uid="{ED6ADF5E-800C-40B0-8B19-6211F219A239}"/>
    <cellStyle name="Currency 2 4 2 4 3 3 3" xfId="12940" xr:uid="{FC4CBAE0-A959-43C8-B2C0-1DC1789F450D}"/>
    <cellStyle name="Currency 2 4 2 4 3 3 3 2" xfId="26991" xr:uid="{3D8DFC65-DF4D-4CF5-97D8-B167C76C3098}"/>
    <cellStyle name="Currency 2 4 2 4 3 3 4" xfId="20915" xr:uid="{1CC18B08-1C88-4B78-B412-713F09FE40D7}"/>
    <cellStyle name="Currency 2 4 2 4 3 4" xfId="8600" xr:uid="{68C013C5-2178-477E-A994-93452A780721}"/>
    <cellStyle name="Currency 2 4 2 4 3 4 2" xfId="13808" xr:uid="{E22B6B01-EB22-49EF-A559-B3BD6345BED1}"/>
    <cellStyle name="Currency 2 4 2 4 3 4 2 2" xfId="27859" xr:uid="{68B9540C-1A85-4E59-AB36-4E358C4FF4C7}"/>
    <cellStyle name="Currency 2 4 2 4 3 4 3" xfId="22651" xr:uid="{334CCA5A-40E5-47A5-B82D-0321CA1AED2D}"/>
    <cellStyle name="Currency 2 4 2 4 3 5" xfId="7732" xr:uid="{11FAAC72-E6A7-401F-9B20-4AA047600885}"/>
    <cellStyle name="Currency 2 4 2 4 3 5 2" xfId="21783" xr:uid="{871FC2F8-E15E-4C66-AF36-8B1E46CF1060}"/>
    <cellStyle name="Currency 2 4 2 4 3 6" xfId="11204" xr:uid="{5FF32750-8BDE-44C1-9ECD-40F15D0D3B90}"/>
    <cellStyle name="Currency 2 4 2 4 3 6 2" xfId="25255" xr:uid="{5F6EDDAE-428D-4F56-94CC-632FE234D8F5}"/>
    <cellStyle name="Currency 2 4 2 4 3 7" xfId="19179" xr:uid="{EC0BA3B1-B032-4D95-9CCF-AA033DC0DE34}"/>
    <cellStyle name="Currency 2 4 2 4 4" xfId="5562" xr:uid="{C9BB5057-1804-49B0-98EF-60E78337CD74}"/>
    <cellStyle name="Currency 2 4 2 4 4 2" xfId="9034" xr:uid="{264D5311-7F9A-45DE-BA0F-70F94FFFB8AA}"/>
    <cellStyle name="Currency 2 4 2 4 4 2 2" xfId="23085" xr:uid="{95D59DF1-3237-459F-94F2-4F81D4C6ABAC}"/>
    <cellStyle name="Currency 2 4 2 4 4 3" xfId="11638" xr:uid="{F836848B-B437-4D3E-9C6F-1B80412712B6}"/>
    <cellStyle name="Currency 2 4 2 4 4 3 2" xfId="25689" xr:uid="{67231CEF-1813-4FF5-8664-2DE985678928}"/>
    <cellStyle name="Currency 2 4 2 4 4 4" xfId="19613" xr:uid="{C2456E24-3FFD-4C59-BB6D-F78908D8BF27}"/>
    <cellStyle name="Currency 2 4 2 4 5" xfId="6430" xr:uid="{3DD315AD-BD98-407A-98DB-AB16CCD4E87A}"/>
    <cellStyle name="Currency 2 4 2 4 5 2" xfId="9902" xr:uid="{EF0125AD-F5C8-4645-9547-3B5FC52DBEA2}"/>
    <cellStyle name="Currency 2 4 2 4 5 2 2" xfId="23953" xr:uid="{041C5478-46EC-405F-9452-989DAC89EF88}"/>
    <cellStyle name="Currency 2 4 2 4 5 3" xfId="12506" xr:uid="{CED1BD6E-D40D-4923-95CA-E9E468907FA8}"/>
    <cellStyle name="Currency 2 4 2 4 5 3 2" xfId="26557" xr:uid="{2CF0E068-1A25-4D7B-A480-BC6007549976}"/>
    <cellStyle name="Currency 2 4 2 4 5 4" xfId="20481" xr:uid="{81285E8D-5F6C-4FA8-B145-5AD2B060B7BA}"/>
    <cellStyle name="Currency 2 4 2 4 6" xfId="8166" xr:uid="{8E8ED438-AA7F-4D7D-AF6F-D42DB374FD72}"/>
    <cellStyle name="Currency 2 4 2 4 6 2" xfId="13374" xr:uid="{7BB4B3A9-FEAA-4849-9652-0955A0484720}"/>
    <cellStyle name="Currency 2 4 2 4 6 2 2" xfId="27425" xr:uid="{5F54A696-937D-4093-98DF-6D97F53DDA1C}"/>
    <cellStyle name="Currency 2 4 2 4 6 3" xfId="22217" xr:uid="{D98B44F7-B4F0-4A3E-980E-A5B4623285F2}"/>
    <cellStyle name="Currency 2 4 2 4 7" xfId="7298" xr:uid="{3E6EA912-A392-424E-AD08-E5B66ACD13EC}"/>
    <cellStyle name="Currency 2 4 2 4 7 2" xfId="21349" xr:uid="{057D595D-4CEB-4C1A-B569-061543A7CDA0}"/>
    <cellStyle name="Currency 2 4 2 4 8" xfId="10770" xr:uid="{2F66978B-ACE1-4654-AD6F-0062B352C305}"/>
    <cellStyle name="Currency 2 4 2 4 8 2" xfId="24821" xr:uid="{4A450303-A06D-49BB-ABA7-12014DAFD6B3}"/>
    <cellStyle name="Currency 2 4 2 4 9" xfId="15652" xr:uid="{65EB065D-E3E7-425E-99A3-3DA032E9E85B}"/>
    <cellStyle name="Currency 2 4 2 5" xfId="2522" xr:uid="{03597B5B-6C6D-451C-8DC8-9A818C87BD6E}"/>
    <cellStyle name="Currency 2 4 2 5 2" xfId="5208" xr:uid="{CA344CCA-8667-49F6-A601-A13A41A36344}"/>
    <cellStyle name="Currency 2 4 2 5 2 2" xfId="6076" xr:uid="{602E4837-0C6E-4C57-BE31-2F34844CDE56}"/>
    <cellStyle name="Currency 2 4 2 5 2 2 2" xfId="9548" xr:uid="{846377D3-B9C3-419A-A909-0C9C4BF92826}"/>
    <cellStyle name="Currency 2 4 2 5 2 2 2 2" xfId="23599" xr:uid="{9C77E216-E882-4E31-9DFF-AFDFF0543D4C}"/>
    <cellStyle name="Currency 2 4 2 5 2 2 3" xfId="12152" xr:uid="{DE4AACE8-4500-4723-AC8E-07FE7F33676B}"/>
    <cellStyle name="Currency 2 4 2 5 2 2 3 2" xfId="26203" xr:uid="{246D04E5-B11E-4FEF-BD46-18A3AE9419A8}"/>
    <cellStyle name="Currency 2 4 2 5 2 2 4" xfId="20127" xr:uid="{9DDB2681-B7B7-4F69-8ACD-0DF4E7349B31}"/>
    <cellStyle name="Currency 2 4 2 5 2 3" xfId="6944" xr:uid="{A803D9B7-462B-4BC1-AB10-EEFC41BF6B41}"/>
    <cellStyle name="Currency 2 4 2 5 2 3 2" xfId="10416" xr:uid="{5B663F51-8D11-4BC3-A976-0FECCEC97596}"/>
    <cellStyle name="Currency 2 4 2 5 2 3 2 2" xfId="24467" xr:uid="{CAF5049B-E504-4F6D-9FAF-5E413C456E50}"/>
    <cellStyle name="Currency 2 4 2 5 2 3 3" xfId="13020" xr:uid="{2860BBEB-E429-43D9-9ADA-8A4099E6F26E}"/>
    <cellStyle name="Currency 2 4 2 5 2 3 3 2" xfId="27071" xr:uid="{2075C1D7-0F99-48B5-8546-54B400169C39}"/>
    <cellStyle name="Currency 2 4 2 5 2 3 4" xfId="20995" xr:uid="{85A64605-D1EC-4F91-8735-032D110D73C6}"/>
    <cellStyle name="Currency 2 4 2 5 2 4" xfId="8680" xr:uid="{28296748-26E5-4105-A869-44ABBD3DDB63}"/>
    <cellStyle name="Currency 2 4 2 5 2 4 2" xfId="13888" xr:uid="{36200FDE-C2A1-485F-BC91-E9392B13F5FD}"/>
    <cellStyle name="Currency 2 4 2 5 2 4 2 2" xfId="27939" xr:uid="{EF97FCBB-9849-43A0-81A7-D1188004A7E9}"/>
    <cellStyle name="Currency 2 4 2 5 2 4 3" xfId="22731" xr:uid="{A233E47B-B876-43AF-B4DC-A9F788DC924F}"/>
    <cellStyle name="Currency 2 4 2 5 2 5" xfId="7812" xr:uid="{9CAAA318-6EFF-4DF1-AE16-68056FD4E257}"/>
    <cellStyle name="Currency 2 4 2 5 2 5 2" xfId="21863" xr:uid="{E2AFDD12-0E80-4B0D-8ED6-FF8E66602E86}"/>
    <cellStyle name="Currency 2 4 2 5 2 6" xfId="11284" xr:uid="{492BE68D-0300-411D-91C0-C3B7CD05E51B}"/>
    <cellStyle name="Currency 2 4 2 5 2 6 2" xfId="25335" xr:uid="{0F1CE377-3CAE-4F22-8D40-13A93ECA397D}"/>
    <cellStyle name="Currency 2 4 2 5 2 7" xfId="19259" xr:uid="{5E0A3027-5F0D-4D3A-A755-3A071D528D59}"/>
    <cellStyle name="Currency 2 4 2 5 3" xfId="5642" xr:uid="{7467A623-A0BC-4EBE-A77E-B7E21CC8D68C}"/>
    <cellStyle name="Currency 2 4 2 5 3 2" xfId="9114" xr:uid="{93EE09AF-FEAD-435C-8D80-46BA3B6287D4}"/>
    <cellStyle name="Currency 2 4 2 5 3 2 2" xfId="23165" xr:uid="{12A9DF8F-FA5F-47AD-A83C-7A0DE10AB553}"/>
    <cellStyle name="Currency 2 4 2 5 3 3" xfId="11718" xr:uid="{28DD8AD9-38C1-4B16-93DE-56D31B5A61B8}"/>
    <cellStyle name="Currency 2 4 2 5 3 3 2" xfId="25769" xr:uid="{E374BE22-CD62-441F-90C7-867F07151748}"/>
    <cellStyle name="Currency 2 4 2 5 3 4" xfId="19693" xr:uid="{EE1518B2-718A-4E76-B5A4-A69C7A48E604}"/>
    <cellStyle name="Currency 2 4 2 5 4" xfId="6510" xr:uid="{A305A25A-3118-4E71-B01B-F48289E035D6}"/>
    <cellStyle name="Currency 2 4 2 5 4 2" xfId="9982" xr:uid="{B8D03B70-FDE1-4173-B497-BFD539BC6F37}"/>
    <cellStyle name="Currency 2 4 2 5 4 2 2" xfId="24033" xr:uid="{79B33C6B-6C8C-452E-99A7-F6ABE1165C0A}"/>
    <cellStyle name="Currency 2 4 2 5 4 3" xfId="12586" xr:uid="{FECCB44D-2BEF-4FAF-A74D-E124CA0FBC9F}"/>
    <cellStyle name="Currency 2 4 2 5 4 3 2" xfId="26637" xr:uid="{023395B7-7EA7-4820-9FD4-74901A730D7F}"/>
    <cellStyle name="Currency 2 4 2 5 4 4" xfId="20561" xr:uid="{36C008D9-B63F-45FE-BC99-1A5B7D1635B2}"/>
    <cellStyle name="Currency 2 4 2 5 5" xfId="8246" xr:uid="{392173C5-6F5D-4631-BA55-203EDCD22B99}"/>
    <cellStyle name="Currency 2 4 2 5 5 2" xfId="13454" xr:uid="{595BAF8B-9E23-42B7-B28C-B0E81DED3978}"/>
    <cellStyle name="Currency 2 4 2 5 5 2 2" xfId="27505" xr:uid="{C1DAB77B-CCB7-455E-B631-3ED33C166210}"/>
    <cellStyle name="Currency 2 4 2 5 5 3" xfId="22297" xr:uid="{DAB60B53-4840-423B-88E1-8B656052BB0A}"/>
    <cellStyle name="Currency 2 4 2 5 6" xfId="7378" xr:uid="{4A9C2966-0FDE-4BF2-8D37-3EC62CF4D577}"/>
    <cellStyle name="Currency 2 4 2 5 6 2" xfId="21429" xr:uid="{2841FC8E-4B62-4DAC-B17D-53D4BF2D4C42}"/>
    <cellStyle name="Currency 2 4 2 5 7" xfId="10850" xr:uid="{29367DFF-A5EB-4807-90B1-02B1BCF731E9}"/>
    <cellStyle name="Currency 2 4 2 5 7 2" xfId="24901" xr:uid="{BC4C6932-40F7-4066-BBA9-2F372099BFAE}"/>
    <cellStyle name="Currency 2 4 2 5 8" xfId="16573" xr:uid="{D9C9E31B-1A22-41FE-BBB6-E7D50B4D2F02}"/>
    <cellStyle name="Currency 2 4 2 6" xfId="4888" xr:uid="{B6ABD109-850E-4E3B-937E-FD0A1E3BE5D6}"/>
    <cellStyle name="Currency 2 4 2 6 2" xfId="5414" xr:uid="{DBB1042E-15D0-4660-B1C1-AA07433871E5}"/>
    <cellStyle name="Currency 2 4 2 6 2 2" xfId="6282" xr:uid="{AE6C9ADF-33EA-4B0D-A13A-835C1A022496}"/>
    <cellStyle name="Currency 2 4 2 6 2 2 2" xfId="9754" xr:uid="{0B6A2536-1309-4F41-A525-12B97369A5F8}"/>
    <cellStyle name="Currency 2 4 2 6 2 2 2 2" xfId="23805" xr:uid="{8B6DA44F-B858-441A-BC5D-D05A2AF2F7C7}"/>
    <cellStyle name="Currency 2 4 2 6 2 2 3" xfId="12358" xr:uid="{8375FF52-0A31-47E4-97BB-7AACDA22B970}"/>
    <cellStyle name="Currency 2 4 2 6 2 2 3 2" xfId="26409" xr:uid="{FDEF3691-5AD9-42FD-BE01-DC85145F42E8}"/>
    <cellStyle name="Currency 2 4 2 6 2 2 4" xfId="20333" xr:uid="{0F70E4A7-1504-4149-AD4E-16B3A0C67EAF}"/>
    <cellStyle name="Currency 2 4 2 6 2 3" xfId="7150" xr:uid="{63D2282F-C100-494D-8DFB-D8DDC51FD615}"/>
    <cellStyle name="Currency 2 4 2 6 2 3 2" xfId="10622" xr:uid="{CA7BC0A7-BD21-419B-B0F9-DC0D816D898C}"/>
    <cellStyle name="Currency 2 4 2 6 2 3 2 2" xfId="24673" xr:uid="{FEB26F4F-0C39-4A78-8857-800BB5D51E17}"/>
    <cellStyle name="Currency 2 4 2 6 2 3 3" xfId="13226" xr:uid="{6D4143A3-C18E-4044-958E-55EDA66FDAD0}"/>
    <cellStyle name="Currency 2 4 2 6 2 3 3 2" xfId="27277" xr:uid="{05577197-0C45-44A1-BE73-66D90E2DC3C7}"/>
    <cellStyle name="Currency 2 4 2 6 2 3 4" xfId="21201" xr:uid="{929005F1-5468-423D-B09E-EE492F3AC9F6}"/>
    <cellStyle name="Currency 2 4 2 6 2 4" xfId="8886" xr:uid="{9D33428C-7E35-4CF8-A3EC-85D6F249C28D}"/>
    <cellStyle name="Currency 2 4 2 6 2 4 2" xfId="14094" xr:uid="{10F6FC10-3B76-4535-8EA7-1CC542402CFF}"/>
    <cellStyle name="Currency 2 4 2 6 2 4 2 2" xfId="28145" xr:uid="{E04C0E9C-B395-455D-9F79-BD8DE02D2BB1}"/>
    <cellStyle name="Currency 2 4 2 6 2 4 3" xfId="22937" xr:uid="{00C6F34C-46E3-4F48-BCE6-A0E6D438B7FF}"/>
    <cellStyle name="Currency 2 4 2 6 2 5" xfId="8018" xr:uid="{0D98614A-68B1-4033-8AF4-D1CD0687D8F9}"/>
    <cellStyle name="Currency 2 4 2 6 2 5 2" xfId="22069" xr:uid="{99DE863B-31D2-4709-89FA-A062B9E0FBD3}"/>
    <cellStyle name="Currency 2 4 2 6 2 6" xfId="11490" xr:uid="{F7494956-378E-4517-AA42-6FF2EFCBD693}"/>
    <cellStyle name="Currency 2 4 2 6 2 6 2" xfId="25541" xr:uid="{5A03FFC9-983D-4354-B35D-E4A77F3E3D5E}"/>
    <cellStyle name="Currency 2 4 2 6 2 7" xfId="19465" xr:uid="{1900D70D-4B68-449B-8D85-FF671EF4C5DB}"/>
    <cellStyle name="Currency 2 4 2 6 3" xfId="5848" xr:uid="{106838E8-85FD-4DCF-B4B5-D763596BDD4C}"/>
    <cellStyle name="Currency 2 4 2 6 3 2" xfId="9320" xr:uid="{F553F5EC-5410-479F-8E8F-1D8176CA3507}"/>
    <cellStyle name="Currency 2 4 2 6 3 2 2" xfId="23371" xr:uid="{7893C376-DB81-4EDA-9044-567E112BBA40}"/>
    <cellStyle name="Currency 2 4 2 6 3 3" xfId="11924" xr:uid="{47FB726C-899F-435D-923C-DC9A29DEF79D}"/>
    <cellStyle name="Currency 2 4 2 6 3 3 2" xfId="25975" xr:uid="{09A34AF1-61F6-47FA-8F4F-A9FFA2408DE8}"/>
    <cellStyle name="Currency 2 4 2 6 3 4" xfId="19899" xr:uid="{95ECDF9B-5781-4457-836B-5701601F78C5}"/>
    <cellStyle name="Currency 2 4 2 6 4" xfId="6716" xr:uid="{E2ABBE3D-B0E5-4E79-8536-1950789ADAF1}"/>
    <cellStyle name="Currency 2 4 2 6 4 2" xfId="10188" xr:uid="{0F1CADF7-D2DC-4ADA-9742-6B7BB6E7B9AF}"/>
    <cellStyle name="Currency 2 4 2 6 4 2 2" xfId="24239" xr:uid="{5BADC795-B733-4FDB-AC1A-C4E8421DB1D2}"/>
    <cellStyle name="Currency 2 4 2 6 4 3" xfId="12792" xr:uid="{DF62A913-F9D6-49A6-ABD2-131F90BB450C}"/>
    <cellStyle name="Currency 2 4 2 6 4 3 2" xfId="26843" xr:uid="{98785DE6-C36B-491F-8550-32EE761843A9}"/>
    <cellStyle name="Currency 2 4 2 6 4 4" xfId="20767" xr:uid="{0F3E8071-F956-4891-91C5-A1583111C0C4}"/>
    <cellStyle name="Currency 2 4 2 6 5" xfId="8452" xr:uid="{48DF9E8A-D39A-415C-8842-5732D7927E1E}"/>
    <cellStyle name="Currency 2 4 2 6 5 2" xfId="13660" xr:uid="{346F9D81-60D8-4B13-94B8-C72658E20FF7}"/>
    <cellStyle name="Currency 2 4 2 6 5 2 2" xfId="27711" xr:uid="{BB9CFD86-4F6A-4F8F-B91D-591B311A8DC5}"/>
    <cellStyle name="Currency 2 4 2 6 5 3" xfId="22503" xr:uid="{A1C5BC24-D60D-4B08-8756-866B190E6959}"/>
    <cellStyle name="Currency 2 4 2 6 6" xfId="7584" xr:uid="{C839E682-8145-42AD-84D0-ABB0A4275ADE}"/>
    <cellStyle name="Currency 2 4 2 6 6 2" xfId="21635" xr:uid="{EB7BAAC3-FBD2-4F4E-BACB-499EA3EBECFD}"/>
    <cellStyle name="Currency 2 4 2 6 7" xfId="11056" xr:uid="{15A19D82-0A28-49CE-8662-F369CD39A854}"/>
    <cellStyle name="Currency 2 4 2 6 7 2" xfId="25107" xr:uid="{C872FCE1-77B0-4B49-BB80-7D8E43759342}"/>
    <cellStyle name="Currency 2 4 2 6 8" xfId="18940" xr:uid="{1C1BF41B-3645-4075-8A6C-54F193DC3C50}"/>
    <cellStyle name="Currency 2 4 2 7" xfId="5014" xr:uid="{91C6F801-7331-4289-8209-3B09CF1A7F8F}"/>
    <cellStyle name="Currency 2 4 2 7 2" xfId="5882" xr:uid="{A7B9F85B-11CA-4D7E-8A35-775536579037}"/>
    <cellStyle name="Currency 2 4 2 7 2 2" xfId="9354" xr:uid="{902A30C6-4DB5-48FB-8367-CCD43DEFFEEB}"/>
    <cellStyle name="Currency 2 4 2 7 2 2 2" xfId="23405" xr:uid="{A3A87241-DB3A-439C-9261-0C0840BCD802}"/>
    <cellStyle name="Currency 2 4 2 7 2 3" xfId="11958" xr:uid="{6668F775-8D52-4381-9FBD-5EEFE5E168CB}"/>
    <cellStyle name="Currency 2 4 2 7 2 3 2" xfId="26009" xr:uid="{11AEFBA8-5EC4-4F2F-B6CE-BD9427F212F8}"/>
    <cellStyle name="Currency 2 4 2 7 2 4" xfId="19933" xr:uid="{EB025D5A-0E2D-49C3-BD0A-C5E80BA52BDF}"/>
    <cellStyle name="Currency 2 4 2 7 3" xfId="6750" xr:uid="{A1FD94EE-1146-4D22-BB30-E333C92C292D}"/>
    <cellStyle name="Currency 2 4 2 7 3 2" xfId="10222" xr:uid="{3F103F57-C41A-4BAC-A907-6AABB0BE9EAC}"/>
    <cellStyle name="Currency 2 4 2 7 3 2 2" xfId="24273" xr:uid="{00E04051-6729-4386-AC1B-724247BDE35A}"/>
    <cellStyle name="Currency 2 4 2 7 3 3" xfId="12826" xr:uid="{6B3641FD-AAC9-4F45-9DDF-D102C6537330}"/>
    <cellStyle name="Currency 2 4 2 7 3 3 2" xfId="26877" xr:uid="{BC3A79A5-E874-43B6-A65D-19B348A08D06}"/>
    <cellStyle name="Currency 2 4 2 7 3 4" xfId="20801" xr:uid="{9FCD948A-F05A-4421-B5F7-6D4455F825C6}"/>
    <cellStyle name="Currency 2 4 2 7 4" xfId="8486" xr:uid="{D53234C5-063F-4B84-B4EA-5AC6B239CC4D}"/>
    <cellStyle name="Currency 2 4 2 7 4 2" xfId="13694" xr:uid="{204505F3-82ED-4B64-89D2-2BF5D495E155}"/>
    <cellStyle name="Currency 2 4 2 7 4 2 2" xfId="27745" xr:uid="{BC0DA1C7-2AC6-4D8F-A7E5-80656154D3E8}"/>
    <cellStyle name="Currency 2 4 2 7 4 3" xfId="22537" xr:uid="{DD3F991A-AF46-4733-AC6D-77898CBAA3E3}"/>
    <cellStyle name="Currency 2 4 2 7 5" xfId="7618" xr:uid="{C833008B-211D-415A-AB21-BD0C49D6862E}"/>
    <cellStyle name="Currency 2 4 2 7 5 2" xfId="21669" xr:uid="{506DF474-8779-480E-90C7-E06D45C3C212}"/>
    <cellStyle name="Currency 2 4 2 7 6" xfId="11090" xr:uid="{07EF9D32-5562-4F98-9367-C7BE069606BA}"/>
    <cellStyle name="Currency 2 4 2 7 6 2" xfId="25141" xr:uid="{3B38233F-EC7D-4B30-8031-FF4AADADF6B4}"/>
    <cellStyle name="Currency 2 4 2 7 7" xfId="19065" xr:uid="{F835EE41-1F61-4D7F-9A26-D48E01A54AC4}"/>
    <cellStyle name="Currency 2 4 2 8" xfId="5448" xr:uid="{D2BC6657-D0F2-45F6-987E-0C88BD8DA4C3}"/>
    <cellStyle name="Currency 2 4 2 8 2" xfId="8920" xr:uid="{C1806B3B-F9C9-4940-8821-7C75601B92EF}"/>
    <cellStyle name="Currency 2 4 2 8 2 2" xfId="22971" xr:uid="{3868E7F1-D50B-4288-8184-4766DA49422C}"/>
    <cellStyle name="Currency 2 4 2 8 3" xfId="11524" xr:uid="{D392CD3C-92A5-46F3-A054-5FF090FBCFFD}"/>
    <cellStyle name="Currency 2 4 2 8 3 2" xfId="25575" xr:uid="{A8E22BE0-9D07-4629-8591-022C28DA47C6}"/>
    <cellStyle name="Currency 2 4 2 8 4" xfId="19499" xr:uid="{93E8CC27-DC7A-4A49-87EC-C60520654EF6}"/>
    <cellStyle name="Currency 2 4 2 9" xfId="6316" xr:uid="{EEB25894-1AD9-48F7-9CBC-98ED33984F4A}"/>
    <cellStyle name="Currency 2 4 2 9 2" xfId="9788" xr:uid="{8C227260-3ECA-450A-AF90-986E5152AF27}"/>
    <cellStyle name="Currency 2 4 2 9 2 2" xfId="23839" xr:uid="{119F5BE9-FA77-4C50-B205-C7EF37331545}"/>
    <cellStyle name="Currency 2 4 2 9 3" xfId="12392" xr:uid="{450FA79D-88FE-4D1B-87CE-C337BA8D31EE}"/>
    <cellStyle name="Currency 2 4 2 9 3 2" xfId="26443" xr:uid="{8F4F03D7-07FD-4C16-9214-387823189D49}"/>
    <cellStyle name="Currency 2 4 2 9 4" xfId="20367" xr:uid="{F854AAF0-E8CE-49E5-8D28-128602B2CC54}"/>
    <cellStyle name="Currency 2 4 3" xfId="496" xr:uid="{AE566383-2434-4217-BFE4-5597075E4458}"/>
    <cellStyle name="Currency 2 4 3 10" xfId="10671" xr:uid="{7317296F-C0F6-4069-9C3D-140B88C5C03A}"/>
    <cellStyle name="Currency 2 4 3 10 2" xfId="24722" xr:uid="{DC0AA7AB-F455-4FBB-AE93-B8D2E01B77B7}"/>
    <cellStyle name="Currency 2 4 3 11" xfId="14551" xr:uid="{ED671279-D342-4580-AE6E-45364EA27C94}"/>
    <cellStyle name="Currency 2 4 3 2" xfId="1429" xr:uid="{227B9DC5-42D7-49EC-BF59-E877CCB09836}"/>
    <cellStyle name="Currency 2 4 3 2 2" xfId="3619" xr:uid="{DC9852C8-639E-4146-85CE-DC55A70C62D3}"/>
    <cellStyle name="Currency 2 4 3 2 2 2" xfId="5304" xr:uid="{CB9E83AC-4770-4836-88E1-25269AD5FBD0}"/>
    <cellStyle name="Currency 2 4 3 2 2 2 2" xfId="6172" xr:uid="{1B35E0D5-5787-47D4-A2D2-3CAF490A81C3}"/>
    <cellStyle name="Currency 2 4 3 2 2 2 2 2" xfId="9644" xr:uid="{DBC30F19-47D2-45CA-9190-91AA6EAB65C6}"/>
    <cellStyle name="Currency 2 4 3 2 2 2 2 2 2" xfId="23695" xr:uid="{E984243F-DAEF-44FA-A4B3-80086576EC03}"/>
    <cellStyle name="Currency 2 4 3 2 2 2 2 3" xfId="12248" xr:uid="{DC27E5B4-EA05-40AE-A5D3-7100D401AD0C}"/>
    <cellStyle name="Currency 2 4 3 2 2 2 2 3 2" xfId="26299" xr:uid="{B7E22C14-8FDC-4DDE-92CB-A03E28259F5D}"/>
    <cellStyle name="Currency 2 4 3 2 2 2 2 4" xfId="20223" xr:uid="{74E18E02-0FB4-4CB2-B0CB-EB691706FD70}"/>
    <cellStyle name="Currency 2 4 3 2 2 2 3" xfId="7040" xr:uid="{56E51901-212D-4F73-9909-7D4EBCD4AC52}"/>
    <cellStyle name="Currency 2 4 3 2 2 2 3 2" xfId="10512" xr:uid="{5970E875-3EEA-409D-AD08-27AACED134E0}"/>
    <cellStyle name="Currency 2 4 3 2 2 2 3 2 2" xfId="24563" xr:uid="{F550147A-3633-4C64-97F9-FA9F1CF5D7BD}"/>
    <cellStyle name="Currency 2 4 3 2 2 2 3 3" xfId="13116" xr:uid="{FA68AF83-114A-4E60-B762-89357AA893A4}"/>
    <cellStyle name="Currency 2 4 3 2 2 2 3 3 2" xfId="27167" xr:uid="{DA96A7F8-2BD0-4DDC-ACE3-61AF3E3FDC88}"/>
    <cellStyle name="Currency 2 4 3 2 2 2 3 4" xfId="21091" xr:uid="{C1401D9D-0523-4CD2-9435-081302336027}"/>
    <cellStyle name="Currency 2 4 3 2 2 2 4" xfId="8776" xr:uid="{341DBD99-E333-4898-993C-9E4CA997AFFF}"/>
    <cellStyle name="Currency 2 4 3 2 2 2 4 2" xfId="13984" xr:uid="{6B04D427-ACB5-411C-990A-C2A40F0E9735}"/>
    <cellStyle name="Currency 2 4 3 2 2 2 4 2 2" xfId="28035" xr:uid="{944E7837-24D0-47E2-ADF3-5F2B8F26C9CD}"/>
    <cellStyle name="Currency 2 4 3 2 2 2 4 3" xfId="22827" xr:uid="{AF509AE8-E561-453C-A093-525DD8D9D488}"/>
    <cellStyle name="Currency 2 4 3 2 2 2 5" xfId="7908" xr:uid="{897BE9A9-0D92-405C-8D29-0F269BACC47C}"/>
    <cellStyle name="Currency 2 4 3 2 2 2 5 2" xfId="21959" xr:uid="{F12F31FA-B416-44A4-86A6-750D11C95010}"/>
    <cellStyle name="Currency 2 4 3 2 2 2 6" xfId="11380" xr:uid="{1676EFCF-9C33-42D5-B47E-132684AB30C9}"/>
    <cellStyle name="Currency 2 4 3 2 2 2 6 2" xfId="25431" xr:uid="{4A3453DF-3264-498D-BCA0-C3291B242479}"/>
    <cellStyle name="Currency 2 4 3 2 2 2 7" xfId="19355" xr:uid="{83A4FD6D-260C-4870-96A4-06DAF51C993C}"/>
    <cellStyle name="Currency 2 4 3 2 2 3" xfId="5738" xr:uid="{BA3327E5-06A9-4D91-B138-B2D4545C767D}"/>
    <cellStyle name="Currency 2 4 3 2 2 3 2" xfId="9210" xr:uid="{31838AC9-B528-4D0A-96EE-E71AB556559C}"/>
    <cellStyle name="Currency 2 4 3 2 2 3 2 2" xfId="23261" xr:uid="{8946986F-B1D2-4634-887D-881F912A5790}"/>
    <cellStyle name="Currency 2 4 3 2 2 3 3" xfId="11814" xr:uid="{20B4D9A0-D9D6-4261-81C2-6C36C3580E80}"/>
    <cellStyle name="Currency 2 4 3 2 2 3 3 2" xfId="25865" xr:uid="{87BCF81D-6F30-4A68-8400-52FFAC8F5DB3}"/>
    <cellStyle name="Currency 2 4 3 2 2 3 4" xfId="19789" xr:uid="{BA77A561-704B-4B72-ACFB-298E61E5ADC1}"/>
    <cellStyle name="Currency 2 4 3 2 2 4" xfId="6606" xr:uid="{791E7BA9-75A9-4CCC-B33A-3815CA2B1F9A}"/>
    <cellStyle name="Currency 2 4 3 2 2 4 2" xfId="10078" xr:uid="{9AE1009F-A309-4BA4-BE64-A011F4A4A1CE}"/>
    <cellStyle name="Currency 2 4 3 2 2 4 2 2" xfId="24129" xr:uid="{A07EF18D-F0AF-412B-ABCC-C34F57D41FBC}"/>
    <cellStyle name="Currency 2 4 3 2 2 4 3" xfId="12682" xr:uid="{68548976-05FE-4157-A443-554032C301AB}"/>
    <cellStyle name="Currency 2 4 3 2 2 4 3 2" xfId="26733" xr:uid="{892A5559-26A4-4F7B-844A-2E46A76F5A27}"/>
    <cellStyle name="Currency 2 4 3 2 2 4 4" xfId="20657" xr:uid="{6DF0662F-2AA0-410A-A309-6A851F43DB14}"/>
    <cellStyle name="Currency 2 4 3 2 2 5" xfId="8342" xr:uid="{820700DC-55A7-46C3-8ACB-C5BE5EE03A7F}"/>
    <cellStyle name="Currency 2 4 3 2 2 5 2" xfId="13550" xr:uid="{FDF06DC3-8914-4409-B71E-B51EF2261EEC}"/>
    <cellStyle name="Currency 2 4 3 2 2 5 2 2" xfId="27601" xr:uid="{F469A351-7DCC-4781-B9E5-00540478F754}"/>
    <cellStyle name="Currency 2 4 3 2 2 5 3" xfId="22393" xr:uid="{EF12411B-8DDB-4E49-AE37-EFFC53721B92}"/>
    <cellStyle name="Currency 2 4 3 2 2 6" xfId="7474" xr:uid="{FDE7F712-B987-401D-ACC0-5F558DF1C170}"/>
    <cellStyle name="Currency 2 4 3 2 2 6 2" xfId="21525" xr:uid="{1034A8DD-5279-4314-988B-5932A7665032}"/>
    <cellStyle name="Currency 2 4 3 2 2 7" xfId="10946" xr:uid="{D80976C5-BCC6-4ABD-9AB7-F592A9907786}"/>
    <cellStyle name="Currency 2 4 3 2 2 7 2" xfId="24997" xr:uid="{00E2A2C7-4DC3-4329-A765-6450F790496A}"/>
    <cellStyle name="Currency 2 4 3 2 2 8" xfId="17672" xr:uid="{3B4F018D-B97F-4C0B-9632-A111B56CD797}"/>
    <cellStyle name="Currency 2 4 3 2 3" xfId="5113" xr:uid="{A5DB30AF-A8B0-4172-989E-F76086F068DF}"/>
    <cellStyle name="Currency 2 4 3 2 3 2" xfId="5981" xr:uid="{C768DEA6-EAC0-4B5B-BED0-F5AF3E9F3E1C}"/>
    <cellStyle name="Currency 2 4 3 2 3 2 2" xfId="9453" xr:uid="{09BB46C7-3FD1-4B78-B61C-0A61E9DDBE15}"/>
    <cellStyle name="Currency 2 4 3 2 3 2 2 2" xfId="23504" xr:uid="{986EADB1-03F6-4BAE-9B7A-E8DD17D76A6A}"/>
    <cellStyle name="Currency 2 4 3 2 3 2 3" xfId="12057" xr:uid="{D5AEFAC3-22EF-48A2-9663-58AD1BA56F68}"/>
    <cellStyle name="Currency 2 4 3 2 3 2 3 2" xfId="26108" xr:uid="{C4463402-2917-4EF7-A3ED-7C90CA4F1BB0}"/>
    <cellStyle name="Currency 2 4 3 2 3 2 4" xfId="20032" xr:uid="{4A69832E-AD85-42C4-8738-DB5A55DCA609}"/>
    <cellStyle name="Currency 2 4 3 2 3 3" xfId="6849" xr:uid="{F07B68DB-D2CC-4CA2-A243-6B7DC19DBE2D}"/>
    <cellStyle name="Currency 2 4 3 2 3 3 2" xfId="10321" xr:uid="{CCE9D20F-7A9C-45DE-9C59-B3FAC3E8A293}"/>
    <cellStyle name="Currency 2 4 3 2 3 3 2 2" xfId="24372" xr:uid="{D0140DCD-AE1A-48CA-BF8E-AB39A7686E77}"/>
    <cellStyle name="Currency 2 4 3 2 3 3 3" xfId="12925" xr:uid="{A1C3CED8-B306-4D24-8892-D110B9160241}"/>
    <cellStyle name="Currency 2 4 3 2 3 3 3 2" xfId="26976" xr:uid="{4EA12C76-0BB9-4712-9287-95B9BF1594DC}"/>
    <cellStyle name="Currency 2 4 3 2 3 3 4" xfId="20900" xr:uid="{CBF0266D-BF1E-4F6D-91B5-CA72274128F0}"/>
    <cellStyle name="Currency 2 4 3 2 3 4" xfId="8585" xr:uid="{20FB3325-D551-43EF-9BF7-2640146491F0}"/>
    <cellStyle name="Currency 2 4 3 2 3 4 2" xfId="13793" xr:uid="{A67E6DF3-92F5-4597-BDC8-711824242364}"/>
    <cellStyle name="Currency 2 4 3 2 3 4 2 2" xfId="27844" xr:uid="{D95F813B-67E4-4F29-9389-5A975832C9FD}"/>
    <cellStyle name="Currency 2 4 3 2 3 4 3" xfId="22636" xr:uid="{B4531D8F-9910-4D5C-BFAD-F825BD156191}"/>
    <cellStyle name="Currency 2 4 3 2 3 5" xfId="7717" xr:uid="{E8368A2A-1B3C-4A1C-906D-2D7B59B5AEB5}"/>
    <cellStyle name="Currency 2 4 3 2 3 5 2" xfId="21768" xr:uid="{9513C6E6-6A06-420F-9DE4-986FE0BD07D9}"/>
    <cellStyle name="Currency 2 4 3 2 3 6" xfId="11189" xr:uid="{9C95AF48-1F2C-4BBA-983D-0C139B27DE2C}"/>
    <cellStyle name="Currency 2 4 3 2 3 6 2" xfId="25240" xr:uid="{1D91D48F-7344-4C41-984B-ADE78EE73017}"/>
    <cellStyle name="Currency 2 4 3 2 3 7" xfId="19164" xr:uid="{1D042901-98EA-4975-A002-6059B42A7BC9}"/>
    <cellStyle name="Currency 2 4 3 2 4" xfId="5547" xr:uid="{FDFFC41F-BF3E-47AC-BE9B-C01268FC446D}"/>
    <cellStyle name="Currency 2 4 3 2 4 2" xfId="9019" xr:uid="{7BDD8D4D-A0A6-4FC2-869F-E7DA8C2A27B7}"/>
    <cellStyle name="Currency 2 4 3 2 4 2 2" xfId="23070" xr:uid="{A09F8315-97AE-4632-ABAE-3AE9184AE987}"/>
    <cellStyle name="Currency 2 4 3 2 4 3" xfId="11623" xr:uid="{61E6CFD5-3020-41C4-9665-C235AF2368BE}"/>
    <cellStyle name="Currency 2 4 3 2 4 3 2" xfId="25674" xr:uid="{021B8FF3-C4A1-43B4-84C1-E534D9F2B970}"/>
    <cellStyle name="Currency 2 4 3 2 4 4" xfId="19598" xr:uid="{BC30A923-C271-47FD-B742-EE69E6513FF3}"/>
    <cellStyle name="Currency 2 4 3 2 5" xfId="6415" xr:uid="{9BF0443B-EFD0-4DE6-8CBF-B248889C43E2}"/>
    <cellStyle name="Currency 2 4 3 2 5 2" xfId="9887" xr:uid="{72FEFAF4-50E4-4358-B42A-C6C41E8CEEC1}"/>
    <cellStyle name="Currency 2 4 3 2 5 2 2" xfId="23938" xr:uid="{1E0DC96B-00A1-4D2F-9B3E-3C6FC6C63118}"/>
    <cellStyle name="Currency 2 4 3 2 5 3" xfId="12491" xr:uid="{FD4A4DC1-8013-46B8-BB61-BF148F2EBDA5}"/>
    <cellStyle name="Currency 2 4 3 2 5 3 2" xfId="26542" xr:uid="{72C43C20-DE28-41D5-9D90-CD8992508DC5}"/>
    <cellStyle name="Currency 2 4 3 2 5 4" xfId="20466" xr:uid="{F7F2C613-E810-45F6-B841-C4ED4F8817C1}"/>
    <cellStyle name="Currency 2 4 3 2 6" xfId="8151" xr:uid="{5EC07D7B-9D18-4F6C-A85B-E343E77F4B6A}"/>
    <cellStyle name="Currency 2 4 3 2 6 2" xfId="13359" xr:uid="{F8F7F2DB-DFF5-428F-86D6-07592158B4F1}"/>
    <cellStyle name="Currency 2 4 3 2 6 2 2" xfId="27410" xr:uid="{06952ECD-FD29-41BF-A09A-4D277E4652F3}"/>
    <cellStyle name="Currency 2 4 3 2 6 3" xfId="22202" xr:uid="{D2380355-5DE3-48BE-BD69-614F0B4CAF6A}"/>
    <cellStyle name="Currency 2 4 3 2 7" xfId="7283" xr:uid="{DB57D5DA-6C1D-4036-8C71-DE66DD76B1FA}"/>
    <cellStyle name="Currency 2 4 3 2 7 2" xfId="21334" xr:uid="{7A2842FC-4734-4DA6-A139-494F454101FB}"/>
    <cellStyle name="Currency 2 4 3 2 8" xfId="10755" xr:uid="{D4B3D761-CD50-439F-A7E8-75ADBB658015}"/>
    <cellStyle name="Currency 2 4 3 2 8 2" xfId="24806" xr:uid="{16C323D5-32D9-448A-810D-8065DB97057C}"/>
    <cellStyle name="Currency 2 4 3 2 9" xfId="15478" xr:uid="{29D0767D-1F01-440A-9E0B-B28894BC3B43}"/>
    <cellStyle name="Currency 2 4 3 3" xfId="2695" xr:uid="{B66B727A-E3FD-4056-BDEF-BB377D468DDB}"/>
    <cellStyle name="Currency 2 4 3 3 2" xfId="5223" xr:uid="{63DFA304-A794-4015-9163-EFFE1C86F12C}"/>
    <cellStyle name="Currency 2 4 3 3 2 2" xfId="6091" xr:uid="{6C354C75-DF9F-49F5-A870-81CC770B81F2}"/>
    <cellStyle name="Currency 2 4 3 3 2 2 2" xfId="9563" xr:uid="{1A6C159F-873A-4EE1-BD45-B80F5F3B4A1F}"/>
    <cellStyle name="Currency 2 4 3 3 2 2 2 2" xfId="23614" xr:uid="{01C3A60F-4A47-44C1-B7B0-0D3419306E33}"/>
    <cellStyle name="Currency 2 4 3 3 2 2 3" xfId="12167" xr:uid="{CF15BF62-153A-4D70-B478-6A651FAB5C46}"/>
    <cellStyle name="Currency 2 4 3 3 2 2 3 2" xfId="26218" xr:uid="{0E6FC012-7102-418A-BD07-74C9D5F87308}"/>
    <cellStyle name="Currency 2 4 3 3 2 2 4" xfId="20142" xr:uid="{9C9EF0B8-34FC-4D4B-952E-4EA9B13E7AC5}"/>
    <cellStyle name="Currency 2 4 3 3 2 3" xfId="6959" xr:uid="{6AB2E184-CABE-4ED3-9F33-A5B1C692E156}"/>
    <cellStyle name="Currency 2 4 3 3 2 3 2" xfId="10431" xr:uid="{5DD9875F-A1AC-4B43-8E37-A7ECB0B97420}"/>
    <cellStyle name="Currency 2 4 3 3 2 3 2 2" xfId="24482" xr:uid="{1F1F9204-838F-41B3-A059-EA734C26E039}"/>
    <cellStyle name="Currency 2 4 3 3 2 3 3" xfId="13035" xr:uid="{F6DA3E91-9563-43BA-BF1E-E81268FD0047}"/>
    <cellStyle name="Currency 2 4 3 3 2 3 3 2" xfId="27086" xr:uid="{75959503-02F0-4FB4-83BC-695051C266BC}"/>
    <cellStyle name="Currency 2 4 3 3 2 3 4" xfId="21010" xr:uid="{5E4CEBF0-138A-47A6-9E40-879196D96FCD}"/>
    <cellStyle name="Currency 2 4 3 3 2 4" xfId="8695" xr:uid="{3F7A9EE8-0685-481B-A7F2-9CB23A8E471E}"/>
    <cellStyle name="Currency 2 4 3 3 2 4 2" xfId="13903" xr:uid="{D7D8E725-F2DD-4D43-8422-B1FEB9817ADE}"/>
    <cellStyle name="Currency 2 4 3 3 2 4 2 2" xfId="27954" xr:uid="{1516D8BA-CC72-4FBB-B0F2-0C495D5305AF}"/>
    <cellStyle name="Currency 2 4 3 3 2 4 3" xfId="22746" xr:uid="{6737DDF4-5A44-4952-A4B4-8B9B22F9CA05}"/>
    <cellStyle name="Currency 2 4 3 3 2 5" xfId="7827" xr:uid="{3A7978E8-2AEA-414E-B795-F6EFAA7D7303}"/>
    <cellStyle name="Currency 2 4 3 3 2 5 2" xfId="21878" xr:uid="{AD6696B0-839A-40ED-A829-F788E1769C70}"/>
    <cellStyle name="Currency 2 4 3 3 2 6" xfId="11299" xr:uid="{D464D7D5-CF05-4B1F-9BED-B3EDAF5EBC2F}"/>
    <cellStyle name="Currency 2 4 3 3 2 6 2" xfId="25350" xr:uid="{F48118AA-A5CE-43FD-8F44-E692EE17FACF}"/>
    <cellStyle name="Currency 2 4 3 3 2 7" xfId="19274" xr:uid="{33288459-9D87-48E9-AF7B-A60B123434AF}"/>
    <cellStyle name="Currency 2 4 3 3 3" xfId="5657" xr:uid="{02DE4AC4-F60C-46FF-915F-21DC4429F77F}"/>
    <cellStyle name="Currency 2 4 3 3 3 2" xfId="9129" xr:uid="{89315CDD-3A5C-42E3-B267-60BE05B9FFC3}"/>
    <cellStyle name="Currency 2 4 3 3 3 2 2" xfId="23180" xr:uid="{05062C0C-8F83-4636-91D6-8EBB36542772}"/>
    <cellStyle name="Currency 2 4 3 3 3 3" xfId="11733" xr:uid="{D864D3B0-2926-4FDA-951B-F6581E049128}"/>
    <cellStyle name="Currency 2 4 3 3 3 3 2" xfId="25784" xr:uid="{79854DD7-34BC-4F30-A2D9-BA713462BCA2}"/>
    <cellStyle name="Currency 2 4 3 3 3 4" xfId="19708" xr:uid="{1B3342F6-8A58-4C17-818B-0A28CF0BAD50}"/>
    <cellStyle name="Currency 2 4 3 3 4" xfId="6525" xr:uid="{EA2F0B44-6E1D-45E4-A992-C38524FB1A6F}"/>
    <cellStyle name="Currency 2 4 3 3 4 2" xfId="9997" xr:uid="{409BF0B8-9835-44FF-A94F-A8B46FFD06C9}"/>
    <cellStyle name="Currency 2 4 3 3 4 2 2" xfId="24048" xr:uid="{0D416EE0-B66D-430A-9B1C-E6977DA876EF}"/>
    <cellStyle name="Currency 2 4 3 3 4 3" xfId="12601" xr:uid="{538EB16A-7258-4754-82EC-353EA4B031F7}"/>
    <cellStyle name="Currency 2 4 3 3 4 3 2" xfId="26652" xr:uid="{4C02A3ED-D801-4845-AA0F-EC33D96FF5EF}"/>
    <cellStyle name="Currency 2 4 3 3 4 4" xfId="20576" xr:uid="{20F17C74-B848-496E-8C4E-3A5F6957DB6B}"/>
    <cellStyle name="Currency 2 4 3 3 5" xfId="8261" xr:uid="{CAC452B6-216F-4C8F-A62B-AB65A0CDB076}"/>
    <cellStyle name="Currency 2 4 3 3 5 2" xfId="13469" xr:uid="{757251B5-0916-4867-86A1-0D37FB7C08F0}"/>
    <cellStyle name="Currency 2 4 3 3 5 2 2" xfId="27520" xr:uid="{65CE9A98-823B-48AD-BA95-E5F724231B6C}"/>
    <cellStyle name="Currency 2 4 3 3 5 3" xfId="22312" xr:uid="{4C49B4DD-989C-4BAC-9A87-70F4C47D21DE}"/>
    <cellStyle name="Currency 2 4 3 3 6" xfId="7393" xr:uid="{B7CF6B49-F91F-4DB8-94F6-36166F9031C9}"/>
    <cellStyle name="Currency 2 4 3 3 6 2" xfId="21444" xr:uid="{73B5EA91-D2AC-4568-B70B-BD83447534DF}"/>
    <cellStyle name="Currency 2 4 3 3 7" xfId="10865" xr:uid="{D5EEFCAB-D58E-4D42-8DB2-FFCAE5C037CC}"/>
    <cellStyle name="Currency 2 4 3 3 7 2" xfId="24916" xr:uid="{866D3D80-4296-433E-9B87-53EA71C34FE7}"/>
    <cellStyle name="Currency 2 4 3 3 8" xfId="16746" xr:uid="{954BE4BB-227A-4098-8352-F6DD9D2B9FC9}"/>
    <cellStyle name="Currency 2 4 3 4" xfId="4714" xr:uid="{C9A68AA5-D7F3-4527-9C56-8BCC31E3B818}"/>
    <cellStyle name="Currency 2 4 3 4 2" xfId="5399" xr:uid="{347963A6-C3A4-4CD3-A9E4-AD27B8B0E32B}"/>
    <cellStyle name="Currency 2 4 3 4 2 2" xfId="6267" xr:uid="{6060BEF6-4E40-40A8-B298-1F512C6F9D2A}"/>
    <cellStyle name="Currency 2 4 3 4 2 2 2" xfId="9739" xr:uid="{E9DAA25D-7330-4804-A8CA-FE9E0EA465D7}"/>
    <cellStyle name="Currency 2 4 3 4 2 2 2 2" xfId="23790" xr:uid="{E3B532EE-B8A8-4637-914E-45FE4FEDB305}"/>
    <cellStyle name="Currency 2 4 3 4 2 2 3" xfId="12343" xr:uid="{065BFE07-FF80-4CBB-A520-BE49CDD4E5D8}"/>
    <cellStyle name="Currency 2 4 3 4 2 2 3 2" xfId="26394" xr:uid="{29B5E5F4-F5EF-413F-B55C-9974773D20C6}"/>
    <cellStyle name="Currency 2 4 3 4 2 2 4" xfId="20318" xr:uid="{C17E11E4-F8EE-4E57-BF73-027424203131}"/>
    <cellStyle name="Currency 2 4 3 4 2 3" xfId="7135" xr:uid="{61DB6F34-BC2F-48C9-B198-0716EE60BCE7}"/>
    <cellStyle name="Currency 2 4 3 4 2 3 2" xfId="10607" xr:uid="{4C6C4D11-6325-4A68-83CE-7F33A34467AF}"/>
    <cellStyle name="Currency 2 4 3 4 2 3 2 2" xfId="24658" xr:uid="{0FD74D86-B360-4723-A9B7-43FC83B0BBBC}"/>
    <cellStyle name="Currency 2 4 3 4 2 3 3" xfId="13211" xr:uid="{A23F10CA-F85D-448E-8C93-A5AD549DFCBC}"/>
    <cellStyle name="Currency 2 4 3 4 2 3 3 2" xfId="27262" xr:uid="{F1E9F66C-0BBC-42A7-BF9A-383DC469EA39}"/>
    <cellStyle name="Currency 2 4 3 4 2 3 4" xfId="21186" xr:uid="{9374A7B8-E011-4963-8E0D-68C595C0D602}"/>
    <cellStyle name="Currency 2 4 3 4 2 4" xfId="8871" xr:uid="{E99C5397-5D84-4667-B799-54B5B553ED91}"/>
    <cellStyle name="Currency 2 4 3 4 2 4 2" xfId="14079" xr:uid="{117E8569-EE6F-44BF-A5DA-AF4484AD9BC6}"/>
    <cellStyle name="Currency 2 4 3 4 2 4 2 2" xfId="28130" xr:uid="{5C1F0B25-BAA6-4980-89B7-15DE652B707D}"/>
    <cellStyle name="Currency 2 4 3 4 2 4 3" xfId="22922" xr:uid="{74E60E07-ED80-4936-B10A-542D4BBBBBB9}"/>
    <cellStyle name="Currency 2 4 3 4 2 5" xfId="8003" xr:uid="{901DB039-FF6A-4EF9-B25C-3FEB73EF90FA}"/>
    <cellStyle name="Currency 2 4 3 4 2 5 2" xfId="22054" xr:uid="{52F8AC62-FDB4-4A8C-A275-5E2B25928455}"/>
    <cellStyle name="Currency 2 4 3 4 2 6" xfId="11475" xr:uid="{9104136E-635D-4CA3-AC30-91335CD431AE}"/>
    <cellStyle name="Currency 2 4 3 4 2 6 2" xfId="25526" xr:uid="{F5B00724-BD6C-4FDF-981A-3CF1E98E7C42}"/>
    <cellStyle name="Currency 2 4 3 4 2 7" xfId="19450" xr:uid="{B9AA439D-5CDD-48CA-97D5-85416EE223C5}"/>
    <cellStyle name="Currency 2 4 3 4 3" xfId="5833" xr:uid="{7C5792DE-FBF3-4FF7-84B4-EF1D4521C208}"/>
    <cellStyle name="Currency 2 4 3 4 3 2" xfId="9305" xr:uid="{847535F9-41CA-4826-B539-E61DDB9AEDCA}"/>
    <cellStyle name="Currency 2 4 3 4 3 2 2" xfId="23356" xr:uid="{8EC8D0E1-4270-43D9-B251-AC000C0523CE}"/>
    <cellStyle name="Currency 2 4 3 4 3 3" xfId="11909" xr:uid="{CD29032F-5B64-4B71-8D54-78017F46E337}"/>
    <cellStyle name="Currency 2 4 3 4 3 3 2" xfId="25960" xr:uid="{FE9E9BF7-94BD-4650-989D-27D9D51B1D6E}"/>
    <cellStyle name="Currency 2 4 3 4 3 4" xfId="19884" xr:uid="{7AB25442-83D8-48B4-A1D7-695103A5D916}"/>
    <cellStyle name="Currency 2 4 3 4 4" xfId="6701" xr:uid="{A5E4CA53-FDE8-4C87-AD56-472B1E363698}"/>
    <cellStyle name="Currency 2 4 3 4 4 2" xfId="10173" xr:uid="{83EB058A-476E-4B3E-8E2A-9FD794398179}"/>
    <cellStyle name="Currency 2 4 3 4 4 2 2" xfId="24224" xr:uid="{1D387856-86B9-4F35-9FA3-94B6092CF32B}"/>
    <cellStyle name="Currency 2 4 3 4 4 3" xfId="12777" xr:uid="{FC81DF71-571D-4364-9F4A-00860DF55C79}"/>
    <cellStyle name="Currency 2 4 3 4 4 3 2" xfId="26828" xr:uid="{84836C83-F7FA-4F2A-8577-04179F14FB30}"/>
    <cellStyle name="Currency 2 4 3 4 4 4" xfId="20752" xr:uid="{4EFEEA8E-C920-4B6C-9DD9-4BE1C8ADA2FD}"/>
    <cellStyle name="Currency 2 4 3 4 5" xfId="8437" xr:uid="{0DB32BD8-31BC-4AC0-A1E9-04267C9E0BE7}"/>
    <cellStyle name="Currency 2 4 3 4 5 2" xfId="13645" xr:uid="{1001DC02-D487-44C8-A4AC-4AF6705FEA64}"/>
    <cellStyle name="Currency 2 4 3 4 5 2 2" xfId="27696" xr:uid="{7BBB0781-906C-4EFF-8A43-85A320F389CF}"/>
    <cellStyle name="Currency 2 4 3 4 5 3" xfId="22488" xr:uid="{9972EC59-2296-4D79-BE89-2756602B9BE9}"/>
    <cellStyle name="Currency 2 4 3 4 6" xfId="7569" xr:uid="{E959B026-BA2C-4DF1-8FBB-619D4741295B}"/>
    <cellStyle name="Currency 2 4 3 4 6 2" xfId="21620" xr:uid="{4D15008D-48B3-4B07-95DB-398770714939}"/>
    <cellStyle name="Currency 2 4 3 4 7" xfId="11041" xr:uid="{D862D398-C30C-4A9D-B114-7B63C0146403}"/>
    <cellStyle name="Currency 2 4 3 4 7 2" xfId="25092" xr:uid="{B393FB35-C2F5-4044-8EA4-C7E4D696D64A}"/>
    <cellStyle name="Currency 2 4 3 4 8" xfId="18766" xr:uid="{551161F3-DC06-4BBE-A34E-193F1FDA83A0}"/>
    <cellStyle name="Currency 2 4 3 5" xfId="5029" xr:uid="{D1801242-D15F-485E-BE44-441D90FEB60B}"/>
    <cellStyle name="Currency 2 4 3 5 2" xfId="5897" xr:uid="{68416FD0-F97E-4458-A5C7-A42E57035947}"/>
    <cellStyle name="Currency 2 4 3 5 2 2" xfId="9369" xr:uid="{963129E0-1724-49FE-ADA0-B3EDA2F35D69}"/>
    <cellStyle name="Currency 2 4 3 5 2 2 2" xfId="23420" xr:uid="{2D10C19F-AE35-4F0D-B114-A3313517C007}"/>
    <cellStyle name="Currency 2 4 3 5 2 3" xfId="11973" xr:uid="{2E108CE7-BFE6-43DD-8F5E-E69681294467}"/>
    <cellStyle name="Currency 2 4 3 5 2 3 2" xfId="26024" xr:uid="{84B2F763-C707-4465-AE23-B44D91AFB248}"/>
    <cellStyle name="Currency 2 4 3 5 2 4" xfId="19948" xr:uid="{85CDD79A-FB44-406A-8289-81C14CC17E02}"/>
    <cellStyle name="Currency 2 4 3 5 3" xfId="6765" xr:uid="{753704BF-C325-4030-A515-FC3F3247DF12}"/>
    <cellStyle name="Currency 2 4 3 5 3 2" xfId="10237" xr:uid="{F52D7B2A-7D5B-4183-B5C2-0C2EF52A37BA}"/>
    <cellStyle name="Currency 2 4 3 5 3 2 2" xfId="24288" xr:uid="{EE1C75E4-64F1-48E6-9FF3-6822F6084DD1}"/>
    <cellStyle name="Currency 2 4 3 5 3 3" xfId="12841" xr:uid="{DC79264B-5550-40DC-8159-8BB96C416016}"/>
    <cellStyle name="Currency 2 4 3 5 3 3 2" xfId="26892" xr:uid="{E9B8AE1E-86A3-46FD-A101-CF52B407D8A2}"/>
    <cellStyle name="Currency 2 4 3 5 3 4" xfId="20816" xr:uid="{8513B13F-3E3E-487D-8BD3-C15E1385E6BD}"/>
    <cellStyle name="Currency 2 4 3 5 4" xfId="8501" xr:uid="{EEA2960E-EEBF-4ADD-BFEC-658B0A8F4433}"/>
    <cellStyle name="Currency 2 4 3 5 4 2" xfId="13709" xr:uid="{20741391-4EE5-4CC9-A418-1BCED52B31FE}"/>
    <cellStyle name="Currency 2 4 3 5 4 2 2" xfId="27760" xr:uid="{D87B3520-51B6-4415-AACB-E65374589068}"/>
    <cellStyle name="Currency 2 4 3 5 4 3" xfId="22552" xr:uid="{76465A90-7894-4FB2-84BB-779DF4625166}"/>
    <cellStyle name="Currency 2 4 3 5 5" xfId="7633" xr:uid="{B787B1B7-6363-4055-A1CF-3B69113195EC}"/>
    <cellStyle name="Currency 2 4 3 5 5 2" xfId="21684" xr:uid="{0A50FA94-65C9-4B24-919E-56DE20DC3E85}"/>
    <cellStyle name="Currency 2 4 3 5 6" xfId="11105" xr:uid="{F353C178-D510-4CF4-A793-7FE805C582AB}"/>
    <cellStyle name="Currency 2 4 3 5 6 2" xfId="25156" xr:uid="{BF11A08F-B67C-4903-8424-501C90D53AEF}"/>
    <cellStyle name="Currency 2 4 3 5 7" xfId="19080" xr:uid="{021E15F4-E697-4757-B8B7-415AC18A8FB8}"/>
    <cellStyle name="Currency 2 4 3 6" xfId="5463" xr:uid="{E65AD069-FBEE-41E2-BFF9-1063913AC77E}"/>
    <cellStyle name="Currency 2 4 3 6 2" xfId="8935" xr:uid="{8E58EB9F-6070-4AA9-AA19-B5DCCC52188D}"/>
    <cellStyle name="Currency 2 4 3 6 2 2" xfId="22986" xr:uid="{3FA319A4-BA86-47C2-804B-179182940DB4}"/>
    <cellStyle name="Currency 2 4 3 6 3" xfId="11539" xr:uid="{574C77B3-AB58-4137-91C1-042E83AEEC93}"/>
    <cellStyle name="Currency 2 4 3 6 3 2" xfId="25590" xr:uid="{829552BB-235E-4FC7-8EEB-779781AFE671}"/>
    <cellStyle name="Currency 2 4 3 6 4" xfId="19514" xr:uid="{562156C7-9E02-4245-A7D8-0EEDE8B9F614}"/>
    <cellStyle name="Currency 2 4 3 7" xfId="6331" xr:uid="{DBCA174D-0BE1-4A59-83A9-5E0FE80612EC}"/>
    <cellStyle name="Currency 2 4 3 7 2" xfId="9803" xr:uid="{82798A7F-695F-4325-86B8-DC4F53A4AD04}"/>
    <cellStyle name="Currency 2 4 3 7 2 2" xfId="23854" xr:uid="{80470EE8-C294-405D-9524-018418204548}"/>
    <cellStyle name="Currency 2 4 3 7 3" xfId="12407" xr:uid="{2D1B4111-16E0-44C9-91B4-C516D7E98AAB}"/>
    <cellStyle name="Currency 2 4 3 7 3 2" xfId="26458" xr:uid="{A80F7E2F-3973-4CDA-A608-E1237507627B}"/>
    <cellStyle name="Currency 2 4 3 7 4" xfId="20382" xr:uid="{5D124911-ACAB-42AE-97BD-9146A94EE2CD}"/>
    <cellStyle name="Currency 2 4 3 8" xfId="8067" xr:uid="{6FDDDDA6-F0A7-40C7-A42B-18661BB38BCE}"/>
    <cellStyle name="Currency 2 4 3 8 2" xfId="13275" xr:uid="{D515F983-0370-44FC-A7AA-557DAC6AB1E9}"/>
    <cellStyle name="Currency 2 4 3 8 2 2" xfId="27326" xr:uid="{F4E90C40-A95C-4426-AEA0-F8BD9806E9A8}"/>
    <cellStyle name="Currency 2 4 3 8 3" xfId="22118" xr:uid="{13BF9A1B-9D70-4795-AD8A-9632D76A8902}"/>
    <cellStyle name="Currency 2 4 3 9" xfId="7199" xr:uid="{3278102E-8090-4B9E-B314-384775314ECF}"/>
    <cellStyle name="Currency 2 4 3 9 2" xfId="21250" xr:uid="{56AFBF2E-0D45-42DB-8B77-939982E39487}"/>
    <cellStyle name="Currency 2 4 4" xfId="849" xr:uid="{BC85F52E-D21F-4C19-BD18-23D3F35DB5F7}"/>
    <cellStyle name="Currency 2 4 4 10" xfId="14899" xr:uid="{67F96F7C-A68D-455A-9785-BF16F024FBEE}"/>
    <cellStyle name="Currency 2 4 4 2" xfId="1948" xr:uid="{612D9DD4-E767-49B2-B08E-58768711057F}"/>
    <cellStyle name="Currency 2 4 4 2 2" xfId="4137" xr:uid="{58E79CFD-9DB8-47E7-B1F3-4D2B995EA768}"/>
    <cellStyle name="Currency 2 4 4 2 2 2" xfId="5348" xr:uid="{CF5BD9FF-BBC6-417F-AFF9-EFF137B0C88E}"/>
    <cellStyle name="Currency 2 4 4 2 2 2 2" xfId="6216" xr:uid="{9128232C-195D-450A-BF5F-2131C5BB1B2A}"/>
    <cellStyle name="Currency 2 4 4 2 2 2 2 2" xfId="9688" xr:uid="{3D61B472-CAB6-4BD9-8080-71A3576D2D4E}"/>
    <cellStyle name="Currency 2 4 4 2 2 2 2 2 2" xfId="23739" xr:uid="{7267B9BA-3FEC-4221-A4F3-2B0D5F0FB959}"/>
    <cellStyle name="Currency 2 4 4 2 2 2 2 3" xfId="12292" xr:uid="{91ED915E-4DD6-45BA-95B4-6F8A82809129}"/>
    <cellStyle name="Currency 2 4 4 2 2 2 2 3 2" xfId="26343" xr:uid="{1FF2874E-AF08-4314-96A3-C1F61ED1EF41}"/>
    <cellStyle name="Currency 2 4 4 2 2 2 2 4" xfId="20267" xr:uid="{AFC58CC2-EC9E-4F70-8DDE-D1EA8B82FE94}"/>
    <cellStyle name="Currency 2 4 4 2 2 2 3" xfId="7084" xr:uid="{4699DA83-09D4-4018-86AA-CD5A2751A980}"/>
    <cellStyle name="Currency 2 4 4 2 2 2 3 2" xfId="10556" xr:uid="{82488406-1F75-4C14-AA52-589AF307FD40}"/>
    <cellStyle name="Currency 2 4 4 2 2 2 3 2 2" xfId="24607" xr:uid="{B6DCF9B7-17D7-41BA-B1BA-41F7956062D5}"/>
    <cellStyle name="Currency 2 4 4 2 2 2 3 3" xfId="13160" xr:uid="{986B4012-6BE2-4055-ABB2-E78EA56A80CC}"/>
    <cellStyle name="Currency 2 4 4 2 2 2 3 3 2" xfId="27211" xr:uid="{38D891EA-2BE2-4C1B-A228-9995EC4A5212}"/>
    <cellStyle name="Currency 2 4 4 2 2 2 3 4" xfId="21135" xr:uid="{C6677945-6062-49CB-BD40-9181D8FC49DA}"/>
    <cellStyle name="Currency 2 4 4 2 2 2 4" xfId="8820" xr:uid="{A5251AC2-196D-4B98-B966-B9145C8CF35E}"/>
    <cellStyle name="Currency 2 4 4 2 2 2 4 2" xfId="14028" xr:uid="{2D3A60AC-947A-4B58-B97F-36E3F1A4A089}"/>
    <cellStyle name="Currency 2 4 4 2 2 2 4 2 2" xfId="28079" xr:uid="{F9703068-5BDB-494A-9859-B80629A0C324}"/>
    <cellStyle name="Currency 2 4 4 2 2 2 4 3" xfId="22871" xr:uid="{5F2F85BA-C9B0-4B39-ABAB-F85FBAE928C6}"/>
    <cellStyle name="Currency 2 4 4 2 2 2 5" xfId="7952" xr:uid="{4D8F4361-CCE4-4863-985D-B453842CA1C5}"/>
    <cellStyle name="Currency 2 4 4 2 2 2 5 2" xfId="22003" xr:uid="{FB84C8D6-54AC-4484-B3FB-7A950157D4B4}"/>
    <cellStyle name="Currency 2 4 4 2 2 2 6" xfId="11424" xr:uid="{6A465C3C-C6EE-4B06-B950-2A508B4FCAC2}"/>
    <cellStyle name="Currency 2 4 4 2 2 2 6 2" xfId="25475" xr:uid="{E39C5B1B-224D-41F1-A898-6D089D37B125}"/>
    <cellStyle name="Currency 2 4 4 2 2 2 7" xfId="19399" xr:uid="{1717A224-EBAA-4ADD-90CC-F2EA1986A120}"/>
    <cellStyle name="Currency 2 4 4 2 2 3" xfId="5782" xr:uid="{953EB69D-B8BE-4D69-B66E-99B7F806AC60}"/>
    <cellStyle name="Currency 2 4 4 2 2 3 2" xfId="9254" xr:uid="{3E5A403C-0CAA-4A27-9F7C-8A203BB71800}"/>
    <cellStyle name="Currency 2 4 4 2 2 3 2 2" xfId="23305" xr:uid="{4C86C100-EB0A-4C93-BFF9-7C690BCC82D3}"/>
    <cellStyle name="Currency 2 4 4 2 2 3 3" xfId="11858" xr:uid="{9BAE3424-5CCC-4343-A603-594B55C19894}"/>
    <cellStyle name="Currency 2 4 4 2 2 3 3 2" xfId="25909" xr:uid="{E521D8C7-DB29-4E11-992D-97A4ED794ED8}"/>
    <cellStyle name="Currency 2 4 4 2 2 3 4" xfId="19833" xr:uid="{0A9638A5-339A-49CE-B8E5-08C6CF490204}"/>
    <cellStyle name="Currency 2 4 4 2 2 4" xfId="6650" xr:uid="{E49F5CE8-FFD1-4C9C-9D70-E85B4713885C}"/>
    <cellStyle name="Currency 2 4 4 2 2 4 2" xfId="10122" xr:uid="{8A394B87-A118-46C5-8AD1-47157FC7D6CD}"/>
    <cellStyle name="Currency 2 4 4 2 2 4 2 2" xfId="24173" xr:uid="{16D7B448-8E15-46F0-87F8-3422DA5D2BC0}"/>
    <cellStyle name="Currency 2 4 4 2 2 4 3" xfId="12726" xr:uid="{6DD3597E-BF4A-4BA1-8EE8-4432EBEB43FC}"/>
    <cellStyle name="Currency 2 4 4 2 2 4 3 2" xfId="26777" xr:uid="{CF2A07D3-D25C-4B7D-B74D-A1DFF661DB7E}"/>
    <cellStyle name="Currency 2 4 4 2 2 4 4" xfId="20701" xr:uid="{09E94505-CD0F-4C74-B53A-98A31E0DA456}"/>
    <cellStyle name="Currency 2 4 4 2 2 5" xfId="8386" xr:uid="{E6A3FA33-7299-4A3E-94AB-BAE9E74911D5}"/>
    <cellStyle name="Currency 2 4 4 2 2 5 2" xfId="13594" xr:uid="{65DB8A7F-5806-4F20-A71B-A939F8414BE6}"/>
    <cellStyle name="Currency 2 4 4 2 2 5 2 2" xfId="27645" xr:uid="{E094EDA7-D67F-42ED-B0FF-848000A2F450}"/>
    <cellStyle name="Currency 2 4 4 2 2 5 3" xfId="22437" xr:uid="{D0E90175-1847-4ED5-8DED-31C3CAB71883}"/>
    <cellStyle name="Currency 2 4 4 2 2 6" xfId="7518" xr:uid="{11D3F553-0736-4237-8237-843A40DE2273}"/>
    <cellStyle name="Currency 2 4 4 2 2 6 2" xfId="21569" xr:uid="{4B89A29F-09EB-4174-AD97-39E343534B90}"/>
    <cellStyle name="Currency 2 4 4 2 2 7" xfId="10990" xr:uid="{4ABD49B5-5896-4DDC-A013-EA8FED29F340}"/>
    <cellStyle name="Currency 2 4 4 2 2 7 2" xfId="25041" xr:uid="{8D7CA0FE-80E6-49C6-BAC2-25D4C611EC8D}"/>
    <cellStyle name="Currency 2 4 4 2 2 8" xfId="18189" xr:uid="{280BC9A6-E497-4E46-A2AD-F0EF66F406F0}"/>
    <cellStyle name="Currency 2 4 4 2 3" xfId="5158" xr:uid="{6AE6FEAF-A3D6-47AB-81D6-009EE1E982B7}"/>
    <cellStyle name="Currency 2 4 4 2 3 2" xfId="6026" xr:uid="{A1688420-009D-40B7-92B1-2B5D015E690D}"/>
    <cellStyle name="Currency 2 4 4 2 3 2 2" xfId="9498" xr:uid="{BFB3478E-BDC8-4666-B783-C6875630A42E}"/>
    <cellStyle name="Currency 2 4 4 2 3 2 2 2" xfId="23549" xr:uid="{0E7527E1-63DB-4BE7-9320-D84F5D02039A}"/>
    <cellStyle name="Currency 2 4 4 2 3 2 3" xfId="12102" xr:uid="{6330CCBC-4F8A-46C9-A414-6A55DBE2B27C}"/>
    <cellStyle name="Currency 2 4 4 2 3 2 3 2" xfId="26153" xr:uid="{6BEC92A4-2573-4F46-8967-C0B291877E2A}"/>
    <cellStyle name="Currency 2 4 4 2 3 2 4" xfId="20077" xr:uid="{EC48BDE9-6D44-462F-94D8-7CA367C3EA23}"/>
    <cellStyle name="Currency 2 4 4 2 3 3" xfId="6894" xr:uid="{E534A3E6-DF9D-4B1E-9756-03553EDD585C}"/>
    <cellStyle name="Currency 2 4 4 2 3 3 2" xfId="10366" xr:uid="{8EB8DE56-19B7-449D-A2FF-37D88F9859E3}"/>
    <cellStyle name="Currency 2 4 4 2 3 3 2 2" xfId="24417" xr:uid="{0E890D87-4B76-4E23-B18E-A97B1C5F397B}"/>
    <cellStyle name="Currency 2 4 4 2 3 3 3" xfId="12970" xr:uid="{5486D140-67A0-4E64-9484-B73130238457}"/>
    <cellStyle name="Currency 2 4 4 2 3 3 3 2" xfId="27021" xr:uid="{470AE982-A1AB-4BEB-9B8F-71072B86E9EE}"/>
    <cellStyle name="Currency 2 4 4 2 3 3 4" xfId="20945" xr:uid="{2954CDA7-20ED-45D5-95E1-9481CD18441E}"/>
    <cellStyle name="Currency 2 4 4 2 3 4" xfId="8630" xr:uid="{24BB3081-20A5-4DEE-A957-FA8838D74234}"/>
    <cellStyle name="Currency 2 4 4 2 3 4 2" xfId="13838" xr:uid="{46D3CCB9-DBC4-411F-8CEE-492C76AE6374}"/>
    <cellStyle name="Currency 2 4 4 2 3 4 2 2" xfId="27889" xr:uid="{D5B58C63-288D-4FDA-87BE-393B7E5949A7}"/>
    <cellStyle name="Currency 2 4 4 2 3 4 3" xfId="22681" xr:uid="{008B6DB5-74FE-4418-9C7F-A96DF8A1BE30}"/>
    <cellStyle name="Currency 2 4 4 2 3 5" xfId="7762" xr:uid="{209DEA94-E175-430F-B895-F55A00823514}"/>
    <cellStyle name="Currency 2 4 4 2 3 5 2" xfId="21813" xr:uid="{26B6211A-033F-49A5-AC2B-38B8EE2C3F69}"/>
    <cellStyle name="Currency 2 4 4 2 3 6" xfId="11234" xr:uid="{5522DC98-672D-448A-A749-6FAF9BDD31F2}"/>
    <cellStyle name="Currency 2 4 4 2 3 6 2" xfId="25285" xr:uid="{3C80D6E4-46F4-4123-BAF2-5DB4B64D5885}"/>
    <cellStyle name="Currency 2 4 4 2 3 7" xfId="19209" xr:uid="{F2086600-C958-4E33-8069-BB74F4F26905}"/>
    <cellStyle name="Currency 2 4 4 2 4" xfId="5592" xr:uid="{02C1BE9D-6A8A-4667-A8CA-594DC6DB8AEC}"/>
    <cellStyle name="Currency 2 4 4 2 4 2" xfId="9064" xr:uid="{429673BE-DCDF-45EA-944E-92A7C9F7FD3D}"/>
    <cellStyle name="Currency 2 4 4 2 4 2 2" xfId="23115" xr:uid="{781CF982-F05A-4ADD-8BB6-42F1E27B1A2B}"/>
    <cellStyle name="Currency 2 4 4 2 4 3" xfId="11668" xr:uid="{C515012C-1DDF-49DB-BC77-E7690BC7F00E}"/>
    <cellStyle name="Currency 2 4 4 2 4 3 2" xfId="25719" xr:uid="{A09A5422-D3E7-4E7C-89CB-9C690A0C5152}"/>
    <cellStyle name="Currency 2 4 4 2 4 4" xfId="19643" xr:uid="{2204C5F0-FAAD-41AC-A3E3-81410C11ED39}"/>
    <cellStyle name="Currency 2 4 4 2 5" xfId="6460" xr:uid="{CB8D7ACD-B32D-408B-8F44-3D97497EDAF0}"/>
    <cellStyle name="Currency 2 4 4 2 5 2" xfId="9932" xr:uid="{042F4FB0-460E-4FCC-821F-B96A4B7BEAFD}"/>
    <cellStyle name="Currency 2 4 4 2 5 2 2" xfId="23983" xr:uid="{C9E098F7-5094-4456-8651-060113C4F7AC}"/>
    <cellStyle name="Currency 2 4 4 2 5 3" xfId="12536" xr:uid="{17A22757-6FFC-4215-A165-6445CBC4DDA1}"/>
    <cellStyle name="Currency 2 4 4 2 5 3 2" xfId="26587" xr:uid="{ABD99235-C45B-4241-A08C-EF3EFD7A1F3A}"/>
    <cellStyle name="Currency 2 4 4 2 5 4" xfId="20511" xr:uid="{DBD3D0C0-5680-4299-B38B-CC5BED374713}"/>
    <cellStyle name="Currency 2 4 4 2 6" xfId="8196" xr:uid="{BFBBE483-9F2E-4263-90C7-277D00DEA166}"/>
    <cellStyle name="Currency 2 4 4 2 6 2" xfId="13404" xr:uid="{F952D197-559B-4734-9AFC-EFC92C77E789}"/>
    <cellStyle name="Currency 2 4 4 2 6 2 2" xfId="27455" xr:uid="{61F3528D-C11B-4345-B384-1749639D9CD9}"/>
    <cellStyle name="Currency 2 4 4 2 6 3" xfId="22247" xr:uid="{7C64FD06-A6DF-4A6A-8C76-A45C11610E0E}"/>
    <cellStyle name="Currency 2 4 4 2 7" xfId="7328" xr:uid="{6BDF617E-2925-4407-B4CF-CE011CC5E88D}"/>
    <cellStyle name="Currency 2 4 4 2 7 2" xfId="21379" xr:uid="{CFA4C12B-3658-49B7-82DD-526759CCFD77}"/>
    <cellStyle name="Currency 2 4 4 2 8" xfId="10800" xr:uid="{81D2F6A2-0183-48AF-B62B-F344AB876A0D}"/>
    <cellStyle name="Currency 2 4 4 2 8 2" xfId="24851" xr:uid="{5D0D8514-6B73-4926-A7C2-4571119BCD6D}"/>
    <cellStyle name="Currency 2 4 4 2 9" xfId="15997" xr:uid="{BA0AC16A-B743-4500-84E0-5A3A82373BD5}"/>
    <cellStyle name="Currency 2 4 4 3" xfId="3041" xr:uid="{BC9DC009-22B8-46EF-807F-C2F7A7E55893}"/>
    <cellStyle name="Currency 2 4 4 3 2" xfId="5253" xr:uid="{601F3AE6-3082-4276-92E8-69A0A7FC6E56}"/>
    <cellStyle name="Currency 2 4 4 3 2 2" xfId="6121" xr:uid="{FE4BDC6D-DFBB-4993-A937-07ACDDC86F7F}"/>
    <cellStyle name="Currency 2 4 4 3 2 2 2" xfId="9593" xr:uid="{CB0460A0-9270-43C0-BAA4-D5AF7ECC8D76}"/>
    <cellStyle name="Currency 2 4 4 3 2 2 2 2" xfId="23644" xr:uid="{883FA003-A3DC-4F34-9517-034FA04428BD}"/>
    <cellStyle name="Currency 2 4 4 3 2 2 3" xfId="12197" xr:uid="{35B3139A-2D65-4E5B-93A8-9C255DCC2E94}"/>
    <cellStyle name="Currency 2 4 4 3 2 2 3 2" xfId="26248" xr:uid="{59B25CC1-9FFD-4345-B4F4-D50A9CC9981B}"/>
    <cellStyle name="Currency 2 4 4 3 2 2 4" xfId="20172" xr:uid="{B2FB7759-2AFB-45F7-BFDE-B559E164D2AB}"/>
    <cellStyle name="Currency 2 4 4 3 2 3" xfId="6989" xr:uid="{5CD12116-B9BA-4E42-BEBD-4DEA14EB7011}"/>
    <cellStyle name="Currency 2 4 4 3 2 3 2" xfId="10461" xr:uid="{91AACC0F-9EED-4153-B881-F55E41DEC2E7}"/>
    <cellStyle name="Currency 2 4 4 3 2 3 2 2" xfId="24512" xr:uid="{1996C822-5705-43BB-AC06-F34571BD7416}"/>
    <cellStyle name="Currency 2 4 4 3 2 3 3" xfId="13065" xr:uid="{27A39C05-9EBE-4C20-9FC9-C7E4D02FD615}"/>
    <cellStyle name="Currency 2 4 4 3 2 3 3 2" xfId="27116" xr:uid="{1DFCE1E9-F3F4-419E-9381-6C9944579830}"/>
    <cellStyle name="Currency 2 4 4 3 2 3 4" xfId="21040" xr:uid="{E92EA6E4-2FD3-4ED5-89A9-5B021D59BF96}"/>
    <cellStyle name="Currency 2 4 4 3 2 4" xfId="8725" xr:uid="{9D3DCCA0-5120-460A-B6EB-1124D28B5330}"/>
    <cellStyle name="Currency 2 4 4 3 2 4 2" xfId="13933" xr:uid="{0171FB05-7A5D-4327-8E7B-50CF4E642EBE}"/>
    <cellStyle name="Currency 2 4 4 3 2 4 2 2" xfId="27984" xr:uid="{3123F39B-F8FF-40E5-8FBA-50B4410EC1D2}"/>
    <cellStyle name="Currency 2 4 4 3 2 4 3" xfId="22776" xr:uid="{B3B03C8B-9394-458F-B83F-074E1F690ABD}"/>
    <cellStyle name="Currency 2 4 4 3 2 5" xfId="7857" xr:uid="{15B666BE-0670-40E5-862B-82970BD7025B}"/>
    <cellStyle name="Currency 2 4 4 3 2 5 2" xfId="21908" xr:uid="{56C0A1B3-E302-46B9-B581-BCABBD5111D5}"/>
    <cellStyle name="Currency 2 4 4 3 2 6" xfId="11329" xr:uid="{9255D23D-4011-4040-A523-44DC2A02E7F3}"/>
    <cellStyle name="Currency 2 4 4 3 2 6 2" xfId="25380" xr:uid="{A258DAF5-66A2-4B05-9E04-FCBC1039A588}"/>
    <cellStyle name="Currency 2 4 4 3 2 7" xfId="19304" xr:uid="{FF20AAF8-EDCD-45EA-AB52-9A5429D79043}"/>
    <cellStyle name="Currency 2 4 4 3 3" xfId="5687" xr:uid="{83EEFF08-F62F-4E4F-810B-D13813FD1A11}"/>
    <cellStyle name="Currency 2 4 4 3 3 2" xfId="9159" xr:uid="{8A6AC997-C674-44D2-B120-7AE1E30B6DD0}"/>
    <cellStyle name="Currency 2 4 4 3 3 2 2" xfId="23210" xr:uid="{4411DF41-1782-4A3D-8A1B-7E023F220E31}"/>
    <cellStyle name="Currency 2 4 4 3 3 3" xfId="11763" xr:uid="{A41B5F2C-E532-43C9-86D5-CB4B82474431}"/>
    <cellStyle name="Currency 2 4 4 3 3 3 2" xfId="25814" xr:uid="{16638C6E-DCC7-45AE-B9D3-A97EE4CE7EC1}"/>
    <cellStyle name="Currency 2 4 4 3 3 4" xfId="19738" xr:uid="{313DB6C0-3A3B-405E-9EB4-2EFE576B1B98}"/>
    <cellStyle name="Currency 2 4 4 3 4" xfId="6555" xr:uid="{AA630A39-F905-423B-BBB8-9318E5B80897}"/>
    <cellStyle name="Currency 2 4 4 3 4 2" xfId="10027" xr:uid="{2AE00CEC-B51C-4468-8FDA-F3D37335A24A}"/>
    <cellStyle name="Currency 2 4 4 3 4 2 2" xfId="24078" xr:uid="{3924767B-92F1-4225-8380-4997609CE0EB}"/>
    <cellStyle name="Currency 2 4 4 3 4 3" xfId="12631" xr:uid="{3562FA08-490E-4323-8D68-0CE8112A2D2F}"/>
    <cellStyle name="Currency 2 4 4 3 4 3 2" xfId="26682" xr:uid="{D7BB8E36-7377-4337-9C53-EE9C079EF828}"/>
    <cellStyle name="Currency 2 4 4 3 4 4" xfId="20606" xr:uid="{31BE78CD-D40C-4433-AF65-8A5B743C36F1}"/>
    <cellStyle name="Currency 2 4 4 3 5" xfId="8291" xr:uid="{9BA41EA6-4B12-445F-89E8-80E74840640B}"/>
    <cellStyle name="Currency 2 4 4 3 5 2" xfId="13499" xr:uid="{59F59148-F0A0-4CD8-8E68-F8E5AB7DC60C}"/>
    <cellStyle name="Currency 2 4 4 3 5 2 2" xfId="27550" xr:uid="{41A2E9BE-509A-4E83-9DB8-E71FB57962A5}"/>
    <cellStyle name="Currency 2 4 4 3 5 3" xfId="22342" xr:uid="{015D700F-2682-4087-A8A4-ABE625CF2880}"/>
    <cellStyle name="Currency 2 4 4 3 6" xfId="7423" xr:uid="{2157DF65-69C7-4FAC-8FCD-E37C1862F36F}"/>
    <cellStyle name="Currency 2 4 4 3 6 2" xfId="21474" xr:uid="{FCCA7428-71BD-4AE2-8F71-AFE18E1915C4}"/>
    <cellStyle name="Currency 2 4 4 3 7" xfId="10895" xr:uid="{9FD12CB4-8FE1-4F00-8ADC-506C53533F33}"/>
    <cellStyle name="Currency 2 4 4 3 7 2" xfId="24946" xr:uid="{04936163-B286-463B-97CB-BA0C38110D88}"/>
    <cellStyle name="Currency 2 4 4 3 8" xfId="17093" xr:uid="{41C5ECA6-B7B7-4BDF-A838-15414A4EFB6D}"/>
    <cellStyle name="Currency 2 4 4 4" xfId="5061" xr:uid="{89BCBD95-5D4E-4812-B745-D79EB7A908B8}"/>
    <cellStyle name="Currency 2 4 4 4 2" xfId="5929" xr:uid="{060ECB48-B76D-496C-9836-D9460C189587}"/>
    <cellStyle name="Currency 2 4 4 4 2 2" xfId="9401" xr:uid="{27A0A7F7-59C3-4029-A4D0-66695237ADB3}"/>
    <cellStyle name="Currency 2 4 4 4 2 2 2" xfId="23452" xr:uid="{3CE35A3A-CFEB-4D80-B73B-F8BEB71A3F70}"/>
    <cellStyle name="Currency 2 4 4 4 2 3" xfId="12005" xr:uid="{B81C42D6-0CFA-4E88-9C31-6F0B26FF1869}"/>
    <cellStyle name="Currency 2 4 4 4 2 3 2" xfId="26056" xr:uid="{BB722661-4FD8-4634-944D-5D950893122F}"/>
    <cellStyle name="Currency 2 4 4 4 2 4" xfId="19980" xr:uid="{74689FAB-2CE9-4145-B988-9D35C87284C1}"/>
    <cellStyle name="Currency 2 4 4 4 3" xfId="6797" xr:uid="{5DAE8D76-1B1F-41DF-8D56-410E2BEF8200}"/>
    <cellStyle name="Currency 2 4 4 4 3 2" xfId="10269" xr:uid="{F749D674-697E-4BA4-B53E-961BAAB357EE}"/>
    <cellStyle name="Currency 2 4 4 4 3 2 2" xfId="24320" xr:uid="{969BC5EE-64BE-46D9-8603-6A3066CA6EEC}"/>
    <cellStyle name="Currency 2 4 4 4 3 3" xfId="12873" xr:uid="{413932EF-FF9A-45D2-83B2-8A5D93EFB2EA}"/>
    <cellStyle name="Currency 2 4 4 4 3 3 2" xfId="26924" xr:uid="{6B257045-FEE0-4AA8-8FE9-C8A5728AC6DC}"/>
    <cellStyle name="Currency 2 4 4 4 3 4" xfId="20848" xr:uid="{BC218DCA-CEE9-419A-92E0-1A5D132981F2}"/>
    <cellStyle name="Currency 2 4 4 4 4" xfId="8533" xr:uid="{86ACC4CD-9DAA-403E-8DBB-25DC70F6E395}"/>
    <cellStyle name="Currency 2 4 4 4 4 2" xfId="13741" xr:uid="{F51302CB-2D00-4D99-AC86-E34B487EA140}"/>
    <cellStyle name="Currency 2 4 4 4 4 2 2" xfId="27792" xr:uid="{C0EE4FD5-DFC8-4870-890A-1BBC8B8260A5}"/>
    <cellStyle name="Currency 2 4 4 4 4 3" xfId="22584" xr:uid="{34B369E1-DA4C-4026-B5E6-EE06FD382FA2}"/>
    <cellStyle name="Currency 2 4 4 4 5" xfId="7665" xr:uid="{FE20839B-2596-4908-842A-7AC85B0D8B5A}"/>
    <cellStyle name="Currency 2 4 4 4 5 2" xfId="21716" xr:uid="{90FBEF2E-662F-4B14-A18B-4CE1D6C8D714}"/>
    <cellStyle name="Currency 2 4 4 4 6" xfId="11137" xr:uid="{1CCC2C41-D069-4338-8EC4-1BDAD15A5CD3}"/>
    <cellStyle name="Currency 2 4 4 4 6 2" xfId="25188" xr:uid="{8E6AF74D-1ABE-4F51-BE5D-DDAE5BAAFB0D}"/>
    <cellStyle name="Currency 2 4 4 4 7" xfId="19112" xr:uid="{AB0AA45E-0BE5-47C4-9471-F3330F8962C4}"/>
    <cellStyle name="Currency 2 4 4 5" xfId="5495" xr:uid="{8E94D1A9-A4BE-412F-873D-1422933A735B}"/>
    <cellStyle name="Currency 2 4 4 5 2" xfId="8967" xr:uid="{A4E7D9B2-FDB8-4284-BFCE-2471646C15E6}"/>
    <cellStyle name="Currency 2 4 4 5 2 2" xfId="23018" xr:uid="{26453958-8EF2-4EB3-ABC8-DAD76FF2A9CE}"/>
    <cellStyle name="Currency 2 4 4 5 3" xfId="11571" xr:uid="{1AE27C5D-5451-4E00-94F9-F3D3771851E7}"/>
    <cellStyle name="Currency 2 4 4 5 3 2" xfId="25622" xr:uid="{D6F94450-7450-4BAA-BB4D-872ADD98DBF4}"/>
    <cellStyle name="Currency 2 4 4 5 4" xfId="19546" xr:uid="{9987D3DE-1EEB-481A-8067-ADC90BA676EA}"/>
    <cellStyle name="Currency 2 4 4 6" xfId="6363" xr:uid="{A92F4B74-A2AF-4318-9383-7A973E7BAE96}"/>
    <cellStyle name="Currency 2 4 4 6 2" xfId="9835" xr:uid="{3300A25B-1EA0-447C-888C-B2A31FA38539}"/>
    <cellStyle name="Currency 2 4 4 6 2 2" xfId="23886" xr:uid="{496477E9-EDDF-4EA0-8CA8-B113DC0E5107}"/>
    <cellStyle name="Currency 2 4 4 6 3" xfId="12439" xr:uid="{7297EAB3-0A46-40BC-96F1-ABF9A0280953}"/>
    <cellStyle name="Currency 2 4 4 6 3 2" xfId="26490" xr:uid="{904720CD-8C35-470B-AC9F-980DF15AAE37}"/>
    <cellStyle name="Currency 2 4 4 6 4" xfId="20414" xr:uid="{0CE3F630-D558-4783-B2CE-AB366683C5AC}"/>
    <cellStyle name="Currency 2 4 4 7" xfId="8099" xr:uid="{61AE9173-4089-489F-B567-4C4995FA7351}"/>
    <cellStyle name="Currency 2 4 4 7 2" xfId="13307" xr:uid="{82BF19F9-CD05-45BE-9DEA-597AD173490A}"/>
    <cellStyle name="Currency 2 4 4 7 2 2" xfId="27358" xr:uid="{7129AC1D-CAEC-4493-8A6E-9BC6155374F8}"/>
    <cellStyle name="Currency 2 4 4 7 3" xfId="22150" xr:uid="{1AA6E02C-22CC-472F-AEEB-A803EB3F0FE8}"/>
    <cellStyle name="Currency 2 4 4 8" xfId="7231" xr:uid="{E5FF9DFD-4542-424D-93BF-62D3C100237C}"/>
    <cellStyle name="Currency 2 4 4 8 2" xfId="21282" xr:uid="{EEFD5B60-E958-4115-9EF4-2D6F7DD5400E}"/>
    <cellStyle name="Currency 2 4 4 9" xfId="10703" xr:uid="{D8268ABC-DA68-4425-8F2C-C2F832378DC4}"/>
    <cellStyle name="Currency 2 4 4 9 2" xfId="24754" xr:uid="{DF3C0804-132F-4277-A818-FA57DF906E61}"/>
    <cellStyle name="Currency 2 4 5" xfId="1257" xr:uid="{F16FC8F4-87D9-4570-BA79-8D75B310CAC1}"/>
    <cellStyle name="Currency 2 4 5 2" xfId="3447" xr:uid="{F62999EE-7E3A-451A-981A-FD8CEF3DBF03}"/>
    <cellStyle name="Currency 2 4 5 2 2" xfId="5289" xr:uid="{7A56BA2F-1256-4908-85B1-6B19837C0C6D}"/>
    <cellStyle name="Currency 2 4 5 2 2 2" xfId="6157" xr:uid="{513E5E90-FC25-4B66-8C48-D1B51F04F6AF}"/>
    <cellStyle name="Currency 2 4 5 2 2 2 2" xfId="9629" xr:uid="{DFBA9A21-5DF9-4CBF-BFBB-831305C9A14C}"/>
    <cellStyle name="Currency 2 4 5 2 2 2 2 2" xfId="23680" xr:uid="{E24B2FCB-440B-4DDD-8806-EAC69A71CC72}"/>
    <cellStyle name="Currency 2 4 5 2 2 2 3" xfId="12233" xr:uid="{4EB491DC-7A9F-4774-A44E-2F341B891320}"/>
    <cellStyle name="Currency 2 4 5 2 2 2 3 2" xfId="26284" xr:uid="{A177F603-4DB6-41CB-A2BD-E8782BF5E74C}"/>
    <cellStyle name="Currency 2 4 5 2 2 2 4" xfId="20208" xr:uid="{60502FD9-D3CD-4A47-8240-CC35FFE8B54C}"/>
    <cellStyle name="Currency 2 4 5 2 2 3" xfId="7025" xr:uid="{EF390089-8817-47E8-9C2C-EB327BC5BFFE}"/>
    <cellStyle name="Currency 2 4 5 2 2 3 2" xfId="10497" xr:uid="{709A16D7-B18E-4A2C-A131-5896EF7C8906}"/>
    <cellStyle name="Currency 2 4 5 2 2 3 2 2" xfId="24548" xr:uid="{8EAFA283-5057-4CD5-A09F-522363E7A828}"/>
    <cellStyle name="Currency 2 4 5 2 2 3 3" xfId="13101" xr:uid="{48D49F92-37D6-42A2-8C47-5AB608C53703}"/>
    <cellStyle name="Currency 2 4 5 2 2 3 3 2" xfId="27152" xr:uid="{F578AE62-BB2C-4629-980D-AAF95565BC86}"/>
    <cellStyle name="Currency 2 4 5 2 2 3 4" xfId="21076" xr:uid="{4FFE3992-6770-4C84-A9F0-43982C029243}"/>
    <cellStyle name="Currency 2 4 5 2 2 4" xfId="8761" xr:uid="{CC1DBA20-1AEF-4AC3-9368-569F8202C1C0}"/>
    <cellStyle name="Currency 2 4 5 2 2 4 2" xfId="13969" xr:uid="{078EAC38-50B1-45BD-9C9A-63C9809DBDC4}"/>
    <cellStyle name="Currency 2 4 5 2 2 4 2 2" xfId="28020" xr:uid="{4AA57701-564A-4BA5-9A0B-09611BCA2D8B}"/>
    <cellStyle name="Currency 2 4 5 2 2 4 3" xfId="22812" xr:uid="{C0D2B194-701E-415A-8AE1-A4DAE3311F7C}"/>
    <cellStyle name="Currency 2 4 5 2 2 5" xfId="7893" xr:uid="{9A099D9D-A428-4486-84B2-F86DA755106E}"/>
    <cellStyle name="Currency 2 4 5 2 2 5 2" xfId="21944" xr:uid="{1B9D6D89-46B4-4992-BAFB-8C2DED4138BD}"/>
    <cellStyle name="Currency 2 4 5 2 2 6" xfId="11365" xr:uid="{15E8A6A3-5FA1-4B1B-9B8F-C050B744912A}"/>
    <cellStyle name="Currency 2 4 5 2 2 6 2" xfId="25416" xr:uid="{2F996EE4-CC60-42E0-8172-A60D72810558}"/>
    <cellStyle name="Currency 2 4 5 2 2 7" xfId="19340" xr:uid="{C39B9ED1-B251-4482-9151-8C965160A062}"/>
    <cellStyle name="Currency 2 4 5 2 3" xfId="5723" xr:uid="{3F6F9CDF-9167-4462-8531-03CA84C98AD9}"/>
    <cellStyle name="Currency 2 4 5 2 3 2" xfId="9195" xr:uid="{D00E8878-451B-468B-824A-986EDE44ABDC}"/>
    <cellStyle name="Currency 2 4 5 2 3 2 2" xfId="23246" xr:uid="{8E29F50E-5226-42E6-908E-EEF299AE3A6A}"/>
    <cellStyle name="Currency 2 4 5 2 3 3" xfId="11799" xr:uid="{1012BCD8-BFA1-4531-93CF-5C58EE281F3F}"/>
    <cellStyle name="Currency 2 4 5 2 3 3 2" xfId="25850" xr:uid="{B2CB7684-2718-4E5E-8926-383D3E220F18}"/>
    <cellStyle name="Currency 2 4 5 2 3 4" xfId="19774" xr:uid="{B43CAFCF-C7BE-4269-B802-1E08BDEF0A7C}"/>
    <cellStyle name="Currency 2 4 5 2 4" xfId="6591" xr:uid="{4B632092-2F37-4198-8537-D2454C528B4E}"/>
    <cellStyle name="Currency 2 4 5 2 4 2" xfId="10063" xr:uid="{5C3F7CC5-94DA-47AC-B520-16B2DB2DD56E}"/>
    <cellStyle name="Currency 2 4 5 2 4 2 2" xfId="24114" xr:uid="{0A9483B1-3AE7-4F66-8C16-5BB4EC73702F}"/>
    <cellStyle name="Currency 2 4 5 2 4 3" xfId="12667" xr:uid="{4423CF92-E978-4C04-804A-55FDCEB61407}"/>
    <cellStyle name="Currency 2 4 5 2 4 3 2" xfId="26718" xr:uid="{B7CD5524-0E44-45F7-B471-FAB77D7E216F}"/>
    <cellStyle name="Currency 2 4 5 2 4 4" xfId="20642" xr:uid="{C687577B-A69E-468F-8256-4467555F4048}"/>
    <cellStyle name="Currency 2 4 5 2 5" xfId="8327" xr:uid="{D5CDC69A-126F-4C8B-8E8C-46228FC89900}"/>
    <cellStyle name="Currency 2 4 5 2 5 2" xfId="13535" xr:uid="{DB5AD7BE-5476-4D63-BE36-C2D899D3D9EF}"/>
    <cellStyle name="Currency 2 4 5 2 5 2 2" xfId="27586" xr:uid="{EE877869-B102-4305-AAD6-84E1DDFCDA7F}"/>
    <cellStyle name="Currency 2 4 5 2 5 3" xfId="22378" xr:uid="{C251FFFD-29C3-40BA-86D5-13C0F35EC35A}"/>
    <cellStyle name="Currency 2 4 5 2 6" xfId="7459" xr:uid="{62DA3E67-2A68-40A9-8F94-C99E843188C7}"/>
    <cellStyle name="Currency 2 4 5 2 6 2" xfId="21510" xr:uid="{2A6EDE1E-D70B-4E0C-9403-F5FA79828907}"/>
    <cellStyle name="Currency 2 4 5 2 7" xfId="10931" xr:uid="{B48A88A5-F491-43EB-A14A-27BCBC2839E7}"/>
    <cellStyle name="Currency 2 4 5 2 7 2" xfId="24982" xr:uid="{B5730978-E30A-4732-AC29-AEB0CE803DED}"/>
    <cellStyle name="Currency 2 4 5 2 8" xfId="17499" xr:uid="{34BAA206-3A82-4A75-9ECD-89382EB6D374}"/>
    <cellStyle name="Currency 2 4 5 3" xfId="5098" xr:uid="{FBDFA07F-F7A2-4E3C-9362-B97D0BE78074}"/>
    <cellStyle name="Currency 2 4 5 3 2" xfId="5966" xr:uid="{40818F17-1E4D-4631-8351-ED9821C5A730}"/>
    <cellStyle name="Currency 2 4 5 3 2 2" xfId="9438" xr:uid="{2D26F642-39E1-496F-AD33-41CC1AA4D678}"/>
    <cellStyle name="Currency 2 4 5 3 2 2 2" xfId="23489" xr:uid="{A102446D-B25E-451C-88CB-9E08E6613C94}"/>
    <cellStyle name="Currency 2 4 5 3 2 3" xfId="12042" xr:uid="{8AC4DF3C-D2B2-42E0-94C2-5BECB671BB17}"/>
    <cellStyle name="Currency 2 4 5 3 2 3 2" xfId="26093" xr:uid="{D3B08F97-BA4D-4F6E-9129-E299F53D916B}"/>
    <cellStyle name="Currency 2 4 5 3 2 4" xfId="20017" xr:uid="{B1585091-3C1D-4299-9005-B38684398C67}"/>
    <cellStyle name="Currency 2 4 5 3 3" xfId="6834" xr:uid="{E074E0BE-92CF-4FE7-82F6-987E1CBC78F0}"/>
    <cellStyle name="Currency 2 4 5 3 3 2" xfId="10306" xr:uid="{BA591C75-1158-4112-9381-F6E38B391156}"/>
    <cellStyle name="Currency 2 4 5 3 3 2 2" xfId="24357" xr:uid="{C80733C7-BEA9-476A-930F-5C1B1D748F74}"/>
    <cellStyle name="Currency 2 4 5 3 3 3" xfId="12910" xr:uid="{E1AD356C-DBAD-4003-9C6F-04B3C8C71E62}"/>
    <cellStyle name="Currency 2 4 5 3 3 3 2" xfId="26961" xr:uid="{61C3C779-A963-4A82-A418-126834B280C0}"/>
    <cellStyle name="Currency 2 4 5 3 3 4" xfId="20885" xr:uid="{9B4BD8BA-BC6C-4330-BAE9-5D62FF1C6762}"/>
    <cellStyle name="Currency 2 4 5 3 4" xfId="8570" xr:uid="{F851B466-47AA-4D20-881E-706CB8901E88}"/>
    <cellStyle name="Currency 2 4 5 3 4 2" xfId="13778" xr:uid="{17769182-BA87-472D-908F-0D176C4294A4}"/>
    <cellStyle name="Currency 2 4 5 3 4 2 2" xfId="27829" xr:uid="{D88EB0CB-7D6F-4629-98FB-F50EB1493683}"/>
    <cellStyle name="Currency 2 4 5 3 4 3" xfId="22621" xr:uid="{8B94836F-6A0F-420F-9EE5-244043E72FFC}"/>
    <cellStyle name="Currency 2 4 5 3 5" xfId="7702" xr:uid="{CC4BAAC3-650B-4FD2-B511-AB5E2A2B4487}"/>
    <cellStyle name="Currency 2 4 5 3 5 2" xfId="21753" xr:uid="{A1DBCA2F-6B28-46F8-8884-580DE6D39250}"/>
    <cellStyle name="Currency 2 4 5 3 6" xfId="11174" xr:uid="{D4395F78-45A3-4831-BDCF-A935E7EFB12A}"/>
    <cellStyle name="Currency 2 4 5 3 6 2" xfId="25225" xr:uid="{91AC4BF3-9F90-470C-BA49-6DEB83A5898B}"/>
    <cellStyle name="Currency 2 4 5 3 7" xfId="19149" xr:uid="{EBA59681-F655-44B6-9229-F7FB20840603}"/>
    <cellStyle name="Currency 2 4 5 4" xfId="5532" xr:uid="{28823BEC-062C-4553-AC67-B57839CB92F0}"/>
    <cellStyle name="Currency 2 4 5 4 2" xfId="9004" xr:uid="{6028BB94-A936-4E34-89D4-C27D2506D83A}"/>
    <cellStyle name="Currency 2 4 5 4 2 2" xfId="23055" xr:uid="{097177ED-69DD-44D1-B82C-CE80A2893445}"/>
    <cellStyle name="Currency 2 4 5 4 3" xfId="11608" xr:uid="{3DDF3FDE-A43D-4D3B-8F39-7D01142F08F3}"/>
    <cellStyle name="Currency 2 4 5 4 3 2" xfId="25659" xr:uid="{6C94AA5F-441F-4941-8676-49C5BD56D167}"/>
    <cellStyle name="Currency 2 4 5 4 4" xfId="19583" xr:uid="{08BDCB52-D11C-4B4E-8207-CCDCB749C08E}"/>
    <cellStyle name="Currency 2 4 5 5" xfId="6400" xr:uid="{B6A5BD2E-0789-4C6E-A098-5064FD97BC40}"/>
    <cellStyle name="Currency 2 4 5 5 2" xfId="9872" xr:uid="{90242E89-4BB3-479A-8990-E46C1AA1FE22}"/>
    <cellStyle name="Currency 2 4 5 5 2 2" xfId="23923" xr:uid="{B7EFE4DC-757E-42B0-9A8F-DBB3ABB9F77F}"/>
    <cellStyle name="Currency 2 4 5 5 3" xfId="12476" xr:uid="{905554F5-46D1-420D-867E-4B9ED1836011}"/>
    <cellStyle name="Currency 2 4 5 5 3 2" xfId="26527" xr:uid="{EA167996-1DFA-48D3-85B6-1468DEE3B595}"/>
    <cellStyle name="Currency 2 4 5 5 4" xfId="20451" xr:uid="{3D5D3E1F-EAC2-4E78-9CCB-473490978915}"/>
    <cellStyle name="Currency 2 4 5 6" xfId="8136" xr:uid="{B93A1753-2EA5-4BD9-987E-78AD818FDC95}"/>
    <cellStyle name="Currency 2 4 5 6 2" xfId="13344" xr:uid="{4645CD3B-C924-475B-947F-7A8A8FE615C5}"/>
    <cellStyle name="Currency 2 4 5 6 2 2" xfId="27395" xr:uid="{BC05DD66-1323-44D1-93E8-CE2F4B482ACE}"/>
    <cellStyle name="Currency 2 4 5 6 3" xfId="22187" xr:uid="{9634CE14-6DAA-40DF-865F-3AEDB5F8A3B2}"/>
    <cellStyle name="Currency 2 4 5 7" xfId="7268" xr:uid="{DFCD75F7-05D1-45C1-AD33-ABDCD26A929C}"/>
    <cellStyle name="Currency 2 4 5 7 2" xfId="21319" xr:uid="{68CC1C62-ACD6-49FC-B6F4-17929599423C}"/>
    <cellStyle name="Currency 2 4 5 8" xfId="10740" xr:uid="{CB6B581E-4BFE-4E45-BD0D-B824A057673D}"/>
    <cellStyle name="Currency 2 4 5 8 2" xfId="24791" xr:uid="{68EACCBC-76FF-4E19-B833-929599892422}"/>
    <cellStyle name="Currency 2 4 5 9" xfId="15305" xr:uid="{09B67D2B-BC9B-4A02-9B55-AC56E3B4305E}"/>
    <cellStyle name="Currency 2 4 6" xfId="2348" xr:uid="{24BF7A0A-0594-4038-ADD2-2E1BA8D27F5F}"/>
    <cellStyle name="Currency 2 4 6 2" xfId="5193" xr:uid="{4812D5A5-166E-4073-A59D-977212A60751}"/>
    <cellStyle name="Currency 2 4 6 2 2" xfId="6061" xr:uid="{4A091343-5556-4FBC-B02E-C4A72A60AC4C}"/>
    <cellStyle name="Currency 2 4 6 2 2 2" xfId="9533" xr:uid="{699D40B9-910E-4429-B28F-1C92F34AF58E}"/>
    <cellStyle name="Currency 2 4 6 2 2 2 2" xfId="23584" xr:uid="{39B12D86-BF01-4629-8482-C42CEEC8D749}"/>
    <cellStyle name="Currency 2 4 6 2 2 3" xfId="12137" xr:uid="{C55C3CD7-0706-4DA5-8690-FD2741717ACC}"/>
    <cellStyle name="Currency 2 4 6 2 2 3 2" xfId="26188" xr:uid="{B6D43E5A-C9C7-49A3-B266-1F341AB79794}"/>
    <cellStyle name="Currency 2 4 6 2 2 4" xfId="20112" xr:uid="{2B586F4B-C842-43AA-906A-6C5F2F652000}"/>
    <cellStyle name="Currency 2 4 6 2 3" xfId="6929" xr:uid="{7E34E5C1-4294-4982-8AF4-6F03C24DA78A}"/>
    <cellStyle name="Currency 2 4 6 2 3 2" xfId="10401" xr:uid="{4A5B552F-A943-4AB1-A282-53822AD62A08}"/>
    <cellStyle name="Currency 2 4 6 2 3 2 2" xfId="24452" xr:uid="{27501CAB-D9EA-4DCB-A766-B0402BB08DB0}"/>
    <cellStyle name="Currency 2 4 6 2 3 3" xfId="13005" xr:uid="{89B3EFD6-4913-45D6-965F-2D569489FE3D}"/>
    <cellStyle name="Currency 2 4 6 2 3 3 2" xfId="27056" xr:uid="{B3B7440A-AA47-4CDE-A9AA-F98C1838B7F6}"/>
    <cellStyle name="Currency 2 4 6 2 3 4" xfId="20980" xr:uid="{B80D280B-763A-465A-8BFE-4FF2C3F5CC10}"/>
    <cellStyle name="Currency 2 4 6 2 4" xfId="8665" xr:uid="{9DD5D90B-188F-44D8-AEFC-DB6CDFDC0890}"/>
    <cellStyle name="Currency 2 4 6 2 4 2" xfId="13873" xr:uid="{4E248D24-486A-4A01-8E86-79C1F82AEF6C}"/>
    <cellStyle name="Currency 2 4 6 2 4 2 2" xfId="27924" xr:uid="{17603862-69E1-45A2-A916-EE9B9ADDAE4A}"/>
    <cellStyle name="Currency 2 4 6 2 4 3" xfId="22716" xr:uid="{357AA4C0-E4D4-45D3-9B08-C7D186C6EEDC}"/>
    <cellStyle name="Currency 2 4 6 2 5" xfId="7797" xr:uid="{A55D3776-B420-46FB-9739-4C082B02E6ED}"/>
    <cellStyle name="Currency 2 4 6 2 5 2" xfId="21848" xr:uid="{02407410-0A74-4951-87DC-7A299FB2553D}"/>
    <cellStyle name="Currency 2 4 6 2 6" xfId="11269" xr:uid="{39DC8FC7-A38C-46E7-9048-B7E264F599E9}"/>
    <cellStyle name="Currency 2 4 6 2 6 2" xfId="25320" xr:uid="{3CFBDA5D-C68C-4584-9C53-508C7DEFCF33}"/>
    <cellStyle name="Currency 2 4 6 2 7" xfId="19244" xr:uid="{32C566E4-B00C-42E8-96F1-6504F811D76A}"/>
    <cellStyle name="Currency 2 4 6 3" xfId="5627" xr:uid="{A4A15EB3-9F48-4CF4-8FF7-3FBB1F58D549}"/>
    <cellStyle name="Currency 2 4 6 3 2" xfId="9099" xr:uid="{E66B0AEA-D570-4DFE-B59E-E508B775B71D}"/>
    <cellStyle name="Currency 2 4 6 3 2 2" xfId="23150" xr:uid="{0EE97845-8F8E-4339-AFEB-575BE221DBC3}"/>
    <cellStyle name="Currency 2 4 6 3 3" xfId="11703" xr:uid="{BDC1BE3D-D98F-47B8-BD76-500DFF1FBE6E}"/>
    <cellStyle name="Currency 2 4 6 3 3 2" xfId="25754" xr:uid="{CA360A09-61C5-4986-B3A4-3AA2AF7CAD9C}"/>
    <cellStyle name="Currency 2 4 6 3 4" xfId="19678" xr:uid="{689A80DF-4744-4600-AE41-B31BFB4A9840}"/>
    <cellStyle name="Currency 2 4 6 4" xfId="6495" xr:uid="{9C0745F1-4269-465F-AEB1-C3BA8B1FE854}"/>
    <cellStyle name="Currency 2 4 6 4 2" xfId="9967" xr:uid="{E586810C-9064-4B0A-BEB9-12CAA5E77805}"/>
    <cellStyle name="Currency 2 4 6 4 2 2" xfId="24018" xr:uid="{9E422CAB-A2AB-411F-8DD3-1A40F9BA4338}"/>
    <cellStyle name="Currency 2 4 6 4 3" xfId="12571" xr:uid="{374FB35D-0666-433C-B29E-19BF1F19C64F}"/>
    <cellStyle name="Currency 2 4 6 4 3 2" xfId="26622" xr:uid="{5D1E776C-159B-4005-A2E5-781F47BF7C15}"/>
    <cellStyle name="Currency 2 4 6 4 4" xfId="20546" xr:uid="{3B439CC1-5521-4280-824A-DC8F46093D80}"/>
    <cellStyle name="Currency 2 4 6 5" xfId="8231" xr:uid="{8DE60E2D-D350-40CB-94DF-63062D0D4202}"/>
    <cellStyle name="Currency 2 4 6 5 2" xfId="13439" xr:uid="{43B90E31-BC06-448D-8E8F-ACA31CFE0223}"/>
    <cellStyle name="Currency 2 4 6 5 2 2" xfId="27490" xr:uid="{C3A7A885-3272-47E9-824D-3E1A35194B5C}"/>
    <cellStyle name="Currency 2 4 6 5 3" xfId="22282" xr:uid="{300670C2-3337-4A9E-91F7-52E99E6134B0}"/>
    <cellStyle name="Currency 2 4 6 6" xfId="7363" xr:uid="{0BFCA446-71C7-4898-A1C3-9C2BB3E9DBD0}"/>
    <cellStyle name="Currency 2 4 6 6 2" xfId="21414" xr:uid="{DC28834C-2F69-4D66-B65C-78B3E6013BFE}"/>
    <cellStyle name="Currency 2 4 6 7" xfId="10835" xr:uid="{DFDBE50E-D3FE-414C-85FE-ABCE82157FD1}"/>
    <cellStyle name="Currency 2 4 6 7 2" xfId="24886" xr:uid="{CBEBB16D-C9E2-4615-8C19-0067CE2B08F8}"/>
    <cellStyle name="Currency 2 4 6 8" xfId="16399" xr:uid="{7A749063-F77E-40FA-9EF9-AE86A21C2DE7}"/>
    <cellStyle name="Currency 2 4 7" xfId="4541" xr:uid="{5FB065B0-7C78-4620-876E-BB61E0FDAF66}"/>
    <cellStyle name="Currency 2 4 7 2" xfId="5384" xr:uid="{E57121DB-2245-4663-BC19-FF1CC3844F05}"/>
    <cellStyle name="Currency 2 4 7 2 2" xfId="6252" xr:uid="{20A79391-D401-4520-9AAE-3F99FB00229C}"/>
    <cellStyle name="Currency 2 4 7 2 2 2" xfId="9724" xr:uid="{7C961FF1-84E9-42E6-B9E1-C7F9F67A2740}"/>
    <cellStyle name="Currency 2 4 7 2 2 2 2" xfId="23775" xr:uid="{CA0121FB-456F-4BC4-B254-987691CD092E}"/>
    <cellStyle name="Currency 2 4 7 2 2 3" xfId="12328" xr:uid="{052B3465-FE5E-4A5C-9C9D-5C238F1DAAD4}"/>
    <cellStyle name="Currency 2 4 7 2 2 3 2" xfId="26379" xr:uid="{5147C362-68CE-4ADE-A33D-E9DE420D46ED}"/>
    <cellStyle name="Currency 2 4 7 2 2 4" xfId="20303" xr:uid="{A2519C5B-BE54-40F7-8118-16D696417098}"/>
    <cellStyle name="Currency 2 4 7 2 3" xfId="7120" xr:uid="{F9D0B006-1D69-4CEA-B686-A1876CBCE722}"/>
    <cellStyle name="Currency 2 4 7 2 3 2" xfId="10592" xr:uid="{EB3927A6-D596-47F8-8DC6-D0F69308D595}"/>
    <cellStyle name="Currency 2 4 7 2 3 2 2" xfId="24643" xr:uid="{99DF46CA-12ED-4230-9421-DEB2ADB6844F}"/>
    <cellStyle name="Currency 2 4 7 2 3 3" xfId="13196" xr:uid="{50368D08-53BE-49D5-B17D-4420D8843404}"/>
    <cellStyle name="Currency 2 4 7 2 3 3 2" xfId="27247" xr:uid="{4FA2937F-2CC1-46FA-A2DE-9E06AF2663DC}"/>
    <cellStyle name="Currency 2 4 7 2 3 4" xfId="21171" xr:uid="{A76DE377-07E1-42E2-AF61-9156D931FFB2}"/>
    <cellStyle name="Currency 2 4 7 2 4" xfId="8856" xr:uid="{8887A0AF-4134-4729-B244-BF624C69C2FF}"/>
    <cellStyle name="Currency 2 4 7 2 4 2" xfId="14064" xr:uid="{DAC94524-52D2-4080-AD8C-A4DF4244CB83}"/>
    <cellStyle name="Currency 2 4 7 2 4 2 2" xfId="28115" xr:uid="{691C5B08-C541-460F-B8AD-55F15020EB06}"/>
    <cellStyle name="Currency 2 4 7 2 4 3" xfId="22907" xr:uid="{B37AABC4-A1A9-4797-A858-F279FA227F98}"/>
    <cellStyle name="Currency 2 4 7 2 5" xfId="7988" xr:uid="{FD33E023-CC85-4848-848A-C43F23147B6A}"/>
    <cellStyle name="Currency 2 4 7 2 5 2" xfId="22039" xr:uid="{42946D87-AA4C-4B0B-9A25-1E93C2FA682F}"/>
    <cellStyle name="Currency 2 4 7 2 6" xfId="11460" xr:uid="{931D73DD-3501-49D6-823E-DAB817A2B414}"/>
    <cellStyle name="Currency 2 4 7 2 6 2" xfId="25511" xr:uid="{D7F018C4-C172-432E-9F2E-1123AB9907E8}"/>
    <cellStyle name="Currency 2 4 7 2 7" xfId="19435" xr:uid="{26E273B5-7262-4AA0-8704-186CF1FB3AFB}"/>
    <cellStyle name="Currency 2 4 7 3" xfId="5818" xr:uid="{7DAC1431-D5BF-46E7-9E03-DD45C0928E49}"/>
    <cellStyle name="Currency 2 4 7 3 2" xfId="9290" xr:uid="{EB397396-1591-4D37-9183-71DA57A0C80D}"/>
    <cellStyle name="Currency 2 4 7 3 2 2" xfId="23341" xr:uid="{0D94B8B6-8591-4F48-8CCB-D0A9BAFE067B}"/>
    <cellStyle name="Currency 2 4 7 3 3" xfId="11894" xr:uid="{FD1A0CF7-77CE-4288-BA62-86F9699DC762}"/>
    <cellStyle name="Currency 2 4 7 3 3 2" xfId="25945" xr:uid="{FEDED84B-4803-4EC7-B9EE-FC2A2D36B82D}"/>
    <cellStyle name="Currency 2 4 7 3 4" xfId="19869" xr:uid="{1FEC6D2B-23E7-44CB-AB00-6AC5FCE95424}"/>
    <cellStyle name="Currency 2 4 7 4" xfId="6686" xr:uid="{126C5415-104A-49E6-9075-12E0F8EC11E0}"/>
    <cellStyle name="Currency 2 4 7 4 2" xfId="10158" xr:uid="{C79F0024-F469-4842-BB74-3C3404F832A3}"/>
    <cellStyle name="Currency 2 4 7 4 2 2" xfId="24209" xr:uid="{E5AF98A4-6B2B-45B9-86F6-0FF0C5EEC4E3}"/>
    <cellStyle name="Currency 2 4 7 4 3" xfId="12762" xr:uid="{F111006B-4CA0-4EF5-8479-ECE033D71694}"/>
    <cellStyle name="Currency 2 4 7 4 3 2" xfId="26813" xr:uid="{1AF31E81-370F-46FC-8F7D-2EB1B3ED58C2}"/>
    <cellStyle name="Currency 2 4 7 4 4" xfId="20737" xr:uid="{8229EDA0-F54E-4516-B713-19026F6701A5}"/>
    <cellStyle name="Currency 2 4 7 5" xfId="8422" xr:uid="{0EAC93B5-4E77-4B31-8E51-10E8C238789B}"/>
    <cellStyle name="Currency 2 4 7 5 2" xfId="13630" xr:uid="{BC0ED5B6-F3FB-4266-9353-6BD94823F9C6}"/>
    <cellStyle name="Currency 2 4 7 5 2 2" xfId="27681" xr:uid="{67DC54ED-1268-40A7-847D-F5AFFFA8092F}"/>
    <cellStyle name="Currency 2 4 7 5 3" xfId="22473" xr:uid="{D212ED43-2A99-43D9-9DD5-2F26B1B8046F}"/>
    <cellStyle name="Currency 2 4 7 6" xfId="7554" xr:uid="{9B02E2FE-0D44-4E86-9BA0-61CA6D8AFFDC}"/>
    <cellStyle name="Currency 2 4 7 6 2" xfId="21605" xr:uid="{3BF2EF55-2AD5-4EDE-B49E-397A95D0ABF0}"/>
    <cellStyle name="Currency 2 4 7 7" xfId="11026" xr:uid="{BD580EB5-A34C-41EA-9623-E38D6D9AE8A5}"/>
    <cellStyle name="Currency 2 4 7 7 2" xfId="25077" xr:uid="{AC1E4084-BC3B-4513-A97E-A90F28360C79}"/>
    <cellStyle name="Currency 2 4 7 8" xfId="18593" xr:uid="{411E864F-70F2-4F7D-89A3-E194376C3EBA}"/>
    <cellStyle name="Currency 2 4 8" xfId="4998" xr:uid="{3C5FEDE1-D030-434A-9106-F4BE485C8305}"/>
    <cellStyle name="Currency 2 4 8 2" xfId="5866" xr:uid="{F8118ACC-4C0D-45AA-9EA6-F125D5D242E2}"/>
    <cellStyle name="Currency 2 4 8 2 2" xfId="9338" xr:uid="{49720B70-8930-4841-9E53-FEBF899D4815}"/>
    <cellStyle name="Currency 2 4 8 2 2 2" xfId="23389" xr:uid="{60DE3857-5A77-4E9B-952A-EC9AEF33CE93}"/>
    <cellStyle name="Currency 2 4 8 2 3" xfId="11942" xr:uid="{6787514F-90D1-4CC5-8DDC-891243F0BC8F}"/>
    <cellStyle name="Currency 2 4 8 2 3 2" xfId="25993" xr:uid="{C89397B2-3BE9-47AA-A678-9746A49813A0}"/>
    <cellStyle name="Currency 2 4 8 2 4" xfId="19917" xr:uid="{25EB27C5-7CEA-4F71-8CC3-DB69E5F25E7C}"/>
    <cellStyle name="Currency 2 4 8 3" xfId="6734" xr:uid="{848B0AB5-6610-4184-A110-A6EE0413EFFB}"/>
    <cellStyle name="Currency 2 4 8 3 2" xfId="10206" xr:uid="{CE993FD0-2DF2-4BF5-B826-5883E2F1F29E}"/>
    <cellStyle name="Currency 2 4 8 3 2 2" xfId="24257" xr:uid="{4B85D4E5-F18A-4620-8C6A-928EBCE3124F}"/>
    <cellStyle name="Currency 2 4 8 3 3" xfId="12810" xr:uid="{16FDFA51-D1AD-438F-A1F6-CA4E2E61B369}"/>
    <cellStyle name="Currency 2 4 8 3 3 2" xfId="26861" xr:uid="{D215B6BD-0583-4902-BCCD-3AE6F98FF0AA}"/>
    <cellStyle name="Currency 2 4 8 3 4" xfId="20785" xr:uid="{7797F035-B3DF-4691-A0F3-F4314B909930}"/>
    <cellStyle name="Currency 2 4 8 4" xfId="8470" xr:uid="{71C976A1-DF4B-4224-8A1C-606689E8F69B}"/>
    <cellStyle name="Currency 2 4 8 4 2" xfId="13678" xr:uid="{49819075-1FD1-4AB2-A6EA-BE14F86EACD1}"/>
    <cellStyle name="Currency 2 4 8 4 2 2" xfId="27729" xr:uid="{CA67982F-05C2-48B2-ACD1-C37CB3ADB903}"/>
    <cellStyle name="Currency 2 4 8 4 3" xfId="22521" xr:uid="{E5752E28-C72C-4A40-A286-4D8EF62331FB}"/>
    <cellStyle name="Currency 2 4 8 5" xfId="7602" xr:uid="{6943F75B-1F21-485B-852E-3916C5C4C88F}"/>
    <cellStyle name="Currency 2 4 8 5 2" xfId="21653" xr:uid="{DC9A0A4B-79A3-4165-930D-35017338EE2B}"/>
    <cellStyle name="Currency 2 4 8 6" xfId="11074" xr:uid="{4AFAB318-6EA1-4115-BEBB-C480E9877170}"/>
    <cellStyle name="Currency 2 4 8 6 2" xfId="25125" xr:uid="{AECC4917-1CFE-48C4-BC84-3D225F3EBA45}"/>
    <cellStyle name="Currency 2 4 8 7" xfId="19049" xr:uid="{A352CC82-1FB2-4376-9E04-2060162413B0}"/>
    <cellStyle name="Currency 2 4 9" xfId="5432" xr:uid="{D027FB62-6A4C-46F4-9CEB-374EF590C832}"/>
    <cellStyle name="Currency 2 4 9 2" xfId="8904" xr:uid="{046293AF-07C1-4239-B0B3-12150D6CE083}"/>
    <cellStyle name="Currency 2 4 9 2 2" xfId="22955" xr:uid="{B077BD04-FBCB-47A8-ACFD-0CB502ED1F5C}"/>
    <cellStyle name="Currency 2 4 9 3" xfId="11508" xr:uid="{BFEB5C03-2232-4DAE-9187-EA56231E7153}"/>
    <cellStyle name="Currency 2 4 9 3 2" xfId="25559" xr:uid="{45D266FE-93B4-4B7E-80A6-58E59DE8D060}"/>
    <cellStyle name="Currency 2 4 9 4" xfId="19483" xr:uid="{D1233C2E-9340-4F5C-B8FB-A2397F5BC356}"/>
    <cellStyle name="Currency 2 5" xfId="264" xr:uid="{E7508392-49A4-4DB5-9FAC-DF2B1C821E3F}"/>
    <cellStyle name="Currency 2 5 10" xfId="8046" xr:uid="{E90EB86B-009E-4802-AA8A-C74CEA33FD9E}"/>
    <cellStyle name="Currency 2 5 10 2" xfId="13254" xr:uid="{295B522F-1F75-4D68-A626-4178EDEACEDB}"/>
    <cellStyle name="Currency 2 5 10 2 2" xfId="27305" xr:uid="{861BDE6E-EF5F-4E01-B8AA-C2BC9A40FF65}"/>
    <cellStyle name="Currency 2 5 10 3" xfId="22097" xr:uid="{2D662ADB-ACE5-4115-B198-DBB3A68F4DDE}"/>
    <cellStyle name="Currency 2 5 11" xfId="7178" xr:uid="{9DAB880B-5801-483B-8485-FD34452DBFE7}"/>
    <cellStyle name="Currency 2 5 11 2" xfId="21229" xr:uid="{6C87324B-6097-4032-8A5C-AFF852DD038B}"/>
    <cellStyle name="Currency 2 5 12" xfId="10650" xr:uid="{495E01AC-1328-4EF4-9691-E841084918A7}"/>
    <cellStyle name="Currency 2 5 12 2" xfId="24701" xr:uid="{244AAAF5-13D2-4C76-AEB0-154BE9B801A8}"/>
    <cellStyle name="Currency 2 5 13" xfId="14321" xr:uid="{BF170C13-041B-4EF1-9C73-4D8C6D301B20}"/>
    <cellStyle name="Currency 2 5 2" xfId="618" xr:uid="{EE653493-8748-4D94-A2B8-1A69FC42205F}"/>
    <cellStyle name="Currency 2 5 2 10" xfId="14669" xr:uid="{20B235DF-623A-4C63-B508-C09D7EFB0828}"/>
    <cellStyle name="Currency 2 5 2 2" xfId="1721" xr:uid="{87F8D356-7B52-4099-B7E9-80DBFB56C954}"/>
    <cellStyle name="Currency 2 5 2 2 2" xfId="3909" xr:uid="{4AD27987-A4B9-4F89-A690-B4CA95A9E7D0}"/>
    <cellStyle name="Currency 2 5 2 2 2 2" xfId="5329" xr:uid="{7741A3FB-5A4D-446F-A4EF-C665BBE0094F}"/>
    <cellStyle name="Currency 2 5 2 2 2 2 2" xfId="6197" xr:uid="{381DF8C6-AE14-46F5-B33B-061289AF3375}"/>
    <cellStyle name="Currency 2 5 2 2 2 2 2 2" xfId="9669" xr:uid="{002079C3-6BDB-419E-AF28-02913AACA197}"/>
    <cellStyle name="Currency 2 5 2 2 2 2 2 2 2" xfId="23720" xr:uid="{E908E9E9-84D1-46DA-ADAB-2882676C9456}"/>
    <cellStyle name="Currency 2 5 2 2 2 2 2 3" xfId="12273" xr:uid="{60BB8166-9511-4C92-AEDD-FFBF8312CD3B}"/>
    <cellStyle name="Currency 2 5 2 2 2 2 2 3 2" xfId="26324" xr:uid="{A25AA0EB-815F-4E23-ACEF-C5A2ABDD66A2}"/>
    <cellStyle name="Currency 2 5 2 2 2 2 2 4" xfId="20248" xr:uid="{D2CFBFD4-6445-48E1-8CDA-C798F7FD72F5}"/>
    <cellStyle name="Currency 2 5 2 2 2 2 3" xfId="7065" xr:uid="{8A5464D8-59C6-4046-98A7-041839A7DF3B}"/>
    <cellStyle name="Currency 2 5 2 2 2 2 3 2" xfId="10537" xr:uid="{3E6305BC-315A-4524-8457-844A96755E74}"/>
    <cellStyle name="Currency 2 5 2 2 2 2 3 2 2" xfId="24588" xr:uid="{A2E77CC2-2772-4316-8677-151A7007C031}"/>
    <cellStyle name="Currency 2 5 2 2 2 2 3 3" xfId="13141" xr:uid="{0AC7AE7F-DF4E-47AE-922A-DEAA5E2D5568}"/>
    <cellStyle name="Currency 2 5 2 2 2 2 3 3 2" xfId="27192" xr:uid="{49BFCE84-C911-4172-87A6-253E5A4697D4}"/>
    <cellStyle name="Currency 2 5 2 2 2 2 3 4" xfId="21116" xr:uid="{39E836D5-4C21-41A0-9F59-BA90066A230D}"/>
    <cellStyle name="Currency 2 5 2 2 2 2 4" xfId="8801" xr:uid="{B78BA938-2213-4F1B-BF2E-C67C642FEA94}"/>
    <cellStyle name="Currency 2 5 2 2 2 2 4 2" xfId="14009" xr:uid="{EF961BC9-D9EA-4FDC-9AD9-2DA242F5A98F}"/>
    <cellStyle name="Currency 2 5 2 2 2 2 4 2 2" xfId="28060" xr:uid="{2C6EDF87-85FD-45FF-845C-7FAED6E5E579}"/>
    <cellStyle name="Currency 2 5 2 2 2 2 4 3" xfId="22852" xr:uid="{16E4D9B9-1011-49F0-A2E9-A08195BB5C85}"/>
    <cellStyle name="Currency 2 5 2 2 2 2 5" xfId="7933" xr:uid="{6B9C1120-B613-43CD-AE96-3DE6D429C29D}"/>
    <cellStyle name="Currency 2 5 2 2 2 2 5 2" xfId="21984" xr:uid="{E951F6DA-A347-44D2-934A-B924D22DEFCC}"/>
    <cellStyle name="Currency 2 5 2 2 2 2 6" xfId="11405" xr:uid="{3EE7C96D-B6BE-40BB-9E34-FE812018A03F}"/>
    <cellStyle name="Currency 2 5 2 2 2 2 6 2" xfId="25456" xr:uid="{6886FAF5-2237-4A5C-90A9-B0FD671894BF}"/>
    <cellStyle name="Currency 2 5 2 2 2 2 7" xfId="19380" xr:uid="{72AA7DC5-7810-4008-9902-48B083C65A9D}"/>
    <cellStyle name="Currency 2 5 2 2 2 3" xfId="5763" xr:uid="{CE1D9FBE-E341-4260-9DF2-655E89A6106F}"/>
    <cellStyle name="Currency 2 5 2 2 2 3 2" xfId="9235" xr:uid="{1FB988D8-B365-4AF5-9DAC-8C480B6AE1FE}"/>
    <cellStyle name="Currency 2 5 2 2 2 3 2 2" xfId="23286" xr:uid="{CB7DF6B7-8644-46D9-994D-6563BD079DA0}"/>
    <cellStyle name="Currency 2 5 2 2 2 3 3" xfId="11839" xr:uid="{636DD0B2-CD3D-489D-A76D-C3170AA40841}"/>
    <cellStyle name="Currency 2 5 2 2 2 3 3 2" xfId="25890" xr:uid="{62082724-974A-4D81-8AE3-1D6AE57A0329}"/>
    <cellStyle name="Currency 2 5 2 2 2 3 4" xfId="19814" xr:uid="{85F1F34C-328B-462C-A64C-E9E19ABE4588}"/>
    <cellStyle name="Currency 2 5 2 2 2 4" xfId="6631" xr:uid="{BDD82C77-6D0D-475B-9FE8-B393708A8606}"/>
    <cellStyle name="Currency 2 5 2 2 2 4 2" xfId="10103" xr:uid="{9FC2C0FC-EF16-4A6E-BE07-2172D712CF6E}"/>
    <cellStyle name="Currency 2 5 2 2 2 4 2 2" xfId="24154" xr:uid="{5965AEA1-507F-4236-B967-299A8FE9218E}"/>
    <cellStyle name="Currency 2 5 2 2 2 4 3" xfId="12707" xr:uid="{5125EDA6-8286-427D-A8A9-1B7EFCB6CC88}"/>
    <cellStyle name="Currency 2 5 2 2 2 4 3 2" xfId="26758" xr:uid="{B1F79F4D-F0B7-4B35-8625-6C84B00CC76E}"/>
    <cellStyle name="Currency 2 5 2 2 2 4 4" xfId="20682" xr:uid="{67FD339A-6152-4FF8-9BFA-863DA9A4D34E}"/>
    <cellStyle name="Currency 2 5 2 2 2 5" xfId="8367" xr:uid="{2D35DD9D-568F-445C-B351-8A778FCB668E}"/>
    <cellStyle name="Currency 2 5 2 2 2 5 2" xfId="13575" xr:uid="{71BBA3A5-610D-4078-95B1-F34676AAFDE0}"/>
    <cellStyle name="Currency 2 5 2 2 2 5 2 2" xfId="27626" xr:uid="{31091107-7A06-4980-9F25-7DC790F9F94C}"/>
    <cellStyle name="Currency 2 5 2 2 2 5 3" xfId="22418" xr:uid="{8EC67935-19F4-4EDB-BFDC-7249DAAE848A}"/>
    <cellStyle name="Currency 2 5 2 2 2 6" xfId="7499" xr:uid="{BC36674B-3048-4B25-9113-B58EFB47508C}"/>
    <cellStyle name="Currency 2 5 2 2 2 6 2" xfId="21550" xr:uid="{448752B0-A19D-4CB6-AB95-D091D024DE2C}"/>
    <cellStyle name="Currency 2 5 2 2 2 7" xfId="10971" xr:uid="{D047A53B-2CE2-410A-A4F8-E7763D107230}"/>
    <cellStyle name="Currency 2 5 2 2 2 7 2" xfId="25022" xr:uid="{CA7D21F2-8B64-4D90-9D6E-F88BA1A57C5F}"/>
    <cellStyle name="Currency 2 5 2 2 2 8" xfId="17961" xr:uid="{87D6CE43-AAD5-4C58-A96C-AA7D8479CE6A}"/>
    <cellStyle name="Currency 2 5 2 2 3" xfId="5139" xr:uid="{C6245FE3-9769-44BD-A9AE-F7851598324F}"/>
    <cellStyle name="Currency 2 5 2 2 3 2" xfId="6007" xr:uid="{6C8FC312-8E14-4CE8-B1FB-3A16B4567F47}"/>
    <cellStyle name="Currency 2 5 2 2 3 2 2" xfId="9479" xr:uid="{6CED903E-7AAD-4F6A-B947-B2B0FADE8948}"/>
    <cellStyle name="Currency 2 5 2 2 3 2 2 2" xfId="23530" xr:uid="{38CE411E-1607-4B46-93A9-FB18017EE5C4}"/>
    <cellStyle name="Currency 2 5 2 2 3 2 3" xfId="12083" xr:uid="{A5979E10-F652-4C30-BA07-057629B1E7EF}"/>
    <cellStyle name="Currency 2 5 2 2 3 2 3 2" xfId="26134" xr:uid="{941BCA52-3FC9-4678-BE0C-41E2FACC31DF}"/>
    <cellStyle name="Currency 2 5 2 2 3 2 4" xfId="20058" xr:uid="{6977A26C-8FDC-46A8-B542-97F8C0B394F0}"/>
    <cellStyle name="Currency 2 5 2 2 3 3" xfId="6875" xr:uid="{5D5E7D45-221D-454A-BEB3-A0B7F0539B62}"/>
    <cellStyle name="Currency 2 5 2 2 3 3 2" xfId="10347" xr:uid="{070E7AE5-7B81-4E91-AC81-D7B2CB76C547}"/>
    <cellStyle name="Currency 2 5 2 2 3 3 2 2" xfId="24398" xr:uid="{6BFA578A-513D-4991-97AB-0F545A14F464}"/>
    <cellStyle name="Currency 2 5 2 2 3 3 3" xfId="12951" xr:uid="{866B2785-5A48-4B4F-A81C-984E43D94009}"/>
    <cellStyle name="Currency 2 5 2 2 3 3 3 2" xfId="27002" xr:uid="{582B331B-8970-45CB-B8FD-648530E3F4F2}"/>
    <cellStyle name="Currency 2 5 2 2 3 3 4" xfId="20926" xr:uid="{B6729393-0C40-4496-A35D-A6A8696E9418}"/>
    <cellStyle name="Currency 2 5 2 2 3 4" xfId="8611" xr:uid="{A8E84C37-2C8C-487D-9CA4-A6A8B0C44BCF}"/>
    <cellStyle name="Currency 2 5 2 2 3 4 2" xfId="13819" xr:uid="{BB919959-BBF8-4730-8176-35D77E89C70C}"/>
    <cellStyle name="Currency 2 5 2 2 3 4 2 2" xfId="27870" xr:uid="{90537711-278C-4F1A-9EFB-A391FAD0729C}"/>
    <cellStyle name="Currency 2 5 2 2 3 4 3" xfId="22662" xr:uid="{50C3A0E7-1D37-4D2F-AFB8-557E214AF939}"/>
    <cellStyle name="Currency 2 5 2 2 3 5" xfId="7743" xr:uid="{9E801C9A-ACDC-4C36-9A63-43B3E6FF66A8}"/>
    <cellStyle name="Currency 2 5 2 2 3 5 2" xfId="21794" xr:uid="{E1004049-9A60-486E-9A3A-B138155FF066}"/>
    <cellStyle name="Currency 2 5 2 2 3 6" xfId="11215" xr:uid="{59A066A0-D4C7-47A3-9244-BFB82977F669}"/>
    <cellStyle name="Currency 2 5 2 2 3 6 2" xfId="25266" xr:uid="{79139D3F-3620-4FCE-AC2E-FB6D0570E984}"/>
    <cellStyle name="Currency 2 5 2 2 3 7" xfId="19190" xr:uid="{34C060ED-EB84-4757-8890-D0596D920E90}"/>
    <cellStyle name="Currency 2 5 2 2 4" xfId="5573" xr:uid="{DD08837B-13D7-4E29-87F4-864CD8D69C1C}"/>
    <cellStyle name="Currency 2 5 2 2 4 2" xfId="9045" xr:uid="{187D9FDA-414B-4372-9BFB-BA4F6B66591D}"/>
    <cellStyle name="Currency 2 5 2 2 4 2 2" xfId="23096" xr:uid="{69F285C2-1C85-4F61-990A-3ED768E4DF3A}"/>
    <cellStyle name="Currency 2 5 2 2 4 3" xfId="11649" xr:uid="{C94A1ADF-B2FC-4563-8A4F-94E73CAE8809}"/>
    <cellStyle name="Currency 2 5 2 2 4 3 2" xfId="25700" xr:uid="{952F6F5C-2E37-4D70-AD76-98C198814841}"/>
    <cellStyle name="Currency 2 5 2 2 4 4" xfId="19624" xr:uid="{0AD7FFF8-360F-46DC-9EA0-7D46C339A989}"/>
    <cellStyle name="Currency 2 5 2 2 5" xfId="6441" xr:uid="{6B4C8E21-50F8-4A63-A57F-1492A3095B2D}"/>
    <cellStyle name="Currency 2 5 2 2 5 2" xfId="9913" xr:uid="{70BE322F-7EB1-415E-8520-B4C2E16B463E}"/>
    <cellStyle name="Currency 2 5 2 2 5 2 2" xfId="23964" xr:uid="{62CE3E51-9E49-4425-B41A-20C66F87BE68}"/>
    <cellStyle name="Currency 2 5 2 2 5 3" xfId="12517" xr:uid="{7B869F66-7B1A-4BA5-B5F2-0D9ACF17815A}"/>
    <cellStyle name="Currency 2 5 2 2 5 3 2" xfId="26568" xr:uid="{BBC75E88-0FF5-4DE5-8B80-DD3BC1CEBC76}"/>
    <cellStyle name="Currency 2 5 2 2 5 4" xfId="20492" xr:uid="{810290E5-39A9-40A3-8C18-C6125442CE71}"/>
    <cellStyle name="Currency 2 5 2 2 6" xfId="8177" xr:uid="{410648A1-AD9B-48FC-9A36-237347BAA1F6}"/>
    <cellStyle name="Currency 2 5 2 2 6 2" xfId="13385" xr:uid="{6B44BA16-B73B-4CC8-9C82-8EC5257E6E94}"/>
    <cellStyle name="Currency 2 5 2 2 6 2 2" xfId="27436" xr:uid="{99BFA561-3BBC-43BE-93C7-11ECBE0109EC}"/>
    <cellStyle name="Currency 2 5 2 2 6 3" xfId="22228" xr:uid="{4CC61F6B-4D67-4F28-B73F-6191E9E2E74B}"/>
    <cellStyle name="Currency 2 5 2 2 7" xfId="7309" xr:uid="{8BA69BE1-EC0F-45F7-AD7A-704D6E895F9D}"/>
    <cellStyle name="Currency 2 5 2 2 7 2" xfId="21360" xr:uid="{F613D585-45E9-468C-8913-A1592BE16EEB}"/>
    <cellStyle name="Currency 2 5 2 2 8" xfId="10781" xr:uid="{1B440B52-0071-460E-B574-035681CC8ADD}"/>
    <cellStyle name="Currency 2 5 2 2 8 2" xfId="24832" xr:uid="{F2A953DE-4EA1-4281-A395-1A8F4E659300}"/>
    <cellStyle name="Currency 2 5 2 2 9" xfId="15769" xr:uid="{BDF6679C-636B-4CA7-A4BB-87E5BAADF625}"/>
    <cellStyle name="Currency 2 5 2 3" xfId="2812" xr:uid="{35A46978-BF06-45F3-AF19-129679824361}"/>
    <cellStyle name="Currency 2 5 2 3 2" xfId="5233" xr:uid="{179CD9D0-4ACD-48DC-A283-FE8A1524A77A}"/>
    <cellStyle name="Currency 2 5 2 3 2 2" xfId="6101" xr:uid="{AA4342E3-F285-41F5-9455-3BC299A0007F}"/>
    <cellStyle name="Currency 2 5 2 3 2 2 2" xfId="9573" xr:uid="{456A3A73-D032-4D48-9D10-70F5F81608F7}"/>
    <cellStyle name="Currency 2 5 2 3 2 2 2 2" xfId="23624" xr:uid="{00AB5505-2505-4181-A598-F95923EFB5A0}"/>
    <cellStyle name="Currency 2 5 2 3 2 2 3" xfId="12177" xr:uid="{94E1155E-2E17-434E-B8E2-9EEB4B14CB2C}"/>
    <cellStyle name="Currency 2 5 2 3 2 2 3 2" xfId="26228" xr:uid="{5868918C-1B06-4D13-83D1-B802738D2418}"/>
    <cellStyle name="Currency 2 5 2 3 2 2 4" xfId="20152" xr:uid="{23B949B2-CFB2-4ED7-8E34-3B216DC8A048}"/>
    <cellStyle name="Currency 2 5 2 3 2 3" xfId="6969" xr:uid="{43B12B2C-C122-4884-A556-0F1C17D501CE}"/>
    <cellStyle name="Currency 2 5 2 3 2 3 2" xfId="10441" xr:uid="{6270496E-2AE5-45A3-9F38-D1B2DCA8F35B}"/>
    <cellStyle name="Currency 2 5 2 3 2 3 2 2" xfId="24492" xr:uid="{A415F1BC-2205-4D98-895F-E41CC3FC62BF}"/>
    <cellStyle name="Currency 2 5 2 3 2 3 3" xfId="13045" xr:uid="{FC19467C-9975-4D5C-ABE8-58BD61B28B54}"/>
    <cellStyle name="Currency 2 5 2 3 2 3 3 2" xfId="27096" xr:uid="{E0CDA3FF-AD4B-4B44-9099-E99F13E2C6B5}"/>
    <cellStyle name="Currency 2 5 2 3 2 3 4" xfId="21020" xr:uid="{E59D881C-2495-4DFF-A3E6-74891E2DCD02}"/>
    <cellStyle name="Currency 2 5 2 3 2 4" xfId="8705" xr:uid="{9DA20DF1-EAE2-4678-9C19-4AC624517E3A}"/>
    <cellStyle name="Currency 2 5 2 3 2 4 2" xfId="13913" xr:uid="{8CECAFDA-5921-4942-B694-DBA68E89BC69}"/>
    <cellStyle name="Currency 2 5 2 3 2 4 2 2" xfId="27964" xr:uid="{46528D3A-F0A3-4F59-8D18-B411BA517AD2}"/>
    <cellStyle name="Currency 2 5 2 3 2 4 3" xfId="22756" xr:uid="{1A6F11CA-72EE-47F7-82D6-DA5806A5D1C4}"/>
    <cellStyle name="Currency 2 5 2 3 2 5" xfId="7837" xr:uid="{4CF1A400-FB61-4757-8124-6BAAE1B0DD2F}"/>
    <cellStyle name="Currency 2 5 2 3 2 5 2" xfId="21888" xr:uid="{B550A679-136B-4BCC-AE9E-B86CA8A948A3}"/>
    <cellStyle name="Currency 2 5 2 3 2 6" xfId="11309" xr:uid="{44F65D20-609C-4F0D-9397-462404A47A3C}"/>
    <cellStyle name="Currency 2 5 2 3 2 6 2" xfId="25360" xr:uid="{26E4D2BC-80B8-44DF-88F9-FEBDBEE68232}"/>
    <cellStyle name="Currency 2 5 2 3 2 7" xfId="19284" xr:uid="{04A97376-C977-40AC-9AE4-DE5D0B429FDF}"/>
    <cellStyle name="Currency 2 5 2 3 3" xfId="5667" xr:uid="{88531D79-52F7-4879-9B25-D28FD032EC62}"/>
    <cellStyle name="Currency 2 5 2 3 3 2" xfId="9139" xr:uid="{7BC4A306-DBF1-4525-BCD5-AFB2403E2695}"/>
    <cellStyle name="Currency 2 5 2 3 3 2 2" xfId="23190" xr:uid="{DA8C0EDF-042A-4B7D-B5AF-D6018D0F05FB}"/>
    <cellStyle name="Currency 2 5 2 3 3 3" xfId="11743" xr:uid="{A48BFF01-8983-446B-83D1-690950FED431}"/>
    <cellStyle name="Currency 2 5 2 3 3 3 2" xfId="25794" xr:uid="{C898976F-99C3-42AE-88EE-CFDF6567B493}"/>
    <cellStyle name="Currency 2 5 2 3 3 4" xfId="19718" xr:uid="{91B2BF5E-F654-4E4C-B082-8E095134C0C3}"/>
    <cellStyle name="Currency 2 5 2 3 4" xfId="6535" xr:uid="{DDDF35BC-4B51-497C-AF35-A4FD52F71638}"/>
    <cellStyle name="Currency 2 5 2 3 4 2" xfId="10007" xr:uid="{BA52ED63-CEF8-4F64-B29E-425CBDF27EAB}"/>
    <cellStyle name="Currency 2 5 2 3 4 2 2" xfId="24058" xr:uid="{AB7F7BF5-8BF9-404F-ACCD-564FADC44988}"/>
    <cellStyle name="Currency 2 5 2 3 4 3" xfId="12611" xr:uid="{7F6AD303-5080-4573-BC10-1DC235EB2E9D}"/>
    <cellStyle name="Currency 2 5 2 3 4 3 2" xfId="26662" xr:uid="{64D18A97-39AB-4A88-B84C-8AA32F316374}"/>
    <cellStyle name="Currency 2 5 2 3 4 4" xfId="20586" xr:uid="{52D969A3-FCEC-45AF-980E-6D7BD211A044}"/>
    <cellStyle name="Currency 2 5 2 3 5" xfId="8271" xr:uid="{08DCEF56-E5EA-4670-844D-807E125EBFB4}"/>
    <cellStyle name="Currency 2 5 2 3 5 2" xfId="13479" xr:uid="{B3B7C774-1592-4EF8-9EB4-F9D7BB698EF2}"/>
    <cellStyle name="Currency 2 5 2 3 5 2 2" xfId="27530" xr:uid="{65A2E88C-4967-4467-9F1B-11FE1C27B48E}"/>
    <cellStyle name="Currency 2 5 2 3 5 3" xfId="22322" xr:uid="{34DAC7EF-582E-4A20-AB59-044665CF5DFA}"/>
    <cellStyle name="Currency 2 5 2 3 6" xfId="7403" xr:uid="{59816856-249E-48E9-BB96-23CE3C08D653}"/>
    <cellStyle name="Currency 2 5 2 3 6 2" xfId="21454" xr:uid="{5E7078BB-92F3-41B8-B880-2BAD7E21D45D}"/>
    <cellStyle name="Currency 2 5 2 3 7" xfId="10875" xr:uid="{BCE02ABF-2DD9-44AB-A785-CA67DFB0D0E9}"/>
    <cellStyle name="Currency 2 5 2 3 7 2" xfId="24926" xr:uid="{A89FB755-B199-47AC-B1E8-2E7F7708D0B8}"/>
    <cellStyle name="Currency 2 5 2 3 8" xfId="16863" xr:uid="{AF0368E3-7705-48DF-9D83-BFCDD8F8E67D}"/>
    <cellStyle name="Currency 2 5 2 4" xfId="5040" xr:uid="{B293C15E-FB82-4072-BF94-9C582C653788}"/>
    <cellStyle name="Currency 2 5 2 4 2" xfId="5908" xr:uid="{CA3F9568-C460-413B-B0D7-1DE92C4A289F}"/>
    <cellStyle name="Currency 2 5 2 4 2 2" xfId="9380" xr:uid="{C989E931-CEE8-4E45-9E04-4B4D02CB171E}"/>
    <cellStyle name="Currency 2 5 2 4 2 2 2" xfId="23431" xr:uid="{9CDD31E3-DB54-4AFB-AF85-2DC10E7E7C3B}"/>
    <cellStyle name="Currency 2 5 2 4 2 3" xfId="11984" xr:uid="{B0BAB1E3-0EBB-46F7-B63E-5387252EF022}"/>
    <cellStyle name="Currency 2 5 2 4 2 3 2" xfId="26035" xr:uid="{8497C81F-A4DD-45EC-8372-4821CB287194}"/>
    <cellStyle name="Currency 2 5 2 4 2 4" xfId="19959" xr:uid="{6D05CC49-DBEA-433F-803E-7B028C687894}"/>
    <cellStyle name="Currency 2 5 2 4 3" xfId="6776" xr:uid="{C94BB5AC-6412-448D-998C-74C5FADCE562}"/>
    <cellStyle name="Currency 2 5 2 4 3 2" xfId="10248" xr:uid="{14804B00-B6CD-4434-942D-36AC1C01A107}"/>
    <cellStyle name="Currency 2 5 2 4 3 2 2" xfId="24299" xr:uid="{85FDD3CA-522C-4D2A-9A5B-8077A589320A}"/>
    <cellStyle name="Currency 2 5 2 4 3 3" xfId="12852" xr:uid="{9A5CA81C-3698-4853-AB32-DB1398193BA2}"/>
    <cellStyle name="Currency 2 5 2 4 3 3 2" xfId="26903" xr:uid="{37BAC482-1008-47F6-BA13-1E53E1F03AA9}"/>
    <cellStyle name="Currency 2 5 2 4 3 4" xfId="20827" xr:uid="{3644F59E-6670-413F-8272-4DC697B282B6}"/>
    <cellStyle name="Currency 2 5 2 4 4" xfId="8512" xr:uid="{7FB001C2-7E18-496A-898A-9FE7729EB0B6}"/>
    <cellStyle name="Currency 2 5 2 4 4 2" xfId="13720" xr:uid="{9491FDAA-47B4-4E29-828C-E24CAD25B8A7}"/>
    <cellStyle name="Currency 2 5 2 4 4 2 2" xfId="27771" xr:uid="{06791215-E9B6-4F4F-877F-32FA1D40FD71}"/>
    <cellStyle name="Currency 2 5 2 4 4 3" xfId="22563" xr:uid="{80019E5E-ABE4-4534-BA02-67E309AE9D5D}"/>
    <cellStyle name="Currency 2 5 2 4 5" xfId="7644" xr:uid="{DB59BFF8-FB53-400E-ABEE-795176A59829}"/>
    <cellStyle name="Currency 2 5 2 4 5 2" xfId="21695" xr:uid="{1491176C-B8FB-4CD2-A573-7621719B9C65}"/>
    <cellStyle name="Currency 2 5 2 4 6" xfId="11116" xr:uid="{C8C3A9EE-1116-4574-B3A2-E785B0EEC744}"/>
    <cellStyle name="Currency 2 5 2 4 6 2" xfId="25167" xr:uid="{DCCEDF88-38A5-4062-B711-8DB68564DDB2}"/>
    <cellStyle name="Currency 2 5 2 4 7" xfId="19091" xr:uid="{1A363284-0837-4F01-94E9-A119DF33CF93}"/>
    <cellStyle name="Currency 2 5 2 5" xfId="5474" xr:uid="{E45E6FEA-AC09-4AFA-B116-35714978A534}"/>
    <cellStyle name="Currency 2 5 2 5 2" xfId="8946" xr:uid="{1E268AD6-106E-40FD-A375-21705E6FD930}"/>
    <cellStyle name="Currency 2 5 2 5 2 2" xfId="22997" xr:uid="{2A00944F-B84D-45E6-9AB7-B90E20189743}"/>
    <cellStyle name="Currency 2 5 2 5 3" xfId="11550" xr:uid="{4143C832-7078-44C6-9D26-D72CD7CF2F26}"/>
    <cellStyle name="Currency 2 5 2 5 3 2" xfId="25601" xr:uid="{4CFE0553-C361-42C7-8649-621AEC64D00B}"/>
    <cellStyle name="Currency 2 5 2 5 4" xfId="19525" xr:uid="{3877CD80-229F-449D-8423-4CC01C237F63}"/>
    <cellStyle name="Currency 2 5 2 6" xfId="6342" xr:uid="{1E4DC7E4-267F-4AE6-A1F2-196CDD1C0F34}"/>
    <cellStyle name="Currency 2 5 2 6 2" xfId="9814" xr:uid="{EEB50C89-C228-4CDA-AB20-7B8592DB2420}"/>
    <cellStyle name="Currency 2 5 2 6 2 2" xfId="23865" xr:uid="{B41E5B58-5084-4275-A799-89FC3649B314}"/>
    <cellStyle name="Currency 2 5 2 6 3" xfId="12418" xr:uid="{EF4DFCCF-3416-40F6-BE5F-22CCF27581D3}"/>
    <cellStyle name="Currency 2 5 2 6 3 2" xfId="26469" xr:uid="{F4643537-5960-4832-9848-E0D88D764C19}"/>
    <cellStyle name="Currency 2 5 2 6 4" xfId="20393" xr:uid="{7AADC830-7DB1-43F1-B23C-F7924CAF2E0C}"/>
    <cellStyle name="Currency 2 5 2 7" xfId="8078" xr:uid="{2F1CF814-A170-43FC-8C7D-B016762AA37D}"/>
    <cellStyle name="Currency 2 5 2 7 2" xfId="13286" xr:uid="{932B89CA-019C-469B-951A-09F05F020B1C}"/>
    <cellStyle name="Currency 2 5 2 7 2 2" xfId="27337" xr:uid="{B334F816-BFDE-4A0F-80E2-EC2BE2378D47}"/>
    <cellStyle name="Currency 2 5 2 7 3" xfId="22129" xr:uid="{4C5F9587-82C4-4538-A0BF-5EB722B53C61}"/>
    <cellStyle name="Currency 2 5 2 8" xfId="7210" xr:uid="{404A1DB8-C5F1-4EA0-8975-ECE6F6ACD055}"/>
    <cellStyle name="Currency 2 5 2 8 2" xfId="21261" xr:uid="{C4A3BB13-C553-4DB9-9724-B1A9CA96DCBB}"/>
    <cellStyle name="Currency 2 5 2 9" xfId="10682" xr:uid="{36E2F9DD-F625-4044-A0BB-2D3A85CC1A05}"/>
    <cellStyle name="Currency 2 5 2 9 2" xfId="24733" xr:uid="{FDF07AA2-E787-48AE-91A7-F0BE00F4EDAD}"/>
    <cellStyle name="Currency 2 5 3" xfId="966" xr:uid="{8416844C-3D04-4430-BD85-E8E12AC7E58A}"/>
    <cellStyle name="Currency 2 5 3 10" xfId="15016" xr:uid="{99A94D0D-30AC-4C3C-9F60-01B128D78E31}"/>
    <cellStyle name="Currency 2 5 3 2" xfId="2065" xr:uid="{7741B7E6-6DB1-49D3-BD9C-E96912910482}"/>
    <cellStyle name="Currency 2 5 3 2 2" xfId="4254" xr:uid="{4F7500B3-1B40-4131-928D-FE5880FB3B10}"/>
    <cellStyle name="Currency 2 5 3 2 2 2" xfId="5358" xr:uid="{EB2C38A7-908E-48B7-A7D5-C0383CA93450}"/>
    <cellStyle name="Currency 2 5 3 2 2 2 2" xfId="6226" xr:uid="{D07F2C8F-CEFC-420E-8D48-0FDA8DA596A7}"/>
    <cellStyle name="Currency 2 5 3 2 2 2 2 2" xfId="9698" xr:uid="{8CE0271F-5A2C-459F-AAEA-F82E72E4B390}"/>
    <cellStyle name="Currency 2 5 3 2 2 2 2 2 2" xfId="23749" xr:uid="{9507BFD0-4850-4261-B484-3D846ACACAFF}"/>
    <cellStyle name="Currency 2 5 3 2 2 2 2 3" xfId="12302" xr:uid="{3F214BC3-6246-4747-9EAC-1F528B7DCE6C}"/>
    <cellStyle name="Currency 2 5 3 2 2 2 2 3 2" xfId="26353" xr:uid="{A7214811-8CFC-42BC-86BF-E4E718C34149}"/>
    <cellStyle name="Currency 2 5 3 2 2 2 2 4" xfId="20277" xr:uid="{DBCBD04F-8DE0-4B23-8246-A5F0862B68FC}"/>
    <cellStyle name="Currency 2 5 3 2 2 2 3" xfId="7094" xr:uid="{A4800D22-1A56-4F71-8A13-87597396761B}"/>
    <cellStyle name="Currency 2 5 3 2 2 2 3 2" xfId="10566" xr:uid="{8BC392F4-2B8F-4D19-B5D6-F390F0A6B2E0}"/>
    <cellStyle name="Currency 2 5 3 2 2 2 3 2 2" xfId="24617" xr:uid="{2DDB5D76-34DE-4B46-A3C5-B51D56A234DE}"/>
    <cellStyle name="Currency 2 5 3 2 2 2 3 3" xfId="13170" xr:uid="{D863775E-1C55-4A1C-9419-E17BAAC44BDA}"/>
    <cellStyle name="Currency 2 5 3 2 2 2 3 3 2" xfId="27221" xr:uid="{E719A51B-5E5E-4FB7-A3A4-74D546BE9C4A}"/>
    <cellStyle name="Currency 2 5 3 2 2 2 3 4" xfId="21145" xr:uid="{6BA08A92-5FD6-465C-8F8C-A71D1587E337}"/>
    <cellStyle name="Currency 2 5 3 2 2 2 4" xfId="8830" xr:uid="{21C55BE7-2C15-46DD-9703-404CE8FC7417}"/>
    <cellStyle name="Currency 2 5 3 2 2 2 4 2" xfId="14038" xr:uid="{B84C33FB-0AB9-43CD-AD6F-E17F00C91610}"/>
    <cellStyle name="Currency 2 5 3 2 2 2 4 2 2" xfId="28089" xr:uid="{D287040F-ECA1-4DEC-B48D-E01AE79DD687}"/>
    <cellStyle name="Currency 2 5 3 2 2 2 4 3" xfId="22881" xr:uid="{5DD4E361-212A-4A4A-B0A3-33D70AA0A71A}"/>
    <cellStyle name="Currency 2 5 3 2 2 2 5" xfId="7962" xr:uid="{4B8D6E50-F4D7-448A-8118-C735B2F60B18}"/>
    <cellStyle name="Currency 2 5 3 2 2 2 5 2" xfId="22013" xr:uid="{8B4C48C5-4EBB-4B18-8D90-F33367BE87BB}"/>
    <cellStyle name="Currency 2 5 3 2 2 2 6" xfId="11434" xr:uid="{B6D7C408-971F-4FE8-BCDF-F1E2DAABEE01}"/>
    <cellStyle name="Currency 2 5 3 2 2 2 6 2" xfId="25485" xr:uid="{3C53933C-44E3-4C37-89DC-89C82F99E849}"/>
    <cellStyle name="Currency 2 5 3 2 2 2 7" xfId="19409" xr:uid="{DFAA3976-A61D-4FE8-B537-D72986F6AA4D}"/>
    <cellStyle name="Currency 2 5 3 2 2 3" xfId="5792" xr:uid="{B79529AA-DCF3-4923-B266-93B20541AF71}"/>
    <cellStyle name="Currency 2 5 3 2 2 3 2" xfId="9264" xr:uid="{AAA5CC06-6DA1-477B-820C-143F8FF86854}"/>
    <cellStyle name="Currency 2 5 3 2 2 3 2 2" xfId="23315" xr:uid="{BF0D278D-908F-4033-B644-B0D8FE2F7733}"/>
    <cellStyle name="Currency 2 5 3 2 2 3 3" xfId="11868" xr:uid="{C1AAB98A-DAFF-4BBF-946F-C63C13870084}"/>
    <cellStyle name="Currency 2 5 3 2 2 3 3 2" xfId="25919" xr:uid="{98743426-5C60-4495-A0AB-576C2023DB48}"/>
    <cellStyle name="Currency 2 5 3 2 2 3 4" xfId="19843" xr:uid="{F0AC0F57-836C-4F48-9213-B83A57AB95FC}"/>
    <cellStyle name="Currency 2 5 3 2 2 4" xfId="6660" xr:uid="{A66E6F8B-4284-41F1-8AD6-41A393BD3B81}"/>
    <cellStyle name="Currency 2 5 3 2 2 4 2" xfId="10132" xr:uid="{62B4CB3E-9922-43F0-B758-5F450292EC55}"/>
    <cellStyle name="Currency 2 5 3 2 2 4 2 2" xfId="24183" xr:uid="{C0704ACB-59A8-469E-A331-2F04B8BA3C39}"/>
    <cellStyle name="Currency 2 5 3 2 2 4 3" xfId="12736" xr:uid="{70F3C8C8-3B11-4787-BBF8-4BD94BE5D2F2}"/>
    <cellStyle name="Currency 2 5 3 2 2 4 3 2" xfId="26787" xr:uid="{D6E97A5F-CC44-4B55-988F-126784DE7FC0}"/>
    <cellStyle name="Currency 2 5 3 2 2 4 4" xfId="20711" xr:uid="{EBAC7FCC-0B5F-45F3-9C59-5B98DC243EEE}"/>
    <cellStyle name="Currency 2 5 3 2 2 5" xfId="8396" xr:uid="{AF13B3AF-C963-447E-9619-888E5A8F8D59}"/>
    <cellStyle name="Currency 2 5 3 2 2 5 2" xfId="13604" xr:uid="{A0B9467B-F5F6-43B5-91BF-8535988A8B7E}"/>
    <cellStyle name="Currency 2 5 3 2 2 5 2 2" xfId="27655" xr:uid="{CC52D7F9-A402-4BFC-93FF-A099F8D8A944}"/>
    <cellStyle name="Currency 2 5 3 2 2 5 3" xfId="22447" xr:uid="{A3D5FF9A-20B8-4B2B-B3E2-D78DEFAC4187}"/>
    <cellStyle name="Currency 2 5 3 2 2 6" xfId="7528" xr:uid="{EC869533-EDE5-4BC6-B669-19EA70E4C433}"/>
    <cellStyle name="Currency 2 5 3 2 2 6 2" xfId="21579" xr:uid="{1125F874-905E-4122-979A-5A321BD55633}"/>
    <cellStyle name="Currency 2 5 3 2 2 7" xfId="11000" xr:uid="{D537BE61-FF0A-4B42-9172-C378D8289515}"/>
    <cellStyle name="Currency 2 5 3 2 2 7 2" xfId="25051" xr:uid="{86445E42-6B0A-4AF5-A17E-E1183498C1A6}"/>
    <cellStyle name="Currency 2 5 3 2 2 8" xfId="18305" xr:uid="{7497AE27-A4F9-4A5E-92E7-1EA9F9BAA977}"/>
    <cellStyle name="Currency 2 5 3 2 3" xfId="5168" xr:uid="{F5AB1889-6A30-4C5A-9B5C-C16C140BA727}"/>
    <cellStyle name="Currency 2 5 3 2 3 2" xfId="6036" xr:uid="{44FB9D20-B25B-4FD7-8C9D-6F988875FB58}"/>
    <cellStyle name="Currency 2 5 3 2 3 2 2" xfId="9508" xr:uid="{A748D9EA-9FF9-463E-AD81-987AD134F193}"/>
    <cellStyle name="Currency 2 5 3 2 3 2 2 2" xfId="23559" xr:uid="{DF4CF80D-195D-481B-BBFD-FEDFDBE6DCDF}"/>
    <cellStyle name="Currency 2 5 3 2 3 2 3" xfId="12112" xr:uid="{CF08273C-93CD-49DF-A064-79C5BC68FF01}"/>
    <cellStyle name="Currency 2 5 3 2 3 2 3 2" xfId="26163" xr:uid="{E8376A2F-345C-48B1-AF7B-D1B9BDCFFCD8}"/>
    <cellStyle name="Currency 2 5 3 2 3 2 4" xfId="20087" xr:uid="{4B668B91-2895-4751-81E4-025D382728A6}"/>
    <cellStyle name="Currency 2 5 3 2 3 3" xfId="6904" xr:uid="{8951F3D4-4293-430E-89FC-299A01D156A7}"/>
    <cellStyle name="Currency 2 5 3 2 3 3 2" xfId="10376" xr:uid="{321CD542-8483-4831-9656-B47349BA9FD4}"/>
    <cellStyle name="Currency 2 5 3 2 3 3 2 2" xfId="24427" xr:uid="{9F60F5A6-B3A1-4614-A6D1-6FB39A0411B1}"/>
    <cellStyle name="Currency 2 5 3 2 3 3 3" xfId="12980" xr:uid="{7861A5F6-2CD5-42A8-BA12-09F1EF32510E}"/>
    <cellStyle name="Currency 2 5 3 2 3 3 3 2" xfId="27031" xr:uid="{419A836B-1A4B-4D68-94B4-EB211CE798DE}"/>
    <cellStyle name="Currency 2 5 3 2 3 3 4" xfId="20955" xr:uid="{67B099DF-06E7-4E76-AEF6-9E8D136D8BA9}"/>
    <cellStyle name="Currency 2 5 3 2 3 4" xfId="8640" xr:uid="{EB7B3AD5-506F-4225-9048-F170DE830D1E}"/>
    <cellStyle name="Currency 2 5 3 2 3 4 2" xfId="13848" xr:uid="{BD52752D-4195-419B-92F2-F153EDBA4273}"/>
    <cellStyle name="Currency 2 5 3 2 3 4 2 2" xfId="27899" xr:uid="{78DD3020-B2D7-48AF-8829-7C4357A1A14C}"/>
    <cellStyle name="Currency 2 5 3 2 3 4 3" xfId="22691" xr:uid="{6A31505E-B17A-4076-BBBC-7B1D899CC015}"/>
    <cellStyle name="Currency 2 5 3 2 3 5" xfId="7772" xr:uid="{5013B5EC-F26D-47EA-A3CC-13EDD552375E}"/>
    <cellStyle name="Currency 2 5 3 2 3 5 2" xfId="21823" xr:uid="{25D4E7FE-D49D-413D-8357-718BD873CB97}"/>
    <cellStyle name="Currency 2 5 3 2 3 6" xfId="11244" xr:uid="{065EAD33-8D9A-4CDB-9EB1-8C5401B308DB}"/>
    <cellStyle name="Currency 2 5 3 2 3 6 2" xfId="25295" xr:uid="{CF66A2CE-5768-4612-B01B-F3842F57B364}"/>
    <cellStyle name="Currency 2 5 3 2 3 7" xfId="19219" xr:uid="{341505B2-744A-4523-AF62-CB9BA173CCF7}"/>
    <cellStyle name="Currency 2 5 3 2 4" xfId="5602" xr:uid="{9F16261C-C3AC-4CEF-B5C9-A7B62E5C4090}"/>
    <cellStyle name="Currency 2 5 3 2 4 2" xfId="9074" xr:uid="{503A89EF-BE00-46A4-ADBF-0B69F964C379}"/>
    <cellStyle name="Currency 2 5 3 2 4 2 2" xfId="23125" xr:uid="{A6853160-A311-4DA1-96D4-80BD2B0988D4}"/>
    <cellStyle name="Currency 2 5 3 2 4 3" xfId="11678" xr:uid="{0F24D0AA-BE4D-448B-88BE-73BCF91C789A}"/>
    <cellStyle name="Currency 2 5 3 2 4 3 2" xfId="25729" xr:uid="{83160D53-EC92-44AC-8E2F-34A130317410}"/>
    <cellStyle name="Currency 2 5 3 2 4 4" xfId="19653" xr:uid="{D6FFA4AB-4966-43A2-81CF-F97FBDBCF0F3}"/>
    <cellStyle name="Currency 2 5 3 2 5" xfId="6470" xr:uid="{31805418-68C6-4A2F-86CA-D39AC5D9373B}"/>
    <cellStyle name="Currency 2 5 3 2 5 2" xfId="9942" xr:uid="{5B874324-FB9B-42A1-9987-4B59D3DB525D}"/>
    <cellStyle name="Currency 2 5 3 2 5 2 2" xfId="23993" xr:uid="{928AFA20-4A85-4B1A-8622-F604C6CE53A8}"/>
    <cellStyle name="Currency 2 5 3 2 5 3" xfId="12546" xr:uid="{EE974B96-D322-47B0-B5FA-92F9098F9FC7}"/>
    <cellStyle name="Currency 2 5 3 2 5 3 2" xfId="26597" xr:uid="{EFA6116E-543D-4825-840E-F7D0BFC012AB}"/>
    <cellStyle name="Currency 2 5 3 2 5 4" xfId="20521" xr:uid="{A3AE44C0-6D70-4FC1-808C-AE06FB195179}"/>
    <cellStyle name="Currency 2 5 3 2 6" xfId="8206" xr:uid="{B2F6AE97-1831-4C9B-9D6E-9DD194FDD476}"/>
    <cellStyle name="Currency 2 5 3 2 6 2" xfId="13414" xr:uid="{CFF40B5C-EFC3-4DBF-B4C1-51457345A2F0}"/>
    <cellStyle name="Currency 2 5 3 2 6 2 2" xfId="27465" xr:uid="{30051355-18A2-4913-B141-C2C9A4C5ECDC}"/>
    <cellStyle name="Currency 2 5 3 2 6 3" xfId="22257" xr:uid="{2987F5D8-8F2C-4E3A-BF83-08C016ECB074}"/>
    <cellStyle name="Currency 2 5 3 2 7" xfId="7338" xr:uid="{63A14097-7635-4961-8941-A19B08B70A4C}"/>
    <cellStyle name="Currency 2 5 3 2 7 2" xfId="21389" xr:uid="{8F7F996E-6DFF-4736-A604-1D273ABEB7B0}"/>
    <cellStyle name="Currency 2 5 3 2 8" xfId="10810" xr:uid="{C4059C21-8690-4B51-8323-DE73D3FD3ADD}"/>
    <cellStyle name="Currency 2 5 3 2 8 2" xfId="24861" xr:uid="{4C931ED1-F6F1-4FA9-878F-FA6356D29868}"/>
    <cellStyle name="Currency 2 5 3 2 9" xfId="16114" xr:uid="{0D4FF8C2-2F5E-404A-B9F5-98E6EEE299D9}"/>
    <cellStyle name="Currency 2 5 3 3" xfId="3158" xr:uid="{634E4A4A-2567-4479-A036-AF89F0AE7CAE}"/>
    <cellStyle name="Currency 2 5 3 3 2" xfId="5263" xr:uid="{D3E86D2E-4F6B-425F-BA23-1970E4C7B5E2}"/>
    <cellStyle name="Currency 2 5 3 3 2 2" xfId="6131" xr:uid="{A53DC93F-6595-4259-8035-850ECF947D45}"/>
    <cellStyle name="Currency 2 5 3 3 2 2 2" xfId="9603" xr:uid="{8DEE372C-3B62-4D4F-B159-46565C87ABE5}"/>
    <cellStyle name="Currency 2 5 3 3 2 2 2 2" xfId="23654" xr:uid="{936F7BE7-6AEA-40BA-8BF6-9BA0802CAB2E}"/>
    <cellStyle name="Currency 2 5 3 3 2 2 3" xfId="12207" xr:uid="{09AAA311-2472-4D6A-8B0E-0A9E4B561F57}"/>
    <cellStyle name="Currency 2 5 3 3 2 2 3 2" xfId="26258" xr:uid="{B36004E3-F9D9-4EF1-AB16-951D3DAEA820}"/>
    <cellStyle name="Currency 2 5 3 3 2 2 4" xfId="20182" xr:uid="{C93FD643-9CEA-4F11-83AA-9525D8EE0BA3}"/>
    <cellStyle name="Currency 2 5 3 3 2 3" xfId="6999" xr:uid="{3AFD2B58-0FEE-4ECB-876A-F07AF09543DC}"/>
    <cellStyle name="Currency 2 5 3 3 2 3 2" xfId="10471" xr:uid="{18125F5C-F200-426D-8498-E07DA1A68DC3}"/>
    <cellStyle name="Currency 2 5 3 3 2 3 2 2" xfId="24522" xr:uid="{B6E3D10E-BD8D-4F6A-933A-92558FC385B8}"/>
    <cellStyle name="Currency 2 5 3 3 2 3 3" xfId="13075" xr:uid="{64E8BDAB-CFC8-44ED-9A31-6C93AC7C86B5}"/>
    <cellStyle name="Currency 2 5 3 3 2 3 3 2" xfId="27126" xr:uid="{47B9540E-D264-4389-8373-8F38CC901CB7}"/>
    <cellStyle name="Currency 2 5 3 3 2 3 4" xfId="21050" xr:uid="{FDAD37BB-D195-4F86-840D-43D707FE9010}"/>
    <cellStyle name="Currency 2 5 3 3 2 4" xfId="8735" xr:uid="{488649D5-DC62-4308-A38A-E55BA3F772FF}"/>
    <cellStyle name="Currency 2 5 3 3 2 4 2" xfId="13943" xr:uid="{D6198C64-3E38-4C26-823D-557A9C1BDEE5}"/>
    <cellStyle name="Currency 2 5 3 3 2 4 2 2" xfId="27994" xr:uid="{CB90F136-194E-477F-898F-5F799F5777E9}"/>
    <cellStyle name="Currency 2 5 3 3 2 4 3" xfId="22786" xr:uid="{47CAE1C0-2734-47AB-B2E2-B65D49816790}"/>
    <cellStyle name="Currency 2 5 3 3 2 5" xfId="7867" xr:uid="{6C0D6C4A-92CD-4F52-9E32-0A6B84EC541B}"/>
    <cellStyle name="Currency 2 5 3 3 2 5 2" xfId="21918" xr:uid="{E944B5A1-1DCE-452A-9C6B-3BEC0B11251F}"/>
    <cellStyle name="Currency 2 5 3 3 2 6" xfId="11339" xr:uid="{C498853C-CC14-4AF0-8637-F4436F87D953}"/>
    <cellStyle name="Currency 2 5 3 3 2 6 2" xfId="25390" xr:uid="{338B2229-C446-441A-A74E-A0D40111D90A}"/>
    <cellStyle name="Currency 2 5 3 3 2 7" xfId="19314" xr:uid="{D9805D90-8799-4B0A-B3D1-C3F90AB5C17D}"/>
    <cellStyle name="Currency 2 5 3 3 3" xfId="5697" xr:uid="{869CCF42-8108-4305-BF0F-7C1E995BD549}"/>
    <cellStyle name="Currency 2 5 3 3 3 2" xfId="9169" xr:uid="{0E4E0950-CE70-4AD8-AA9A-CD980115D0B4}"/>
    <cellStyle name="Currency 2 5 3 3 3 2 2" xfId="23220" xr:uid="{D89D9504-16FB-403E-A426-639A97998CE0}"/>
    <cellStyle name="Currency 2 5 3 3 3 3" xfId="11773" xr:uid="{52385C42-7005-48A4-82EB-395C76229640}"/>
    <cellStyle name="Currency 2 5 3 3 3 3 2" xfId="25824" xr:uid="{411E13FC-C8FF-4B2E-9EE4-093117089637}"/>
    <cellStyle name="Currency 2 5 3 3 3 4" xfId="19748" xr:uid="{0494B246-5964-4214-80B7-D2F9C0B9602E}"/>
    <cellStyle name="Currency 2 5 3 3 4" xfId="6565" xr:uid="{B88F5BED-1951-4D48-9E40-8D6D07F573B3}"/>
    <cellStyle name="Currency 2 5 3 3 4 2" xfId="10037" xr:uid="{8C2462F3-7C58-4216-B026-BB1D610E4AB2}"/>
    <cellStyle name="Currency 2 5 3 3 4 2 2" xfId="24088" xr:uid="{C96ADD53-9F9B-4D7B-BE46-8E4C0AC1EA2F}"/>
    <cellStyle name="Currency 2 5 3 3 4 3" xfId="12641" xr:uid="{0B86E650-3EC7-4D88-A58F-B231F50F4A1F}"/>
    <cellStyle name="Currency 2 5 3 3 4 3 2" xfId="26692" xr:uid="{E31AF3D6-84CF-4DF3-A2F6-CA1419337CF1}"/>
    <cellStyle name="Currency 2 5 3 3 4 4" xfId="20616" xr:uid="{2214F832-3249-4F94-9866-25F82214534B}"/>
    <cellStyle name="Currency 2 5 3 3 5" xfId="8301" xr:uid="{A4302F90-A043-4D19-A656-C997FED43C05}"/>
    <cellStyle name="Currency 2 5 3 3 5 2" xfId="13509" xr:uid="{74F973EE-3C31-43A9-89B1-CE6A87CFE382}"/>
    <cellStyle name="Currency 2 5 3 3 5 2 2" xfId="27560" xr:uid="{289DAC6E-5ACA-467F-BB2C-811BF0116944}"/>
    <cellStyle name="Currency 2 5 3 3 5 3" xfId="22352" xr:uid="{63BA6063-B6CB-4BBC-A5A4-3C2A820970A5}"/>
    <cellStyle name="Currency 2 5 3 3 6" xfId="7433" xr:uid="{E171B5B7-3EDF-477D-B1F8-1CF66B067731}"/>
    <cellStyle name="Currency 2 5 3 3 6 2" xfId="21484" xr:uid="{F2AC1C91-9912-42D2-84FD-FD1D2A763D48}"/>
    <cellStyle name="Currency 2 5 3 3 7" xfId="10905" xr:uid="{83AC48F9-B26F-4A1C-B8AF-AA66460EC12D}"/>
    <cellStyle name="Currency 2 5 3 3 7 2" xfId="24956" xr:uid="{2EA5E1D2-C50A-4AF2-80AB-40878FAC101F}"/>
    <cellStyle name="Currency 2 5 3 3 8" xfId="17210" xr:uid="{6C0C9570-A2F6-4CAA-B1A2-C94B9A67E74B}"/>
    <cellStyle name="Currency 2 5 3 4" xfId="5071" xr:uid="{14F13FAA-62AE-4E4D-95C4-303701BCEDD8}"/>
    <cellStyle name="Currency 2 5 3 4 2" xfId="5939" xr:uid="{315A9A00-C6EE-4FCC-9168-C0245B8749CA}"/>
    <cellStyle name="Currency 2 5 3 4 2 2" xfId="9411" xr:uid="{7AC392F3-CE41-4948-A3C9-4C85E9F68462}"/>
    <cellStyle name="Currency 2 5 3 4 2 2 2" xfId="23462" xr:uid="{6B9397CE-E611-4994-BE4F-D46E66F45ED5}"/>
    <cellStyle name="Currency 2 5 3 4 2 3" xfId="12015" xr:uid="{07AFEB47-916E-40A6-8CF1-39C9420E949D}"/>
    <cellStyle name="Currency 2 5 3 4 2 3 2" xfId="26066" xr:uid="{FE0E6848-C238-41EB-8514-72F3D74FE399}"/>
    <cellStyle name="Currency 2 5 3 4 2 4" xfId="19990" xr:uid="{7B14EF29-44B4-4F68-B1B3-107184AAD93D}"/>
    <cellStyle name="Currency 2 5 3 4 3" xfId="6807" xr:uid="{AA1C60A5-85DD-4B64-8889-6516F3DD8A12}"/>
    <cellStyle name="Currency 2 5 3 4 3 2" xfId="10279" xr:uid="{6E5F5D8B-9E86-4A85-A169-7D9F2D2905BC}"/>
    <cellStyle name="Currency 2 5 3 4 3 2 2" xfId="24330" xr:uid="{ECC128A5-8C29-4AEA-A09A-B0E4E66AF881}"/>
    <cellStyle name="Currency 2 5 3 4 3 3" xfId="12883" xr:uid="{E2A061A4-A066-4BDA-8E7C-96985ADF1AC7}"/>
    <cellStyle name="Currency 2 5 3 4 3 3 2" xfId="26934" xr:uid="{88F533CA-ACE8-48F0-89E5-E0AC95C5B44A}"/>
    <cellStyle name="Currency 2 5 3 4 3 4" xfId="20858" xr:uid="{933FA6F8-87F5-42BF-BA36-13EF29EADE8E}"/>
    <cellStyle name="Currency 2 5 3 4 4" xfId="8543" xr:uid="{A54718F6-7C65-46A3-A0AC-A09C84CA7C78}"/>
    <cellStyle name="Currency 2 5 3 4 4 2" xfId="13751" xr:uid="{5A7E35BA-284A-4758-8108-BC9E3B05112D}"/>
    <cellStyle name="Currency 2 5 3 4 4 2 2" xfId="27802" xr:uid="{537765FE-0EA0-46D1-96A1-7692D9B93DBD}"/>
    <cellStyle name="Currency 2 5 3 4 4 3" xfId="22594" xr:uid="{6E2CDD96-49C3-40B2-ACD7-4829EDCC48B4}"/>
    <cellStyle name="Currency 2 5 3 4 5" xfId="7675" xr:uid="{355667B2-9120-4BF8-931B-4F2855203129}"/>
    <cellStyle name="Currency 2 5 3 4 5 2" xfId="21726" xr:uid="{27FF61CB-99D5-43DF-BD7E-38F707622232}"/>
    <cellStyle name="Currency 2 5 3 4 6" xfId="11147" xr:uid="{64B9C905-0D12-452C-883E-797C63AE7826}"/>
    <cellStyle name="Currency 2 5 3 4 6 2" xfId="25198" xr:uid="{F960A677-71D5-4A9A-93AA-ADF89C93E04B}"/>
    <cellStyle name="Currency 2 5 3 4 7" xfId="19122" xr:uid="{23ACBE3D-0BB9-4DE3-B5A8-6157B40A6EDA}"/>
    <cellStyle name="Currency 2 5 3 5" xfId="5505" xr:uid="{0B54FA92-11DB-4339-AEF5-56B5239198E4}"/>
    <cellStyle name="Currency 2 5 3 5 2" xfId="8977" xr:uid="{583CC0F1-BD1D-48BF-9F2B-CEE55F0D3D68}"/>
    <cellStyle name="Currency 2 5 3 5 2 2" xfId="23028" xr:uid="{250C7A28-1E7C-4046-BAFB-7271AE2B667D}"/>
    <cellStyle name="Currency 2 5 3 5 3" xfId="11581" xr:uid="{951E6CA2-6C8F-48DB-A1C1-51CFB7326EDA}"/>
    <cellStyle name="Currency 2 5 3 5 3 2" xfId="25632" xr:uid="{96D6EBE8-4F6F-4008-92B1-106EB8BDAD9E}"/>
    <cellStyle name="Currency 2 5 3 5 4" xfId="19556" xr:uid="{0809433A-5850-4F40-AE3C-63340BE0F168}"/>
    <cellStyle name="Currency 2 5 3 6" xfId="6373" xr:uid="{0FD4EDDF-0C07-4B93-9B6F-6E1D5702D6CC}"/>
    <cellStyle name="Currency 2 5 3 6 2" xfId="9845" xr:uid="{6838009B-4F72-4C68-B282-DB280441B936}"/>
    <cellStyle name="Currency 2 5 3 6 2 2" xfId="23896" xr:uid="{C1A8DFC7-7E70-4DE3-B4F1-D1376EC46A3A}"/>
    <cellStyle name="Currency 2 5 3 6 3" xfId="12449" xr:uid="{D0FF12E6-10AF-4967-A2DD-B4F358C85F74}"/>
    <cellStyle name="Currency 2 5 3 6 3 2" xfId="26500" xr:uid="{F4EC97DE-C96F-497B-86C5-CA5720099AE5}"/>
    <cellStyle name="Currency 2 5 3 6 4" xfId="20424" xr:uid="{4FB6CA99-9165-422E-AB49-E2CBBE5ADE91}"/>
    <cellStyle name="Currency 2 5 3 7" xfId="8109" xr:uid="{E11E21CC-CCDB-48CE-93CD-13EC55082374}"/>
    <cellStyle name="Currency 2 5 3 7 2" xfId="13317" xr:uid="{73BE9DAB-F76A-4C55-9F9B-BAC1A009F221}"/>
    <cellStyle name="Currency 2 5 3 7 2 2" xfId="27368" xr:uid="{7F9E282D-0B65-43C1-91A5-D70CA1C66F8B}"/>
    <cellStyle name="Currency 2 5 3 7 3" xfId="22160" xr:uid="{D1383B83-046B-4682-96BB-165FBEA58C42}"/>
    <cellStyle name="Currency 2 5 3 8" xfId="7241" xr:uid="{4D32788C-8399-4802-879E-F72B556240F3}"/>
    <cellStyle name="Currency 2 5 3 8 2" xfId="21292" xr:uid="{50BB8D5B-7A2B-4444-931E-1954C7B1C2DD}"/>
    <cellStyle name="Currency 2 5 3 9" xfId="10713" xr:uid="{70CC7E01-0D32-460B-A139-50A2E49EBFB2}"/>
    <cellStyle name="Currency 2 5 3 9 2" xfId="24764" xr:uid="{E141C4ED-F93A-4226-8F8D-410034C87E89}"/>
    <cellStyle name="Currency 2 5 4" xfId="1546" xr:uid="{0007899E-7A05-498E-81F5-237C74E5EC3E}"/>
    <cellStyle name="Currency 2 5 4 2" xfId="3736" xr:uid="{D46201FB-2927-4EE7-9294-578430738F62}"/>
    <cellStyle name="Currency 2 5 4 2 2" xfId="5314" xr:uid="{5868256C-676D-4ECF-8F96-3B04E7E0D3F2}"/>
    <cellStyle name="Currency 2 5 4 2 2 2" xfId="6182" xr:uid="{7A3754EA-2D8F-47C7-9ABE-88E6DDBA9950}"/>
    <cellStyle name="Currency 2 5 4 2 2 2 2" xfId="9654" xr:uid="{E4043159-4E35-4334-B5B7-409FC80EFBB3}"/>
    <cellStyle name="Currency 2 5 4 2 2 2 2 2" xfId="23705" xr:uid="{618E5CF8-AE08-4E3F-BDEC-0EA49811F642}"/>
    <cellStyle name="Currency 2 5 4 2 2 2 3" xfId="12258" xr:uid="{3F8F8123-6CAF-49B1-8496-E214DD3F0397}"/>
    <cellStyle name="Currency 2 5 4 2 2 2 3 2" xfId="26309" xr:uid="{C2D6ED57-4690-449C-952A-AB295D1AE5D9}"/>
    <cellStyle name="Currency 2 5 4 2 2 2 4" xfId="20233" xr:uid="{D5BE2D81-23B4-4FFB-885F-60F233E8C42A}"/>
    <cellStyle name="Currency 2 5 4 2 2 3" xfId="7050" xr:uid="{028D7B34-8A0D-41A7-834F-95C67EAFDD3F}"/>
    <cellStyle name="Currency 2 5 4 2 2 3 2" xfId="10522" xr:uid="{E929315D-A982-4E8A-9D3E-4E70D6107F56}"/>
    <cellStyle name="Currency 2 5 4 2 2 3 2 2" xfId="24573" xr:uid="{989DEE85-42A0-4288-A94C-DBFD6BEE0BF4}"/>
    <cellStyle name="Currency 2 5 4 2 2 3 3" xfId="13126" xr:uid="{037A9706-9E84-4A8B-AA3E-E8775E3B5CFA}"/>
    <cellStyle name="Currency 2 5 4 2 2 3 3 2" xfId="27177" xr:uid="{7D5937F7-646A-4101-8DA6-43F18E0F9FE4}"/>
    <cellStyle name="Currency 2 5 4 2 2 3 4" xfId="21101" xr:uid="{A1947ACA-9977-48E3-9D8F-E2A200FAE127}"/>
    <cellStyle name="Currency 2 5 4 2 2 4" xfId="8786" xr:uid="{EE3062A4-7B3D-4E04-AF45-0AF83C8C2354}"/>
    <cellStyle name="Currency 2 5 4 2 2 4 2" xfId="13994" xr:uid="{A6D6EB28-A60C-4AC2-A10C-B96776E55741}"/>
    <cellStyle name="Currency 2 5 4 2 2 4 2 2" xfId="28045" xr:uid="{6E3047B5-73B0-4E53-AC03-18F6D104A765}"/>
    <cellStyle name="Currency 2 5 4 2 2 4 3" xfId="22837" xr:uid="{68B182F2-3E9D-4DBE-8D34-2E182D960E07}"/>
    <cellStyle name="Currency 2 5 4 2 2 5" xfId="7918" xr:uid="{2BFFA1D2-37F1-4E1E-A471-896E47BFD5D4}"/>
    <cellStyle name="Currency 2 5 4 2 2 5 2" xfId="21969" xr:uid="{29B4B6B5-4FBF-48C2-BEF2-808133F1BCB1}"/>
    <cellStyle name="Currency 2 5 4 2 2 6" xfId="11390" xr:uid="{A90152A2-AAA0-4EC8-94A3-A988B6FC31FD}"/>
    <cellStyle name="Currency 2 5 4 2 2 6 2" xfId="25441" xr:uid="{9609931B-27A2-4D4F-BE67-7E70805DA396}"/>
    <cellStyle name="Currency 2 5 4 2 2 7" xfId="19365" xr:uid="{A775AFE2-C77F-4CC8-B240-DF751CAECA56}"/>
    <cellStyle name="Currency 2 5 4 2 3" xfId="5748" xr:uid="{C2CB854A-21F7-4F03-80B5-F9E50B62DBD2}"/>
    <cellStyle name="Currency 2 5 4 2 3 2" xfId="9220" xr:uid="{43CF3C1D-AD54-4A3B-A22D-DAB7FA8E21F9}"/>
    <cellStyle name="Currency 2 5 4 2 3 2 2" xfId="23271" xr:uid="{705D5E3C-CEE1-46A4-94BE-41743925A9DD}"/>
    <cellStyle name="Currency 2 5 4 2 3 3" xfId="11824" xr:uid="{15FD8CD2-9FA0-4B72-BEEB-AC8CE99B9067}"/>
    <cellStyle name="Currency 2 5 4 2 3 3 2" xfId="25875" xr:uid="{EB871276-65D0-42CF-80BF-561C66878F72}"/>
    <cellStyle name="Currency 2 5 4 2 3 4" xfId="19799" xr:uid="{2FB8E52A-D301-4C36-A124-2FF86099F738}"/>
    <cellStyle name="Currency 2 5 4 2 4" xfId="6616" xr:uid="{72F0A429-2403-43B5-BEF8-CE210B84746C}"/>
    <cellStyle name="Currency 2 5 4 2 4 2" xfId="10088" xr:uid="{55218079-3627-4C5F-B07E-C5ABBF29FA18}"/>
    <cellStyle name="Currency 2 5 4 2 4 2 2" xfId="24139" xr:uid="{4B19B082-CA5A-4E1F-A43A-3FE4702547D7}"/>
    <cellStyle name="Currency 2 5 4 2 4 3" xfId="12692" xr:uid="{D7C74B53-A345-4C5C-A1B0-00CD642A3921}"/>
    <cellStyle name="Currency 2 5 4 2 4 3 2" xfId="26743" xr:uid="{020581AF-8F1A-46DB-A550-6CA0C30B8988}"/>
    <cellStyle name="Currency 2 5 4 2 4 4" xfId="20667" xr:uid="{BC836343-69CF-4CEE-9DC3-C569FD938310}"/>
    <cellStyle name="Currency 2 5 4 2 5" xfId="8352" xr:uid="{CE3CF308-D73A-494D-83D1-01DC4F9023F0}"/>
    <cellStyle name="Currency 2 5 4 2 5 2" xfId="13560" xr:uid="{B5D57720-E8A2-4305-AA10-D31647F51A23}"/>
    <cellStyle name="Currency 2 5 4 2 5 2 2" xfId="27611" xr:uid="{FAFEBA8F-E44E-4374-B112-908663AAF44F}"/>
    <cellStyle name="Currency 2 5 4 2 5 3" xfId="22403" xr:uid="{14FAC352-D716-42B0-8FD5-B7A72447D3A0}"/>
    <cellStyle name="Currency 2 5 4 2 6" xfId="7484" xr:uid="{C14717BE-A049-4844-8BFD-E7E57773A8E4}"/>
    <cellStyle name="Currency 2 5 4 2 6 2" xfId="21535" xr:uid="{1407F82A-C5C4-48DE-A0AA-E743FE739EE5}"/>
    <cellStyle name="Currency 2 5 4 2 7" xfId="10956" xr:uid="{88E389BB-389A-4979-A8CB-DF29A3BCE8AF}"/>
    <cellStyle name="Currency 2 5 4 2 7 2" xfId="25007" xr:uid="{04A08839-8073-4672-85AE-51406364C45B}"/>
    <cellStyle name="Currency 2 5 4 2 8" xfId="17789" xr:uid="{53A92CCC-E5FB-4BAA-8DCA-BC20A762911F}"/>
    <cellStyle name="Currency 2 5 4 3" xfId="5123" xr:uid="{DA7CF8A1-D7FB-4F87-8EEA-60E8CB02C2BB}"/>
    <cellStyle name="Currency 2 5 4 3 2" xfId="5991" xr:uid="{4C142862-2081-42EB-ACA3-BE2E8234BD31}"/>
    <cellStyle name="Currency 2 5 4 3 2 2" xfId="9463" xr:uid="{FE608320-AF83-41F6-A197-307A75B31967}"/>
    <cellStyle name="Currency 2 5 4 3 2 2 2" xfId="23514" xr:uid="{5C8C40F5-EE04-4747-B5C3-0CE45C53E11E}"/>
    <cellStyle name="Currency 2 5 4 3 2 3" xfId="12067" xr:uid="{943CD228-F377-4FB2-8096-1604DCBCB891}"/>
    <cellStyle name="Currency 2 5 4 3 2 3 2" xfId="26118" xr:uid="{097BD1CB-3D52-4C26-8AF4-68B34ED7AE32}"/>
    <cellStyle name="Currency 2 5 4 3 2 4" xfId="20042" xr:uid="{49C4D318-213B-4F50-9FB6-36CCDCEB5197}"/>
    <cellStyle name="Currency 2 5 4 3 3" xfId="6859" xr:uid="{8AB2D1FF-143F-4643-B3BF-A9A138A25F7D}"/>
    <cellStyle name="Currency 2 5 4 3 3 2" xfId="10331" xr:uid="{8D249D92-62B0-430C-B446-A20763C25722}"/>
    <cellStyle name="Currency 2 5 4 3 3 2 2" xfId="24382" xr:uid="{AFA851BC-1E07-4659-88F8-8C0EBDE2890C}"/>
    <cellStyle name="Currency 2 5 4 3 3 3" xfId="12935" xr:uid="{9FD81B36-5BA3-439E-BB89-56D3DF847499}"/>
    <cellStyle name="Currency 2 5 4 3 3 3 2" xfId="26986" xr:uid="{B463DAB7-5DBF-4227-89A0-57B9BE0A85E0}"/>
    <cellStyle name="Currency 2 5 4 3 3 4" xfId="20910" xr:uid="{B93C888E-AA34-4039-820B-E74465D1E26E}"/>
    <cellStyle name="Currency 2 5 4 3 4" xfId="8595" xr:uid="{07343E34-3A3C-470A-8149-3CC66497829D}"/>
    <cellStyle name="Currency 2 5 4 3 4 2" xfId="13803" xr:uid="{AD59AD7E-DA59-4976-98BB-A6A85B605030}"/>
    <cellStyle name="Currency 2 5 4 3 4 2 2" xfId="27854" xr:uid="{E77624C4-FA11-4C31-BB34-F14ACD7F3557}"/>
    <cellStyle name="Currency 2 5 4 3 4 3" xfId="22646" xr:uid="{E83B4D79-E083-4B40-A505-A3DCA01E7AFC}"/>
    <cellStyle name="Currency 2 5 4 3 5" xfId="7727" xr:uid="{AB5BEB27-1E04-4A47-8DE1-1250A870D884}"/>
    <cellStyle name="Currency 2 5 4 3 5 2" xfId="21778" xr:uid="{D9001C72-95DA-43D2-93ED-747AB2DE2C48}"/>
    <cellStyle name="Currency 2 5 4 3 6" xfId="11199" xr:uid="{0A92A92F-4CD7-4233-82CE-F0776244F75C}"/>
    <cellStyle name="Currency 2 5 4 3 6 2" xfId="25250" xr:uid="{1824C93A-20A2-480D-9B7E-A3F1B0BC588F}"/>
    <cellStyle name="Currency 2 5 4 3 7" xfId="19174" xr:uid="{EBE11937-284D-44FA-95A8-3558ECA21C1A}"/>
    <cellStyle name="Currency 2 5 4 4" xfId="5557" xr:uid="{0D3F5B33-C5D2-410D-B955-02B30D229870}"/>
    <cellStyle name="Currency 2 5 4 4 2" xfId="9029" xr:uid="{D827CBA4-93BD-4CC3-A4C9-494C2276592E}"/>
    <cellStyle name="Currency 2 5 4 4 2 2" xfId="23080" xr:uid="{EB328E4D-09EF-43B7-BE3A-8D96B2895D50}"/>
    <cellStyle name="Currency 2 5 4 4 3" xfId="11633" xr:uid="{4F369B5A-4214-4293-BAA0-0E6FBFF852A2}"/>
    <cellStyle name="Currency 2 5 4 4 3 2" xfId="25684" xr:uid="{98E06F51-39A4-46D6-A744-EF9B33021B45}"/>
    <cellStyle name="Currency 2 5 4 4 4" xfId="19608" xr:uid="{4BD6C346-1001-4C85-8BCF-F2BE16A587F1}"/>
    <cellStyle name="Currency 2 5 4 5" xfId="6425" xr:uid="{59F8D8F4-6CE9-4972-9C68-890A19D1F2D9}"/>
    <cellStyle name="Currency 2 5 4 5 2" xfId="9897" xr:uid="{34D13AA0-6A26-42B3-A42B-732E5480FB97}"/>
    <cellStyle name="Currency 2 5 4 5 2 2" xfId="23948" xr:uid="{8742E21B-CFEC-40CD-96F8-9E4D3FD2CCDC}"/>
    <cellStyle name="Currency 2 5 4 5 3" xfId="12501" xr:uid="{2BDBC296-D99B-4366-B404-A5D67C76B0E2}"/>
    <cellStyle name="Currency 2 5 4 5 3 2" xfId="26552" xr:uid="{0390C7D1-0B8E-4422-A12C-A26E61B68004}"/>
    <cellStyle name="Currency 2 5 4 5 4" xfId="20476" xr:uid="{D0EEDD7D-220C-4F8E-8E0B-44C8F861809F}"/>
    <cellStyle name="Currency 2 5 4 6" xfId="8161" xr:uid="{D358BFF2-E38B-4001-9BEE-8B7575D2137E}"/>
    <cellStyle name="Currency 2 5 4 6 2" xfId="13369" xr:uid="{82497E16-EC55-427B-9D3E-B79DCC4BD52A}"/>
    <cellStyle name="Currency 2 5 4 6 2 2" xfId="27420" xr:uid="{55F07E01-CCE1-4803-A1E7-407C5141A357}"/>
    <cellStyle name="Currency 2 5 4 6 3" xfId="22212" xr:uid="{AEC48BF6-13F3-48F5-BDB8-343DB405D3FB}"/>
    <cellStyle name="Currency 2 5 4 7" xfId="7293" xr:uid="{940FFA9E-9EE0-491F-9C13-C4B98A90945A}"/>
    <cellStyle name="Currency 2 5 4 7 2" xfId="21344" xr:uid="{A0EC0C51-89AC-4929-A4E2-85BEF2054EF1}"/>
    <cellStyle name="Currency 2 5 4 8" xfId="10765" xr:uid="{46E5115A-0498-4C8A-B046-7697B1D8B4BF}"/>
    <cellStyle name="Currency 2 5 4 8 2" xfId="24816" xr:uid="{ABFB9ECC-F01B-45B9-A264-213271A01EE8}"/>
    <cellStyle name="Currency 2 5 4 9" xfId="15595" xr:uid="{627C8E1B-D0BA-42BA-9694-E948D3A6F97B}"/>
    <cellStyle name="Currency 2 5 5" xfId="2465" xr:uid="{759673A9-E565-4754-9584-E0727F8AFB6E}"/>
    <cellStyle name="Currency 2 5 5 2" xfId="5203" xr:uid="{DCFA6324-7960-4E0E-8D01-1239F3B74A28}"/>
    <cellStyle name="Currency 2 5 5 2 2" xfId="6071" xr:uid="{CB01CBE7-6997-458B-AF3D-69A49F6978B2}"/>
    <cellStyle name="Currency 2 5 5 2 2 2" xfId="9543" xr:uid="{7E6E0697-DD3B-42E8-8D32-352C20EA8865}"/>
    <cellStyle name="Currency 2 5 5 2 2 2 2" xfId="23594" xr:uid="{47F40743-0233-4955-83F3-6952FB692404}"/>
    <cellStyle name="Currency 2 5 5 2 2 3" xfId="12147" xr:uid="{846C6F43-67CA-4984-9558-A90F7A137432}"/>
    <cellStyle name="Currency 2 5 5 2 2 3 2" xfId="26198" xr:uid="{7781D93C-8173-4BAB-B2E0-3B702613F38D}"/>
    <cellStyle name="Currency 2 5 5 2 2 4" xfId="20122" xr:uid="{723E9264-BFD2-43B6-9A55-72E7545DEF71}"/>
    <cellStyle name="Currency 2 5 5 2 3" xfId="6939" xr:uid="{043DBCD5-779E-4DA1-A1D4-15F29C515B8A}"/>
    <cellStyle name="Currency 2 5 5 2 3 2" xfId="10411" xr:uid="{4CE3EDE9-01C6-48D8-86E7-6847D5372BF5}"/>
    <cellStyle name="Currency 2 5 5 2 3 2 2" xfId="24462" xr:uid="{21E96DDA-0F2D-4F76-A2C0-E14ED0DA99AA}"/>
    <cellStyle name="Currency 2 5 5 2 3 3" xfId="13015" xr:uid="{3E7E1044-72DD-4A75-A08B-07219CFBE97F}"/>
    <cellStyle name="Currency 2 5 5 2 3 3 2" xfId="27066" xr:uid="{0F3571B2-E31C-4AD9-B861-B611DC36262B}"/>
    <cellStyle name="Currency 2 5 5 2 3 4" xfId="20990" xr:uid="{C73E9EF0-99AC-45BB-ACC9-D859C8B40540}"/>
    <cellStyle name="Currency 2 5 5 2 4" xfId="8675" xr:uid="{31F27959-313F-4B66-8F16-825FB07BD7D0}"/>
    <cellStyle name="Currency 2 5 5 2 4 2" xfId="13883" xr:uid="{0BC0EB26-DC08-495F-AD2E-09B86EB934EA}"/>
    <cellStyle name="Currency 2 5 5 2 4 2 2" xfId="27934" xr:uid="{C4F038B3-9DAF-4F79-8F1E-BEAD026C4017}"/>
    <cellStyle name="Currency 2 5 5 2 4 3" xfId="22726" xr:uid="{ED61A03D-9929-4BB0-8A62-02C18E738F2A}"/>
    <cellStyle name="Currency 2 5 5 2 5" xfId="7807" xr:uid="{45E3B6C7-1789-4938-91B5-17B832992B89}"/>
    <cellStyle name="Currency 2 5 5 2 5 2" xfId="21858" xr:uid="{C91AA883-6FEE-4E1D-9D71-72566E31EE59}"/>
    <cellStyle name="Currency 2 5 5 2 6" xfId="11279" xr:uid="{123B4448-5E53-4478-8F6F-67BFD8008348}"/>
    <cellStyle name="Currency 2 5 5 2 6 2" xfId="25330" xr:uid="{85F000EA-FB28-417B-8051-7B72D877381E}"/>
    <cellStyle name="Currency 2 5 5 2 7" xfId="19254" xr:uid="{42800F81-EFA2-4ACE-91B0-0479C6C247B4}"/>
    <cellStyle name="Currency 2 5 5 3" xfId="5637" xr:uid="{A187E838-442E-4002-B078-AE0A751E3D31}"/>
    <cellStyle name="Currency 2 5 5 3 2" xfId="9109" xr:uid="{AFA26969-8268-4FC7-B5ED-E7196DAE54F7}"/>
    <cellStyle name="Currency 2 5 5 3 2 2" xfId="23160" xr:uid="{421A359C-9D2C-4966-B182-ADD0ABD4829D}"/>
    <cellStyle name="Currency 2 5 5 3 3" xfId="11713" xr:uid="{B50D082C-7FF8-42F9-9B9D-A8A9EB45C94A}"/>
    <cellStyle name="Currency 2 5 5 3 3 2" xfId="25764" xr:uid="{DBA61667-CCDB-4A8B-807B-6351C78895FB}"/>
    <cellStyle name="Currency 2 5 5 3 4" xfId="19688" xr:uid="{11AD0B33-E134-4E67-9543-9D4C4F1B4EB0}"/>
    <cellStyle name="Currency 2 5 5 4" xfId="6505" xr:uid="{22886ABA-CA27-40BA-90BB-839E484BBE07}"/>
    <cellStyle name="Currency 2 5 5 4 2" xfId="9977" xr:uid="{D929FE38-3ADB-44E9-AE85-8EBFB3EB8648}"/>
    <cellStyle name="Currency 2 5 5 4 2 2" xfId="24028" xr:uid="{28690062-0154-42BB-8D37-97C90029253E}"/>
    <cellStyle name="Currency 2 5 5 4 3" xfId="12581" xr:uid="{5555FAC6-7633-4363-B4B3-FFD7002A328E}"/>
    <cellStyle name="Currency 2 5 5 4 3 2" xfId="26632" xr:uid="{3E05926B-39B3-4A02-AA63-A4EAF2D89194}"/>
    <cellStyle name="Currency 2 5 5 4 4" xfId="20556" xr:uid="{FE2156A8-2726-4198-B227-66555B68BC97}"/>
    <cellStyle name="Currency 2 5 5 5" xfId="8241" xr:uid="{9881C0CC-A2C0-4EDC-9F70-4FDA6805744C}"/>
    <cellStyle name="Currency 2 5 5 5 2" xfId="13449" xr:uid="{37BA1609-8DDE-48CB-9ED6-013852B36C53}"/>
    <cellStyle name="Currency 2 5 5 5 2 2" xfId="27500" xr:uid="{4AB26125-224A-4DDF-8F45-F5B192D36F22}"/>
    <cellStyle name="Currency 2 5 5 5 3" xfId="22292" xr:uid="{3D00B175-0EB0-46A2-95C7-B097B4B2D21D}"/>
    <cellStyle name="Currency 2 5 5 6" xfId="7373" xr:uid="{2531B5D5-AF72-4EBF-930D-5E6114B1E074}"/>
    <cellStyle name="Currency 2 5 5 6 2" xfId="21424" xr:uid="{19A22120-D605-46AD-A6EC-07FC6F20C925}"/>
    <cellStyle name="Currency 2 5 5 7" xfId="10845" xr:uid="{940EEF19-C0D8-4C62-B161-452118CBE24E}"/>
    <cellStyle name="Currency 2 5 5 7 2" xfId="24896" xr:uid="{807C444F-3BAE-41B8-977C-57D7B649E0C0}"/>
    <cellStyle name="Currency 2 5 5 8" xfId="16516" xr:uid="{A477BBDE-363C-4997-AA7E-D1BBBA7E83AD}"/>
    <cellStyle name="Currency 2 5 6" xfId="4831" xr:uid="{7C223808-206B-4D17-BFBF-842DE432F46C}"/>
    <cellStyle name="Currency 2 5 6 2" xfId="5409" xr:uid="{C5AC97AF-8C37-426A-B14E-332A8569615B}"/>
    <cellStyle name="Currency 2 5 6 2 2" xfId="6277" xr:uid="{20C92A88-6CA2-4D5B-8465-9E158FA1297D}"/>
    <cellStyle name="Currency 2 5 6 2 2 2" xfId="9749" xr:uid="{AD2EF7FF-72DC-481F-9E9B-A42BFF3D118B}"/>
    <cellStyle name="Currency 2 5 6 2 2 2 2" xfId="23800" xr:uid="{3988A1C1-11A8-45DF-9D67-81C02824ABE8}"/>
    <cellStyle name="Currency 2 5 6 2 2 3" xfId="12353" xr:uid="{492D425E-4DF4-4F60-9758-9BA22349C334}"/>
    <cellStyle name="Currency 2 5 6 2 2 3 2" xfId="26404" xr:uid="{611A562E-2DFD-4BED-9667-FB6431CFC403}"/>
    <cellStyle name="Currency 2 5 6 2 2 4" xfId="20328" xr:uid="{8CD63849-9961-4097-B1E4-B5240B7F4417}"/>
    <cellStyle name="Currency 2 5 6 2 3" xfId="7145" xr:uid="{6ECB83CE-4659-44D9-BF24-59944D4775F2}"/>
    <cellStyle name="Currency 2 5 6 2 3 2" xfId="10617" xr:uid="{61305BCE-3A70-41A5-ABF5-0B63BF574263}"/>
    <cellStyle name="Currency 2 5 6 2 3 2 2" xfId="24668" xr:uid="{28E95A32-F59B-49A3-9E87-E76A3299769E}"/>
    <cellStyle name="Currency 2 5 6 2 3 3" xfId="13221" xr:uid="{E586630C-EBEE-4259-B88A-6BA4EE51BA3F}"/>
    <cellStyle name="Currency 2 5 6 2 3 3 2" xfId="27272" xr:uid="{D10210B4-DDB1-42A7-BDB1-82071CAA7F95}"/>
    <cellStyle name="Currency 2 5 6 2 3 4" xfId="21196" xr:uid="{8857264F-F305-48A3-AF63-136C1E5B03CA}"/>
    <cellStyle name="Currency 2 5 6 2 4" xfId="8881" xr:uid="{DA23AFBD-8B5C-44F4-BD71-4D60DD4B3478}"/>
    <cellStyle name="Currency 2 5 6 2 4 2" xfId="14089" xr:uid="{542BF63A-E7CE-49C6-A602-6DBEF2037055}"/>
    <cellStyle name="Currency 2 5 6 2 4 2 2" xfId="28140" xr:uid="{E2D777FB-C3F1-4FD0-B037-7EDB0ACDCBB9}"/>
    <cellStyle name="Currency 2 5 6 2 4 3" xfId="22932" xr:uid="{62F6FD3A-EF68-42E7-B9CC-022F34AAE911}"/>
    <cellStyle name="Currency 2 5 6 2 5" xfId="8013" xr:uid="{E6DBBE73-C2D3-44CA-8EAB-DDD4E37BED9E}"/>
    <cellStyle name="Currency 2 5 6 2 5 2" xfId="22064" xr:uid="{888EB031-E1C8-4307-8F4B-1AF89D38164E}"/>
    <cellStyle name="Currency 2 5 6 2 6" xfId="11485" xr:uid="{AB191025-1160-4EF2-BC91-18F785A1EDC6}"/>
    <cellStyle name="Currency 2 5 6 2 6 2" xfId="25536" xr:uid="{DD43AB4E-AE8B-43E6-B864-02280C99E340}"/>
    <cellStyle name="Currency 2 5 6 2 7" xfId="19460" xr:uid="{08503962-07BD-4F38-A53F-AFAF0F00387E}"/>
    <cellStyle name="Currency 2 5 6 3" xfId="5843" xr:uid="{63E3E1D5-DA70-40C8-8399-CE6CAFC8072E}"/>
    <cellStyle name="Currency 2 5 6 3 2" xfId="9315" xr:uid="{1BBC07D0-01FD-4BDF-896D-B384C6B64906}"/>
    <cellStyle name="Currency 2 5 6 3 2 2" xfId="23366" xr:uid="{8A3C2DDA-E0E5-4E90-8497-53B422498AD5}"/>
    <cellStyle name="Currency 2 5 6 3 3" xfId="11919" xr:uid="{F0F48F44-460F-4CB8-8C20-6987132B4473}"/>
    <cellStyle name="Currency 2 5 6 3 3 2" xfId="25970" xr:uid="{1800A4F2-0AF4-497F-B76F-64B8C278C9AB}"/>
    <cellStyle name="Currency 2 5 6 3 4" xfId="19894" xr:uid="{3F22EBE6-D035-4D0D-9E75-2BFC73511E48}"/>
    <cellStyle name="Currency 2 5 6 4" xfId="6711" xr:uid="{F0625D1C-2DFA-491F-A056-3B16F8EAE72A}"/>
    <cellStyle name="Currency 2 5 6 4 2" xfId="10183" xr:uid="{C225A37F-3106-434F-8F7C-D43C1FFDE337}"/>
    <cellStyle name="Currency 2 5 6 4 2 2" xfId="24234" xr:uid="{3BB25B75-70EA-48CB-A508-DF3EAC69EBF3}"/>
    <cellStyle name="Currency 2 5 6 4 3" xfId="12787" xr:uid="{066F1B28-BA71-4A6C-90A4-CA466BE16F1E}"/>
    <cellStyle name="Currency 2 5 6 4 3 2" xfId="26838" xr:uid="{CDFA6088-2365-4CB9-9438-FBC447FC7D54}"/>
    <cellStyle name="Currency 2 5 6 4 4" xfId="20762" xr:uid="{FD0A9ACE-8C71-4263-9CBF-CF94C83FBAD5}"/>
    <cellStyle name="Currency 2 5 6 5" xfId="8447" xr:uid="{39C9459C-9024-48D3-B994-785D6121B9E6}"/>
    <cellStyle name="Currency 2 5 6 5 2" xfId="13655" xr:uid="{4B2E1A37-D5FC-4105-8FAE-D38F399BC07A}"/>
    <cellStyle name="Currency 2 5 6 5 2 2" xfId="27706" xr:uid="{788B2B8F-E760-4AD6-AE57-2D2D82B20F9C}"/>
    <cellStyle name="Currency 2 5 6 5 3" xfId="22498" xr:uid="{680E6FE3-1B44-48A5-B293-0C9E1D022873}"/>
    <cellStyle name="Currency 2 5 6 6" xfId="7579" xr:uid="{9A5C348E-6D27-461A-9100-23A40A79498A}"/>
    <cellStyle name="Currency 2 5 6 6 2" xfId="21630" xr:uid="{1FF94097-5CC1-4D48-8585-99E2D56D5352}"/>
    <cellStyle name="Currency 2 5 6 7" xfId="11051" xr:uid="{0DEAA436-F4E1-412E-8E4A-440A63039AC9}"/>
    <cellStyle name="Currency 2 5 6 7 2" xfId="25102" xr:uid="{2138C9AB-BF52-4B6B-8DE9-EE8DB50D0F7E}"/>
    <cellStyle name="Currency 2 5 6 8" xfId="18883" xr:uid="{EBE92405-B9A0-4448-8025-523D8EAE9C2C}"/>
    <cellStyle name="Currency 2 5 7" xfId="5008" xr:uid="{CC76F005-B6E1-4900-B65F-C64DB5BD24A2}"/>
    <cellStyle name="Currency 2 5 7 2" xfId="5876" xr:uid="{5C364D95-47D3-4F0B-9EF6-618106A6B85C}"/>
    <cellStyle name="Currency 2 5 7 2 2" xfId="9348" xr:uid="{04005EDC-81D7-47C4-B631-D19D1F03CD2D}"/>
    <cellStyle name="Currency 2 5 7 2 2 2" xfId="23399" xr:uid="{1B06D7B8-8AA4-4C1D-AC64-2618031B67A3}"/>
    <cellStyle name="Currency 2 5 7 2 3" xfId="11952" xr:uid="{D514E90F-9B24-46D4-8E2C-E6A87E4BB3AF}"/>
    <cellStyle name="Currency 2 5 7 2 3 2" xfId="26003" xr:uid="{379ABC59-F2AD-4E2A-8C87-6CADD24F8CC4}"/>
    <cellStyle name="Currency 2 5 7 2 4" xfId="19927" xr:uid="{B62101F0-3718-42CE-9DDB-FFC1D616F40E}"/>
    <cellStyle name="Currency 2 5 7 3" xfId="6744" xr:uid="{5B47183F-99ED-4011-921D-0B983475750B}"/>
    <cellStyle name="Currency 2 5 7 3 2" xfId="10216" xr:uid="{E2B3CEBE-A89F-4B10-8D38-8EA039D12EB0}"/>
    <cellStyle name="Currency 2 5 7 3 2 2" xfId="24267" xr:uid="{4C22D33D-4331-4CF8-A505-E90C48FEF8AE}"/>
    <cellStyle name="Currency 2 5 7 3 3" xfId="12820" xr:uid="{7ECBC138-296C-4B4B-9A84-C672344274EC}"/>
    <cellStyle name="Currency 2 5 7 3 3 2" xfId="26871" xr:uid="{F507C64B-4BF8-4262-B29B-16C6EFDB1901}"/>
    <cellStyle name="Currency 2 5 7 3 4" xfId="20795" xr:uid="{69C439D3-175E-4D2C-9EF7-43B533795083}"/>
    <cellStyle name="Currency 2 5 7 4" xfId="8480" xr:uid="{96CD1FAC-6FA0-4217-A9E5-DC6D6E72901C}"/>
    <cellStyle name="Currency 2 5 7 4 2" xfId="13688" xr:uid="{1B10D055-8BC4-4E25-B212-477C5819D3DF}"/>
    <cellStyle name="Currency 2 5 7 4 2 2" xfId="27739" xr:uid="{6CD87488-66A7-4C88-9064-2B70E7FEF270}"/>
    <cellStyle name="Currency 2 5 7 4 3" xfId="22531" xr:uid="{C69F927D-F086-4968-A8A5-55A8B1815B30}"/>
    <cellStyle name="Currency 2 5 7 5" xfId="7612" xr:uid="{F1C28951-7806-4311-89C3-3C80757D2915}"/>
    <cellStyle name="Currency 2 5 7 5 2" xfId="21663" xr:uid="{D1D40D4F-D782-4FED-924F-7EC703E0B4A6}"/>
    <cellStyle name="Currency 2 5 7 6" xfId="11084" xr:uid="{A4D61247-6E94-41B0-863F-610E7C7839EF}"/>
    <cellStyle name="Currency 2 5 7 6 2" xfId="25135" xr:uid="{8D425BEB-A891-4C00-85A7-176A36CBEDBD}"/>
    <cellStyle name="Currency 2 5 7 7" xfId="19059" xr:uid="{2ABC9D10-A3D7-4ED8-B830-67C7C4231ED9}"/>
    <cellStyle name="Currency 2 5 8" xfId="5442" xr:uid="{E55FF2F1-C860-4F54-BE4E-F0D67D5C2811}"/>
    <cellStyle name="Currency 2 5 8 2" xfId="8914" xr:uid="{890ABA66-DC48-4350-A253-8E2974128AF2}"/>
    <cellStyle name="Currency 2 5 8 2 2" xfId="22965" xr:uid="{7E566A9F-2F81-4879-A8DD-2F7E6F56D20E}"/>
    <cellStyle name="Currency 2 5 8 3" xfId="11518" xr:uid="{556B56FA-8141-4EDD-939E-66B23B5AEDBA}"/>
    <cellStyle name="Currency 2 5 8 3 2" xfId="25569" xr:uid="{B922F196-919F-4398-9FC0-831801AB18AF}"/>
    <cellStyle name="Currency 2 5 8 4" xfId="19493" xr:uid="{D93AA8BD-E287-40E6-B4A0-40E43570B6F1}"/>
    <cellStyle name="Currency 2 5 9" xfId="6310" xr:uid="{CE26C4B5-8724-4C00-A559-802DA2E850B5}"/>
    <cellStyle name="Currency 2 5 9 2" xfId="9782" xr:uid="{53FB1F6A-D070-4981-B9F5-A6EC71681A46}"/>
    <cellStyle name="Currency 2 5 9 2 2" xfId="23833" xr:uid="{1B5B0AE5-3CB1-43F2-97B9-355543E8ACEC}"/>
    <cellStyle name="Currency 2 5 9 3" xfId="12386" xr:uid="{CD4A0AB9-62D1-402D-8C30-072E95C26418}"/>
    <cellStyle name="Currency 2 5 9 3 2" xfId="26437" xr:uid="{2C1E300D-ADAE-4B8B-8FB8-CDDE1DAB4B97}"/>
    <cellStyle name="Currency 2 5 9 4" xfId="20361" xr:uid="{68DB3DF9-CDEB-4DCC-A85D-325E34ED779C}"/>
    <cellStyle name="Currency 2 6" xfId="439" xr:uid="{2DB869CB-18FC-4B2A-A27E-8F9143264D03}"/>
    <cellStyle name="Currency 2 6 10" xfId="10666" xr:uid="{00E9C323-6C35-44CF-B755-3FCB43D6AFBC}"/>
    <cellStyle name="Currency 2 6 10 2" xfId="24717" xr:uid="{92169B99-A005-4A44-A12E-5209DCDEE0FF}"/>
    <cellStyle name="Currency 2 6 11" xfId="14494" xr:uid="{BDBC0CED-79EE-4E52-86FA-4FD699AAFE48}"/>
    <cellStyle name="Currency 2 6 2" xfId="1372" xr:uid="{0718854E-D25C-4F9F-A247-490A0BF8E915}"/>
    <cellStyle name="Currency 2 6 2 2" xfId="3562" xr:uid="{EB72C898-F03F-41BB-9048-3672E5887C23}"/>
    <cellStyle name="Currency 2 6 2 2 2" xfId="5299" xr:uid="{5C635920-9706-4987-82B2-6B541C191B14}"/>
    <cellStyle name="Currency 2 6 2 2 2 2" xfId="6167" xr:uid="{835C5BB8-1A75-4620-BCA8-60FE2BF769FB}"/>
    <cellStyle name="Currency 2 6 2 2 2 2 2" xfId="9639" xr:uid="{D0CB3BF6-90AD-4117-B86F-0973BE7365EA}"/>
    <cellStyle name="Currency 2 6 2 2 2 2 2 2" xfId="23690" xr:uid="{F08E3B82-434C-494F-9CA7-02E166A1D611}"/>
    <cellStyle name="Currency 2 6 2 2 2 2 3" xfId="12243" xr:uid="{D9C87591-EA43-4ED7-91E0-B3FA29A0BD80}"/>
    <cellStyle name="Currency 2 6 2 2 2 2 3 2" xfId="26294" xr:uid="{3A8AD808-32E5-4430-816A-6E7DDFA6AED6}"/>
    <cellStyle name="Currency 2 6 2 2 2 2 4" xfId="20218" xr:uid="{A8E9A5D4-EAF0-4BC5-884C-FDA23F4803CE}"/>
    <cellStyle name="Currency 2 6 2 2 2 3" xfId="7035" xr:uid="{79754C73-6314-45B4-A1F7-2A20D03362F3}"/>
    <cellStyle name="Currency 2 6 2 2 2 3 2" xfId="10507" xr:uid="{AF3FB765-708F-4E06-B778-DBC3CECB78AC}"/>
    <cellStyle name="Currency 2 6 2 2 2 3 2 2" xfId="24558" xr:uid="{D2B75FFD-CA86-4361-9CC1-20DFA450C795}"/>
    <cellStyle name="Currency 2 6 2 2 2 3 3" xfId="13111" xr:uid="{D5FD31BF-B005-4E96-9949-07CE1BDB2A05}"/>
    <cellStyle name="Currency 2 6 2 2 2 3 3 2" xfId="27162" xr:uid="{79D59C8B-4F3E-4907-8E7C-1F59410921EF}"/>
    <cellStyle name="Currency 2 6 2 2 2 3 4" xfId="21086" xr:uid="{3089008A-266C-4A47-BE9B-8E4D99F8D1B4}"/>
    <cellStyle name="Currency 2 6 2 2 2 4" xfId="8771" xr:uid="{14070097-712B-42AB-8F09-2C781ED0CFD9}"/>
    <cellStyle name="Currency 2 6 2 2 2 4 2" xfId="13979" xr:uid="{EEDE27B9-3570-46D0-9AB4-4DE6396538F0}"/>
    <cellStyle name="Currency 2 6 2 2 2 4 2 2" xfId="28030" xr:uid="{F3077066-0E4A-4A4F-8BC4-5F8C1D4F4D5B}"/>
    <cellStyle name="Currency 2 6 2 2 2 4 3" xfId="22822" xr:uid="{B9B69339-39FF-4926-894D-EF90E398A5F7}"/>
    <cellStyle name="Currency 2 6 2 2 2 5" xfId="7903" xr:uid="{018A1D0F-F9F7-4E38-93E4-1DA8ADB90E5B}"/>
    <cellStyle name="Currency 2 6 2 2 2 5 2" xfId="21954" xr:uid="{8E776704-40C9-4878-A3D3-1D2FC64A2D34}"/>
    <cellStyle name="Currency 2 6 2 2 2 6" xfId="11375" xr:uid="{4DC79645-DDF6-4DE6-9742-CEA97FDFA3FA}"/>
    <cellStyle name="Currency 2 6 2 2 2 6 2" xfId="25426" xr:uid="{3B1E3E91-4E00-41F6-BD1D-9F44AE61FC79}"/>
    <cellStyle name="Currency 2 6 2 2 2 7" xfId="19350" xr:uid="{B1400B89-26FC-424D-A4A9-C40CEAC472BE}"/>
    <cellStyle name="Currency 2 6 2 2 3" xfId="5733" xr:uid="{AC217D21-572A-4F70-B33D-810FEF6B3BBB}"/>
    <cellStyle name="Currency 2 6 2 2 3 2" xfId="9205" xr:uid="{26EDECFC-F8E5-443B-946F-5C9ABC4FF895}"/>
    <cellStyle name="Currency 2 6 2 2 3 2 2" xfId="23256" xr:uid="{8ECB5E08-0E15-44D6-889C-441FAFF6059C}"/>
    <cellStyle name="Currency 2 6 2 2 3 3" xfId="11809" xr:uid="{A3A70736-C196-40AA-B884-5448D568C178}"/>
    <cellStyle name="Currency 2 6 2 2 3 3 2" xfId="25860" xr:uid="{33547C96-FBF5-487F-9B39-AA39159446C1}"/>
    <cellStyle name="Currency 2 6 2 2 3 4" xfId="19784" xr:uid="{608F746D-2574-47CE-890E-0755831B4EF5}"/>
    <cellStyle name="Currency 2 6 2 2 4" xfId="6601" xr:uid="{DFD78C51-CD17-4A97-9375-2C26E6D0415B}"/>
    <cellStyle name="Currency 2 6 2 2 4 2" xfId="10073" xr:uid="{B7AED8F0-07A5-4E2D-B2C1-B1F8B16C125E}"/>
    <cellStyle name="Currency 2 6 2 2 4 2 2" xfId="24124" xr:uid="{926D1D00-3C50-4F11-AFB5-7D01859E3D14}"/>
    <cellStyle name="Currency 2 6 2 2 4 3" xfId="12677" xr:uid="{95DAABC8-6EE9-4E95-89B6-1E8A5BBD62E3}"/>
    <cellStyle name="Currency 2 6 2 2 4 3 2" xfId="26728" xr:uid="{48CF991D-E672-42DA-9742-0D489E2DB062}"/>
    <cellStyle name="Currency 2 6 2 2 4 4" xfId="20652" xr:uid="{57CDAD69-D3CA-4AF0-AB70-E04FFC233B5B}"/>
    <cellStyle name="Currency 2 6 2 2 5" xfId="8337" xr:uid="{337D28E5-A7C9-4FA1-80FF-6F62AC2B9174}"/>
    <cellStyle name="Currency 2 6 2 2 5 2" xfId="13545" xr:uid="{F5B564EE-F769-4272-9D3B-D3162EF70946}"/>
    <cellStyle name="Currency 2 6 2 2 5 2 2" xfId="27596" xr:uid="{574593BB-650C-47CE-9815-9744765FE3C5}"/>
    <cellStyle name="Currency 2 6 2 2 5 3" xfId="22388" xr:uid="{9BDD687D-CC49-4147-A9C3-18C13E3642AD}"/>
    <cellStyle name="Currency 2 6 2 2 6" xfId="7469" xr:uid="{D662C893-E796-4A74-8F4D-122444B55BD8}"/>
    <cellStyle name="Currency 2 6 2 2 6 2" xfId="21520" xr:uid="{3A561C58-02E7-43E7-B16B-2F1780DB9D51}"/>
    <cellStyle name="Currency 2 6 2 2 7" xfId="10941" xr:uid="{31A7E77C-E65B-4790-8993-BFD5648427CE}"/>
    <cellStyle name="Currency 2 6 2 2 7 2" xfId="24992" xr:uid="{54251048-5DF3-42DB-B12A-54E6794765FF}"/>
    <cellStyle name="Currency 2 6 2 2 8" xfId="17615" xr:uid="{A1AF812E-60D1-4166-8D9E-C567A3666C8F}"/>
    <cellStyle name="Currency 2 6 2 3" xfId="5108" xr:uid="{E0BD85E9-CDD1-4AF7-8CB8-6D4AB1985311}"/>
    <cellStyle name="Currency 2 6 2 3 2" xfId="5976" xr:uid="{1E9601CA-4663-4A14-B781-DDF6AD1798A7}"/>
    <cellStyle name="Currency 2 6 2 3 2 2" xfId="9448" xr:uid="{068EF1A2-775E-41C8-8663-E678AC96F5A9}"/>
    <cellStyle name="Currency 2 6 2 3 2 2 2" xfId="23499" xr:uid="{AA6FE00A-7FB7-4696-8D53-1D496A7E31E4}"/>
    <cellStyle name="Currency 2 6 2 3 2 3" xfId="12052" xr:uid="{AD9C0C91-5C64-4935-8ED3-DE8DD9934A58}"/>
    <cellStyle name="Currency 2 6 2 3 2 3 2" xfId="26103" xr:uid="{761BA2ED-7A1B-4579-AC3B-F8848314D8FF}"/>
    <cellStyle name="Currency 2 6 2 3 2 4" xfId="20027" xr:uid="{1029A02E-42DB-4413-BD23-46625CCABD8C}"/>
    <cellStyle name="Currency 2 6 2 3 3" xfId="6844" xr:uid="{CCE2B05C-717C-4B60-811F-BE150AAF167A}"/>
    <cellStyle name="Currency 2 6 2 3 3 2" xfId="10316" xr:uid="{9A5B6339-BE92-4F99-BA3C-914539EE05ED}"/>
    <cellStyle name="Currency 2 6 2 3 3 2 2" xfId="24367" xr:uid="{721A7B3D-B95E-47E2-9D9E-A83AA0BEF73F}"/>
    <cellStyle name="Currency 2 6 2 3 3 3" xfId="12920" xr:uid="{13B48256-88DC-4426-B3CC-E8E7F8063051}"/>
    <cellStyle name="Currency 2 6 2 3 3 3 2" xfId="26971" xr:uid="{7ED93D77-3691-4CCC-B7BC-5CCC10E59086}"/>
    <cellStyle name="Currency 2 6 2 3 3 4" xfId="20895" xr:uid="{1118C42E-B919-4117-840D-774EE0EE70EF}"/>
    <cellStyle name="Currency 2 6 2 3 4" xfId="8580" xr:uid="{34FF965C-D66D-4DDD-AB4C-59A4CDC1A3B5}"/>
    <cellStyle name="Currency 2 6 2 3 4 2" xfId="13788" xr:uid="{C14695A5-9898-4D8A-83C7-540252FF4742}"/>
    <cellStyle name="Currency 2 6 2 3 4 2 2" xfId="27839" xr:uid="{008C692B-320F-44A8-9002-DDFFFF74D153}"/>
    <cellStyle name="Currency 2 6 2 3 4 3" xfId="22631" xr:uid="{A5DAF81C-3EB3-469E-A864-438C9E66B2E8}"/>
    <cellStyle name="Currency 2 6 2 3 5" xfId="7712" xr:uid="{5D930F10-344C-4B6A-9FFA-E9EF06A5FA7C}"/>
    <cellStyle name="Currency 2 6 2 3 5 2" xfId="21763" xr:uid="{90918E4C-FE3A-4BDB-9A0A-146ACBF27BB5}"/>
    <cellStyle name="Currency 2 6 2 3 6" xfId="11184" xr:uid="{8DD412A3-15B8-4278-A102-BA5523E03CDC}"/>
    <cellStyle name="Currency 2 6 2 3 6 2" xfId="25235" xr:uid="{A79B8F40-B8AF-4C8B-A548-EB9FD4C3A718}"/>
    <cellStyle name="Currency 2 6 2 3 7" xfId="19159" xr:uid="{820B6FEA-DE51-4B1C-8AB2-1EC116E7E689}"/>
    <cellStyle name="Currency 2 6 2 4" xfId="5542" xr:uid="{47555D8C-B864-4042-9366-8F70C42FD453}"/>
    <cellStyle name="Currency 2 6 2 4 2" xfId="9014" xr:uid="{0A5213B9-0D39-4601-92B8-BDF7B9BCB528}"/>
    <cellStyle name="Currency 2 6 2 4 2 2" xfId="23065" xr:uid="{C8C935DD-50B6-4AC6-9FE0-6EA96F2AB025}"/>
    <cellStyle name="Currency 2 6 2 4 3" xfId="11618" xr:uid="{B96DBCF4-A3C7-42C7-B3B0-8160AA4758D2}"/>
    <cellStyle name="Currency 2 6 2 4 3 2" xfId="25669" xr:uid="{85B21866-799F-40B4-AD23-05E20F4D9430}"/>
    <cellStyle name="Currency 2 6 2 4 4" xfId="19593" xr:uid="{3C08221F-A911-4DA6-B23B-F437E5357B07}"/>
    <cellStyle name="Currency 2 6 2 5" xfId="6410" xr:uid="{7A96AD3F-8B32-40F6-8F88-FB3CA781479F}"/>
    <cellStyle name="Currency 2 6 2 5 2" xfId="9882" xr:uid="{56741EF4-C0EF-4E19-BD8A-FB03878AA3D3}"/>
    <cellStyle name="Currency 2 6 2 5 2 2" xfId="23933" xr:uid="{38888804-296A-48E8-83B2-B9238E0FFC5B}"/>
    <cellStyle name="Currency 2 6 2 5 3" xfId="12486" xr:uid="{BAFAD7F5-50DA-441D-A74E-83271EBDF6CE}"/>
    <cellStyle name="Currency 2 6 2 5 3 2" xfId="26537" xr:uid="{A8A0BE58-B9C7-4A47-BFC9-4924BDE4B6F1}"/>
    <cellStyle name="Currency 2 6 2 5 4" xfId="20461" xr:uid="{136CDFE2-E47D-46F7-B6E2-AA371EDAE006}"/>
    <cellStyle name="Currency 2 6 2 6" xfId="8146" xr:uid="{83A51E6A-97DB-4E9A-B6A2-4158FFE9ADF1}"/>
    <cellStyle name="Currency 2 6 2 6 2" xfId="13354" xr:uid="{0A905C7C-D2D6-4BF5-B8A9-969E029CF9FE}"/>
    <cellStyle name="Currency 2 6 2 6 2 2" xfId="27405" xr:uid="{FE63577E-C1FD-4AA8-A410-3C5A74C3052E}"/>
    <cellStyle name="Currency 2 6 2 6 3" xfId="22197" xr:uid="{F812DDCB-FE13-49B0-871C-5CAE478BAB13}"/>
    <cellStyle name="Currency 2 6 2 7" xfId="7278" xr:uid="{8C4FC09C-32B7-4203-AC71-1785AF235D49}"/>
    <cellStyle name="Currency 2 6 2 7 2" xfId="21329" xr:uid="{20D9C84A-306B-4E83-B58C-9D565A8B267D}"/>
    <cellStyle name="Currency 2 6 2 8" xfId="10750" xr:uid="{917EA2BB-0247-4D5D-950B-E047BF759B01}"/>
    <cellStyle name="Currency 2 6 2 8 2" xfId="24801" xr:uid="{38281295-589B-4417-BFB8-80107F66633B}"/>
    <cellStyle name="Currency 2 6 2 9" xfId="15421" xr:uid="{69B644E4-2F8B-4623-A195-BBC457508CF6}"/>
    <cellStyle name="Currency 2 6 3" xfId="2638" xr:uid="{37965C40-18AE-438D-AE51-28C8540BAED2}"/>
    <cellStyle name="Currency 2 6 3 2" xfId="5218" xr:uid="{B3C155CE-0D3B-48C6-8ABD-8B73869B7A4D}"/>
    <cellStyle name="Currency 2 6 3 2 2" xfId="6086" xr:uid="{4C6B42E7-113A-4F54-8623-461B1C263779}"/>
    <cellStyle name="Currency 2 6 3 2 2 2" xfId="9558" xr:uid="{DB986FA9-B776-413E-97BA-EAA554575BF7}"/>
    <cellStyle name="Currency 2 6 3 2 2 2 2" xfId="23609" xr:uid="{5081CFE0-4351-42DE-BB09-332F306C43CE}"/>
    <cellStyle name="Currency 2 6 3 2 2 3" xfId="12162" xr:uid="{49701D48-8A08-4DB0-A04C-1B79B75F7BC1}"/>
    <cellStyle name="Currency 2 6 3 2 2 3 2" xfId="26213" xr:uid="{7ED1F38A-F8F9-4783-8299-A61FD4D7AD42}"/>
    <cellStyle name="Currency 2 6 3 2 2 4" xfId="20137" xr:uid="{36689239-BE3E-4BD0-996F-0DF482251F04}"/>
    <cellStyle name="Currency 2 6 3 2 3" xfId="6954" xr:uid="{EEFF477B-3D9F-47C7-8D45-9200C8B4A959}"/>
    <cellStyle name="Currency 2 6 3 2 3 2" xfId="10426" xr:uid="{46D0AC7F-0253-4968-8AAF-FFA981E92722}"/>
    <cellStyle name="Currency 2 6 3 2 3 2 2" xfId="24477" xr:uid="{DADF8F55-016C-4F26-8FE7-95E1A366290A}"/>
    <cellStyle name="Currency 2 6 3 2 3 3" xfId="13030" xr:uid="{3972B71D-4976-4B4F-9000-8D6CFF1341EE}"/>
    <cellStyle name="Currency 2 6 3 2 3 3 2" xfId="27081" xr:uid="{CEF2904C-ABBA-4FA6-A81B-24D56E6EFE08}"/>
    <cellStyle name="Currency 2 6 3 2 3 4" xfId="21005" xr:uid="{06E508F6-C877-440B-AF69-267447F36238}"/>
    <cellStyle name="Currency 2 6 3 2 4" xfId="8690" xr:uid="{AD6DD2CC-A4C3-4A79-AC64-1F80D9752B60}"/>
    <cellStyle name="Currency 2 6 3 2 4 2" xfId="13898" xr:uid="{946A1F47-EC88-4AEC-B4E7-24A2BEFCDF70}"/>
    <cellStyle name="Currency 2 6 3 2 4 2 2" xfId="27949" xr:uid="{2986068D-E7AF-41FE-85A3-F726A2292492}"/>
    <cellStyle name="Currency 2 6 3 2 4 3" xfId="22741" xr:uid="{E1BA5877-0CF3-4BFF-AF35-3497EDB9B50A}"/>
    <cellStyle name="Currency 2 6 3 2 5" xfId="7822" xr:uid="{8EB73466-6EC0-4022-A0DE-37EBB331FCD7}"/>
    <cellStyle name="Currency 2 6 3 2 5 2" xfId="21873" xr:uid="{805C3021-DE74-4D73-BCC0-375042EC5B1A}"/>
    <cellStyle name="Currency 2 6 3 2 6" xfId="11294" xr:uid="{5B8A5973-CEB4-4AFD-94F2-AE5649F493E2}"/>
    <cellStyle name="Currency 2 6 3 2 6 2" xfId="25345" xr:uid="{B24AE770-2003-45DC-AAA9-8FF2D65C7A7F}"/>
    <cellStyle name="Currency 2 6 3 2 7" xfId="19269" xr:uid="{7B455529-E8D1-4CAD-B558-ABF4D79974B9}"/>
    <cellStyle name="Currency 2 6 3 3" xfId="5652" xr:uid="{2CEA195B-2312-4701-B8FF-266E8781D794}"/>
    <cellStyle name="Currency 2 6 3 3 2" xfId="9124" xr:uid="{692F0B9C-832A-45F2-AA6E-21603AEF047A}"/>
    <cellStyle name="Currency 2 6 3 3 2 2" xfId="23175" xr:uid="{63CB514E-FD1B-4573-9F60-C2DD7689631A}"/>
    <cellStyle name="Currency 2 6 3 3 3" xfId="11728" xr:uid="{86FEE729-B4A5-462C-9A34-C013316E084B}"/>
    <cellStyle name="Currency 2 6 3 3 3 2" xfId="25779" xr:uid="{9A86C78E-9E3A-4FD4-8E23-C12BE54FD395}"/>
    <cellStyle name="Currency 2 6 3 3 4" xfId="19703" xr:uid="{ABCEC5A2-4D16-40A8-B31D-907A69F9E5F6}"/>
    <cellStyle name="Currency 2 6 3 4" xfId="6520" xr:uid="{5A09E328-398D-4CC5-ABCB-9D692BD44B39}"/>
    <cellStyle name="Currency 2 6 3 4 2" xfId="9992" xr:uid="{5F9BD500-62A4-4C57-82B0-862EEBBCE155}"/>
    <cellStyle name="Currency 2 6 3 4 2 2" xfId="24043" xr:uid="{2D0C7EEE-470B-409A-8725-FE3B91EF1863}"/>
    <cellStyle name="Currency 2 6 3 4 3" xfId="12596" xr:uid="{FF456B09-9E43-4BDD-B998-E8775A280EF6}"/>
    <cellStyle name="Currency 2 6 3 4 3 2" xfId="26647" xr:uid="{B01C1FEC-C3E3-44AF-ADBA-66E910FEC9E8}"/>
    <cellStyle name="Currency 2 6 3 4 4" xfId="20571" xr:uid="{05E62E30-DD91-4765-B8B8-C4C8F34FF808}"/>
    <cellStyle name="Currency 2 6 3 5" xfId="8256" xr:uid="{628F15E1-9E60-4031-906D-EA3725F731B6}"/>
    <cellStyle name="Currency 2 6 3 5 2" xfId="13464" xr:uid="{F09DB48F-3E95-4D9F-A040-FD3D312C3231}"/>
    <cellStyle name="Currency 2 6 3 5 2 2" xfId="27515" xr:uid="{5C1F360A-8074-409F-AA37-30BFC548B734}"/>
    <cellStyle name="Currency 2 6 3 5 3" xfId="22307" xr:uid="{63BF7D0C-67D6-4DF2-B796-351D9B6829C8}"/>
    <cellStyle name="Currency 2 6 3 6" xfId="7388" xr:uid="{383F5953-7F48-456A-8AD2-0E1E13E3B6C8}"/>
    <cellStyle name="Currency 2 6 3 6 2" xfId="21439" xr:uid="{71BC206C-DDE7-443D-96DE-020B98BB0D8F}"/>
    <cellStyle name="Currency 2 6 3 7" xfId="10860" xr:uid="{F652545F-5390-499C-979D-14BA3A91331A}"/>
    <cellStyle name="Currency 2 6 3 7 2" xfId="24911" xr:uid="{5574F5AA-F60C-4A27-869A-731DE474789A}"/>
    <cellStyle name="Currency 2 6 3 8" xfId="16689" xr:uid="{33716B0F-BA7F-47D0-8666-A2B5F1FA08F1}"/>
    <cellStyle name="Currency 2 6 4" xfId="4657" xr:uid="{EE6A56FA-156B-48BC-814B-8568D7E0DF32}"/>
    <cellStyle name="Currency 2 6 4 2" xfId="5394" xr:uid="{F31553C4-1350-4D30-97B1-B77F0ADDBA5B}"/>
    <cellStyle name="Currency 2 6 4 2 2" xfId="6262" xr:uid="{C9504EA6-0F2F-452F-B432-9647E7AE1571}"/>
    <cellStyle name="Currency 2 6 4 2 2 2" xfId="9734" xr:uid="{45A678A6-EEFA-4237-99B6-66E1A09D8FF1}"/>
    <cellStyle name="Currency 2 6 4 2 2 2 2" xfId="23785" xr:uid="{9EB44EA5-CE83-4A36-8B09-FBF06A14E352}"/>
    <cellStyle name="Currency 2 6 4 2 2 3" xfId="12338" xr:uid="{6FC545EE-2F95-4EBE-BE7D-EB48DA34BA1F}"/>
    <cellStyle name="Currency 2 6 4 2 2 3 2" xfId="26389" xr:uid="{AAA319E7-AF1E-4B2A-8679-B9991DED52A0}"/>
    <cellStyle name="Currency 2 6 4 2 2 4" xfId="20313" xr:uid="{31D801E8-5674-4718-8211-92F38C5AE375}"/>
    <cellStyle name="Currency 2 6 4 2 3" xfId="7130" xr:uid="{EFA93E4A-7073-40F6-AF18-4D369157EFB3}"/>
    <cellStyle name="Currency 2 6 4 2 3 2" xfId="10602" xr:uid="{94B81DBB-7530-4776-A9C4-A56A1F53707E}"/>
    <cellStyle name="Currency 2 6 4 2 3 2 2" xfId="24653" xr:uid="{4E8AE776-FC1E-4BF5-82DE-E4823927E634}"/>
    <cellStyle name="Currency 2 6 4 2 3 3" xfId="13206" xr:uid="{6D018D75-18FB-4FC1-9E57-99FB8C08BC0B}"/>
    <cellStyle name="Currency 2 6 4 2 3 3 2" xfId="27257" xr:uid="{CA89C4F7-9079-44B1-B327-8C03ED1316AF}"/>
    <cellStyle name="Currency 2 6 4 2 3 4" xfId="21181" xr:uid="{CBBAF8CA-1F15-4531-B004-901F0BAF7AE0}"/>
    <cellStyle name="Currency 2 6 4 2 4" xfId="8866" xr:uid="{B0DE08BE-7223-4140-9027-C908B0537CDE}"/>
    <cellStyle name="Currency 2 6 4 2 4 2" xfId="14074" xr:uid="{4550026D-FFBC-48A5-B0A1-8EB7D0A8B048}"/>
    <cellStyle name="Currency 2 6 4 2 4 2 2" xfId="28125" xr:uid="{365CA9F3-B677-4FC9-A5F5-C7356E1599BA}"/>
    <cellStyle name="Currency 2 6 4 2 4 3" xfId="22917" xr:uid="{9FEE944E-DAD6-4989-9B12-6D043D9E9774}"/>
    <cellStyle name="Currency 2 6 4 2 5" xfId="7998" xr:uid="{D0EC89C4-6EBF-45AB-92A1-E442C7BF9193}"/>
    <cellStyle name="Currency 2 6 4 2 5 2" xfId="22049" xr:uid="{E6FF1F23-3C2F-49C5-AA34-10C484F3FB2B}"/>
    <cellStyle name="Currency 2 6 4 2 6" xfId="11470" xr:uid="{888BAF05-F7EA-4293-B4E4-845E1AA3D9C8}"/>
    <cellStyle name="Currency 2 6 4 2 6 2" xfId="25521" xr:uid="{692CE420-52B1-4575-9283-3106FFF5B605}"/>
    <cellStyle name="Currency 2 6 4 2 7" xfId="19445" xr:uid="{8CC3B307-2350-4413-BF3D-69A410184ECE}"/>
    <cellStyle name="Currency 2 6 4 3" xfId="5828" xr:uid="{985F854F-9FAB-4686-B6DE-1F86F2C5F263}"/>
    <cellStyle name="Currency 2 6 4 3 2" xfId="9300" xr:uid="{42FB39BF-3587-4FBB-AEF8-597C3DDF8492}"/>
    <cellStyle name="Currency 2 6 4 3 2 2" xfId="23351" xr:uid="{4CB3D5B0-85C9-4EEF-BB1E-81C853981D8C}"/>
    <cellStyle name="Currency 2 6 4 3 3" xfId="11904" xr:uid="{27BE6D9E-A527-4F07-BEC0-9F1721F093C4}"/>
    <cellStyle name="Currency 2 6 4 3 3 2" xfId="25955" xr:uid="{A1C70A05-73E0-461F-9408-95203F39942E}"/>
    <cellStyle name="Currency 2 6 4 3 4" xfId="19879" xr:uid="{300437D8-4ED1-4AD7-8AB0-01B8DDC1DD37}"/>
    <cellStyle name="Currency 2 6 4 4" xfId="6696" xr:uid="{43D979C5-2C10-4794-8780-180449F76744}"/>
    <cellStyle name="Currency 2 6 4 4 2" xfId="10168" xr:uid="{6757AC7C-8291-4269-AA0B-9AF6CC6EB1EB}"/>
    <cellStyle name="Currency 2 6 4 4 2 2" xfId="24219" xr:uid="{7E5E8909-525B-4341-84A4-6372F49BA21F}"/>
    <cellStyle name="Currency 2 6 4 4 3" xfId="12772" xr:uid="{3CB82E62-5BC5-4572-AE7B-F590A7A75DA5}"/>
    <cellStyle name="Currency 2 6 4 4 3 2" xfId="26823" xr:uid="{BCDC1E2C-C709-41B5-8DB9-1317691727DF}"/>
    <cellStyle name="Currency 2 6 4 4 4" xfId="20747" xr:uid="{46EA2EF1-49AA-4343-92B1-DC55F2571567}"/>
    <cellStyle name="Currency 2 6 4 5" xfId="8432" xr:uid="{A563B7DA-131C-4FA1-AED3-9367628450AA}"/>
    <cellStyle name="Currency 2 6 4 5 2" xfId="13640" xr:uid="{73C32BE7-B07D-4039-A70F-DCCB43D7A26F}"/>
    <cellStyle name="Currency 2 6 4 5 2 2" xfId="27691" xr:uid="{1BBAB904-FA7C-485C-922C-37FD425BF882}"/>
    <cellStyle name="Currency 2 6 4 5 3" xfId="22483" xr:uid="{AE603F13-0C16-4817-A0C9-57798327C172}"/>
    <cellStyle name="Currency 2 6 4 6" xfId="7564" xr:uid="{E500D1EC-EECA-48DE-86EB-70AD0147E7FE}"/>
    <cellStyle name="Currency 2 6 4 6 2" xfId="21615" xr:uid="{D9877A9C-83B5-46B1-936A-DE40E89EF395}"/>
    <cellStyle name="Currency 2 6 4 7" xfId="11036" xr:uid="{EBB61371-C0D0-4AAA-9BF4-46A304ACB31E}"/>
    <cellStyle name="Currency 2 6 4 7 2" xfId="25087" xr:uid="{31C78EEE-F27D-43DA-8721-EFE5F0663CBA}"/>
    <cellStyle name="Currency 2 6 4 8" xfId="18709" xr:uid="{61DA7ADF-1908-4BB0-8D5A-E91D000ADA4B}"/>
    <cellStyle name="Currency 2 6 5" xfId="5024" xr:uid="{A0B824D2-C4C8-4637-8896-6FACAB43F0B2}"/>
    <cellStyle name="Currency 2 6 5 2" xfId="5892" xr:uid="{DAC3F2C7-FBDE-4758-9D18-357D4016B1BA}"/>
    <cellStyle name="Currency 2 6 5 2 2" xfId="9364" xr:uid="{7FC3D9A3-C030-4155-88E5-8E230FDFD75C}"/>
    <cellStyle name="Currency 2 6 5 2 2 2" xfId="23415" xr:uid="{0210FF61-83E7-4A48-8829-6898AE15C730}"/>
    <cellStyle name="Currency 2 6 5 2 3" xfId="11968" xr:uid="{ACA1BB02-7845-49BE-A109-666F67DC17A3}"/>
    <cellStyle name="Currency 2 6 5 2 3 2" xfId="26019" xr:uid="{BDD74958-E4AF-4E43-808F-E804071D1280}"/>
    <cellStyle name="Currency 2 6 5 2 4" xfId="19943" xr:uid="{5A6D916F-70E6-4729-8ECA-93B4CEFA485F}"/>
    <cellStyle name="Currency 2 6 5 3" xfId="6760" xr:uid="{76F30870-384D-46B3-AC41-03276C62B5A1}"/>
    <cellStyle name="Currency 2 6 5 3 2" xfId="10232" xr:uid="{B653A50E-F951-444C-8A97-99B141AB3881}"/>
    <cellStyle name="Currency 2 6 5 3 2 2" xfId="24283" xr:uid="{068547B4-2CF2-4D6D-BFB5-A5EA9CF7AC90}"/>
    <cellStyle name="Currency 2 6 5 3 3" xfId="12836" xr:uid="{D6E64301-7B51-4E8E-8E67-4E7AE0CB7831}"/>
    <cellStyle name="Currency 2 6 5 3 3 2" xfId="26887" xr:uid="{4F103B69-FB49-43BA-A580-1C83F6E6618A}"/>
    <cellStyle name="Currency 2 6 5 3 4" xfId="20811" xr:uid="{C6E23C7B-CAA9-447A-B527-DC5C1EE70647}"/>
    <cellStyle name="Currency 2 6 5 4" xfId="8496" xr:uid="{0F71217A-249C-4F9E-9FA9-C06BCBB93FB7}"/>
    <cellStyle name="Currency 2 6 5 4 2" xfId="13704" xr:uid="{4B20CA10-9FA1-4BF2-9AA0-BB60E86AA503}"/>
    <cellStyle name="Currency 2 6 5 4 2 2" xfId="27755" xr:uid="{079ED813-3B49-4DF5-9DBA-E6A4D20C1FCE}"/>
    <cellStyle name="Currency 2 6 5 4 3" xfId="22547" xr:uid="{D1B75DC4-7B43-4CA5-8672-E130BDBB815F}"/>
    <cellStyle name="Currency 2 6 5 5" xfId="7628" xr:uid="{53C718FF-9140-43EA-A94E-58873BED6990}"/>
    <cellStyle name="Currency 2 6 5 5 2" xfId="21679" xr:uid="{67F59D4B-AF33-4DE1-A7E8-953BFE51FB65}"/>
    <cellStyle name="Currency 2 6 5 6" xfId="11100" xr:uid="{93A81C77-B232-471C-AC95-7360AD75B380}"/>
    <cellStyle name="Currency 2 6 5 6 2" xfId="25151" xr:uid="{0F6C82D4-674A-4B56-A21D-F461834CE9A5}"/>
    <cellStyle name="Currency 2 6 5 7" xfId="19075" xr:uid="{D5119979-B5D0-406E-9EEE-84A219E49BF0}"/>
    <cellStyle name="Currency 2 6 6" xfId="5458" xr:uid="{EAA1F85D-33F6-42D1-A742-43D3A55DA7AE}"/>
    <cellStyle name="Currency 2 6 6 2" xfId="8930" xr:uid="{C2C79787-AD16-42C8-A9C2-4341C83648EC}"/>
    <cellStyle name="Currency 2 6 6 2 2" xfId="22981" xr:uid="{9E55D1A0-1F37-4247-93AC-30FF080A4012}"/>
    <cellStyle name="Currency 2 6 6 3" xfId="11534" xr:uid="{73FF8DA8-EE26-4279-8397-B0D7BF05E11B}"/>
    <cellStyle name="Currency 2 6 6 3 2" xfId="25585" xr:uid="{DF1C9C3C-BA38-460B-BC83-C47C933E67A4}"/>
    <cellStyle name="Currency 2 6 6 4" xfId="19509" xr:uid="{19195124-533F-4547-BBB2-3AD157CB4979}"/>
    <cellStyle name="Currency 2 6 7" xfId="6326" xr:uid="{5E518818-D48B-42A2-8316-043B86490BA4}"/>
    <cellStyle name="Currency 2 6 7 2" xfId="9798" xr:uid="{C432EDF9-6E93-4908-9494-E93A5465FA96}"/>
    <cellStyle name="Currency 2 6 7 2 2" xfId="23849" xr:uid="{189D3FB3-D2AB-47B6-9DA6-64C17A3FD49C}"/>
    <cellStyle name="Currency 2 6 7 3" xfId="12402" xr:uid="{76B24794-5E0C-42F8-BD0B-B8AFCBFCC79F}"/>
    <cellStyle name="Currency 2 6 7 3 2" xfId="26453" xr:uid="{FBD43BBE-45CB-4075-A002-655C52E54961}"/>
    <cellStyle name="Currency 2 6 7 4" xfId="20377" xr:uid="{6D84732C-D29E-4D35-A4E2-5308A644BD95}"/>
    <cellStyle name="Currency 2 6 8" xfId="8062" xr:uid="{314CDB09-8B10-448F-9CFE-20EE01D12ED3}"/>
    <cellStyle name="Currency 2 6 8 2" xfId="13270" xr:uid="{5DAA5048-BCD6-46D4-8EC6-A4B54811F4C1}"/>
    <cellStyle name="Currency 2 6 8 2 2" xfId="27321" xr:uid="{A55E5FBB-0453-4665-9981-A2A444E62A25}"/>
    <cellStyle name="Currency 2 6 8 3" xfId="22113" xr:uid="{8742506B-A2E7-4EE1-A9B0-D31FEA124B71}"/>
    <cellStyle name="Currency 2 6 9" xfId="7194" xr:uid="{AFBA03B4-4303-482D-8E63-1105DEF8CE75}"/>
    <cellStyle name="Currency 2 6 9 2" xfId="21245" xr:uid="{58BC4E9D-B85C-4B33-9BCE-F70043462994}"/>
    <cellStyle name="Currency 2 7" xfId="792" xr:uid="{324DC977-47EE-406B-9B17-C676529C2E17}"/>
    <cellStyle name="Currency 2 7 10" xfId="10698" xr:uid="{2083915C-6339-4541-A0EC-92A38C1E942F}"/>
    <cellStyle name="Currency 2 7 10 2" xfId="24749" xr:uid="{444FC886-C0B2-4FA3-B77B-F7B750DAE397}"/>
    <cellStyle name="Currency 2 7 11" xfId="14842" xr:uid="{AD4AB772-0A11-4431-A32C-9E84FA461E33}"/>
    <cellStyle name="Currency 2 7 2" xfId="1200" xr:uid="{71846328-A5B6-49FF-A7D7-524F0FA19B7C}"/>
    <cellStyle name="Currency 2 7 2 2" xfId="3390" xr:uid="{C2EE6090-E9E4-4F13-A69C-E33C450DD89F}"/>
    <cellStyle name="Currency 2 7 2 2 2" xfId="5284" xr:uid="{D51E5524-F655-4AE1-A247-E1A645228724}"/>
    <cellStyle name="Currency 2 7 2 2 2 2" xfId="6152" xr:uid="{37592E5F-B439-4B0F-8521-351893D6FA80}"/>
    <cellStyle name="Currency 2 7 2 2 2 2 2" xfId="9624" xr:uid="{CD12C78A-CAFB-4C9E-8640-8669F70BDF56}"/>
    <cellStyle name="Currency 2 7 2 2 2 2 2 2" xfId="23675" xr:uid="{E4B7333B-53EF-496E-9BBA-2A66048787A0}"/>
    <cellStyle name="Currency 2 7 2 2 2 2 3" xfId="12228" xr:uid="{171CC747-1296-41D1-887C-874D85363DF2}"/>
    <cellStyle name="Currency 2 7 2 2 2 2 3 2" xfId="26279" xr:uid="{92DB75A7-2696-4369-A7A5-6FF4D0745E7F}"/>
    <cellStyle name="Currency 2 7 2 2 2 2 4" xfId="20203" xr:uid="{C07C145A-B85E-4E49-8A04-D72C1CF2DB18}"/>
    <cellStyle name="Currency 2 7 2 2 2 3" xfId="7020" xr:uid="{9839465D-9BEE-4C59-99F6-B8EBE5F7640A}"/>
    <cellStyle name="Currency 2 7 2 2 2 3 2" xfId="10492" xr:uid="{735EE719-7BA6-4230-A11B-7109225EDE48}"/>
    <cellStyle name="Currency 2 7 2 2 2 3 2 2" xfId="24543" xr:uid="{7F370996-FC0D-4CFD-A362-50353CABA8EB}"/>
    <cellStyle name="Currency 2 7 2 2 2 3 3" xfId="13096" xr:uid="{58095CA3-4229-4B4F-BD89-86FB40D02BE7}"/>
    <cellStyle name="Currency 2 7 2 2 2 3 3 2" xfId="27147" xr:uid="{7D27BA13-CD20-4181-91A3-F674F217152B}"/>
    <cellStyle name="Currency 2 7 2 2 2 3 4" xfId="21071" xr:uid="{9DAE222E-8A49-4FFD-8B41-77D19E9D4089}"/>
    <cellStyle name="Currency 2 7 2 2 2 4" xfId="8756" xr:uid="{A08059F3-5DEE-415C-9EFE-94DF9D649E7E}"/>
    <cellStyle name="Currency 2 7 2 2 2 4 2" xfId="13964" xr:uid="{C78AC8D2-2D28-4D7A-BE5E-B2CD9BC1C04A}"/>
    <cellStyle name="Currency 2 7 2 2 2 4 2 2" xfId="28015" xr:uid="{DFB4B2ED-665B-4E40-B70B-5B5A5767A732}"/>
    <cellStyle name="Currency 2 7 2 2 2 4 3" xfId="22807" xr:uid="{0CE447E9-6862-4A05-95D2-BEB43432059C}"/>
    <cellStyle name="Currency 2 7 2 2 2 5" xfId="7888" xr:uid="{CC87983E-C28E-4547-B293-1CD794BC8C67}"/>
    <cellStyle name="Currency 2 7 2 2 2 5 2" xfId="21939" xr:uid="{3827DA40-A5B9-4770-A615-7DEF65F224D8}"/>
    <cellStyle name="Currency 2 7 2 2 2 6" xfId="11360" xr:uid="{D523EC4E-E5B0-4F31-9A9F-7F6B57E305E8}"/>
    <cellStyle name="Currency 2 7 2 2 2 6 2" xfId="25411" xr:uid="{BD2FA2AA-EDFF-458D-8339-820D4C29B861}"/>
    <cellStyle name="Currency 2 7 2 2 2 7" xfId="19335" xr:uid="{29A6C4FA-963D-4ABD-B629-C2D9748C4D20}"/>
    <cellStyle name="Currency 2 7 2 2 3" xfId="5718" xr:uid="{BDB0CBC2-A671-40EB-B3B3-2930742A6FC4}"/>
    <cellStyle name="Currency 2 7 2 2 3 2" xfId="9190" xr:uid="{A8674325-F528-447F-9B5B-99927857CD68}"/>
    <cellStyle name="Currency 2 7 2 2 3 2 2" xfId="23241" xr:uid="{2C6B7B30-31D5-4ED9-8065-FA7BA82AB407}"/>
    <cellStyle name="Currency 2 7 2 2 3 3" xfId="11794" xr:uid="{C8B21AB3-192A-4E59-A7E0-866E2E6EB29F}"/>
    <cellStyle name="Currency 2 7 2 2 3 3 2" xfId="25845" xr:uid="{1A2C9E93-C6D3-4422-A04E-64EF74A39A5B}"/>
    <cellStyle name="Currency 2 7 2 2 3 4" xfId="19769" xr:uid="{FA383F9A-D61E-4304-895E-7E1E2F99B569}"/>
    <cellStyle name="Currency 2 7 2 2 4" xfId="6586" xr:uid="{65F79C1D-1F99-490D-993C-25B55DD99E2A}"/>
    <cellStyle name="Currency 2 7 2 2 4 2" xfId="10058" xr:uid="{915DBEBC-C9E8-4CD3-BFA3-32D9F6BF6652}"/>
    <cellStyle name="Currency 2 7 2 2 4 2 2" xfId="24109" xr:uid="{D7C73800-8CF0-4AE2-9FD0-107AB0B86E60}"/>
    <cellStyle name="Currency 2 7 2 2 4 3" xfId="12662" xr:uid="{ADF45E9B-A142-4122-99B2-B63F4A09F83E}"/>
    <cellStyle name="Currency 2 7 2 2 4 3 2" xfId="26713" xr:uid="{2D78624B-3D8F-4B1D-938E-1E433FB0C49E}"/>
    <cellStyle name="Currency 2 7 2 2 4 4" xfId="20637" xr:uid="{9FC29718-9F7D-42CE-88EC-705DA929EA26}"/>
    <cellStyle name="Currency 2 7 2 2 5" xfId="8322" xr:uid="{3EA142AE-5F5B-4BA2-9018-F97D8ADC56DC}"/>
    <cellStyle name="Currency 2 7 2 2 5 2" xfId="13530" xr:uid="{A994A9A8-D2EA-463B-BDFD-AFCB2FBD5277}"/>
    <cellStyle name="Currency 2 7 2 2 5 2 2" xfId="27581" xr:uid="{979DFAFC-D154-4F35-BDE9-F01398050E76}"/>
    <cellStyle name="Currency 2 7 2 2 5 3" xfId="22373" xr:uid="{A5CE10C8-9C8D-4361-936A-D287C7FEFF44}"/>
    <cellStyle name="Currency 2 7 2 2 6" xfId="7454" xr:uid="{2BD94692-7D93-4AA7-901F-C6051FA5685A}"/>
    <cellStyle name="Currency 2 7 2 2 6 2" xfId="21505" xr:uid="{DCEB2D90-1986-441A-8729-1B8C5F21B22E}"/>
    <cellStyle name="Currency 2 7 2 2 7" xfId="10926" xr:uid="{A5C1D532-B2D5-48B2-B7A7-446D4C01F131}"/>
    <cellStyle name="Currency 2 7 2 2 7 2" xfId="24977" xr:uid="{9F67AE04-43F3-4578-A6B3-E06859465129}"/>
    <cellStyle name="Currency 2 7 2 2 8" xfId="17442" xr:uid="{CF25B9A7-E140-4019-90B8-8458D4C1DDEE}"/>
    <cellStyle name="Currency 2 7 2 3" xfId="5093" xr:uid="{4F72B242-D1A5-4221-BF0E-825F15232F15}"/>
    <cellStyle name="Currency 2 7 2 3 2" xfId="5961" xr:uid="{2D508A1E-8E3A-44B0-933F-5E8966626986}"/>
    <cellStyle name="Currency 2 7 2 3 2 2" xfId="9433" xr:uid="{E9CF5149-1541-41F4-8E31-A650CAC70B77}"/>
    <cellStyle name="Currency 2 7 2 3 2 2 2" xfId="23484" xr:uid="{66443EB6-46D6-4D17-B342-9018468B6CF3}"/>
    <cellStyle name="Currency 2 7 2 3 2 3" xfId="12037" xr:uid="{8720D663-3910-4D01-8FA7-85E12D0628AC}"/>
    <cellStyle name="Currency 2 7 2 3 2 3 2" xfId="26088" xr:uid="{D8E2590C-1DE4-4E7D-8AB2-C34F042FB733}"/>
    <cellStyle name="Currency 2 7 2 3 2 4" xfId="20012" xr:uid="{9E78753A-C0E3-4E00-8403-D588F8E24E0F}"/>
    <cellStyle name="Currency 2 7 2 3 3" xfId="6829" xr:uid="{E55FE808-6096-43B8-B82B-12B9526BD73C}"/>
    <cellStyle name="Currency 2 7 2 3 3 2" xfId="10301" xr:uid="{8A5E30E0-0F7C-410F-A6B8-4E7134E9AB50}"/>
    <cellStyle name="Currency 2 7 2 3 3 2 2" xfId="24352" xr:uid="{3AA9ADFA-03F5-4DE8-B89A-25D02DB0133B}"/>
    <cellStyle name="Currency 2 7 2 3 3 3" xfId="12905" xr:uid="{D068C07D-5C81-47DC-8E05-129B71882B87}"/>
    <cellStyle name="Currency 2 7 2 3 3 3 2" xfId="26956" xr:uid="{A38153BF-68FE-4C3A-AE35-7FB677F466DB}"/>
    <cellStyle name="Currency 2 7 2 3 3 4" xfId="20880" xr:uid="{F1CE528D-CC80-4FF7-9059-3560D4AC1A0E}"/>
    <cellStyle name="Currency 2 7 2 3 4" xfId="8565" xr:uid="{07067842-AED3-4792-AC77-555F708F6887}"/>
    <cellStyle name="Currency 2 7 2 3 4 2" xfId="13773" xr:uid="{C215109C-CC11-4707-BA15-5BC94F07DA87}"/>
    <cellStyle name="Currency 2 7 2 3 4 2 2" xfId="27824" xr:uid="{0A30D4A0-C61E-4E51-9A97-7CF3260559BF}"/>
    <cellStyle name="Currency 2 7 2 3 4 3" xfId="22616" xr:uid="{038D9483-28A3-419E-937A-EA2450A1F6B0}"/>
    <cellStyle name="Currency 2 7 2 3 5" xfId="7697" xr:uid="{C29F16DF-E2A8-48C0-AE40-78AC85BA664E}"/>
    <cellStyle name="Currency 2 7 2 3 5 2" xfId="21748" xr:uid="{5DDAE8D5-D7C7-45C4-BD1B-49C404C74FC4}"/>
    <cellStyle name="Currency 2 7 2 3 6" xfId="11169" xr:uid="{309E6B7F-EC59-43F2-AB19-966EB7424A67}"/>
    <cellStyle name="Currency 2 7 2 3 6 2" xfId="25220" xr:uid="{26FFA18A-C56E-40E4-880F-A05836F1A280}"/>
    <cellStyle name="Currency 2 7 2 3 7" xfId="19144" xr:uid="{43522E17-82A3-48AA-917A-F6B4E2DE5200}"/>
    <cellStyle name="Currency 2 7 2 4" xfId="5527" xr:uid="{8AA06478-BD35-4A1C-B60B-A3D3EB178B9F}"/>
    <cellStyle name="Currency 2 7 2 4 2" xfId="8999" xr:uid="{5EA792A0-076E-40AF-A696-96E99BFDEDE5}"/>
    <cellStyle name="Currency 2 7 2 4 2 2" xfId="23050" xr:uid="{B1BA8A44-5D5C-4CE0-BB0E-0FA38D3531B1}"/>
    <cellStyle name="Currency 2 7 2 4 3" xfId="11603" xr:uid="{BE447C35-4DD9-4304-A0C2-9D93D6B1B78D}"/>
    <cellStyle name="Currency 2 7 2 4 3 2" xfId="25654" xr:uid="{F7E5570B-7A0D-47C7-BEB7-7B576BA4D965}"/>
    <cellStyle name="Currency 2 7 2 4 4" xfId="19578" xr:uid="{642E45A1-8DEA-4441-BA7D-E10A8801E99F}"/>
    <cellStyle name="Currency 2 7 2 5" xfId="6395" xr:uid="{ACFB77C2-40BF-4234-83F2-EE2AAAD4A4A4}"/>
    <cellStyle name="Currency 2 7 2 5 2" xfId="9867" xr:uid="{48779BD0-C328-4077-89F1-478549B99BFF}"/>
    <cellStyle name="Currency 2 7 2 5 2 2" xfId="23918" xr:uid="{A5F1B226-2A43-4590-AD0D-8E7FDBF250D1}"/>
    <cellStyle name="Currency 2 7 2 5 3" xfId="12471" xr:uid="{C84D3FA5-504A-4DBC-A945-5AE21288876F}"/>
    <cellStyle name="Currency 2 7 2 5 3 2" xfId="26522" xr:uid="{585A158A-32BF-47D6-B3BE-6C48FF06D561}"/>
    <cellStyle name="Currency 2 7 2 5 4" xfId="20446" xr:uid="{6065F1D0-3A34-4AFE-974D-A2C2C011E8F2}"/>
    <cellStyle name="Currency 2 7 2 6" xfId="8131" xr:uid="{3754EC3E-89EB-48EF-8969-21F1F506FE59}"/>
    <cellStyle name="Currency 2 7 2 6 2" xfId="13339" xr:uid="{D38231F5-9F8E-4694-8AAE-906CE1404DC0}"/>
    <cellStyle name="Currency 2 7 2 6 2 2" xfId="27390" xr:uid="{F97C5858-A647-43A8-8F66-62E7897A6805}"/>
    <cellStyle name="Currency 2 7 2 6 3" xfId="22182" xr:uid="{1FDC8417-6132-476A-99CE-31A893DF9F6F}"/>
    <cellStyle name="Currency 2 7 2 7" xfId="7263" xr:uid="{D2EB6A47-B850-4CAE-A631-33EEA097E75A}"/>
    <cellStyle name="Currency 2 7 2 7 2" xfId="21314" xr:uid="{F013A25B-819C-43DA-8D42-E5E35B3B9AB6}"/>
    <cellStyle name="Currency 2 7 2 8" xfId="10735" xr:uid="{C89F436F-24FA-4687-AF34-B2B81096DD0D}"/>
    <cellStyle name="Currency 2 7 2 8 2" xfId="24786" xr:uid="{E235B088-7DCF-451E-B4C8-D4028C60B1FD}"/>
    <cellStyle name="Currency 2 7 2 9" xfId="15248" xr:uid="{44814E2C-7DCD-4CB8-862E-F4EEA861B53A}"/>
    <cellStyle name="Currency 2 7 3" xfId="2984" xr:uid="{BF0D4243-7690-4001-B21B-72D84FFC7353}"/>
    <cellStyle name="Currency 2 7 3 2" xfId="5248" xr:uid="{335EC085-522E-48EB-8596-639057914285}"/>
    <cellStyle name="Currency 2 7 3 2 2" xfId="6116" xr:uid="{F965044D-3E43-4DF1-B4F4-9E00DBE315A1}"/>
    <cellStyle name="Currency 2 7 3 2 2 2" xfId="9588" xr:uid="{1E31BF07-53E4-48B1-ACD5-81CD01C18AFE}"/>
    <cellStyle name="Currency 2 7 3 2 2 2 2" xfId="23639" xr:uid="{51B786FA-8FCD-4C2F-8952-A6AC24C240FE}"/>
    <cellStyle name="Currency 2 7 3 2 2 3" xfId="12192" xr:uid="{563753A1-E8A2-4057-98BF-EB4D04090DEF}"/>
    <cellStyle name="Currency 2 7 3 2 2 3 2" xfId="26243" xr:uid="{129E4EFA-9341-411C-89F3-D5B8F80BCF79}"/>
    <cellStyle name="Currency 2 7 3 2 2 4" xfId="20167" xr:uid="{51F3B77E-3AD9-49C2-A71F-B2938CAA8009}"/>
    <cellStyle name="Currency 2 7 3 2 3" xfId="6984" xr:uid="{1CBB6179-E75D-4D8E-9A5E-9B2407A2A97F}"/>
    <cellStyle name="Currency 2 7 3 2 3 2" xfId="10456" xr:uid="{212F183F-A533-4A65-9B0E-1BE24E408354}"/>
    <cellStyle name="Currency 2 7 3 2 3 2 2" xfId="24507" xr:uid="{4DEFAA40-E3D0-4449-BD0F-C6F5DD2A6822}"/>
    <cellStyle name="Currency 2 7 3 2 3 3" xfId="13060" xr:uid="{E6862A2B-C688-4D6F-9957-5957216DB5CF}"/>
    <cellStyle name="Currency 2 7 3 2 3 3 2" xfId="27111" xr:uid="{21B8C033-7603-4C4F-956E-7B21AF73251E}"/>
    <cellStyle name="Currency 2 7 3 2 3 4" xfId="21035" xr:uid="{9D984D85-F049-4416-9E10-F68473CF675A}"/>
    <cellStyle name="Currency 2 7 3 2 4" xfId="8720" xr:uid="{2FBA3529-9468-4947-BBE2-7CF68B0F3E69}"/>
    <cellStyle name="Currency 2 7 3 2 4 2" xfId="13928" xr:uid="{BE8715FF-CF87-4DD6-9E90-11843C23D806}"/>
    <cellStyle name="Currency 2 7 3 2 4 2 2" xfId="27979" xr:uid="{320FCCB3-7F5D-4C65-9AD4-D8C8CD714CF2}"/>
    <cellStyle name="Currency 2 7 3 2 4 3" xfId="22771" xr:uid="{7E518272-A3FB-41CB-86B5-49B6857BE7C9}"/>
    <cellStyle name="Currency 2 7 3 2 5" xfId="7852" xr:uid="{780E744F-643D-451C-95B0-8D30E9807451}"/>
    <cellStyle name="Currency 2 7 3 2 5 2" xfId="21903" xr:uid="{09B17030-1628-48C6-AF50-C33EE28373ED}"/>
    <cellStyle name="Currency 2 7 3 2 6" xfId="11324" xr:uid="{CD8D287F-37ED-4B49-AE71-1A24029BFE72}"/>
    <cellStyle name="Currency 2 7 3 2 6 2" xfId="25375" xr:uid="{1C3DD45F-AE01-421A-89FB-211A17359FC4}"/>
    <cellStyle name="Currency 2 7 3 2 7" xfId="19299" xr:uid="{E9D9A0AB-2528-4771-82B5-093DD615771B}"/>
    <cellStyle name="Currency 2 7 3 3" xfId="5682" xr:uid="{B2EC00A4-3D1A-4D30-A5BB-D5CCB1EABFDD}"/>
    <cellStyle name="Currency 2 7 3 3 2" xfId="9154" xr:uid="{139D956A-7985-4C1D-B8CA-B445F9EB44A9}"/>
    <cellStyle name="Currency 2 7 3 3 2 2" xfId="23205" xr:uid="{451CB9A2-5E2B-4AB2-A913-0832EE562F5A}"/>
    <cellStyle name="Currency 2 7 3 3 3" xfId="11758" xr:uid="{796A4D30-AC97-4B01-992F-2D629434FD48}"/>
    <cellStyle name="Currency 2 7 3 3 3 2" xfId="25809" xr:uid="{732BA48D-C625-4DDF-91D3-E059CF53CA86}"/>
    <cellStyle name="Currency 2 7 3 3 4" xfId="19733" xr:uid="{96F3836A-DFCB-4AAF-932B-D114890BC3A7}"/>
    <cellStyle name="Currency 2 7 3 4" xfId="6550" xr:uid="{EDCF97E1-25B0-4760-9FCC-2A32DAF8E333}"/>
    <cellStyle name="Currency 2 7 3 4 2" xfId="10022" xr:uid="{25316AA4-DB34-4824-B64D-6DA3A36ABFCF}"/>
    <cellStyle name="Currency 2 7 3 4 2 2" xfId="24073" xr:uid="{197A9563-A543-489D-9526-54A43B4488D3}"/>
    <cellStyle name="Currency 2 7 3 4 3" xfId="12626" xr:uid="{014A4724-D5D7-4117-8D5B-8BE2F4BADD65}"/>
    <cellStyle name="Currency 2 7 3 4 3 2" xfId="26677" xr:uid="{C179A946-068C-44E9-8C45-98E5B0549055}"/>
    <cellStyle name="Currency 2 7 3 4 4" xfId="20601" xr:uid="{72961DA6-1D59-4004-99AC-0F10778E8D7E}"/>
    <cellStyle name="Currency 2 7 3 5" xfId="8286" xr:uid="{27F80957-224F-41CA-AA99-AEE7F2C85A7E}"/>
    <cellStyle name="Currency 2 7 3 5 2" xfId="13494" xr:uid="{BE350531-7242-45A4-8214-FF73CE6C9790}"/>
    <cellStyle name="Currency 2 7 3 5 2 2" xfId="27545" xr:uid="{6B9F5046-CA23-4377-AC11-5A9B7891E6A8}"/>
    <cellStyle name="Currency 2 7 3 5 3" xfId="22337" xr:uid="{62168D57-3270-440E-A18A-C33C4782E070}"/>
    <cellStyle name="Currency 2 7 3 6" xfId="7418" xr:uid="{97EF7E25-7A18-40AC-A07B-54D6678F00EB}"/>
    <cellStyle name="Currency 2 7 3 6 2" xfId="21469" xr:uid="{50BE3354-7516-4F01-9F30-F19CEDC5C210}"/>
    <cellStyle name="Currency 2 7 3 7" xfId="10890" xr:uid="{608CBE32-FDA2-436B-912B-44E746179A97}"/>
    <cellStyle name="Currency 2 7 3 7 2" xfId="24941" xr:uid="{50A44F55-D8B9-4799-AE70-77D8A69F8E17}"/>
    <cellStyle name="Currency 2 7 3 8" xfId="17036" xr:uid="{4D027569-9DE9-41F2-9043-06743B23C485}"/>
    <cellStyle name="Currency 2 7 4" xfId="4485" xr:uid="{8E62DA9A-7F13-4E03-9FC2-6A7530682688}"/>
    <cellStyle name="Currency 2 7 4 2" xfId="5379" xr:uid="{92584E53-BE53-4F29-ADD2-EB1C2355B6AA}"/>
    <cellStyle name="Currency 2 7 4 2 2" xfId="6247" xr:uid="{E3BF9F29-D221-416E-871A-ADD2C0E0717D}"/>
    <cellStyle name="Currency 2 7 4 2 2 2" xfId="9719" xr:uid="{94F24082-2383-4AC7-BD9A-369B134495F8}"/>
    <cellStyle name="Currency 2 7 4 2 2 2 2" xfId="23770" xr:uid="{FFF12D56-52B6-4B8D-AFA4-F03005D8A87B}"/>
    <cellStyle name="Currency 2 7 4 2 2 3" xfId="12323" xr:uid="{DC37B286-E815-44C0-8D3C-6901D6ADFA1E}"/>
    <cellStyle name="Currency 2 7 4 2 2 3 2" xfId="26374" xr:uid="{279820B5-3978-426A-BB23-D7AD58DBFCA5}"/>
    <cellStyle name="Currency 2 7 4 2 2 4" xfId="20298" xr:uid="{2D08D40F-90C7-405C-9C72-05CCCA1D880C}"/>
    <cellStyle name="Currency 2 7 4 2 3" xfId="7115" xr:uid="{9DFD33BD-2758-456F-B787-805056737F21}"/>
    <cellStyle name="Currency 2 7 4 2 3 2" xfId="10587" xr:uid="{7AD4022E-6A5D-471C-A311-25A22316C4EC}"/>
    <cellStyle name="Currency 2 7 4 2 3 2 2" xfId="24638" xr:uid="{33CF9189-865A-44D0-BAEA-87578CB43C55}"/>
    <cellStyle name="Currency 2 7 4 2 3 3" xfId="13191" xr:uid="{00C1055A-3785-4111-98F7-6A486206B665}"/>
    <cellStyle name="Currency 2 7 4 2 3 3 2" xfId="27242" xr:uid="{695590A1-B6D7-471C-85CF-ED93A418C184}"/>
    <cellStyle name="Currency 2 7 4 2 3 4" xfId="21166" xr:uid="{2B587973-1557-4301-BFCB-6419BAFAE961}"/>
    <cellStyle name="Currency 2 7 4 2 4" xfId="8851" xr:uid="{E216C298-0AB8-46AC-BF34-14E175AA63AA}"/>
    <cellStyle name="Currency 2 7 4 2 4 2" xfId="14059" xr:uid="{A09C8338-E243-4AB0-B099-AA8DED83E633}"/>
    <cellStyle name="Currency 2 7 4 2 4 2 2" xfId="28110" xr:uid="{8281543F-75AC-40B3-8C4A-C80722399CCE}"/>
    <cellStyle name="Currency 2 7 4 2 4 3" xfId="22902" xr:uid="{F9D574BB-073B-4E61-999D-EF52CD279DCA}"/>
    <cellStyle name="Currency 2 7 4 2 5" xfId="7983" xr:uid="{CDD5F4A7-E6CE-4514-AD41-A5179F94DA5A}"/>
    <cellStyle name="Currency 2 7 4 2 5 2" xfId="22034" xr:uid="{6643CFFA-CDA4-407D-BDA6-38C62E3A4E20}"/>
    <cellStyle name="Currency 2 7 4 2 6" xfId="11455" xr:uid="{FDFB313D-6D7D-472F-89B0-424BFF03746B}"/>
    <cellStyle name="Currency 2 7 4 2 6 2" xfId="25506" xr:uid="{D9DE2B65-01EA-4AD7-8834-46B833C888D0}"/>
    <cellStyle name="Currency 2 7 4 2 7" xfId="19430" xr:uid="{54F61176-4595-4782-ACB3-747A71A6B0D7}"/>
    <cellStyle name="Currency 2 7 4 3" xfId="5813" xr:uid="{F83D77E8-379C-4E26-9A5C-5CEF6A7E1CAF}"/>
    <cellStyle name="Currency 2 7 4 3 2" xfId="9285" xr:uid="{D1CA0497-0C8E-4A74-9602-F1391037CC20}"/>
    <cellStyle name="Currency 2 7 4 3 2 2" xfId="23336" xr:uid="{C641A74F-55A1-4A83-A918-B53EF65DE07C}"/>
    <cellStyle name="Currency 2 7 4 3 3" xfId="11889" xr:uid="{12658904-3661-47E8-9E03-0CCD7E581156}"/>
    <cellStyle name="Currency 2 7 4 3 3 2" xfId="25940" xr:uid="{EE5C9853-72EB-4200-A3B7-63BF65FC2B61}"/>
    <cellStyle name="Currency 2 7 4 3 4" xfId="19864" xr:uid="{2CDC75C4-1580-4E8B-976A-3EE20562AB2E}"/>
    <cellStyle name="Currency 2 7 4 4" xfId="6681" xr:uid="{A3686E52-13F1-4151-B688-9B6224E5D5D7}"/>
    <cellStyle name="Currency 2 7 4 4 2" xfId="10153" xr:uid="{D3049C05-DD95-4B48-A89B-F34EED2B7DED}"/>
    <cellStyle name="Currency 2 7 4 4 2 2" xfId="24204" xr:uid="{D922CF4F-B4B3-4038-8730-AC24F078BA07}"/>
    <cellStyle name="Currency 2 7 4 4 3" xfId="12757" xr:uid="{BB3BBFAD-1719-4CCC-B5DA-B47BF7B6169E}"/>
    <cellStyle name="Currency 2 7 4 4 3 2" xfId="26808" xr:uid="{E2362FB2-391B-4E20-8304-0400B1292671}"/>
    <cellStyle name="Currency 2 7 4 4 4" xfId="20732" xr:uid="{AC82C0E4-A812-4E0F-92DF-387A060565E3}"/>
    <cellStyle name="Currency 2 7 4 5" xfId="8417" xr:uid="{63CB6AED-F9E4-4C26-B1FD-157DFC1B7150}"/>
    <cellStyle name="Currency 2 7 4 5 2" xfId="13625" xr:uid="{9579A9CC-098B-4C79-9BBF-EED4CE3C45FA}"/>
    <cellStyle name="Currency 2 7 4 5 2 2" xfId="27676" xr:uid="{544F9FB3-258A-4437-8D77-C688197A8FDC}"/>
    <cellStyle name="Currency 2 7 4 5 3" xfId="22468" xr:uid="{D7693586-2568-4B51-962B-EC132D74809E}"/>
    <cellStyle name="Currency 2 7 4 6" xfId="7549" xr:uid="{7D96B38A-6CBB-4106-B248-806C3BF4FA51}"/>
    <cellStyle name="Currency 2 7 4 6 2" xfId="21600" xr:uid="{6BD59F13-6904-47A4-9276-19AB946BD7A3}"/>
    <cellStyle name="Currency 2 7 4 7" xfId="11021" xr:uid="{6FF67064-4142-4AA2-B653-0639902F6E30}"/>
    <cellStyle name="Currency 2 7 4 7 2" xfId="25072" xr:uid="{ED493F90-BBD0-43E8-80A0-ADA37582DDD1}"/>
    <cellStyle name="Currency 2 7 4 8" xfId="18536" xr:uid="{B9ABA0E3-88BC-47D2-A57F-D18090E91606}"/>
    <cellStyle name="Currency 2 7 5" xfId="5056" xr:uid="{F5A1C2A2-2C12-4BE5-8553-4B57D078E145}"/>
    <cellStyle name="Currency 2 7 5 2" xfId="5924" xr:uid="{4CCE3C82-9318-4037-B52A-B8D09907265B}"/>
    <cellStyle name="Currency 2 7 5 2 2" xfId="9396" xr:uid="{FDC2EBB9-B9C3-42DD-ABA6-56A94D5F2AEE}"/>
    <cellStyle name="Currency 2 7 5 2 2 2" xfId="23447" xr:uid="{9623754C-8F1C-4561-80D3-BB887E1FF786}"/>
    <cellStyle name="Currency 2 7 5 2 3" xfId="12000" xr:uid="{7D555578-D23A-42CB-926A-3CF5587EE42E}"/>
    <cellStyle name="Currency 2 7 5 2 3 2" xfId="26051" xr:uid="{52362BF5-6296-4E73-965D-C0D221C797F1}"/>
    <cellStyle name="Currency 2 7 5 2 4" xfId="19975" xr:uid="{ABF4E2BD-C319-4484-AA9F-6764F484D995}"/>
    <cellStyle name="Currency 2 7 5 3" xfId="6792" xr:uid="{3F1BB13F-D1FC-46A8-91F6-1EE0939A36A8}"/>
    <cellStyle name="Currency 2 7 5 3 2" xfId="10264" xr:uid="{2B3ECD07-6B43-442E-AB98-F4CC3960CD97}"/>
    <cellStyle name="Currency 2 7 5 3 2 2" xfId="24315" xr:uid="{121AA9B3-1FBF-47F0-A6D7-082E346D43A6}"/>
    <cellStyle name="Currency 2 7 5 3 3" xfId="12868" xr:uid="{0A65E6CA-8067-4601-98EB-6279A13211C9}"/>
    <cellStyle name="Currency 2 7 5 3 3 2" xfId="26919" xr:uid="{2DA483DD-89D9-43D7-BC70-B31762B75F5E}"/>
    <cellStyle name="Currency 2 7 5 3 4" xfId="20843" xr:uid="{FFEAEC93-A7EF-47DD-AA61-F0495057A4C3}"/>
    <cellStyle name="Currency 2 7 5 4" xfId="8528" xr:uid="{B606FC02-D9F8-41FC-B21A-C31B3CDC2545}"/>
    <cellStyle name="Currency 2 7 5 4 2" xfId="13736" xr:uid="{55082DA7-4DDD-466E-AD27-7E1B5FFE6AF8}"/>
    <cellStyle name="Currency 2 7 5 4 2 2" xfId="27787" xr:uid="{E8F48BF4-DEB7-448F-A0EF-1CFAFEDA27A9}"/>
    <cellStyle name="Currency 2 7 5 4 3" xfId="22579" xr:uid="{2E8E3382-1A7A-40AA-BE56-7F814ADA1AF2}"/>
    <cellStyle name="Currency 2 7 5 5" xfId="7660" xr:uid="{DEB21D64-1D17-4756-9133-1BC93C5788F3}"/>
    <cellStyle name="Currency 2 7 5 5 2" xfId="21711" xr:uid="{03190B21-A38B-4ADE-AE45-2947FFF5582B}"/>
    <cellStyle name="Currency 2 7 5 6" xfId="11132" xr:uid="{132D06F8-A89D-4D60-8C91-AFEDDA5EA3E1}"/>
    <cellStyle name="Currency 2 7 5 6 2" xfId="25183" xr:uid="{116D2B00-1C09-4940-AC2A-3EC2AE81124E}"/>
    <cellStyle name="Currency 2 7 5 7" xfId="19107" xr:uid="{2B125194-58CF-4B4F-92AF-F6D39B2CD346}"/>
    <cellStyle name="Currency 2 7 6" xfId="5490" xr:uid="{2228EACB-3B6D-42E0-A048-A52070F2FB41}"/>
    <cellStyle name="Currency 2 7 6 2" xfId="8962" xr:uid="{E4533594-EF84-42FE-AD64-B5D133ED1736}"/>
    <cellStyle name="Currency 2 7 6 2 2" xfId="23013" xr:uid="{674CE54E-B591-4E75-AF4E-808AABA826CB}"/>
    <cellStyle name="Currency 2 7 6 3" xfId="11566" xr:uid="{0BF29EC0-CAC9-45F8-B964-8D1B788D7F3E}"/>
    <cellStyle name="Currency 2 7 6 3 2" xfId="25617" xr:uid="{500932E0-7EF6-41AC-B7A1-CFB80F34B4CC}"/>
    <cellStyle name="Currency 2 7 6 4" xfId="19541" xr:uid="{2F130800-3EF8-461B-8AF1-7C003B511194}"/>
    <cellStyle name="Currency 2 7 7" xfId="6358" xr:uid="{1EDC966A-294C-4E01-9D84-522FF19F8CC6}"/>
    <cellStyle name="Currency 2 7 7 2" xfId="9830" xr:uid="{55E8F195-7ABA-4276-841E-BFB3FF2EF924}"/>
    <cellStyle name="Currency 2 7 7 2 2" xfId="23881" xr:uid="{0BC0002B-E6D6-471A-AB74-91FE930A9F05}"/>
    <cellStyle name="Currency 2 7 7 3" xfId="12434" xr:uid="{FF975C73-B7D8-45F0-877B-C338C201706B}"/>
    <cellStyle name="Currency 2 7 7 3 2" xfId="26485" xr:uid="{A3E726AC-E198-42FA-A7B6-2394FF56AE65}"/>
    <cellStyle name="Currency 2 7 7 4" xfId="20409" xr:uid="{C87CD482-CCA5-4668-8001-721858F26AAF}"/>
    <cellStyle name="Currency 2 7 8" xfId="8094" xr:uid="{CA4613E1-7C6E-4221-93CA-E19A6994C145}"/>
    <cellStyle name="Currency 2 7 8 2" xfId="13302" xr:uid="{9B6F39AA-AE79-412E-9744-3B42CDB8F082}"/>
    <cellStyle name="Currency 2 7 8 2 2" xfId="27353" xr:uid="{AA253B63-861A-40C7-BFD1-9AF152D64810}"/>
    <cellStyle name="Currency 2 7 8 3" xfId="22145" xr:uid="{02C6FA08-820A-49A5-9EC2-4D7366AEB571}"/>
    <cellStyle name="Currency 2 7 9" xfId="7226" xr:uid="{D84A087E-8EF5-4BB8-AD02-2BF0D94DA1A3}"/>
    <cellStyle name="Currency 2 7 9 2" xfId="21277" xr:uid="{275897F3-39AE-4BED-B7B8-B0BCCE2B5AD6}"/>
    <cellStyle name="Currency 2 8" xfId="1136" xr:uid="{4E12AB41-60F5-4B02-9A83-EA0AE9B6A0E9}"/>
    <cellStyle name="Currency 2 8 10" xfId="15187" xr:uid="{314F4609-C7EA-4141-BA71-0D25351F0163}"/>
    <cellStyle name="Currency 2 8 2" xfId="2236" xr:uid="{181AE508-3793-4EDF-BABC-452E04903353}"/>
    <cellStyle name="Currency 2 8 2 2" xfId="4425" xr:uid="{98A60B5E-DBFD-4004-810B-AD3F204E46F7}"/>
    <cellStyle name="Currency 2 8 2 2 2" xfId="5373" xr:uid="{58C60232-40D2-4F5E-99EC-25EC2C18E147}"/>
    <cellStyle name="Currency 2 8 2 2 2 2" xfId="6241" xr:uid="{A155FBCB-CDC2-493D-8C74-DC6860B00851}"/>
    <cellStyle name="Currency 2 8 2 2 2 2 2" xfId="9713" xr:uid="{E2360700-C1AA-4329-89C3-EA543E1A738E}"/>
    <cellStyle name="Currency 2 8 2 2 2 2 2 2" xfId="23764" xr:uid="{3B1D08B1-B104-465A-B9C0-1FE99373D28E}"/>
    <cellStyle name="Currency 2 8 2 2 2 2 3" xfId="12317" xr:uid="{5856B153-F702-4F4E-AEF3-A3906FDEDAB6}"/>
    <cellStyle name="Currency 2 8 2 2 2 2 3 2" xfId="26368" xr:uid="{85A9D63E-9C4C-4209-8043-2471BE66A270}"/>
    <cellStyle name="Currency 2 8 2 2 2 2 4" xfId="20292" xr:uid="{96C9CE9C-9892-4459-A142-0B48AE8AB577}"/>
    <cellStyle name="Currency 2 8 2 2 2 3" xfId="7109" xr:uid="{EFA09303-C824-4591-92E5-B7C972AA25D0}"/>
    <cellStyle name="Currency 2 8 2 2 2 3 2" xfId="10581" xr:uid="{80E7842A-5EBF-442D-8CD3-CB9F3660B768}"/>
    <cellStyle name="Currency 2 8 2 2 2 3 2 2" xfId="24632" xr:uid="{06F67035-043C-48FA-AA5B-72B486C90671}"/>
    <cellStyle name="Currency 2 8 2 2 2 3 3" xfId="13185" xr:uid="{7409748E-7F5D-45FB-8A53-77ED60C6CF92}"/>
    <cellStyle name="Currency 2 8 2 2 2 3 3 2" xfId="27236" xr:uid="{5D6F2FC5-703E-47F8-9D58-38FC69501B88}"/>
    <cellStyle name="Currency 2 8 2 2 2 3 4" xfId="21160" xr:uid="{03559D51-0FC3-446A-8708-50C56E4BE8C5}"/>
    <cellStyle name="Currency 2 8 2 2 2 4" xfId="8845" xr:uid="{9410E706-6DCB-4631-A618-3A79C6BBE9BD}"/>
    <cellStyle name="Currency 2 8 2 2 2 4 2" xfId="14053" xr:uid="{5A9177A4-B14C-47C1-8724-3A5AE0585058}"/>
    <cellStyle name="Currency 2 8 2 2 2 4 2 2" xfId="28104" xr:uid="{1944E63B-D7C7-4040-A245-ECCA229D41CE}"/>
    <cellStyle name="Currency 2 8 2 2 2 4 3" xfId="22896" xr:uid="{7CC1065D-18A8-4C6A-835D-F322DFA483D8}"/>
    <cellStyle name="Currency 2 8 2 2 2 5" xfId="7977" xr:uid="{93B1DB03-26EC-43EC-A9C6-AEF6EFDB02A9}"/>
    <cellStyle name="Currency 2 8 2 2 2 5 2" xfId="22028" xr:uid="{486C22B9-B673-4E8D-90AB-4540A205A2BE}"/>
    <cellStyle name="Currency 2 8 2 2 2 6" xfId="11449" xr:uid="{1052C3ED-6DEE-4EA9-8682-8E8DCDE81637}"/>
    <cellStyle name="Currency 2 8 2 2 2 6 2" xfId="25500" xr:uid="{9EAAF54D-423C-414B-A83C-49E658175253}"/>
    <cellStyle name="Currency 2 8 2 2 2 7" xfId="19424" xr:uid="{F6599D30-582B-46C2-99E4-E4ED62A82826}"/>
    <cellStyle name="Currency 2 8 2 2 3" xfId="5807" xr:uid="{AA981CA8-348C-4C3F-AFF6-A5403C27DABB}"/>
    <cellStyle name="Currency 2 8 2 2 3 2" xfId="9279" xr:uid="{2D7D2CF5-0E2D-4C27-B5D7-DA7239CE001D}"/>
    <cellStyle name="Currency 2 8 2 2 3 2 2" xfId="23330" xr:uid="{AAD566B7-92B8-4D8C-AB7B-B8525BD86131}"/>
    <cellStyle name="Currency 2 8 2 2 3 3" xfId="11883" xr:uid="{40F9B59A-2791-4743-91E6-A66493900500}"/>
    <cellStyle name="Currency 2 8 2 2 3 3 2" xfId="25934" xr:uid="{1EEEF184-A431-414C-90C3-D134B9D8A80C}"/>
    <cellStyle name="Currency 2 8 2 2 3 4" xfId="19858" xr:uid="{AA717593-A3A6-41B9-B875-A48FDA8D32B5}"/>
    <cellStyle name="Currency 2 8 2 2 4" xfId="6675" xr:uid="{1B713BB1-14C6-497F-B179-92BC1E5F019E}"/>
    <cellStyle name="Currency 2 8 2 2 4 2" xfId="10147" xr:uid="{C1187B87-4241-459D-8A9A-47E535D97DD5}"/>
    <cellStyle name="Currency 2 8 2 2 4 2 2" xfId="24198" xr:uid="{A08E3AFF-285A-4E1C-B2EA-050E5FD73083}"/>
    <cellStyle name="Currency 2 8 2 2 4 3" xfId="12751" xr:uid="{8C301B99-FCA7-471D-AC23-0B9077102B22}"/>
    <cellStyle name="Currency 2 8 2 2 4 3 2" xfId="26802" xr:uid="{1839CBDD-D87A-4D75-B53C-C37367E7AAB9}"/>
    <cellStyle name="Currency 2 8 2 2 4 4" xfId="20726" xr:uid="{304B613C-7DD9-4CE9-94CB-BC0937069A26}"/>
    <cellStyle name="Currency 2 8 2 2 5" xfId="8411" xr:uid="{506F2122-DC9A-477C-B224-6CC297537750}"/>
    <cellStyle name="Currency 2 8 2 2 5 2" xfId="13619" xr:uid="{48F14650-A558-418D-971A-2374CEFD78F2}"/>
    <cellStyle name="Currency 2 8 2 2 5 2 2" xfId="27670" xr:uid="{81AFA29D-74D2-40FE-B9B8-2DCF634CBFC7}"/>
    <cellStyle name="Currency 2 8 2 2 5 3" xfId="22462" xr:uid="{3D3EA5D4-E50C-4F45-93BE-5FDE202CD6FF}"/>
    <cellStyle name="Currency 2 8 2 2 6" xfId="7543" xr:uid="{174DCB12-2A4D-471D-B20F-9DE9A7405985}"/>
    <cellStyle name="Currency 2 8 2 2 6 2" xfId="21594" xr:uid="{1E044152-82E9-4BD9-9034-CFBBA49F74D1}"/>
    <cellStyle name="Currency 2 8 2 2 7" xfId="11015" xr:uid="{0D0F453C-10B3-4B37-8A53-CC5B5CF1CCC8}"/>
    <cellStyle name="Currency 2 8 2 2 7 2" xfId="25066" xr:uid="{7673A7D0-4079-439A-9D11-C4C08407D079}"/>
    <cellStyle name="Currency 2 8 2 2 8" xfId="18475" xr:uid="{E36C7F01-07EF-4F05-AB2B-D70C58F35D93}"/>
    <cellStyle name="Currency 2 8 2 3" xfId="5183" xr:uid="{CC0963CB-6738-479C-A558-049E67F108AB}"/>
    <cellStyle name="Currency 2 8 2 3 2" xfId="6051" xr:uid="{7F092307-CECE-4071-B01F-62B12346CADE}"/>
    <cellStyle name="Currency 2 8 2 3 2 2" xfId="9523" xr:uid="{BF935791-7375-4EA8-A216-492B23D11D0D}"/>
    <cellStyle name="Currency 2 8 2 3 2 2 2" xfId="23574" xr:uid="{E711D2AE-BDFD-4A7A-9953-3085901E9333}"/>
    <cellStyle name="Currency 2 8 2 3 2 3" xfId="12127" xr:uid="{7A5406E1-F21F-4349-A119-908B5A06C7F9}"/>
    <cellStyle name="Currency 2 8 2 3 2 3 2" xfId="26178" xr:uid="{5F78002D-AD2F-41C1-AB5D-A8802CB2AEDE}"/>
    <cellStyle name="Currency 2 8 2 3 2 4" xfId="20102" xr:uid="{2DBB4EF8-9979-4B87-A3E3-5E2CA978093B}"/>
    <cellStyle name="Currency 2 8 2 3 3" xfId="6919" xr:uid="{0C45BC1E-D2D0-4399-8D50-861A443BDD4C}"/>
    <cellStyle name="Currency 2 8 2 3 3 2" xfId="10391" xr:uid="{27E42B79-A1DA-4A52-99DA-52CC33B8CA0E}"/>
    <cellStyle name="Currency 2 8 2 3 3 2 2" xfId="24442" xr:uid="{25FD1ED3-DCB5-4EB1-80C9-77B7BC6BD6F3}"/>
    <cellStyle name="Currency 2 8 2 3 3 3" xfId="12995" xr:uid="{954A96C0-71A2-4C71-93F7-A52E2AEFDA3F}"/>
    <cellStyle name="Currency 2 8 2 3 3 3 2" xfId="27046" xr:uid="{E036C734-070F-4AFB-A165-AF4B5E9A33B8}"/>
    <cellStyle name="Currency 2 8 2 3 3 4" xfId="20970" xr:uid="{67FE8517-58BD-401D-91CC-1B28DCAD08D3}"/>
    <cellStyle name="Currency 2 8 2 3 4" xfId="8655" xr:uid="{1803BBFD-40C6-47FA-8A16-42B3088E778A}"/>
    <cellStyle name="Currency 2 8 2 3 4 2" xfId="13863" xr:uid="{92DF1D98-85FB-43ED-A0EC-199D73B6EBA3}"/>
    <cellStyle name="Currency 2 8 2 3 4 2 2" xfId="27914" xr:uid="{FC6FC89D-8C8D-4362-A6BA-965DDE7BF461}"/>
    <cellStyle name="Currency 2 8 2 3 4 3" xfId="22706" xr:uid="{E8F8D125-70AE-456C-B21E-7EFA1843F431}"/>
    <cellStyle name="Currency 2 8 2 3 5" xfId="7787" xr:uid="{E835D8AA-2E2C-4D93-8321-1C67C31DC0B4}"/>
    <cellStyle name="Currency 2 8 2 3 5 2" xfId="21838" xr:uid="{60E52577-19CD-4A1B-9607-48ECF0926FB7}"/>
    <cellStyle name="Currency 2 8 2 3 6" xfId="11259" xr:uid="{7E4BEE1F-657C-44C5-A13F-F51FC6DB3F02}"/>
    <cellStyle name="Currency 2 8 2 3 6 2" xfId="25310" xr:uid="{E92E2DAD-1D26-4BA7-B33D-0D631C9E58F2}"/>
    <cellStyle name="Currency 2 8 2 3 7" xfId="19234" xr:uid="{E7E2CD5A-DF0B-46BB-B798-06698CD5C375}"/>
    <cellStyle name="Currency 2 8 2 4" xfId="5617" xr:uid="{C6FDC32F-309C-4257-83B8-0263C97CE022}"/>
    <cellStyle name="Currency 2 8 2 4 2" xfId="9089" xr:uid="{E591661F-41F0-46E8-9A01-C75F2504FFE6}"/>
    <cellStyle name="Currency 2 8 2 4 2 2" xfId="23140" xr:uid="{A02FE3F6-CA6A-42D6-B498-02B5FD5AC1A7}"/>
    <cellStyle name="Currency 2 8 2 4 3" xfId="11693" xr:uid="{94667EBE-BEB7-4280-9893-F6A8FD00BDCF}"/>
    <cellStyle name="Currency 2 8 2 4 3 2" xfId="25744" xr:uid="{8BE629DB-524D-4A27-8FB0-DCF1084482FD}"/>
    <cellStyle name="Currency 2 8 2 4 4" xfId="19668" xr:uid="{8F8BDCCC-5CDE-4C03-ACCD-16B97257FCA3}"/>
    <cellStyle name="Currency 2 8 2 5" xfId="6485" xr:uid="{3BB55704-F392-4CD7-A7C9-7CBE3E0D0F19}"/>
    <cellStyle name="Currency 2 8 2 5 2" xfId="9957" xr:uid="{EA024FF3-3433-4BF1-80AC-51B31BC20654}"/>
    <cellStyle name="Currency 2 8 2 5 2 2" xfId="24008" xr:uid="{FF1A29EE-C6DE-4F8E-8D26-6E0EBE8170F3}"/>
    <cellStyle name="Currency 2 8 2 5 3" xfId="12561" xr:uid="{758F0815-FD29-485C-B7AD-371C1D789D41}"/>
    <cellStyle name="Currency 2 8 2 5 3 2" xfId="26612" xr:uid="{A60A326A-940B-4302-8FF6-FF25A38D5749}"/>
    <cellStyle name="Currency 2 8 2 5 4" xfId="20536" xr:uid="{8379CBF9-C35B-44C1-98D4-424792BFAC0B}"/>
    <cellStyle name="Currency 2 8 2 6" xfId="8221" xr:uid="{0FD19B79-1FDA-4E34-9CFE-9D2B0FA4D085}"/>
    <cellStyle name="Currency 2 8 2 6 2" xfId="13429" xr:uid="{22A02909-8A95-492C-856B-1BA6F71B8D3E}"/>
    <cellStyle name="Currency 2 8 2 6 2 2" xfId="27480" xr:uid="{80079F28-4C10-423E-B3F6-269DFA3675A9}"/>
    <cellStyle name="Currency 2 8 2 6 3" xfId="22272" xr:uid="{76A484C2-B328-451E-9D6E-BCE91E29846B}"/>
    <cellStyle name="Currency 2 8 2 7" xfId="7353" xr:uid="{148D6489-D048-4921-A9E2-946DEE3D88F7}"/>
    <cellStyle name="Currency 2 8 2 7 2" xfId="21404" xr:uid="{8EB94180-27F4-43C3-8594-4370760180BA}"/>
    <cellStyle name="Currency 2 8 2 8" xfId="10825" xr:uid="{E0B7CE44-980E-413A-A0E4-BD502483E52E}"/>
    <cellStyle name="Currency 2 8 2 8 2" xfId="24876" xr:uid="{C931EA16-6ED0-4121-8B66-66735544D218}"/>
    <cellStyle name="Currency 2 8 2 9" xfId="16285" xr:uid="{AE8D9391-F7E2-43C9-816A-0D51568FB02C}"/>
    <cellStyle name="Currency 2 8 3" xfId="3329" xr:uid="{7DEF8D61-29ED-47AB-9D0A-255355FCECBA}"/>
    <cellStyle name="Currency 2 8 3 2" xfId="5278" xr:uid="{65B228B4-9824-4228-8D12-C08E18A16360}"/>
    <cellStyle name="Currency 2 8 3 2 2" xfId="6146" xr:uid="{C00A57AB-1B6D-4D7F-9C06-AC1A3DB3DAF1}"/>
    <cellStyle name="Currency 2 8 3 2 2 2" xfId="9618" xr:uid="{B2BA0D4A-020A-44A3-BD9C-B9AF0EEA7B5C}"/>
    <cellStyle name="Currency 2 8 3 2 2 2 2" xfId="23669" xr:uid="{2800362C-503A-4886-9A34-EA5BB93821BF}"/>
    <cellStyle name="Currency 2 8 3 2 2 3" xfId="12222" xr:uid="{66B92867-A148-4B49-BBB3-1194CF12B349}"/>
    <cellStyle name="Currency 2 8 3 2 2 3 2" xfId="26273" xr:uid="{F5538E3A-3246-496B-811F-B8BE50EE9F14}"/>
    <cellStyle name="Currency 2 8 3 2 2 4" xfId="20197" xr:uid="{2691BDFF-F61B-4FBE-B3DD-EA448ABB974B}"/>
    <cellStyle name="Currency 2 8 3 2 3" xfId="7014" xr:uid="{ACD5AF69-DAC3-423A-8ABF-66A3A4CDC8FD}"/>
    <cellStyle name="Currency 2 8 3 2 3 2" xfId="10486" xr:uid="{E72F0BC7-FEDF-47CE-939F-8A6A3CEBBAE0}"/>
    <cellStyle name="Currency 2 8 3 2 3 2 2" xfId="24537" xr:uid="{FEF59ED8-3255-494E-8924-808B804F537E}"/>
    <cellStyle name="Currency 2 8 3 2 3 3" xfId="13090" xr:uid="{8D52A085-D5E5-4AFB-AF3B-356D23B22601}"/>
    <cellStyle name="Currency 2 8 3 2 3 3 2" xfId="27141" xr:uid="{BEE68A48-AF38-4225-AC44-984E070C24BF}"/>
    <cellStyle name="Currency 2 8 3 2 3 4" xfId="21065" xr:uid="{A87BDFFA-B53B-4047-821F-E85E2E22FFB9}"/>
    <cellStyle name="Currency 2 8 3 2 4" xfId="8750" xr:uid="{ECED9AD9-D9B7-4E1A-8D63-7FAC01C9D313}"/>
    <cellStyle name="Currency 2 8 3 2 4 2" xfId="13958" xr:uid="{C190F9F5-3793-41A2-B43A-874E0C1E4F45}"/>
    <cellStyle name="Currency 2 8 3 2 4 2 2" xfId="28009" xr:uid="{DDE3C2C1-E2B0-4BF0-848D-8B7EC3C69510}"/>
    <cellStyle name="Currency 2 8 3 2 4 3" xfId="22801" xr:uid="{79AADB54-4246-4ADE-BDF9-B9EB22C48438}"/>
    <cellStyle name="Currency 2 8 3 2 5" xfId="7882" xr:uid="{BD186BD8-18E2-4F7C-8F4E-B65C9D36C85B}"/>
    <cellStyle name="Currency 2 8 3 2 5 2" xfId="21933" xr:uid="{D439D7AC-02C7-4C2F-80D3-4F42BD4AE8C2}"/>
    <cellStyle name="Currency 2 8 3 2 6" xfId="11354" xr:uid="{1CAA282F-221F-4A11-AD48-247AB934A595}"/>
    <cellStyle name="Currency 2 8 3 2 6 2" xfId="25405" xr:uid="{BEA618A1-68E5-4151-9105-2CA12BC521A3}"/>
    <cellStyle name="Currency 2 8 3 2 7" xfId="19329" xr:uid="{098214F5-5604-44DE-AC70-F391AA894EE3}"/>
    <cellStyle name="Currency 2 8 3 3" xfId="5712" xr:uid="{C60B9196-BF28-47D1-90B5-5F96C29F521A}"/>
    <cellStyle name="Currency 2 8 3 3 2" xfId="9184" xr:uid="{1AF9DCC4-BE9D-40D5-9C0F-B32EE769F3FC}"/>
    <cellStyle name="Currency 2 8 3 3 2 2" xfId="23235" xr:uid="{2C898D86-BFB5-4BDF-A607-0FF198B59927}"/>
    <cellStyle name="Currency 2 8 3 3 3" xfId="11788" xr:uid="{5FD3F8C4-26E1-4368-AE87-F4FCB7F651D2}"/>
    <cellStyle name="Currency 2 8 3 3 3 2" xfId="25839" xr:uid="{3FF49601-8DC8-4A5C-9C95-9AE43CB02D9F}"/>
    <cellStyle name="Currency 2 8 3 3 4" xfId="19763" xr:uid="{DA7C0338-B30B-457E-8A15-EB00F06FA0E3}"/>
    <cellStyle name="Currency 2 8 3 4" xfId="6580" xr:uid="{845B8720-9ECD-4FC8-8B6E-2AE65687BC5D}"/>
    <cellStyle name="Currency 2 8 3 4 2" xfId="10052" xr:uid="{69223DAE-4624-4826-8722-47C8545BFEE2}"/>
    <cellStyle name="Currency 2 8 3 4 2 2" xfId="24103" xr:uid="{B5A69E96-8138-4B77-9C48-2C0DADC04032}"/>
    <cellStyle name="Currency 2 8 3 4 3" xfId="12656" xr:uid="{8A94009F-619F-49A1-87D5-ADC22868763B}"/>
    <cellStyle name="Currency 2 8 3 4 3 2" xfId="26707" xr:uid="{6535AE38-E479-4214-A95D-EB642CC81533}"/>
    <cellStyle name="Currency 2 8 3 4 4" xfId="20631" xr:uid="{A80C6963-E888-4FB1-AA0A-F9B0F8799251}"/>
    <cellStyle name="Currency 2 8 3 5" xfId="8316" xr:uid="{2B8A197B-8D01-4E14-A108-DF63347D546B}"/>
    <cellStyle name="Currency 2 8 3 5 2" xfId="13524" xr:uid="{36D66F44-C323-47F6-A370-201AD78C457E}"/>
    <cellStyle name="Currency 2 8 3 5 2 2" xfId="27575" xr:uid="{3A01C2BA-097F-4BCF-B323-C5D1A50FC00B}"/>
    <cellStyle name="Currency 2 8 3 5 3" xfId="22367" xr:uid="{76484349-A51F-4A5A-A85B-52E4B25646B8}"/>
    <cellStyle name="Currency 2 8 3 6" xfId="7448" xr:uid="{F96E97CD-6AA5-4E78-B6F2-77E7E8A2F60D}"/>
    <cellStyle name="Currency 2 8 3 6 2" xfId="21499" xr:uid="{1FCF7610-380B-4758-A000-5D490C12AD75}"/>
    <cellStyle name="Currency 2 8 3 7" xfId="10920" xr:uid="{73256631-2F63-492A-BECB-1458514CF6AC}"/>
    <cellStyle name="Currency 2 8 3 7 2" xfId="24971" xr:uid="{15070601-421A-47CB-B1F9-E30656516C29}"/>
    <cellStyle name="Currency 2 8 3 8" xfId="17381" xr:uid="{6FF936D2-161E-4A9F-8AEE-A9418EE2E592}"/>
    <cellStyle name="Currency 2 8 4" xfId="5086" xr:uid="{63598A53-D35C-4A18-B0F7-6321196339A1}"/>
    <cellStyle name="Currency 2 8 4 2" xfId="5954" xr:uid="{F99DE053-7F9B-4B01-A1B0-49FFC049F14A}"/>
    <cellStyle name="Currency 2 8 4 2 2" xfId="9426" xr:uid="{5AC844C9-C2C0-4631-9F4F-5ECBE674D432}"/>
    <cellStyle name="Currency 2 8 4 2 2 2" xfId="23477" xr:uid="{B90564E7-FAB7-4AFF-A2F1-5E5C608CAEB6}"/>
    <cellStyle name="Currency 2 8 4 2 3" xfId="12030" xr:uid="{D98D92AD-C642-496C-A36C-467B05E7E0E3}"/>
    <cellStyle name="Currency 2 8 4 2 3 2" xfId="26081" xr:uid="{8CB1B623-1825-4ECF-96DF-84268BF2603F}"/>
    <cellStyle name="Currency 2 8 4 2 4" xfId="20005" xr:uid="{0C28738A-0571-4DFB-AED9-949EFDC1D438}"/>
    <cellStyle name="Currency 2 8 4 3" xfId="6822" xr:uid="{8060871F-650A-49C5-8CEF-859EB09A9707}"/>
    <cellStyle name="Currency 2 8 4 3 2" xfId="10294" xr:uid="{BE01AC06-86DB-4F91-89BC-F6780EE23C60}"/>
    <cellStyle name="Currency 2 8 4 3 2 2" xfId="24345" xr:uid="{EC94FE2D-A140-4C7B-8EF5-510349E0095C}"/>
    <cellStyle name="Currency 2 8 4 3 3" xfId="12898" xr:uid="{A5ECF564-5FDC-4630-B458-E8995EE2FF70}"/>
    <cellStyle name="Currency 2 8 4 3 3 2" xfId="26949" xr:uid="{0E99ACEF-BD24-4B1A-9CFD-6FBD0D97C0E7}"/>
    <cellStyle name="Currency 2 8 4 3 4" xfId="20873" xr:uid="{693EB2D8-0D7F-42BA-8FBF-2C7BCE2991A3}"/>
    <cellStyle name="Currency 2 8 4 4" xfId="8558" xr:uid="{D7E9E446-7B9E-44E6-9D39-12507C317A3C}"/>
    <cellStyle name="Currency 2 8 4 4 2" xfId="13766" xr:uid="{CDEF6577-5330-4D4B-92FF-39A667B83334}"/>
    <cellStyle name="Currency 2 8 4 4 2 2" xfId="27817" xr:uid="{C22CF529-D4D9-4FF4-9BC6-A8A3CED4FB87}"/>
    <cellStyle name="Currency 2 8 4 4 3" xfId="22609" xr:uid="{FA1AA8FD-7E3C-4CD5-B467-683FA87B0A2A}"/>
    <cellStyle name="Currency 2 8 4 5" xfId="7690" xr:uid="{C3A81AD2-1B31-48E1-81B2-EAFA945B585C}"/>
    <cellStyle name="Currency 2 8 4 5 2" xfId="21741" xr:uid="{0ED61C5A-F0E3-4D60-9A39-2FD1D9755055}"/>
    <cellStyle name="Currency 2 8 4 6" xfId="11162" xr:uid="{AA805FDD-2D58-433D-8EC6-84C2C47149AA}"/>
    <cellStyle name="Currency 2 8 4 6 2" xfId="25213" xr:uid="{E12E8E7D-086C-44CC-BE31-DE9E83D899B6}"/>
    <cellStyle name="Currency 2 8 4 7" xfId="19137" xr:uid="{C8624943-F53C-4B33-83F4-AABFD1ED72AB}"/>
    <cellStyle name="Currency 2 8 5" xfId="5520" xr:uid="{F4259CEE-8EE2-4D3E-A83D-7C41E252A679}"/>
    <cellStyle name="Currency 2 8 5 2" xfId="8992" xr:uid="{A6DA92F4-64F1-4CF5-8DFF-4E8022C44133}"/>
    <cellStyle name="Currency 2 8 5 2 2" xfId="23043" xr:uid="{0EE99427-1345-4C58-B72D-098225915AD4}"/>
    <cellStyle name="Currency 2 8 5 3" xfId="11596" xr:uid="{77D78A13-29C7-4E7D-B5CE-E03F72427C05}"/>
    <cellStyle name="Currency 2 8 5 3 2" xfId="25647" xr:uid="{1031139E-B0BC-46E4-8748-17C42086DD90}"/>
    <cellStyle name="Currency 2 8 5 4" xfId="19571" xr:uid="{3351E65C-A6E0-487A-9442-F8DF5DF8D80F}"/>
    <cellStyle name="Currency 2 8 6" xfId="6388" xr:uid="{89910161-804A-495F-AD73-27B18B9CC7A9}"/>
    <cellStyle name="Currency 2 8 6 2" xfId="9860" xr:uid="{107C9184-0A0A-4B15-BB0C-3C832C32CB60}"/>
    <cellStyle name="Currency 2 8 6 2 2" xfId="23911" xr:uid="{F38E8E80-399D-4D3D-BD4B-802F06B5313B}"/>
    <cellStyle name="Currency 2 8 6 3" xfId="12464" xr:uid="{65E92E84-B9FA-41B9-8A27-4F219215B63F}"/>
    <cellStyle name="Currency 2 8 6 3 2" xfId="26515" xr:uid="{FCDB945A-F77C-48B7-9CB4-FABCCB5D8744}"/>
    <cellStyle name="Currency 2 8 6 4" xfId="20439" xr:uid="{0A7C277E-CE6B-49AD-AA28-A904DB2E9E07}"/>
    <cellStyle name="Currency 2 8 7" xfId="8124" xr:uid="{51A9C236-4104-4C62-B310-29A6E1712F91}"/>
    <cellStyle name="Currency 2 8 7 2" xfId="13332" xr:uid="{55246BA8-A7FA-4DE4-898A-2084778DC4CE}"/>
    <cellStyle name="Currency 2 8 7 2 2" xfId="27383" xr:uid="{1026DC24-9412-4A61-98C8-51E8E61106D5}"/>
    <cellStyle name="Currency 2 8 7 3" xfId="22175" xr:uid="{2352601A-90A1-4A3D-A50A-A0402D6EE1AE}"/>
    <cellStyle name="Currency 2 8 8" xfId="7256" xr:uid="{CDD35854-6D9F-455F-AD82-FFFD011E7F73}"/>
    <cellStyle name="Currency 2 8 8 2" xfId="21307" xr:uid="{8888631C-72C5-4E89-86C1-AD5BFFC5716A}"/>
    <cellStyle name="Currency 2 8 9" xfId="10728" xr:uid="{177B42BC-2DC8-4254-83DB-8FD3DC180623}"/>
    <cellStyle name="Currency 2 8 9 2" xfId="24779" xr:uid="{BC8B0A88-98EC-4AD1-A83F-7DB54C218691}"/>
    <cellStyle name="Currency 2 9" xfId="1184" xr:uid="{0D3A5687-1A0C-4EEC-89C0-735A40599836}"/>
    <cellStyle name="Currency 2 9 2" xfId="5092" xr:uid="{ACFC293A-332C-42A0-8498-A4D996DA66D7}"/>
    <cellStyle name="Currency 2 9 2 2" xfId="5960" xr:uid="{D40C1529-610C-49EF-B2C7-2D01FC773A96}"/>
    <cellStyle name="Currency 2 9 2 2 2" xfId="9432" xr:uid="{1F214DBF-4AAD-4A37-8AAB-32427F8B1C0F}"/>
    <cellStyle name="Currency 2 9 2 2 2 2" xfId="23483" xr:uid="{16E6BA24-C0F2-4509-A4D6-E8A84395E5BA}"/>
    <cellStyle name="Currency 2 9 2 2 3" xfId="12036" xr:uid="{7FC425A1-05A5-4448-8B2E-FC5D16E7C58E}"/>
    <cellStyle name="Currency 2 9 2 2 3 2" xfId="26087" xr:uid="{ECF3C341-59B5-4B36-A701-04336C012621}"/>
    <cellStyle name="Currency 2 9 2 2 4" xfId="20011" xr:uid="{CA99F218-830B-4CCD-9961-3134CF6B5BFD}"/>
    <cellStyle name="Currency 2 9 2 3" xfId="6828" xr:uid="{A9F860ED-DA67-43DE-964F-680A09FD1415}"/>
    <cellStyle name="Currency 2 9 2 3 2" xfId="10300" xr:uid="{486E514B-CFFD-4FE1-8021-A27725894894}"/>
    <cellStyle name="Currency 2 9 2 3 2 2" xfId="24351" xr:uid="{16D781B3-C5A6-4CBF-992F-82025CCCD376}"/>
    <cellStyle name="Currency 2 9 2 3 3" xfId="12904" xr:uid="{0C374297-DE07-41BB-B7C1-EC0F2CF6029F}"/>
    <cellStyle name="Currency 2 9 2 3 3 2" xfId="26955" xr:uid="{FDE68E29-BA8C-4E14-A3BD-AB0A371496F5}"/>
    <cellStyle name="Currency 2 9 2 3 4" xfId="20879" xr:uid="{DBBE6EC2-F429-40E0-A222-68DA207BB9DF}"/>
    <cellStyle name="Currency 2 9 2 4" xfId="8564" xr:uid="{8F6D3012-53B7-46CC-9853-0BD2B3EFC421}"/>
    <cellStyle name="Currency 2 9 2 4 2" xfId="13772" xr:uid="{9C617B62-2DED-4410-882A-C860173A06B0}"/>
    <cellStyle name="Currency 2 9 2 4 2 2" xfId="27823" xr:uid="{39B6ED8F-46C5-4FFA-9119-571B7AAE4F99}"/>
    <cellStyle name="Currency 2 9 2 4 3" xfId="22615" xr:uid="{FC3CAE3B-3CE5-4457-BEB8-264C33A9EB6A}"/>
    <cellStyle name="Currency 2 9 2 5" xfId="7696" xr:uid="{258508F0-1893-46AD-8479-C853D69E4EC6}"/>
    <cellStyle name="Currency 2 9 2 5 2" xfId="21747" xr:uid="{2A1501B4-2AB1-411B-813B-18F28546CFEF}"/>
    <cellStyle name="Currency 2 9 2 6" xfId="11168" xr:uid="{C0F8CDFE-72E6-43CF-A1D1-2F9DAE14C0B8}"/>
    <cellStyle name="Currency 2 9 2 6 2" xfId="25219" xr:uid="{80AADBAE-25AC-4F3B-BEE7-7737E6248D69}"/>
    <cellStyle name="Currency 2 9 2 7" xfId="19143" xr:uid="{80E21F3B-E212-4738-B9DA-BE72A1D7A775}"/>
    <cellStyle name="Currency 2 9 3" xfId="5526" xr:uid="{C6E8672A-5899-44D9-9537-BC0E76B2DEE6}"/>
    <cellStyle name="Currency 2 9 3 2" xfId="8998" xr:uid="{AB8D40D4-7D92-47D1-96E2-93FA601F1830}"/>
    <cellStyle name="Currency 2 9 3 2 2" xfId="23049" xr:uid="{F946BA4D-71D1-493F-9D7E-B2F8CC43FEFA}"/>
    <cellStyle name="Currency 2 9 3 3" xfId="11602" xr:uid="{EC4EFBD3-F14B-4796-9972-B0F8DEEED62C}"/>
    <cellStyle name="Currency 2 9 3 3 2" xfId="25653" xr:uid="{5F2351DB-8545-45E8-A5EB-10EBF401806E}"/>
    <cellStyle name="Currency 2 9 3 4" xfId="19577" xr:uid="{BBF45B1D-7CB1-416B-B0A1-5048BDA0356A}"/>
    <cellStyle name="Currency 2 9 4" xfId="6394" xr:uid="{20001260-6DF4-4F42-86A1-A03168F3A883}"/>
    <cellStyle name="Currency 2 9 4 2" xfId="9866" xr:uid="{30C55A00-2B08-4498-BF72-63B6B027D0FB}"/>
    <cellStyle name="Currency 2 9 4 2 2" xfId="23917" xr:uid="{FA7941C5-6DF3-44E1-B485-9F50589D2D74}"/>
    <cellStyle name="Currency 2 9 4 3" xfId="12470" xr:uid="{929C0527-A69D-4562-A6C7-F67B9B7A0657}"/>
    <cellStyle name="Currency 2 9 4 3 2" xfId="26521" xr:uid="{9349DDF4-52ED-43EB-BCFA-EDEAC3A78CD0}"/>
    <cellStyle name="Currency 2 9 4 4" xfId="20445" xr:uid="{DA3300A3-3E44-4FC9-9E98-700FD05125F1}"/>
    <cellStyle name="Currency 2 9 5" xfId="8130" xr:uid="{0E131168-F14B-4867-B220-ED40C201AC7B}"/>
    <cellStyle name="Currency 2 9 5 2" xfId="13338" xr:uid="{1AD8E46E-1D0A-4629-AE3C-46A3359812B5}"/>
    <cellStyle name="Currency 2 9 5 2 2" xfId="27389" xr:uid="{A03D898E-8AEE-4583-AFD8-70462F441737}"/>
    <cellStyle name="Currency 2 9 5 3" xfId="22181" xr:uid="{9936418F-6A10-4E45-8226-1485276DED16}"/>
    <cellStyle name="Currency 2 9 6" xfId="7262" xr:uid="{49874BB9-C618-4F95-A7E0-B69B3C694DCB}"/>
    <cellStyle name="Currency 2 9 6 2" xfId="21313" xr:uid="{4B43CF11-2C6C-469C-A4F9-E7E276F63186}"/>
    <cellStyle name="Currency 2 9 7" xfId="10734" xr:uid="{9CBE7739-AE73-441C-B495-9DB6140DF6D9}"/>
    <cellStyle name="Currency 2 9 7 2" xfId="24785" xr:uid="{1165498F-47A1-4A80-A74C-F98330C44D8D}"/>
    <cellStyle name="Currency 2 9 8" xfId="15235" xr:uid="{B4AB7171-8E2D-456D-979C-A56BA1B43D17}"/>
    <cellStyle name="Currency 20" xfId="28165" xr:uid="{64104913-87C5-4AD3-8DE6-7158F7199624}"/>
    <cellStyle name="Currency 3" xfId="23" xr:uid="{624F2AE8-F76A-434B-8C03-1298BD8183A8}"/>
    <cellStyle name="Currency 3 10" xfId="2297" xr:uid="{F4C9724B-9D89-418B-89AC-EC412ABAC780}"/>
    <cellStyle name="Currency 3 10 2" xfId="5189" xr:uid="{390B4972-E8AB-41D6-B676-717C57F6A8CB}"/>
    <cellStyle name="Currency 3 10 2 2" xfId="6057" xr:uid="{CBA65DB3-A909-4E84-ABEF-28329283468D}"/>
    <cellStyle name="Currency 3 10 2 2 2" xfId="9529" xr:uid="{5BE4B23B-9036-466A-A633-2DEEA9527558}"/>
    <cellStyle name="Currency 3 10 2 2 2 2" xfId="23580" xr:uid="{158643CF-641C-43B8-A8F0-AD37C0BA1F31}"/>
    <cellStyle name="Currency 3 10 2 2 3" xfId="12133" xr:uid="{2ACF323C-D179-444F-845F-94E22B72A4E4}"/>
    <cellStyle name="Currency 3 10 2 2 3 2" xfId="26184" xr:uid="{112535E0-030C-446C-BD3F-B3914B02592B}"/>
    <cellStyle name="Currency 3 10 2 2 4" xfId="20108" xr:uid="{9934DCB6-B16C-4731-8B12-8AA2EF1BF10B}"/>
    <cellStyle name="Currency 3 10 2 3" xfId="6925" xr:uid="{3E808054-FDC1-41C1-88D7-93585E17BCAE}"/>
    <cellStyle name="Currency 3 10 2 3 2" xfId="10397" xr:uid="{00C7CF1E-81B6-45DD-89DA-FFF75B197AE5}"/>
    <cellStyle name="Currency 3 10 2 3 2 2" xfId="24448" xr:uid="{995F1B83-D79E-437E-96FC-B8FFB420CE04}"/>
    <cellStyle name="Currency 3 10 2 3 3" xfId="13001" xr:uid="{8BF8C63B-A259-4FED-BA2E-64F0741C5FBC}"/>
    <cellStyle name="Currency 3 10 2 3 3 2" xfId="27052" xr:uid="{C8D3195A-4B5E-4917-A940-37D2B0A434B9}"/>
    <cellStyle name="Currency 3 10 2 3 4" xfId="20976" xr:uid="{BE59A5AF-FA80-41BA-997C-2142F75066C5}"/>
    <cellStyle name="Currency 3 10 2 4" xfId="8661" xr:uid="{0545AAD0-0A85-43B2-B78D-E5F61F9C9B88}"/>
    <cellStyle name="Currency 3 10 2 4 2" xfId="13869" xr:uid="{AAD863E6-8E5B-4A0B-A577-3FFEE8038A72}"/>
    <cellStyle name="Currency 3 10 2 4 2 2" xfId="27920" xr:uid="{809EBA7C-E2CE-4313-A88F-A126C52C4DC8}"/>
    <cellStyle name="Currency 3 10 2 4 3" xfId="22712" xr:uid="{C8CBC0CA-4EE6-4BF0-90E8-7CE3F0D0C725}"/>
    <cellStyle name="Currency 3 10 2 5" xfId="7793" xr:uid="{976F1B1E-2D02-447A-9289-45024574B22B}"/>
    <cellStyle name="Currency 3 10 2 5 2" xfId="21844" xr:uid="{9F63A9F6-5AE8-4E39-A8C0-7F5BC6534D46}"/>
    <cellStyle name="Currency 3 10 2 6" xfId="11265" xr:uid="{C2D0649F-17D9-42C5-AB6A-6A676E34210A}"/>
    <cellStyle name="Currency 3 10 2 6 2" xfId="25316" xr:uid="{A509C4C8-F9C0-4BB9-BAF9-77D17AC81649}"/>
    <cellStyle name="Currency 3 10 2 7" xfId="19240" xr:uid="{A0F85614-95E5-4AD1-859F-CED93EA37C88}"/>
    <cellStyle name="Currency 3 10 3" xfId="5623" xr:uid="{D031510E-0CE4-45FE-B43B-997385ACA582}"/>
    <cellStyle name="Currency 3 10 3 2" xfId="9095" xr:uid="{98FB06FB-EF05-4CBD-9CF8-1E43042F497B}"/>
    <cellStyle name="Currency 3 10 3 2 2" xfId="23146" xr:uid="{92B109D3-C48A-4C67-BC60-46BDA949B65A}"/>
    <cellStyle name="Currency 3 10 3 3" xfId="11699" xr:uid="{94FB4100-BE8E-400A-80DB-09342627D912}"/>
    <cellStyle name="Currency 3 10 3 3 2" xfId="25750" xr:uid="{153BD069-4CEC-4CBC-BDCC-36D868AB0B55}"/>
    <cellStyle name="Currency 3 10 3 4" xfId="19674" xr:uid="{1A064DE5-A67B-4005-8230-A4CE0A7AA07C}"/>
    <cellStyle name="Currency 3 10 4" xfId="6491" xr:uid="{77CBA64B-70BF-4263-B32E-7A2B36F2F08D}"/>
    <cellStyle name="Currency 3 10 4 2" xfId="9963" xr:uid="{77658769-B55A-4FB7-BC12-A5E441BF5483}"/>
    <cellStyle name="Currency 3 10 4 2 2" xfId="24014" xr:uid="{0728F30C-4176-4126-B750-55409C6C2631}"/>
    <cellStyle name="Currency 3 10 4 3" xfId="12567" xr:uid="{66F63D77-D4A3-4599-B1BC-70EC23EF88ED}"/>
    <cellStyle name="Currency 3 10 4 3 2" xfId="26618" xr:uid="{5080BDAF-5CB2-4760-B0E1-B4C7F214B6D6}"/>
    <cellStyle name="Currency 3 10 4 4" xfId="20542" xr:uid="{4F00D397-5059-405A-8F8B-5947C7E7DA19}"/>
    <cellStyle name="Currency 3 10 5" xfId="8227" xr:uid="{F0170B57-5831-4A90-92A4-ED8393D7D7B7}"/>
    <cellStyle name="Currency 3 10 5 2" xfId="13435" xr:uid="{F7118392-6A3E-44C2-BC59-2FB9099A8A94}"/>
    <cellStyle name="Currency 3 10 5 2 2" xfId="27486" xr:uid="{3ADDBEFB-D783-438E-BFD4-13C7170C4DFD}"/>
    <cellStyle name="Currency 3 10 5 3" xfId="22278" xr:uid="{D1A6E947-D9EC-4DC8-AD33-91CA0D785709}"/>
    <cellStyle name="Currency 3 10 6" xfId="7359" xr:uid="{57130476-9BFF-4976-B7EF-C5B174F9AABF}"/>
    <cellStyle name="Currency 3 10 6 2" xfId="21410" xr:uid="{7294AE20-9724-43D8-82C2-F1A7E591A33E}"/>
    <cellStyle name="Currency 3 10 7" xfId="10831" xr:uid="{B41972A1-A5CD-4629-B591-02CECF8A4D3B}"/>
    <cellStyle name="Currency 3 10 7 2" xfId="24882" xr:uid="{AA13288A-5EF1-48D4-8284-213AC2F52AF6}"/>
    <cellStyle name="Currency 3 10 8" xfId="16348" xr:uid="{3938AA06-5114-43B1-9453-6CF75A2A2680}"/>
    <cellStyle name="Currency 3 11" xfId="4491" xr:uid="{14641EBB-00B6-47E7-828D-43BC7166AFF9}"/>
    <cellStyle name="Currency 3 11 2" xfId="5380" xr:uid="{C205303D-AD62-4DD9-94C1-7A3FFB6EB857}"/>
    <cellStyle name="Currency 3 11 2 2" xfId="6248" xr:uid="{6FF5DFDF-BF9C-4E49-B89A-27F50CD1409C}"/>
    <cellStyle name="Currency 3 11 2 2 2" xfId="9720" xr:uid="{DD11B076-2ABB-4AD9-97DB-1D15CFAB9571}"/>
    <cellStyle name="Currency 3 11 2 2 2 2" xfId="23771" xr:uid="{B3492336-E07E-430E-B347-4A33A48AFE0E}"/>
    <cellStyle name="Currency 3 11 2 2 3" xfId="12324" xr:uid="{3E25170B-FEC8-47BB-BB43-A62E3E44C386}"/>
    <cellStyle name="Currency 3 11 2 2 3 2" xfId="26375" xr:uid="{9F25945B-C736-4908-B387-80ECB0BD53F3}"/>
    <cellStyle name="Currency 3 11 2 2 4" xfId="20299" xr:uid="{6BDB227A-EC76-42FD-956B-B8EA05A619E0}"/>
    <cellStyle name="Currency 3 11 2 3" xfId="7116" xr:uid="{713DA378-5C83-4794-9FAE-99C45A4417FF}"/>
    <cellStyle name="Currency 3 11 2 3 2" xfId="10588" xr:uid="{53C82F38-3546-4B79-AE3B-7AA53AD1CB19}"/>
    <cellStyle name="Currency 3 11 2 3 2 2" xfId="24639" xr:uid="{B995BA00-4D5A-4042-8395-B8E91F3859B3}"/>
    <cellStyle name="Currency 3 11 2 3 3" xfId="13192" xr:uid="{FBFB8810-85B3-42D2-8268-14026C082F38}"/>
    <cellStyle name="Currency 3 11 2 3 3 2" xfId="27243" xr:uid="{197DAAC1-5B5D-40C7-8A6A-6EC9895269C5}"/>
    <cellStyle name="Currency 3 11 2 3 4" xfId="21167" xr:uid="{BB62A784-8C18-4FD6-8540-67B3FF964A6F}"/>
    <cellStyle name="Currency 3 11 2 4" xfId="8852" xr:uid="{B897BA99-B46F-4284-8997-6E11E717B8A3}"/>
    <cellStyle name="Currency 3 11 2 4 2" xfId="14060" xr:uid="{6BF67F62-D0D5-4977-B485-41AB92AEEB9F}"/>
    <cellStyle name="Currency 3 11 2 4 2 2" xfId="28111" xr:uid="{BFB4ED75-21D8-42D3-AF96-19E973205C9C}"/>
    <cellStyle name="Currency 3 11 2 4 3" xfId="22903" xr:uid="{E0965D36-452E-4963-AE1D-02EFA385C04F}"/>
    <cellStyle name="Currency 3 11 2 5" xfId="7984" xr:uid="{8C900134-B6DE-406F-865C-5A8B18B23CDA}"/>
    <cellStyle name="Currency 3 11 2 5 2" xfId="22035" xr:uid="{915D9611-1E32-4456-8AF1-ED5504687F81}"/>
    <cellStyle name="Currency 3 11 2 6" xfId="11456" xr:uid="{3EB6FD37-7C20-4D7A-BD8E-F96327D3EB16}"/>
    <cellStyle name="Currency 3 11 2 6 2" xfId="25507" xr:uid="{606CD4E9-6B6A-4EB4-B5ED-9798CB9EB60C}"/>
    <cellStyle name="Currency 3 11 2 7" xfId="19431" xr:uid="{A5E485A3-DB21-4853-A008-D58568E8E4CF}"/>
    <cellStyle name="Currency 3 11 3" xfId="5814" xr:uid="{0B3F4E78-3C32-4BEB-80BD-04818705942B}"/>
    <cellStyle name="Currency 3 11 3 2" xfId="9286" xr:uid="{79887579-FBAA-45D7-B0D8-FDE51BD38A93}"/>
    <cellStyle name="Currency 3 11 3 2 2" xfId="23337" xr:uid="{24A8251C-E87A-4D11-973D-CC739DDF58F8}"/>
    <cellStyle name="Currency 3 11 3 3" xfId="11890" xr:uid="{4E2D1538-8070-470B-A8F6-8B52C4749CCC}"/>
    <cellStyle name="Currency 3 11 3 3 2" xfId="25941" xr:uid="{094F09A1-75A6-472A-9F86-819A36B916FB}"/>
    <cellStyle name="Currency 3 11 3 4" xfId="19865" xr:uid="{969AA6A7-D680-4A1E-9F73-1B0C281877B9}"/>
    <cellStyle name="Currency 3 11 4" xfId="6682" xr:uid="{C367D34E-3F5B-4AC4-ACF1-27CD27B19F88}"/>
    <cellStyle name="Currency 3 11 4 2" xfId="10154" xr:uid="{F58E72C7-0730-4FDB-A03E-901AA476E2A6}"/>
    <cellStyle name="Currency 3 11 4 2 2" xfId="24205" xr:uid="{5C513BD7-22E4-44EC-8FA1-CFE74CE73A8A}"/>
    <cellStyle name="Currency 3 11 4 3" xfId="12758" xr:uid="{1346C3AE-B2A8-4E83-8509-46B5EDC05F6D}"/>
    <cellStyle name="Currency 3 11 4 3 2" xfId="26809" xr:uid="{120FC003-4934-436F-A5CC-77BB4476CFE3}"/>
    <cellStyle name="Currency 3 11 4 4" xfId="20733" xr:uid="{9D2033AE-ED22-4008-AB0D-F62C782F59CF}"/>
    <cellStyle name="Currency 3 11 5" xfId="8418" xr:uid="{CF439B82-98CD-4477-8004-EA6B5152D1BE}"/>
    <cellStyle name="Currency 3 11 5 2" xfId="13626" xr:uid="{A77C70CA-9269-4624-90CC-699651F89FE9}"/>
    <cellStyle name="Currency 3 11 5 2 2" xfId="27677" xr:uid="{9E070934-720F-4ED8-BEA1-E89BD2226044}"/>
    <cellStyle name="Currency 3 11 5 3" xfId="22469" xr:uid="{0E8661D6-3EB8-41A4-99E1-2326645861CB}"/>
    <cellStyle name="Currency 3 11 6" xfId="7550" xr:uid="{A6950623-4318-42AE-81A5-F2E86DACFD5D}"/>
    <cellStyle name="Currency 3 11 6 2" xfId="21601" xr:uid="{77CF4692-330F-4E00-9FF9-0E99124259B4}"/>
    <cellStyle name="Currency 3 11 7" xfId="11022" xr:uid="{65E11465-A17F-40F6-965C-61713522CDF5}"/>
    <cellStyle name="Currency 3 11 7 2" xfId="25073" xr:uid="{EB0C02DE-E414-4D89-8AA0-8E4F5E5CC8CE}"/>
    <cellStyle name="Currency 3 11 8" xfId="18542" xr:uid="{C479AE0F-9B8D-4DB3-BF3E-1C89A29BAD1B}"/>
    <cellStyle name="Currency 3 12" xfId="4991" xr:uid="{F4CD2751-7956-43D5-A297-04A9DD4ADFD0}"/>
    <cellStyle name="Currency 3 12 2" xfId="5860" xr:uid="{69C73B83-EC26-4C9A-84C6-EC3104334260}"/>
    <cellStyle name="Currency 3 12 2 2" xfId="9332" xr:uid="{A95D5916-8067-4972-878E-320F667DDA7D}"/>
    <cellStyle name="Currency 3 12 2 2 2" xfId="23383" xr:uid="{E8615638-90ED-4AB6-9629-18795991D9C3}"/>
    <cellStyle name="Currency 3 12 2 3" xfId="11936" xr:uid="{87CF2C22-58E7-4BF2-9714-456A26A7A3F3}"/>
    <cellStyle name="Currency 3 12 2 3 2" xfId="25987" xr:uid="{CFDC28CD-3EC6-4D77-B7F4-B5927D538221}"/>
    <cellStyle name="Currency 3 12 2 4" xfId="19911" xr:uid="{9CCB07CB-AFAE-4F81-8441-C104375BDBE7}"/>
    <cellStyle name="Currency 3 12 3" xfId="6728" xr:uid="{2EBACA47-C3C6-4F66-B9B0-6B782A77CF43}"/>
    <cellStyle name="Currency 3 12 3 2" xfId="10200" xr:uid="{4B5CF396-FFA9-44E3-941E-54169964160E}"/>
    <cellStyle name="Currency 3 12 3 2 2" xfId="24251" xr:uid="{44E1C3FB-DEE0-40F6-9CA0-CB4752A51432}"/>
    <cellStyle name="Currency 3 12 3 3" xfId="12804" xr:uid="{17DAB9DA-6AAE-4FF9-9A1A-CF3C3CABC7F7}"/>
    <cellStyle name="Currency 3 12 3 3 2" xfId="26855" xr:uid="{B7943DED-4CBB-402B-8150-579704341896}"/>
    <cellStyle name="Currency 3 12 3 4" xfId="20779" xr:uid="{EF83EF13-6C67-488A-AA7F-5B1BB00B4F7E}"/>
    <cellStyle name="Currency 3 12 4" xfId="8464" xr:uid="{374165E6-78D7-47BB-BD6B-42EBDDE2A70C}"/>
    <cellStyle name="Currency 3 12 4 2" xfId="13672" xr:uid="{997AC7CF-9416-4BFA-BE5E-9038B3D8DCDC}"/>
    <cellStyle name="Currency 3 12 4 2 2" xfId="27723" xr:uid="{9B2014F7-BF0E-43C1-8C37-DD584C4480E4}"/>
    <cellStyle name="Currency 3 12 4 3" xfId="22515" xr:uid="{54077451-8FA8-4CBF-B03F-DAA603F203F6}"/>
    <cellStyle name="Currency 3 12 5" xfId="7596" xr:uid="{3AC86A4E-818A-4EFB-AE6D-658E83D12D00}"/>
    <cellStyle name="Currency 3 12 5 2" xfId="21647" xr:uid="{02480CC2-314C-48BC-9FA6-8F118D126ABC}"/>
    <cellStyle name="Currency 3 12 6" xfId="11068" xr:uid="{B0F5532F-08CB-4EE8-B636-C40666DBB707}"/>
    <cellStyle name="Currency 3 12 6 2" xfId="25119" xr:uid="{C491EE47-1BFD-49BF-AA26-8389FB5DED11}"/>
    <cellStyle name="Currency 3 12 7" xfId="19043" xr:uid="{02DFBF06-8516-4607-AB95-F69F1A6982C4}"/>
    <cellStyle name="Currency 3 13" xfId="5426" xr:uid="{0DD9D184-B348-41F4-BDDA-4DF697F65406}"/>
    <cellStyle name="Currency 3 13 2" xfId="8898" xr:uid="{3D07E65D-BF4D-4E87-9EAD-6786B6E6EBBF}"/>
    <cellStyle name="Currency 3 13 2 2" xfId="22949" xr:uid="{9E19D3BC-0A56-46B6-ABD5-637D30CBB5AD}"/>
    <cellStyle name="Currency 3 13 3" xfId="11502" xr:uid="{C84535DA-F724-4E84-92DF-3821D25F604A}"/>
    <cellStyle name="Currency 3 13 3 2" xfId="25553" xr:uid="{02FA6CAA-21DA-4B3D-9D6E-BCF8D8366B15}"/>
    <cellStyle name="Currency 3 13 4" xfId="19477" xr:uid="{CA07C56A-FDFB-411D-BEB1-F8E683D69870}"/>
    <cellStyle name="Currency 3 14" xfId="6294" xr:uid="{38873A21-1A31-476A-9AA9-F9ABE249156C}"/>
    <cellStyle name="Currency 3 14 2" xfId="9766" xr:uid="{B80E6B9D-3E53-4F3D-8814-CDCAE23E6F2E}"/>
    <cellStyle name="Currency 3 14 2 2" xfId="23817" xr:uid="{F5869881-BECA-4DD5-9E1B-42DD9456E8D3}"/>
    <cellStyle name="Currency 3 14 3" xfId="12370" xr:uid="{7A8FE41D-2C47-4F46-8706-0CF8D4514B52}"/>
    <cellStyle name="Currency 3 14 3 2" xfId="26421" xr:uid="{DABE28A3-6558-4519-A3C6-F6C8BB2C82B2}"/>
    <cellStyle name="Currency 3 14 4" xfId="20345" xr:uid="{895D6FF9-B375-4016-8CA3-301D74C7D6B1}"/>
    <cellStyle name="Currency 3 15" xfId="8030" xr:uid="{9362CC98-EE61-43EB-8C88-3F25EAA2393A}"/>
    <cellStyle name="Currency 3 15 2" xfId="13238" xr:uid="{0A54BAE1-B3EE-4950-A029-00E95CA42D2F}"/>
    <cellStyle name="Currency 3 15 2 2" xfId="27289" xr:uid="{E2E775B3-7E4D-42ED-870A-6D5568C59F08}"/>
    <cellStyle name="Currency 3 15 3" xfId="22081" xr:uid="{D14E4692-7B79-4DF7-A641-98420DDB41B0}"/>
    <cellStyle name="Currency 3 16" xfId="7162" xr:uid="{BD77FB9D-9759-4743-BA55-FBDCB23AA09E}"/>
    <cellStyle name="Currency 3 16 2" xfId="21213" xr:uid="{FC8D6E03-F206-45FC-B8A1-E5C817754E50}"/>
    <cellStyle name="Currency 3 17" xfId="10634" xr:uid="{7F101BE7-3467-448F-9978-01DD87CE26D1}"/>
    <cellStyle name="Currency 3 17 2" xfId="24685" xr:uid="{1F38A87A-EB8F-4A10-AE94-854B1B2D0693}"/>
    <cellStyle name="Currency 3 18" xfId="76" xr:uid="{ECDB4124-1538-4CFD-B6D8-9E4B8FD4C46B}"/>
    <cellStyle name="Currency 3 18 2" xfId="14145" xr:uid="{91B6A794-2688-4413-9D85-226A4C4F36B0}"/>
    <cellStyle name="Currency 3 19" xfId="14117" xr:uid="{E6179A1B-70B5-47CD-9077-30DA3F45ECF9}"/>
    <cellStyle name="Currency 3 2" xfId="113" xr:uid="{3D4DB064-6526-44E8-80D5-F35A5F783750}"/>
    <cellStyle name="Currency 3 2 10" xfId="4511" xr:uid="{9323F7AA-B73E-4944-9B57-0F3BCF1161E8}"/>
    <cellStyle name="Currency 3 2 10 2" xfId="5382" xr:uid="{2BB9A499-EB41-41B3-88BC-0D89CA657CDE}"/>
    <cellStyle name="Currency 3 2 10 2 2" xfId="6250" xr:uid="{3311DEAD-4842-41DF-93A5-C9169A38E3BE}"/>
    <cellStyle name="Currency 3 2 10 2 2 2" xfId="9722" xr:uid="{016C3C85-27BC-46D2-BD6F-485D03C10DCF}"/>
    <cellStyle name="Currency 3 2 10 2 2 2 2" xfId="23773" xr:uid="{81DB98D5-48B2-4D08-A833-805BE92FEE68}"/>
    <cellStyle name="Currency 3 2 10 2 2 3" xfId="12326" xr:uid="{7E2527F4-2AA9-4442-B8A0-22DD3C01A529}"/>
    <cellStyle name="Currency 3 2 10 2 2 3 2" xfId="26377" xr:uid="{E861A882-0DCF-4A99-B00F-C2DEC9615AFF}"/>
    <cellStyle name="Currency 3 2 10 2 2 4" xfId="20301" xr:uid="{39096EEF-A839-4DD1-9AF2-09FA8CC03FAC}"/>
    <cellStyle name="Currency 3 2 10 2 3" xfId="7118" xr:uid="{7164D2D1-4EBC-4465-9FB1-B13E9059C6AB}"/>
    <cellStyle name="Currency 3 2 10 2 3 2" xfId="10590" xr:uid="{A5DA4CF0-0C15-4738-95C9-8466743F3908}"/>
    <cellStyle name="Currency 3 2 10 2 3 2 2" xfId="24641" xr:uid="{B2F78763-807C-45B1-AEA7-D9632A1A9B1F}"/>
    <cellStyle name="Currency 3 2 10 2 3 3" xfId="13194" xr:uid="{192709B5-6C4D-4F5F-A81A-9D6CFF7BDF27}"/>
    <cellStyle name="Currency 3 2 10 2 3 3 2" xfId="27245" xr:uid="{33C271FC-3218-47A0-99DD-A05A83C0F72A}"/>
    <cellStyle name="Currency 3 2 10 2 3 4" xfId="21169" xr:uid="{265C0CDA-5768-4A3A-A5C7-F99B476B4185}"/>
    <cellStyle name="Currency 3 2 10 2 4" xfId="8854" xr:uid="{0496688D-EEB5-4B6B-A768-86BFF432DF88}"/>
    <cellStyle name="Currency 3 2 10 2 4 2" xfId="14062" xr:uid="{5B3EA1C1-4FDF-4E59-A434-C22542685967}"/>
    <cellStyle name="Currency 3 2 10 2 4 2 2" xfId="28113" xr:uid="{D4B767BA-4D16-4BE6-BD43-2A735B74AA08}"/>
    <cellStyle name="Currency 3 2 10 2 4 3" xfId="22905" xr:uid="{311485DF-062D-4B31-8BBC-06CA1CC6B80F}"/>
    <cellStyle name="Currency 3 2 10 2 5" xfId="7986" xr:uid="{28D7B52E-5983-4276-8747-A6D525A72251}"/>
    <cellStyle name="Currency 3 2 10 2 5 2" xfId="22037" xr:uid="{D56B7C1B-7C60-4482-BC5C-44A0215E2B86}"/>
    <cellStyle name="Currency 3 2 10 2 6" xfId="11458" xr:uid="{8D46BF1C-766A-44E6-BEC1-49C87701A17E}"/>
    <cellStyle name="Currency 3 2 10 2 6 2" xfId="25509" xr:uid="{54113419-6E3A-4BD7-9EC1-93D103E6129A}"/>
    <cellStyle name="Currency 3 2 10 2 7" xfId="19433" xr:uid="{C4101FDE-E105-4834-BDDB-9A773166CC2D}"/>
    <cellStyle name="Currency 3 2 10 3" xfId="5816" xr:uid="{9AB2F916-8C55-472D-806F-AA7DEFA433B4}"/>
    <cellStyle name="Currency 3 2 10 3 2" xfId="9288" xr:uid="{3FE7B589-5013-4C8E-A67F-10CDC0CA68C9}"/>
    <cellStyle name="Currency 3 2 10 3 2 2" xfId="23339" xr:uid="{9635F8AC-BE33-4CE3-B0D6-C354997A6C22}"/>
    <cellStyle name="Currency 3 2 10 3 3" xfId="11892" xr:uid="{C6486358-94EA-437E-8C18-4FE38ABD38B9}"/>
    <cellStyle name="Currency 3 2 10 3 3 2" xfId="25943" xr:uid="{D1527B7B-6234-450D-9D83-A4F28C3E29BF}"/>
    <cellStyle name="Currency 3 2 10 3 4" xfId="19867" xr:uid="{9B4E387E-D2CC-4651-83A4-0CA527EB730F}"/>
    <cellStyle name="Currency 3 2 10 4" xfId="6684" xr:uid="{EBFCCFC5-0F6C-4C04-A4DE-9938E71D6EE2}"/>
    <cellStyle name="Currency 3 2 10 4 2" xfId="10156" xr:uid="{986E91F5-70C0-4419-9716-1FC11B8B8E8B}"/>
    <cellStyle name="Currency 3 2 10 4 2 2" xfId="24207" xr:uid="{955AC5B9-79FA-4BA4-85D3-EDF9C9601588}"/>
    <cellStyle name="Currency 3 2 10 4 3" xfId="12760" xr:uid="{D2665B4E-1163-41FE-89DF-0AC75F1B8BE8}"/>
    <cellStyle name="Currency 3 2 10 4 3 2" xfId="26811" xr:uid="{7FFBCEDC-126B-44BD-9A63-3666908BBEEB}"/>
    <cellStyle name="Currency 3 2 10 4 4" xfId="20735" xr:uid="{B1161751-CDD4-407E-B2EE-68EE53506E86}"/>
    <cellStyle name="Currency 3 2 10 5" xfId="8420" xr:uid="{FA5BA4F6-8CC6-46D7-A395-E79023200064}"/>
    <cellStyle name="Currency 3 2 10 5 2" xfId="13628" xr:uid="{236C1068-65A7-49E2-BB72-FA8515698EB9}"/>
    <cellStyle name="Currency 3 2 10 5 2 2" xfId="27679" xr:uid="{61962B65-1C2E-4C87-B5FB-7247827C919C}"/>
    <cellStyle name="Currency 3 2 10 5 3" xfId="22471" xr:uid="{479195BE-F9FB-4384-B02A-326842CCF3CA}"/>
    <cellStyle name="Currency 3 2 10 6" xfId="7552" xr:uid="{1A9F1EB8-FFD3-4AD4-8688-0FBAEE6F91EE}"/>
    <cellStyle name="Currency 3 2 10 6 2" xfId="21603" xr:uid="{394215F5-F2CB-4B6B-85F1-458C28614FF9}"/>
    <cellStyle name="Currency 3 2 10 7" xfId="11024" xr:uid="{344374FB-9838-42D0-9CE8-A0EE87C2D9E6}"/>
    <cellStyle name="Currency 3 2 10 7 2" xfId="25075" xr:uid="{DC6855AB-1E5B-4814-AF2A-06786C9F83F2}"/>
    <cellStyle name="Currency 3 2 10 8" xfId="18562" xr:uid="{5EA5A09F-0ADE-440B-966B-1A3BABD4E782}"/>
    <cellStyle name="Currency 3 2 11" xfId="4996" xr:uid="{44F592A4-0068-4DDE-A9D9-57DF65DBCBF9}"/>
    <cellStyle name="Currency 3 2 11 2" xfId="5864" xr:uid="{00BDE948-D8F4-4D6E-B45E-71741D8FB59F}"/>
    <cellStyle name="Currency 3 2 11 2 2" xfId="9336" xr:uid="{20275A48-0FE6-44D0-A949-758E0D948DB7}"/>
    <cellStyle name="Currency 3 2 11 2 2 2" xfId="23387" xr:uid="{BFC4AFF6-640A-4902-9ED4-964C0C718A6F}"/>
    <cellStyle name="Currency 3 2 11 2 3" xfId="11940" xr:uid="{5DB05BEA-DE30-486E-B86C-4D63DA131D2E}"/>
    <cellStyle name="Currency 3 2 11 2 3 2" xfId="25991" xr:uid="{22DEB832-8481-4B6C-B75C-FA3F1D78BA5A}"/>
    <cellStyle name="Currency 3 2 11 2 4" xfId="19915" xr:uid="{A7E63DF6-C913-4665-B09C-96C98BD41951}"/>
    <cellStyle name="Currency 3 2 11 3" xfId="6732" xr:uid="{E846E212-A76F-4B40-AC4A-7AA2F39DE9E3}"/>
    <cellStyle name="Currency 3 2 11 3 2" xfId="10204" xr:uid="{B3ECA561-B2BB-4715-A441-206F06B633D6}"/>
    <cellStyle name="Currency 3 2 11 3 2 2" xfId="24255" xr:uid="{C6005786-58A0-4246-93C2-F7588C81F986}"/>
    <cellStyle name="Currency 3 2 11 3 3" xfId="12808" xr:uid="{99629509-0004-419B-A0CE-7E1E320CD1A8}"/>
    <cellStyle name="Currency 3 2 11 3 3 2" xfId="26859" xr:uid="{7D1AF177-755C-48CA-A39A-959FC755A010}"/>
    <cellStyle name="Currency 3 2 11 3 4" xfId="20783" xr:uid="{DECA2F71-EE72-40F2-984F-26BF6077C513}"/>
    <cellStyle name="Currency 3 2 11 4" xfId="8468" xr:uid="{BDB33EFA-FEE1-409B-A233-288C4F5541B7}"/>
    <cellStyle name="Currency 3 2 11 4 2" xfId="13676" xr:uid="{F8D37A77-64E3-49BE-9D1A-42EAE7E6E781}"/>
    <cellStyle name="Currency 3 2 11 4 2 2" xfId="27727" xr:uid="{04EA8902-88F1-4B3C-9B88-40957C6A5F3C}"/>
    <cellStyle name="Currency 3 2 11 4 3" xfId="22519" xr:uid="{9E62C965-2B48-47CB-805A-4479F449B174}"/>
    <cellStyle name="Currency 3 2 11 5" xfId="7600" xr:uid="{92F51F70-055A-44F1-B048-6C6D25CD40DC}"/>
    <cellStyle name="Currency 3 2 11 5 2" xfId="21651" xr:uid="{5C7741F6-AF4D-4F5A-A75D-7C4FB43E37F4}"/>
    <cellStyle name="Currency 3 2 11 6" xfId="11072" xr:uid="{FD12467B-F159-447F-9762-5C9CAA335D13}"/>
    <cellStyle name="Currency 3 2 11 6 2" xfId="25123" xr:uid="{AF8F4E49-C682-46CF-B2B7-FDCD1B1EA99D}"/>
    <cellStyle name="Currency 3 2 11 7" xfId="19047" xr:uid="{8B00618F-1E2E-420C-920E-34AF0FF31ACF}"/>
    <cellStyle name="Currency 3 2 12" xfId="5430" xr:uid="{A14AB924-87C0-440B-874F-D8377315641B}"/>
    <cellStyle name="Currency 3 2 12 2" xfId="8902" xr:uid="{AAB83B62-6066-4215-BD6F-41F180B43155}"/>
    <cellStyle name="Currency 3 2 12 2 2" xfId="22953" xr:uid="{3F7E8097-A2C2-4CA1-95BC-B908B9C1AA65}"/>
    <cellStyle name="Currency 3 2 12 3" xfId="11506" xr:uid="{7C2DC101-4172-4331-A67F-6A636428F7BC}"/>
    <cellStyle name="Currency 3 2 12 3 2" xfId="25557" xr:uid="{86C47AA8-0BFC-475A-804B-B5AFCAFF3EF6}"/>
    <cellStyle name="Currency 3 2 12 4" xfId="19481" xr:uid="{F01BE5DB-AA66-4046-9EFD-D3EB9C5A2D0C}"/>
    <cellStyle name="Currency 3 2 13" xfId="6298" xr:uid="{10D57E06-969E-44C2-B3A8-19F7D3905BF6}"/>
    <cellStyle name="Currency 3 2 13 2" xfId="9770" xr:uid="{EDFB1900-9E67-457A-A2F8-28761947ACB1}"/>
    <cellStyle name="Currency 3 2 13 2 2" xfId="23821" xr:uid="{05DE851C-FABD-4F62-8B6E-04EE4EB90BC8}"/>
    <cellStyle name="Currency 3 2 13 3" xfId="12374" xr:uid="{629283B2-A3D3-4E21-B643-8ACAE039011B}"/>
    <cellStyle name="Currency 3 2 13 3 2" xfId="26425" xr:uid="{63D4922D-99BC-42A7-8273-B3EB2BDDDD14}"/>
    <cellStyle name="Currency 3 2 13 4" xfId="20349" xr:uid="{64A40838-D797-4C39-BBF3-62F3CEC651EB}"/>
    <cellStyle name="Currency 3 2 14" xfId="8034" xr:uid="{CB43D15C-7D9C-446A-AFA7-80542FBC853F}"/>
    <cellStyle name="Currency 3 2 14 2" xfId="13242" xr:uid="{D64862AE-7BA2-4F68-8E71-D9A9D7AC80AC}"/>
    <cellStyle name="Currency 3 2 14 2 2" xfId="27293" xr:uid="{08E8475A-CC78-407E-8533-000ED4455545}"/>
    <cellStyle name="Currency 3 2 14 3" xfId="22085" xr:uid="{D2346738-5D52-4E73-8551-B4C0947AFA9D}"/>
    <cellStyle name="Currency 3 2 15" xfId="7166" xr:uid="{B32ED71F-4244-4C43-84F0-E5AADCCAC86C}"/>
    <cellStyle name="Currency 3 2 15 2" xfId="21217" xr:uid="{01464C81-8458-4223-8CC4-834EB8F1622B}"/>
    <cellStyle name="Currency 3 2 16" xfId="10638" xr:uid="{4EBA15CE-6ADF-4DE3-B28E-AFAD40276455}"/>
    <cellStyle name="Currency 3 2 16 2" xfId="24689" xr:uid="{5CB47330-1DF6-4C41-91BF-E7B67BCA5463}"/>
    <cellStyle name="Currency 3 2 17" xfId="14173" xr:uid="{94E620BA-80AA-4701-83DF-820FC9C39FFC}"/>
    <cellStyle name="Currency 3 2 2" xfId="228" xr:uid="{EDE42538-63AE-47DC-8E0F-075CA28F823C}"/>
    <cellStyle name="Currency 3 2 2 10" xfId="6308" xr:uid="{06BC9DFE-F0F3-4B6F-BBED-1F53EDF38FE9}"/>
    <cellStyle name="Currency 3 2 2 10 2" xfId="9780" xr:uid="{74D1539E-BC11-421C-A7C8-5D941C6D5CAA}"/>
    <cellStyle name="Currency 3 2 2 10 2 2" xfId="23831" xr:uid="{5AD3CF73-3B6E-442E-ABE1-9DE7211F985F}"/>
    <cellStyle name="Currency 3 2 2 10 3" xfId="12384" xr:uid="{804589C0-4F1D-4539-8802-23DC206C85C4}"/>
    <cellStyle name="Currency 3 2 2 10 3 2" xfId="26435" xr:uid="{CC77164A-DC1D-4320-9524-F45052C60C2E}"/>
    <cellStyle name="Currency 3 2 2 10 4" xfId="20359" xr:uid="{C901F836-7DDA-418B-BEF1-23DA1EBF1EA4}"/>
    <cellStyle name="Currency 3 2 2 11" xfId="8044" xr:uid="{881B81B8-D620-4952-B608-0DF245251216}"/>
    <cellStyle name="Currency 3 2 2 11 2" xfId="13252" xr:uid="{7845761E-2C0D-4182-AA38-322AB3F4DC88}"/>
    <cellStyle name="Currency 3 2 2 11 2 2" xfId="27303" xr:uid="{9B8C7312-9C0E-42BA-AAEE-814096FFB8AC}"/>
    <cellStyle name="Currency 3 2 2 11 3" xfId="22095" xr:uid="{438766F1-E175-46B0-B36E-FFC1E2790A70}"/>
    <cellStyle name="Currency 3 2 2 12" xfId="7176" xr:uid="{BBD2F923-3DFA-4706-A336-796B63ADA30F}"/>
    <cellStyle name="Currency 3 2 2 12 2" xfId="21227" xr:uid="{D44CA879-6F30-4A36-AB45-C1D5C682250F}"/>
    <cellStyle name="Currency 3 2 2 13" xfId="10648" xr:uid="{0ECE5B86-65C3-4B66-AB38-69A219E71CF1}"/>
    <cellStyle name="Currency 3 2 2 13 2" xfId="24699" xr:uid="{EB8049E6-709D-4DB9-A1D2-88BE6D1670FB}"/>
    <cellStyle name="Currency 3 2 2 14" xfId="14287" xr:uid="{D2DFA6C5-E515-4E4A-A266-940A3933D6FC}"/>
    <cellStyle name="Currency 3 2 2 2" xfId="405" xr:uid="{DDE0B69D-915B-4038-B508-7E9929F9C5CE}"/>
    <cellStyle name="Currency 3 2 2 2 10" xfId="8060" xr:uid="{EEB203E9-78A1-4E6C-A2F5-F18D72245C63}"/>
    <cellStyle name="Currency 3 2 2 2 10 2" xfId="13268" xr:uid="{A82DC913-5DDE-49EF-A738-EBA9A144474D}"/>
    <cellStyle name="Currency 3 2 2 2 10 2 2" xfId="27319" xr:uid="{6E5B9672-B0D1-4353-B95B-948B8DF3CF5F}"/>
    <cellStyle name="Currency 3 2 2 2 10 3" xfId="22111" xr:uid="{ABF7E979-C273-4210-B84D-02DB08B43760}"/>
    <cellStyle name="Currency 3 2 2 2 11" xfId="7192" xr:uid="{7CAA9B2E-17FA-4D81-B34D-E491D69CDC1F}"/>
    <cellStyle name="Currency 3 2 2 2 11 2" xfId="21243" xr:uid="{F7850812-295D-43AB-A6C9-F0E115591300}"/>
    <cellStyle name="Currency 3 2 2 2 12" xfId="10664" xr:uid="{A8D5793C-8DD4-4D9A-BE5D-72FD0A92913D}"/>
    <cellStyle name="Currency 3 2 2 2 12 2" xfId="24715" xr:uid="{D3221B41-FAFC-4249-81D6-553F67386E24}"/>
    <cellStyle name="Currency 3 2 2 2 13" xfId="14462" xr:uid="{138A9A9A-F0A4-40F1-B4BB-D466A13B2768}"/>
    <cellStyle name="Currency 3 2 2 2 2" xfId="759" xr:uid="{74074842-151A-47D3-8D20-159D420C9D8F}"/>
    <cellStyle name="Currency 3 2 2 2 2 10" xfId="14810" xr:uid="{ECF5DE30-069C-4073-8F7F-78567DC45824}"/>
    <cellStyle name="Currency 3 2 2 2 2 2" xfId="1860" xr:uid="{B3042058-8D1E-401B-9CAD-A33E11F2C270}"/>
    <cellStyle name="Currency 3 2 2 2 2 2 2" xfId="4049" xr:uid="{8CCB02C3-2563-4BA3-B43A-E3919504A3F7}"/>
    <cellStyle name="Currency 3 2 2 2 2 2 2 2" xfId="5342" xr:uid="{823C921A-D64B-4097-97AA-5ACFC4C46F54}"/>
    <cellStyle name="Currency 3 2 2 2 2 2 2 2 2" xfId="6210" xr:uid="{9CDCEBB0-D7C8-4D95-AF9F-9F26374BD474}"/>
    <cellStyle name="Currency 3 2 2 2 2 2 2 2 2 2" xfId="9682" xr:uid="{E268EB8C-69FA-4EFC-9812-4E2FF12C8B14}"/>
    <cellStyle name="Currency 3 2 2 2 2 2 2 2 2 2 2" xfId="23733" xr:uid="{E22F2273-4122-4912-8DD4-7A83998A8E37}"/>
    <cellStyle name="Currency 3 2 2 2 2 2 2 2 2 3" xfId="12286" xr:uid="{B88219B9-A92F-4AAE-B457-E64C0A198E95}"/>
    <cellStyle name="Currency 3 2 2 2 2 2 2 2 2 3 2" xfId="26337" xr:uid="{2ADFB945-9099-42BC-B59A-A03A7FA2488A}"/>
    <cellStyle name="Currency 3 2 2 2 2 2 2 2 2 4" xfId="20261" xr:uid="{D5881134-BE3F-42E0-90ED-0D05456A5F7A}"/>
    <cellStyle name="Currency 3 2 2 2 2 2 2 2 3" xfId="7078" xr:uid="{E1605301-45EE-4F39-B797-E22B0CBA5E8B}"/>
    <cellStyle name="Currency 3 2 2 2 2 2 2 2 3 2" xfId="10550" xr:uid="{FAF5E983-811C-4D8D-8001-46E263F8218E}"/>
    <cellStyle name="Currency 3 2 2 2 2 2 2 2 3 2 2" xfId="24601" xr:uid="{0B5876F5-5E98-4A5B-8F07-1A0704F1701F}"/>
    <cellStyle name="Currency 3 2 2 2 2 2 2 2 3 3" xfId="13154" xr:uid="{5464FE16-A0C5-4014-BC06-279EBF1E5466}"/>
    <cellStyle name="Currency 3 2 2 2 2 2 2 2 3 3 2" xfId="27205" xr:uid="{5E982762-5B00-4F1C-B796-23F83BFF4AB1}"/>
    <cellStyle name="Currency 3 2 2 2 2 2 2 2 3 4" xfId="21129" xr:uid="{EEF20D16-F41A-419E-8177-156696A28E01}"/>
    <cellStyle name="Currency 3 2 2 2 2 2 2 2 4" xfId="8814" xr:uid="{3C54B32F-AA8A-4720-8C1F-93A1BC046FDC}"/>
    <cellStyle name="Currency 3 2 2 2 2 2 2 2 4 2" xfId="14022" xr:uid="{973C0D54-6826-4C94-932E-1548CAC2D981}"/>
    <cellStyle name="Currency 3 2 2 2 2 2 2 2 4 2 2" xfId="28073" xr:uid="{9B1C87BF-2BC7-4200-A8C2-B488A6AA2045}"/>
    <cellStyle name="Currency 3 2 2 2 2 2 2 2 4 3" xfId="22865" xr:uid="{ECC098C9-9A13-4A8A-834D-F4F64EF284B0}"/>
    <cellStyle name="Currency 3 2 2 2 2 2 2 2 5" xfId="7946" xr:uid="{01A18D74-DAD8-461E-BB80-E003AB437A98}"/>
    <cellStyle name="Currency 3 2 2 2 2 2 2 2 5 2" xfId="21997" xr:uid="{A0C2354B-980A-4BBE-871B-1C16443120F1}"/>
    <cellStyle name="Currency 3 2 2 2 2 2 2 2 6" xfId="11418" xr:uid="{367F2C3B-53BE-41DA-88C7-F6AA0085ED5D}"/>
    <cellStyle name="Currency 3 2 2 2 2 2 2 2 6 2" xfId="25469" xr:uid="{0FC23D16-1EEB-4D72-8C20-28025F32F090}"/>
    <cellStyle name="Currency 3 2 2 2 2 2 2 2 7" xfId="19393" xr:uid="{908E3DE1-332D-47C9-BC11-C6101472BE47}"/>
    <cellStyle name="Currency 3 2 2 2 2 2 2 3" xfId="5776" xr:uid="{5F780F4F-4839-411D-BEF4-B519D656159D}"/>
    <cellStyle name="Currency 3 2 2 2 2 2 2 3 2" xfId="9248" xr:uid="{44A3BCCA-6833-4ACA-993E-7C53BE6522CC}"/>
    <cellStyle name="Currency 3 2 2 2 2 2 2 3 2 2" xfId="23299" xr:uid="{E7A56C32-94C6-44C6-BA47-AB31992176EC}"/>
    <cellStyle name="Currency 3 2 2 2 2 2 2 3 3" xfId="11852" xr:uid="{671DD5B5-3183-423E-8760-3D7283C2F027}"/>
    <cellStyle name="Currency 3 2 2 2 2 2 2 3 3 2" xfId="25903" xr:uid="{EB035C8F-8D1B-4BAE-8B89-13D43A1599B2}"/>
    <cellStyle name="Currency 3 2 2 2 2 2 2 3 4" xfId="19827" xr:uid="{6465C133-6460-44CF-9399-CD3F98E61027}"/>
    <cellStyle name="Currency 3 2 2 2 2 2 2 4" xfId="6644" xr:uid="{DC45F94A-EB27-49F1-B2C4-FF038F73924A}"/>
    <cellStyle name="Currency 3 2 2 2 2 2 2 4 2" xfId="10116" xr:uid="{2D3D64CD-CFBB-4FB8-B96D-0B3E03F8B561}"/>
    <cellStyle name="Currency 3 2 2 2 2 2 2 4 2 2" xfId="24167" xr:uid="{0AE1CC53-43A9-4ABA-99F6-C93983E2FD44}"/>
    <cellStyle name="Currency 3 2 2 2 2 2 2 4 3" xfId="12720" xr:uid="{2F4485E9-7A0E-4569-B889-353DF6A8A7B7}"/>
    <cellStyle name="Currency 3 2 2 2 2 2 2 4 3 2" xfId="26771" xr:uid="{49F12077-65C4-47F3-ADFA-E408649039F1}"/>
    <cellStyle name="Currency 3 2 2 2 2 2 2 4 4" xfId="20695" xr:uid="{8C238FDC-058E-4E07-8F0C-7A25673F40F3}"/>
    <cellStyle name="Currency 3 2 2 2 2 2 2 5" xfId="8380" xr:uid="{2B799A6C-F597-419F-8278-86A174FA4A05}"/>
    <cellStyle name="Currency 3 2 2 2 2 2 2 5 2" xfId="13588" xr:uid="{6AF06760-E22B-41E4-9BC9-1CD59159FCEB}"/>
    <cellStyle name="Currency 3 2 2 2 2 2 2 5 2 2" xfId="27639" xr:uid="{34F889C2-3500-40E9-A19E-5D196442BFED}"/>
    <cellStyle name="Currency 3 2 2 2 2 2 2 5 3" xfId="22431" xr:uid="{C4960C29-DD37-40B0-8F74-B8C4640F6BCF}"/>
    <cellStyle name="Currency 3 2 2 2 2 2 2 6" xfId="7512" xr:uid="{F949B8D7-1829-42DB-8087-58F6093BE8B9}"/>
    <cellStyle name="Currency 3 2 2 2 2 2 2 6 2" xfId="21563" xr:uid="{56AC898A-E7E2-458D-AACC-2E5511D0FCE3}"/>
    <cellStyle name="Currency 3 2 2 2 2 2 2 7" xfId="10984" xr:uid="{4AB51D65-B837-412E-BA47-098A8AAAD50E}"/>
    <cellStyle name="Currency 3 2 2 2 2 2 2 7 2" xfId="25035" xr:uid="{945FAEAF-7720-4037-9A63-351459BCE323}"/>
    <cellStyle name="Currency 3 2 2 2 2 2 2 8" xfId="18101" xr:uid="{14CDD5AF-ED3B-450D-A39D-E096D0F38535}"/>
    <cellStyle name="Currency 3 2 2 2 2 2 3" xfId="5152" xr:uid="{2ADFA16D-76B6-42D8-BCA2-ECB3C096F24B}"/>
    <cellStyle name="Currency 3 2 2 2 2 2 3 2" xfId="6020" xr:uid="{5A6E2509-5C28-436C-80B1-1D13F6834464}"/>
    <cellStyle name="Currency 3 2 2 2 2 2 3 2 2" xfId="9492" xr:uid="{E49EA502-6472-4736-9B0F-C0AF7F27C22E}"/>
    <cellStyle name="Currency 3 2 2 2 2 2 3 2 2 2" xfId="23543" xr:uid="{EBAB9D8D-B23D-4D43-9768-6CDC6F468AB3}"/>
    <cellStyle name="Currency 3 2 2 2 2 2 3 2 3" xfId="12096" xr:uid="{86E1BC54-EF2F-4CCC-A3DB-48B353408271}"/>
    <cellStyle name="Currency 3 2 2 2 2 2 3 2 3 2" xfId="26147" xr:uid="{509074EB-AAE8-4610-BEBD-419AC98905DC}"/>
    <cellStyle name="Currency 3 2 2 2 2 2 3 2 4" xfId="20071" xr:uid="{97D9CAD1-E183-498B-9373-6AA543668452}"/>
    <cellStyle name="Currency 3 2 2 2 2 2 3 3" xfId="6888" xr:uid="{765B360C-A812-4299-9378-C32F57BEFAB1}"/>
    <cellStyle name="Currency 3 2 2 2 2 2 3 3 2" xfId="10360" xr:uid="{BBD1870D-D04C-4A1A-808D-EC6CB6991E90}"/>
    <cellStyle name="Currency 3 2 2 2 2 2 3 3 2 2" xfId="24411" xr:uid="{3DD3EFD9-FF6A-4E4F-A659-4132491DBF2A}"/>
    <cellStyle name="Currency 3 2 2 2 2 2 3 3 3" xfId="12964" xr:uid="{C2686264-1225-4F1E-9BA7-AA113E998A50}"/>
    <cellStyle name="Currency 3 2 2 2 2 2 3 3 3 2" xfId="27015" xr:uid="{2529F30D-D8B6-45C4-A475-D151F39452B1}"/>
    <cellStyle name="Currency 3 2 2 2 2 2 3 3 4" xfId="20939" xr:uid="{40703DD3-2FCB-4E2E-ACE5-DA98FB2FFB8E}"/>
    <cellStyle name="Currency 3 2 2 2 2 2 3 4" xfId="8624" xr:uid="{53D8F64E-B16F-4837-B66B-C700D77B2CAD}"/>
    <cellStyle name="Currency 3 2 2 2 2 2 3 4 2" xfId="13832" xr:uid="{DF55630F-9D12-4277-91D9-81B62492223B}"/>
    <cellStyle name="Currency 3 2 2 2 2 2 3 4 2 2" xfId="27883" xr:uid="{E9487244-CC09-43D5-B8EF-91BEEB5CC195}"/>
    <cellStyle name="Currency 3 2 2 2 2 2 3 4 3" xfId="22675" xr:uid="{E40EB813-D932-4B47-BA8F-6ED155F43829}"/>
    <cellStyle name="Currency 3 2 2 2 2 2 3 5" xfId="7756" xr:uid="{D37A6B7E-9477-43C2-A7CE-ACA0E5EF4A5B}"/>
    <cellStyle name="Currency 3 2 2 2 2 2 3 5 2" xfId="21807" xr:uid="{251CDEC3-84B4-4B53-8481-51745930EEA9}"/>
    <cellStyle name="Currency 3 2 2 2 2 2 3 6" xfId="11228" xr:uid="{A0538B76-6C07-42E6-84E1-25C393E9384A}"/>
    <cellStyle name="Currency 3 2 2 2 2 2 3 6 2" xfId="25279" xr:uid="{D062B1EA-5672-4CAA-8EF0-1BF0853EF189}"/>
    <cellStyle name="Currency 3 2 2 2 2 2 3 7" xfId="19203" xr:uid="{88697545-8561-4FC3-904A-3B129A53CA11}"/>
    <cellStyle name="Currency 3 2 2 2 2 2 4" xfId="5586" xr:uid="{E13F2991-6366-4DF5-BC3F-9036DEB463B1}"/>
    <cellStyle name="Currency 3 2 2 2 2 2 4 2" xfId="9058" xr:uid="{F84ADE1D-8B84-413B-AF1D-8CAC8EA6C158}"/>
    <cellStyle name="Currency 3 2 2 2 2 2 4 2 2" xfId="23109" xr:uid="{3000B83F-91DB-4DE8-82D9-0DF50E8E2271}"/>
    <cellStyle name="Currency 3 2 2 2 2 2 4 3" xfId="11662" xr:uid="{9888BD34-A9F1-4ADA-ADEA-0F67BC075170}"/>
    <cellStyle name="Currency 3 2 2 2 2 2 4 3 2" xfId="25713" xr:uid="{9081C7DC-EE1A-4E0B-95ED-B7B577025353}"/>
    <cellStyle name="Currency 3 2 2 2 2 2 4 4" xfId="19637" xr:uid="{532BE88E-8DB3-4263-A2AD-070B91DC955F}"/>
    <cellStyle name="Currency 3 2 2 2 2 2 5" xfId="6454" xr:uid="{EB620B98-C818-4646-97A2-FEF8FE098FC8}"/>
    <cellStyle name="Currency 3 2 2 2 2 2 5 2" xfId="9926" xr:uid="{50B27BC3-E92F-4F36-B819-3771D98CACD3}"/>
    <cellStyle name="Currency 3 2 2 2 2 2 5 2 2" xfId="23977" xr:uid="{1A269699-08EA-43D7-A4C4-6B0F5A07B3DC}"/>
    <cellStyle name="Currency 3 2 2 2 2 2 5 3" xfId="12530" xr:uid="{071C4D51-122F-4588-9E58-415C6046C424}"/>
    <cellStyle name="Currency 3 2 2 2 2 2 5 3 2" xfId="26581" xr:uid="{00891901-5461-4227-96B9-F3BC1B4B5F58}"/>
    <cellStyle name="Currency 3 2 2 2 2 2 5 4" xfId="20505" xr:uid="{0360512A-7C5C-402A-AADB-3B440A0410D1}"/>
    <cellStyle name="Currency 3 2 2 2 2 2 6" xfId="8190" xr:uid="{78FEC797-9694-47D1-81C2-929EBA3ED827}"/>
    <cellStyle name="Currency 3 2 2 2 2 2 6 2" xfId="13398" xr:uid="{A5DB699B-C63A-45F7-9721-6DF1EBC99239}"/>
    <cellStyle name="Currency 3 2 2 2 2 2 6 2 2" xfId="27449" xr:uid="{7DEEEF35-BFF5-463C-8D91-77E426B45025}"/>
    <cellStyle name="Currency 3 2 2 2 2 2 6 3" xfId="22241" xr:uid="{F90003D5-FA70-45C1-9361-C297DDE1B149}"/>
    <cellStyle name="Currency 3 2 2 2 2 2 7" xfId="7322" xr:uid="{2417F034-1DC4-44C2-B3D8-DD9B81F91E29}"/>
    <cellStyle name="Currency 3 2 2 2 2 2 7 2" xfId="21373" xr:uid="{9A6DE660-68F6-4F1F-8E58-225547220F89}"/>
    <cellStyle name="Currency 3 2 2 2 2 2 8" xfId="10794" xr:uid="{A8A345C2-C38D-4C0C-B780-96CDD33E2192}"/>
    <cellStyle name="Currency 3 2 2 2 2 2 8 2" xfId="24845" xr:uid="{BF8B2E16-822E-4DF4-BAF5-49A626DF4857}"/>
    <cellStyle name="Currency 3 2 2 2 2 2 9" xfId="15909" xr:uid="{5941A294-225B-4165-8D46-F55721B83D40}"/>
    <cellStyle name="Currency 3 2 2 2 2 3" xfId="2951" xr:uid="{043AB463-4602-4A94-A279-C92CEF9886CD}"/>
    <cellStyle name="Currency 3 2 2 2 2 3 2" xfId="5246" xr:uid="{885513CB-CB30-455C-BE01-59837833CDBB}"/>
    <cellStyle name="Currency 3 2 2 2 2 3 2 2" xfId="6114" xr:uid="{56592F35-1192-4C16-B61E-B9580BC405D0}"/>
    <cellStyle name="Currency 3 2 2 2 2 3 2 2 2" xfId="9586" xr:uid="{29DAD935-2C93-47A9-ADE3-3BB28C66C91F}"/>
    <cellStyle name="Currency 3 2 2 2 2 3 2 2 2 2" xfId="23637" xr:uid="{FC933EB1-059F-4B50-972F-1BF5D69971E1}"/>
    <cellStyle name="Currency 3 2 2 2 2 3 2 2 3" xfId="12190" xr:uid="{2839202F-C711-4952-B1E4-926641996178}"/>
    <cellStyle name="Currency 3 2 2 2 2 3 2 2 3 2" xfId="26241" xr:uid="{23D36D31-565C-4AF5-9932-5E318E874F2E}"/>
    <cellStyle name="Currency 3 2 2 2 2 3 2 2 4" xfId="20165" xr:uid="{890EFACB-3C71-4E71-A46B-9669CE2F3031}"/>
    <cellStyle name="Currency 3 2 2 2 2 3 2 3" xfId="6982" xr:uid="{0C05D35B-9DDA-496E-9ACC-51533DC90C9F}"/>
    <cellStyle name="Currency 3 2 2 2 2 3 2 3 2" xfId="10454" xr:uid="{519D9916-B539-431A-84D6-A54B419E70A9}"/>
    <cellStyle name="Currency 3 2 2 2 2 3 2 3 2 2" xfId="24505" xr:uid="{43E1B8B9-9BD8-47C8-9143-F95E1FF8443D}"/>
    <cellStyle name="Currency 3 2 2 2 2 3 2 3 3" xfId="13058" xr:uid="{BA097EF6-D7B2-4787-AD63-7A81083FC8ED}"/>
    <cellStyle name="Currency 3 2 2 2 2 3 2 3 3 2" xfId="27109" xr:uid="{D0C8AE26-A40C-4221-BF3B-5D1ADAA18B58}"/>
    <cellStyle name="Currency 3 2 2 2 2 3 2 3 4" xfId="21033" xr:uid="{6A95DCC5-E09E-4831-9F5B-F5800A78423C}"/>
    <cellStyle name="Currency 3 2 2 2 2 3 2 4" xfId="8718" xr:uid="{F6FB9ECB-313D-48A7-A868-62DC2F8C517A}"/>
    <cellStyle name="Currency 3 2 2 2 2 3 2 4 2" xfId="13926" xr:uid="{8AB0A715-48DE-4DBB-A42E-43FBDDCA64CB}"/>
    <cellStyle name="Currency 3 2 2 2 2 3 2 4 2 2" xfId="27977" xr:uid="{12C753FC-48BC-4319-A8C4-9B80ECE4EEBF}"/>
    <cellStyle name="Currency 3 2 2 2 2 3 2 4 3" xfId="22769" xr:uid="{63F4EE64-8B72-46D8-B173-745A23E7830D}"/>
    <cellStyle name="Currency 3 2 2 2 2 3 2 5" xfId="7850" xr:uid="{0ED2BD19-DD87-444E-90DA-6903D4ECCDB5}"/>
    <cellStyle name="Currency 3 2 2 2 2 3 2 5 2" xfId="21901" xr:uid="{3780831B-007E-4E6C-9E2F-4200D6B0BAA1}"/>
    <cellStyle name="Currency 3 2 2 2 2 3 2 6" xfId="11322" xr:uid="{8BA01EC7-CF4C-4EAC-A9FD-9AEEF3D23922}"/>
    <cellStyle name="Currency 3 2 2 2 2 3 2 6 2" xfId="25373" xr:uid="{850E834D-3777-4211-8465-22A8FD3195FA}"/>
    <cellStyle name="Currency 3 2 2 2 2 3 2 7" xfId="19297" xr:uid="{A6ACF9CE-482C-4B0B-975D-C4ABA1802F77}"/>
    <cellStyle name="Currency 3 2 2 2 2 3 3" xfId="5680" xr:uid="{08B7F0D1-6731-44C9-B10A-980AD71D4596}"/>
    <cellStyle name="Currency 3 2 2 2 2 3 3 2" xfId="9152" xr:uid="{52954EE5-8CF9-4E1D-A517-49DE4AA1B6B0}"/>
    <cellStyle name="Currency 3 2 2 2 2 3 3 2 2" xfId="23203" xr:uid="{B6A3DFC5-AC4A-4371-AF1F-F89F9153E5E9}"/>
    <cellStyle name="Currency 3 2 2 2 2 3 3 3" xfId="11756" xr:uid="{2330DDC4-9CB9-4111-A8AB-56BF074DD217}"/>
    <cellStyle name="Currency 3 2 2 2 2 3 3 3 2" xfId="25807" xr:uid="{C4AB0ECD-C194-4A00-89A9-7617CD7ED246}"/>
    <cellStyle name="Currency 3 2 2 2 2 3 3 4" xfId="19731" xr:uid="{939919C3-5E4B-4420-B469-CABC2882C32A}"/>
    <cellStyle name="Currency 3 2 2 2 2 3 4" xfId="6548" xr:uid="{5EB15B99-87C9-40BE-B8B2-07A245A46A61}"/>
    <cellStyle name="Currency 3 2 2 2 2 3 4 2" xfId="10020" xr:uid="{EF3A588B-13F7-4EEF-B934-D80A51C00C2E}"/>
    <cellStyle name="Currency 3 2 2 2 2 3 4 2 2" xfId="24071" xr:uid="{DCA07F36-A5CA-4BFA-9FE0-5E0DD8FB5D1B}"/>
    <cellStyle name="Currency 3 2 2 2 2 3 4 3" xfId="12624" xr:uid="{B9CA140D-1D4C-42DE-9CFE-7CFD57E63291}"/>
    <cellStyle name="Currency 3 2 2 2 2 3 4 3 2" xfId="26675" xr:uid="{CEB6282D-1322-4181-A8E3-85EDADE03372}"/>
    <cellStyle name="Currency 3 2 2 2 2 3 4 4" xfId="20599" xr:uid="{F428A08B-4486-4755-9BEA-A6089F94C22A}"/>
    <cellStyle name="Currency 3 2 2 2 2 3 5" xfId="8284" xr:uid="{6B123E9F-1463-4C71-AEBD-635A8BE7DADC}"/>
    <cellStyle name="Currency 3 2 2 2 2 3 5 2" xfId="13492" xr:uid="{ABE2FED6-4E61-46E0-8ECE-987C1C328EF9}"/>
    <cellStyle name="Currency 3 2 2 2 2 3 5 2 2" xfId="27543" xr:uid="{B655A961-41EE-487C-BC54-C6586DA0EDDC}"/>
    <cellStyle name="Currency 3 2 2 2 2 3 5 3" xfId="22335" xr:uid="{40340035-6E11-490E-933A-91E7BF8833FE}"/>
    <cellStyle name="Currency 3 2 2 2 2 3 6" xfId="7416" xr:uid="{CA658482-6B5C-45E0-B90D-F751A094E5FE}"/>
    <cellStyle name="Currency 3 2 2 2 2 3 6 2" xfId="21467" xr:uid="{7E1A5DF6-F37B-49A2-88F3-C1982F1CCAA0}"/>
    <cellStyle name="Currency 3 2 2 2 2 3 7" xfId="10888" xr:uid="{11F78747-5513-452D-8307-FC7F69E85650}"/>
    <cellStyle name="Currency 3 2 2 2 2 3 7 2" xfId="24939" xr:uid="{5606F31D-FF2F-4623-A387-06CB9D89ED12}"/>
    <cellStyle name="Currency 3 2 2 2 2 3 8" xfId="17003" xr:uid="{633683C7-A184-47BB-B910-926E0173983F}"/>
    <cellStyle name="Currency 3 2 2 2 2 4" xfId="5054" xr:uid="{C683F729-8594-4024-861F-8319C863767A}"/>
    <cellStyle name="Currency 3 2 2 2 2 4 2" xfId="5922" xr:uid="{C352A575-21F7-4113-85C2-F3C15878231F}"/>
    <cellStyle name="Currency 3 2 2 2 2 4 2 2" xfId="9394" xr:uid="{61765D3E-2CD7-44BA-B7B4-1B6080DD3A53}"/>
    <cellStyle name="Currency 3 2 2 2 2 4 2 2 2" xfId="23445" xr:uid="{23AE6FB7-D05F-4B49-9521-486F8687052D}"/>
    <cellStyle name="Currency 3 2 2 2 2 4 2 3" xfId="11998" xr:uid="{41487A3E-D055-444B-8255-623A801E7BA4}"/>
    <cellStyle name="Currency 3 2 2 2 2 4 2 3 2" xfId="26049" xr:uid="{9163A104-24F3-4F68-9997-8FC163E8956F}"/>
    <cellStyle name="Currency 3 2 2 2 2 4 2 4" xfId="19973" xr:uid="{DFF95372-B1CB-4990-8F3C-6B837340C6D2}"/>
    <cellStyle name="Currency 3 2 2 2 2 4 3" xfId="6790" xr:uid="{A68490DD-B605-4829-A465-183687FD33CF}"/>
    <cellStyle name="Currency 3 2 2 2 2 4 3 2" xfId="10262" xr:uid="{9E38476A-EB21-4A84-A739-21910C9806D8}"/>
    <cellStyle name="Currency 3 2 2 2 2 4 3 2 2" xfId="24313" xr:uid="{B618DE34-98E0-4A09-B089-6C82998DC17C}"/>
    <cellStyle name="Currency 3 2 2 2 2 4 3 3" xfId="12866" xr:uid="{EA7A67DB-6C8A-48E9-BA54-89DC5260A9D7}"/>
    <cellStyle name="Currency 3 2 2 2 2 4 3 3 2" xfId="26917" xr:uid="{4767CDB3-5997-41D4-A29F-801B5289E454}"/>
    <cellStyle name="Currency 3 2 2 2 2 4 3 4" xfId="20841" xr:uid="{EE4D7EAB-9AE2-4CA6-9E9B-873B1D4587B2}"/>
    <cellStyle name="Currency 3 2 2 2 2 4 4" xfId="8526" xr:uid="{3DD7F7F0-4875-4A1B-833F-4F529190A004}"/>
    <cellStyle name="Currency 3 2 2 2 2 4 4 2" xfId="13734" xr:uid="{56C77299-ECB0-427B-A355-5BF03DCD3A95}"/>
    <cellStyle name="Currency 3 2 2 2 2 4 4 2 2" xfId="27785" xr:uid="{B43A60C3-393C-45C3-A260-CAEB2D7B5994}"/>
    <cellStyle name="Currency 3 2 2 2 2 4 4 3" xfId="22577" xr:uid="{707B4DEC-1D34-4B05-B03D-D4FCDF944533}"/>
    <cellStyle name="Currency 3 2 2 2 2 4 5" xfId="7658" xr:uid="{47B7247B-21D2-4C99-95C0-DBFC3752773D}"/>
    <cellStyle name="Currency 3 2 2 2 2 4 5 2" xfId="21709" xr:uid="{2A7D7682-F949-4D68-8E3E-8EB2662CDD7B}"/>
    <cellStyle name="Currency 3 2 2 2 2 4 6" xfId="11130" xr:uid="{14C1A45F-41FB-40A9-B697-B043A33A408E}"/>
    <cellStyle name="Currency 3 2 2 2 2 4 6 2" xfId="25181" xr:uid="{FC88D893-7972-4B5F-958A-2A3A2AAF8417}"/>
    <cellStyle name="Currency 3 2 2 2 2 4 7" xfId="19105" xr:uid="{DEBD5D7E-E30B-42D4-96B5-000E68FD3620}"/>
    <cellStyle name="Currency 3 2 2 2 2 5" xfId="5488" xr:uid="{1A59C747-A184-49BB-A0A9-79245B42BC19}"/>
    <cellStyle name="Currency 3 2 2 2 2 5 2" xfId="8960" xr:uid="{D3B2120B-5534-475A-8CBA-D7ACED8266F3}"/>
    <cellStyle name="Currency 3 2 2 2 2 5 2 2" xfId="23011" xr:uid="{CBB195F2-1224-4D4F-AEA2-ED4CB798F087}"/>
    <cellStyle name="Currency 3 2 2 2 2 5 3" xfId="11564" xr:uid="{BEE65CD1-835C-4BC7-9FF6-789BECC7702E}"/>
    <cellStyle name="Currency 3 2 2 2 2 5 3 2" xfId="25615" xr:uid="{B80649E9-440F-4F16-B2EA-4665A585746A}"/>
    <cellStyle name="Currency 3 2 2 2 2 5 4" xfId="19539" xr:uid="{3B881F46-4161-42F2-98F2-A8CC295C103F}"/>
    <cellStyle name="Currency 3 2 2 2 2 6" xfId="6356" xr:uid="{A70F23E1-0A17-4415-BCEE-8AFF5391C818}"/>
    <cellStyle name="Currency 3 2 2 2 2 6 2" xfId="9828" xr:uid="{FAB47BA4-E0A6-43EC-BADD-0C27168A5A24}"/>
    <cellStyle name="Currency 3 2 2 2 2 6 2 2" xfId="23879" xr:uid="{9F4FAAFB-3421-4C50-B5D7-D3FBDA26BDF7}"/>
    <cellStyle name="Currency 3 2 2 2 2 6 3" xfId="12432" xr:uid="{1A21F7D7-7C1B-443F-9BB4-EFE4F5B29B50}"/>
    <cellStyle name="Currency 3 2 2 2 2 6 3 2" xfId="26483" xr:uid="{3325B195-0B3A-4446-967C-9478BE1D77A3}"/>
    <cellStyle name="Currency 3 2 2 2 2 6 4" xfId="20407" xr:uid="{B0C4CA0B-6CB5-4B9B-A398-11C7BF831396}"/>
    <cellStyle name="Currency 3 2 2 2 2 7" xfId="8092" xr:uid="{E7E61FE9-D7A1-432D-901C-FC38A06E6188}"/>
    <cellStyle name="Currency 3 2 2 2 2 7 2" xfId="13300" xr:uid="{75D49593-4E3A-4AD2-8B32-C4AADEDFEB9E}"/>
    <cellStyle name="Currency 3 2 2 2 2 7 2 2" xfId="27351" xr:uid="{459331DD-D1E6-4CED-8C26-5B8E8CEDD451}"/>
    <cellStyle name="Currency 3 2 2 2 2 7 3" xfId="22143" xr:uid="{F89D5973-B24B-4051-815E-03D4A4444CB3}"/>
    <cellStyle name="Currency 3 2 2 2 2 8" xfId="7224" xr:uid="{6747189A-9761-4777-B3CA-BB0B473BB88D}"/>
    <cellStyle name="Currency 3 2 2 2 2 8 2" xfId="21275" xr:uid="{07E0F4C2-16B0-4199-B5B6-C537B3288897}"/>
    <cellStyle name="Currency 3 2 2 2 2 9" xfId="10696" xr:uid="{9B35BC12-1FEE-4066-8686-EA1A79DBC62A}"/>
    <cellStyle name="Currency 3 2 2 2 2 9 2" xfId="24747" xr:uid="{15FB9078-E0CC-4B4E-A86F-F88B84331BB5}"/>
    <cellStyle name="Currency 3 2 2 2 3" xfId="1106" xr:uid="{6F030818-87B1-401D-8210-BCC994B4881B}"/>
    <cellStyle name="Currency 3 2 2 2 3 10" xfId="15156" xr:uid="{7CEC6154-0479-4AEE-A8AF-BF1C07A31208}"/>
    <cellStyle name="Currency 3 2 2 2 3 2" xfId="2205" xr:uid="{E98E9E6E-11A7-4256-A8B7-A5CC85D7DE06}"/>
    <cellStyle name="Currency 3 2 2 2 3 2 2" xfId="4394" xr:uid="{E08AA199-20A0-421A-B207-C2650A9A334A}"/>
    <cellStyle name="Currency 3 2 2 2 3 2 2 2" xfId="5371" xr:uid="{D8F75AA4-7BD9-447E-AE52-BB505BF496F1}"/>
    <cellStyle name="Currency 3 2 2 2 3 2 2 2 2" xfId="6239" xr:uid="{371A03D5-CC04-4407-BAE7-4F77BC5D2211}"/>
    <cellStyle name="Currency 3 2 2 2 3 2 2 2 2 2" xfId="9711" xr:uid="{29817730-D84A-4DC6-962A-AAB80E7B29A8}"/>
    <cellStyle name="Currency 3 2 2 2 3 2 2 2 2 2 2" xfId="23762" xr:uid="{223AFBC8-3EFA-498E-82ED-615590AC2CEE}"/>
    <cellStyle name="Currency 3 2 2 2 3 2 2 2 2 3" xfId="12315" xr:uid="{234B77C4-98EB-4FC1-8C93-96E65F14400E}"/>
    <cellStyle name="Currency 3 2 2 2 3 2 2 2 2 3 2" xfId="26366" xr:uid="{6F321F51-D571-4864-B0B6-81C47295370A}"/>
    <cellStyle name="Currency 3 2 2 2 3 2 2 2 2 4" xfId="20290" xr:uid="{42D3A421-25DC-4648-91EF-ED0CD40546A1}"/>
    <cellStyle name="Currency 3 2 2 2 3 2 2 2 3" xfId="7107" xr:uid="{23FE8F66-F092-42B4-8D0B-8467BAD1C4D9}"/>
    <cellStyle name="Currency 3 2 2 2 3 2 2 2 3 2" xfId="10579" xr:uid="{AC6379CF-9AA1-402F-B492-D47066F5F3EA}"/>
    <cellStyle name="Currency 3 2 2 2 3 2 2 2 3 2 2" xfId="24630" xr:uid="{0927A41D-1D1D-4A69-B1A6-89B00C894A15}"/>
    <cellStyle name="Currency 3 2 2 2 3 2 2 2 3 3" xfId="13183" xr:uid="{39F50B61-6963-420B-9359-F33E67444695}"/>
    <cellStyle name="Currency 3 2 2 2 3 2 2 2 3 3 2" xfId="27234" xr:uid="{F723682F-144D-46DC-8EDD-A66D9EB4957C}"/>
    <cellStyle name="Currency 3 2 2 2 3 2 2 2 3 4" xfId="21158" xr:uid="{8B3200DD-AABD-4996-AB9B-D27A547CDE07}"/>
    <cellStyle name="Currency 3 2 2 2 3 2 2 2 4" xfId="8843" xr:uid="{192AE1EB-DCB6-4477-B436-2E3A4AE79127}"/>
    <cellStyle name="Currency 3 2 2 2 3 2 2 2 4 2" xfId="14051" xr:uid="{08602963-48D0-4BD3-B0F3-0953FB10894B}"/>
    <cellStyle name="Currency 3 2 2 2 3 2 2 2 4 2 2" xfId="28102" xr:uid="{93F3C2CA-5A07-46B4-AB8F-DBB756DA9E42}"/>
    <cellStyle name="Currency 3 2 2 2 3 2 2 2 4 3" xfId="22894" xr:uid="{6AA5A4F5-53B4-4F4A-9667-36940E1E2401}"/>
    <cellStyle name="Currency 3 2 2 2 3 2 2 2 5" xfId="7975" xr:uid="{E10ED788-66B6-43FE-9FB6-74CFEAD00127}"/>
    <cellStyle name="Currency 3 2 2 2 3 2 2 2 5 2" xfId="22026" xr:uid="{A4437DFD-51E8-4165-A6B7-2F4A0EF1B736}"/>
    <cellStyle name="Currency 3 2 2 2 3 2 2 2 6" xfId="11447" xr:uid="{7DC3DD30-A89B-4853-8659-73B8F9039923}"/>
    <cellStyle name="Currency 3 2 2 2 3 2 2 2 6 2" xfId="25498" xr:uid="{DF5BF5BE-B1B0-4764-9DEC-704B1D4861A6}"/>
    <cellStyle name="Currency 3 2 2 2 3 2 2 2 7" xfId="19422" xr:uid="{8E8D7F71-985C-4A37-BC14-7375C8BEF407}"/>
    <cellStyle name="Currency 3 2 2 2 3 2 2 3" xfId="5805" xr:uid="{0C40DF55-012E-4CE9-9D53-840DE5E27025}"/>
    <cellStyle name="Currency 3 2 2 2 3 2 2 3 2" xfId="9277" xr:uid="{7F8BC868-964C-4225-B3FF-D64DDD8DE04D}"/>
    <cellStyle name="Currency 3 2 2 2 3 2 2 3 2 2" xfId="23328" xr:uid="{BD57F444-E934-4076-96E0-0AD47B283C0C}"/>
    <cellStyle name="Currency 3 2 2 2 3 2 2 3 3" xfId="11881" xr:uid="{6D8EF8D1-601B-45ED-B2F7-113CD65E0C76}"/>
    <cellStyle name="Currency 3 2 2 2 3 2 2 3 3 2" xfId="25932" xr:uid="{1F618405-F5AC-44B2-85D5-89F3ACECA340}"/>
    <cellStyle name="Currency 3 2 2 2 3 2 2 3 4" xfId="19856" xr:uid="{518D93E9-A9C9-4B19-8E1F-CFC2BE494CD6}"/>
    <cellStyle name="Currency 3 2 2 2 3 2 2 4" xfId="6673" xr:uid="{DD763A62-BA6F-4C7F-B128-7466113A713A}"/>
    <cellStyle name="Currency 3 2 2 2 3 2 2 4 2" xfId="10145" xr:uid="{22B8731D-80B4-4B42-847D-010D940D7EC9}"/>
    <cellStyle name="Currency 3 2 2 2 3 2 2 4 2 2" xfId="24196" xr:uid="{10B9077F-6387-4E01-B34B-41A82FB50C1C}"/>
    <cellStyle name="Currency 3 2 2 2 3 2 2 4 3" xfId="12749" xr:uid="{E8DDF844-99FF-4A6E-8D4B-34AA864690EA}"/>
    <cellStyle name="Currency 3 2 2 2 3 2 2 4 3 2" xfId="26800" xr:uid="{90699E68-42FF-4F69-A2A1-B3E00F935A2A}"/>
    <cellStyle name="Currency 3 2 2 2 3 2 2 4 4" xfId="20724" xr:uid="{D8043679-E9F1-4E16-B026-48605EB96B28}"/>
    <cellStyle name="Currency 3 2 2 2 3 2 2 5" xfId="8409" xr:uid="{1DFB10C2-FA2F-4540-B7F7-C5646CF3B7CB}"/>
    <cellStyle name="Currency 3 2 2 2 3 2 2 5 2" xfId="13617" xr:uid="{E14C90E5-636A-49EA-AFBC-649050409018}"/>
    <cellStyle name="Currency 3 2 2 2 3 2 2 5 2 2" xfId="27668" xr:uid="{EC1A13D7-0DBC-48B6-8C93-8B112038ECC4}"/>
    <cellStyle name="Currency 3 2 2 2 3 2 2 5 3" xfId="22460" xr:uid="{EB187172-A585-434D-9A90-AAA15F0ABBF6}"/>
    <cellStyle name="Currency 3 2 2 2 3 2 2 6" xfId="7541" xr:uid="{7CC3F3B9-AC96-45AB-89FF-07CD196740D2}"/>
    <cellStyle name="Currency 3 2 2 2 3 2 2 6 2" xfId="21592" xr:uid="{A58D2B94-82A3-4442-BD3A-A6FA6204D4D2}"/>
    <cellStyle name="Currency 3 2 2 2 3 2 2 7" xfId="11013" xr:uid="{FF1E4919-95C3-437C-AF9A-99FC7922E24E}"/>
    <cellStyle name="Currency 3 2 2 2 3 2 2 7 2" xfId="25064" xr:uid="{63263F8B-5E72-4686-B228-AE1B974DD973}"/>
    <cellStyle name="Currency 3 2 2 2 3 2 2 8" xfId="18444" xr:uid="{9842173A-D918-48A9-8A91-D97E4A18DB2F}"/>
    <cellStyle name="Currency 3 2 2 2 3 2 3" xfId="5181" xr:uid="{20DB8A0F-434E-4491-896F-14EE85E13836}"/>
    <cellStyle name="Currency 3 2 2 2 3 2 3 2" xfId="6049" xr:uid="{60F2D140-4CED-40DA-A0C6-23F73FF9CD72}"/>
    <cellStyle name="Currency 3 2 2 2 3 2 3 2 2" xfId="9521" xr:uid="{AF79943F-A692-48FA-8284-4CDAB71069B5}"/>
    <cellStyle name="Currency 3 2 2 2 3 2 3 2 2 2" xfId="23572" xr:uid="{38021CD6-54D9-43E9-81A1-24E13A4FEB7C}"/>
    <cellStyle name="Currency 3 2 2 2 3 2 3 2 3" xfId="12125" xr:uid="{21E98C2C-B81E-4294-AC0D-9399C4408CCE}"/>
    <cellStyle name="Currency 3 2 2 2 3 2 3 2 3 2" xfId="26176" xr:uid="{9A9122FA-AD87-481E-A950-ADD825D4226B}"/>
    <cellStyle name="Currency 3 2 2 2 3 2 3 2 4" xfId="20100" xr:uid="{59B2C500-8C54-49BC-97F4-0C02CE22FF26}"/>
    <cellStyle name="Currency 3 2 2 2 3 2 3 3" xfId="6917" xr:uid="{C3677EAB-4F03-4CCC-915D-8B0ADB0CA7B3}"/>
    <cellStyle name="Currency 3 2 2 2 3 2 3 3 2" xfId="10389" xr:uid="{2A385FAF-5F2B-4437-ABE2-AF1F1E3B3F13}"/>
    <cellStyle name="Currency 3 2 2 2 3 2 3 3 2 2" xfId="24440" xr:uid="{AAA150D5-777B-436C-8EAE-C47AD380C2BA}"/>
    <cellStyle name="Currency 3 2 2 2 3 2 3 3 3" xfId="12993" xr:uid="{90A6C092-2139-4574-A594-743C2EBFB2B7}"/>
    <cellStyle name="Currency 3 2 2 2 3 2 3 3 3 2" xfId="27044" xr:uid="{E3687D58-7A13-4C7E-977A-F65F86B3D8A5}"/>
    <cellStyle name="Currency 3 2 2 2 3 2 3 3 4" xfId="20968" xr:uid="{4D508F79-E9D8-41FD-8D59-8E331A61FA3D}"/>
    <cellStyle name="Currency 3 2 2 2 3 2 3 4" xfId="8653" xr:uid="{58C2BF32-D128-49E5-8C63-ED9E155529A3}"/>
    <cellStyle name="Currency 3 2 2 2 3 2 3 4 2" xfId="13861" xr:uid="{B9C67324-EDFC-4F73-A725-106D24E222B9}"/>
    <cellStyle name="Currency 3 2 2 2 3 2 3 4 2 2" xfId="27912" xr:uid="{89B6DA2D-89B3-4E10-9C73-D9A5D6C91D98}"/>
    <cellStyle name="Currency 3 2 2 2 3 2 3 4 3" xfId="22704" xr:uid="{82A7996E-6159-4B95-BD2D-DAAAC94563E4}"/>
    <cellStyle name="Currency 3 2 2 2 3 2 3 5" xfId="7785" xr:uid="{83448674-3D04-4F8E-A667-86D3DF44887E}"/>
    <cellStyle name="Currency 3 2 2 2 3 2 3 5 2" xfId="21836" xr:uid="{D72F1638-1483-4F43-A5B3-8AEF650148D8}"/>
    <cellStyle name="Currency 3 2 2 2 3 2 3 6" xfId="11257" xr:uid="{8FFEF8B0-66E0-4449-9C5A-445AA7447803}"/>
    <cellStyle name="Currency 3 2 2 2 3 2 3 6 2" xfId="25308" xr:uid="{2F49F1D2-4F98-405C-AE39-C566C1D81623}"/>
    <cellStyle name="Currency 3 2 2 2 3 2 3 7" xfId="19232" xr:uid="{A5E4742A-BE66-4D9A-92CD-0A08B619475E}"/>
    <cellStyle name="Currency 3 2 2 2 3 2 4" xfId="5615" xr:uid="{AB6B8292-BE47-4903-B805-0DCA32FFF795}"/>
    <cellStyle name="Currency 3 2 2 2 3 2 4 2" xfId="9087" xr:uid="{27485437-C351-4034-B5E5-567DDC462081}"/>
    <cellStyle name="Currency 3 2 2 2 3 2 4 2 2" xfId="23138" xr:uid="{0B01A43E-DDF2-4D71-92FA-04F093186BD2}"/>
    <cellStyle name="Currency 3 2 2 2 3 2 4 3" xfId="11691" xr:uid="{B24A2A9F-2529-46DB-B682-3E87A87A1D85}"/>
    <cellStyle name="Currency 3 2 2 2 3 2 4 3 2" xfId="25742" xr:uid="{168ACB3F-25E9-47B4-8179-7B810721E6B5}"/>
    <cellStyle name="Currency 3 2 2 2 3 2 4 4" xfId="19666" xr:uid="{60654E18-00E2-4162-A6E2-E18B27C3BBAB}"/>
    <cellStyle name="Currency 3 2 2 2 3 2 5" xfId="6483" xr:uid="{9A00D3DE-D4B3-454D-B58E-788952DAA119}"/>
    <cellStyle name="Currency 3 2 2 2 3 2 5 2" xfId="9955" xr:uid="{584BDD6E-9F3D-482C-B372-08A5AD223634}"/>
    <cellStyle name="Currency 3 2 2 2 3 2 5 2 2" xfId="24006" xr:uid="{57EB707E-7222-48C9-8D3D-7A9229D88791}"/>
    <cellStyle name="Currency 3 2 2 2 3 2 5 3" xfId="12559" xr:uid="{65A72CDE-EA91-4BD2-82F6-70045031B054}"/>
    <cellStyle name="Currency 3 2 2 2 3 2 5 3 2" xfId="26610" xr:uid="{7111E8B8-568A-4047-ADFD-1AEA45C7592D}"/>
    <cellStyle name="Currency 3 2 2 2 3 2 5 4" xfId="20534" xr:uid="{C40C530E-BB70-4638-A779-EF44E545027D}"/>
    <cellStyle name="Currency 3 2 2 2 3 2 6" xfId="8219" xr:uid="{49915FBF-A90B-4F6D-8356-9D673BBE8256}"/>
    <cellStyle name="Currency 3 2 2 2 3 2 6 2" xfId="13427" xr:uid="{21BE0C1D-EFEC-4105-9624-44C40ACC774A}"/>
    <cellStyle name="Currency 3 2 2 2 3 2 6 2 2" xfId="27478" xr:uid="{347082DE-ED4F-40D2-892B-0DE26FC1A32D}"/>
    <cellStyle name="Currency 3 2 2 2 3 2 6 3" xfId="22270" xr:uid="{F160615D-0554-4412-9C5F-A8844D40FD21}"/>
    <cellStyle name="Currency 3 2 2 2 3 2 7" xfId="7351" xr:uid="{98049746-1FA5-4B0E-93C1-80C2B9F58B8A}"/>
    <cellStyle name="Currency 3 2 2 2 3 2 7 2" xfId="21402" xr:uid="{5F50616A-8E81-40C0-BD18-047BF14D5F26}"/>
    <cellStyle name="Currency 3 2 2 2 3 2 8" xfId="10823" xr:uid="{4E9E288A-4E0A-41CF-B8BA-0323F0600BF7}"/>
    <cellStyle name="Currency 3 2 2 2 3 2 8 2" xfId="24874" xr:uid="{E5EA274D-4B46-4D4C-BFC3-4DAA2AFFE333}"/>
    <cellStyle name="Currency 3 2 2 2 3 2 9" xfId="16254" xr:uid="{996CA22D-D859-4B66-95D4-4991740DB4AD}"/>
    <cellStyle name="Currency 3 2 2 2 3 3" xfId="3298" xr:uid="{1A9E6D1F-249A-4324-B817-4BF5B5C9C2D1}"/>
    <cellStyle name="Currency 3 2 2 2 3 3 2" xfId="5276" xr:uid="{8DEF5DD1-B533-4FA1-AAA5-405E8D9BB615}"/>
    <cellStyle name="Currency 3 2 2 2 3 3 2 2" xfId="6144" xr:uid="{50D4A06B-1056-4F6C-9E0B-BCA913F1EB68}"/>
    <cellStyle name="Currency 3 2 2 2 3 3 2 2 2" xfId="9616" xr:uid="{AF6233D1-1D06-4886-8670-A17A0F953028}"/>
    <cellStyle name="Currency 3 2 2 2 3 3 2 2 2 2" xfId="23667" xr:uid="{AD81D45C-FD36-4233-BE42-987898F7F7F5}"/>
    <cellStyle name="Currency 3 2 2 2 3 3 2 2 3" xfId="12220" xr:uid="{CA173E48-E474-43C5-B0C7-C4529979A6F0}"/>
    <cellStyle name="Currency 3 2 2 2 3 3 2 2 3 2" xfId="26271" xr:uid="{3564A932-BACB-44BB-AE41-75B4C7479174}"/>
    <cellStyle name="Currency 3 2 2 2 3 3 2 2 4" xfId="20195" xr:uid="{7CA650C0-6873-44AF-A289-492BABE78513}"/>
    <cellStyle name="Currency 3 2 2 2 3 3 2 3" xfId="7012" xr:uid="{C34FA5F7-753D-4531-A7BC-6E2DFA1C1965}"/>
    <cellStyle name="Currency 3 2 2 2 3 3 2 3 2" xfId="10484" xr:uid="{828AEB56-2E0D-427B-8512-416C882B16A0}"/>
    <cellStyle name="Currency 3 2 2 2 3 3 2 3 2 2" xfId="24535" xr:uid="{F6DD0143-AC9A-4793-85BF-B7C82BCFAD93}"/>
    <cellStyle name="Currency 3 2 2 2 3 3 2 3 3" xfId="13088" xr:uid="{12E8E8C5-F410-4F84-93BA-A15227414C95}"/>
    <cellStyle name="Currency 3 2 2 2 3 3 2 3 3 2" xfId="27139" xr:uid="{00A2EFCD-8D30-4330-8820-9FC6E72982E4}"/>
    <cellStyle name="Currency 3 2 2 2 3 3 2 3 4" xfId="21063" xr:uid="{9EE64411-DFB1-4C02-983C-3DB2BF153454}"/>
    <cellStyle name="Currency 3 2 2 2 3 3 2 4" xfId="8748" xr:uid="{D96B5D24-8141-4054-8A80-F3BDC245FEDB}"/>
    <cellStyle name="Currency 3 2 2 2 3 3 2 4 2" xfId="13956" xr:uid="{B4633E82-6D90-4D2F-86F2-1298B537AC14}"/>
    <cellStyle name="Currency 3 2 2 2 3 3 2 4 2 2" xfId="28007" xr:uid="{6CA680CA-3A57-4D9E-BCEE-245557CAE88D}"/>
    <cellStyle name="Currency 3 2 2 2 3 3 2 4 3" xfId="22799" xr:uid="{95B53B8D-3808-498C-9900-53AA20CB7E63}"/>
    <cellStyle name="Currency 3 2 2 2 3 3 2 5" xfId="7880" xr:uid="{931F9372-559A-431E-AF0D-5EDCCE121F2E}"/>
    <cellStyle name="Currency 3 2 2 2 3 3 2 5 2" xfId="21931" xr:uid="{F0DA82AF-29EB-4ED7-8591-84C9563C3C70}"/>
    <cellStyle name="Currency 3 2 2 2 3 3 2 6" xfId="11352" xr:uid="{49D8178C-361D-4E55-99BE-B49D1C593DA2}"/>
    <cellStyle name="Currency 3 2 2 2 3 3 2 6 2" xfId="25403" xr:uid="{3D0421C1-677A-4ADC-9C81-FD8965088369}"/>
    <cellStyle name="Currency 3 2 2 2 3 3 2 7" xfId="19327" xr:uid="{E3C97F6E-67D8-40CD-B8C0-5F03E050624A}"/>
    <cellStyle name="Currency 3 2 2 2 3 3 3" xfId="5710" xr:uid="{AD3C1759-9E78-4891-8EDA-16F537BC7872}"/>
    <cellStyle name="Currency 3 2 2 2 3 3 3 2" xfId="9182" xr:uid="{9EE92DBF-BF46-4505-8DAF-52CBA2A40458}"/>
    <cellStyle name="Currency 3 2 2 2 3 3 3 2 2" xfId="23233" xr:uid="{1C1071C7-B027-4769-BFF2-087B2FE60196}"/>
    <cellStyle name="Currency 3 2 2 2 3 3 3 3" xfId="11786" xr:uid="{98F30A3D-7501-4379-9925-7C097EA1CD97}"/>
    <cellStyle name="Currency 3 2 2 2 3 3 3 3 2" xfId="25837" xr:uid="{719E4C3D-EA5E-4EDE-8294-06083B867C70}"/>
    <cellStyle name="Currency 3 2 2 2 3 3 3 4" xfId="19761" xr:uid="{939A91A8-C6D6-4CC2-AFB7-865BFACEE10C}"/>
    <cellStyle name="Currency 3 2 2 2 3 3 4" xfId="6578" xr:uid="{772B7A8F-7C4E-4F77-AED0-1AA3219CD879}"/>
    <cellStyle name="Currency 3 2 2 2 3 3 4 2" xfId="10050" xr:uid="{15E00099-E098-45DD-8641-33DEA5640600}"/>
    <cellStyle name="Currency 3 2 2 2 3 3 4 2 2" xfId="24101" xr:uid="{D4AF020E-9879-45D0-A867-4BBAF8FAD13B}"/>
    <cellStyle name="Currency 3 2 2 2 3 3 4 3" xfId="12654" xr:uid="{6EC89D05-B5EA-4872-B1AD-B15F5BB77060}"/>
    <cellStyle name="Currency 3 2 2 2 3 3 4 3 2" xfId="26705" xr:uid="{2DE21E18-6871-4C17-8AD2-70BD88E17B6B}"/>
    <cellStyle name="Currency 3 2 2 2 3 3 4 4" xfId="20629" xr:uid="{87921673-E2CD-4A2C-AE60-B0F02D4A886E}"/>
    <cellStyle name="Currency 3 2 2 2 3 3 5" xfId="8314" xr:uid="{83C3569D-1A36-4E3B-8335-5BCBF9A5F799}"/>
    <cellStyle name="Currency 3 2 2 2 3 3 5 2" xfId="13522" xr:uid="{F8808C8B-9D92-4234-9B34-482F24A87CB1}"/>
    <cellStyle name="Currency 3 2 2 2 3 3 5 2 2" xfId="27573" xr:uid="{E39076F1-52B2-4E68-85C4-6B229A6B033A}"/>
    <cellStyle name="Currency 3 2 2 2 3 3 5 3" xfId="22365" xr:uid="{F8DD147D-0F4C-4363-9A0D-0AB6ABDEBA42}"/>
    <cellStyle name="Currency 3 2 2 2 3 3 6" xfId="7446" xr:uid="{63E0707E-F22E-400F-9BFB-76605FB4D869}"/>
    <cellStyle name="Currency 3 2 2 2 3 3 6 2" xfId="21497" xr:uid="{1B3D555A-70F4-4AD1-9091-94261AFE85E6}"/>
    <cellStyle name="Currency 3 2 2 2 3 3 7" xfId="10918" xr:uid="{F050D7F0-0384-400B-8F9A-10ABCF7DEF10}"/>
    <cellStyle name="Currency 3 2 2 2 3 3 7 2" xfId="24969" xr:uid="{978C12B6-4B3C-4AB1-995D-38939E4B29F4}"/>
    <cellStyle name="Currency 3 2 2 2 3 3 8" xfId="17350" xr:uid="{24274DCB-130C-46AC-9E94-FCDB74C8D8A1}"/>
    <cellStyle name="Currency 3 2 2 2 3 4" xfId="5084" xr:uid="{0115C48A-9BEA-4F30-8B07-99D1FC17A1F7}"/>
    <cellStyle name="Currency 3 2 2 2 3 4 2" xfId="5952" xr:uid="{806BA224-33B4-4654-A70B-E53547EC932D}"/>
    <cellStyle name="Currency 3 2 2 2 3 4 2 2" xfId="9424" xr:uid="{FB6A62AF-07ED-4493-A1E1-9747BC6E0552}"/>
    <cellStyle name="Currency 3 2 2 2 3 4 2 2 2" xfId="23475" xr:uid="{BD176E13-53BB-4242-8BCF-DD1967CB3E1F}"/>
    <cellStyle name="Currency 3 2 2 2 3 4 2 3" xfId="12028" xr:uid="{B9E4730B-15FE-4A24-B46A-CEEC64EF763F}"/>
    <cellStyle name="Currency 3 2 2 2 3 4 2 3 2" xfId="26079" xr:uid="{DB43EFA9-4B4D-4CFF-8D74-E017B6F7BA13}"/>
    <cellStyle name="Currency 3 2 2 2 3 4 2 4" xfId="20003" xr:uid="{D7DFC28F-0BB2-47D0-915A-908645B71513}"/>
    <cellStyle name="Currency 3 2 2 2 3 4 3" xfId="6820" xr:uid="{9C09CF77-8B2F-44AA-BE88-3B2F61AEF003}"/>
    <cellStyle name="Currency 3 2 2 2 3 4 3 2" xfId="10292" xr:uid="{15A4D020-942C-4CF3-947F-40083653F594}"/>
    <cellStyle name="Currency 3 2 2 2 3 4 3 2 2" xfId="24343" xr:uid="{410898DE-7F88-444A-8298-4BA3258B2A74}"/>
    <cellStyle name="Currency 3 2 2 2 3 4 3 3" xfId="12896" xr:uid="{7B8D31A5-28EA-41EA-BB55-4358415F9843}"/>
    <cellStyle name="Currency 3 2 2 2 3 4 3 3 2" xfId="26947" xr:uid="{3EC49483-266A-43B1-8BFF-29E8891132C6}"/>
    <cellStyle name="Currency 3 2 2 2 3 4 3 4" xfId="20871" xr:uid="{2A4085E3-C034-407C-99E9-F5407B84FF8E}"/>
    <cellStyle name="Currency 3 2 2 2 3 4 4" xfId="8556" xr:uid="{FA63003D-D750-4D17-A26B-30251C9976B2}"/>
    <cellStyle name="Currency 3 2 2 2 3 4 4 2" xfId="13764" xr:uid="{82E8DDB3-7D0A-4195-8EB4-AA6C506FF801}"/>
    <cellStyle name="Currency 3 2 2 2 3 4 4 2 2" xfId="27815" xr:uid="{B4E930C4-21E6-4EBD-AADB-0C58B0E1A24F}"/>
    <cellStyle name="Currency 3 2 2 2 3 4 4 3" xfId="22607" xr:uid="{DBF0920C-2B18-4AD9-AE84-9FB6588ECC35}"/>
    <cellStyle name="Currency 3 2 2 2 3 4 5" xfId="7688" xr:uid="{79001166-96A9-429C-8EDA-BD26B32424D1}"/>
    <cellStyle name="Currency 3 2 2 2 3 4 5 2" xfId="21739" xr:uid="{8E1D4B08-3236-4554-9518-42E067A52700}"/>
    <cellStyle name="Currency 3 2 2 2 3 4 6" xfId="11160" xr:uid="{BC3804BA-99B2-48EF-B7D3-31D2262AEFCE}"/>
    <cellStyle name="Currency 3 2 2 2 3 4 6 2" xfId="25211" xr:uid="{2E6217F5-D961-490B-B73F-EDFF94F6CAD6}"/>
    <cellStyle name="Currency 3 2 2 2 3 4 7" xfId="19135" xr:uid="{FD0B63C6-2199-4A90-B86D-4755346459DB}"/>
    <cellStyle name="Currency 3 2 2 2 3 5" xfId="5518" xr:uid="{82340457-F566-40AE-8091-06A6E4E89A2E}"/>
    <cellStyle name="Currency 3 2 2 2 3 5 2" xfId="8990" xr:uid="{08538EA6-D9F4-4538-8F80-FB5E72FAD395}"/>
    <cellStyle name="Currency 3 2 2 2 3 5 2 2" xfId="23041" xr:uid="{5D249434-F394-4496-B8B6-1EA2ED9616A5}"/>
    <cellStyle name="Currency 3 2 2 2 3 5 3" xfId="11594" xr:uid="{CD20CB4A-6444-41FA-B7F7-808E6A48DCEA}"/>
    <cellStyle name="Currency 3 2 2 2 3 5 3 2" xfId="25645" xr:uid="{3FBE7212-6588-464C-B6E3-694F1BAD561E}"/>
    <cellStyle name="Currency 3 2 2 2 3 5 4" xfId="19569" xr:uid="{F6727925-509D-4A54-B56A-E9DD4C491C10}"/>
    <cellStyle name="Currency 3 2 2 2 3 6" xfId="6386" xr:uid="{AA6DA234-FC03-40AB-913A-4C214BFDFE66}"/>
    <cellStyle name="Currency 3 2 2 2 3 6 2" xfId="9858" xr:uid="{BDAE1567-E799-4D89-B055-C6F92A7DCBA6}"/>
    <cellStyle name="Currency 3 2 2 2 3 6 2 2" xfId="23909" xr:uid="{C07969C4-5E6E-4491-9C88-338E8FB8EC9C}"/>
    <cellStyle name="Currency 3 2 2 2 3 6 3" xfId="12462" xr:uid="{2F6CDCD4-8D95-40A9-8938-1363E5A1B235}"/>
    <cellStyle name="Currency 3 2 2 2 3 6 3 2" xfId="26513" xr:uid="{94CBE10A-D1D2-4A22-AFCD-B6F5E3D6F3F3}"/>
    <cellStyle name="Currency 3 2 2 2 3 6 4" xfId="20437" xr:uid="{4D597DA6-1451-47B0-A44C-80A73104E31D}"/>
    <cellStyle name="Currency 3 2 2 2 3 7" xfId="8122" xr:uid="{383C5A4F-5085-40DE-AC29-C5B59CA3E05B}"/>
    <cellStyle name="Currency 3 2 2 2 3 7 2" xfId="13330" xr:uid="{29A0ABD9-1E01-40A0-BD61-B7F2DFD0D386}"/>
    <cellStyle name="Currency 3 2 2 2 3 7 2 2" xfId="27381" xr:uid="{4FAFD274-56B6-4100-AEF2-F3C2FE45E04F}"/>
    <cellStyle name="Currency 3 2 2 2 3 7 3" xfId="22173" xr:uid="{53123CDC-6880-4AFB-9724-F5F6D99C6BBD}"/>
    <cellStyle name="Currency 3 2 2 2 3 8" xfId="7254" xr:uid="{B3382EE4-1853-4793-9A88-233912ABE27E}"/>
    <cellStyle name="Currency 3 2 2 2 3 8 2" xfId="21305" xr:uid="{3BA350C3-65FB-4A34-98F3-E98CC3AEA40C}"/>
    <cellStyle name="Currency 3 2 2 2 3 9" xfId="10726" xr:uid="{099DB543-83C0-4825-AC8D-D97B2F2752FC}"/>
    <cellStyle name="Currency 3 2 2 2 3 9 2" xfId="24777" xr:uid="{BDEAC153-851B-4FCB-8D95-EE98825E3F1A}"/>
    <cellStyle name="Currency 3 2 2 2 4" xfId="1686" xr:uid="{DDF82EC6-F4BE-491E-B346-D6D2BFF9889E}"/>
    <cellStyle name="Currency 3 2 2 2 4 2" xfId="3876" xr:uid="{D186296B-1C22-4BCD-95F3-B80B5B3A6F5A}"/>
    <cellStyle name="Currency 3 2 2 2 4 2 2" xfId="5327" xr:uid="{20CF9208-D8E2-45F3-B6BE-B3666A48BF35}"/>
    <cellStyle name="Currency 3 2 2 2 4 2 2 2" xfId="6195" xr:uid="{358A9080-FFFE-4AF5-B0B4-2B5A0C618564}"/>
    <cellStyle name="Currency 3 2 2 2 4 2 2 2 2" xfId="9667" xr:uid="{4C774F11-757C-4C6E-9AC6-5EA7D1C410A5}"/>
    <cellStyle name="Currency 3 2 2 2 4 2 2 2 2 2" xfId="23718" xr:uid="{1B5FAD8F-8E6F-4C98-92EF-1D92707E6F98}"/>
    <cellStyle name="Currency 3 2 2 2 4 2 2 2 3" xfId="12271" xr:uid="{7ABCDE87-73C4-4F44-A8ED-094804D4A9D2}"/>
    <cellStyle name="Currency 3 2 2 2 4 2 2 2 3 2" xfId="26322" xr:uid="{BEE7CD29-77FB-43AD-8594-D91D33E06628}"/>
    <cellStyle name="Currency 3 2 2 2 4 2 2 2 4" xfId="20246" xr:uid="{9D056B53-4CFD-4418-BF00-22D2C709482B}"/>
    <cellStyle name="Currency 3 2 2 2 4 2 2 3" xfId="7063" xr:uid="{57B03D6B-3473-49DD-A22D-553C79A5845A}"/>
    <cellStyle name="Currency 3 2 2 2 4 2 2 3 2" xfId="10535" xr:uid="{60ABA9F0-0D4E-41D3-BE90-3EEA372A81A2}"/>
    <cellStyle name="Currency 3 2 2 2 4 2 2 3 2 2" xfId="24586" xr:uid="{246BEBA1-DF36-428A-B4AD-5397A666192C}"/>
    <cellStyle name="Currency 3 2 2 2 4 2 2 3 3" xfId="13139" xr:uid="{FA0F1C9D-0BB1-4677-A049-514243C1302E}"/>
    <cellStyle name="Currency 3 2 2 2 4 2 2 3 3 2" xfId="27190" xr:uid="{98C4C51E-FA73-4E4F-9B49-B03DB680AF09}"/>
    <cellStyle name="Currency 3 2 2 2 4 2 2 3 4" xfId="21114" xr:uid="{ACCC4B82-B6AB-4F05-A46E-A1D5164B8146}"/>
    <cellStyle name="Currency 3 2 2 2 4 2 2 4" xfId="8799" xr:uid="{79555B80-2424-4DFA-942D-5C9A75FFA02A}"/>
    <cellStyle name="Currency 3 2 2 2 4 2 2 4 2" xfId="14007" xr:uid="{40DF79A4-A98A-44AA-B80A-87FEFEB8051B}"/>
    <cellStyle name="Currency 3 2 2 2 4 2 2 4 2 2" xfId="28058" xr:uid="{6A0F779C-2E82-43B7-BB80-94F287A709CE}"/>
    <cellStyle name="Currency 3 2 2 2 4 2 2 4 3" xfId="22850" xr:uid="{98019369-A4B0-4342-A230-1A3BBE0EFB9D}"/>
    <cellStyle name="Currency 3 2 2 2 4 2 2 5" xfId="7931" xr:uid="{21378762-720D-42CD-A49C-A15AE50C7E8C}"/>
    <cellStyle name="Currency 3 2 2 2 4 2 2 5 2" xfId="21982" xr:uid="{0AF6CEEE-ABE1-4725-9A98-402F28AF642C}"/>
    <cellStyle name="Currency 3 2 2 2 4 2 2 6" xfId="11403" xr:uid="{AAF45A86-FA2E-48D6-BFD0-48C5964B67C5}"/>
    <cellStyle name="Currency 3 2 2 2 4 2 2 6 2" xfId="25454" xr:uid="{3686060F-4627-4837-B78D-EAE704B529D8}"/>
    <cellStyle name="Currency 3 2 2 2 4 2 2 7" xfId="19378" xr:uid="{80CC2AD3-F26D-4F9F-A30A-C0F1875C8756}"/>
    <cellStyle name="Currency 3 2 2 2 4 2 3" xfId="5761" xr:uid="{CDDE79CE-6FDA-425F-B9E6-CB1F7BAF8D4C}"/>
    <cellStyle name="Currency 3 2 2 2 4 2 3 2" xfId="9233" xr:uid="{9C61A5DD-0090-4F3A-987C-ACE48F47B0EB}"/>
    <cellStyle name="Currency 3 2 2 2 4 2 3 2 2" xfId="23284" xr:uid="{2A6C78FD-9AF6-4859-B097-744D9912FBD7}"/>
    <cellStyle name="Currency 3 2 2 2 4 2 3 3" xfId="11837" xr:uid="{D927ECD4-7AE1-4BC8-A35C-02D5C18C5E8A}"/>
    <cellStyle name="Currency 3 2 2 2 4 2 3 3 2" xfId="25888" xr:uid="{1AD830DE-9064-4792-894D-CF5C2B980F2E}"/>
    <cellStyle name="Currency 3 2 2 2 4 2 3 4" xfId="19812" xr:uid="{A16AB934-5AEA-494C-9E9F-D3D3E3CDF51F}"/>
    <cellStyle name="Currency 3 2 2 2 4 2 4" xfId="6629" xr:uid="{0CE95CDF-BDFC-4F52-8A9D-188114BD8589}"/>
    <cellStyle name="Currency 3 2 2 2 4 2 4 2" xfId="10101" xr:uid="{0F13986C-E214-4807-ADCA-BEF57309E588}"/>
    <cellStyle name="Currency 3 2 2 2 4 2 4 2 2" xfId="24152" xr:uid="{3FBCA6B5-E347-460F-A624-0E745E61EA89}"/>
    <cellStyle name="Currency 3 2 2 2 4 2 4 3" xfId="12705" xr:uid="{9080F599-8BDF-4A09-A383-AB3109A3CC98}"/>
    <cellStyle name="Currency 3 2 2 2 4 2 4 3 2" xfId="26756" xr:uid="{D73FA5D0-FEB7-4A50-97B3-FF855AD79EE1}"/>
    <cellStyle name="Currency 3 2 2 2 4 2 4 4" xfId="20680" xr:uid="{B4A0F7B3-C73F-494D-A662-DE96940969E4}"/>
    <cellStyle name="Currency 3 2 2 2 4 2 5" xfId="8365" xr:uid="{470D1A3C-6856-431D-A9BD-F30896BB8F12}"/>
    <cellStyle name="Currency 3 2 2 2 4 2 5 2" xfId="13573" xr:uid="{FAB0771D-EE05-4D4B-9055-79F914F24084}"/>
    <cellStyle name="Currency 3 2 2 2 4 2 5 2 2" xfId="27624" xr:uid="{AE13321D-28D0-49AB-9B91-5988C4A2A97A}"/>
    <cellStyle name="Currency 3 2 2 2 4 2 5 3" xfId="22416" xr:uid="{1203CD52-0908-44DA-804E-B61F4308C6B6}"/>
    <cellStyle name="Currency 3 2 2 2 4 2 6" xfId="7497" xr:uid="{6064E26B-AD11-4606-B067-F1FD97DC05A9}"/>
    <cellStyle name="Currency 3 2 2 2 4 2 6 2" xfId="21548" xr:uid="{3BFFAA0C-F080-4919-8645-86B11A05DA3A}"/>
    <cellStyle name="Currency 3 2 2 2 4 2 7" xfId="10969" xr:uid="{4ED30A94-B0EC-4D41-804E-B3FA335E3412}"/>
    <cellStyle name="Currency 3 2 2 2 4 2 7 2" xfId="25020" xr:uid="{08C45434-2F93-4C57-92DD-383035B899D5}"/>
    <cellStyle name="Currency 3 2 2 2 4 2 8" xfId="17929" xr:uid="{9DD0ED03-6D68-4A9F-A44F-4C92EBDF4472}"/>
    <cellStyle name="Currency 3 2 2 2 4 3" xfId="5136" xr:uid="{636E4A05-E30E-4E5A-95E5-446D8783AC6E}"/>
    <cellStyle name="Currency 3 2 2 2 4 3 2" xfId="6004" xr:uid="{F79F2AE6-A3D3-46C2-B525-9918FE4C297C}"/>
    <cellStyle name="Currency 3 2 2 2 4 3 2 2" xfId="9476" xr:uid="{47630020-7BAA-4581-A37A-4FF37175E855}"/>
    <cellStyle name="Currency 3 2 2 2 4 3 2 2 2" xfId="23527" xr:uid="{ABCC5E3F-AE5D-44D2-8C0C-0DB5A7E708E7}"/>
    <cellStyle name="Currency 3 2 2 2 4 3 2 3" xfId="12080" xr:uid="{8EE8BEEB-E4B9-4E53-9F58-250AB2303816}"/>
    <cellStyle name="Currency 3 2 2 2 4 3 2 3 2" xfId="26131" xr:uid="{9876F473-F631-4B65-AB17-B10541667463}"/>
    <cellStyle name="Currency 3 2 2 2 4 3 2 4" xfId="20055" xr:uid="{15F7C5A0-4AD0-4F42-B00A-4B726B009F08}"/>
    <cellStyle name="Currency 3 2 2 2 4 3 3" xfId="6872" xr:uid="{025D8377-532F-4A89-B63F-53C204E8A53B}"/>
    <cellStyle name="Currency 3 2 2 2 4 3 3 2" xfId="10344" xr:uid="{39B468FE-C850-496F-9CD0-33BE94BC2023}"/>
    <cellStyle name="Currency 3 2 2 2 4 3 3 2 2" xfId="24395" xr:uid="{17E12219-9E7B-485E-AE70-208A13B31EB1}"/>
    <cellStyle name="Currency 3 2 2 2 4 3 3 3" xfId="12948" xr:uid="{21042FE3-2A30-4E42-ADAA-5D3E1DAE0940}"/>
    <cellStyle name="Currency 3 2 2 2 4 3 3 3 2" xfId="26999" xr:uid="{1977DA71-D478-427C-822E-653E843E60D0}"/>
    <cellStyle name="Currency 3 2 2 2 4 3 3 4" xfId="20923" xr:uid="{0B21E208-B9D1-4BBB-980C-9CA32A4D8BDA}"/>
    <cellStyle name="Currency 3 2 2 2 4 3 4" xfId="8608" xr:uid="{D134DF02-CF95-4611-AAE7-FD5CDA8A2ED4}"/>
    <cellStyle name="Currency 3 2 2 2 4 3 4 2" xfId="13816" xr:uid="{F2774799-242F-4ACE-88EE-EBE6087FE422}"/>
    <cellStyle name="Currency 3 2 2 2 4 3 4 2 2" xfId="27867" xr:uid="{56884027-8A1C-4CEB-8036-A9D8B5AC65C3}"/>
    <cellStyle name="Currency 3 2 2 2 4 3 4 3" xfId="22659" xr:uid="{752AC182-8B9D-4D1E-8AD2-7A156B5795C5}"/>
    <cellStyle name="Currency 3 2 2 2 4 3 5" xfId="7740" xr:uid="{42815C25-6D91-4CA4-8F9E-DD7A1A259859}"/>
    <cellStyle name="Currency 3 2 2 2 4 3 5 2" xfId="21791" xr:uid="{ACE6494D-1515-41F3-8A7A-E233FD024BE4}"/>
    <cellStyle name="Currency 3 2 2 2 4 3 6" xfId="11212" xr:uid="{D01413F2-FADC-448C-9206-A6A93B26B4E6}"/>
    <cellStyle name="Currency 3 2 2 2 4 3 6 2" xfId="25263" xr:uid="{8577110F-EF20-4518-9E8F-98BBBBA82DCE}"/>
    <cellStyle name="Currency 3 2 2 2 4 3 7" xfId="19187" xr:uid="{DD9555ED-5D47-40F9-BEE4-9D8C2CE4EC7A}"/>
    <cellStyle name="Currency 3 2 2 2 4 4" xfId="5570" xr:uid="{99C2036A-9122-4CE1-9A6A-0CA947BF3F28}"/>
    <cellStyle name="Currency 3 2 2 2 4 4 2" xfId="9042" xr:uid="{F374EA0A-E884-4F15-A73B-C2465A8D4C13}"/>
    <cellStyle name="Currency 3 2 2 2 4 4 2 2" xfId="23093" xr:uid="{44BF601E-EEDD-43F6-8C5C-905F29994909}"/>
    <cellStyle name="Currency 3 2 2 2 4 4 3" xfId="11646" xr:uid="{BCAAAC83-CC94-4D56-8553-407BA94505F8}"/>
    <cellStyle name="Currency 3 2 2 2 4 4 3 2" xfId="25697" xr:uid="{02E622D0-9F97-45E3-86EB-944405381628}"/>
    <cellStyle name="Currency 3 2 2 2 4 4 4" xfId="19621" xr:uid="{83CF5A2F-A00A-4DF9-944B-8A64A03D7A1D}"/>
    <cellStyle name="Currency 3 2 2 2 4 5" xfId="6438" xr:uid="{B56D4C41-57BD-40E2-A348-3147F3518C1C}"/>
    <cellStyle name="Currency 3 2 2 2 4 5 2" xfId="9910" xr:uid="{2E04C03D-07FA-490C-9C23-9F4320A3CE8D}"/>
    <cellStyle name="Currency 3 2 2 2 4 5 2 2" xfId="23961" xr:uid="{2CD97B97-E3A8-44AB-BF0F-2E1AB4A23E7E}"/>
    <cellStyle name="Currency 3 2 2 2 4 5 3" xfId="12514" xr:uid="{EB47E590-8D7A-49E5-B754-E4E8E922BE63}"/>
    <cellStyle name="Currency 3 2 2 2 4 5 3 2" xfId="26565" xr:uid="{8DFCE875-18EC-48F5-9A76-C9AC20B8FB0C}"/>
    <cellStyle name="Currency 3 2 2 2 4 5 4" xfId="20489" xr:uid="{05C15E84-3E04-4992-B19F-12351D14B56D}"/>
    <cellStyle name="Currency 3 2 2 2 4 6" xfId="8174" xr:uid="{1EB1C1FA-00A0-4641-806E-C5112BD6D59B}"/>
    <cellStyle name="Currency 3 2 2 2 4 6 2" xfId="13382" xr:uid="{C7821955-FA3A-4868-94A5-5316B8379842}"/>
    <cellStyle name="Currency 3 2 2 2 4 6 2 2" xfId="27433" xr:uid="{1F42D474-DD6E-43BB-AC82-055C110A3FF3}"/>
    <cellStyle name="Currency 3 2 2 2 4 6 3" xfId="22225" xr:uid="{DC357056-4AB8-4C4F-A0C5-05DF08A444A4}"/>
    <cellStyle name="Currency 3 2 2 2 4 7" xfId="7306" xr:uid="{DF70A0E0-692B-4C90-BAA1-8697F7C239CD}"/>
    <cellStyle name="Currency 3 2 2 2 4 7 2" xfId="21357" xr:uid="{47E9C836-EAE5-4A8E-9FEC-4B966A375AD9}"/>
    <cellStyle name="Currency 3 2 2 2 4 8" xfId="10778" xr:uid="{BFB42D70-1146-4517-87CE-7DA394776211}"/>
    <cellStyle name="Currency 3 2 2 2 4 8 2" xfId="24829" xr:uid="{863EBD8E-D342-4D7B-B7B5-68C4CE1490F2}"/>
    <cellStyle name="Currency 3 2 2 2 4 9" xfId="15735" xr:uid="{783B483F-E10E-47D2-BFBC-DE03B566356D}"/>
    <cellStyle name="Currency 3 2 2 2 5" xfId="2605" xr:uid="{E89172E2-F3E7-4352-94C4-88E975504BF7}"/>
    <cellStyle name="Currency 3 2 2 2 5 2" xfId="5216" xr:uid="{C54C5007-7794-4FE3-97BE-6CAD1A6D2E79}"/>
    <cellStyle name="Currency 3 2 2 2 5 2 2" xfId="6084" xr:uid="{1DEC2560-1703-4813-8420-9D6B225433E4}"/>
    <cellStyle name="Currency 3 2 2 2 5 2 2 2" xfId="9556" xr:uid="{B4CD70B3-7730-4920-B247-C6F94A6E6C1A}"/>
    <cellStyle name="Currency 3 2 2 2 5 2 2 2 2" xfId="23607" xr:uid="{0975ACDD-B04E-4706-98B4-6D78F2E71A59}"/>
    <cellStyle name="Currency 3 2 2 2 5 2 2 3" xfId="12160" xr:uid="{C3319FA7-8553-4846-835D-BF83260645E3}"/>
    <cellStyle name="Currency 3 2 2 2 5 2 2 3 2" xfId="26211" xr:uid="{345BF6F1-CA67-47F1-83C4-18C2D5114162}"/>
    <cellStyle name="Currency 3 2 2 2 5 2 2 4" xfId="20135" xr:uid="{902F30CC-5AEB-4033-9C6E-F13BB30DEE53}"/>
    <cellStyle name="Currency 3 2 2 2 5 2 3" xfId="6952" xr:uid="{29CA756E-4EBC-47FD-AF13-3B2F44E6F701}"/>
    <cellStyle name="Currency 3 2 2 2 5 2 3 2" xfId="10424" xr:uid="{788CFCCF-85AF-4827-99DD-7EADB7913F6E}"/>
    <cellStyle name="Currency 3 2 2 2 5 2 3 2 2" xfId="24475" xr:uid="{F1E91BEF-9D84-4E7E-B48C-22BADD29E960}"/>
    <cellStyle name="Currency 3 2 2 2 5 2 3 3" xfId="13028" xr:uid="{75AC6057-AFA3-4315-906B-6082BA6EE613}"/>
    <cellStyle name="Currency 3 2 2 2 5 2 3 3 2" xfId="27079" xr:uid="{35B4B1F8-74C7-4BB3-8DC1-EAA3D09446D3}"/>
    <cellStyle name="Currency 3 2 2 2 5 2 3 4" xfId="21003" xr:uid="{44EC0DB9-A1AB-4CC3-86E2-80D5E95DB917}"/>
    <cellStyle name="Currency 3 2 2 2 5 2 4" xfId="8688" xr:uid="{6468372F-ABF7-4888-AAA5-1C63E142DCFF}"/>
    <cellStyle name="Currency 3 2 2 2 5 2 4 2" xfId="13896" xr:uid="{B8CCDAB5-C7FB-4D4D-949F-FC0BE10D80FC}"/>
    <cellStyle name="Currency 3 2 2 2 5 2 4 2 2" xfId="27947" xr:uid="{6277A2AB-1031-49D7-AFF1-322A8CCA093F}"/>
    <cellStyle name="Currency 3 2 2 2 5 2 4 3" xfId="22739" xr:uid="{6482FFAE-F9D8-4647-A5EC-433A9E9FD226}"/>
    <cellStyle name="Currency 3 2 2 2 5 2 5" xfId="7820" xr:uid="{8DE32CB3-CB1D-4C45-A401-E5CE7CC224DF}"/>
    <cellStyle name="Currency 3 2 2 2 5 2 5 2" xfId="21871" xr:uid="{358D72EB-3F88-41C1-BE1E-D6B51435C6D6}"/>
    <cellStyle name="Currency 3 2 2 2 5 2 6" xfId="11292" xr:uid="{31CA4E23-5DFB-4B65-BB61-A3B21177D471}"/>
    <cellStyle name="Currency 3 2 2 2 5 2 6 2" xfId="25343" xr:uid="{DA2720B4-19A9-4915-9541-90FC9257A944}"/>
    <cellStyle name="Currency 3 2 2 2 5 2 7" xfId="19267" xr:uid="{22455944-0118-4657-9068-73BB1A3A8587}"/>
    <cellStyle name="Currency 3 2 2 2 5 3" xfId="5650" xr:uid="{F57ADB01-36D9-40CD-A382-68584B000C6E}"/>
    <cellStyle name="Currency 3 2 2 2 5 3 2" xfId="9122" xr:uid="{E6ED151B-0DA4-4094-96E6-D0D3FB260CD0}"/>
    <cellStyle name="Currency 3 2 2 2 5 3 2 2" xfId="23173" xr:uid="{00DD6F0D-C28B-453A-96FF-3FC0576D5CA0}"/>
    <cellStyle name="Currency 3 2 2 2 5 3 3" xfId="11726" xr:uid="{298DBBB5-4C94-4410-87C7-3E052A8B7657}"/>
    <cellStyle name="Currency 3 2 2 2 5 3 3 2" xfId="25777" xr:uid="{103F0D4B-F18E-4F43-8CA6-A9A40A1823F9}"/>
    <cellStyle name="Currency 3 2 2 2 5 3 4" xfId="19701" xr:uid="{924D706F-B38D-45A3-9FFC-2EE01176283A}"/>
    <cellStyle name="Currency 3 2 2 2 5 4" xfId="6518" xr:uid="{F339BC40-4733-412D-82AF-EF98115F9279}"/>
    <cellStyle name="Currency 3 2 2 2 5 4 2" xfId="9990" xr:uid="{FB630FC2-DC94-44A3-A9F9-66712EF32359}"/>
    <cellStyle name="Currency 3 2 2 2 5 4 2 2" xfId="24041" xr:uid="{001333C6-15AF-4C3C-84F9-386C2BC5AC6A}"/>
    <cellStyle name="Currency 3 2 2 2 5 4 3" xfId="12594" xr:uid="{EE34CE31-AB16-4049-9964-9E9C73F12915}"/>
    <cellStyle name="Currency 3 2 2 2 5 4 3 2" xfId="26645" xr:uid="{FE90B096-E09F-4202-97B6-D589963CBE89}"/>
    <cellStyle name="Currency 3 2 2 2 5 4 4" xfId="20569" xr:uid="{86B2B9E9-3F41-46EC-85E0-FDEA2D3A2069}"/>
    <cellStyle name="Currency 3 2 2 2 5 5" xfId="8254" xr:uid="{AA8EF1B3-616F-4273-850A-04312AD2E48E}"/>
    <cellStyle name="Currency 3 2 2 2 5 5 2" xfId="13462" xr:uid="{BDB53674-306B-44C2-A38F-3B6A4C335CBF}"/>
    <cellStyle name="Currency 3 2 2 2 5 5 2 2" xfId="27513" xr:uid="{559C52E8-A336-472F-BBFC-6B26CFC17128}"/>
    <cellStyle name="Currency 3 2 2 2 5 5 3" xfId="22305" xr:uid="{70B83B81-7CA1-4E06-B47A-7DE1CEB37D13}"/>
    <cellStyle name="Currency 3 2 2 2 5 6" xfId="7386" xr:uid="{027D322D-566F-47F7-ACB8-C77A3C853781}"/>
    <cellStyle name="Currency 3 2 2 2 5 6 2" xfId="21437" xr:uid="{22453914-376C-42A5-B895-6C9C84D5ED4B}"/>
    <cellStyle name="Currency 3 2 2 2 5 7" xfId="10858" xr:uid="{A1495D4C-D7ED-41B0-928C-9814AFDB2E22}"/>
    <cellStyle name="Currency 3 2 2 2 5 7 2" xfId="24909" xr:uid="{CD47ABD8-532E-454A-832F-B415E31D7180}"/>
    <cellStyle name="Currency 3 2 2 2 5 8" xfId="16656" xr:uid="{A35C9AF2-3DD9-4122-905D-3C255F0F1BCD}"/>
    <cellStyle name="Currency 3 2 2 2 6" xfId="4971" xr:uid="{E78703E0-B0BF-4D64-A245-9F9AA891598B}"/>
    <cellStyle name="Currency 3 2 2 2 6 2" xfId="5422" xr:uid="{8E8266AA-8AF3-4E12-8301-3D333ACF0667}"/>
    <cellStyle name="Currency 3 2 2 2 6 2 2" xfId="6290" xr:uid="{21EEFBC3-8BE2-4116-8E5C-753DECD9902F}"/>
    <cellStyle name="Currency 3 2 2 2 6 2 2 2" xfId="9762" xr:uid="{34A28A80-49FD-49C3-A471-B2BC5DD7A889}"/>
    <cellStyle name="Currency 3 2 2 2 6 2 2 2 2" xfId="23813" xr:uid="{B63C8BAC-7688-44F4-967D-48AE33282663}"/>
    <cellStyle name="Currency 3 2 2 2 6 2 2 3" xfId="12366" xr:uid="{838B3593-9060-4181-99FE-A4CD1C8716C0}"/>
    <cellStyle name="Currency 3 2 2 2 6 2 2 3 2" xfId="26417" xr:uid="{C74F3B06-38FA-431B-B1CD-2EF74CA84C94}"/>
    <cellStyle name="Currency 3 2 2 2 6 2 2 4" xfId="20341" xr:uid="{933845DA-F8F1-402A-B1FA-72DB9A2EB081}"/>
    <cellStyle name="Currency 3 2 2 2 6 2 3" xfId="7158" xr:uid="{FA603FC0-8702-4BB8-BACF-9EE1156BDA4D}"/>
    <cellStyle name="Currency 3 2 2 2 6 2 3 2" xfId="10630" xr:uid="{8E5C6B8E-BC37-4027-ADBF-D073ECF7D6AF}"/>
    <cellStyle name="Currency 3 2 2 2 6 2 3 2 2" xfId="24681" xr:uid="{6AC69105-D749-4AFF-AC8D-19748A6EE339}"/>
    <cellStyle name="Currency 3 2 2 2 6 2 3 3" xfId="13234" xr:uid="{381FACAA-21EB-443E-9EE5-387CA5B6BE18}"/>
    <cellStyle name="Currency 3 2 2 2 6 2 3 3 2" xfId="27285" xr:uid="{83D29E25-1B61-4642-A836-AC0CFC381147}"/>
    <cellStyle name="Currency 3 2 2 2 6 2 3 4" xfId="21209" xr:uid="{6C1AA6F0-E79E-4AF8-9D82-5E2D5DD330FA}"/>
    <cellStyle name="Currency 3 2 2 2 6 2 4" xfId="8894" xr:uid="{E28C4EAE-1B43-4495-AF8E-A92AB8AFC75A}"/>
    <cellStyle name="Currency 3 2 2 2 6 2 4 2" xfId="14102" xr:uid="{988AFB44-25F7-4039-9FD3-7AEA2CD08A98}"/>
    <cellStyle name="Currency 3 2 2 2 6 2 4 2 2" xfId="28153" xr:uid="{9C5C8DCB-983B-45FD-BBBC-D0FF5EB2CF94}"/>
    <cellStyle name="Currency 3 2 2 2 6 2 4 3" xfId="22945" xr:uid="{3AC4D2DB-0593-42AE-A39B-9B3F3400BFAE}"/>
    <cellStyle name="Currency 3 2 2 2 6 2 5" xfId="8026" xr:uid="{7E200AEA-FAF4-4E6E-9957-1848051B8FD4}"/>
    <cellStyle name="Currency 3 2 2 2 6 2 5 2" xfId="22077" xr:uid="{F7408759-8F55-4174-8770-5C34CB0D0A01}"/>
    <cellStyle name="Currency 3 2 2 2 6 2 6" xfId="11498" xr:uid="{703354FD-0969-4FB7-8CB4-9D4570296FEB}"/>
    <cellStyle name="Currency 3 2 2 2 6 2 6 2" xfId="25549" xr:uid="{F3CD5C90-0963-4802-9D70-EAA0B20BD318}"/>
    <cellStyle name="Currency 3 2 2 2 6 2 7" xfId="19473" xr:uid="{B6A9CEE7-73B0-4D72-A3D7-82DE4C006DF6}"/>
    <cellStyle name="Currency 3 2 2 2 6 3" xfId="5856" xr:uid="{61F2BB9D-BD1C-493F-AEC6-BB789653CB58}"/>
    <cellStyle name="Currency 3 2 2 2 6 3 2" xfId="9328" xr:uid="{CB4E4B60-855F-4111-9279-B35B6A1A4780}"/>
    <cellStyle name="Currency 3 2 2 2 6 3 2 2" xfId="23379" xr:uid="{381E511C-547F-441D-9DC5-5CF0D04F1E86}"/>
    <cellStyle name="Currency 3 2 2 2 6 3 3" xfId="11932" xr:uid="{5130D8CE-C12F-45F6-932B-20D7BBDD1EF8}"/>
    <cellStyle name="Currency 3 2 2 2 6 3 3 2" xfId="25983" xr:uid="{E4F35425-2A18-4EEE-92D9-F5ACDD10649D}"/>
    <cellStyle name="Currency 3 2 2 2 6 3 4" xfId="19907" xr:uid="{F041BECA-5206-429C-A223-4F2CDF526365}"/>
    <cellStyle name="Currency 3 2 2 2 6 4" xfId="6724" xr:uid="{86B30438-8D62-43EA-AF18-1DA23ED73AB4}"/>
    <cellStyle name="Currency 3 2 2 2 6 4 2" xfId="10196" xr:uid="{75783BAA-5B66-4BF9-9DEC-0D83C62B6808}"/>
    <cellStyle name="Currency 3 2 2 2 6 4 2 2" xfId="24247" xr:uid="{525959DB-F36B-4A9D-BFF3-8D7E358B8452}"/>
    <cellStyle name="Currency 3 2 2 2 6 4 3" xfId="12800" xr:uid="{1F47E5E1-DC63-4CB2-8EF5-6F525B60EC1D}"/>
    <cellStyle name="Currency 3 2 2 2 6 4 3 2" xfId="26851" xr:uid="{3EFBDFB1-EEF7-4FB6-B3CF-2559EAB44FC5}"/>
    <cellStyle name="Currency 3 2 2 2 6 4 4" xfId="20775" xr:uid="{B0CCFDA8-7852-491E-A6F0-944122DB24CE}"/>
    <cellStyle name="Currency 3 2 2 2 6 5" xfId="8460" xr:uid="{63AA2CF4-5B63-4E5F-8E97-1A6F96446686}"/>
    <cellStyle name="Currency 3 2 2 2 6 5 2" xfId="13668" xr:uid="{96826367-728F-49EA-B816-6136CC97303D}"/>
    <cellStyle name="Currency 3 2 2 2 6 5 2 2" xfId="27719" xr:uid="{035D8DEF-01D5-4FD0-A6A3-490AC2E7E908}"/>
    <cellStyle name="Currency 3 2 2 2 6 5 3" xfId="22511" xr:uid="{D3C83605-D2B6-467C-AAB2-097A90088A90}"/>
    <cellStyle name="Currency 3 2 2 2 6 6" xfId="7592" xr:uid="{5B0694BA-C7BC-4F99-8741-90CDCD0FE6C3}"/>
    <cellStyle name="Currency 3 2 2 2 6 6 2" xfId="21643" xr:uid="{3AA78622-13C7-4061-A7D4-E06EE2A998DA}"/>
    <cellStyle name="Currency 3 2 2 2 6 7" xfId="11064" xr:uid="{6874BD58-5703-4EF5-82D9-8D1DA3F36378}"/>
    <cellStyle name="Currency 3 2 2 2 6 7 2" xfId="25115" xr:uid="{337FDED6-4284-4131-82DB-E76239A0446D}"/>
    <cellStyle name="Currency 3 2 2 2 6 8" xfId="19023" xr:uid="{B8D6DBB8-8DFE-49EC-9E35-72581E35B18E}"/>
    <cellStyle name="Currency 3 2 2 2 7" xfId="5022" xr:uid="{B59C2FF9-D94D-44B4-90D6-811570ED2F01}"/>
    <cellStyle name="Currency 3 2 2 2 7 2" xfId="5890" xr:uid="{742C7172-2AFA-493B-8B68-F798703C79F4}"/>
    <cellStyle name="Currency 3 2 2 2 7 2 2" xfId="9362" xr:uid="{0D73D4AC-E751-41AE-A982-C50A34ED71A1}"/>
    <cellStyle name="Currency 3 2 2 2 7 2 2 2" xfId="23413" xr:uid="{8EBC959C-B951-4750-A415-BC7F84CF2CA1}"/>
    <cellStyle name="Currency 3 2 2 2 7 2 3" xfId="11966" xr:uid="{4AB4293F-0419-4F78-98C6-F8F7B6206000}"/>
    <cellStyle name="Currency 3 2 2 2 7 2 3 2" xfId="26017" xr:uid="{F86DD6E0-58D5-4993-AAB0-248A6C32FBE2}"/>
    <cellStyle name="Currency 3 2 2 2 7 2 4" xfId="19941" xr:uid="{41F4760E-9F19-4D42-9A84-874B4D19C390}"/>
    <cellStyle name="Currency 3 2 2 2 7 3" xfId="6758" xr:uid="{D5AA8133-2274-40FD-BC78-070B282907E9}"/>
    <cellStyle name="Currency 3 2 2 2 7 3 2" xfId="10230" xr:uid="{ECA02694-FEB8-4AC1-94C0-E11A24BC2D9D}"/>
    <cellStyle name="Currency 3 2 2 2 7 3 2 2" xfId="24281" xr:uid="{B01974D7-3ED8-436F-ABCD-A9435BB8F50D}"/>
    <cellStyle name="Currency 3 2 2 2 7 3 3" xfId="12834" xr:uid="{AF59AC86-BBAD-4372-90CE-8DA7623ADC60}"/>
    <cellStyle name="Currency 3 2 2 2 7 3 3 2" xfId="26885" xr:uid="{81BDA5FE-BA48-476F-9700-582081D54607}"/>
    <cellStyle name="Currency 3 2 2 2 7 3 4" xfId="20809" xr:uid="{FA831E3A-B4D1-4F75-88CE-87EB9EA6C740}"/>
    <cellStyle name="Currency 3 2 2 2 7 4" xfId="8494" xr:uid="{64FE80A2-76C3-44CF-8C06-3F23C7AA4765}"/>
    <cellStyle name="Currency 3 2 2 2 7 4 2" xfId="13702" xr:uid="{F4B95D96-9380-454A-B960-604858812614}"/>
    <cellStyle name="Currency 3 2 2 2 7 4 2 2" xfId="27753" xr:uid="{2EB2E0D1-C2E9-491E-928C-9EB3C9E6E6E5}"/>
    <cellStyle name="Currency 3 2 2 2 7 4 3" xfId="22545" xr:uid="{9386B80C-DD10-47A3-AC0F-2DDA22A0F3D8}"/>
    <cellStyle name="Currency 3 2 2 2 7 5" xfId="7626" xr:uid="{623413BD-E1D0-4675-9B5B-519E253A6574}"/>
    <cellStyle name="Currency 3 2 2 2 7 5 2" xfId="21677" xr:uid="{2A452823-858C-4410-99DF-C9F0DC01B5C4}"/>
    <cellStyle name="Currency 3 2 2 2 7 6" xfId="11098" xr:uid="{107BC2E7-3E9A-41BE-8819-61897B3003D3}"/>
    <cellStyle name="Currency 3 2 2 2 7 6 2" xfId="25149" xr:uid="{9316A417-0000-4915-83E1-79F051EDA3E3}"/>
    <cellStyle name="Currency 3 2 2 2 7 7" xfId="19073" xr:uid="{6580408E-31F3-49AA-BF3E-9C036376197D}"/>
    <cellStyle name="Currency 3 2 2 2 8" xfId="5456" xr:uid="{CE5CCF43-51B8-461C-BEAD-1D6CBDE22FF6}"/>
    <cellStyle name="Currency 3 2 2 2 8 2" xfId="8928" xr:uid="{25D28E35-1D23-4ACB-97C4-770021507716}"/>
    <cellStyle name="Currency 3 2 2 2 8 2 2" xfId="22979" xr:uid="{D4701073-5867-4D7B-8C00-A2B18ACBC759}"/>
    <cellStyle name="Currency 3 2 2 2 8 3" xfId="11532" xr:uid="{79F5AE6C-AC8C-414F-8361-8403380C0F5B}"/>
    <cellStyle name="Currency 3 2 2 2 8 3 2" xfId="25583" xr:uid="{9A74B249-2397-4816-B28F-162E84D7F104}"/>
    <cellStyle name="Currency 3 2 2 2 8 4" xfId="19507" xr:uid="{955DD365-6CFB-4F5B-A051-D0AFD80FB4A0}"/>
    <cellStyle name="Currency 3 2 2 2 9" xfId="6324" xr:uid="{26857319-3FE3-4613-8B41-6996C91297A7}"/>
    <cellStyle name="Currency 3 2 2 2 9 2" xfId="9796" xr:uid="{0641A326-4EAE-40F0-96E0-D36BB4C95B1F}"/>
    <cellStyle name="Currency 3 2 2 2 9 2 2" xfId="23847" xr:uid="{F6A3C8E2-2D9F-4A53-820E-55AC492BFCB1}"/>
    <cellStyle name="Currency 3 2 2 2 9 3" xfId="12400" xr:uid="{CCA017F0-5F58-49E2-A40B-116E2F7581B6}"/>
    <cellStyle name="Currency 3 2 2 2 9 3 2" xfId="26451" xr:uid="{5EF3DB9F-D22F-4DC7-81A5-9FE1CF2CBB29}"/>
    <cellStyle name="Currency 3 2 2 2 9 4" xfId="20375" xr:uid="{F7770C3D-BC72-4CA0-A5B8-1B169135F4CD}"/>
    <cellStyle name="Currency 3 2 2 3" xfId="579" xr:uid="{672F882D-ADDD-4B8F-9E49-F78B1AFB3932}"/>
    <cellStyle name="Currency 3 2 2 3 10" xfId="10679" xr:uid="{1C48571E-36D3-4C19-8E0D-765791AC7657}"/>
    <cellStyle name="Currency 3 2 2 3 10 2" xfId="24730" xr:uid="{BFD6B6F6-2E95-4163-AC34-08B7DAE32DC3}"/>
    <cellStyle name="Currency 3 2 2 3 11" xfId="14634" xr:uid="{AE99F878-1CCC-4492-B7A6-B9B706F24F96}"/>
    <cellStyle name="Currency 3 2 2 3 2" xfId="1512" xr:uid="{B9547C4A-1D0E-4C2C-A14C-663A6DF2165B}"/>
    <cellStyle name="Currency 3 2 2 3 2 2" xfId="3702" xr:uid="{A90D9995-F6C8-438E-A07C-603DDA8402A4}"/>
    <cellStyle name="Currency 3 2 2 3 2 2 2" xfId="5312" xr:uid="{7AC23EAC-5ABF-4A9A-90AB-C5C1A2B9E600}"/>
    <cellStyle name="Currency 3 2 2 3 2 2 2 2" xfId="6180" xr:uid="{77A0AA63-7EFA-43A3-8A52-4F232F8A216A}"/>
    <cellStyle name="Currency 3 2 2 3 2 2 2 2 2" xfId="9652" xr:uid="{EE2FCD9F-5AC9-43D2-BE22-A9AF4AE5AECF}"/>
    <cellStyle name="Currency 3 2 2 3 2 2 2 2 2 2" xfId="23703" xr:uid="{FAF75790-BB18-4700-9A79-E4FCDEE2053E}"/>
    <cellStyle name="Currency 3 2 2 3 2 2 2 2 3" xfId="12256" xr:uid="{4175D2E8-CCA1-45A8-B138-01BE77FAB9E2}"/>
    <cellStyle name="Currency 3 2 2 3 2 2 2 2 3 2" xfId="26307" xr:uid="{A00A5E9F-4932-43C3-A613-117381ECA2F4}"/>
    <cellStyle name="Currency 3 2 2 3 2 2 2 2 4" xfId="20231" xr:uid="{67A49F13-D7DE-4485-AC7F-81B567503D22}"/>
    <cellStyle name="Currency 3 2 2 3 2 2 2 3" xfId="7048" xr:uid="{366B193F-3C52-474F-BDE4-BE8E018CDCBD}"/>
    <cellStyle name="Currency 3 2 2 3 2 2 2 3 2" xfId="10520" xr:uid="{7951CBBF-339E-4897-B807-C548C7B27803}"/>
    <cellStyle name="Currency 3 2 2 3 2 2 2 3 2 2" xfId="24571" xr:uid="{78D8158B-6778-4103-BD55-CA67FA34127B}"/>
    <cellStyle name="Currency 3 2 2 3 2 2 2 3 3" xfId="13124" xr:uid="{04E0C321-3DB2-4673-B546-84EB8D2CCF12}"/>
    <cellStyle name="Currency 3 2 2 3 2 2 2 3 3 2" xfId="27175" xr:uid="{57E9D37D-E31F-491E-84BC-09ED2172B463}"/>
    <cellStyle name="Currency 3 2 2 3 2 2 2 3 4" xfId="21099" xr:uid="{392A7767-91BC-42F9-B65A-D4CE508600C2}"/>
    <cellStyle name="Currency 3 2 2 3 2 2 2 4" xfId="8784" xr:uid="{5DC0B29B-A2BE-4294-A1AF-F4BDE57A087A}"/>
    <cellStyle name="Currency 3 2 2 3 2 2 2 4 2" xfId="13992" xr:uid="{93827C29-04CD-4B45-B1D7-CC7D1D399408}"/>
    <cellStyle name="Currency 3 2 2 3 2 2 2 4 2 2" xfId="28043" xr:uid="{DF0B7893-8B92-432B-A40E-5404422DCCAE}"/>
    <cellStyle name="Currency 3 2 2 3 2 2 2 4 3" xfId="22835" xr:uid="{7596CB08-2E6E-4711-A565-6E9D547F82FD}"/>
    <cellStyle name="Currency 3 2 2 3 2 2 2 5" xfId="7916" xr:uid="{A7EE3443-EDFC-4D5D-A672-08320BB76874}"/>
    <cellStyle name="Currency 3 2 2 3 2 2 2 5 2" xfId="21967" xr:uid="{870688FA-F006-41CD-A0D5-83E991E78A47}"/>
    <cellStyle name="Currency 3 2 2 3 2 2 2 6" xfId="11388" xr:uid="{C5CDEFEA-22E9-4A15-9FF8-7F2713B68A45}"/>
    <cellStyle name="Currency 3 2 2 3 2 2 2 6 2" xfId="25439" xr:uid="{81BAF717-DBBA-4618-B938-7576135E8C19}"/>
    <cellStyle name="Currency 3 2 2 3 2 2 2 7" xfId="19363" xr:uid="{B56ADB0F-F2EE-4309-BB36-E22ECB092AC0}"/>
    <cellStyle name="Currency 3 2 2 3 2 2 3" xfId="5746" xr:uid="{0D4960DF-54EC-4509-BA5B-670D8BAEAAB0}"/>
    <cellStyle name="Currency 3 2 2 3 2 2 3 2" xfId="9218" xr:uid="{1CADBED8-309B-49DF-84AB-9FDCB0B5F05B}"/>
    <cellStyle name="Currency 3 2 2 3 2 2 3 2 2" xfId="23269" xr:uid="{9F7B7B4C-E041-464B-94B0-A5009108DCDE}"/>
    <cellStyle name="Currency 3 2 2 3 2 2 3 3" xfId="11822" xr:uid="{5A60C4D5-BD07-423C-A161-0F57CD50F91C}"/>
    <cellStyle name="Currency 3 2 2 3 2 2 3 3 2" xfId="25873" xr:uid="{A6B3431C-39BD-4390-92DD-1D2852B788EE}"/>
    <cellStyle name="Currency 3 2 2 3 2 2 3 4" xfId="19797" xr:uid="{F73AE2B2-058B-4D69-BC7F-9230A1240361}"/>
    <cellStyle name="Currency 3 2 2 3 2 2 4" xfId="6614" xr:uid="{B230BA7C-B4D3-4A4D-85F6-5CD4C3B33A86}"/>
    <cellStyle name="Currency 3 2 2 3 2 2 4 2" xfId="10086" xr:uid="{786ED841-F605-4642-AC87-4A367F479478}"/>
    <cellStyle name="Currency 3 2 2 3 2 2 4 2 2" xfId="24137" xr:uid="{89176A50-28D8-4EBD-8A30-C54150B7BA23}"/>
    <cellStyle name="Currency 3 2 2 3 2 2 4 3" xfId="12690" xr:uid="{5DC18744-D47E-40DB-AE38-E4C16E0EDFEE}"/>
    <cellStyle name="Currency 3 2 2 3 2 2 4 3 2" xfId="26741" xr:uid="{33821E2F-BF14-4304-A27D-2F6E33DF6E4C}"/>
    <cellStyle name="Currency 3 2 2 3 2 2 4 4" xfId="20665" xr:uid="{A9ED4B0A-D113-48B0-8EF1-0577D55B095B}"/>
    <cellStyle name="Currency 3 2 2 3 2 2 5" xfId="8350" xr:uid="{67A9A5FC-B6CD-463C-A24F-58587FE339E5}"/>
    <cellStyle name="Currency 3 2 2 3 2 2 5 2" xfId="13558" xr:uid="{F5C63A43-D570-48B4-9BE7-AB4CE689E6E7}"/>
    <cellStyle name="Currency 3 2 2 3 2 2 5 2 2" xfId="27609" xr:uid="{1565478A-6898-446A-BEE7-BB7B3FAB1FDD}"/>
    <cellStyle name="Currency 3 2 2 3 2 2 5 3" xfId="22401" xr:uid="{D12B97DB-4EA0-49A3-A304-1892FD311DE3}"/>
    <cellStyle name="Currency 3 2 2 3 2 2 6" xfId="7482" xr:uid="{A37C932A-0D34-47B4-9605-CB260671098A}"/>
    <cellStyle name="Currency 3 2 2 3 2 2 6 2" xfId="21533" xr:uid="{F9084F0B-62A7-44C2-98F8-F803774611E4}"/>
    <cellStyle name="Currency 3 2 2 3 2 2 7" xfId="10954" xr:uid="{FFE1871D-AE17-421F-9964-F2DA5A53B39B}"/>
    <cellStyle name="Currency 3 2 2 3 2 2 7 2" xfId="25005" xr:uid="{09AF812F-A4CB-45D1-9B5A-7F32A7ADEC03}"/>
    <cellStyle name="Currency 3 2 2 3 2 2 8" xfId="17755" xr:uid="{79DA3F4D-F3CC-4E14-848F-DA9008F7B675}"/>
    <cellStyle name="Currency 3 2 2 3 2 3" xfId="5121" xr:uid="{BA26C808-2A94-4A66-A046-4A9DA5DE0476}"/>
    <cellStyle name="Currency 3 2 2 3 2 3 2" xfId="5989" xr:uid="{7D417FAB-D284-4D5A-99BA-C1366A17AACB}"/>
    <cellStyle name="Currency 3 2 2 3 2 3 2 2" xfId="9461" xr:uid="{68BE4720-3243-4828-8E18-1F2B3E91F7B7}"/>
    <cellStyle name="Currency 3 2 2 3 2 3 2 2 2" xfId="23512" xr:uid="{0711DB1D-5193-4EB6-B14D-05B45C42D811}"/>
    <cellStyle name="Currency 3 2 2 3 2 3 2 3" xfId="12065" xr:uid="{9D940B56-7871-458A-AC00-2DF1612251FF}"/>
    <cellStyle name="Currency 3 2 2 3 2 3 2 3 2" xfId="26116" xr:uid="{EFFD1C0B-8FE5-4453-8351-F9861E1667F6}"/>
    <cellStyle name="Currency 3 2 2 3 2 3 2 4" xfId="20040" xr:uid="{E8AC77F4-11FA-4E5F-8E50-DE9E19397164}"/>
    <cellStyle name="Currency 3 2 2 3 2 3 3" xfId="6857" xr:uid="{9B94D486-5556-4036-B198-BBDC6EF4748A}"/>
    <cellStyle name="Currency 3 2 2 3 2 3 3 2" xfId="10329" xr:uid="{5991C245-C6CB-4715-AA9C-8C01B876CC88}"/>
    <cellStyle name="Currency 3 2 2 3 2 3 3 2 2" xfId="24380" xr:uid="{3C58AB23-5690-4F09-A5B9-F24CF20BA0E0}"/>
    <cellStyle name="Currency 3 2 2 3 2 3 3 3" xfId="12933" xr:uid="{39446241-3A38-43B9-8475-AEE9D52F1807}"/>
    <cellStyle name="Currency 3 2 2 3 2 3 3 3 2" xfId="26984" xr:uid="{7806ACC1-CC12-43BC-BFC2-0711724972D4}"/>
    <cellStyle name="Currency 3 2 2 3 2 3 3 4" xfId="20908" xr:uid="{C7D14F53-9156-429B-8B2F-8BE17D2BD617}"/>
    <cellStyle name="Currency 3 2 2 3 2 3 4" xfId="8593" xr:uid="{8DC08466-07A6-4B81-8D1A-398C6E92D725}"/>
    <cellStyle name="Currency 3 2 2 3 2 3 4 2" xfId="13801" xr:uid="{22E5540E-26C8-41DA-A446-429AD08F9DA0}"/>
    <cellStyle name="Currency 3 2 2 3 2 3 4 2 2" xfId="27852" xr:uid="{F02B046C-1949-4A7A-816F-4333B8F014F9}"/>
    <cellStyle name="Currency 3 2 2 3 2 3 4 3" xfId="22644" xr:uid="{C601D6FB-9FFB-438D-BA82-55EBEBDD4F20}"/>
    <cellStyle name="Currency 3 2 2 3 2 3 5" xfId="7725" xr:uid="{191A5798-711A-4541-B2BB-FADC960DB4F8}"/>
    <cellStyle name="Currency 3 2 2 3 2 3 5 2" xfId="21776" xr:uid="{7776614D-547A-4EBB-B55D-DB900D1DB009}"/>
    <cellStyle name="Currency 3 2 2 3 2 3 6" xfId="11197" xr:uid="{3D10546F-92B7-4166-A391-00252A6CC290}"/>
    <cellStyle name="Currency 3 2 2 3 2 3 6 2" xfId="25248" xr:uid="{4AB53B8A-BAC3-4B28-8398-643E6EDCCF7D}"/>
    <cellStyle name="Currency 3 2 2 3 2 3 7" xfId="19172" xr:uid="{A2D469E4-0578-4B3F-9C87-93224FCD1939}"/>
    <cellStyle name="Currency 3 2 2 3 2 4" xfId="5555" xr:uid="{8B1C2D9C-D6D4-4F18-B0B6-0A521A9AD4D9}"/>
    <cellStyle name="Currency 3 2 2 3 2 4 2" xfId="9027" xr:uid="{CB9414EC-5A2C-452D-AC25-3B3816E185DB}"/>
    <cellStyle name="Currency 3 2 2 3 2 4 2 2" xfId="23078" xr:uid="{26DF3CD6-0F11-4DDB-8F7D-428A523FB0FB}"/>
    <cellStyle name="Currency 3 2 2 3 2 4 3" xfId="11631" xr:uid="{25EBBE6C-0816-4F40-9681-660EC791CDE8}"/>
    <cellStyle name="Currency 3 2 2 3 2 4 3 2" xfId="25682" xr:uid="{FFB223A9-6C1E-40E8-9B09-4F71BB09C580}"/>
    <cellStyle name="Currency 3 2 2 3 2 4 4" xfId="19606" xr:uid="{5E9BDA34-1E94-47C4-8569-C96F7688163C}"/>
    <cellStyle name="Currency 3 2 2 3 2 5" xfId="6423" xr:uid="{A4478C5F-6895-4BD5-9EE4-2869621AC7C2}"/>
    <cellStyle name="Currency 3 2 2 3 2 5 2" xfId="9895" xr:uid="{B9E74501-1DC7-4770-BBF0-3D4350EC64AA}"/>
    <cellStyle name="Currency 3 2 2 3 2 5 2 2" xfId="23946" xr:uid="{E3021ECF-7D9F-4CCF-841E-11B083797EC2}"/>
    <cellStyle name="Currency 3 2 2 3 2 5 3" xfId="12499" xr:uid="{F3F2A702-69D6-45B6-85E0-F0145BBECFAB}"/>
    <cellStyle name="Currency 3 2 2 3 2 5 3 2" xfId="26550" xr:uid="{50BE967E-E979-41C1-B601-ED26AB7E72D7}"/>
    <cellStyle name="Currency 3 2 2 3 2 5 4" xfId="20474" xr:uid="{2575AC90-CE48-4AAF-8C79-DA18C6BD1D47}"/>
    <cellStyle name="Currency 3 2 2 3 2 6" xfId="8159" xr:uid="{8FE62586-6418-47E9-8452-565ECFF3F202}"/>
    <cellStyle name="Currency 3 2 2 3 2 6 2" xfId="13367" xr:uid="{2A7549DC-70B0-4524-A38A-05495C0D7D15}"/>
    <cellStyle name="Currency 3 2 2 3 2 6 2 2" xfId="27418" xr:uid="{126C6966-921C-4A2E-9C44-CE0B3C353939}"/>
    <cellStyle name="Currency 3 2 2 3 2 6 3" xfId="22210" xr:uid="{E8EBA58E-AFBB-4365-8574-CE60B84AB95E}"/>
    <cellStyle name="Currency 3 2 2 3 2 7" xfId="7291" xr:uid="{C639EC8A-B233-4242-BC2A-C592DDDC7188}"/>
    <cellStyle name="Currency 3 2 2 3 2 7 2" xfId="21342" xr:uid="{A30DCC43-FDEC-4741-85E5-E05EA5773FB1}"/>
    <cellStyle name="Currency 3 2 2 3 2 8" xfId="10763" xr:uid="{732EB4C4-EBC4-46D3-83A3-D687D7411F05}"/>
    <cellStyle name="Currency 3 2 2 3 2 8 2" xfId="24814" xr:uid="{5B5920CF-60D7-4483-B0C1-656DD77B86C0}"/>
    <cellStyle name="Currency 3 2 2 3 2 9" xfId="15561" xr:uid="{AC234C49-8E24-43C4-A304-957220889BA5}"/>
    <cellStyle name="Currency 3 2 2 3 3" xfId="2778" xr:uid="{88A37999-4DF5-432C-B4F0-A34CA803B173}"/>
    <cellStyle name="Currency 3 2 2 3 3 2" xfId="5231" xr:uid="{EFEB45A0-04EE-4CC9-A2F4-8BE55324F318}"/>
    <cellStyle name="Currency 3 2 2 3 3 2 2" xfId="6099" xr:uid="{1A22B101-B0AF-484B-95BB-4FD89BC40242}"/>
    <cellStyle name="Currency 3 2 2 3 3 2 2 2" xfId="9571" xr:uid="{94A619E7-DFF6-4B3B-992F-EF8D17A1E800}"/>
    <cellStyle name="Currency 3 2 2 3 3 2 2 2 2" xfId="23622" xr:uid="{D48EF780-CCCE-4D69-96E0-573FA818EF49}"/>
    <cellStyle name="Currency 3 2 2 3 3 2 2 3" xfId="12175" xr:uid="{5723F013-AB0E-44F6-976F-C95A6761F23E}"/>
    <cellStyle name="Currency 3 2 2 3 3 2 2 3 2" xfId="26226" xr:uid="{E1A6736D-DD0D-4BF6-8D00-9ADD2C7DF5B2}"/>
    <cellStyle name="Currency 3 2 2 3 3 2 2 4" xfId="20150" xr:uid="{D78DF411-C981-4F75-9CDE-E8F347D4E3A9}"/>
    <cellStyle name="Currency 3 2 2 3 3 2 3" xfId="6967" xr:uid="{B8EDEABD-1A58-4DB7-9613-AFDAEE4F2EBE}"/>
    <cellStyle name="Currency 3 2 2 3 3 2 3 2" xfId="10439" xr:uid="{D636959F-A9A5-4DF3-8F9C-9AC156CF9585}"/>
    <cellStyle name="Currency 3 2 2 3 3 2 3 2 2" xfId="24490" xr:uid="{35395C2A-182E-45AB-B3FD-F0E141F1A5E3}"/>
    <cellStyle name="Currency 3 2 2 3 3 2 3 3" xfId="13043" xr:uid="{EB4D984D-587D-4BBA-B848-1E841D016D1B}"/>
    <cellStyle name="Currency 3 2 2 3 3 2 3 3 2" xfId="27094" xr:uid="{7CE16ECC-A074-4734-973E-C41620473AE9}"/>
    <cellStyle name="Currency 3 2 2 3 3 2 3 4" xfId="21018" xr:uid="{6E533FFB-71C3-457F-9E5E-FB3BFDD3102B}"/>
    <cellStyle name="Currency 3 2 2 3 3 2 4" xfId="8703" xr:uid="{8AE5A00C-091F-4717-B34C-BF9D326B43DF}"/>
    <cellStyle name="Currency 3 2 2 3 3 2 4 2" xfId="13911" xr:uid="{CB827FE2-CD4A-412B-8B08-1F371B7E75BA}"/>
    <cellStyle name="Currency 3 2 2 3 3 2 4 2 2" xfId="27962" xr:uid="{175AE0C4-2AB8-411F-894A-5BBB4D3C9428}"/>
    <cellStyle name="Currency 3 2 2 3 3 2 4 3" xfId="22754" xr:uid="{8165CBF9-5121-460E-95CD-77F779D8F618}"/>
    <cellStyle name="Currency 3 2 2 3 3 2 5" xfId="7835" xr:uid="{16297290-7498-44FA-84D6-1B9C2940A97B}"/>
    <cellStyle name="Currency 3 2 2 3 3 2 5 2" xfId="21886" xr:uid="{2D8E893A-7C2B-460F-98DC-AF9FD8DEEF69}"/>
    <cellStyle name="Currency 3 2 2 3 3 2 6" xfId="11307" xr:uid="{358743B0-80DD-4871-9E24-C93D755380F4}"/>
    <cellStyle name="Currency 3 2 2 3 3 2 6 2" xfId="25358" xr:uid="{C5822AB5-8653-47C9-B6D2-4FB96657F856}"/>
    <cellStyle name="Currency 3 2 2 3 3 2 7" xfId="19282" xr:uid="{8E88845C-8F1B-466F-AE4E-3F38C42C5030}"/>
    <cellStyle name="Currency 3 2 2 3 3 3" xfId="5665" xr:uid="{C3C10997-2FDA-48F0-8B7D-2EF070F8142E}"/>
    <cellStyle name="Currency 3 2 2 3 3 3 2" xfId="9137" xr:uid="{B1FDAD3A-14CD-438C-9BBE-863341DDEF4E}"/>
    <cellStyle name="Currency 3 2 2 3 3 3 2 2" xfId="23188" xr:uid="{F8796C2F-468D-4BD8-BF5A-19B451380CC9}"/>
    <cellStyle name="Currency 3 2 2 3 3 3 3" xfId="11741" xr:uid="{263035D9-4FF2-4E5D-9306-474B9B9A868C}"/>
    <cellStyle name="Currency 3 2 2 3 3 3 3 2" xfId="25792" xr:uid="{826B8A6F-46B7-4598-86DC-6E8A34E4768E}"/>
    <cellStyle name="Currency 3 2 2 3 3 3 4" xfId="19716" xr:uid="{0FC3DF04-B856-47B8-A9EA-902C33941FBA}"/>
    <cellStyle name="Currency 3 2 2 3 3 4" xfId="6533" xr:uid="{F0AB5FE4-3743-4053-AFBC-FEE0C54E2104}"/>
    <cellStyle name="Currency 3 2 2 3 3 4 2" xfId="10005" xr:uid="{502E46DE-F043-48F9-B914-69C7CEF59A8D}"/>
    <cellStyle name="Currency 3 2 2 3 3 4 2 2" xfId="24056" xr:uid="{97226287-35EF-4FB3-B5CD-2BA3CF61E907}"/>
    <cellStyle name="Currency 3 2 2 3 3 4 3" xfId="12609" xr:uid="{C39B805C-5175-4D72-B129-DBFB421DD3F9}"/>
    <cellStyle name="Currency 3 2 2 3 3 4 3 2" xfId="26660" xr:uid="{CC3D7B87-0E13-43F3-A93C-B8C71270872F}"/>
    <cellStyle name="Currency 3 2 2 3 3 4 4" xfId="20584" xr:uid="{13EE3869-35A5-43A7-9F36-FF1E58DAED14}"/>
    <cellStyle name="Currency 3 2 2 3 3 5" xfId="8269" xr:uid="{6878B65A-C4D6-4923-BC69-133B7F1EABEB}"/>
    <cellStyle name="Currency 3 2 2 3 3 5 2" xfId="13477" xr:uid="{3E857FD7-594F-435A-A0CE-FAB7E193D65F}"/>
    <cellStyle name="Currency 3 2 2 3 3 5 2 2" xfId="27528" xr:uid="{A9DD6BEA-2068-480A-A89A-12324B56360C}"/>
    <cellStyle name="Currency 3 2 2 3 3 5 3" xfId="22320" xr:uid="{5A0E604B-1199-4EB6-B898-88E40ED0FD7B}"/>
    <cellStyle name="Currency 3 2 2 3 3 6" xfId="7401" xr:uid="{950DD991-59B7-4A88-B670-F7483D694347}"/>
    <cellStyle name="Currency 3 2 2 3 3 6 2" xfId="21452" xr:uid="{F19A0306-F949-4A2B-A9D6-5262159EB88D}"/>
    <cellStyle name="Currency 3 2 2 3 3 7" xfId="10873" xr:uid="{6A356E9B-6F37-4B81-B3C6-CD28C51DEB92}"/>
    <cellStyle name="Currency 3 2 2 3 3 7 2" xfId="24924" xr:uid="{836EE6BF-AB0C-4962-9CFA-80CBB1C3B95B}"/>
    <cellStyle name="Currency 3 2 2 3 3 8" xfId="16829" xr:uid="{B20F9C6D-CB72-4469-A551-581078E3C167}"/>
    <cellStyle name="Currency 3 2 2 3 4" xfId="4797" xr:uid="{0A0E29BC-2E1C-4BA1-904E-D685BF0ECE87}"/>
    <cellStyle name="Currency 3 2 2 3 4 2" xfId="5407" xr:uid="{442FAFAC-F3AD-49E3-ABFE-4218E6C407D9}"/>
    <cellStyle name="Currency 3 2 2 3 4 2 2" xfId="6275" xr:uid="{64AC4421-C8A2-4FAC-A1A4-844D44C182A7}"/>
    <cellStyle name="Currency 3 2 2 3 4 2 2 2" xfId="9747" xr:uid="{1BC867A0-5E17-4890-8992-F9A9FE23C816}"/>
    <cellStyle name="Currency 3 2 2 3 4 2 2 2 2" xfId="23798" xr:uid="{E21EEC54-4473-47CA-AD25-8DA3B5AB7AB6}"/>
    <cellStyle name="Currency 3 2 2 3 4 2 2 3" xfId="12351" xr:uid="{9FE5DB08-428E-48AB-93C0-897E27E5BB7F}"/>
    <cellStyle name="Currency 3 2 2 3 4 2 2 3 2" xfId="26402" xr:uid="{D6373ACF-D403-47AC-B566-525596DE76CB}"/>
    <cellStyle name="Currency 3 2 2 3 4 2 2 4" xfId="20326" xr:uid="{CD2A977A-C78A-47A8-91E8-AAD916886A58}"/>
    <cellStyle name="Currency 3 2 2 3 4 2 3" xfId="7143" xr:uid="{68E239B9-1ECC-4152-AAFF-E2D2D0ED32BD}"/>
    <cellStyle name="Currency 3 2 2 3 4 2 3 2" xfId="10615" xr:uid="{9D1A95A0-F9E2-48D6-8664-83E6ADEACD0B}"/>
    <cellStyle name="Currency 3 2 2 3 4 2 3 2 2" xfId="24666" xr:uid="{9D0B751F-5DA4-4F71-A3AB-9A5AD5C183C2}"/>
    <cellStyle name="Currency 3 2 2 3 4 2 3 3" xfId="13219" xr:uid="{209A4EE0-F145-4AB4-9FD1-09B0BC2C1BF1}"/>
    <cellStyle name="Currency 3 2 2 3 4 2 3 3 2" xfId="27270" xr:uid="{6F7FBBC0-83E7-4BCC-B6CE-A3C09996A651}"/>
    <cellStyle name="Currency 3 2 2 3 4 2 3 4" xfId="21194" xr:uid="{8175620E-353C-47B3-BFEE-AC9D36841720}"/>
    <cellStyle name="Currency 3 2 2 3 4 2 4" xfId="8879" xr:uid="{B30D163D-0E10-4685-B01F-517BFD3DAF73}"/>
    <cellStyle name="Currency 3 2 2 3 4 2 4 2" xfId="14087" xr:uid="{5B4A3B1F-D07E-4449-A05A-01EF2013D99B}"/>
    <cellStyle name="Currency 3 2 2 3 4 2 4 2 2" xfId="28138" xr:uid="{C67703A1-56F0-4813-887F-6A47ECB842D1}"/>
    <cellStyle name="Currency 3 2 2 3 4 2 4 3" xfId="22930" xr:uid="{5EC1D035-6026-4FAA-BDCE-5370B0DAF3F9}"/>
    <cellStyle name="Currency 3 2 2 3 4 2 5" xfId="8011" xr:uid="{05EE21D0-890C-4AD2-AB01-7CFBAA978416}"/>
    <cellStyle name="Currency 3 2 2 3 4 2 5 2" xfId="22062" xr:uid="{7334E298-4FDD-4E02-ACB3-52E644AA020B}"/>
    <cellStyle name="Currency 3 2 2 3 4 2 6" xfId="11483" xr:uid="{B9E64379-F90A-4AF1-ACE5-E1868E229E63}"/>
    <cellStyle name="Currency 3 2 2 3 4 2 6 2" xfId="25534" xr:uid="{39CA391D-6C40-4D1B-9F14-DC7A350EC34D}"/>
    <cellStyle name="Currency 3 2 2 3 4 2 7" xfId="19458" xr:uid="{8FBFB719-12B3-4700-AC83-C271E6066C02}"/>
    <cellStyle name="Currency 3 2 2 3 4 3" xfId="5841" xr:uid="{5B5C7F7A-7FC7-4700-9F2E-AB04FBED7A6E}"/>
    <cellStyle name="Currency 3 2 2 3 4 3 2" xfId="9313" xr:uid="{5B9F90BF-599A-49D3-B498-A867B8E89805}"/>
    <cellStyle name="Currency 3 2 2 3 4 3 2 2" xfId="23364" xr:uid="{71D28B56-918B-41A4-852D-87F5C2AB001B}"/>
    <cellStyle name="Currency 3 2 2 3 4 3 3" xfId="11917" xr:uid="{4AB309C9-828D-43A0-B444-5784295B7CEF}"/>
    <cellStyle name="Currency 3 2 2 3 4 3 3 2" xfId="25968" xr:uid="{A3AF4AEC-4BC7-4C50-BCE6-06A0C00CE4BA}"/>
    <cellStyle name="Currency 3 2 2 3 4 3 4" xfId="19892" xr:uid="{E5196189-C1D9-4BF2-B651-AD4C8F967B66}"/>
    <cellStyle name="Currency 3 2 2 3 4 4" xfId="6709" xr:uid="{B56B18FE-9081-46B3-B53E-DB2E8B3AD42B}"/>
    <cellStyle name="Currency 3 2 2 3 4 4 2" xfId="10181" xr:uid="{22DCAC26-0338-484F-BCAD-0EE86DE92563}"/>
    <cellStyle name="Currency 3 2 2 3 4 4 2 2" xfId="24232" xr:uid="{05E70491-3973-4B7A-9422-E335AA47BDBE}"/>
    <cellStyle name="Currency 3 2 2 3 4 4 3" xfId="12785" xr:uid="{B4AB3C6D-C6A7-4B69-89EF-138573A6A774}"/>
    <cellStyle name="Currency 3 2 2 3 4 4 3 2" xfId="26836" xr:uid="{97A63E1E-1043-496F-A63F-2AF4748CE130}"/>
    <cellStyle name="Currency 3 2 2 3 4 4 4" xfId="20760" xr:uid="{B62915BC-B642-4EA1-9CD0-53D52C36D4EC}"/>
    <cellStyle name="Currency 3 2 2 3 4 5" xfId="8445" xr:uid="{01F5FED9-E529-4DD7-8F1D-899EB0A1E96A}"/>
    <cellStyle name="Currency 3 2 2 3 4 5 2" xfId="13653" xr:uid="{DA8C3492-7E1C-4C7B-9F14-C62A0C4B9076}"/>
    <cellStyle name="Currency 3 2 2 3 4 5 2 2" xfId="27704" xr:uid="{B341FB2F-76B8-47CB-A653-0B0552EB2E66}"/>
    <cellStyle name="Currency 3 2 2 3 4 5 3" xfId="22496" xr:uid="{CD637857-1FAA-4497-82DC-57F7C96518F3}"/>
    <cellStyle name="Currency 3 2 2 3 4 6" xfId="7577" xr:uid="{EA3B397D-8350-4006-B504-ECC01830DD3C}"/>
    <cellStyle name="Currency 3 2 2 3 4 6 2" xfId="21628" xr:uid="{CF178966-B612-4528-8CEB-3D41BCA1743B}"/>
    <cellStyle name="Currency 3 2 2 3 4 7" xfId="11049" xr:uid="{E5CF252C-110A-4E06-9EB9-7F68F41A76B1}"/>
    <cellStyle name="Currency 3 2 2 3 4 7 2" xfId="25100" xr:uid="{FFF162B6-4661-4924-AFE4-55DDF6030D56}"/>
    <cellStyle name="Currency 3 2 2 3 4 8" xfId="18849" xr:uid="{FA33F2C3-5888-4AE7-9B00-1C40C21F5B0C}"/>
    <cellStyle name="Currency 3 2 2 3 5" xfId="5037" xr:uid="{AC6ABFAD-8FE3-4CB1-9A90-2F183CCB6F73}"/>
    <cellStyle name="Currency 3 2 2 3 5 2" xfId="5905" xr:uid="{0E6BC480-9343-4F3C-AC5F-269AA1D009FC}"/>
    <cellStyle name="Currency 3 2 2 3 5 2 2" xfId="9377" xr:uid="{A0386A64-7389-4F2A-8533-9BCE8321A40D}"/>
    <cellStyle name="Currency 3 2 2 3 5 2 2 2" xfId="23428" xr:uid="{68BDF796-EBD0-49DA-B68C-A46E6BCDB048}"/>
    <cellStyle name="Currency 3 2 2 3 5 2 3" xfId="11981" xr:uid="{0DF55408-438A-4F92-ADF3-BE350D26C3AF}"/>
    <cellStyle name="Currency 3 2 2 3 5 2 3 2" xfId="26032" xr:uid="{C66A81A4-98CB-481E-A6B0-B4B134D6E782}"/>
    <cellStyle name="Currency 3 2 2 3 5 2 4" xfId="19956" xr:uid="{2819DCE5-0709-4819-8EA6-0A2B0D745B33}"/>
    <cellStyle name="Currency 3 2 2 3 5 3" xfId="6773" xr:uid="{212F1EB3-76F3-4A9D-BC34-607BDA139C72}"/>
    <cellStyle name="Currency 3 2 2 3 5 3 2" xfId="10245" xr:uid="{74F42B28-1D97-4087-88A3-DCFA8D449B9D}"/>
    <cellStyle name="Currency 3 2 2 3 5 3 2 2" xfId="24296" xr:uid="{D4F2B6FB-30CA-416B-8E13-14EF9C8D6386}"/>
    <cellStyle name="Currency 3 2 2 3 5 3 3" xfId="12849" xr:uid="{630A9711-3FF3-49A3-899C-647E08FEF2A4}"/>
    <cellStyle name="Currency 3 2 2 3 5 3 3 2" xfId="26900" xr:uid="{882B14D5-D1A9-44D5-91CD-A9E6257171EE}"/>
    <cellStyle name="Currency 3 2 2 3 5 3 4" xfId="20824" xr:uid="{4841FA2D-9F68-41BD-BB7D-778176A7D075}"/>
    <cellStyle name="Currency 3 2 2 3 5 4" xfId="8509" xr:uid="{B91EF66C-2B47-42C5-93C5-45D99FCCF986}"/>
    <cellStyle name="Currency 3 2 2 3 5 4 2" xfId="13717" xr:uid="{CD336E8C-CE82-4E94-A467-0BF636D3FA9D}"/>
    <cellStyle name="Currency 3 2 2 3 5 4 2 2" xfId="27768" xr:uid="{D7E77F7E-2141-48E5-9666-DDD446EBE9BC}"/>
    <cellStyle name="Currency 3 2 2 3 5 4 3" xfId="22560" xr:uid="{6629C02C-C6C7-4237-9847-8DDCACF86839}"/>
    <cellStyle name="Currency 3 2 2 3 5 5" xfId="7641" xr:uid="{006F7F2B-C083-4930-83C4-5F819F9E0D09}"/>
    <cellStyle name="Currency 3 2 2 3 5 5 2" xfId="21692" xr:uid="{706C1107-9C72-4365-9B10-2831B1BCDFA8}"/>
    <cellStyle name="Currency 3 2 2 3 5 6" xfId="11113" xr:uid="{B364EAD3-D6B8-4C25-ADBF-F27EE6F1664E}"/>
    <cellStyle name="Currency 3 2 2 3 5 6 2" xfId="25164" xr:uid="{3552E6C4-3BB8-46CE-9A3B-A35DED20B575}"/>
    <cellStyle name="Currency 3 2 2 3 5 7" xfId="19088" xr:uid="{38AB2C82-241C-4912-A90D-EBE0BCD4AC21}"/>
    <cellStyle name="Currency 3 2 2 3 6" xfId="5471" xr:uid="{2CCC46DB-31C6-42AA-B957-4243F8C133BA}"/>
    <cellStyle name="Currency 3 2 2 3 6 2" xfId="8943" xr:uid="{5BF0D9D4-F074-481F-96C6-4A3BF797BE59}"/>
    <cellStyle name="Currency 3 2 2 3 6 2 2" xfId="22994" xr:uid="{C40FB861-FD63-4DB8-AC59-E921567ACCF3}"/>
    <cellStyle name="Currency 3 2 2 3 6 3" xfId="11547" xr:uid="{91CF41FE-2F77-4FBE-B9C5-1654E5BC62E4}"/>
    <cellStyle name="Currency 3 2 2 3 6 3 2" xfId="25598" xr:uid="{94C017BA-249E-465A-85FA-E19469A8F36E}"/>
    <cellStyle name="Currency 3 2 2 3 6 4" xfId="19522" xr:uid="{B510DF7E-C3E9-4D93-A0E1-336A73A33F59}"/>
    <cellStyle name="Currency 3 2 2 3 7" xfId="6339" xr:uid="{8E7781CC-9E1B-420D-8A82-7A3CF8D47F9A}"/>
    <cellStyle name="Currency 3 2 2 3 7 2" xfId="9811" xr:uid="{FF30013F-1B9A-473E-8E22-4620ABAAC8D3}"/>
    <cellStyle name="Currency 3 2 2 3 7 2 2" xfId="23862" xr:uid="{1FA9A019-73C5-4596-B0D3-2A5B2DFBDCEC}"/>
    <cellStyle name="Currency 3 2 2 3 7 3" xfId="12415" xr:uid="{63D510BD-98CD-4DE4-AEF4-2C1214B2369C}"/>
    <cellStyle name="Currency 3 2 2 3 7 3 2" xfId="26466" xr:uid="{5E61B082-B313-41E4-94A3-441AA8334ADA}"/>
    <cellStyle name="Currency 3 2 2 3 7 4" xfId="20390" xr:uid="{7EE7C289-DF58-400F-9E38-3E7AEAC10ACE}"/>
    <cellStyle name="Currency 3 2 2 3 8" xfId="8075" xr:uid="{656B10A9-E40F-4B78-8FE6-41C1BE42FF0A}"/>
    <cellStyle name="Currency 3 2 2 3 8 2" xfId="13283" xr:uid="{D1D966C1-FFC4-4D0F-9BFC-C7F74C3854D4}"/>
    <cellStyle name="Currency 3 2 2 3 8 2 2" xfId="27334" xr:uid="{AA4F3BC3-9A49-418A-9FB0-ECE5BDBB561F}"/>
    <cellStyle name="Currency 3 2 2 3 8 3" xfId="22126" xr:uid="{E6392863-3678-4997-8064-B47AE3AF2D43}"/>
    <cellStyle name="Currency 3 2 2 3 9" xfId="7207" xr:uid="{A29E3F5D-00CA-4082-8742-531EB5609928}"/>
    <cellStyle name="Currency 3 2 2 3 9 2" xfId="21258" xr:uid="{05590167-5397-43A8-83F2-008C8496EE99}"/>
    <cellStyle name="Currency 3 2 2 4" xfId="932" xr:uid="{447CCDDE-6D08-4EA5-A5D2-FF0A9643BE7D}"/>
    <cellStyle name="Currency 3 2 2 4 10" xfId="14982" xr:uid="{B6EC838E-AD5A-4153-9FFB-C470138E4C23}"/>
    <cellStyle name="Currency 3 2 2 4 2" xfId="2031" xr:uid="{11997961-D7D5-471B-86C5-5FF20ED646C1}"/>
    <cellStyle name="Currency 3 2 2 4 2 2" xfId="4220" xr:uid="{544D35B4-A662-4049-8557-A70EB269EAF6}"/>
    <cellStyle name="Currency 3 2 2 4 2 2 2" xfId="5356" xr:uid="{B7E48927-ED29-4101-8F83-1379B0F9F9ED}"/>
    <cellStyle name="Currency 3 2 2 4 2 2 2 2" xfId="6224" xr:uid="{42F08CEA-49B6-4269-BA38-CAB19D25DF3D}"/>
    <cellStyle name="Currency 3 2 2 4 2 2 2 2 2" xfId="9696" xr:uid="{4BC37DFA-9EA5-4641-8400-79977009E20D}"/>
    <cellStyle name="Currency 3 2 2 4 2 2 2 2 2 2" xfId="23747" xr:uid="{70437DC4-FB73-4068-9DBA-50B3F82A4584}"/>
    <cellStyle name="Currency 3 2 2 4 2 2 2 2 3" xfId="12300" xr:uid="{324CEA13-C4BA-41B4-848D-8BB565B96953}"/>
    <cellStyle name="Currency 3 2 2 4 2 2 2 2 3 2" xfId="26351" xr:uid="{A655A12D-148B-4830-95EE-C331394E4C47}"/>
    <cellStyle name="Currency 3 2 2 4 2 2 2 2 4" xfId="20275" xr:uid="{988EAC9E-B0CC-4F4B-BE63-F09F0E6AD4B1}"/>
    <cellStyle name="Currency 3 2 2 4 2 2 2 3" xfId="7092" xr:uid="{CD96C947-7B04-429D-8940-78D6707621A8}"/>
    <cellStyle name="Currency 3 2 2 4 2 2 2 3 2" xfId="10564" xr:uid="{74DAB709-1C84-49C4-9623-2F10219D3EEF}"/>
    <cellStyle name="Currency 3 2 2 4 2 2 2 3 2 2" xfId="24615" xr:uid="{9BF3E78F-86D6-4044-A664-EC8C2F44D784}"/>
    <cellStyle name="Currency 3 2 2 4 2 2 2 3 3" xfId="13168" xr:uid="{48228A60-3A3E-42EA-913B-880191F76DA7}"/>
    <cellStyle name="Currency 3 2 2 4 2 2 2 3 3 2" xfId="27219" xr:uid="{CEAF333F-EB8A-4F04-9BF7-ECCA8F3FE43F}"/>
    <cellStyle name="Currency 3 2 2 4 2 2 2 3 4" xfId="21143" xr:uid="{20004945-59F6-4184-8EE1-00F06EFC553F}"/>
    <cellStyle name="Currency 3 2 2 4 2 2 2 4" xfId="8828" xr:uid="{CA593611-DEC1-4A35-B83C-2886CA53AD50}"/>
    <cellStyle name="Currency 3 2 2 4 2 2 2 4 2" xfId="14036" xr:uid="{A2D1D6F7-1961-4BFB-86CA-6CBA968761BC}"/>
    <cellStyle name="Currency 3 2 2 4 2 2 2 4 2 2" xfId="28087" xr:uid="{4AD7B3EC-E272-4725-8593-60E264493D96}"/>
    <cellStyle name="Currency 3 2 2 4 2 2 2 4 3" xfId="22879" xr:uid="{C0B91505-6A7B-4C15-A0A5-0E2C25847095}"/>
    <cellStyle name="Currency 3 2 2 4 2 2 2 5" xfId="7960" xr:uid="{A6DE1BC1-462B-4A3D-BF05-BD8C13382FDB}"/>
    <cellStyle name="Currency 3 2 2 4 2 2 2 5 2" xfId="22011" xr:uid="{C1750029-90E6-4A51-B051-7A7FA79F56F8}"/>
    <cellStyle name="Currency 3 2 2 4 2 2 2 6" xfId="11432" xr:uid="{42EB8255-2A5B-402C-AA7F-0F3A04F2EAD2}"/>
    <cellStyle name="Currency 3 2 2 4 2 2 2 6 2" xfId="25483" xr:uid="{70335488-AA0A-41A8-B1F6-6A85F75EEB43}"/>
    <cellStyle name="Currency 3 2 2 4 2 2 2 7" xfId="19407" xr:uid="{13AD8958-B6C4-4CA2-A5F6-6DD7E8A04A76}"/>
    <cellStyle name="Currency 3 2 2 4 2 2 3" xfId="5790" xr:uid="{8A5F80B4-8880-4583-8222-82E73374D9B2}"/>
    <cellStyle name="Currency 3 2 2 4 2 2 3 2" xfId="9262" xr:uid="{47BA0838-ED1F-4A5F-9017-1FBEC6D7E586}"/>
    <cellStyle name="Currency 3 2 2 4 2 2 3 2 2" xfId="23313" xr:uid="{FD0B2FA5-CA24-447F-89DF-CCDD7CB1996D}"/>
    <cellStyle name="Currency 3 2 2 4 2 2 3 3" xfId="11866" xr:uid="{C9EF1EEA-71F3-4AC3-8A1B-55FB8B97C367}"/>
    <cellStyle name="Currency 3 2 2 4 2 2 3 3 2" xfId="25917" xr:uid="{FAEA4D30-483E-41A3-AD1C-1A462C3BCB64}"/>
    <cellStyle name="Currency 3 2 2 4 2 2 3 4" xfId="19841" xr:uid="{20F68C48-B8C5-4312-92B0-8CC42697FD0A}"/>
    <cellStyle name="Currency 3 2 2 4 2 2 4" xfId="6658" xr:uid="{C50BD0C1-9A56-405C-93B7-701D49D52D59}"/>
    <cellStyle name="Currency 3 2 2 4 2 2 4 2" xfId="10130" xr:uid="{792AC21A-9098-42D8-AE69-C52A47540B83}"/>
    <cellStyle name="Currency 3 2 2 4 2 2 4 2 2" xfId="24181" xr:uid="{38537296-9CF5-41F9-A5B1-A0BDAD9ED72A}"/>
    <cellStyle name="Currency 3 2 2 4 2 2 4 3" xfId="12734" xr:uid="{3B9E87A7-53D6-451F-91DB-B77EF1DE396E}"/>
    <cellStyle name="Currency 3 2 2 4 2 2 4 3 2" xfId="26785" xr:uid="{C6D98A54-407A-4922-87CE-138B6C100B2A}"/>
    <cellStyle name="Currency 3 2 2 4 2 2 4 4" xfId="20709" xr:uid="{DD54D690-44F5-44D7-9AD5-BE2DACAFE102}"/>
    <cellStyle name="Currency 3 2 2 4 2 2 5" xfId="8394" xr:uid="{EDA2407E-5B0C-4063-A4D5-571559A5D756}"/>
    <cellStyle name="Currency 3 2 2 4 2 2 5 2" xfId="13602" xr:uid="{FA10D394-3412-4173-BBE6-CADA83A45047}"/>
    <cellStyle name="Currency 3 2 2 4 2 2 5 2 2" xfId="27653" xr:uid="{8EAD686E-8316-4659-A69D-F748D8FA35CD}"/>
    <cellStyle name="Currency 3 2 2 4 2 2 5 3" xfId="22445" xr:uid="{09C725BB-B0F5-4D46-8434-7F43BB013109}"/>
    <cellStyle name="Currency 3 2 2 4 2 2 6" xfId="7526" xr:uid="{D05288F5-E84F-464F-A57F-813CEB3C1DEA}"/>
    <cellStyle name="Currency 3 2 2 4 2 2 6 2" xfId="21577" xr:uid="{29B0D0FA-6EEF-4158-9D48-CFDBE0B7318A}"/>
    <cellStyle name="Currency 3 2 2 4 2 2 7" xfId="10998" xr:uid="{6D08711B-6ACB-4B7B-B83E-CDFC29E04585}"/>
    <cellStyle name="Currency 3 2 2 4 2 2 7 2" xfId="25049" xr:uid="{9F6292FD-2B95-46B1-BD70-A5117A46E919}"/>
    <cellStyle name="Currency 3 2 2 4 2 2 8" xfId="18271" xr:uid="{DFBC52ED-8B9E-4938-BF21-7C54C66CA510}"/>
    <cellStyle name="Currency 3 2 2 4 2 3" xfId="5166" xr:uid="{10F1CF12-55C7-40E2-9141-4D332F589132}"/>
    <cellStyle name="Currency 3 2 2 4 2 3 2" xfId="6034" xr:uid="{ED479C3C-5AC8-403F-B2AF-C0F1F3EAD86E}"/>
    <cellStyle name="Currency 3 2 2 4 2 3 2 2" xfId="9506" xr:uid="{FA128D1D-B238-4B68-9D69-0F4FB9C55160}"/>
    <cellStyle name="Currency 3 2 2 4 2 3 2 2 2" xfId="23557" xr:uid="{6B15B1F4-7748-45FF-97FE-1089090849BF}"/>
    <cellStyle name="Currency 3 2 2 4 2 3 2 3" xfId="12110" xr:uid="{FA9BCFEA-F6FE-424D-9CC9-2238D27275D6}"/>
    <cellStyle name="Currency 3 2 2 4 2 3 2 3 2" xfId="26161" xr:uid="{9B43881A-742D-438F-9140-55CE6C7A8861}"/>
    <cellStyle name="Currency 3 2 2 4 2 3 2 4" xfId="20085" xr:uid="{D9E21AEB-CA1A-467E-B758-E332EA73CF01}"/>
    <cellStyle name="Currency 3 2 2 4 2 3 3" xfId="6902" xr:uid="{742859A1-D7EA-4719-A056-BC941145D2C7}"/>
    <cellStyle name="Currency 3 2 2 4 2 3 3 2" xfId="10374" xr:uid="{C5E54CD7-228D-4085-ACC4-24D33105BAF3}"/>
    <cellStyle name="Currency 3 2 2 4 2 3 3 2 2" xfId="24425" xr:uid="{3EF935C7-5801-45BE-8197-1F1149DEB506}"/>
    <cellStyle name="Currency 3 2 2 4 2 3 3 3" xfId="12978" xr:uid="{61D6E1BF-3F14-442E-BC94-C16037EB884E}"/>
    <cellStyle name="Currency 3 2 2 4 2 3 3 3 2" xfId="27029" xr:uid="{1F69AFBB-EE67-4497-B7DA-3984F3832760}"/>
    <cellStyle name="Currency 3 2 2 4 2 3 3 4" xfId="20953" xr:uid="{022F62D9-73C9-47AA-AF7E-62D9840D6B89}"/>
    <cellStyle name="Currency 3 2 2 4 2 3 4" xfId="8638" xr:uid="{89625E14-AB9C-4555-A507-EAEE7CCCD949}"/>
    <cellStyle name="Currency 3 2 2 4 2 3 4 2" xfId="13846" xr:uid="{37AB01A5-5A66-4096-943A-D5FFCB29B714}"/>
    <cellStyle name="Currency 3 2 2 4 2 3 4 2 2" xfId="27897" xr:uid="{4879C003-5A2C-4C6B-BCB6-981A983033D7}"/>
    <cellStyle name="Currency 3 2 2 4 2 3 4 3" xfId="22689" xr:uid="{0B057F9F-3AFC-4F58-B750-BDE96489B5FC}"/>
    <cellStyle name="Currency 3 2 2 4 2 3 5" xfId="7770" xr:uid="{856B4C47-4B3A-46C1-9D6D-6C203A2020D1}"/>
    <cellStyle name="Currency 3 2 2 4 2 3 5 2" xfId="21821" xr:uid="{4FB1CC5F-C541-4423-ADEC-CBC3A826E573}"/>
    <cellStyle name="Currency 3 2 2 4 2 3 6" xfId="11242" xr:uid="{653789A9-963A-4376-A4AA-A8379E4C3E52}"/>
    <cellStyle name="Currency 3 2 2 4 2 3 6 2" xfId="25293" xr:uid="{45A7A930-87A9-4578-87B2-D172302EC5BD}"/>
    <cellStyle name="Currency 3 2 2 4 2 3 7" xfId="19217" xr:uid="{40D26CA2-EE34-44A9-B45B-FF351D25A789}"/>
    <cellStyle name="Currency 3 2 2 4 2 4" xfId="5600" xr:uid="{B410FE3A-E4F2-4712-927F-EE2AD42C4DE8}"/>
    <cellStyle name="Currency 3 2 2 4 2 4 2" xfId="9072" xr:uid="{AE1BADA2-2945-42BA-BCCD-3DA87CC9F257}"/>
    <cellStyle name="Currency 3 2 2 4 2 4 2 2" xfId="23123" xr:uid="{55EF2A36-3519-4A3E-AC4F-D90608D341B8}"/>
    <cellStyle name="Currency 3 2 2 4 2 4 3" xfId="11676" xr:uid="{958E5943-C7BC-4BE3-B09A-1B3B41697A93}"/>
    <cellStyle name="Currency 3 2 2 4 2 4 3 2" xfId="25727" xr:uid="{5460AABA-263A-426B-8008-BCBB7244FD60}"/>
    <cellStyle name="Currency 3 2 2 4 2 4 4" xfId="19651" xr:uid="{7B0915AD-2088-4D19-8CD1-F50093B9CFCB}"/>
    <cellStyle name="Currency 3 2 2 4 2 5" xfId="6468" xr:uid="{8C796AE5-BF7F-458B-AAB4-371513DE3052}"/>
    <cellStyle name="Currency 3 2 2 4 2 5 2" xfId="9940" xr:uid="{DE43482A-E280-4CD0-AD2A-5869A38B3978}"/>
    <cellStyle name="Currency 3 2 2 4 2 5 2 2" xfId="23991" xr:uid="{50C4F9B5-FCF3-4E2C-8706-98349C6C731F}"/>
    <cellStyle name="Currency 3 2 2 4 2 5 3" xfId="12544" xr:uid="{09CE4EEA-B634-49B2-9ED6-B2E166852237}"/>
    <cellStyle name="Currency 3 2 2 4 2 5 3 2" xfId="26595" xr:uid="{F22CC84C-8FA9-4BCF-93B5-425CD746B5B3}"/>
    <cellStyle name="Currency 3 2 2 4 2 5 4" xfId="20519" xr:uid="{BFCE3F45-9BB4-483B-B5FD-96D8F2B45860}"/>
    <cellStyle name="Currency 3 2 2 4 2 6" xfId="8204" xr:uid="{DEFE1B08-6B8C-4C79-B90D-AD058B6F51C2}"/>
    <cellStyle name="Currency 3 2 2 4 2 6 2" xfId="13412" xr:uid="{A67A9ECA-4DD0-4A72-A940-9D87C5014D42}"/>
    <cellStyle name="Currency 3 2 2 4 2 6 2 2" xfId="27463" xr:uid="{D0B7EB69-34E1-49F2-9D52-2BC98DC6C304}"/>
    <cellStyle name="Currency 3 2 2 4 2 6 3" xfId="22255" xr:uid="{073C3398-0262-4C24-B22B-C7FA46F30051}"/>
    <cellStyle name="Currency 3 2 2 4 2 7" xfId="7336" xr:uid="{DF15CE32-DEA7-4C18-98E6-54D05448941C}"/>
    <cellStyle name="Currency 3 2 2 4 2 7 2" xfId="21387" xr:uid="{C7A33895-54F5-420C-9BB0-1C7D681642C1}"/>
    <cellStyle name="Currency 3 2 2 4 2 8" xfId="10808" xr:uid="{633276E8-B9BB-4A69-BB24-1E5EB1B920FC}"/>
    <cellStyle name="Currency 3 2 2 4 2 8 2" xfId="24859" xr:uid="{11805EAA-C39F-458F-BBED-A8CD8ED05C96}"/>
    <cellStyle name="Currency 3 2 2 4 2 9" xfId="16080" xr:uid="{418037DD-5C1B-4CF6-B151-2B5AE7880F42}"/>
    <cellStyle name="Currency 3 2 2 4 3" xfId="3124" xr:uid="{4E6914B6-CC06-45E0-9B67-1D6363A0900A}"/>
    <cellStyle name="Currency 3 2 2 4 3 2" xfId="5261" xr:uid="{BC36B544-D881-489F-BA3E-E5A486A0E297}"/>
    <cellStyle name="Currency 3 2 2 4 3 2 2" xfId="6129" xr:uid="{84F700D2-1231-4B9E-8B0A-A942F4BCAB87}"/>
    <cellStyle name="Currency 3 2 2 4 3 2 2 2" xfId="9601" xr:uid="{E314AC57-8A20-47FE-94E9-D15CE03A11C8}"/>
    <cellStyle name="Currency 3 2 2 4 3 2 2 2 2" xfId="23652" xr:uid="{26F6EF3D-69A3-4A03-95D4-826895863025}"/>
    <cellStyle name="Currency 3 2 2 4 3 2 2 3" xfId="12205" xr:uid="{D6A38399-EC2D-4A13-94DA-07995EB9A251}"/>
    <cellStyle name="Currency 3 2 2 4 3 2 2 3 2" xfId="26256" xr:uid="{41E61441-C987-48D0-B50A-6E8F81C0DFBF}"/>
    <cellStyle name="Currency 3 2 2 4 3 2 2 4" xfId="20180" xr:uid="{44D46762-A045-44A6-A830-D6701D87BB80}"/>
    <cellStyle name="Currency 3 2 2 4 3 2 3" xfId="6997" xr:uid="{19D57FE7-0808-49F9-9459-C4D6C54F66E8}"/>
    <cellStyle name="Currency 3 2 2 4 3 2 3 2" xfId="10469" xr:uid="{DEFF1F33-4A91-4A8D-8ED1-AF5D72B36929}"/>
    <cellStyle name="Currency 3 2 2 4 3 2 3 2 2" xfId="24520" xr:uid="{9DE60F97-ECB8-439A-B75A-1F10D44FD603}"/>
    <cellStyle name="Currency 3 2 2 4 3 2 3 3" xfId="13073" xr:uid="{CA31DAED-93D2-4C26-B8AF-2C21900E963B}"/>
    <cellStyle name="Currency 3 2 2 4 3 2 3 3 2" xfId="27124" xr:uid="{22A3826A-C5AF-4BA4-B591-C787E9AADA49}"/>
    <cellStyle name="Currency 3 2 2 4 3 2 3 4" xfId="21048" xr:uid="{B8D60E17-A326-4C69-9FCF-8B56994E290D}"/>
    <cellStyle name="Currency 3 2 2 4 3 2 4" xfId="8733" xr:uid="{FB940D81-5C78-4AB1-8E2A-E567DB00899F}"/>
    <cellStyle name="Currency 3 2 2 4 3 2 4 2" xfId="13941" xr:uid="{6FAC33A7-E684-49EE-8487-0FC5451CE6FD}"/>
    <cellStyle name="Currency 3 2 2 4 3 2 4 2 2" xfId="27992" xr:uid="{DE2A9972-8EFE-49E0-9F57-EDDA56F65E71}"/>
    <cellStyle name="Currency 3 2 2 4 3 2 4 3" xfId="22784" xr:uid="{1DF1AA4A-7D51-4D4C-B9BC-F7CA7A030770}"/>
    <cellStyle name="Currency 3 2 2 4 3 2 5" xfId="7865" xr:uid="{C45A96CA-B4B1-4BBD-8690-73AD0FA65475}"/>
    <cellStyle name="Currency 3 2 2 4 3 2 5 2" xfId="21916" xr:uid="{6A05DAE9-3516-42F9-8F4E-6C64662939C1}"/>
    <cellStyle name="Currency 3 2 2 4 3 2 6" xfId="11337" xr:uid="{30600BEB-C4D7-412D-98CC-2DDB9B2493C2}"/>
    <cellStyle name="Currency 3 2 2 4 3 2 6 2" xfId="25388" xr:uid="{F32963A9-8416-4705-AA7E-9D7A712D3258}"/>
    <cellStyle name="Currency 3 2 2 4 3 2 7" xfId="19312" xr:uid="{90D1814F-BB4B-4D5C-9921-86C7F19ED69A}"/>
    <cellStyle name="Currency 3 2 2 4 3 3" xfId="5695" xr:uid="{F2608F4E-7928-4A03-9D35-CFA6AA184B9A}"/>
    <cellStyle name="Currency 3 2 2 4 3 3 2" xfId="9167" xr:uid="{7AD8E991-94AE-4408-8CCF-DFBA0698ABBF}"/>
    <cellStyle name="Currency 3 2 2 4 3 3 2 2" xfId="23218" xr:uid="{8E65982B-918F-406F-969F-38A79FC660CB}"/>
    <cellStyle name="Currency 3 2 2 4 3 3 3" xfId="11771" xr:uid="{93C75544-843D-45F4-A00E-400AAEBB76F1}"/>
    <cellStyle name="Currency 3 2 2 4 3 3 3 2" xfId="25822" xr:uid="{CEC61B00-0106-49D0-8C6B-E4647EB7B333}"/>
    <cellStyle name="Currency 3 2 2 4 3 3 4" xfId="19746" xr:uid="{E937E210-6105-4098-B3B6-24227C58B500}"/>
    <cellStyle name="Currency 3 2 2 4 3 4" xfId="6563" xr:uid="{F83FBB3D-C270-414F-805D-0302FCDEFFCE}"/>
    <cellStyle name="Currency 3 2 2 4 3 4 2" xfId="10035" xr:uid="{E8AA562E-D314-4164-BCE5-B8230EEF506E}"/>
    <cellStyle name="Currency 3 2 2 4 3 4 2 2" xfId="24086" xr:uid="{B17A6CB2-845E-445D-9F23-8A1A0658005A}"/>
    <cellStyle name="Currency 3 2 2 4 3 4 3" xfId="12639" xr:uid="{4313DF73-7A85-418C-9343-AB7EAE7F1EDF}"/>
    <cellStyle name="Currency 3 2 2 4 3 4 3 2" xfId="26690" xr:uid="{62953A0B-5373-4348-8B3F-8A57F2E0D0EC}"/>
    <cellStyle name="Currency 3 2 2 4 3 4 4" xfId="20614" xr:uid="{7B9CA673-1226-4D96-A995-E1776F470C97}"/>
    <cellStyle name="Currency 3 2 2 4 3 5" xfId="8299" xr:uid="{2A551F68-1C7E-4195-8F8C-A0F48FF342B2}"/>
    <cellStyle name="Currency 3 2 2 4 3 5 2" xfId="13507" xr:uid="{AA2AC3F3-0944-4BE8-91FE-15FA4658A6DC}"/>
    <cellStyle name="Currency 3 2 2 4 3 5 2 2" xfId="27558" xr:uid="{757F9D0C-6695-4075-874B-E6463351657F}"/>
    <cellStyle name="Currency 3 2 2 4 3 5 3" xfId="22350" xr:uid="{95684B01-DBDF-4927-ABC4-5964B2CEA8C8}"/>
    <cellStyle name="Currency 3 2 2 4 3 6" xfId="7431" xr:uid="{5E7A10AE-FD21-4900-B933-91B0BD7A7B02}"/>
    <cellStyle name="Currency 3 2 2 4 3 6 2" xfId="21482" xr:uid="{F7FCEBB3-BFFC-4A68-B093-FEA64118DBCC}"/>
    <cellStyle name="Currency 3 2 2 4 3 7" xfId="10903" xr:uid="{0DA3F4BE-2048-4226-94DF-E0E1EEBDE317}"/>
    <cellStyle name="Currency 3 2 2 4 3 7 2" xfId="24954" xr:uid="{5B8B08EC-DA02-4FF8-BE5B-93E8F4697358}"/>
    <cellStyle name="Currency 3 2 2 4 3 8" xfId="17176" xr:uid="{64C90DE7-41A1-47F0-B4E0-773379C7E952}"/>
    <cellStyle name="Currency 3 2 2 4 4" xfId="5069" xr:uid="{61D7A02B-8291-433B-AB01-A6B950BF432B}"/>
    <cellStyle name="Currency 3 2 2 4 4 2" xfId="5937" xr:uid="{E436A5CF-EB65-41E3-9F7D-6CF43A840CB5}"/>
    <cellStyle name="Currency 3 2 2 4 4 2 2" xfId="9409" xr:uid="{7ABF6557-E2BA-4FDF-A697-CBAA4B9DCE08}"/>
    <cellStyle name="Currency 3 2 2 4 4 2 2 2" xfId="23460" xr:uid="{4EF4FF40-B0DA-400C-AB76-C66399A63B11}"/>
    <cellStyle name="Currency 3 2 2 4 4 2 3" xfId="12013" xr:uid="{ECFF336D-6611-4B0E-B8A8-6C3F9DB7AF53}"/>
    <cellStyle name="Currency 3 2 2 4 4 2 3 2" xfId="26064" xr:uid="{00FDFCE9-9C37-4330-BE14-CE6ED0FFF1E4}"/>
    <cellStyle name="Currency 3 2 2 4 4 2 4" xfId="19988" xr:uid="{AAAB7FF2-A85E-440B-BF35-ECA9E47A00C6}"/>
    <cellStyle name="Currency 3 2 2 4 4 3" xfId="6805" xr:uid="{25B5A3D8-D1CF-4DF3-8986-8F3A82103075}"/>
    <cellStyle name="Currency 3 2 2 4 4 3 2" xfId="10277" xr:uid="{9DDE1705-D7D6-456E-A353-F02014E2A14A}"/>
    <cellStyle name="Currency 3 2 2 4 4 3 2 2" xfId="24328" xr:uid="{0D79FB10-211B-4AD5-8A90-1725BBD64D61}"/>
    <cellStyle name="Currency 3 2 2 4 4 3 3" xfId="12881" xr:uid="{83C43CBF-1B68-4643-AE2F-C479B8D5F435}"/>
    <cellStyle name="Currency 3 2 2 4 4 3 3 2" xfId="26932" xr:uid="{5CA860A6-B679-450E-8D3F-B8C06AB6C531}"/>
    <cellStyle name="Currency 3 2 2 4 4 3 4" xfId="20856" xr:uid="{6454A432-DE2F-4ACD-9018-5FFECE544574}"/>
    <cellStyle name="Currency 3 2 2 4 4 4" xfId="8541" xr:uid="{6C503141-5916-4B51-A784-CAB89DF07350}"/>
    <cellStyle name="Currency 3 2 2 4 4 4 2" xfId="13749" xr:uid="{976C4210-DBB4-4143-A4C6-408FB247B220}"/>
    <cellStyle name="Currency 3 2 2 4 4 4 2 2" xfId="27800" xr:uid="{42484642-4EA1-4A80-BD27-8F9C07D23B31}"/>
    <cellStyle name="Currency 3 2 2 4 4 4 3" xfId="22592" xr:uid="{5F68CA81-C2EC-47AB-815F-34DD0C9C1D12}"/>
    <cellStyle name="Currency 3 2 2 4 4 5" xfId="7673" xr:uid="{344387FC-E681-4FA9-974C-34052A7C4946}"/>
    <cellStyle name="Currency 3 2 2 4 4 5 2" xfId="21724" xr:uid="{E54ACC79-6873-4700-ABD5-EF04C27CDC7D}"/>
    <cellStyle name="Currency 3 2 2 4 4 6" xfId="11145" xr:uid="{5021ED33-564B-473B-BC4A-6EEC5D7CAE5A}"/>
    <cellStyle name="Currency 3 2 2 4 4 6 2" xfId="25196" xr:uid="{45842CD4-F558-4E74-A22C-E8D2B8904438}"/>
    <cellStyle name="Currency 3 2 2 4 4 7" xfId="19120" xr:uid="{ED7F5E00-3284-4CDB-B89E-AF48E4D55826}"/>
    <cellStyle name="Currency 3 2 2 4 5" xfId="5503" xr:uid="{BA4006E4-6ACE-41A6-865B-D1700549A241}"/>
    <cellStyle name="Currency 3 2 2 4 5 2" xfId="8975" xr:uid="{1F4B68CE-7AF1-445E-8D56-4E6AAFE7B020}"/>
    <cellStyle name="Currency 3 2 2 4 5 2 2" xfId="23026" xr:uid="{54EA9050-DCE6-45FE-A2EC-96EC4939E63A}"/>
    <cellStyle name="Currency 3 2 2 4 5 3" xfId="11579" xr:uid="{427B2105-4505-4FBE-86AE-9A04E8DE4154}"/>
    <cellStyle name="Currency 3 2 2 4 5 3 2" xfId="25630" xr:uid="{855F770D-9918-45F7-B142-6D9F257B475B}"/>
    <cellStyle name="Currency 3 2 2 4 5 4" xfId="19554" xr:uid="{34B850FB-38B2-4605-BEDC-2303FB3EE069}"/>
    <cellStyle name="Currency 3 2 2 4 6" xfId="6371" xr:uid="{081D3BA8-7BA3-4BCE-AEF0-6DA7B95CE600}"/>
    <cellStyle name="Currency 3 2 2 4 6 2" xfId="9843" xr:uid="{7DE7AA47-B6ED-44A2-834B-0FC86E535D8E}"/>
    <cellStyle name="Currency 3 2 2 4 6 2 2" xfId="23894" xr:uid="{DBF306BD-2AFD-424E-B795-65DCD66D67A3}"/>
    <cellStyle name="Currency 3 2 2 4 6 3" xfId="12447" xr:uid="{9A44F46B-52E6-40E7-AD47-06D24CB07EE1}"/>
    <cellStyle name="Currency 3 2 2 4 6 3 2" xfId="26498" xr:uid="{8CA2859B-DF03-4837-A360-E5FAE15824C3}"/>
    <cellStyle name="Currency 3 2 2 4 6 4" xfId="20422" xr:uid="{667BF96C-AAF2-4E81-B35E-8C6F227C4317}"/>
    <cellStyle name="Currency 3 2 2 4 7" xfId="8107" xr:uid="{DB9E698D-F6D2-416E-8ACD-AC68029CBFA9}"/>
    <cellStyle name="Currency 3 2 2 4 7 2" xfId="13315" xr:uid="{0E3352D3-1A77-4F99-B164-071EB73179BD}"/>
    <cellStyle name="Currency 3 2 2 4 7 2 2" xfId="27366" xr:uid="{7B545D64-C17C-4FE1-A28E-87C0A9737DF3}"/>
    <cellStyle name="Currency 3 2 2 4 7 3" xfId="22158" xr:uid="{AD637772-AF45-4056-8487-30C1C549AC92}"/>
    <cellStyle name="Currency 3 2 2 4 8" xfId="7239" xr:uid="{0C88F6A6-9F37-4D39-9231-25F887249518}"/>
    <cellStyle name="Currency 3 2 2 4 8 2" xfId="21290" xr:uid="{C5ED01B6-BB9D-439F-8FFE-7C5D4B7A4B69}"/>
    <cellStyle name="Currency 3 2 2 4 9" xfId="10711" xr:uid="{AE6C1539-1A54-49B2-833E-E8CB08F4F099}"/>
    <cellStyle name="Currency 3 2 2 4 9 2" xfId="24762" xr:uid="{534E8BC6-D213-4592-82BF-3F7E1DD5E73B}"/>
    <cellStyle name="Currency 3 2 2 5" xfId="1339" xr:uid="{C874F7A2-71AE-491F-88D5-2F0EAB98DFE7}"/>
    <cellStyle name="Currency 3 2 2 5 2" xfId="3530" xr:uid="{CBC1ABC4-DBEC-4E43-A257-67DB6C47C2AE}"/>
    <cellStyle name="Currency 3 2 2 5 2 2" xfId="5297" xr:uid="{626ED543-94E8-4B67-BD9D-BE73C3EFF61F}"/>
    <cellStyle name="Currency 3 2 2 5 2 2 2" xfId="6165" xr:uid="{D2C656B4-9AF0-4C2F-B26F-4E72F16A9EAF}"/>
    <cellStyle name="Currency 3 2 2 5 2 2 2 2" xfId="9637" xr:uid="{3D7D73DB-FE64-45E7-A899-FC7CACCEDD03}"/>
    <cellStyle name="Currency 3 2 2 5 2 2 2 2 2" xfId="23688" xr:uid="{E4F718A1-EB9E-440B-9752-D98695D1CECC}"/>
    <cellStyle name="Currency 3 2 2 5 2 2 2 3" xfId="12241" xr:uid="{46B3DC29-4AFD-483C-84DC-5B5B68579D82}"/>
    <cellStyle name="Currency 3 2 2 5 2 2 2 3 2" xfId="26292" xr:uid="{1A5F747B-C90F-43EC-A513-0064E9270785}"/>
    <cellStyle name="Currency 3 2 2 5 2 2 2 4" xfId="20216" xr:uid="{7C62E9D9-DD37-4E23-A803-57DCD5F1864C}"/>
    <cellStyle name="Currency 3 2 2 5 2 2 3" xfId="7033" xr:uid="{00905EFD-7E25-4130-BEE5-95D8BA69C76F}"/>
    <cellStyle name="Currency 3 2 2 5 2 2 3 2" xfId="10505" xr:uid="{7FB0F8DD-F6E1-401B-A2B3-5A19F36674A8}"/>
    <cellStyle name="Currency 3 2 2 5 2 2 3 2 2" xfId="24556" xr:uid="{B69123F2-4DE7-4BC4-9DDE-643FA8154483}"/>
    <cellStyle name="Currency 3 2 2 5 2 2 3 3" xfId="13109" xr:uid="{7CF078CB-D601-4597-A207-DEC17ACE7827}"/>
    <cellStyle name="Currency 3 2 2 5 2 2 3 3 2" xfId="27160" xr:uid="{119ADAB6-ABC6-44D0-A504-422E7217DD53}"/>
    <cellStyle name="Currency 3 2 2 5 2 2 3 4" xfId="21084" xr:uid="{34C12408-DF26-46D4-A8FB-6DCE68295D78}"/>
    <cellStyle name="Currency 3 2 2 5 2 2 4" xfId="8769" xr:uid="{E18A0AB6-AE48-48D8-B0B2-F02FE477DFBD}"/>
    <cellStyle name="Currency 3 2 2 5 2 2 4 2" xfId="13977" xr:uid="{21483B85-3731-48DB-A021-ADC77C06E59F}"/>
    <cellStyle name="Currency 3 2 2 5 2 2 4 2 2" xfId="28028" xr:uid="{396F04CD-5D21-4730-8A48-A6E2BD124466}"/>
    <cellStyle name="Currency 3 2 2 5 2 2 4 3" xfId="22820" xr:uid="{A2ABFCA0-CC14-4AF9-862E-868ECFB5BA11}"/>
    <cellStyle name="Currency 3 2 2 5 2 2 5" xfId="7901" xr:uid="{623D15D3-3224-49BF-A411-D161577DA691}"/>
    <cellStyle name="Currency 3 2 2 5 2 2 5 2" xfId="21952" xr:uid="{A4441A81-0EDC-4F9C-832E-A6CB842ED608}"/>
    <cellStyle name="Currency 3 2 2 5 2 2 6" xfId="11373" xr:uid="{57CDA5DD-2186-45EA-91E0-6A0B8348CDB3}"/>
    <cellStyle name="Currency 3 2 2 5 2 2 6 2" xfId="25424" xr:uid="{B9CB9357-3BAF-4929-B0EB-5196FBBDA5F5}"/>
    <cellStyle name="Currency 3 2 2 5 2 2 7" xfId="19348" xr:uid="{5FD65EBC-D240-4112-8E7F-A57815FBD5FF}"/>
    <cellStyle name="Currency 3 2 2 5 2 3" xfId="5731" xr:uid="{B215A034-8FBE-4E6E-9E56-D973A1658FEB}"/>
    <cellStyle name="Currency 3 2 2 5 2 3 2" xfId="9203" xr:uid="{25CCBB4C-740E-4276-B1F9-0C07DF7CF69A}"/>
    <cellStyle name="Currency 3 2 2 5 2 3 2 2" xfId="23254" xr:uid="{C33FFF1E-CBE2-4AF7-A7A9-D77759032E4A}"/>
    <cellStyle name="Currency 3 2 2 5 2 3 3" xfId="11807" xr:uid="{8773C045-65A7-4E5D-97CE-06B11D540AE3}"/>
    <cellStyle name="Currency 3 2 2 5 2 3 3 2" xfId="25858" xr:uid="{90343E56-F461-43BE-A688-471C79EE538A}"/>
    <cellStyle name="Currency 3 2 2 5 2 3 4" xfId="19782" xr:uid="{5B06D8AC-D558-4C35-9B19-E6EC9959B0FA}"/>
    <cellStyle name="Currency 3 2 2 5 2 4" xfId="6599" xr:uid="{8DFDA383-1328-465C-9B75-D9975CF8DC87}"/>
    <cellStyle name="Currency 3 2 2 5 2 4 2" xfId="10071" xr:uid="{7BCBF2F8-90E5-4636-80F0-F688F519484C}"/>
    <cellStyle name="Currency 3 2 2 5 2 4 2 2" xfId="24122" xr:uid="{7D5A318D-7669-412B-BA34-CAEF42E0A693}"/>
    <cellStyle name="Currency 3 2 2 5 2 4 3" xfId="12675" xr:uid="{8CA415EF-CDAD-450A-A85A-7F0FA77502A2}"/>
    <cellStyle name="Currency 3 2 2 5 2 4 3 2" xfId="26726" xr:uid="{F2E1C011-F5B6-442E-B0FA-DF9E0BDF7C42}"/>
    <cellStyle name="Currency 3 2 2 5 2 4 4" xfId="20650" xr:uid="{413E5701-820F-4EDC-BED1-9F424EEBB62C}"/>
    <cellStyle name="Currency 3 2 2 5 2 5" xfId="8335" xr:uid="{32471938-DCA4-4648-89BE-B574507EF884}"/>
    <cellStyle name="Currency 3 2 2 5 2 5 2" xfId="13543" xr:uid="{DD639FF4-F982-4040-8E37-8C9857CD8E84}"/>
    <cellStyle name="Currency 3 2 2 5 2 5 2 2" xfId="27594" xr:uid="{32948989-E99E-4932-AC9C-4F7BEE440473}"/>
    <cellStyle name="Currency 3 2 2 5 2 5 3" xfId="22386" xr:uid="{B6C87073-E44F-4EFC-939F-2F80977FC1A4}"/>
    <cellStyle name="Currency 3 2 2 5 2 6" xfId="7467" xr:uid="{DCAFFBE5-3FD5-44CE-85C5-167BF1CFC6E0}"/>
    <cellStyle name="Currency 3 2 2 5 2 6 2" xfId="21518" xr:uid="{147B2C6E-6D73-4A32-B8C5-8F8F4530E7E2}"/>
    <cellStyle name="Currency 3 2 2 5 2 7" xfId="10939" xr:uid="{645D86DC-70C6-4F7F-BEF5-841C2AFBA49A}"/>
    <cellStyle name="Currency 3 2 2 5 2 7 2" xfId="24990" xr:uid="{E81EF23C-639F-427B-A5F3-DE429A3F472A}"/>
    <cellStyle name="Currency 3 2 2 5 2 8" xfId="17582" xr:uid="{CD99704E-9536-4FCF-8872-3E3942682E26}"/>
    <cellStyle name="Currency 3 2 2 5 3" xfId="5106" xr:uid="{C7AB9747-10AD-4CCD-A017-6971FC7D2C6F}"/>
    <cellStyle name="Currency 3 2 2 5 3 2" xfId="5974" xr:uid="{C4815425-0A2E-4FA7-AE7B-D3523E8D2E6D}"/>
    <cellStyle name="Currency 3 2 2 5 3 2 2" xfId="9446" xr:uid="{92A6BC8E-F77B-44A9-9F7E-9E2C6EEEC82D}"/>
    <cellStyle name="Currency 3 2 2 5 3 2 2 2" xfId="23497" xr:uid="{431CADDE-3D87-446B-A39B-3F620270A374}"/>
    <cellStyle name="Currency 3 2 2 5 3 2 3" xfId="12050" xr:uid="{BFCD5C59-7184-4E0F-9580-8CE4113012AE}"/>
    <cellStyle name="Currency 3 2 2 5 3 2 3 2" xfId="26101" xr:uid="{DD97D5E7-9670-4895-8DFF-FBD6747EB581}"/>
    <cellStyle name="Currency 3 2 2 5 3 2 4" xfId="20025" xr:uid="{D0518449-67EF-4AD3-A0B8-564903A70338}"/>
    <cellStyle name="Currency 3 2 2 5 3 3" xfId="6842" xr:uid="{F2B2022A-FAAE-4E80-A274-2087D4C13530}"/>
    <cellStyle name="Currency 3 2 2 5 3 3 2" xfId="10314" xr:uid="{F7333B8D-CF08-48CB-ACE4-ACA59A3B24E4}"/>
    <cellStyle name="Currency 3 2 2 5 3 3 2 2" xfId="24365" xr:uid="{054EFE79-5C0D-44E8-AA7C-BC343AFB45C2}"/>
    <cellStyle name="Currency 3 2 2 5 3 3 3" xfId="12918" xr:uid="{DF7E5D11-59E4-4D07-ACEA-27901EE0EAB1}"/>
    <cellStyle name="Currency 3 2 2 5 3 3 3 2" xfId="26969" xr:uid="{09BEAB97-F10B-4DE3-9453-FECD30337906}"/>
    <cellStyle name="Currency 3 2 2 5 3 3 4" xfId="20893" xr:uid="{01D85409-1BEE-4B9C-A5D3-B16F00E58369}"/>
    <cellStyle name="Currency 3 2 2 5 3 4" xfId="8578" xr:uid="{1B8E054E-F9BB-4A0C-A75E-A7B942C2236C}"/>
    <cellStyle name="Currency 3 2 2 5 3 4 2" xfId="13786" xr:uid="{12F0EC96-697C-499E-8131-00BF2E917245}"/>
    <cellStyle name="Currency 3 2 2 5 3 4 2 2" xfId="27837" xr:uid="{E26B92D2-3790-48D1-AC14-AA25BE94A2A7}"/>
    <cellStyle name="Currency 3 2 2 5 3 4 3" xfId="22629" xr:uid="{19263B3A-47E5-4362-A661-665AA01FA22B}"/>
    <cellStyle name="Currency 3 2 2 5 3 5" xfId="7710" xr:uid="{167C88A3-75A8-47D6-B96D-BD05EC448215}"/>
    <cellStyle name="Currency 3 2 2 5 3 5 2" xfId="21761" xr:uid="{74E1E5B0-FCB6-43DA-9D2E-79CA6E2AD286}"/>
    <cellStyle name="Currency 3 2 2 5 3 6" xfId="11182" xr:uid="{2BFF79A4-92B9-47A4-A4D3-A13A2EC0CFFE}"/>
    <cellStyle name="Currency 3 2 2 5 3 6 2" xfId="25233" xr:uid="{BC924A66-E0A2-4747-8337-DF0B12DC7732}"/>
    <cellStyle name="Currency 3 2 2 5 3 7" xfId="19157" xr:uid="{3892D554-9386-4BB3-9E1A-F8973EAE36E9}"/>
    <cellStyle name="Currency 3 2 2 5 4" xfId="5540" xr:uid="{089D1D3D-9B37-49FC-A190-854204290AA6}"/>
    <cellStyle name="Currency 3 2 2 5 4 2" xfId="9012" xr:uid="{A4A191D2-F344-4E6B-8302-ADE2C3F4D6D2}"/>
    <cellStyle name="Currency 3 2 2 5 4 2 2" xfId="23063" xr:uid="{A3CED4DE-6075-4D98-B0E5-99434C5C6E6D}"/>
    <cellStyle name="Currency 3 2 2 5 4 3" xfId="11616" xr:uid="{1C790BDF-DBE8-4827-B80F-C4407465EFC7}"/>
    <cellStyle name="Currency 3 2 2 5 4 3 2" xfId="25667" xr:uid="{AB0E6D42-BFF4-4AE4-9D2E-82A9ED77EEAB}"/>
    <cellStyle name="Currency 3 2 2 5 4 4" xfId="19591" xr:uid="{76BDB68C-77B7-483A-8C4B-131097FCAE99}"/>
    <cellStyle name="Currency 3 2 2 5 5" xfId="6408" xr:uid="{BF74AFA1-CB31-451A-924C-E38781540E81}"/>
    <cellStyle name="Currency 3 2 2 5 5 2" xfId="9880" xr:uid="{C68F2A52-8364-4023-BC5A-AE98AA1FE8C4}"/>
    <cellStyle name="Currency 3 2 2 5 5 2 2" xfId="23931" xr:uid="{D65B8414-BF60-4CC9-B74E-41D544CAF203}"/>
    <cellStyle name="Currency 3 2 2 5 5 3" xfId="12484" xr:uid="{B760E03D-3DBE-4C0C-AFD4-6B61D923FDA7}"/>
    <cellStyle name="Currency 3 2 2 5 5 3 2" xfId="26535" xr:uid="{05D20F45-E047-4DE2-80DB-720E5D3DF05C}"/>
    <cellStyle name="Currency 3 2 2 5 5 4" xfId="20459" xr:uid="{8964E635-9A37-4400-BDC5-20AE020368F8}"/>
    <cellStyle name="Currency 3 2 2 5 6" xfId="8144" xr:uid="{0B706ECB-E9FB-4637-8363-442B84E84A77}"/>
    <cellStyle name="Currency 3 2 2 5 6 2" xfId="13352" xr:uid="{460FE224-9FAC-47C8-B1E7-CC91FEA91098}"/>
    <cellStyle name="Currency 3 2 2 5 6 2 2" xfId="27403" xr:uid="{D436BFF3-0960-493D-B984-973B4D3887E1}"/>
    <cellStyle name="Currency 3 2 2 5 6 3" xfId="22195" xr:uid="{71A404CC-DAD9-422F-B501-753E308B19B6}"/>
    <cellStyle name="Currency 3 2 2 5 7" xfId="7276" xr:uid="{2F7A4148-C4C3-4EC8-9C20-821C030A7585}"/>
    <cellStyle name="Currency 3 2 2 5 7 2" xfId="21327" xr:uid="{931E5C67-A241-47D1-8F35-5054A190CAE4}"/>
    <cellStyle name="Currency 3 2 2 5 8" xfId="10748" xr:uid="{DA2A1C3E-DE04-48B5-A33B-BD906A3D91C8}"/>
    <cellStyle name="Currency 3 2 2 5 8 2" xfId="24799" xr:uid="{1F6A0E46-6CA5-421E-B5D5-5BA75BE042E5}"/>
    <cellStyle name="Currency 3 2 2 5 9" xfId="15388" xr:uid="{2574951C-C822-4A79-8DC3-8F557DE27892}"/>
    <cellStyle name="Currency 3 2 2 6" xfId="2431" xr:uid="{9A2F0A22-301E-49EE-A92C-BADCDDEDEFD0}"/>
    <cellStyle name="Currency 3 2 2 6 2" xfId="5201" xr:uid="{A443CAE8-BC67-4455-B88C-8CFF01C0922B}"/>
    <cellStyle name="Currency 3 2 2 6 2 2" xfId="6069" xr:uid="{797DBA61-EC19-40FB-9647-93E678F975D0}"/>
    <cellStyle name="Currency 3 2 2 6 2 2 2" xfId="9541" xr:uid="{38673BC9-F2AF-4C20-AB4D-359D6E3F0B69}"/>
    <cellStyle name="Currency 3 2 2 6 2 2 2 2" xfId="23592" xr:uid="{17A21EB1-3040-4E14-B2F4-B424FC159CF5}"/>
    <cellStyle name="Currency 3 2 2 6 2 2 3" xfId="12145" xr:uid="{DF02FFBE-CFAB-4DD4-92EF-CDE5E116330A}"/>
    <cellStyle name="Currency 3 2 2 6 2 2 3 2" xfId="26196" xr:uid="{9645B7D8-340F-4595-B8E4-C3065C6C8DFF}"/>
    <cellStyle name="Currency 3 2 2 6 2 2 4" xfId="20120" xr:uid="{EDA0A6B1-A2F1-4D0E-A9BB-9387780FCD2A}"/>
    <cellStyle name="Currency 3 2 2 6 2 3" xfId="6937" xr:uid="{F5B8F7DA-1CC1-4D02-B971-D6389CB3DD36}"/>
    <cellStyle name="Currency 3 2 2 6 2 3 2" xfId="10409" xr:uid="{52CD92FE-9B0F-4340-A8F4-3F69F4203737}"/>
    <cellStyle name="Currency 3 2 2 6 2 3 2 2" xfId="24460" xr:uid="{94504C59-D39D-45CD-A845-652949E8E2FB}"/>
    <cellStyle name="Currency 3 2 2 6 2 3 3" xfId="13013" xr:uid="{EDAA33B5-F57C-484B-A99A-3BBA9C00C299}"/>
    <cellStyle name="Currency 3 2 2 6 2 3 3 2" xfId="27064" xr:uid="{E8847953-5414-44EA-AF64-F0F054CBDD39}"/>
    <cellStyle name="Currency 3 2 2 6 2 3 4" xfId="20988" xr:uid="{5CF86A28-E2D3-4011-BB15-E0EE596133EA}"/>
    <cellStyle name="Currency 3 2 2 6 2 4" xfId="8673" xr:uid="{4AC32B7E-D138-44FD-99AE-7B56C94CBA7A}"/>
    <cellStyle name="Currency 3 2 2 6 2 4 2" xfId="13881" xr:uid="{13BE4197-DB35-48F7-A32B-65E9454EFEA4}"/>
    <cellStyle name="Currency 3 2 2 6 2 4 2 2" xfId="27932" xr:uid="{5D669BE2-729C-47EF-99CF-7B34BC762129}"/>
    <cellStyle name="Currency 3 2 2 6 2 4 3" xfId="22724" xr:uid="{121204A7-69A7-49ED-830F-6C27F3713087}"/>
    <cellStyle name="Currency 3 2 2 6 2 5" xfId="7805" xr:uid="{6E2818EA-5697-4D3C-B0B4-BC74687B1950}"/>
    <cellStyle name="Currency 3 2 2 6 2 5 2" xfId="21856" xr:uid="{CE604CD9-670A-4A5E-9ECC-B58102D61564}"/>
    <cellStyle name="Currency 3 2 2 6 2 6" xfId="11277" xr:uid="{B6A65A74-0298-4C05-B768-C005487C4276}"/>
    <cellStyle name="Currency 3 2 2 6 2 6 2" xfId="25328" xr:uid="{2245608D-6ADA-48B5-B27F-8CB1215B69DB}"/>
    <cellStyle name="Currency 3 2 2 6 2 7" xfId="19252" xr:uid="{D7FE698B-3DE7-4949-9622-7BF576CFABA7}"/>
    <cellStyle name="Currency 3 2 2 6 3" xfId="5635" xr:uid="{52662A9B-D355-46AF-B469-1DC6EC41F25A}"/>
    <cellStyle name="Currency 3 2 2 6 3 2" xfId="9107" xr:uid="{A4ECF65C-9ACF-439D-9A88-0FC2615EA5E5}"/>
    <cellStyle name="Currency 3 2 2 6 3 2 2" xfId="23158" xr:uid="{359C9B48-99E5-41EB-878F-F03E9650ABA8}"/>
    <cellStyle name="Currency 3 2 2 6 3 3" xfId="11711" xr:uid="{CC3866FE-CA2B-4656-8510-62C5309EF791}"/>
    <cellStyle name="Currency 3 2 2 6 3 3 2" xfId="25762" xr:uid="{E6E6CE34-253E-4CA0-8B35-BA0DA34E3677}"/>
    <cellStyle name="Currency 3 2 2 6 3 4" xfId="19686" xr:uid="{DA45A1FC-CF88-45B9-8138-612D8666C1AE}"/>
    <cellStyle name="Currency 3 2 2 6 4" xfId="6503" xr:uid="{08FD37BA-CC9F-4718-A829-97A73C2D932C}"/>
    <cellStyle name="Currency 3 2 2 6 4 2" xfId="9975" xr:uid="{6877145F-BAA6-4214-8F01-CCFE0606AB38}"/>
    <cellStyle name="Currency 3 2 2 6 4 2 2" xfId="24026" xr:uid="{DF3F3D14-E24D-40E1-B326-F806613E0448}"/>
    <cellStyle name="Currency 3 2 2 6 4 3" xfId="12579" xr:uid="{F5E17237-6C92-4AA6-82C2-C3055E8153E9}"/>
    <cellStyle name="Currency 3 2 2 6 4 3 2" xfId="26630" xr:uid="{3FAE1C95-24DB-45F1-AB32-F6A9B5354D1D}"/>
    <cellStyle name="Currency 3 2 2 6 4 4" xfId="20554" xr:uid="{8541920E-4257-45F6-9818-7D49E503F6BC}"/>
    <cellStyle name="Currency 3 2 2 6 5" xfId="8239" xr:uid="{8DE4ADD6-F2D0-476D-8C5C-F563CECDC6CB}"/>
    <cellStyle name="Currency 3 2 2 6 5 2" xfId="13447" xr:uid="{E471E0BC-64A3-47D4-9A68-2C6967C67519}"/>
    <cellStyle name="Currency 3 2 2 6 5 2 2" xfId="27498" xr:uid="{EF1F0E6F-BE15-4E6A-B6E2-D7DEEB7BC60E}"/>
    <cellStyle name="Currency 3 2 2 6 5 3" xfId="22290" xr:uid="{65C477E9-02D5-4364-9A68-1401001E6B49}"/>
    <cellStyle name="Currency 3 2 2 6 6" xfId="7371" xr:uid="{2A7345E8-F99E-4778-A243-FE3F9D44E278}"/>
    <cellStyle name="Currency 3 2 2 6 6 2" xfId="21422" xr:uid="{84C93139-C11B-429E-9D8A-8363467D2662}"/>
    <cellStyle name="Currency 3 2 2 6 7" xfId="10843" xr:uid="{AFE30687-BA77-44C2-AC49-9F90DA360007}"/>
    <cellStyle name="Currency 3 2 2 6 7 2" xfId="24894" xr:uid="{E346CEDC-CD4C-4E84-BF5A-CFC343FF42B7}"/>
    <cellStyle name="Currency 3 2 2 6 8" xfId="16482" xr:uid="{E3A92D60-263F-41F3-AC24-A3C1556A8471}"/>
    <cellStyle name="Currency 3 2 2 7" xfId="4624" xr:uid="{FBCC42D0-E1C5-444D-82D7-2908AF5D48A5}"/>
    <cellStyle name="Currency 3 2 2 7 2" xfId="5392" xr:uid="{C6ECC52F-DF9E-4C18-B1F7-DD87126A6D2C}"/>
    <cellStyle name="Currency 3 2 2 7 2 2" xfId="6260" xr:uid="{41F2746D-9DDD-4624-BE11-D07D565ACF77}"/>
    <cellStyle name="Currency 3 2 2 7 2 2 2" xfId="9732" xr:uid="{2F8FF927-FAA6-4517-9618-F56947D4565E}"/>
    <cellStyle name="Currency 3 2 2 7 2 2 2 2" xfId="23783" xr:uid="{1A44A65D-072A-4B42-8BEE-DE59FB0F7CD7}"/>
    <cellStyle name="Currency 3 2 2 7 2 2 3" xfId="12336" xr:uid="{9FA88C38-56B9-4CA8-808C-A6934B1C00ED}"/>
    <cellStyle name="Currency 3 2 2 7 2 2 3 2" xfId="26387" xr:uid="{6F602330-4FE9-402A-87A2-1C5452508F0B}"/>
    <cellStyle name="Currency 3 2 2 7 2 2 4" xfId="20311" xr:uid="{E0C2E325-595B-4AEA-A975-5A9211B62E17}"/>
    <cellStyle name="Currency 3 2 2 7 2 3" xfId="7128" xr:uid="{84FD26C7-5817-4984-A3F0-9812158B808A}"/>
    <cellStyle name="Currency 3 2 2 7 2 3 2" xfId="10600" xr:uid="{CA509B8C-9DCD-4950-ABFE-DAC5E5BB237E}"/>
    <cellStyle name="Currency 3 2 2 7 2 3 2 2" xfId="24651" xr:uid="{10870878-3ACC-4109-93B5-66307BB7CDF0}"/>
    <cellStyle name="Currency 3 2 2 7 2 3 3" xfId="13204" xr:uid="{59ADD123-068B-4FD4-8978-5093B4F4E90E}"/>
    <cellStyle name="Currency 3 2 2 7 2 3 3 2" xfId="27255" xr:uid="{C79E21EF-7E13-4706-842C-A89F5669E032}"/>
    <cellStyle name="Currency 3 2 2 7 2 3 4" xfId="21179" xr:uid="{7DDD80DF-4981-4080-9067-9A9FB3DB0779}"/>
    <cellStyle name="Currency 3 2 2 7 2 4" xfId="8864" xr:uid="{C88DDDC5-98EE-4C43-A660-F37783BFB9D4}"/>
    <cellStyle name="Currency 3 2 2 7 2 4 2" xfId="14072" xr:uid="{9D1F330B-C4B4-4066-9E77-0C7118448D9B}"/>
    <cellStyle name="Currency 3 2 2 7 2 4 2 2" xfId="28123" xr:uid="{83B68C89-518E-4E8C-9033-B96177E61D80}"/>
    <cellStyle name="Currency 3 2 2 7 2 4 3" xfId="22915" xr:uid="{C7C1EFA6-0D43-4EC8-85F5-37F58EB0B55C}"/>
    <cellStyle name="Currency 3 2 2 7 2 5" xfId="7996" xr:uid="{565E6718-A8F9-4604-8420-1BF1AC21704D}"/>
    <cellStyle name="Currency 3 2 2 7 2 5 2" xfId="22047" xr:uid="{C41D80F4-04B9-48E7-8164-A1FF7575C0B2}"/>
    <cellStyle name="Currency 3 2 2 7 2 6" xfId="11468" xr:uid="{D839CC39-56E4-4F96-B8EE-44FAE403643E}"/>
    <cellStyle name="Currency 3 2 2 7 2 6 2" xfId="25519" xr:uid="{D4CED8CC-8287-4251-9B66-6CACE25BDF05}"/>
    <cellStyle name="Currency 3 2 2 7 2 7" xfId="19443" xr:uid="{1A5A0711-1D0B-4AB5-8EF4-746CD3607F65}"/>
    <cellStyle name="Currency 3 2 2 7 3" xfId="5826" xr:uid="{5907F247-7E61-42C7-BCD4-2C8CFC85C97C}"/>
    <cellStyle name="Currency 3 2 2 7 3 2" xfId="9298" xr:uid="{3FA4E0D6-0EED-4991-B60E-36643EFE188B}"/>
    <cellStyle name="Currency 3 2 2 7 3 2 2" xfId="23349" xr:uid="{EB2E928E-BEA3-41B6-9710-D6013E0B28F1}"/>
    <cellStyle name="Currency 3 2 2 7 3 3" xfId="11902" xr:uid="{D94EDFE2-65F9-45B6-BB39-272D6FDEE3C0}"/>
    <cellStyle name="Currency 3 2 2 7 3 3 2" xfId="25953" xr:uid="{EB652E70-5F8B-4E0F-BB9C-6E42E288C3EA}"/>
    <cellStyle name="Currency 3 2 2 7 3 4" xfId="19877" xr:uid="{F4477033-2B84-47DA-BBB3-263FB5B52085}"/>
    <cellStyle name="Currency 3 2 2 7 4" xfId="6694" xr:uid="{3631BF09-8D18-444B-B3F7-23883CE40BB1}"/>
    <cellStyle name="Currency 3 2 2 7 4 2" xfId="10166" xr:uid="{7CBD6C8D-2C6F-45B1-BFDB-99C8AEA6BC3A}"/>
    <cellStyle name="Currency 3 2 2 7 4 2 2" xfId="24217" xr:uid="{F394D2F5-4A6A-48E6-B076-7B2AE452B50B}"/>
    <cellStyle name="Currency 3 2 2 7 4 3" xfId="12770" xr:uid="{BF51232D-6F3A-49FA-BBEE-BE122C02D5AA}"/>
    <cellStyle name="Currency 3 2 2 7 4 3 2" xfId="26821" xr:uid="{66D70666-CFA8-49DB-90A5-5435219ACFD2}"/>
    <cellStyle name="Currency 3 2 2 7 4 4" xfId="20745" xr:uid="{097E00CC-556F-409F-8248-F64C22E2F7A4}"/>
    <cellStyle name="Currency 3 2 2 7 5" xfId="8430" xr:uid="{AE8F2D73-EBA9-4E09-8AAA-4D444D25865C}"/>
    <cellStyle name="Currency 3 2 2 7 5 2" xfId="13638" xr:uid="{68A02DC7-8224-44A3-A9CD-6F77499D489D}"/>
    <cellStyle name="Currency 3 2 2 7 5 2 2" xfId="27689" xr:uid="{A9777AC3-E9E3-450C-966F-54BA4AAC1B65}"/>
    <cellStyle name="Currency 3 2 2 7 5 3" xfId="22481" xr:uid="{6759AE16-662B-4E71-9ECF-83CF64DC54A7}"/>
    <cellStyle name="Currency 3 2 2 7 6" xfId="7562" xr:uid="{8B7217AD-FABA-4140-9A37-09BF34F8A932}"/>
    <cellStyle name="Currency 3 2 2 7 6 2" xfId="21613" xr:uid="{E5EAE1AC-E638-4980-9237-891994A6A7BF}"/>
    <cellStyle name="Currency 3 2 2 7 7" xfId="11034" xr:uid="{03080FAA-D367-48AF-9AEC-19AD63C0CCBF}"/>
    <cellStyle name="Currency 3 2 2 7 7 2" xfId="25085" xr:uid="{1C47D05D-45D2-4CDC-AD34-FCF11A3BCEE6}"/>
    <cellStyle name="Currency 3 2 2 7 8" xfId="18676" xr:uid="{B791A42B-D54D-4CD0-8E51-CA085D469A62}"/>
    <cellStyle name="Currency 3 2 2 8" xfId="5006" xr:uid="{D075C30D-13F1-4A2F-A74F-5F0AC9C2BD83}"/>
    <cellStyle name="Currency 3 2 2 8 2" xfId="5874" xr:uid="{867BEFAD-DB8A-486D-BC93-87D961E11BB2}"/>
    <cellStyle name="Currency 3 2 2 8 2 2" xfId="9346" xr:uid="{F00E06AE-C210-49D9-84EE-1F917E8D9BE4}"/>
    <cellStyle name="Currency 3 2 2 8 2 2 2" xfId="23397" xr:uid="{EC565E2C-C865-4A70-9F2C-A444DA2A345F}"/>
    <cellStyle name="Currency 3 2 2 8 2 3" xfId="11950" xr:uid="{4A0DD4E5-EA91-4896-BA96-33034812C063}"/>
    <cellStyle name="Currency 3 2 2 8 2 3 2" xfId="26001" xr:uid="{7BA2C2A3-62C3-4927-816E-FBE49C62D048}"/>
    <cellStyle name="Currency 3 2 2 8 2 4" xfId="19925" xr:uid="{FB3C504F-8974-4AFC-9EA8-02646713B240}"/>
    <cellStyle name="Currency 3 2 2 8 3" xfId="6742" xr:uid="{CA505EF4-95E7-4127-B851-932826FACAD9}"/>
    <cellStyle name="Currency 3 2 2 8 3 2" xfId="10214" xr:uid="{E31922E8-D4D5-42FF-9E18-E3AB02E042A1}"/>
    <cellStyle name="Currency 3 2 2 8 3 2 2" xfId="24265" xr:uid="{7D31FFDF-A452-4E7C-BAC2-55B9599F1958}"/>
    <cellStyle name="Currency 3 2 2 8 3 3" xfId="12818" xr:uid="{B2C07918-32FA-49BC-A3A6-87ABF6DBAF72}"/>
    <cellStyle name="Currency 3 2 2 8 3 3 2" xfId="26869" xr:uid="{6A4C75E0-05ED-49DB-84EB-89AAF99A5DE3}"/>
    <cellStyle name="Currency 3 2 2 8 3 4" xfId="20793" xr:uid="{1615DAF3-5278-4B9C-9C15-FE58780EAFA4}"/>
    <cellStyle name="Currency 3 2 2 8 4" xfId="8478" xr:uid="{F46F18AC-4166-4A78-8C8E-90134E230AA5}"/>
    <cellStyle name="Currency 3 2 2 8 4 2" xfId="13686" xr:uid="{926B0894-4E83-4A43-A42A-F693E8A3B1B1}"/>
    <cellStyle name="Currency 3 2 2 8 4 2 2" xfId="27737" xr:uid="{6AF773BA-0928-4595-B84D-3C71C65CE9F0}"/>
    <cellStyle name="Currency 3 2 2 8 4 3" xfId="22529" xr:uid="{FAB1FBF3-482A-46F1-A9E5-AECCD734A6AF}"/>
    <cellStyle name="Currency 3 2 2 8 5" xfId="7610" xr:uid="{AA772CC0-433D-441C-8E41-197687C5D024}"/>
    <cellStyle name="Currency 3 2 2 8 5 2" xfId="21661" xr:uid="{D69B7B37-6D83-46D9-AA84-6E32B33CB784}"/>
    <cellStyle name="Currency 3 2 2 8 6" xfId="11082" xr:uid="{C5DABBF3-E5A1-4B7C-ACA4-B33A8D532687}"/>
    <cellStyle name="Currency 3 2 2 8 6 2" xfId="25133" xr:uid="{B2D214B9-21AA-488B-9817-5C86BCF3D247}"/>
    <cellStyle name="Currency 3 2 2 8 7" xfId="19057" xr:uid="{967A5C0C-C7B2-48D4-BBC2-C9CCE51FB208}"/>
    <cellStyle name="Currency 3 2 2 9" xfId="5440" xr:uid="{241C9BED-98F8-42A5-937E-5BBF6743314B}"/>
    <cellStyle name="Currency 3 2 2 9 2" xfId="8912" xr:uid="{86D80681-7874-4BE6-B4CE-3FC1F6FCB584}"/>
    <cellStyle name="Currency 3 2 2 9 2 2" xfId="22963" xr:uid="{6E39D68A-F677-4DB9-8C7F-2F021CF80F66}"/>
    <cellStyle name="Currency 3 2 2 9 3" xfId="11516" xr:uid="{A57B0520-98F8-401E-A399-D12F007DA38A}"/>
    <cellStyle name="Currency 3 2 2 9 3 2" xfId="25567" xr:uid="{4F3BAE79-7C43-4A74-842E-7456AAE86FED}"/>
    <cellStyle name="Currency 3 2 2 9 4" xfId="19491" xr:uid="{3FCFE851-E843-4B59-B54B-8EB6011FC91B}"/>
    <cellStyle name="Currency 3 2 3" xfId="171" xr:uid="{834EBAA9-02F6-4D79-ADCF-2414B4F97597}"/>
    <cellStyle name="Currency 3 2 3 10" xfId="6303" xr:uid="{DBE7F6BD-F16C-493E-B68D-F499A03A1F33}"/>
    <cellStyle name="Currency 3 2 3 10 2" xfId="9775" xr:uid="{6492CC5B-7CAA-4471-A702-7D0B91E5E340}"/>
    <cellStyle name="Currency 3 2 3 10 2 2" xfId="23826" xr:uid="{1E7278AA-888D-4D39-AB42-4CEAD3BF19F4}"/>
    <cellStyle name="Currency 3 2 3 10 3" xfId="12379" xr:uid="{5AF062F8-7F3D-4A44-8986-3F986B98D3A5}"/>
    <cellStyle name="Currency 3 2 3 10 3 2" xfId="26430" xr:uid="{8C0FEA09-8532-4DA6-BC74-F7E7DF7EE9E4}"/>
    <cellStyle name="Currency 3 2 3 10 4" xfId="20354" xr:uid="{D665A3E7-5B28-42AA-B4B4-654CCAA96916}"/>
    <cellStyle name="Currency 3 2 3 11" xfId="8039" xr:uid="{F29BFF76-0E1F-4BA5-BD55-FF47DEF06E6A}"/>
    <cellStyle name="Currency 3 2 3 11 2" xfId="13247" xr:uid="{2BDB2484-53CB-48DC-96EE-38FDDC2E4D6D}"/>
    <cellStyle name="Currency 3 2 3 11 2 2" xfId="27298" xr:uid="{A7AF4003-BC43-4E99-8E9C-9C2E7D009421}"/>
    <cellStyle name="Currency 3 2 3 11 3" xfId="22090" xr:uid="{2FC8BD35-0358-42B0-B7C7-D1868DC1A76E}"/>
    <cellStyle name="Currency 3 2 3 12" xfId="7171" xr:uid="{2596346B-F3C9-42C6-81DA-7CEA3763B7BA}"/>
    <cellStyle name="Currency 3 2 3 12 2" xfId="21222" xr:uid="{333274D3-203A-4539-8F70-824836FC2BFB}"/>
    <cellStyle name="Currency 3 2 3 13" xfId="10643" xr:uid="{8B2F67CA-092B-4F6F-95D6-0F618C6B11D0}"/>
    <cellStyle name="Currency 3 2 3 13 2" xfId="24694" xr:uid="{A34B0B85-0792-495F-8CED-1475F8242029}"/>
    <cellStyle name="Currency 3 2 3 14" xfId="14230" xr:uid="{E0C7271C-0054-4A07-BA4E-41731E4DF10A}"/>
    <cellStyle name="Currency 3 2 3 2" xfId="348" xr:uid="{710D493B-26F3-4E44-B67D-527A803E64F4}"/>
    <cellStyle name="Currency 3 2 3 2 10" xfId="8055" xr:uid="{A9E0B84B-E2FC-4D01-BF2D-18EDF32C8ADD}"/>
    <cellStyle name="Currency 3 2 3 2 10 2" xfId="13263" xr:uid="{FDE27514-8A2C-4788-82E9-38D970EF2742}"/>
    <cellStyle name="Currency 3 2 3 2 10 2 2" xfId="27314" xr:uid="{925C629D-9E69-4A5B-90DC-081E3909C553}"/>
    <cellStyle name="Currency 3 2 3 2 10 3" xfId="22106" xr:uid="{72ACBD63-4997-4538-9CC8-606642D86BE6}"/>
    <cellStyle name="Currency 3 2 3 2 11" xfId="7187" xr:uid="{92EE9804-BBD4-40A6-A35C-BC9CE1809B0F}"/>
    <cellStyle name="Currency 3 2 3 2 11 2" xfId="21238" xr:uid="{6D5ED736-820D-41EF-8989-E3B1584B7E6B}"/>
    <cellStyle name="Currency 3 2 3 2 12" xfId="10659" xr:uid="{9D42A7BB-68CE-48C6-85E6-902570E06D32}"/>
    <cellStyle name="Currency 3 2 3 2 12 2" xfId="24710" xr:uid="{B312BA66-70CF-472F-BD94-2023A1A51679}"/>
    <cellStyle name="Currency 3 2 3 2 13" xfId="14405" xr:uid="{F67A2F86-C208-4571-B7FB-DB5D1865105F}"/>
    <cellStyle name="Currency 3 2 3 2 2" xfId="702" xr:uid="{9CB5CFFF-6F15-4AF0-B8DB-9490595405B3}"/>
    <cellStyle name="Currency 3 2 3 2 2 10" xfId="14753" xr:uid="{C17EAD71-6783-4D4A-81B4-32B406C2FB70}"/>
    <cellStyle name="Currency 3 2 3 2 2 2" xfId="1803" xr:uid="{5EAA0D1B-09A2-4A53-B0A0-3BC3DE6C1315}"/>
    <cellStyle name="Currency 3 2 3 2 2 2 2" xfId="3992" xr:uid="{E79BDB05-7E07-4087-B7A0-AB52174BEBA8}"/>
    <cellStyle name="Currency 3 2 3 2 2 2 2 2" xfId="5337" xr:uid="{0544EEB8-5C44-47DF-AA3B-07334A074C71}"/>
    <cellStyle name="Currency 3 2 3 2 2 2 2 2 2" xfId="6205" xr:uid="{4346CA61-DF1F-40CD-AF48-8B0DD55F9912}"/>
    <cellStyle name="Currency 3 2 3 2 2 2 2 2 2 2" xfId="9677" xr:uid="{B408F16D-0151-4811-88FC-8F8565AA17A7}"/>
    <cellStyle name="Currency 3 2 3 2 2 2 2 2 2 2 2" xfId="23728" xr:uid="{08259C10-EFA8-4903-A847-5800469F1266}"/>
    <cellStyle name="Currency 3 2 3 2 2 2 2 2 2 3" xfId="12281" xr:uid="{48EDC062-8177-4D20-BC26-A41218406BF3}"/>
    <cellStyle name="Currency 3 2 3 2 2 2 2 2 2 3 2" xfId="26332" xr:uid="{F35C514F-0307-4A63-865D-8968329E9B40}"/>
    <cellStyle name="Currency 3 2 3 2 2 2 2 2 2 4" xfId="20256" xr:uid="{D644B369-F0F6-4362-8248-67BDF0C73C04}"/>
    <cellStyle name="Currency 3 2 3 2 2 2 2 2 3" xfId="7073" xr:uid="{4B3858A8-54D0-40A9-82B7-21A9882B4054}"/>
    <cellStyle name="Currency 3 2 3 2 2 2 2 2 3 2" xfId="10545" xr:uid="{999BEB38-69F8-48EC-8955-09E01FFBC76B}"/>
    <cellStyle name="Currency 3 2 3 2 2 2 2 2 3 2 2" xfId="24596" xr:uid="{3E1C8980-A16B-4233-8458-DF31D552190F}"/>
    <cellStyle name="Currency 3 2 3 2 2 2 2 2 3 3" xfId="13149" xr:uid="{E69B69DE-3758-4660-8D55-CE117185DBB4}"/>
    <cellStyle name="Currency 3 2 3 2 2 2 2 2 3 3 2" xfId="27200" xr:uid="{B95A3A26-5899-405C-870A-428B158E7BCB}"/>
    <cellStyle name="Currency 3 2 3 2 2 2 2 2 3 4" xfId="21124" xr:uid="{F3A23D50-1300-4372-BFED-1B02056E6712}"/>
    <cellStyle name="Currency 3 2 3 2 2 2 2 2 4" xfId="8809" xr:uid="{8ADEC8DF-78F9-48E2-8C7F-4DA0ADB5B211}"/>
    <cellStyle name="Currency 3 2 3 2 2 2 2 2 4 2" xfId="14017" xr:uid="{00F532C6-2471-4123-A04D-5E0E2533EC0F}"/>
    <cellStyle name="Currency 3 2 3 2 2 2 2 2 4 2 2" xfId="28068" xr:uid="{42503E82-E883-470A-A5C9-D5CD8DB27242}"/>
    <cellStyle name="Currency 3 2 3 2 2 2 2 2 4 3" xfId="22860" xr:uid="{7975FA73-C7AE-4CD3-8442-371DA7671CD7}"/>
    <cellStyle name="Currency 3 2 3 2 2 2 2 2 5" xfId="7941" xr:uid="{334276D5-A43D-4DC5-9C96-3E63F1565BEF}"/>
    <cellStyle name="Currency 3 2 3 2 2 2 2 2 5 2" xfId="21992" xr:uid="{E5C17388-C255-4D8B-959B-7A546C0DD5F1}"/>
    <cellStyle name="Currency 3 2 3 2 2 2 2 2 6" xfId="11413" xr:uid="{4DB37B15-984D-4B17-A5B3-C2D6885FA7B1}"/>
    <cellStyle name="Currency 3 2 3 2 2 2 2 2 6 2" xfId="25464" xr:uid="{64B8C799-5000-440D-862F-82D862BAA366}"/>
    <cellStyle name="Currency 3 2 3 2 2 2 2 2 7" xfId="19388" xr:uid="{E57A51EF-9AEC-4415-A6DE-73B6753454BE}"/>
    <cellStyle name="Currency 3 2 3 2 2 2 2 3" xfId="5771" xr:uid="{EC2ED698-930F-4866-9B4F-3D8743AB0421}"/>
    <cellStyle name="Currency 3 2 3 2 2 2 2 3 2" xfId="9243" xr:uid="{8C6EDF43-AAAD-439E-99B9-AAF52146C3E4}"/>
    <cellStyle name="Currency 3 2 3 2 2 2 2 3 2 2" xfId="23294" xr:uid="{1FD8F34E-2C30-4D5E-9822-972554EDF6D9}"/>
    <cellStyle name="Currency 3 2 3 2 2 2 2 3 3" xfId="11847" xr:uid="{8F65B381-433A-4422-8608-49426EB7B9A6}"/>
    <cellStyle name="Currency 3 2 3 2 2 2 2 3 3 2" xfId="25898" xr:uid="{2F4222DC-3BA1-4429-9976-E9EACB3B9971}"/>
    <cellStyle name="Currency 3 2 3 2 2 2 2 3 4" xfId="19822" xr:uid="{3C93C380-E660-4AE8-88D5-EC3806E856CC}"/>
    <cellStyle name="Currency 3 2 3 2 2 2 2 4" xfId="6639" xr:uid="{33B845BE-4067-47D3-9CD8-14E17CBB2ABA}"/>
    <cellStyle name="Currency 3 2 3 2 2 2 2 4 2" xfId="10111" xr:uid="{81F044C3-1CF6-463E-9FC4-F657B3E21AE3}"/>
    <cellStyle name="Currency 3 2 3 2 2 2 2 4 2 2" xfId="24162" xr:uid="{D979B2A9-A1AB-4689-B5D2-97777A58015B}"/>
    <cellStyle name="Currency 3 2 3 2 2 2 2 4 3" xfId="12715" xr:uid="{C07B1640-24D3-4DD3-B9A9-7C57F89756F3}"/>
    <cellStyle name="Currency 3 2 3 2 2 2 2 4 3 2" xfId="26766" xr:uid="{8D115952-C6BA-4192-ABAC-9588B955838C}"/>
    <cellStyle name="Currency 3 2 3 2 2 2 2 4 4" xfId="20690" xr:uid="{4261E935-2338-4564-AAA0-A806F0503669}"/>
    <cellStyle name="Currency 3 2 3 2 2 2 2 5" xfId="8375" xr:uid="{9916D21A-33DA-435D-BF9C-48E5586458E5}"/>
    <cellStyle name="Currency 3 2 3 2 2 2 2 5 2" xfId="13583" xr:uid="{5D26AABA-4D05-43AF-A713-CF2D5D1E02E3}"/>
    <cellStyle name="Currency 3 2 3 2 2 2 2 5 2 2" xfId="27634" xr:uid="{25561E60-8936-4345-ACBF-FEC1E3ED9E22}"/>
    <cellStyle name="Currency 3 2 3 2 2 2 2 5 3" xfId="22426" xr:uid="{430DB84D-1333-4D92-889A-762187DF5611}"/>
    <cellStyle name="Currency 3 2 3 2 2 2 2 6" xfId="7507" xr:uid="{0987E8D9-172C-4CE9-9399-C3292897C94A}"/>
    <cellStyle name="Currency 3 2 3 2 2 2 2 6 2" xfId="21558" xr:uid="{E390A5AB-50EB-4AD3-8822-BF36E98FE4FC}"/>
    <cellStyle name="Currency 3 2 3 2 2 2 2 7" xfId="10979" xr:uid="{199514DC-3979-402B-8D6F-2E30EA63B940}"/>
    <cellStyle name="Currency 3 2 3 2 2 2 2 7 2" xfId="25030" xr:uid="{B4D04DAB-3BD9-470B-A14F-06142E6583FE}"/>
    <cellStyle name="Currency 3 2 3 2 2 2 2 8" xfId="18044" xr:uid="{52AADE62-C689-43D4-9438-EF450E1F86F5}"/>
    <cellStyle name="Currency 3 2 3 2 2 2 3" xfId="5147" xr:uid="{80EA2A05-8C10-450C-BB97-6C9FA396CA4B}"/>
    <cellStyle name="Currency 3 2 3 2 2 2 3 2" xfId="6015" xr:uid="{B5F05C3E-2478-43BD-A6C7-1F4F1DFE45FA}"/>
    <cellStyle name="Currency 3 2 3 2 2 2 3 2 2" xfId="9487" xr:uid="{E8A00A16-B174-4E17-B705-69961B26650B}"/>
    <cellStyle name="Currency 3 2 3 2 2 2 3 2 2 2" xfId="23538" xr:uid="{81F63D8F-23ED-4AAE-A9DD-D5C8CE0A5040}"/>
    <cellStyle name="Currency 3 2 3 2 2 2 3 2 3" xfId="12091" xr:uid="{85C9AA2C-71F9-45EE-AAC7-52759441F298}"/>
    <cellStyle name="Currency 3 2 3 2 2 2 3 2 3 2" xfId="26142" xr:uid="{5CB8AD38-B5F4-457D-A4DD-E23BB509DDFB}"/>
    <cellStyle name="Currency 3 2 3 2 2 2 3 2 4" xfId="20066" xr:uid="{4A532ECB-D84B-4907-8BE3-B3538ACC097E}"/>
    <cellStyle name="Currency 3 2 3 2 2 2 3 3" xfId="6883" xr:uid="{292B405F-DB8D-4F4E-A966-7DCD547C28B5}"/>
    <cellStyle name="Currency 3 2 3 2 2 2 3 3 2" xfId="10355" xr:uid="{D2977DA1-34BE-45C0-BB42-CB1A15C5C767}"/>
    <cellStyle name="Currency 3 2 3 2 2 2 3 3 2 2" xfId="24406" xr:uid="{22EA54A7-A4D2-4565-B6AD-CADEB7126AF1}"/>
    <cellStyle name="Currency 3 2 3 2 2 2 3 3 3" xfId="12959" xr:uid="{1ED36F4D-F091-4B76-AF1A-80B56819E769}"/>
    <cellStyle name="Currency 3 2 3 2 2 2 3 3 3 2" xfId="27010" xr:uid="{408E5E90-2B20-440D-B3F2-7A63102CF4E6}"/>
    <cellStyle name="Currency 3 2 3 2 2 2 3 3 4" xfId="20934" xr:uid="{CD48E458-D818-4683-8FD7-03CEFE2B5645}"/>
    <cellStyle name="Currency 3 2 3 2 2 2 3 4" xfId="8619" xr:uid="{DED93D06-070F-4182-8CE6-1FAE6D84D47B}"/>
    <cellStyle name="Currency 3 2 3 2 2 2 3 4 2" xfId="13827" xr:uid="{8F11C274-4CE3-4462-BDBB-F555E379DB46}"/>
    <cellStyle name="Currency 3 2 3 2 2 2 3 4 2 2" xfId="27878" xr:uid="{FDBC14DB-F165-4932-8E54-A37341BC525B}"/>
    <cellStyle name="Currency 3 2 3 2 2 2 3 4 3" xfId="22670" xr:uid="{663E24D3-047A-4405-B326-6801674DBC9E}"/>
    <cellStyle name="Currency 3 2 3 2 2 2 3 5" xfId="7751" xr:uid="{DBF0D523-A350-43BC-83E3-7885706EEA2C}"/>
    <cellStyle name="Currency 3 2 3 2 2 2 3 5 2" xfId="21802" xr:uid="{011ADCEA-DEC3-4480-908E-574F0C98C404}"/>
    <cellStyle name="Currency 3 2 3 2 2 2 3 6" xfId="11223" xr:uid="{77D56F93-ED47-45BB-BBD3-DA0663490471}"/>
    <cellStyle name="Currency 3 2 3 2 2 2 3 6 2" xfId="25274" xr:uid="{43B82ABB-7E1E-4487-963F-B361C7754FBC}"/>
    <cellStyle name="Currency 3 2 3 2 2 2 3 7" xfId="19198" xr:uid="{F0968DEE-D7F6-4F86-833F-376675F1F343}"/>
    <cellStyle name="Currency 3 2 3 2 2 2 4" xfId="5581" xr:uid="{0686CDF5-48CC-4057-84C3-D653667C4CFF}"/>
    <cellStyle name="Currency 3 2 3 2 2 2 4 2" xfId="9053" xr:uid="{983A4EF7-35B3-4D9D-85C1-0EA2CA47AED9}"/>
    <cellStyle name="Currency 3 2 3 2 2 2 4 2 2" xfId="23104" xr:uid="{31B67F79-2EF2-4F19-A7A5-4759535AD106}"/>
    <cellStyle name="Currency 3 2 3 2 2 2 4 3" xfId="11657" xr:uid="{5570675F-621A-4B15-AFA1-80795FF7952F}"/>
    <cellStyle name="Currency 3 2 3 2 2 2 4 3 2" xfId="25708" xr:uid="{57DED7A9-8569-430C-93CD-6B58BB0E15A4}"/>
    <cellStyle name="Currency 3 2 3 2 2 2 4 4" xfId="19632" xr:uid="{E033C3B1-153D-46FD-9B6F-0FECE640E81F}"/>
    <cellStyle name="Currency 3 2 3 2 2 2 5" xfId="6449" xr:uid="{0053F05C-6896-451B-8D58-DBCAFBDDA75C}"/>
    <cellStyle name="Currency 3 2 3 2 2 2 5 2" xfId="9921" xr:uid="{5F60FC64-D51B-4A98-8FDE-86875B20B875}"/>
    <cellStyle name="Currency 3 2 3 2 2 2 5 2 2" xfId="23972" xr:uid="{3F6D19F0-17B2-47E9-9F7C-02F46F9CEF9F}"/>
    <cellStyle name="Currency 3 2 3 2 2 2 5 3" xfId="12525" xr:uid="{E508BD87-5116-4736-9056-B194B81DCCF5}"/>
    <cellStyle name="Currency 3 2 3 2 2 2 5 3 2" xfId="26576" xr:uid="{54509EBF-CE36-40E6-B866-65878B9E631E}"/>
    <cellStyle name="Currency 3 2 3 2 2 2 5 4" xfId="20500" xr:uid="{A694FED6-72AB-43C9-BED8-DCFCE9CEFB8C}"/>
    <cellStyle name="Currency 3 2 3 2 2 2 6" xfId="8185" xr:uid="{664953F0-C7FD-4564-89DB-FA8EBBAE7041}"/>
    <cellStyle name="Currency 3 2 3 2 2 2 6 2" xfId="13393" xr:uid="{E110C75A-911C-4F75-B1E6-A3F7372E01B0}"/>
    <cellStyle name="Currency 3 2 3 2 2 2 6 2 2" xfId="27444" xr:uid="{99DB82CE-3445-46FD-AC0B-84D5B6790405}"/>
    <cellStyle name="Currency 3 2 3 2 2 2 6 3" xfId="22236" xr:uid="{914B22D4-5700-4639-AE96-864E9D58FC5C}"/>
    <cellStyle name="Currency 3 2 3 2 2 2 7" xfId="7317" xr:uid="{6CB103DC-257B-49EE-92B2-64DFE805B768}"/>
    <cellStyle name="Currency 3 2 3 2 2 2 7 2" xfId="21368" xr:uid="{3B346D03-58C9-4D7B-82B4-F59C6C5239A1}"/>
    <cellStyle name="Currency 3 2 3 2 2 2 8" xfId="10789" xr:uid="{70A5FA02-93B5-40E9-BD36-D7332689C880}"/>
    <cellStyle name="Currency 3 2 3 2 2 2 8 2" xfId="24840" xr:uid="{7624978E-53BF-41B0-B77C-82A8A8327BD1}"/>
    <cellStyle name="Currency 3 2 3 2 2 2 9" xfId="15852" xr:uid="{CA8AA645-B6B2-4B9F-86E5-CB7EFFB1C87B}"/>
    <cellStyle name="Currency 3 2 3 2 2 3" xfId="2894" xr:uid="{E07083DB-8D21-4F39-B8A0-75AAE201E9C9}"/>
    <cellStyle name="Currency 3 2 3 2 2 3 2" xfId="5241" xr:uid="{B7BC73E5-A238-4866-88EB-14C537C8BF42}"/>
    <cellStyle name="Currency 3 2 3 2 2 3 2 2" xfId="6109" xr:uid="{73F21B63-B51B-406F-9E12-9C803A5640A6}"/>
    <cellStyle name="Currency 3 2 3 2 2 3 2 2 2" xfId="9581" xr:uid="{5DEE8A60-1B90-497C-8A19-C75528EFB47E}"/>
    <cellStyle name="Currency 3 2 3 2 2 3 2 2 2 2" xfId="23632" xr:uid="{4A9EC67B-34DC-42E4-9753-0AC4A4D9B484}"/>
    <cellStyle name="Currency 3 2 3 2 2 3 2 2 3" xfId="12185" xr:uid="{C2C494EA-FF76-4F9C-BD07-9D09282F44F1}"/>
    <cellStyle name="Currency 3 2 3 2 2 3 2 2 3 2" xfId="26236" xr:uid="{AA91A4FC-7D68-4F37-8A5C-570DB06890A6}"/>
    <cellStyle name="Currency 3 2 3 2 2 3 2 2 4" xfId="20160" xr:uid="{4238F4B1-4895-4130-843D-D44D83CB4ACA}"/>
    <cellStyle name="Currency 3 2 3 2 2 3 2 3" xfId="6977" xr:uid="{646F1BA0-3F21-4531-855E-78303DDD544A}"/>
    <cellStyle name="Currency 3 2 3 2 2 3 2 3 2" xfId="10449" xr:uid="{3918F0C8-8C5A-44FA-9565-200CCD7CAF5B}"/>
    <cellStyle name="Currency 3 2 3 2 2 3 2 3 2 2" xfId="24500" xr:uid="{610FEB46-5CA8-48BE-B6D6-EA58A03E5618}"/>
    <cellStyle name="Currency 3 2 3 2 2 3 2 3 3" xfId="13053" xr:uid="{7B96ED1B-4CDB-4649-9682-39D4CC72416F}"/>
    <cellStyle name="Currency 3 2 3 2 2 3 2 3 3 2" xfId="27104" xr:uid="{9B107BFF-4B07-418C-B0D8-D2E925CBB2D6}"/>
    <cellStyle name="Currency 3 2 3 2 2 3 2 3 4" xfId="21028" xr:uid="{47435B8A-3577-4AD1-9263-AA0AB3D69332}"/>
    <cellStyle name="Currency 3 2 3 2 2 3 2 4" xfId="8713" xr:uid="{18C3AA4C-FCFB-4DC1-9AD9-7A73AB425B9B}"/>
    <cellStyle name="Currency 3 2 3 2 2 3 2 4 2" xfId="13921" xr:uid="{AF1538F0-724C-4E32-B368-6C35FDF8D008}"/>
    <cellStyle name="Currency 3 2 3 2 2 3 2 4 2 2" xfId="27972" xr:uid="{75F4AB5C-555B-4384-B090-7C110DB18B3B}"/>
    <cellStyle name="Currency 3 2 3 2 2 3 2 4 3" xfId="22764" xr:uid="{81DA79D8-71A2-44AA-BB81-D064289AF64C}"/>
    <cellStyle name="Currency 3 2 3 2 2 3 2 5" xfId="7845" xr:uid="{2DEF1506-0711-4DDA-BD1C-6FE9C64F7575}"/>
    <cellStyle name="Currency 3 2 3 2 2 3 2 5 2" xfId="21896" xr:uid="{6678BF07-FCDC-4D1B-9A95-FCFE59D9A8FF}"/>
    <cellStyle name="Currency 3 2 3 2 2 3 2 6" xfId="11317" xr:uid="{52B65031-FF67-40BA-BE77-305903C35D8A}"/>
    <cellStyle name="Currency 3 2 3 2 2 3 2 6 2" xfId="25368" xr:uid="{E0052A3E-F67D-4BA0-8C6C-C440E8642B36}"/>
    <cellStyle name="Currency 3 2 3 2 2 3 2 7" xfId="19292" xr:uid="{2B700118-EFD2-4F82-8B6D-1C2E1844FEC1}"/>
    <cellStyle name="Currency 3 2 3 2 2 3 3" xfId="5675" xr:uid="{68DA2B3B-FC59-492E-BCB4-845E0B5E34CE}"/>
    <cellStyle name="Currency 3 2 3 2 2 3 3 2" xfId="9147" xr:uid="{6FADC24C-6C61-4801-9792-5EAEFDF066CE}"/>
    <cellStyle name="Currency 3 2 3 2 2 3 3 2 2" xfId="23198" xr:uid="{29E0FED6-37BA-466C-94FC-F802D6FC2A00}"/>
    <cellStyle name="Currency 3 2 3 2 2 3 3 3" xfId="11751" xr:uid="{634A8BF6-80A0-4BEF-819B-35382CA19264}"/>
    <cellStyle name="Currency 3 2 3 2 2 3 3 3 2" xfId="25802" xr:uid="{0EF9AB59-5FBA-46B5-8F94-185AFA59F687}"/>
    <cellStyle name="Currency 3 2 3 2 2 3 3 4" xfId="19726" xr:uid="{400AF391-8664-4FA5-B7CD-C02BC6FBB82B}"/>
    <cellStyle name="Currency 3 2 3 2 2 3 4" xfId="6543" xr:uid="{A37888C6-071F-4D44-9697-C2B790CED584}"/>
    <cellStyle name="Currency 3 2 3 2 2 3 4 2" xfId="10015" xr:uid="{1728B38B-9A52-4259-BB2C-88D854C53353}"/>
    <cellStyle name="Currency 3 2 3 2 2 3 4 2 2" xfId="24066" xr:uid="{90F865AC-BFA7-4A96-9669-86E3F24F757F}"/>
    <cellStyle name="Currency 3 2 3 2 2 3 4 3" xfId="12619" xr:uid="{B76E739A-8B23-46CA-83A3-F987082F277C}"/>
    <cellStyle name="Currency 3 2 3 2 2 3 4 3 2" xfId="26670" xr:uid="{77364DC5-01DA-4FA6-BDBD-7D59477C85BB}"/>
    <cellStyle name="Currency 3 2 3 2 2 3 4 4" xfId="20594" xr:uid="{676C6634-73D9-4104-B65E-DD91D614FF37}"/>
    <cellStyle name="Currency 3 2 3 2 2 3 5" xfId="8279" xr:uid="{D6ED6820-DDE1-4B16-B077-CFD31CC1D57E}"/>
    <cellStyle name="Currency 3 2 3 2 2 3 5 2" xfId="13487" xr:uid="{01A18209-2579-4C98-A2B5-5E8E4EFF5859}"/>
    <cellStyle name="Currency 3 2 3 2 2 3 5 2 2" xfId="27538" xr:uid="{3E413439-6C52-40B3-9CAF-195D6DDAB040}"/>
    <cellStyle name="Currency 3 2 3 2 2 3 5 3" xfId="22330" xr:uid="{D7CDF423-95E9-4BA4-8F64-527036119ABD}"/>
    <cellStyle name="Currency 3 2 3 2 2 3 6" xfId="7411" xr:uid="{AE8E3B45-7608-4448-8E74-3849B45BC0AC}"/>
    <cellStyle name="Currency 3 2 3 2 2 3 6 2" xfId="21462" xr:uid="{045E6F17-2752-4E97-BFDD-BB095EF67C70}"/>
    <cellStyle name="Currency 3 2 3 2 2 3 7" xfId="10883" xr:uid="{ED3210BB-D862-4676-BFE4-DA4EF8E94F12}"/>
    <cellStyle name="Currency 3 2 3 2 2 3 7 2" xfId="24934" xr:uid="{7DF2BDEA-0A10-4C51-A41C-689B80C743E2}"/>
    <cellStyle name="Currency 3 2 3 2 2 3 8" xfId="16946" xr:uid="{277E843A-8526-468A-BDFD-875A75E78E72}"/>
    <cellStyle name="Currency 3 2 3 2 2 4" xfId="5049" xr:uid="{14A99892-66BD-432A-A821-42178DDD5351}"/>
    <cellStyle name="Currency 3 2 3 2 2 4 2" xfId="5917" xr:uid="{B57F82DF-09D6-484D-A5F1-EB3B60574252}"/>
    <cellStyle name="Currency 3 2 3 2 2 4 2 2" xfId="9389" xr:uid="{C111F27A-28E3-4517-B38D-D5B65C72F9D4}"/>
    <cellStyle name="Currency 3 2 3 2 2 4 2 2 2" xfId="23440" xr:uid="{E0AEAF4F-EABC-4AFB-B952-A69AD103B2BF}"/>
    <cellStyle name="Currency 3 2 3 2 2 4 2 3" xfId="11993" xr:uid="{1597895B-7FD9-4030-8177-D692D3F52AF3}"/>
    <cellStyle name="Currency 3 2 3 2 2 4 2 3 2" xfId="26044" xr:uid="{39AFD967-CA24-495B-9B63-2FDF2F186056}"/>
    <cellStyle name="Currency 3 2 3 2 2 4 2 4" xfId="19968" xr:uid="{3D4E808F-237A-411E-A76E-853073DCCDAE}"/>
    <cellStyle name="Currency 3 2 3 2 2 4 3" xfId="6785" xr:uid="{4FDA3E67-0432-4DB5-85B8-0617AF378784}"/>
    <cellStyle name="Currency 3 2 3 2 2 4 3 2" xfId="10257" xr:uid="{EF365E05-D9F2-425A-9EE2-75355B87D5F1}"/>
    <cellStyle name="Currency 3 2 3 2 2 4 3 2 2" xfId="24308" xr:uid="{CAFBA0F3-2F62-4AFD-B5CD-7317D2B0F0F0}"/>
    <cellStyle name="Currency 3 2 3 2 2 4 3 3" xfId="12861" xr:uid="{C83E71BB-5FAE-4416-A5D6-FDE12A9FB700}"/>
    <cellStyle name="Currency 3 2 3 2 2 4 3 3 2" xfId="26912" xr:uid="{4A51D54C-6BEC-45CC-AB70-6875FA37BE26}"/>
    <cellStyle name="Currency 3 2 3 2 2 4 3 4" xfId="20836" xr:uid="{C37C1081-F3D4-4C9D-BBF1-008FFCC12E0B}"/>
    <cellStyle name="Currency 3 2 3 2 2 4 4" xfId="8521" xr:uid="{6BA862FF-F976-4144-A2B1-C73ACD4E9958}"/>
    <cellStyle name="Currency 3 2 3 2 2 4 4 2" xfId="13729" xr:uid="{9136D6E7-DE3B-4887-9F25-A4A6E120FD1A}"/>
    <cellStyle name="Currency 3 2 3 2 2 4 4 2 2" xfId="27780" xr:uid="{CE106307-B3ED-4CBB-9D37-BBA2B3E5BC87}"/>
    <cellStyle name="Currency 3 2 3 2 2 4 4 3" xfId="22572" xr:uid="{3D08DFC8-C87B-4A31-BF28-190BEEB82E98}"/>
    <cellStyle name="Currency 3 2 3 2 2 4 5" xfId="7653" xr:uid="{0EFFF9F7-8508-4E62-9AF9-FC8923CBD996}"/>
    <cellStyle name="Currency 3 2 3 2 2 4 5 2" xfId="21704" xr:uid="{E7D32906-A22E-4B53-9A15-513B37889E29}"/>
    <cellStyle name="Currency 3 2 3 2 2 4 6" xfId="11125" xr:uid="{90130C15-7C70-4434-92CA-0AC82B1ED929}"/>
    <cellStyle name="Currency 3 2 3 2 2 4 6 2" xfId="25176" xr:uid="{FA551D73-649A-42DF-AA3A-186F85A10BB1}"/>
    <cellStyle name="Currency 3 2 3 2 2 4 7" xfId="19100" xr:uid="{B0152FDC-AA52-473B-AFF0-4C2307A73B18}"/>
    <cellStyle name="Currency 3 2 3 2 2 5" xfId="5483" xr:uid="{EF2B94D1-0AA8-4980-AB3E-08F65ED707A4}"/>
    <cellStyle name="Currency 3 2 3 2 2 5 2" xfId="8955" xr:uid="{919BE822-AD41-45DC-9708-7F1AD6989F34}"/>
    <cellStyle name="Currency 3 2 3 2 2 5 2 2" xfId="23006" xr:uid="{A739B18F-1D16-463B-B9A1-0D5464692940}"/>
    <cellStyle name="Currency 3 2 3 2 2 5 3" xfId="11559" xr:uid="{B952D0C1-F33C-4E3F-B168-C1CAC8A2401C}"/>
    <cellStyle name="Currency 3 2 3 2 2 5 3 2" xfId="25610" xr:uid="{5F9182AF-3372-45ED-B5E6-6BF3D480CE6C}"/>
    <cellStyle name="Currency 3 2 3 2 2 5 4" xfId="19534" xr:uid="{4C23ED76-6567-4CC1-9AA8-8A925E8BFC17}"/>
    <cellStyle name="Currency 3 2 3 2 2 6" xfId="6351" xr:uid="{CB840951-6EC5-4FC5-8C59-E3B8D0BFB1F6}"/>
    <cellStyle name="Currency 3 2 3 2 2 6 2" xfId="9823" xr:uid="{19021ED5-619D-465C-8F0F-6175D72C3771}"/>
    <cellStyle name="Currency 3 2 3 2 2 6 2 2" xfId="23874" xr:uid="{2D28C490-8B33-4A39-84F0-958D048576CD}"/>
    <cellStyle name="Currency 3 2 3 2 2 6 3" xfId="12427" xr:uid="{E9B43349-5D8A-4957-AE07-753E0D2D1404}"/>
    <cellStyle name="Currency 3 2 3 2 2 6 3 2" xfId="26478" xr:uid="{0D23CDB5-A0BF-465C-8A71-73130D918758}"/>
    <cellStyle name="Currency 3 2 3 2 2 6 4" xfId="20402" xr:uid="{1745F728-A8F5-4B2D-A9B1-DA33024B40D4}"/>
    <cellStyle name="Currency 3 2 3 2 2 7" xfId="8087" xr:uid="{4E40AEB1-8EF3-472B-860F-4B3AB3D2B329}"/>
    <cellStyle name="Currency 3 2 3 2 2 7 2" xfId="13295" xr:uid="{478E8D86-780E-4FBA-9BC0-700A4F1477B4}"/>
    <cellStyle name="Currency 3 2 3 2 2 7 2 2" xfId="27346" xr:uid="{193584C8-D49D-4457-A12F-FC5AD0249A07}"/>
    <cellStyle name="Currency 3 2 3 2 2 7 3" xfId="22138" xr:uid="{6CEA7BDE-02D8-4DC1-ADD5-E9EE78E6D959}"/>
    <cellStyle name="Currency 3 2 3 2 2 8" xfId="7219" xr:uid="{188F0973-CC84-40B8-BA7E-A1B41B89B2F6}"/>
    <cellStyle name="Currency 3 2 3 2 2 8 2" xfId="21270" xr:uid="{42681072-17C3-48A0-9CA4-6F28859E03ED}"/>
    <cellStyle name="Currency 3 2 3 2 2 9" xfId="10691" xr:uid="{ED84CB4F-1789-4DF2-ABD1-E46390957F19}"/>
    <cellStyle name="Currency 3 2 3 2 2 9 2" xfId="24742" xr:uid="{7E140FD7-E6FB-41FD-8EEC-655B54D0C24C}"/>
    <cellStyle name="Currency 3 2 3 2 3" xfId="1049" xr:uid="{4A0F3E87-5B8E-42FB-BCA2-700E98036FC2}"/>
    <cellStyle name="Currency 3 2 3 2 3 10" xfId="15099" xr:uid="{FCCDFAFF-0A27-449B-BDE9-E162C018BAB1}"/>
    <cellStyle name="Currency 3 2 3 2 3 2" xfId="2148" xr:uid="{BA77072F-1321-4647-ACDD-07091FDB68D4}"/>
    <cellStyle name="Currency 3 2 3 2 3 2 2" xfId="4337" xr:uid="{FAECAB71-9C93-413D-9FC2-5621E4EA0DF9}"/>
    <cellStyle name="Currency 3 2 3 2 3 2 2 2" xfId="5366" xr:uid="{5E90FFA0-FE42-4D9A-A79F-7A65CE0723E5}"/>
    <cellStyle name="Currency 3 2 3 2 3 2 2 2 2" xfId="6234" xr:uid="{E9BF01D6-3ADE-4DE8-A916-0C72A8768020}"/>
    <cellStyle name="Currency 3 2 3 2 3 2 2 2 2 2" xfId="9706" xr:uid="{5F43C2FE-FB83-4A3F-B7CE-12C978DACFC6}"/>
    <cellStyle name="Currency 3 2 3 2 3 2 2 2 2 2 2" xfId="23757" xr:uid="{E43D7706-9FD5-4C0E-8F34-0571B1D06187}"/>
    <cellStyle name="Currency 3 2 3 2 3 2 2 2 2 3" xfId="12310" xr:uid="{6C956981-F368-40E2-9DCD-DE2555D7FF59}"/>
    <cellStyle name="Currency 3 2 3 2 3 2 2 2 2 3 2" xfId="26361" xr:uid="{3F6423B0-5652-46F2-A7C5-36A4DD1D2564}"/>
    <cellStyle name="Currency 3 2 3 2 3 2 2 2 2 4" xfId="20285" xr:uid="{5A39E982-1203-4D1D-9559-6BC74B62A702}"/>
    <cellStyle name="Currency 3 2 3 2 3 2 2 2 3" xfId="7102" xr:uid="{37092FC1-1F37-4292-A966-BA3BE4AD6F43}"/>
    <cellStyle name="Currency 3 2 3 2 3 2 2 2 3 2" xfId="10574" xr:uid="{CB6D7D03-8D30-4A4B-9F19-2F91808E887B}"/>
    <cellStyle name="Currency 3 2 3 2 3 2 2 2 3 2 2" xfId="24625" xr:uid="{D96E6249-61AA-4074-964E-F2AF939EA62B}"/>
    <cellStyle name="Currency 3 2 3 2 3 2 2 2 3 3" xfId="13178" xr:uid="{4D82A82B-4C58-482D-92F8-A62E97832C6B}"/>
    <cellStyle name="Currency 3 2 3 2 3 2 2 2 3 3 2" xfId="27229" xr:uid="{45627B07-CC38-4E94-B4BA-156418FBFCF0}"/>
    <cellStyle name="Currency 3 2 3 2 3 2 2 2 3 4" xfId="21153" xr:uid="{04B8A592-31FF-43BB-AAEF-543485EC2ECB}"/>
    <cellStyle name="Currency 3 2 3 2 3 2 2 2 4" xfId="8838" xr:uid="{ED682319-BA92-42DA-8F61-4AD39B5692C4}"/>
    <cellStyle name="Currency 3 2 3 2 3 2 2 2 4 2" xfId="14046" xr:uid="{14DB3A17-45A9-4050-85BF-E0A6F7EBFBBE}"/>
    <cellStyle name="Currency 3 2 3 2 3 2 2 2 4 2 2" xfId="28097" xr:uid="{D858EF3F-C505-4DCF-BCFD-1618919DFFEF}"/>
    <cellStyle name="Currency 3 2 3 2 3 2 2 2 4 3" xfId="22889" xr:uid="{61114252-506F-45B9-9733-DF2DB3B132E6}"/>
    <cellStyle name="Currency 3 2 3 2 3 2 2 2 5" xfId="7970" xr:uid="{4D408A9C-395A-4951-A1FA-4C33D43ABC6D}"/>
    <cellStyle name="Currency 3 2 3 2 3 2 2 2 5 2" xfId="22021" xr:uid="{35401AA7-D198-46C0-BD22-E0D6002CB3DF}"/>
    <cellStyle name="Currency 3 2 3 2 3 2 2 2 6" xfId="11442" xr:uid="{7E7B8402-542E-4682-89E6-151A15895A08}"/>
    <cellStyle name="Currency 3 2 3 2 3 2 2 2 6 2" xfId="25493" xr:uid="{A24D0D86-4B94-47E4-9324-BE65812343DB}"/>
    <cellStyle name="Currency 3 2 3 2 3 2 2 2 7" xfId="19417" xr:uid="{FB7D2B26-5717-4A3C-8F95-D0AB6F3FEBFF}"/>
    <cellStyle name="Currency 3 2 3 2 3 2 2 3" xfId="5800" xr:uid="{20314E5B-8F57-4DB5-9BD3-4760C6ACC863}"/>
    <cellStyle name="Currency 3 2 3 2 3 2 2 3 2" xfId="9272" xr:uid="{142AC223-40C5-4F1C-AA03-8ACFDE09656B}"/>
    <cellStyle name="Currency 3 2 3 2 3 2 2 3 2 2" xfId="23323" xr:uid="{E67351A5-FEC0-4153-85E3-8F502C4DEE61}"/>
    <cellStyle name="Currency 3 2 3 2 3 2 2 3 3" xfId="11876" xr:uid="{A314C660-EC7B-4994-855B-2824CB7CAF50}"/>
    <cellStyle name="Currency 3 2 3 2 3 2 2 3 3 2" xfId="25927" xr:uid="{82BC933C-E9EE-4D61-937C-F64763A1D317}"/>
    <cellStyle name="Currency 3 2 3 2 3 2 2 3 4" xfId="19851" xr:uid="{EB50764E-5724-47E8-842A-51200D3EA190}"/>
    <cellStyle name="Currency 3 2 3 2 3 2 2 4" xfId="6668" xr:uid="{F9C434F1-13A4-4217-BE33-2E9682A5F40B}"/>
    <cellStyle name="Currency 3 2 3 2 3 2 2 4 2" xfId="10140" xr:uid="{BC144420-3152-4C46-96DD-43809E7875EB}"/>
    <cellStyle name="Currency 3 2 3 2 3 2 2 4 2 2" xfId="24191" xr:uid="{FBFCA7EF-E7A3-4B16-B4ED-DAE9EE2AE225}"/>
    <cellStyle name="Currency 3 2 3 2 3 2 2 4 3" xfId="12744" xr:uid="{2039755C-B2AA-4084-9A48-013E9ACC0EF8}"/>
    <cellStyle name="Currency 3 2 3 2 3 2 2 4 3 2" xfId="26795" xr:uid="{EEB12F9C-DA15-4DEE-9678-0F4422735E66}"/>
    <cellStyle name="Currency 3 2 3 2 3 2 2 4 4" xfId="20719" xr:uid="{48CEAB5C-C36B-405B-8825-6E1664B59531}"/>
    <cellStyle name="Currency 3 2 3 2 3 2 2 5" xfId="8404" xr:uid="{05BC3275-6E30-4D3E-8468-43EF5B528337}"/>
    <cellStyle name="Currency 3 2 3 2 3 2 2 5 2" xfId="13612" xr:uid="{6EF01E26-5F8D-4531-9B67-A134762BE44C}"/>
    <cellStyle name="Currency 3 2 3 2 3 2 2 5 2 2" xfId="27663" xr:uid="{6FC13015-3C75-469E-9F4F-CFB56858D145}"/>
    <cellStyle name="Currency 3 2 3 2 3 2 2 5 3" xfId="22455" xr:uid="{5336A19B-E800-47E6-9596-B3A580FBE09C}"/>
    <cellStyle name="Currency 3 2 3 2 3 2 2 6" xfId="7536" xr:uid="{98EB91B9-9CE7-4907-9ABF-16165FB9BC33}"/>
    <cellStyle name="Currency 3 2 3 2 3 2 2 6 2" xfId="21587" xr:uid="{AB33F991-E278-4F56-B27E-41A157878F95}"/>
    <cellStyle name="Currency 3 2 3 2 3 2 2 7" xfId="11008" xr:uid="{E1DC4DC7-96DF-454F-99E0-BC2E650473E0}"/>
    <cellStyle name="Currency 3 2 3 2 3 2 2 7 2" xfId="25059" xr:uid="{C8014294-E672-4D82-A9F3-A02847477B8E}"/>
    <cellStyle name="Currency 3 2 3 2 3 2 2 8" xfId="18387" xr:uid="{F727D14B-CE99-4EBE-B2B1-C028C217A05E}"/>
    <cellStyle name="Currency 3 2 3 2 3 2 3" xfId="5176" xr:uid="{96431FB2-113B-40F3-9335-5CB37DFE4DDC}"/>
    <cellStyle name="Currency 3 2 3 2 3 2 3 2" xfId="6044" xr:uid="{E4EAB3CC-3621-40EA-AF9B-FE591C15A359}"/>
    <cellStyle name="Currency 3 2 3 2 3 2 3 2 2" xfId="9516" xr:uid="{05D73E72-2233-417D-8257-27A161CA26EC}"/>
    <cellStyle name="Currency 3 2 3 2 3 2 3 2 2 2" xfId="23567" xr:uid="{63333F04-2224-472D-9BB8-44E304586E0F}"/>
    <cellStyle name="Currency 3 2 3 2 3 2 3 2 3" xfId="12120" xr:uid="{5A3646BE-F53D-4467-972C-C4E78C2B3097}"/>
    <cellStyle name="Currency 3 2 3 2 3 2 3 2 3 2" xfId="26171" xr:uid="{0491F8DF-FA21-4197-85F9-D094D728EE94}"/>
    <cellStyle name="Currency 3 2 3 2 3 2 3 2 4" xfId="20095" xr:uid="{C8628A30-CF83-445A-B305-ECD88607556D}"/>
    <cellStyle name="Currency 3 2 3 2 3 2 3 3" xfId="6912" xr:uid="{F75E8CDB-FF9F-499E-B146-C0C81384D940}"/>
    <cellStyle name="Currency 3 2 3 2 3 2 3 3 2" xfId="10384" xr:uid="{7EE02DB3-604D-4D54-899D-31CB41693CC6}"/>
    <cellStyle name="Currency 3 2 3 2 3 2 3 3 2 2" xfId="24435" xr:uid="{A2426B24-4AFC-448D-8E42-DB4BE68A23F6}"/>
    <cellStyle name="Currency 3 2 3 2 3 2 3 3 3" xfId="12988" xr:uid="{B2BC0467-3518-4F32-9217-4A4DFF1C09CB}"/>
    <cellStyle name="Currency 3 2 3 2 3 2 3 3 3 2" xfId="27039" xr:uid="{7535F048-703E-4B6E-8748-8CA2E5313AFD}"/>
    <cellStyle name="Currency 3 2 3 2 3 2 3 3 4" xfId="20963" xr:uid="{6FD91F6C-BABE-4234-BE2F-7787EA984D08}"/>
    <cellStyle name="Currency 3 2 3 2 3 2 3 4" xfId="8648" xr:uid="{0F606ECD-205B-4755-A33D-E8878425F2E5}"/>
    <cellStyle name="Currency 3 2 3 2 3 2 3 4 2" xfId="13856" xr:uid="{8C31C42D-5BE3-46DF-A441-CF2205843A35}"/>
    <cellStyle name="Currency 3 2 3 2 3 2 3 4 2 2" xfId="27907" xr:uid="{8B7A082F-FF85-4321-9C03-731BF271A122}"/>
    <cellStyle name="Currency 3 2 3 2 3 2 3 4 3" xfId="22699" xr:uid="{AA751343-1D5F-4D36-ABBD-E63FEDB33A1E}"/>
    <cellStyle name="Currency 3 2 3 2 3 2 3 5" xfId="7780" xr:uid="{BABAF9EC-C863-40A4-90E4-FF71B3F8B35F}"/>
    <cellStyle name="Currency 3 2 3 2 3 2 3 5 2" xfId="21831" xr:uid="{46FC7D8F-EA13-4A17-8DA6-76C2A6059D65}"/>
    <cellStyle name="Currency 3 2 3 2 3 2 3 6" xfId="11252" xr:uid="{1CD21814-0E09-40CB-BCA0-ACD428A0E317}"/>
    <cellStyle name="Currency 3 2 3 2 3 2 3 6 2" xfId="25303" xr:uid="{DC6EFC72-7F7C-4705-95D4-1ECD3581A629}"/>
    <cellStyle name="Currency 3 2 3 2 3 2 3 7" xfId="19227" xr:uid="{616BCEB6-FE0F-4800-813D-8B3F992EE543}"/>
    <cellStyle name="Currency 3 2 3 2 3 2 4" xfId="5610" xr:uid="{EA8E7706-D241-401A-A4E7-FFA6D5D77242}"/>
    <cellStyle name="Currency 3 2 3 2 3 2 4 2" xfId="9082" xr:uid="{C52FB5F5-4BFE-4EB6-A063-1AF61AC0932D}"/>
    <cellStyle name="Currency 3 2 3 2 3 2 4 2 2" xfId="23133" xr:uid="{AE46C16E-A367-432A-BBD9-99EACFABD781}"/>
    <cellStyle name="Currency 3 2 3 2 3 2 4 3" xfId="11686" xr:uid="{F3684288-6FFD-49E4-90A9-2C2F34270185}"/>
    <cellStyle name="Currency 3 2 3 2 3 2 4 3 2" xfId="25737" xr:uid="{82F8313D-BCE1-4671-ACDA-078322996316}"/>
    <cellStyle name="Currency 3 2 3 2 3 2 4 4" xfId="19661" xr:uid="{47F1E1FE-A547-477D-9174-4FE9E96111D7}"/>
    <cellStyle name="Currency 3 2 3 2 3 2 5" xfId="6478" xr:uid="{90A6027F-55E1-49A5-B0B3-B24DB2A32CAE}"/>
    <cellStyle name="Currency 3 2 3 2 3 2 5 2" xfId="9950" xr:uid="{767EEE8F-5C30-4417-B94E-C21EB4042A48}"/>
    <cellStyle name="Currency 3 2 3 2 3 2 5 2 2" xfId="24001" xr:uid="{170C38CA-0EFB-4F6D-ACD0-8B59D5DFA68F}"/>
    <cellStyle name="Currency 3 2 3 2 3 2 5 3" xfId="12554" xr:uid="{0BBD00BD-66A0-4B6C-8B48-E7C76E2BD05D}"/>
    <cellStyle name="Currency 3 2 3 2 3 2 5 3 2" xfId="26605" xr:uid="{DAB47D11-0CDB-45BB-8906-CC563A868AF4}"/>
    <cellStyle name="Currency 3 2 3 2 3 2 5 4" xfId="20529" xr:uid="{E0DD15B3-CB95-4F6C-A8DA-EF8AAA468C01}"/>
    <cellStyle name="Currency 3 2 3 2 3 2 6" xfId="8214" xr:uid="{D2CB6C50-E6C2-4511-AD90-337A626BDD1D}"/>
    <cellStyle name="Currency 3 2 3 2 3 2 6 2" xfId="13422" xr:uid="{5A6AE7C1-43F4-430E-BFCC-0157B2C7DAEC}"/>
    <cellStyle name="Currency 3 2 3 2 3 2 6 2 2" xfId="27473" xr:uid="{987CB735-BB49-44CF-9345-C992A873CA66}"/>
    <cellStyle name="Currency 3 2 3 2 3 2 6 3" xfId="22265" xr:uid="{3C8E235E-26EA-4004-AD42-76E4CC84DF05}"/>
    <cellStyle name="Currency 3 2 3 2 3 2 7" xfId="7346" xr:uid="{FA18B84A-04C2-41CB-B5E1-CBA14E74E5EB}"/>
    <cellStyle name="Currency 3 2 3 2 3 2 7 2" xfId="21397" xr:uid="{68F092FA-6D89-4F75-BC11-349A01FAC39F}"/>
    <cellStyle name="Currency 3 2 3 2 3 2 8" xfId="10818" xr:uid="{E59AA3BD-9F4E-4F3B-8C3C-3852A0521A4A}"/>
    <cellStyle name="Currency 3 2 3 2 3 2 8 2" xfId="24869" xr:uid="{8ABBB408-A6CB-4C2F-9E8B-57B559BA80C8}"/>
    <cellStyle name="Currency 3 2 3 2 3 2 9" xfId="16197" xr:uid="{10C1E4C2-30DE-4C36-A44B-8F37379620F3}"/>
    <cellStyle name="Currency 3 2 3 2 3 3" xfId="3241" xr:uid="{28B4153C-AA7C-49E7-8D72-A8462E993D95}"/>
    <cellStyle name="Currency 3 2 3 2 3 3 2" xfId="5271" xr:uid="{F7EBCD09-4F15-4E4B-9E21-EC8CBFE546E8}"/>
    <cellStyle name="Currency 3 2 3 2 3 3 2 2" xfId="6139" xr:uid="{F60B3591-376B-433C-8636-078BEADC9273}"/>
    <cellStyle name="Currency 3 2 3 2 3 3 2 2 2" xfId="9611" xr:uid="{12C6BB56-0713-45C8-AC00-6D938991E2A3}"/>
    <cellStyle name="Currency 3 2 3 2 3 3 2 2 2 2" xfId="23662" xr:uid="{63181A24-356B-4FD3-BFE7-A96E7D85DA2D}"/>
    <cellStyle name="Currency 3 2 3 2 3 3 2 2 3" xfId="12215" xr:uid="{ED87B924-BE8D-4769-92D8-EFCAE0550804}"/>
    <cellStyle name="Currency 3 2 3 2 3 3 2 2 3 2" xfId="26266" xr:uid="{CA3B4D6D-24AE-47CE-9885-9D5D3FD9D270}"/>
    <cellStyle name="Currency 3 2 3 2 3 3 2 2 4" xfId="20190" xr:uid="{FF6ECFA9-5876-4F3B-955E-E08541C660BD}"/>
    <cellStyle name="Currency 3 2 3 2 3 3 2 3" xfId="7007" xr:uid="{F4E04288-FE48-4B40-AF2B-E17DB95E025F}"/>
    <cellStyle name="Currency 3 2 3 2 3 3 2 3 2" xfId="10479" xr:uid="{44A438EF-3963-4593-83AC-762241357671}"/>
    <cellStyle name="Currency 3 2 3 2 3 3 2 3 2 2" xfId="24530" xr:uid="{E15FF207-CC5B-4E33-9CD8-F1F279326DAB}"/>
    <cellStyle name="Currency 3 2 3 2 3 3 2 3 3" xfId="13083" xr:uid="{A5ED80C4-7E8E-42A6-832B-C77E0237A1A1}"/>
    <cellStyle name="Currency 3 2 3 2 3 3 2 3 3 2" xfId="27134" xr:uid="{9CB7098F-41C3-452C-9E27-16942D443E8A}"/>
    <cellStyle name="Currency 3 2 3 2 3 3 2 3 4" xfId="21058" xr:uid="{0CDAC30C-4FB7-479C-8007-F18812D5CDB3}"/>
    <cellStyle name="Currency 3 2 3 2 3 3 2 4" xfId="8743" xr:uid="{D8AF444A-8FA7-4304-98B2-F82A6014E618}"/>
    <cellStyle name="Currency 3 2 3 2 3 3 2 4 2" xfId="13951" xr:uid="{E00034F8-0F76-445B-A739-77054A344FDD}"/>
    <cellStyle name="Currency 3 2 3 2 3 3 2 4 2 2" xfId="28002" xr:uid="{65EB47A0-99D3-4E8C-A82F-D565FDA923A0}"/>
    <cellStyle name="Currency 3 2 3 2 3 3 2 4 3" xfId="22794" xr:uid="{9B4EE392-E7DE-42B7-9A41-4727F5D50E63}"/>
    <cellStyle name="Currency 3 2 3 2 3 3 2 5" xfId="7875" xr:uid="{587974A0-1DCD-479E-8E88-4708843E6ECD}"/>
    <cellStyle name="Currency 3 2 3 2 3 3 2 5 2" xfId="21926" xr:uid="{3AE1A0EA-C6DE-4E37-9EE4-7F783C93A890}"/>
    <cellStyle name="Currency 3 2 3 2 3 3 2 6" xfId="11347" xr:uid="{C3AE0ACF-8316-4CFC-97F7-6324B6CCDA9C}"/>
    <cellStyle name="Currency 3 2 3 2 3 3 2 6 2" xfId="25398" xr:uid="{E3F19E22-B1CE-4652-87AF-27BE99AD6D7B}"/>
    <cellStyle name="Currency 3 2 3 2 3 3 2 7" xfId="19322" xr:uid="{E962B090-CA76-4B1E-9678-9B17F9F58C4C}"/>
    <cellStyle name="Currency 3 2 3 2 3 3 3" xfId="5705" xr:uid="{E86CCEB7-320C-447C-AA6D-21E66DB71B15}"/>
    <cellStyle name="Currency 3 2 3 2 3 3 3 2" xfId="9177" xr:uid="{0B270A3F-1650-4228-9A94-2624D9D9781D}"/>
    <cellStyle name="Currency 3 2 3 2 3 3 3 2 2" xfId="23228" xr:uid="{9CE429A7-E03F-4A4F-8F81-134DA64FD856}"/>
    <cellStyle name="Currency 3 2 3 2 3 3 3 3" xfId="11781" xr:uid="{A56105BD-179C-423F-A51C-E66ABFA67704}"/>
    <cellStyle name="Currency 3 2 3 2 3 3 3 3 2" xfId="25832" xr:uid="{1EA34BAC-1736-4072-926A-4D521359174B}"/>
    <cellStyle name="Currency 3 2 3 2 3 3 3 4" xfId="19756" xr:uid="{B7B51202-4A9B-4A06-8DF4-46F650D56F90}"/>
    <cellStyle name="Currency 3 2 3 2 3 3 4" xfId="6573" xr:uid="{A0E51FE2-51D0-4D15-92FA-46E120CEAD47}"/>
    <cellStyle name="Currency 3 2 3 2 3 3 4 2" xfId="10045" xr:uid="{0DC01FC0-ED95-4525-B899-EEDE9DC67278}"/>
    <cellStyle name="Currency 3 2 3 2 3 3 4 2 2" xfId="24096" xr:uid="{665DFAE3-A9B3-47E2-8FA5-3207CE7943BB}"/>
    <cellStyle name="Currency 3 2 3 2 3 3 4 3" xfId="12649" xr:uid="{0C088635-CDA5-4BA6-BA88-4189D041BB2D}"/>
    <cellStyle name="Currency 3 2 3 2 3 3 4 3 2" xfId="26700" xr:uid="{633D3557-932D-499B-BBBA-0C50AAE2530A}"/>
    <cellStyle name="Currency 3 2 3 2 3 3 4 4" xfId="20624" xr:uid="{314E0CEA-ED71-472C-AE25-0EC489F9AAA6}"/>
    <cellStyle name="Currency 3 2 3 2 3 3 5" xfId="8309" xr:uid="{8C0B1701-7112-48EC-8B69-AE3A32B33BD9}"/>
    <cellStyle name="Currency 3 2 3 2 3 3 5 2" xfId="13517" xr:uid="{B8BE992A-EDD1-43A7-B167-E27830048961}"/>
    <cellStyle name="Currency 3 2 3 2 3 3 5 2 2" xfId="27568" xr:uid="{8B9EBD86-3E8E-44CD-A2AC-61B6B0046045}"/>
    <cellStyle name="Currency 3 2 3 2 3 3 5 3" xfId="22360" xr:uid="{99155B09-4D0B-4AC4-91E5-85E47CCF01B8}"/>
    <cellStyle name="Currency 3 2 3 2 3 3 6" xfId="7441" xr:uid="{C4D492BA-2B07-40C8-A25A-5D4FD19847A5}"/>
    <cellStyle name="Currency 3 2 3 2 3 3 6 2" xfId="21492" xr:uid="{0E40B569-D6C9-4A67-BFD1-2F58B7D38C99}"/>
    <cellStyle name="Currency 3 2 3 2 3 3 7" xfId="10913" xr:uid="{371D7BF9-46FD-4B08-B880-2DBFDF6427AF}"/>
    <cellStyle name="Currency 3 2 3 2 3 3 7 2" xfId="24964" xr:uid="{0F1D682E-7375-4216-A3E4-B22D777C5345}"/>
    <cellStyle name="Currency 3 2 3 2 3 3 8" xfId="17293" xr:uid="{CC094CF5-FE62-4589-B075-DEE7689280D0}"/>
    <cellStyle name="Currency 3 2 3 2 3 4" xfId="5079" xr:uid="{CD408DBF-5BDD-4EC1-B171-AC72956B762F}"/>
    <cellStyle name="Currency 3 2 3 2 3 4 2" xfId="5947" xr:uid="{E341A949-3840-44ED-92D6-47520D9216B7}"/>
    <cellStyle name="Currency 3 2 3 2 3 4 2 2" xfId="9419" xr:uid="{D79D100A-088F-4E71-B665-E13E9601C3A1}"/>
    <cellStyle name="Currency 3 2 3 2 3 4 2 2 2" xfId="23470" xr:uid="{0B069754-4F76-4DC1-B8D3-A68F14961B1F}"/>
    <cellStyle name="Currency 3 2 3 2 3 4 2 3" xfId="12023" xr:uid="{7B37017B-2918-476B-B3C5-F4E2A2B9FEA1}"/>
    <cellStyle name="Currency 3 2 3 2 3 4 2 3 2" xfId="26074" xr:uid="{CD61BEC3-901B-40E3-AEFF-C5E3678A4CA7}"/>
    <cellStyle name="Currency 3 2 3 2 3 4 2 4" xfId="19998" xr:uid="{1FC0FEF5-D069-4D7E-BA51-83808CC63210}"/>
    <cellStyle name="Currency 3 2 3 2 3 4 3" xfId="6815" xr:uid="{E6103E42-BA92-457F-AC70-1952E3E456D1}"/>
    <cellStyle name="Currency 3 2 3 2 3 4 3 2" xfId="10287" xr:uid="{BD3891D9-DD0E-4768-A02E-A2CC3793F479}"/>
    <cellStyle name="Currency 3 2 3 2 3 4 3 2 2" xfId="24338" xr:uid="{78018692-198C-44F5-BE90-F7F82EB59BB5}"/>
    <cellStyle name="Currency 3 2 3 2 3 4 3 3" xfId="12891" xr:uid="{1EC1D4C9-1BBF-4BE3-8717-604DA38F7EC5}"/>
    <cellStyle name="Currency 3 2 3 2 3 4 3 3 2" xfId="26942" xr:uid="{8961EDEE-8C19-4751-B02A-65454FDE5170}"/>
    <cellStyle name="Currency 3 2 3 2 3 4 3 4" xfId="20866" xr:uid="{BE93C902-C94E-4E86-96E4-9F54C8750BAF}"/>
    <cellStyle name="Currency 3 2 3 2 3 4 4" xfId="8551" xr:uid="{34395CD9-C8F9-479A-AC74-88631391E5AA}"/>
    <cellStyle name="Currency 3 2 3 2 3 4 4 2" xfId="13759" xr:uid="{605B7F3F-282C-42E6-8938-8B6FA02C2885}"/>
    <cellStyle name="Currency 3 2 3 2 3 4 4 2 2" xfId="27810" xr:uid="{BAD0E408-6CCE-455A-AC60-48EDE7192DAD}"/>
    <cellStyle name="Currency 3 2 3 2 3 4 4 3" xfId="22602" xr:uid="{5D8BF032-5BD8-4938-8D6B-0B8F586F37DA}"/>
    <cellStyle name="Currency 3 2 3 2 3 4 5" xfId="7683" xr:uid="{528207BE-EC50-499F-A2ED-827626E816C3}"/>
    <cellStyle name="Currency 3 2 3 2 3 4 5 2" xfId="21734" xr:uid="{515C4B5D-AC4E-4094-8735-2D9BF42ECAA2}"/>
    <cellStyle name="Currency 3 2 3 2 3 4 6" xfId="11155" xr:uid="{A0E85520-78CB-4FAD-B49E-38D56F89F0D4}"/>
    <cellStyle name="Currency 3 2 3 2 3 4 6 2" xfId="25206" xr:uid="{E50C4DD3-6831-46AF-BB67-9FA818D6E2A7}"/>
    <cellStyle name="Currency 3 2 3 2 3 4 7" xfId="19130" xr:uid="{F13457EF-37D7-4965-8021-45B6AFFBE11A}"/>
    <cellStyle name="Currency 3 2 3 2 3 5" xfId="5513" xr:uid="{4B967B33-39BF-4C92-B88F-22689CCDFD77}"/>
    <cellStyle name="Currency 3 2 3 2 3 5 2" xfId="8985" xr:uid="{830F8EE1-6110-4533-808C-FA9FECF9C25A}"/>
    <cellStyle name="Currency 3 2 3 2 3 5 2 2" xfId="23036" xr:uid="{E075E2E7-6976-4ED6-8EA1-06FD7751CA4B}"/>
    <cellStyle name="Currency 3 2 3 2 3 5 3" xfId="11589" xr:uid="{4CE20860-18C4-432E-B47F-2E45C5B4B264}"/>
    <cellStyle name="Currency 3 2 3 2 3 5 3 2" xfId="25640" xr:uid="{8AA398A8-5F29-4C29-AFCB-28674FE2071D}"/>
    <cellStyle name="Currency 3 2 3 2 3 5 4" xfId="19564" xr:uid="{1EE90C06-2840-44D0-834D-CD6A8C1C7F79}"/>
    <cellStyle name="Currency 3 2 3 2 3 6" xfId="6381" xr:uid="{D95DAD88-691C-4969-932F-E035E409A0AE}"/>
    <cellStyle name="Currency 3 2 3 2 3 6 2" xfId="9853" xr:uid="{535A32D4-B1B6-4494-AC53-CCF29C2EFBA0}"/>
    <cellStyle name="Currency 3 2 3 2 3 6 2 2" xfId="23904" xr:uid="{25AD3B0B-4C55-4B26-91F4-233CCD15DE50}"/>
    <cellStyle name="Currency 3 2 3 2 3 6 3" xfId="12457" xr:uid="{F7CD8E45-695D-420E-878C-D71C50E0C047}"/>
    <cellStyle name="Currency 3 2 3 2 3 6 3 2" xfId="26508" xr:uid="{59CE9C74-DFF8-47E6-83E0-FA1A25F69D5E}"/>
    <cellStyle name="Currency 3 2 3 2 3 6 4" xfId="20432" xr:uid="{313208B6-1D72-42C5-9C20-6F901C17AF7C}"/>
    <cellStyle name="Currency 3 2 3 2 3 7" xfId="8117" xr:uid="{2A80B17A-2BC2-4665-8A88-DB70F7BECCF9}"/>
    <cellStyle name="Currency 3 2 3 2 3 7 2" xfId="13325" xr:uid="{85200019-5286-4B47-8056-6DFE6FA81567}"/>
    <cellStyle name="Currency 3 2 3 2 3 7 2 2" xfId="27376" xr:uid="{970F5EB3-F1F6-4C25-9C83-AFDA691CF192}"/>
    <cellStyle name="Currency 3 2 3 2 3 7 3" xfId="22168" xr:uid="{00210BAA-E4BA-4F19-811B-9DEEDEAC8914}"/>
    <cellStyle name="Currency 3 2 3 2 3 8" xfId="7249" xr:uid="{402E6062-84DD-4AA6-86D9-4ED8A37326A3}"/>
    <cellStyle name="Currency 3 2 3 2 3 8 2" xfId="21300" xr:uid="{4C978454-C887-47E4-A99F-AD978B501905}"/>
    <cellStyle name="Currency 3 2 3 2 3 9" xfId="10721" xr:uid="{AFC05366-2C07-4AD0-AFBB-BAB84F1E1C36}"/>
    <cellStyle name="Currency 3 2 3 2 3 9 2" xfId="24772" xr:uid="{9F62455E-1D52-42B0-AF27-29D68A8113AC}"/>
    <cellStyle name="Currency 3 2 3 2 4" xfId="1629" xr:uid="{67C002C6-8372-40E4-83A7-65D3A6FD7AB1}"/>
    <cellStyle name="Currency 3 2 3 2 4 2" xfId="3819" xr:uid="{AAB4D368-BFB3-4AA4-BA3B-BAC8FEE13802}"/>
    <cellStyle name="Currency 3 2 3 2 4 2 2" xfId="5322" xr:uid="{B62EE525-0301-4F85-942E-58088894CB57}"/>
    <cellStyle name="Currency 3 2 3 2 4 2 2 2" xfId="6190" xr:uid="{7D33F06E-DFCD-4BCF-B5FB-D0F31C0C5044}"/>
    <cellStyle name="Currency 3 2 3 2 4 2 2 2 2" xfId="9662" xr:uid="{D00169CE-536D-403E-8136-AB999B0DECE4}"/>
    <cellStyle name="Currency 3 2 3 2 4 2 2 2 2 2" xfId="23713" xr:uid="{14DE4459-0A17-468D-A9A1-957C761CE87F}"/>
    <cellStyle name="Currency 3 2 3 2 4 2 2 2 3" xfId="12266" xr:uid="{67A7DD29-1614-486D-9AC8-A902FBA66268}"/>
    <cellStyle name="Currency 3 2 3 2 4 2 2 2 3 2" xfId="26317" xr:uid="{DBD5442C-BAA1-4DDB-977D-9A7D246B6383}"/>
    <cellStyle name="Currency 3 2 3 2 4 2 2 2 4" xfId="20241" xr:uid="{5D383D2F-EAB2-4848-A99E-868F0B9641DA}"/>
    <cellStyle name="Currency 3 2 3 2 4 2 2 3" xfId="7058" xr:uid="{4ECDA4AE-2E03-4033-94B6-23DFF0B00951}"/>
    <cellStyle name="Currency 3 2 3 2 4 2 2 3 2" xfId="10530" xr:uid="{B1865D21-BA99-45D7-96A8-6664C707D3B6}"/>
    <cellStyle name="Currency 3 2 3 2 4 2 2 3 2 2" xfId="24581" xr:uid="{B618CD5A-FC99-4D27-8316-2DCB9F0D6921}"/>
    <cellStyle name="Currency 3 2 3 2 4 2 2 3 3" xfId="13134" xr:uid="{C25714EF-425F-4808-8416-DD667416815A}"/>
    <cellStyle name="Currency 3 2 3 2 4 2 2 3 3 2" xfId="27185" xr:uid="{DD6A99DC-68A8-4089-89AC-C68096912E00}"/>
    <cellStyle name="Currency 3 2 3 2 4 2 2 3 4" xfId="21109" xr:uid="{75A0D0A9-F22F-4947-9579-3AB7113CEDD8}"/>
    <cellStyle name="Currency 3 2 3 2 4 2 2 4" xfId="8794" xr:uid="{B207838A-1C1B-49B9-AF2D-D3A5B669D40C}"/>
    <cellStyle name="Currency 3 2 3 2 4 2 2 4 2" xfId="14002" xr:uid="{72CC7D93-962C-427D-9CE8-E5D617FBC431}"/>
    <cellStyle name="Currency 3 2 3 2 4 2 2 4 2 2" xfId="28053" xr:uid="{4D01E7E7-7570-42FE-9683-33D8B22B5501}"/>
    <cellStyle name="Currency 3 2 3 2 4 2 2 4 3" xfId="22845" xr:uid="{E3EFEC34-A038-4219-A987-A92486B625B6}"/>
    <cellStyle name="Currency 3 2 3 2 4 2 2 5" xfId="7926" xr:uid="{D9A57F32-B971-4C1A-8874-83DA6A50BB72}"/>
    <cellStyle name="Currency 3 2 3 2 4 2 2 5 2" xfId="21977" xr:uid="{86C41ECC-4D18-47A8-B9CF-A9AF7832EDC3}"/>
    <cellStyle name="Currency 3 2 3 2 4 2 2 6" xfId="11398" xr:uid="{BC1D7881-93D6-40DD-83BC-C7D0CCDAA9AA}"/>
    <cellStyle name="Currency 3 2 3 2 4 2 2 6 2" xfId="25449" xr:uid="{D33642F8-1AEB-4E28-B4C6-DE491CA50192}"/>
    <cellStyle name="Currency 3 2 3 2 4 2 2 7" xfId="19373" xr:uid="{14F53D8E-3749-4172-B951-F161526F2929}"/>
    <cellStyle name="Currency 3 2 3 2 4 2 3" xfId="5756" xr:uid="{92BB4CD1-FF19-4A91-822B-93D2EC0995EA}"/>
    <cellStyle name="Currency 3 2 3 2 4 2 3 2" xfId="9228" xr:uid="{43428ED2-C29D-4CCD-8CC8-41B7D69D53B4}"/>
    <cellStyle name="Currency 3 2 3 2 4 2 3 2 2" xfId="23279" xr:uid="{AB72C4DB-A429-4052-AAB7-0C2D395F4378}"/>
    <cellStyle name="Currency 3 2 3 2 4 2 3 3" xfId="11832" xr:uid="{B96223EB-F4D3-43BA-BA05-118618F831DC}"/>
    <cellStyle name="Currency 3 2 3 2 4 2 3 3 2" xfId="25883" xr:uid="{E8FB6746-599B-46C3-B08E-1D6E3393281B}"/>
    <cellStyle name="Currency 3 2 3 2 4 2 3 4" xfId="19807" xr:uid="{708CF5F4-BE2F-4C92-9FF2-733D4B437C23}"/>
    <cellStyle name="Currency 3 2 3 2 4 2 4" xfId="6624" xr:uid="{4A20E32F-3F85-4D73-88D0-0B5F3D6AC63E}"/>
    <cellStyle name="Currency 3 2 3 2 4 2 4 2" xfId="10096" xr:uid="{0A397F13-DA81-4DA1-ACDB-750504248E4E}"/>
    <cellStyle name="Currency 3 2 3 2 4 2 4 2 2" xfId="24147" xr:uid="{8BA0C827-E668-486D-9D1B-3398D01E29E9}"/>
    <cellStyle name="Currency 3 2 3 2 4 2 4 3" xfId="12700" xr:uid="{41887A22-878D-4372-AA56-3C3CE1905991}"/>
    <cellStyle name="Currency 3 2 3 2 4 2 4 3 2" xfId="26751" xr:uid="{0C3C5A74-5CB7-475C-BBCD-BB4D0C16C56B}"/>
    <cellStyle name="Currency 3 2 3 2 4 2 4 4" xfId="20675" xr:uid="{D638328F-5E8C-42EF-9A7C-1CF63523D30C}"/>
    <cellStyle name="Currency 3 2 3 2 4 2 5" xfId="8360" xr:uid="{1D64EB31-09CC-49D5-BF07-B2CBC85FF505}"/>
    <cellStyle name="Currency 3 2 3 2 4 2 5 2" xfId="13568" xr:uid="{EAE7CBAA-7F07-4DE6-8B68-48E08D2EEBD3}"/>
    <cellStyle name="Currency 3 2 3 2 4 2 5 2 2" xfId="27619" xr:uid="{B8D2F3D8-4BB3-4775-87D8-57356889BB56}"/>
    <cellStyle name="Currency 3 2 3 2 4 2 5 3" xfId="22411" xr:uid="{A5CDA33A-9E39-4FA3-950D-703F687B15D9}"/>
    <cellStyle name="Currency 3 2 3 2 4 2 6" xfId="7492" xr:uid="{A76C66CA-7468-4E64-A9A0-043D1C221362}"/>
    <cellStyle name="Currency 3 2 3 2 4 2 6 2" xfId="21543" xr:uid="{F7B3D12E-F8B5-44D6-97EC-21155784550C}"/>
    <cellStyle name="Currency 3 2 3 2 4 2 7" xfId="10964" xr:uid="{85FEE418-9557-44B0-BDFC-EF05BBD4F95F}"/>
    <cellStyle name="Currency 3 2 3 2 4 2 7 2" xfId="25015" xr:uid="{E77CA708-0912-4D80-A7DC-1039CE290343}"/>
    <cellStyle name="Currency 3 2 3 2 4 2 8" xfId="17872" xr:uid="{838AF90E-97DA-404C-81A7-2F9D2E229988}"/>
    <cellStyle name="Currency 3 2 3 2 4 3" xfId="5131" xr:uid="{930442BA-AABF-4364-B679-1D7D97529646}"/>
    <cellStyle name="Currency 3 2 3 2 4 3 2" xfId="5999" xr:uid="{DAD85630-2182-4B0F-873C-13EA2E8D9C59}"/>
    <cellStyle name="Currency 3 2 3 2 4 3 2 2" xfId="9471" xr:uid="{856D3C9C-F03E-455A-B551-DB4493A7979F}"/>
    <cellStyle name="Currency 3 2 3 2 4 3 2 2 2" xfId="23522" xr:uid="{BE5E1528-BE4B-4519-87CD-E2B7D33DEE8C}"/>
    <cellStyle name="Currency 3 2 3 2 4 3 2 3" xfId="12075" xr:uid="{DAAF9B98-069A-4C02-82A3-A8BE80C64682}"/>
    <cellStyle name="Currency 3 2 3 2 4 3 2 3 2" xfId="26126" xr:uid="{7F8A8BF0-B88C-4AA2-B263-2F1F45000300}"/>
    <cellStyle name="Currency 3 2 3 2 4 3 2 4" xfId="20050" xr:uid="{AF2DCDFF-F429-417F-8617-082613870B2A}"/>
    <cellStyle name="Currency 3 2 3 2 4 3 3" xfId="6867" xr:uid="{E0BC0748-9E69-4A9B-8349-C5DB26EB947D}"/>
    <cellStyle name="Currency 3 2 3 2 4 3 3 2" xfId="10339" xr:uid="{DAA85BDF-7C89-4F55-BC0D-224589E09730}"/>
    <cellStyle name="Currency 3 2 3 2 4 3 3 2 2" xfId="24390" xr:uid="{2F7B1CDD-E2B2-411D-98AA-B229B2FF26A9}"/>
    <cellStyle name="Currency 3 2 3 2 4 3 3 3" xfId="12943" xr:uid="{98DB4422-5523-4614-9E3C-2E3C70F44D31}"/>
    <cellStyle name="Currency 3 2 3 2 4 3 3 3 2" xfId="26994" xr:uid="{161BBF34-5EF3-4E6B-8025-0F35F64B3DB3}"/>
    <cellStyle name="Currency 3 2 3 2 4 3 3 4" xfId="20918" xr:uid="{F723BA89-B476-4B77-9801-91633813303B}"/>
    <cellStyle name="Currency 3 2 3 2 4 3 4" xfId="8603" xr:uid="{C11AA9F3-B47E-4703-B43E-24BCC3DB7126}"/>
    <cellStyle name="Currency 3 2 3 2 4 3 4 2" xfId="13811" xr:uid="{4EF98D44-A9EE-4D04-8586-ADDFEE2EB26A}"/>
    <cellStyle name="Currency 3 2 3 2 4 3 4 2 2" xfId="27862" xr:uid="{2B2B36B7-A733-4F66-A985-CE2C36E70ABA}"/>
    <cellStyle name="Currency 3 2 3 2 4 3 4 3" xfId="22654" xr:uid="{211FCC0C-5C53-43BC-8CB9-8F12D276938F}"/>
    <cellStyle name="Currency 3 2 3 2 4 3 5" xfId="7735" xr:uid="{64FF702C-2160-4FD0-96DC-DD65CEF81D16}"/>
    <cellStyle name="Currency 3 2 3 2 4 3 5 2" xfId="21786" xr:uid="{1DE3223B-4704-4B9F-A233-6505B5C7A7E7}"/>
    <cellStyle name="Currency 3 2 3 2 4 3 6" xfId="11207" xr:uid="{4D95D870-D96F-4388-94C8-39DE71897EB3}"/>
    <cellStyle name="Currency 3 2 3 2 4 3 6 2" xfId="25258" xr:uid="{880FB202-254E-4032-8782-24838498B8A4}"/>
    <cellStyle name="Currency 3 2 3 2 4 3 7" xfId="19182" xr:uid="{DA5AB927-D610-4400-B87D-F79A04528874}"/>
    <cellStyle name="Currency 3 2 3 2 4 4" xfId="5565" xr:uid="{3F51BD81-3870-41DF-8580-C06620FE1354}"/>
    <cellStyle name="Currency 3 2 3 2 4 4 2" xfId="9037" xr:uid="{125C0154-5202-4D04-ABE6-5B975F2385AB}"/>
    <cellStyle name="Currency 3 2 3 2 4 4 2 2" xfId="23088" xr:uid="{6B5A70C9-3033-49CD-B8C9-40489A679CD1}"/>
    <cellStyle name="Currency 3 2 3 2 4 4 3" xfId="11641" xr:uid="{076459BF-AF19-4474-B6FD-A28A81BC1D66}"/>
    <cellStyle name="Currency 3 2 3 2 4 4 3 2" xfId="25692" xr:uid="{69808959-D94D-406D-804F-2E38995B4D1C}"/>
    <cellStyle name="Currency 3 2 3 2 4 4 4" xfId="19616" xr:uid="{0BCEB5AB-831F-47B1-A005-DAEE55206686}"/>
    <cellStyle name="Currency 3 2 3 2 4 5" xfId="6433" xr:uid="{9B0575A6-5DD4-441B-90C6-A621407371A2}"/>
    <cellStyle name="Currency 3 2 3 2 4 5 2" xfId="9905" xr:uid="{6677C721-CC8A-410E-893D-F454470D715B}"/>
    <cellStyle name="Currency 3 2 3 2 4 5 2 2" xfId="23956" xr:uid="{D8E4EF63-FFA9-427E-A2A5-59449738C3F0}"/>
    <cellStyle name="Currency 3 2 3 2 4 5 3" xfId="12509" xr:uid="{A281D081-BD22-4DFF-8A79-F0AD9B3CFA42}"/>
    <cellStyle name="Currency 3 2 3 2 4 5 3 2" xfId="26560" xr:uid="{0286849C-15FD-4DBD-94B8-F3CE315E2740}"/>
    <cellStyle name="Currency 3 2 3 2 4 5 4" xfId="20484" xr:uid="{1C736BD8-26C1-4B45-A86F-669ABC0D38BB}"/>
    <cellStyle name="Currency 3 2 3 2 4 6" xfId="8169" xr:uid="{D54DE8E3-A35B-4B2D-BCB7-1458B8CEF5D2}"/>
    <cellStyle name="Currency 3 2 3 2 4 6 2" xfId="13377" xr:uid="{E7B989D5-E5E3-4FBD-875D-E2F179160380}"/>
    <cellStyle name="Currency 3 2 3 2 4 6 2 2" xfId="27428" xr:uid="{95EF6C51-40D3-4583-89B6-46C27E6007E1}"/>
    <cellStyle name="Currency 3 2 3 2 4 6 3" xfId="22220" xr:uid="{01F8A8E9-8311-4261-AC7B-72DA63B5BF4A}"/>
    <cellStyle name="Currency 3 2 3 2 4 7" xfId="7301" xr:uid="{F45E9B5B-AF54-4A04-8323-CEBC5626907C}"/>
    <cellStyle name="Currency 3 2 3 2 4 7 2" xfId="21352" xr:uid="{A8411FB6-3E3F-491E-930B-AB44BA2218AB}"/>
    <cellStyle name="Currency 3 2 3 2 4 8" xfId="10773" xr:uid="{93A8E931-0EAE-4FD1-8642-5A2B84CE607F}"/>
    <cellStyle name="Currency 3 2 3 2 4 8 2" xfId="24824" xr:uid="{A6A19E70-D312-44AB-896B-D88F390CB028}"/>
    <cellStyle name="Currency 3 2 3 2 4 9" xfId="15678" xr:uid="{DEF780B9-C0BB-4E73-AF5B-865712BA2B90}"/>
    <cellStyle name="Currency 3 2 3 2 5" xfId="2548" xr:uid="{CE06338D-09F9-4E4A-B81F-24CC985226BD}"/>
    <cellStyle name="Currency 3 2 3 2 5 2" xfId="5211" xr:uid="{D51A258C-6426-4E24-92B4-407D3D00F221}"/>
    <cellStyle name="Currency 3 2 3 2 5 2 2" xfId="6079" xr:uid="{C639A60C-51C9-4012-A987-FA82FED2A6BE}"/>
    <cellStyle name="Currency 3 2 3 2 5 2 2 2" xfId="9551" xr:uid="{79EB05B9-523E-469E-B70E-A922ED4066CB}"/>
    <cellStyle name="Currency 3 2 3 2 5 2 2 2 2" xfId="23602" xr:uid="{0B0F3813-D68C-4BE9-BF3B-55E9DDC0CC2E}"/>
    <cellStyle name="Currency 3 2 3 2 5 2 2 3" xfId="12155" xr:uid="{AB7549BB-1D4A-4594-A139-2007B88376C8}"/>
    <cellStyle name="Currency 3 2 3 2 5 2 2 3 2" xfId="26206" xr:uid="{8D27B254-63C1-4244-B5B8-4DC22E69B0E7}"/>
    <cellStyle name="Currency 3 2 3 2 5 2 2 4" xfId="20130" xr:uid="{183587F5-8673-4EB4-B317-75147CB065C7}"/>
    <cellStyle name="Currency 3 2 3 2 5 2 3" xfId="6947" xr:uid="{0EE47EDE-9197-40F3-8D5C-A455DBB2E553}"/>
    <cellStyle name="Currency 3 2 3 2 5 2 3 2" xfId="10419" xr:uid="{DF9867F1-CDB2-4B2C-A946-40AB4F5E8483}"/>
    <cellStyle name="Currency 3 2 3 2 5 2 3 2 2" xfId="24470" xr:uid="{6287CD15-B24B-4A17-8CAC-36F0439A8A76}"/>
    <cellStyle name="Currency 3 2 3 2 5 2 3 3" xfId="13023" xr:uid="{F3CD9789-7DC5-4748-8C07-E0180437E973}"/>
    <cellStyle name="Currency 3 2 3 2 5 2 3 3 2" xfId="27074" xr:uid="{C2B6B6E4-A921-4572-A57D-684698471026}"/>
    <cellStyle name="Currency 3 2 3 2 5 2 3 4" xfId="20998" xr:uid="{98E4E0DA-1712-447B-99D9-FFBFAE24751A}"/>
    <cellStyle name="Currency 3 2 3 2 5 2 4" xfId="8683" xr:uid="{2312C25C-F171-4E56-B72F-8C4A3A74B291}"/>
    <cellStyle name="Currency 3 2 3 2 5 2 4 2" xfId="13891" xr:uid="{179229F5-A663-41C0-BB71-86A9894DA4AE}"/>
    <cellStyle name="Currency 3 2 3 2 5 2 4 2 2" xfId="27942" xr:uid="{270F7C9C-8B40-4191-9F17-926C7E7E3CB6}"/>
    <cellStyle name="Currency 3 2 3 2 5 2 4 3" xfId="22734" xr:uid="{6F2E2352-ED25-4F1C-9BA8-74CDF0E76A8D}"/>
    <cellStyle name="Currency 3 2 3 2 5 2 5" xfId="7815" xr:uid="{99CB0FB9-9E27-4FC0-AF57-9BC59D05B57E}"/>
    <cellStyle name="Currency 3 2 3 2 5 2 5 2" xfId="21866" xr:uid="{EDABD6AE-9B78-4A55-9579-57B20066988B}"/>
    <cellStyle name="Currency 3 2 3 2 5 2 6" xfId="11287" xr:uid="{7E618C60-50D2-4646-87E1-3F78F1F17D88}"/>
    <cellStyle name="Currency 3 2 3 2 5 2 6 2" xfId="25338" xr:uid="{0E72148A-F67C-4A66-9B1F-BEF85BC50418}"/>
    <cellStyle name="Currency 3 2 3 2 5 2 7" xfId="19262" xr:uid="{679EDDA3-D869-42C0-BFCA-3BDE943AF941}"/>
    <cellStyle name="Currency 3 2 3 2 5 3" xfId="5645" xr:uid="{1A5712D7-09E6-46D6-9A02-506977426DF2}"/>
    <cellStyle name="Currency 3 2 3 2 5 3 2" xfId="9117" xr:uid="{D994BD21-8394-407B-974C-D6390C1D76F6}"/>
    <cellStyle name="Currency 3 2 3 2 5 3 2 2" xfId="23168" xr:uid="{9AAEAFF3-5646-4672-8EAF-AC3685607961}"/>
    <cellStyle name="Currency 3 2 3 2 5 3 3" xfId="11721" xr:uid="{315EEE3D-0705-4554-9591-029AE1D06B40}"/>
    <cellStyle name="Currency 3 2 3 2 5 3 3 2" xfId="25772" xr:uid="{D9C49BC2-36D6-4DF6-9085-1BC7113178DA}"/>
    <cellStyle name="Currency 3 2 3 2 5 3 4" xfId="19696" xr:uid="{4293BF75-DBC9-4332-A3A9-01CF3FD4A4B3}"/>
    <cellStyle name="Currency 3 2 3 2 5 4" xfId="6513" xr:uid="{181F7BCA-CE4B-4687-8BCF-39D85F10C27A}"/>
    <cellStyle name="Currency 3 2 3 2 5 4 2" xfId="9985" xr:uid="{D8B2045C-1075-4F92-BEE6-CE4101550FE8}"/>
    <cellStyle name="Currency 3 2 3 2 5 4 2 2" xfId="24036" xr:uid="{9F91E3E6-6E8A-4BCF-98E7-1FF81D95D583}"/>
    <cellStyle name="Currency 3 2 3 2 5 4 3" xfId="12589" xr:uid="{5A165E68-2959-4A4C-910D-49D04B1C5E9E}"/>
    <cellStyle name="Currency 3 2 3 2 5 4 3 2" xfId="26640" xr:uid="{F1809095-305B-40EE-B8B1-7204CAD283B4}"/>
    <cellStyle name="Currency 3 2 3 2 5 4 4" xfId="20564" xr:uid="{73A0FF3C-368E-49FE-98BC-75FDE86EF034}"/>
    <cellStyle name="Currency 3 2 3 2 5 5" xfId="8249" xr:uid="{4FEE1D51-E067-4459-9E49-A152BE43DC84}"/>
    <cellStyle name="Currency 3 2 3 2 5 5 2" xfId="13457" xr:uid="{7C4D79A9-126F-42AC-9EBD-54DAB1463390}"/>
    <cellStyle name="Currency 3 2 3 2 5 5 2 2" xfId="27508" xr:uid="{CB1CB90E-84E2-44F4-9BFC-5E5CD640DE6F}"/>
    <cellStyle name="Currency 3 2 3 2 5 5 3" xfId="22300" xr:uid="{1308B737-D0AD-45C1-B466-9EF56D38B508}"/>
    <cellStyle name="Currency 3 2 3 2 5 6" xfId="7381" xr:uid="{B66EF4B6-E311-45F7-AC73-B5B7A822436A}"/>
    <cellStyle name="Currency 3 2 3 2 5 6 2" xfId="21432" xr:uid="{9F54B45B-47BB-4AC3-8D99-342245286D32}"/>
    <cellStyle name="Currency 3 2 3 2 5 7" xfId="10853" xr:uid="{4EAC9D36-9DE4-47D9-BFE0-0493B9DFCDD6}"/>
    <cellStyle name="Currency 3 2 3 2 5 7 2" xfId="24904" xr:uid="{94D74728-460F-4021-8AD3-87932961B3D3}"/>
    <cellStyle name="Currency 3 2 3 2 5 8" xfId="16599" xr:uid="{A4DEC38F-F1CD-408A-99A5-4984FEDA8EC7}"/>
    <cellStyle name="Currency 3 2 3 2 6" xfId="4914" xr:uid="{26188700-2645-4C98-9AEC-9F485F549CDE}"/>
    <cellStyle name="Currency 3 2 3 2 6 2" xfId="5417" xr:uid="{ECC314A5-9DCF-45B8-971E-35904C0C79EF}"/>
    <cellStyle name="Currency 3 2 3 2 6 2 2" xfId="6285" xr:uid="{062D169B-350A-4EA2-AEDC-3FE23FADF4F5}"/>
    <cellStyle name="Currency 3 2 3 2 6 2 2 2" xfId="9757" xr:uid="{C3C412F5-8059-4CA0-B380-4B5EE5ED48C3}"/>
    <cellStyle name="Currency 3 2 3 2 6 2 2 2 2" xfId="23808" xr:uid="{2E35373A-541A-4643-97EB-065066EA39EA}"/>
    <cellStyle name="Currency 3 2 3 2 6 2 2 3" xfId="12361" xr:uid="{0634FD88-4726-46E6-8D25-BA019645AC3C}"/>
    <cellStyle name="Currency 3 2 3 2 6 2 2 3 2" xfId="26412" xr:uid="{F40D2555-9B75-48D2-A2CF-79AD9001721A}"/>
    <cellStyle name="Currency 3 2 3 2 6 2 2 4" xfId="20336" xr:uid="{E8159E54-45B6-4E10-A5E7-422D69176406}"/>
    <cellStyle name="Currency 3 2 3 2 6 2 3" xfId="7153" xr:uid="{9B781EE1-BA88-4000-9D2B-5A2B214664A0}"/>
    <cellStyle name="Currency 3 2 3 2 6 2 3 2" xfId="10625" xr:uid="{919F3825-1B43-4E71-B7E6-5D90B7BF0729}"/>
    <cellStyle name="Currency 3 2 3 2 6 2 3 2 2" xfId="24676" xr:uid="{6DD2083E-73E9-4D64-AF5C-0278C053AEEC}"/>
    <cellStyle name="Currency 3 2 3 2 6 2 3 3" xfId="13229" xr:uid="{08CA8C0D-2AD3-4687-9C04-284FD18B8284}"/>
    <cellStyle name="Currency 3 2 3 2 6 2 3 3 2" xfId="27280" xr:uid="{B73D6C42-AC1A-4043-99F5-965FA6CAD4A1}"/>
    <cellStyle name="Currency 3 2 3 2 6 2 3 4" xfId="21204" xr:uid="{DD326940-636B-4BC0-96E9-243A41B83D8A}"/>
    <cellStyle name="Currency 3 2 3 2 6 2 4" xfId="8889" xr:uid="{4EF14573-E2F9-4EAB-83E4-B3A0DB1E407A}"/>
    <cellStyle name="Currency 3 2 3 2 6 2 4 2" xfId="14097" xr:uid="{DCA0CB98-CAF0-484E-B14C-E558FA8E559B}"/>
    <cellStyle name="Currency 3 2 3 2 6 2 4 2 2" xfId="28148" xr:uid="{FC702BA7-09B6-4568-9F87-7074E8C43D2E}"/>
    <cellStyle name="Currency 3 2 3 2 6 2 4 3" xfId="22940" xr:uid="{129E7933-CE34-4C99-BA0F-13079C8FAADE}"/>
    <cellStyle name="Currency 3 2 3 2 6 2 5" xfId="8021" xr:uid="{044584B4-145A-4B8B-AA96-781C6B660F6D}"/>
    <cellStyle name="Currency 3 2 3 2 6 2 5 2" xfId="22072" xr:uid="{DDE3BF43-1324-4B97-ADFA-1004725932B4}"/>
    <cellStyle name="Currency 3 2 3 2 6 2 6" xfId="11493" xr:uid="{25DAB92D-F603-4CA1-8581-96582F381710}"/>
    <cellStyle name="Currency 3 2 3 2 6 2 6 2" xfId="25544" xr:uid="{09AE519A-0C99-42C4-A302-F6611BB096F0}"/>
    <cellStyle name="Currency 3 2 3 2 6 2 7" xfId="19468" xr:uid="{B345587C-CEF6-461A-AB06-E221250D348F}"/>
    <cellStyle name="Currency 3 2 3 2 6 3" xfId="5851" xr:uid="{808EDC31-AC6C-47B8-B6FB-0653B7C9A9A9}"/>
    <cellStyle name="Currency 3 2 3 2 6 3 2" xfId="9323" xr:uid="{C00763E9-6C99-40C9-92CD-FB1C993FC450}"/>
    <cellStyle name="Currency 3 2 3 2 6 3 2 2" xfId="23374" xr:uid="{8B6CBDF3-4289-4718-AD9B-AE050887743C}"/>
    <cellStyle name="Currency 3 2 3 2 6 3 3" xfId="11927" xr:uid="{C6B78197-C4F2-4656-9B4B-201FFBF13336}"/>
    <cellStyle name="Currency 3 2 3 2 6 3 3 2" xfId="25978" xr:uid="{DB575B6E-FC3D-400C-821A-D9AE13748428}"/>
    <cellStyle name="Currency 3 2 3 2 6 3 4" xfId="19902" xr:uid="{B5A89315-1423-4C6B-8622-66B162A7A5FC}"/>
    <cellStyle name="Currency 3 2 3 2 6 4" xfId="6719" xr:uid="{15488787-5353-44EE-86AD-04EBD4F28EA9}"/>
    <cellStyle name="Currency 3 2 3 2 6 4 2" xfId="10191" xr:uid="{14435609-6EE7-4AA3-8AFF-CF39A25A3BB6}"/>
    <cellStyle name="Currency 3 2 3 2 6 4 2 2" xfId="24242" xr:uid="{46ACE157-E057-4D07-831D-BD915265BC31}"/>
    <cellStyle name="Currency 3 2 3 2 6 4 3" xfId="12795" xr:uid="{349F8800-393B-4ECF-9DA9-DDDCA4785567}"/>
    <cellStyle name="Currency 3 2 3 2 6 4 3 2" xfId="26846" xr:uid="{001A205A-46F4-4365-B50E-ABCDA898765A}"/>
    <cellStyle name="Currency 3 2 3 2 6 4 4" xfId="20770" xr:uid="{ED115611-CBA6-47FA-95ED-D48017E98078}"/>
    <cellStyle name="Currency 3 2 3 2 6 5" xfId="8455" xr:uid="{09051AF5-8B65-4DC9-B81D-0D2F5B71D714}"/>
    <cellStyle name="Currency 3 2 3 2 6 5 2" xfId="13663" xr:uid="{FAED71CA-61BD-4D8B-BD79-89FDB539A3F3}"/>
    <cellStyle name="Currency 3 2 3 2 6 5 2 2" xfId="27714" xr:uid="{342D6ED1-3DAB-446D-AD48-559E85674C32}"/>
    <cellStyle name="Currency 3 2 3 2 6 5 3" xfId="22506" xr:uid="{DBABBDC2-35D7-4A16-92B0-AB35D7F5F1A4}"/>
    <cellStyle name="Currency 3 2 3 2 6 6" xfId="7587" xr:uid="{E74ACB0E-35AE-4EB7-95F3-3EC0D858BDA4}"/>
    <cellStyle name="Currency 3 2 3 2 6 6 2" xfId="21638" xr:uid="{E69F311F-B8E2-4359-AF9D-2E9BC820DD34}"/>
    <cellStyle name="Currency 3 2 3 2 6 7" xfId="11059" xr:uid="{937C2528-7D48-4B7F-BC19-E716867FF204}"/>
    <cellStyle name="Currency 3 2 3 2 6 7 2" xfId="25110" xr:uid="{EA377E3F-A57E-4793-8D3F-7CF34857E813}"/>
    <cellStyle name="Currency 3 2 3 2 6 8" xfId="18966" xr:uid="{353BEB4F-BB73-4188-86A4-1654B2AED334}"/>
    <cellStyle name="Currency 3 2 3 2 7" xfId="5017" xr:uid="{A4F87BEF-2725-49C2-B411-9DF9612DBE06}"/>
    <cellStyle name="Currency 3 2 3 2 7 2" xfId="5885" xr:uid="{A5092A29-4E5F-4D50-AC2A-7114621F14B8}"/>
    <cellStyle name="Currency 3 2 3 2 7 2 2" xfId="9357" xr:uid="{0F97348C-1048-4520-A56C-D1A8D9179957}"/>
    <cellStyle name="Currency 3 2 3 2 7 2 2 2" xfId="23408" xr:uid="{0DABB05D-414D-4B73-8CA6-942FBE5EDFBF}"/>
    <cellStyle name="Currency 3 2 3 2 7 2 3" xfId="11961" xr:uid="{81B9E574-91E4-46B7-B565-C1122CA004F3}"/>
    <cellStyle name="Currency 3 2 3 2 7 2 3 2" xfId="26012" xr:uid="{F2CE7D78-1C23-4A49-AA3C-37D1DF5305F5}"/>
    <cellStyle name="Currency 3 2 3 2 7 2 4" xfId="19936" xr:uid="{46CFEA35-60C2-4E4A-A2A6-6AB3CB30036E}"/>
    <cellStyle name="Currency 3 2 3 2 7 3" xfId="6753" xr:uid="{A9BE8059-46E2-4C03-ABC0-2C886F50390B}"/>
    <cellStyle name="Currency 3 2 3 2 7 3 2" xfId="10225" xr:uid="{413BD98D-E2B6-48FD-A1E1-5861201EE581}"/>
    <cellStyle name="Currency 3 2 3 2 7 3 2 2" xfId="24276" xr:uid="{652061FE-67F3-42A3-930A-F440E32DDA59}"/>
    <cellStyle name="Currency 3 2 3 2 7 3 3" xfId="12829" xr:uid="{139654F9-58F5-4185-AEB1-C94A08C97188}"/>
    <cellStyle name="Currency 3 2 3 2 7 3 3 2" xfId="26880" xr:uid="{971471F3-2851-4354-8F13-0FB010954E90}"/>
    <cellStyle name="Currency 3 2 3 2 7 3 4" xfId="20804" xr:uid="{2B5ACBD7-D00F-4840-B8CD-CD26552D21D9}"/>
    <cellStyle name="Currency 3 2 3 2 7 4" xfId="8489" xr:uid="{0AF685D7-FB4B-496A-AB41-56372B8C9F37}"/>
    <cellStyle name="Currency 3 2 3 2 7 4 2" xfId="13697" xr:uid="{4D50D395-5208-460B-B731-34BD0C724219}"/>
    <cellStyle name="Currency 3 2 3 2 7 4 2 2" xfId="27748" xr:uid="{7FD655EA-DC57-40E7-B9E6-FE4FFF3D84ED}"/>
    <cellStyle name="Currency 3 2 3 2 7 4 3" xfId="22540" xr:uid="{B748237E-C85B-4364-B06A-BF53A4C53898}"/>
    <cellStyle name="Currency 3 2 3 2 7 5" xfId="7621" xr:uid="{F99120F2-9872-4D26-B5C6-68D39CE49407}"/>
    <cellStyle name="Currency 3 2 3 2 7 5 2" xfId="21672" xr:uid="{00028C08-4C1F-43D3-9EF2-B9597D5DCC30}"/>
    <cellStyle name="Currency 3 2 3 2 7 6" xfId="11093" xr:uid="{89A0122B-C348-48CD-B0DC-2D71CA875982}"/>
    <cellStyle name="Currency 3 2 3 2 7 6 2" xfId="25144" xr:uid="{B9693EC0-EC12-464C-BE39-894A86AE2C48}"/>
    <cellStyle name="Currency 3 2 3 2 7 7" xfId="19068" xr:uid="{B1AB5567-427E-402E-9DCE-C9A422DE46C1}"/>
    <cellStyle name="Currency 3 2 3 2 8" xfId="5451" xr:uid="{CEB56881-D35D-45FD-B23F-ED01B4D4C643}"/>
    <cellStyle name="Currency 3 2 3 2 8 2" xfId="8923" xr:uid="{25B77073-87EC-4A06-B8F9-698BBA9D4787}"/>
    <cellStyle name="Currency 3 2 3 2 8 2 2" xfId="22974" xr:uid="{A3B53347-9E44-4091-812A-2D13E39017C8}"/>
    <cellStyle name="Currency 3 2 3 2 8 3" xfId="11527" xr:uid="{765728EE-DC52-4A30-B6BD-113D5349B483}"/>
    <cellStyle name="Currency 3 2 3 2 8 3 2" xfId="25578" xr:uid="{CFCE9092-3939-40EB-9CE7-5AA03E8A4385}"/>
    <cellStyle name="Currency 3 2 3 2 8 4" xfId="19502" xr:uid="{D3DD9CE8-FF35-4285-B32E-01C55A3DB929}"/>
    <cellStyle name="Currency 3 2 3 2 9" xfId="6319" xr:uid="{89F808DF-74B2-4C3E-A020-322851CE2E93}"/>
    <cellStyle name="Currency 3 2 3 2 9 2" xfId="9791" xr:uid="{0095285C-5E5D-40C7-829F-2FC29BA42B2F}"/>
    <cellStyle name="Currency 3 2 3 2 9 2 2" xfId="23842" xr:uid="{A72C0BC0-B399-4163-860C-056BB12550F8}"/>
    <cellStyle name="Currency 3 2 3 2 9 3" xfId="12395" xr:uid="{C884AD18-EB10-4CBD-8394-BDD42EA5D7D2}"/>
    <cellStyle name="Currency 3 2 3 2 9 3 2" xfId="26446" xr:uid="{B9FDA6D4-C408-4360-9876-EAB0E0A41AF7}"/>
    <cellStyle name="Currency 3 2 3 2 9 4" xfId="20370" xr:uid="{BCBB82EA-8315-452B-9F7D-0AE4616C0544}"/>
    <cellStyle name="Currency 3 2 3 3" xfId="522" xr:uid="{C4E2A1CC-A89D-48C3-8624-38B28EB59A95}"/>
    <cellStyle name="Currency 3 2 3 3 10" xfId="10674" xr:uid="{5DC7F848-CC44-4DC3-A1A9-82ABEEF403B6}"/>
    <cellStyle name="Currency 3 2 3 3 10 2" xfId="24725" xr:uid="{6A75AEC2-272D-4A9A-8E37-3F1F62696E3C}"/>
    <cellStyle name="Currency 3 2 3 3 11" xfId="14577" xr:uid="{BCD8C70F-36DD-4228-87EE-3002611F8083}"/>
    <cellStyle name="Currency 3 2 3 3 2" xfId="1455" xr:uid="{0C4B8D03-7623-41C2-8CD5-21DF75935680}"/>
    <cellStyle name="Currency 3 2 3 3 2 2" xfId="3645" xr:uid="{D8C6C4B7-D95F-4F4C-8461-2521D6600DC4}"/>
    <cellStyle name="Currency 3 2 3 3 2 2 2" xfId="5307" xr:uid="{5D841340-071A-426D-8546-7F5EFED0029A}"/>
    <cellStyle name="Currency 3 2 3 3 2 2 2 2" xfId="6175" xr:uid="{949A1D8C-74F0-44E4-9615-536B892BA7D8}"/>
    <cellStyle name="Currency 3 2 3 3 2 2 2 2 2" xfId="9647" xr:uid="{DABAD06F-251E-48F6-9D9E-D1A8C8B353B1}"/>
    <cellStyle name="Currency 3 2 3 3 2 2 2 2 2 2" xfId="23698" xr:uid="{156F0798-1E1D-4794-B2C6-773D0D0898C4}"/>
    <cellStyle name="Currency 3 2 3 3 2 2 2 2 3" xfId="12251" xr:uid="{69949880-214D-43F3-A444-7780EB0E2C08}"/>
    <cellStyle name="Currency 3 2 3 3 2 2 2 2 3 2" xfId="26302" xr:uid="{AF1CD67F-2540-4A84-A3A8-50B6936877C8}"/>
    <cellStyle name="Currency 3 2 3 3 2 2 2 2 4" xfId="20226" xr:uid="{F9F00C38-5E5A-447E-91CC-E07B5ED64165}"/>
    <cellStyle name="Currency 3 2 3 3 2 2 2 3" xfId="7043" xr:uid="{E682F764-DF48-4675-83F6-4CBE5F1DE963}"/>
    <cellStyle name="Currency 3 2 3 3 2 2 2 3 2" xfId="10515" xr:uid="{3124DF18-84FD-4D4A-8E1A-631E050698FB}"/>
    <cellStyle name="Currency 3 2 3 3 2 2 2 3 2 2" xfId="24566" xr:uid="{61D34C5D-E9C5-48D1-A859-DA7ACE87BD6F}"/>
    <cellStyle name="Currency 3 2 3 3 2 2 2 3 3" xfId="13119" xr:uid="{6A9904A9-5D3E-4DE6-8F4D-7F9360F0B73F}"/>
    <cellStyle name="Currency 3 2 3 3 2 2 2 3 3 2" xfId="27170" xr:uid="{AC80BBF9-1CFB-46A6-A062-83D33E8C780B}"/>
    <cellStyle name="Currency 3 2 3 3 2 2 2 3 4" xfId="21094" xr:uid="{3C0CB350-135A-4A7C-B615-7BA63B927E48}"/>
    <cellStyle name="Currency 3 2 3 3 2 2 2 4" xfId="8779" xr:uid="{300ED910-275B-4287-B7D9-A336E4028E88}"/>
    <cellStyle name="Currency 3 2 3 3 2 2 2 4 2" xfId="13987" xr:uid="{059E8490-4555-4641-8654-4EB2CEF42180}"/>
    <cellStyle name="Currency 3 2 3 3 2 2 2 4 2 2" xfId="28038" xr:uid="{07DECB8D-7DFD-4478-911A-D7DDE7534A3F}"/>
    <cellStyle name="Currency 3 2 3 3 2 2 2 4 3" xfId="22830" xr:uid="{8E3E6571-7688-483D-9755-2B823446C33C}"/>
    <cellStyle name="Currency 3 2 3 3 2 2 2 5" xfId="7911" xr:uid="{0888F594-E493-4F10-A768-1C013F78C656}"/>
    <cellStyle name="Currency 3 2 3 3 2 2 2 5 2" xfId="21962" xr:uid="{22660195-47B7-45BD-89E1-6E0E3791C862}"/>
    <cellStyle name="Currency 3 2 3 3 2 2 2 6" xfId="11383" xr:uid="{FFB63AC8-B28B-417A-82DA-39313096A65F}"/>
    <cellStyle name="Currency 3 2 3 3 2 2 2 6 2" xfId="25434" xr:uid="{B23577CD-72BD-4DC8-8017-680FD5139A1C}"/>
    <cellStyle name="Currency 3 2 3 3 2 2 2 7" xfId="19358" xr:uid="{9B5D2638-12ED-450F-BE2C-BC29A97DAA99}"/>
    <cellStyle name="Currency 3 2 3 3 2 2 3" xfId="5741" xr:uid="{B149CFCB-AFD3-46BC-AFAF-9FF5996067A9}"/>
    <cellStyle name="Currency 3 2 3 3 2 2 3 2" xfId="9213" xr:uid="{395D92C2-8B15-4708-99EA-876669DEAEB7}"/>
    <cellStyle name="Currency 3 2 3 3 2 2 3 2 2" xfId="23264" xr:uid="{45723778-5D98-4527-83DA-1CDC407795BB}"/>
    <cellStyle name="Currency 3 2 3 3 2 2 3 3" xfId="11817" xr:uid="{C1D48C65-21A6-4BC8-8431-B84DE2ABABF6}"/>
    <cellStyle name="Currency 3 2 3 3 2 2 3 3 2" xfId="25868" xr:uid="{99E1E57B-6ED0-4E18-AF2B-414A6D41ABF6}"/>
    <cellStyle name="Currency 3 2 3 3 2 2 3 4" xfId="19792" xr:uid="{EAE9A1D6-4830-4F5E-A32E-4C290B6472EA}"/>
    <cellStyle name="Currency 3 2 3 3 2 2 4" xfId="6609" xr:uid="{35F8EF5D-0E2E-485C-94E3-4828581E39C2}"/>
    <cellStyle name="Currency 3 2 3 3 2 2 4 2" xfId="10081" xr:uid="{40EE84B1-E8FC-4DD0-B11F-898E99596F66}"/>
    <cellStyle name="Currency 3 2 3 3 2 2 4 2 2" xfId="24132" xr:uid="{8FDF03DC-53EC-4AA8-8A8D-7729FCA30BEE}"/>
    <cellStyle name="Currency 3 2 3 3 2 2 4 3" xfId="12685" xr:uid="{B42864B0-D5A9-4F4F-9B0F-FB973E00B03C}"/>
    <cellStyle name="Currency 3 2 3 3 2 2 4 3 2" xfId="26736" xr:uid="{9874F33D-FE8B-4279-AF81-4B563300F195}"/>
    <cellStyle name="Currency 3 2 3 3 2 2 4 4" xfId="20660" xr:uid="{C44F8305-FAE8-4B60-9F46-3A099C067267}"/>
    <cellStyle name="Currency 3 2 3 3 2 2 5" xfId="8345" xr:uid="{3B7C40B3-CD86-4846-9FA2-3B4C2E06098B}"/>
    <cellStyle name="Currency 3 2 3 3 2 2 5 2" xfId="13553" xr:uid="{74278235-61C0-4005-BA7B-9A8636D53D18}"/>
    <cellStyle name="Currency 3 2 3 3 2 2 5 2 2" xfId="27604" xr:uid="{A41AE83B-80A2-4F50-9A4D-10FF808F4996}"/>
    <cellStyle name="Currency 3 2 3 3 2 2 5 3" xfId="22396" xr:uid="{FC151B73-2093-4312-B9C9-BD358C69AB93}"/>
    <cellStyle name="Currency 3 2 3 3 2 2 6" xfId="7477" xr:uid="{5821F085-2151-4314-9180-B4A4A85CC23D}"/>
    <cellStyle name="Currency 3 2 3 3 2 2 6 2" xfId="21528" xr:uid="{16F92243-A611-4E50-9393-06AE391FCFCC}"/>
    <cellStyle name="Currency 3 2 3 3 2 2 7" xfId="10949" xr:uid="{A589AEBB-CA64-48EE-AE08-A533974BC030}"/>
    <cellStyle name="Currency 3 2 3 3 2 2 7 2" xfId="25000" xr:uid="{C795E94B-A250-4451-901A-345BFB57EF4C}"/>
    <cellStyle name="Currency 3 2 3 3 2 2 8" xfId="17698" xr:uid="{1A9E0397-9205-48F5-8500-2001DF4EE0C5}"/>
    <cellStyle name="Currency 3 2 3 3 2 3" xfId="5116" xr:uid="{8C27A03D-E27D-4CC2-B855-597BFCF61A4D}"/>
    <cellStyle name="Currency 3 2 3 3 2 3 2" xfId="5984" xr:uid="{171B3FC8-1261-45A9-8E44-A76FF75B9056}"/>
    <cellStyle name="Currency 3 2 3 3 2 3 2 2" xfId="9456" xr:uid="{4B7FBFBC-E0C0-4B7B-91C4-6A146A6C425C}"/>
    <cellStyle name="Currency 3 2 3 3 2 3 2 2 2" xfId="23507" xr:uid="{4A1D7D79-D0D3-416A-B951-3DAEAABCC66D}"/>
    <cellStyle name="Currency 3 2 3 3 2 3 2 3" xfId="12060" xr:uid="{EDF08EDB-3DE7-4BB6-A316-BEFA7A3286BD}"/>
    <cellStyle name="Currency 3 2 3 3 2 3 2 3 2" xfId="26111" xr:uid="{B1E7BDBB-BF3D-490E-8441-7EBC02747BA7}"/>
    <cellStyle name="Currency 3 2 3 3 2 3 2 4" xfId="20035" xr:uid="{DD21E993-6CC5-46B1-A8F3-46E94993D78E}"/>
    <cellStyle name="Currency 3 2 3 3 2 3 3" xfId="6852" xr:uid="{1A8F5A34-7065-40F8-8F5C-E9DF90A1C252}"/>
    <cellStyle name="Currency 3 2 3 3 2 3 3 2" xfId="10324" xr:uid="{79A028E8-166E-45EA-9E6E-B550172A4007}"/>
    <cellStyle name="Currency 3 2 3 3 2 3 3 2 2" xfId="24375" xr:uid="{6F7BFA3B-EB17-4C68-BA91-63822393A4B1}"/>
    <cellStyle name="Currency 3 2 3 3 2 3 3 3" xfId="12928" xr:uid="{CABED97A-AB11-488C-907B-A8AEF5783902}"/>
    <cellStyle name="Currency 3 2 3 3 2 3 3 3 2" xfId="26979" xr:uid="{5AE3DCE7-AEDC-487B-8A7A-2263D60AF967}"/>
    <cellStyle name="Currency 3 2 3 3 2 3 3 4" xfId="20903" xr:uid="{C3D5F129-09F0-4FC8-932C-01D22ACE5134}"/>
    <cellStyle name="Currency 3 2 3 3 2 3 4" xfId="8588" xr:uid="{D8CD36D7-0739-4185-ABE5-DDF458AD1B59}"/>
    <cellStyle name="Currency 3 2 3 3 2 3 4 2" xfId="13796" xr:uid="{C5B79FA3-5B4C-4D21-8A53-259019B9D711}"/>
    <cellStyle name="Currency 3 2 3 3 2 3 4 2 2" xfId="27847" xr:uid="{16A4D857-1053-474A-845D-CE1B6B5B5A3C}"/>
    <cellStyle name="Currency 3 2 3 3 2 3 4 3" xfId="22639" xr:uid="{5758E61F-EAC7-4F0F-8545-544CA85B9873}"/>
    <cellStyle name="Currency 3 2 3 3 2 3 5" xfId="7720" xr:uid="{2434B27B-8959-4C4C-817A-408CCAE0FBE1}"/>
    <cellStyle name="Currency 3 2 3 3 2 3 5 2" xfId="21771" xr:uid="{A3C57A00-64A2-4141-BDCF-43A40890DA4F}"/>
    <cellStyle name="Currency 3 2 3 3 2 3 6" xfId="11192" xr:uid="{B65AFB3B-56C0-494C-B9E4-ED8EC1ED27EE}"/>
    <cellStyle name="Currency 3 2 3 3 2 3 6 2" xfId="25243" xr:uid="{BB09D94E-CC0B-42F7-977E-6785EFDB905E}"/>
    <cellStyle name="Currency 3 2 3 3 2 3 7" xfId="19167" xr:uid="{058AB47F-B3B9-4DD4-9B8B-EF30C4D66624}"/>
    <cellStyle name="Currency 3 2 3 3 2 4" xfId="5550" xr:uid="{F71A52EB-0E7D-4F59-8A80-A73E987F9812}"/>
    <cellStyle name="Currency 3 2 3 3 2 4 2" xfId="9022" xr:uid="{59D1C810-0BE0-4167-AC50-6B74E8048200}"/>
    <cellStyle name="Currency 3 2 3 3 2 4 2 2" xfId="23073" xr:uid="{F9FA0DCE-457A-4273-A2A7-EAA5A29FA61C}"/>
    <cellStyle name="Currency 3 2 3 3 2 4 3" xfId="11626" xr:uid="{4D8C9358-AB19-47ED-81DD-631BDB6D422B}"/>
    <cellStyle name="Currency 3 2 3 3 2 4 3 2" xfId="25677" xr:uid="{52D5DB02-40AC-4766-88A9-EA1E040735CD}"/>
    <cellStyle name="Currency 3 2 3 3 2 4 4" xfId="19601" xr:uid="{56EBE65D-1BBA-4FEF-B900-2AB86758D4E1}"/>
    <cellStyle name="Currency 3 2 3 3 2 5" xfId="6418" xr:uid="{5DA63506-99E1-4ABC-A26A-A1DC40A32704}"/>
    <cellStyle name="Currency 3 2 3 3 2 5 2" xfId="9890" xr:uid="{A822835B-563D-44AF-8B93-7AB4209250FD}"/>
    <cellStyle name="Currency 3 2 3 3 2 5 2 2" xfId="23941" xr:uid="{8F30AB0B-1CB5-4350-A129-A3678E083839}"/>
    <cellStyle name="Currency 3 2 3 3 2 5 3" xfId="12494" xr:uid="{EB3E35FD-4217-43B3-A453-FE8F055FADC5}"/>
    <cellStyle name="Currency 3 2 3 3 2 5 3 2" xfId="26545" xr:uid="{F1948B3F-FAA6-4AEA-B97C-B296444F213C}"/>
    <cellStyle name="Currency 3 2 3 3 2 5 4" xfId="20469" xr:uid="{AF265BAD-DC7C-419F-882A-0168B30C968C}"/>
    <cellStyle name="Currency 3 2 3 3 2 6" xfId="8154" xr:uid="{128B027F-241E-486E-8367-7559201CBAC0}"/>
    <cellStyle name="Currency 3 2 3 3 2 6 2" xfId="13362" xr:uid="{35A304F8-9ACF-4E4D-84F8-A03DA27CAB9E}"/>
    <cellStyle name="Currency 3 2 3 3 2 6 2 2" xfId="27413" xr:uid="{52E49FC7-CEB1-4762-A1C1-6AF4635C6E0A}"/>
    <cellStyle name="Currency 3 2 3 3 2 6 3" xfId="22205" xr:uid="{A7BD851D-8892-43D3-8EC4-4B082DFDBBD4}"/>
    <cellStyle name="Currency 3 2 3 3 2 7" xfId="7286" xr:uid="{F583E549-B278-4EE4-AC98-7FE5C0A3EB9D}"/>
    <cellStyle name="Currency 3 2 3 3 2 7 2" xfId="21337" xr:uid="{D8936006-8D1B-4EBD-9B5F-8F6C0A2185B2}"/>
    <cellStyle name="Currency 3 2 3 3 2 8" xfId="10758" xr:uid="{105E7825-8815-4818-8545-FD660A433528}"/>
    <cellStyle name="Currency 3 2 3 3 2 8 2" xfId="24809" xr:uid="{3B14F229-4355-4BE6-93BB-1F79832B68DC}"/>
    <cellStyle name="Currency 3 2 3 3 2 9" xfId="15504" xr:uid="{D3C00929-B6E1-478B-BEAF-367734D67C57}"/>
    <cellStyle name="Currency 3 2 3 3 3" xfId="2721" xr:uid="{35F5965A-9C14-425F-9D0B-2E36B2CB1654}"/>
    <cellStyle name="Currency 3 2 3 3 3 2" xfId="5226" xr:uid="{3BFA6171-7BF2-4640-8AE3-125A3820639A}"/>
    <cellStyle name="Currency 3 2 3 3 3 2 2" xfId="6094" xr:uid="{CAC95644-7303-4124-92CA-5384471625D6}"/>
    <cellStyle name="Currency 3 2 3 3 3 2 2 2" xfId="9566" xr:uid="{C8E1B28F-F6E4-4218-9011-A1C929654304}"/>
    <cellStyle name="Currency 3 2 3 3 3 2 2 2 2" xfId="23617" xr:uid="{5AEBE220-CB16-447B-BF2F-15B3E37E08E6}"/>
    <cellStyle name="Currency 3 2 3 3 3 2 2 3" xfId="12170" xr:uid="{C07E1CFD-7E13-435E-BAF9-09D290253769}"/>
    <cellStyle name="Currency 3 2 3 3 3 2 2 3 2" xfId="26221" xr:uid="{C1684533-C850-4EE8-8170-B421AB4579C1}"/>
    <cellStyle name="Currency 3 2 3 3 3 2 2 4" xfId="20145" xr:uid="{5C860149-334E-4044-8201-EC05EAE9375E}"/>
    <cellStyle name="Currency 3 2 3 3 3 2 3" xfId="6962" xr:uid="{DC3121D7-4A5A-403D-A834-32D991965814}"/>
    <cellStyle name="Currency 3 2 3 3 3 2 3 2" xfId="10434" xr:uid="{755E386C-1FAF-456D-88B5-767481200822}"/>
    <cellStyle name="Currency 3 2 3 3 3 2 3 2 2" xfId="24485" xr:uid="{6BB0E91F-8EA1-47DE-9BA3-B4E941CCFBB7}"/>
    <cellStyle name="Currency 3 2 3 3 3 2 3 3" xfId="13038" xr:uid="{7362C8EF-31E5-47A6-AB35-B7105320706A}"/>
    <cellStyle name="Currency 3 2 3 3 3 2 3 3 2" xfId="27089" xr:uid="{5E64A242-5092-487B-854C-26850F372703}"/>
    <cellStyle name="Currency 3 2 3 3 3 2 3 4" xfId="21013" xr:uid="{93B01D7B-61DD-4A82-90E8-1B6E5F012979}"/>
    <cellStyle name="Currency 3 2 3 3 3 2 4" xfId="8698" xr:uid="{F2246FCB-CA6A-4D65-AD92-0975363F685D}"/>
    <cellStyle name="Currency 3 2 3 3 3 2 4 2" xfId="13906" xr:uid="{ED9262B0-7B13-48C2-9382-C0611B726A34}"/>
    <cellStyle name="Currency 3 2 3 3 3 2 4 2 2" xfId="27957" xr:uid="{D62BFBF8-DB04-4B2C-93F4-3BE7FD7A014C}"/>
    <cellStyle name="Currency 3 2 3 3 3 2 4 3" xfId="22749" xr:uid="{D2ACBA27-434A-424C-ABB5-721AB56A6D24}"/>
    <cellStyle name="Currency 3 2 3 3 3 2 5" xfId="7830" xr:uid="{46223413-533F-477C-8E9E-C6DB9AC970DB}"/>
    <cellStyle name="Currency 3 2 3 3 3 2 5 2" xfId="21881" xr:uid="{6DBE0C4C-9C43-4A43-B780-A7922A063869}"/>
    <cellStyle name="Currency 3 2 3 3 3 2 6" xfId="11302" xr:uid="{E3BE53E9-3D2D-4C7B-924C-5DF7D6D1F0C2}"/>
    <cellStyle name="Currency 3 2 3 3 3 2 6 2" xfId="25353" xr:uid="{72CECEA8-D98D-41AD-96DC-44A3E10F079D}"/>
    <cellStyle name="Currency 3 2 3 3 3 2 7" xfId="19277" xr:uid="{041FC610-C417-438A-B330-D5A72B80DAC3}"/>
    <cellStyle name="Currency 3 2 3 3 3 3" xfId="5660" xr:uid="{9BAB92B0-E5BE-435F-BE29-F31AFE72E92C}"/>
    <cellStyle name="Currency 3 2 3 3 3 3 2" xfId="9132" xr:uid="{D7C3F5FA-F2E6-463B-9EAB-C7368147CACE}"/>
    <cellStyle name="Currency 3 2 3 3 3 3 2 2" xfId="23183" xr:uid="{8860E8B6-77CD-43FA-9CA0-96DEE5BB55A2}"/>
    <cellStyle name="Currency 3 2 3 3 3 3 3" xfId="11736" xr:uid="{E1DC684F-24C3-449E-BFEE-ACEC271693B2}"/>
    <cellStyle name="Currency 3 2 3 3 3 3 3 2" xfId="25787" xr:uid="{C6D6047A-38F7-401B-AC1A-5D196D2938CB}"/>
    <cellStyle name="Currency 3 2 3 3 3 3 4" xfId="19711" xr:uid="{54769DF9-7EFE-4E7F-BC82-347C885EC758}"/>
    <cellStyle name="Currency 3 2 3 3 3 4" xfId="6528" xr:uid="{CD42A410-821D-46EE-B734-1491078C1231}"/>
    <cellStyle name="Currency 3 2 3 3 3 4 2" xfId="10000" xr:uid="{2AF7F116-F524-4ADE-826E-22CB0B483888}"/>
    <cellStyle name="Currency 3 2 3 3 3 4 2 2" xfId="24051" xr:uid="{C1D6E75B-1304-4AB2-BC37-8785EBC97E0C}"/>
    <cellStyle name="Currency 3 2 3 3 3 4 3" xfId="12604" xr:uid="{C85FC205-F0CC-4231-ACD8-78E8455841C9}"/>
    <cellStyle name="Currency 3 2 3 3 3 4 3 2" xfId="26655" xr:uid="{7CA0BC29-C2F5-49ED-8090-4A6CD53F3EE1}"/>
    <cellStyle name="Currency 3 2 3 3 3 4 4" xfId="20579" xr:uid="{2925D5C9-83DF-48DB-B6C7-425164DCFD07}"/>
    <cellStyle name="Currency 3 2 3 3 3 5" xfId="8264" xr:uid="{25FE358F-A0A6-4DA6-9B68-A8ABF8A1D955}"/>
    <cellStyle name="Currency 3 2 3 3 3 5 2" xfId="13472" xr:uid="{834D78F3-BC67-4561-A066-E4FCBAF1863A}"/>
    <cellStyle name="Currency 3 2 3 3 3 5 2 2" xfId="27523" xr:uid="{88A3871F-65BF-4111-B355-22F15773DA97}"/>
    <cellStyle name="Currency 3 2 3 3 3 5 3" xfId="22315" xr:uid="{B879E702-C745-4547-A7E4-074FD3F50B49}"/>
    <cellStyle name="Currency 3 2 3 3 3 6" xfId="7396" xr:uid="{C093178A-F9C3-4B32-88EB-69636FC21E56}"/>
    <cellStyle name="Currency 3 2 3 3 3 6 2" xfId="21447" xr:uid="{4CC2BB98-023E-4E09-BE7E-A83BD913FCBD}"/>
    <cellStyle name="Currency 3 2 3 3 3 7" xfId="10868" xr:uid="{236670E4-C3D7-47D0-A8A8-AD716FA7311F}"/>
    <cellStyle name="Currency 3 2 3 3 3 7 2" xfId="24919" xr:uid="{ACCBB05B-6F37-4A92-B3F1-5E3B19EA9E5B}"/>
    <cellStyle name="Currency 3 2 3 3 3 8" xfId="16772" xr:uid="{107F6B07-D75D-4CC7-B130-164E1BB09C7E}"/>
    <cellStyle name="Currency 3 2 3 3 4" xfId="4740" xr:uid="{FC328D4D-D596-44B4-84E8-D7A3FEAF9714}"/>
    <cellStyle name="Currency 3 2 3 3 4 2" xfId="5402" xr:uid="{35625227-6657-4EA5-B333-4A74211215FE}"/>
    <cellStyle name="Currency 3 2 3 3 4 2 2" xfId="6270" xr:uid="{91582C73-ECC1-437F-AD4B-17CAB29EB513}"/>
    <cellStyle name="Currency 3 2 3 3 4 2 2 2" xfId="9742" xr:uid="{5798420B-8415-4E5B-9A28-09A4E7FAA839}"/>
    <cellStyle name="Currency 3 2 3 3 4 2 2 2 2" xfId="23793" xr:uid="{54DB794A-9118-4D90-8825-B1804636D339}"/>
    <cellStyle name="Currency 3 2 3 3 4 2 2 3" xfId="12346" xr:uid="{90C76978-08F0-4625-A0CB-42AB10D45630}"/>
    <cellStyle name="Currency 3 2 3 3 4 2 2 3 2" xfId="26397" xr:uid="{7795AA07-F2D7-4826-9A0E-3611F27A4292}"/>
    <cellStyle name="Currency 3 2 3 3 4 2 2 4" xfId="20321" xr:uid="{CE2E36F3-E779-48AF-810E-A6E41BAA99A9}"/>
    <cellStyle name="Currency 3 2 3 3 4 2 3" xfId="7138" xr:uid="{83FC3ADE-2E87-49B2-8D29-71F8117D5328}"/>
    <cellStyle name="Currency 3 2 3 3 4 2 3 2" xfId="10610" xr:uid="{B467FE52-91E9-45B5-98C7-87C9E320ED18}"/>
    <cellStyle name="Currency 3 2 3 3 4 2 3 2 2" xfId="24661" xr:uid="{8E5054D2-C510-4A31-9B87-4A6A6E508E78}"/>
    <cellStyle name="Currency 3 2 3 3 4 2 3 3" xfId="13214" xr:uid="{FEDFF344-17FF-4B0F-B0FE-FF42DE10380D}"/>
    <cellStyle name="Currency 3 2 3 3 4 2 3 3 2" xfId="27265" xr:uid="{1638338F-C364-4421-81B7-DF39E2E83044}"/>
    <cellStyle name="Currency 3 2 3 3 4 2 3 4" xfId="21189" xr:uid="{1AC5A62E-F7A8-4992-A1CB-AD650243899A}"/>
    <cellStyle name="Currency 3 2 3 3 4 2 4" xfId="8874" xr:uid="{0C78CA2D-8DA5-4B59-958B-4D8AE5AD88B2}"/>
    <cellStyle name="Currency 3 2 3 3 4 2 4 2" xfId="14082" xr:uid="{E358B13F-3E0E-467B-B469-E91AA42238CF}"/>
    <cellStyle name="Currency 3 2 3 3 4 2 4 2 2" xfId="28133" xr:uid="{E0BEB1DA-E6E4-4B49-B2A9-DA29FB95CE55}"/>
    <cellStyle name="Currency 3 2 3 3 4 2 4 3" xfId="22925" xr:uid="{233DCB20-478A-4CB2-B178-08F4AAC2AE82}"/>
    <cellStyle name="Currency 3 2 3 3 4 2 5" xfId="8006" xr:uid="{94B720E9-7853-418A-9B3C-33FD9C427BEC}"/>
    <cellStyle name="Currency 3 2 3 3 4 2 5 2" xfId="22057" xr:uid="{8A3DBAA0-21E5-4AA8-A2EC-749AE955AA1C}"/>
    <cellStyle name="Currency 3 2 3 3 4 2 6" xfId="11478" xr:uid="{3D8889FE-C87A-4E4E-AEB2-0C0B12B96F11}"/>
    <cellStyle name="Currency 3 2 3 3 4 2 6 2" xfId="25529" xr:uid="{71A8FFD4-D2C0-4098-B0AA-20ED516AAF85}"/>
    <cellStyle name="Currency 3 2 3 3 4 2 7" xfId="19453" xr:uid="{D2551A25-163B-472F-A44A-82EB228E066E}"/>
    <cellStyle name="Currency 3 2 3 3 4 3" xfId="5836" xr:uid="{D2E00F8D-09F1-446D-81D5-23B733D6D041}"/>
    <cellStyle name="Currency 3 2 3 3 4 3 2" xfId="9308" xr:uid="{B4EB045A-5964-49FB-AD39-9DE340EA2389}"/>
    <cellStyle name="Currency 3 2 3 3 4 3 2 2" xfId="23359" xr:uid="{0B1D2B54-4F59-43CC-96C9-306826B38FD6}"/>
    <cellStyle name="Currency 3 2 3 3 4 3 3" xfId="11912" xr:uid="{08726FD7-03B0-473E-AAC0-22D91B70DD9F}"/>
    <cellStyle name="Currency 3 2 3 3 4 3 3 2" xfId="25963" xr:uid="{19548356-3AC3-42DB-8CDE-993A2FE25173}"/>
    <cellStyle name="Currency 3 2 3 3 4 3 4" xfId="19887" xr:uid="{213ED0EB-9C8F-4E18-AB46-5F285F7BEB6E}"/>
    <cellStyle name="Currency 3 2 3 3 4 4" xfId="6704" xr:uid="{B6867586-D4A1-4532-B9DE-6AF783B13C7C}"/>
    <cellStyle name="Currency 3 2 3 3 4 4 2" xfId="10176" xr:uid="{238F8B94-7510-4B34-AA55-9466A8F12870}"/>
    <cellStyle name="Currency 3 2 3 3 4 4 2 2" xfId="24227" xr:uid="{5BF31A90-7DFD-4886-8838-21B1C429BDAB}"/>
    <cellStyle name="Currency 3 2 3 3 4 4 3" xfId="12780" xr:uid="{7C10E41B-CC08-4866-9692-DB642946DEBD}"/>
    <cellStyle name="Currency 3 2 3 3 4 4 3 2" xfId="26831" xr:uid="{4A68390F-8191-4E50-A649-D5755FF42C71}"/>
    <cellStyle name="Currency 3 2 3 3 4 4 4" xfId="20755" xr:uid="{77522FBE-D290-418D-9B98-8311CF382E64}"/>
    <cellStyle name="Currency 3 2 3 3 4 5" xfId="8440" xr:uid="{E8D6BDFC-D5DC-44A3-AFC0-BB2A5D74813B}"/>
    <cellStyle name="Currency 3 2 3 3 4 5 2" xfId="13648" xr:uid="{5D6AC711-8B70-4F78-B04D-1207EE5BC985}"/>
    <cellStyle name="Currency 3 2 3 3 4 5 2 2" xfId="27699" xr:uid="{A46B2952-CE00-42A5-9807-811C11783C8E}"/>
    <cellStyle name="Currency 3 2 3 3 4 5 3" xfId="22491" xr:uid="{E9806CF7-3B2F-4FE1-84E4-7797E7EC3948}"/>
    <cellStyle name="Currency 3 2 3 3 4 6" xfId="7572" xr:uid="{4C69C452-F719-46F8-A1FC-EB3FBEF2AC1F}"/>
    <cellStyle name="Currency 3 2 3 3 4 6 2" xfId="21623" xr:uid="{4960134B-5D24-48E4-B85E-D9901D027537}"/>
    <cellStyle name="Currency 3 2 3 3 4 7" xfId="11044" xr:uid="{7413448B-FC40-4235-84E0-05E419055DEE}"/>
    <cellStyle name="Currency 3 2 3 3 4 7 2" xfId="25095" xr:uid="{A4C57EE5-2F6C-4008-9115-1ADDFB10A7B0}"/>
    <cellStyle name="Currency 3 2 3 3 4 8" xfId="18792" xr:uid="{5DD2FA0C-D181-44E0-8BA6-0107F96207B1}"/>
    <cellStyle name="Currency 3 2 3 3 5" xfId="5032" xr:uid="{82258201-13F1-4FB4-B69E-9C137ECD257E}"/>
    <cellStyle name="Currency 3 2 3 3 5 2" xfId="5900" xr:uid="{42A6BD16-8D72-4A93-B771-F7535ED0DC61}"/>
    <cellStyle name="Currency 3 2 3 3 5 2 2" xfId="9372" xr:uid="{9B8B5EA2-11F7-4276-AD7C-424D1CE5BD57}"/>
    <cellStyle name="Currency 3 2 3 3 5 2 2 2" xfId="23423" xr:uid="{4AAA32CB-43E6-455F-AC47-0DB9AE5E28AC}"/>
    <cellStyle name="Currency 3 2 3 3 5 2 3" xfId="11976" xr:uid="{B3179240-C930-42FE-8737-59A0AF65AF8F}"/>
    <cellStyle name="Currency 3 2 3 3 5 2 3 2" xfId="26027" xr:uid="{EA85E01A-961D-41B1-9E33-E005A14E5EB1}"/>
    <cellStyle name="Currency 3 2 3 3 5 2 4" xfId="19951" xr:uid="{64F0683D-A407-4EA6-97E0-03C96A77D694}"/>
    <cellStyle name="Currency 3 2 3 3 5 3" xfId="6768" xr:uid="{6EF093E1-005F-4C12-869A-DE9F9078474D}"/>
    <cellStyle name="Currency 3 2 3 3 5 3 2" xfId="10240" xr:uid="{0F302275-0340-468E-B8E9-8D074A72BD2E}"/>
    <cellStyle name="Currency 3 2 3 3 5 3 2 2" xfId="24291" xr:uid="{AD1302CC-5DD0-4535-B2F9-E57D4A90F231}"/>
    <cellStyle name="Currency 3 2 3 3 5 3 3" xfId="12844" xr:uid="{192CFEF2-17C8-4EA3-AEE8-B0CD18C9C235}"/>
    <cellStyle name="Currency 3 2 3 3 5 3 3 2" xfId="26895" xr:uid="{D9ECD10B-3719-4060-BCB1-63578D438F27}"/>
    <cellStyle name="Currency 3 2 3 3 5 3 4" xfId="20819" xr:uid="{E85860AF-B4C2-4909-AD41-A205549676AB}"/>
    <cellStyle name="Currency 3 2 3 3 5 4" xfId="8504" xr:uid="{3E68CD50-3746-40D9-BB2D-5B08BEE2DC74}"/>
    <cellStyle name="Currency 3 2 3 3 5 4 2" xfId="13712" xr:uid="{F0F79C39-AC7B-47EF-BCDF-97195A640EED}"/>
    <cellStyle name="Currency 3 2 3 3 5 4 2 2" xfId="27763" xr:uid="{602015F4-8F3B-4A2A-9BEF-A7EB6D86ECB4}"/>
    <cellStyle name="Currency 3 2 3 3 5 4 3" xfId="22555" xr:uid="{2B7E8CB5-8D52-4F4D-8B75-575B8D83409C}"/>
    <cellStyle name="Currency 3 2 3 3 5 5" xfId="7636" xr:uid="{D4AD3E1F-16EF-4342-8B38-E1236BC2C1FF}"/>
    <cellStyle name="Currency 3 2 3 3 5 5 2" xfId="21687" xr:uid="{ADDB4A20-5862-4780-8621-ECA174BA415E}"/>
    <cellStyle name="Currency 3 2 3 3 5 6" xfId="11108" xr:uid="{E69D430C-1289-465B-9C72-A19433338102}"/>
    <cellStyle name="Currency 3 2 3 3 5 6 2" xfId="25159" xr:uid="{7EC94019-25DF-4333-B4A0-EF89DECE7B22}"/>
    <cellStyle name="Currency 3 2 3 3 5 7" xfId="19083" xr:uid="{A937EB13-A30A-43E0-89BE-441B3E0AB518}"/>
    <cellStyle name="Currency 3 2 3 3 6" xfId="5466" xr:uid="{563426F0-5A2A-49D6-9170-AD72322BFACB}"/>
    <cellStyle name="Currency 3 2 3 3 6 2" xfId="8938" xr:uid="{9869F8F6-493C-41DE-8DEF-A527503931F7}"/>
    <cellStyle name="Currency 3 2 3 3 6 2 2" xfId="22989" xr:uid="{9E779E36-0BCA-46A3-B3D8-E8435BE75DA3}"/>
    <cellStyle name="Currency 3 2 3 3 6 3" xfId="11542" xr:uid="{83FB7DCF-17DF-4E55-A887-FFE0D40E1D09}"/>
    <cellStyle name="Currency 3 2 3 3 6 3 2" xfId="25593" xr:uid="{5F7D08AD-A207-4FF5-A1A4-DF0C12D08D00}"/>
    <cellStyle name="Currency 3 2 3 3 6 4" xfId="19517" xr:uid="{877432D0-0E4E-4EDA-8BAC-47209E488D5C}"/>
    <cellStyle name="Currency 3 2 3 3 7" xfId="6334" xr:uid="{2C2862F8-31D3-48FC-9E08-B3EE55B2C4EB}"/>
    <cellStyle name="Currency 3 2 3 3 7 2" xfId="9806" xr:uid="{97945323-BC50-4E78-8408-BD7C3C85BAA4}"/>
    <cellStyle name="Currency 3 2 3 3 7 2 2" xfId="23857" xr:uid="{A94C0410-801C-45E1-B174-532C0AD7CDD5}"/>
    <cellStyle name="Currency 3 2 3 3 7 3" xfId="12410" xr:uid="{22C40CF7-39C4-4F82-B7B4-7C49D8FF230F}"/>
    <cellStyle name="Currency 3 2 3 3 7 3 2" xfId="26461" xr:uid="{F7EE3CD3-7882-4790-BD39-1B8714A1DF43}"/>
    <cellStyle name="Currency 3 2 3 3 7 4" xfId="20385" xr:uid="{6E019BD7-A497-4DF3-87FD-EDC1A5373CF8}"/>
    <cellStyle name="Currency 3 2 3 3 8" xfId="8070" xr:uid="{88444C79-E338-4B6B-B546-E486BB8884AE}"/>
    <cellStyle name="Currency 3 2 3 3 8 2" xfId="13278" xr:uid="{4ACA2BDB-327F-4692-BF1E-F82AD2A23D1C}"/>
    <cellStyle name="Currency 3 2 3 3 8 2 2" xfId="27329" xr:uid="{54EA2DB1-D34C-4E17-BDDF-D1D4019597EF}"/>
    <cellStyle name="Currency 3 2 3 3 8 3" xfId="22121" xr:uid="{7DA991B3-81C1-41E1-91AF-E4BB1BDCFA70}"/>
    <cellStyle name="Currency 3 2 3 3 9" xfId="7202" xr:uid="{8CD99AA2-B3B4-43E6-9F54-A67D56F8F8F4}"/>
    <cellStyle name="Currency 3 2 3 3 9 2" xfId="21253" xr:uid="{E3A10287-649B-4AEB-BE72-2A5C63B60C2B}"/>
    <cellStyle name="Currency 3 2 3 4" xfId="875" xr:uid="{1770120F-090C-4C5D-96BB-27C6A08C8C99}"/>
    <cellStyle name="Currency 3 2 3 4 10" xfId="14925" xr:uid="{7DA14555-0C23-4613-AC7D-49335BEBBE24}"/>
    <cellStyle name="Currency 3 2 3 4 2" xfId="1974" xr:uid="{E86DEC98-4BB3-426C-B468-35C573B8F573}"/>
    <cellStyle name="Currency 3 2 3 4 2 2" xfId="4163" xr:uid="{603AD26F-2CF4-4CBE-9761-DBC101190986}"/>
    <cellStyle name="Currency 3 2 3 4 2 2 2" xfId="5351" xr:uid="{66F56501-C257-466C-A099-64ACB16CACBC}"/>
    <cellStyle name="Currency 3 2 3 4 2 2 2 2" xfId="6219" xr:uid="{80E936DC-4367-49AA-B2EF-A9E8C2CE9812}"/>
    <cellStyle name="Currency 3 2 3 4 2 2 2 2 2" xfId="9691" xr:uid="{FBB2E740-79C5-401C-80A3-27ED82888C79}"/>
    <cellStyle name="Currency 3 2 3 4 2 2 2 2 2 2" xfId="23742" xr:uid="{554F89CA-2519-4563-AE4D-1F93DB7CC93C}"/>
    <cellStyle name="Currency 3 2 3 4 2 2 2 2 3" xfId="12295" xr:uid="{1C16AE79-6592-41F8-B12D-4FE6E9D9BAF6}"/>
    <cellStyle name="Currency 3 2 3 4 2 2 2 2 3 2" xfId="26346" xr:uid="{0BF4C4AA-C0AC-48D5-A007-33BC578521DF}"/>
    <cellStyle name="Currency 3 2 3 4 2 2 2 2 4" xfId="20270" xr:uid="{9A2D17C8-B584-43FC-9BED-44031C2CECC8}"/>
    <cellStyle name="Currency 3 2 3 4 2 2 2 3" xfId="7087" xr:uid="{F1F40244-0219-46BE-B340-5EADD2D6DD9B}"/>
    <cellStyle name="Currency 3 2 3 4 2 2 2 3 2" xfId="10559" xr:uid="{F2D3691F-2700-4A2E-972E-5C3278131C7A}"/>
    <cellStyle name="Currency 3 2 3 4 2 2 2 3 2 2" xfId="24610" xr:uid="{164E2488-5CC4-4D8C-A5EB-3F85E05D09D3}"/>
    <cellStyle name="Currency 3 2 3 4 2 2 2 3 3" xfId="13163" xr:uid="{9C983F16-0389-4776-ABA5-EFE006B9DDF7}"/>
    <cellStyle name="Currency 3 2 3 4 2 2 2 3 3 2" xfId="27214" xr:uid="{BF10B953-E038-4E3B-8981-48155515DCDB}"/>
    <cellStyle name="Currency 3 2 3 4 2 2 2 3 4" xfId="21138" xr:uid="{A552BED1-9D60-406F-B750-4671F05E5A8F}"/>
    <cellStyle name="Currency 3 2 3 4 2 2 2 4" xfId="8823" xr:uid="{DBD1CB96-34A5-4AC5-8010-3FE5F25436A7}"/>
    <cellStyle name="Currency 3 2 3 4 2 2 2 4 2" xfId="14031" xr:uid="{4F2914AD-4AC2-470B-809B-128988CD7D96}"/>
    <cellStyle name="Currency 3 2 3 4 2 2 2 4 2 2" xfId="28082" xr:uid="{022941B0-9DE6-45D0-AAAF-0F5EA28F8F36}"/>
    <cellStyle name="Currency 3 2 3 4 2 2 2 4 3" xfId="22874" xr:uid="{BB99209E-72D4-4592-B73F-8CB56CFFC342}"/>
    <cellStyle name="Currency 3 2 3 4 2 2 2 5" xfId="7955" xr:uid="{33BAA7EF-A8E8-44CB-A1C7-783024A90438}"/>
    <cellStyle name="Currency 3 2 3 4 2 2 2 5 2" xfId="22006" xr:uid="{95A50108-85B3-4ED5-B382-3D17D38A6610}"/>
    <cellStyle name="Currency 3 2 3 4 2 2 2 6" xfId="11427" xr:uid="{111AB4C2-2FD1-4A95-A48A-C215CD922C96}"/>
    <cellStyle name="Currency 3 2 3 4 2 2 2 6 2" xfId="25478" xr:uid="{0C19874C-6992-4B9C-A17D-8A91B530F890}"/>
    <cellStyle name="Currency 3 2 3 4 2 2 2 7" xfId="19402" xr:uid="{7579455E-505A-4438-B9EB-8FA01935B5EF}"/>
    <cellStyle name="Currency 3 2 3 4 2 2 3" xfId="5785" xr:uid="{D8988B73-45C1-4938-BC90-0A7B361405C7}"/>
    <cellStyle name="Currency 3 2 3 4 2 2 3 2" xfId="9257" xr:uid="{3A542C27-30D3-45C8-8E98-A47BDB20AD8F}"/>
    <cellStyle name="Currency 3 2 3 4 2 2 3 2 2" xfId="23308" xr:uid="{276305BD-C39C-4963-B871-D0C62F1AEA53}"/>
    <cellStyle name="Currency 3 2 3 4 2 2 3 3" xfId="11861" xr:uid="{6DE5EA42-897F-400F-AF87-2B3C460461DB}"/>
    <cellStyle name="Currency 3 2 3 4 2 2 3 3 2" xfId="25912" xr:uid="{BB5F0313-50C9-4609-9070-2ECBB4F982FE}"/>
    <cellStyle name="Currency 3 2 3 4 2 2 3 4" xfId="19836" xr:uid="{E7F6B870-EF46-4ABE-90CA-3BEDCD006014}"/>
    <cellStyle name="Currency 3 2 3 4 2 2 4" xfId="6653" xr:uid="{5DA9AD29-D825-453F-BB2F-51B1BF294AFE}"/>
    <cellStyle name="Currency 3 2 3 4 2 2 4 2" xfId="10125" xr:uid="{5D0B2623-52B5-4A6E-B7A3-7B59208124CA}"/>
    <cellStyle name="Currency 3 2 3 4 2 2 4 2 2" xfId="24176" xr:uid="{6A0DAD19-EFAA-4DB7-9222-D47EC8ABD184}"/>
    <cellStyle name="Currency 3 2 3 4 2 2 4 3" xfId="12729" xr:uid="{DE732260-CA17-4AD2-BBB0-F37578079197}"/>
    <cellStyle name="Currency 3 2 3 4 2 2 4 3 2" xfId="26780" xr:uid="{77A9B735-B2D0-42AA-AD5B-7A8841DA7CDA}"/>
    <cellStyle name="Currency 3 2 3 4 2 2 4 4" xfId="20704" xr:uid="{468B5D8C-EE3D-4743-8975-976F6B7D9832}"/>
    <cellStyle name="Currency 3 2 3 4 2 2 5" xfId="8389" xr:uid="{2F2E208B-A1C7-402E-A52F-DBFB379743A6}"/>
    <cellStyle name="Currency 3 2 3 4 2 2 5 2" xfId="13597" xr:uid="{4408C6C8-BA43-4120-B8C5-57D994D91D37}"/>
    <cellStyle name="Currency 3 2 3 4 2 2 5 2 2" xfId="27648" xr:uid="{2BF2287D-5FF1-40EB-AC4E-1DFBF9DD46C9}"/>
    <cellStyle name="Currency 3 2 3 4 2 2 5 3" xfId="22440" xr:uid="{A5C24530-1572-40CC-93F0-999523A1F47C}"/>
    <cellStyle name="Currency 3 2 3 4 2 2 6" xfId="7521" xr:uid="{E7F3944F-3CC5-4E53-81E8-D02CDF7F9A46}"/>
    <cellStyle name="Currency 3 2 3 4 2 2 6 2" xfId="21572" xr:uid="{3689E1F5-E56D-4034-AD4B-D46BD841B527}"/>
    <cellStyle name="Currency 3 2 3 4 2 2 7" xfId="10993" xr:uid="{24732E2B-5A43-48D5-8A49-EE91F713B800}"/>
    <cellStyle name="Currency 3 2 3 4 2 2 7 2" xfId="25044" xr:uid="{68F778F2-3EA2-4716-BF6E-F718654B36A7}"/>
    <cellStyle name="Currency 3 2 3 4 2 2 8" xfId="18214" xr:uid="{E31FF07E-4CEF-41B5-A8E8-40E3856EC01B}"/>
    <cellStyle name="Currency 3 2 3 4 2 3" xfId="5161" xr:uid="{F38DE555-D13E-4374-BD51-8BC6BDC866F1}"/>
    <cellStyle name="Currency 3 2 3 4 2 3 2" xfId="6029" xr:uid="{74D368F3-95C3-4A92-BB1F-9AB134914B4E}"/>
    <cellStyle name="Currency 3 2 3 4 2 3 2 2" xfId="9501" xr:uid="{4559E56E-0283-4EBD-A154-E082326A18D9}"/>
    <cellStyle name="Currency 3 2 3 4 2 3 2 2 2" xfId="23552" xr:uid="{1BC686F8-DB55-4EC4-BE3B-4E9CF3FF5234}"/>
    <cellStyle name="Currency 3 2 3 4 2 3 2 3" xfId="12105" xr:uid="{91A07F77-BD5D-46E8-897B-7FCCFF2DACD6}"/>
    <cellStyle name="Currency 3 2 3 4 2 3 2 3 2" xfId="26156" xr:uid="{D1D21C45-A9F8-4CA7-A8E9-D27CEE5E5547}"/>
    <cellStyle name="Currency 3 2 3 4 2 3 2 4" xfId="20080" xr:uid="{9D05EF51-C17F-461F-9081-E6426FDFAB4B}"/>
    <cellStyle name="Currency 3 2 3 4 2 3 3" xfId="6897" xr:uid="{0BFCD3A4-4524-4134-B6BF-039B4A48ADD7}"/>
    <cellStyle name="Currency 3 2 3 4 2 3 3 2" xfId="10369" xr:uid="{25E08DD3-FF31-47EE-8099-2594C4BED0A4}"/>
    <cellStyle name="Currency 3 2 3 4 2 3 3 2 2" xfId="24420" xr:uid="{8FE15709-2DBF-4F62-8C8A-5B26067C30FC}"/>
    <cellStyle name="Currency 3 2 3 4 2 3 3 3" xfId="12973" xr:uid="{40AC4CCF-2675-4B23-975E-6C050EEE132A}"/>
    <cellStyle name="Currency 3 2 3 4 2 3 3 3 2" xfId="27024" xr:uid="{8FF5FBB8-15AD-4C36-B622-C778F6BB42AD}"/>
    <cellStyle name="Currency 3 2 3 4 2 3 3 4" xfId="20948" xr:uid="{533E2E21-4270-49A5-9583-8DAE7FFEB05A}"/>
    <cellStyle name="Currency 3 2 3 4 2 3 4" xfId="8633" xr:uid="{CB89B591-7C74-48B6-8A4B-2A31BDE1F9F2}"/>
    <cellStyle name="Currency 3 2 3 4 2 3 4 2" xfId="13841" xr:uid="{D5B3A36A-B56A-4DE9-9E8E-D76327BBEBE3}"/>
    <cellStyle name="Currency 3 2 3 4 2 3 4 2 2" xfId="27892" xr:uid="{48738CA5-88E2-4816-9FAC-35DBBE5DC514}"/>
    <cellStyle name="Currency 3 2 3 4 2 3 4 3" xfId="22684" xr:uid="{D8B950E1-B3FA-42DA-ABAE-CA3DFBF996B2}"/>
    <cellStyle name="Currency 3 2 3 4 2 3 5" xfId="7765" xr:uid="{F9977486-25F8-4AD7-8ADF-321197288EFE}"/>
    <cellStyle name="Currency 3 2 3 4 2 3 5 2" xfId="21816" xr:uid="{789D275A-94F9-41E3-94E5-92E90089BAE9}"/>
    <cellStyle name="Currency 3 2 3 4 2 3 6" xfId="11237" xr:uid="{669022D3-90E9-4A51-9723-5C85467F5202}"/>
    <cellStyle name="Currency 3 2 3 4 2 3 6 2" xfId="25288" xr:uid="{46F93997-28FB-4761-8EE7-DA3EE6BF23A6}"/>
    <cellStyle name="Currency 3 2 3 4 2 3 7" xfId="19212" xr:uid="{7529B24C-7411-42BB-829C-06079EC97ADA}"/>
    <cellStyle name="Currency 3 2 3 4 2 4" xfId="5595" xr:uid="{BA7E351A-2663-465A-B3EB-5EBAB965B571}"/>
    <cellStyle name="Currency 3 2 3 4 2 4 2" xfId="9067" xr:uid="{7D54EEF4-CD65-473F-8EA2-7D28B07951D9}"/>
    <cellStyle name="Currency 3 2 3 4 2 4 2 2" xfId="23118" xr:uid="{B72D8DB9-9C7A-429A-B16C-C4FEE90E134A}"/>
    <cellStyle name="Currency 3 2 3 4 2 4 3" xfId="11671" xr:uid="{D10FC27B-BAFD-4DC6-9167-AEEAF8B59C52}"/>
    <cellStyle name="Currency 3 2 3 4 2 4 3 2" xfId="25722" xr:uid="{8AC99272-D79B-4442-8CBE-075AFA3E9504}"/>
    <cellStyle name="Currency 3 2 3 4 2 4 4" xfId="19646" xr:uid="{E14CA029-C683-4913-94DA-4768604D075A}"/>
    <cellStyle name="Currency 3 2 3 4 2 5" xfId="6463" xr:uid="{71939C85-01D1-404C-BA10-122838EF406A}"/>
    <cellStyle name="Currency 3 2 3 4 2 5 2" xfId="9935" xr:uid="{434EDFF1-F3A0-43C1-A4F5-3A3D22467F48}"/>
    <cellStyle name="Currency 3 2 3 4 2 5 2 2" xfId="23986" xr:uid="{874D0E6F-C144-4CCC-B471-987C46FB4702}"/>
    <cellStyle name="Currency 3 2 3 4 2 5 3" xfId="12539" xr:uid="{D1828C93-F369-4D82-AFDF-DB7362B031AF}"/>
    <cellStyle name="Currency 3 2 3 4 2 5 3 2" xfId="26590" xr:uid="{E48BF2C2-4608-4430-AD67-D3D540D0D644}"/>
    <cellStyle name="Currency 3 2 3 4 2 5 4" xfId="20514" xr:uid="{CF4930E3-54C1-422A-84FB-0801727F8E91}"/>
    <cellStyle name="Currency 3 2 3 4 2 6" xfId="8199" xr:uid="{6DF2C9D4-B6B6-44F2-87CE-422E7AFD73F5}"/>
    <cellStyle name="Currency 3 2 3 4 2 6 2" xfId="13407" xr:uid="{4FCBCF14-E509-4313-B13A-37CA282263A9}"/>
    <cellStyle name="Currency 3 2 3 4 2 6 2 2" xfId="27458" xr:uid="{D91D4833-4B81-43C6-A31D-BE01786E9187}"/>
    <cellStyle name="Currency 3 2 3 4 2 6 3" xfId="22250" xr:uid="{FC699AF4-15F4-4522-86F1-AD61B1F537FF}"/>
    <cellStyle name="Currency 3 2 3 4 2 7" xfId="7331" xr:uid="{5A40A044-7469-4E9C-89AF-D0DAC68E2BD7}"/>
    <cellStyle name="Currency 3 2 3 4 2 7 2" xfId="21382" xr:uid="{10A3A19A-6F5C-4394-936F-2B0D726CC219}"/>
    <cellStyle name="Currency 3 2 3 4 2 8" xfId="10803" xr:uid="{6842846A-5BE7-407D-BE87-06CA96C56448}"/>
    <cellStyle name="Currency 3 2 3 4 2 8 2" xfId="24854" xr:uid="{7FD84059-E511-4E4E-86DF-7986B6246A73}"/>
    <cellStyle name="Currency 3 2 3 4 2 9" xfId="16023" xr:uid="{A954A16A-26C9-4946-A842-6942CDC9C57C}"/>
    <cellStyle name="Currency 3 2 3 4 3" xfId="3067" xr:uid="{12CEFDC8-688A-4CD4-A4BD-9C128F446B19}"/>
    <cellStyle name="Currency 3 2 3 4 3 2" xfId="5256" xr:uid="{4B7852CD-3C6B-4D60-BA82-DE4B090286D7}"/>
    <cellStyle name="Currency 3 2 3 4 3 2 2" xfId="6124" xr:uid="{43250C32-DA3D-44A1-817C-CC5B6D064290}"/>
    <cellStyle name="Currency 3 2 3 4 3 2 2 2" xfId="9596" xr:uid="{F1428898-BE0D-4197-8B0D-A9306F575ADD}"/>
    <cellStyle name="Currency 3 2 3 4 3 2 2 2 2" xfId="23647" xr:uid="{8851743A-59CF-45B7-809C-7EB8718338B4}"/>
    <cellStyle name="Currency 3 2 3 4 3 2 2 3" xfId="12200" xr:uid="{830B7CC7-BA80-44D5-A33B-5039154F0C11}"/>
    <cellStyle name="Currency 3 2 3 4 3 2 2 3 2" xfId="26251" xr:uid="{24415939-2F76-4FCE-9DCB-8746E86330F9}"/>
    <cellStyle name="Currency 3 2 3 4 3 2 2 4" xfId="20175" xr:uid="{A701D1AA-FBE2-4438-A917-AE4599969378}"/>
    <cellStyle name="Currency 3 2 3 4 3 2 3" xfId="6992" xr:uid="{DC26BE8D-A453-41CF-8DCD-0173D14297BE}"/>
    <cellStyle name="Currency 3 2 3 4 3 2 3 2" xfId="10464" xr:uid="{1982F449-F8C4-4331-A723-093DBE3AB672}"/>
    <cellStyle name="Currency 3 2 3 4 3 2 3 2 2" xfId="24515" xr:uid="{494B0750-480E-41CF-9D89-AF68978C89AA}"/>
    <cellStyle name="Currency 3 2 3 4 3 2 3 3" xfId="13068" xr:uid="{59E1855E-8AC9-40F6-A78D-D6F6F67CB322}"/>
    <cellStyle name="Currency 3 2 3 4 3 2 3 3 2" xfId="27119" xr:uid="{0D323954-9261-49E0-B3F4-9067073537D6}"/>
    <cellStyle name="Currency 3 2 3 4 3 2 3 4" xfId="21043" xr:uid="{906D7D9F-44FC-4150-B026-7637A7732ADE}"/>
    <cellStyle name="Currency 3 2 3 4 3 2 4" xfId="8728" xr:uid="{5409D681-6DF0-48A2-8FD4-D69C71323697}"/>
    <cellStyle name="Currency 3 2 3 4 3 2 4 2" xfId="13936" xr:uid="{A6F93BFA-68D4-46DB-BBD5-99EC1CCE1054}"/>
    <cellStyle name="Currency 3 2 3 4 3 2 4 2 2" xfId="27987" xr:uid="{EF75D719-1CBA-4318-ACAD-8FF679910FF9}"/>
    <cellStyle name="Currency 3 2 3 4 3 2 4 3" xfId="22779" xr:uid="{09066136-7C0B-481F-9451-E899719695D1}"/>
    <cellStyle name="Currency 3 2 3 4 3 2 5" xfId="7860" xr:uid="{8448E78C-97D0-47E8-A257-FC0A98423F08}"/>
    <cellStyle name="Currency 3 2 3 4 3 2 5 2" xfId="21911" xr:uid="{EC034809-41AD-46E7-ACAB-2868070B1131}"/>
    <cellStyle name="Currency 3 2 3 4 3 2 6" xfId="11332" xr:uid="{301711F2-6A13-43F4-AD23-ACC12BC5866D}"/>
    <cellStyle name="Currency 3 2 3 4 3 2 6 2" xfId="25383" xr:uid="{25DE0B58-BAFC-406E-9AE2-D94E1EAF02B4}"/>
    <cellStyle name="Currency 3 2 3 4 3 2 7" xfId="19307" xr:uid="{4A3E7CF6-C443-4F20-B992-44736A7DCBA4}"/>
    <cellStyle name="Currency 3 2 3 4 3 3" xfId="5690" xr:uid="{4CFA4A40-93DE-493D-82DF-DA47C96D13BF}"/>
    <cellStyle name="Currency 3 2 3 4 3 3 2" xfId="9162" xr:uid="{08FA9F01-2ABC-4E36-8442-5A70EDEE35C1}"/>
    <cellStyle name="Currency 3 2 3 4 3 3 2 2" xfId="23213" xr:uid="{A7191D4A-2072-4A96-B0D1-F2346EC3EB07}"/>
    <cellStyle name="Currency 3 2 3 4 3 3 3" xfId="11766" xr:uid="{10BDC297-5B32-4785-949C-3761242D5523}"/>
    <cellStyle name="Currency 3 2 3 4 3 3 3 2" xfId="25817" xr:uid="{9FBEF059-D617-42BE-9122-DC0A8807F42B}"/>
    <cellStyle name="Currency 3 2 3 4 3 3 4" xfId="19741" xr:uid="{3FA6B408-9AC6-4101-B9CC-C8F4F501E772}"/>
    <cellStyle name="Currency 3 2 3 4 3 4" xfId="6558" xr:uid="{CA838EA5-130C-414A-B20C-195DDF1D2738}"/>
    <cellStyle name="Currency 3 2 3 4 3 4 2" xfId="10030" xr:uid="{9DCA7841-3447-46F0-9CE9-FF7F5033A31E}"/>
    <cellStyle name="Currency 3 2 3 4 3 4 2 2" xfId="24081" xr:uid="{F37F59D1-8DC5-488F-A98E-04F06CE2F89A}"/>
    <cellStyle name="Currency 3 2 3 4 3 4 3" xfId="12634" xr:uid="{459DDA01-4602-4BE2-B88A-76761DE35D59}"/>
    <cellStyle name="Currency 3 2 3 4 3 4 3 2" xfId="26685" xr:uid="{7C2230CF-3E59-4454-AC3F-A43BBE5CB61C}"/>
    <cellStyle name="Currency 3 2 3 4 3 4 4" xfId="20609" xr:uid="{ECA090EA-0A4E-4341-A65B-16840C27119F}"/>
    <cellStyle name="Currency 3 2 3 4 3 5" xfId="8294" xr:uid="{EA90627C-74C6-4639-8DB8-389600D2656D}"/>
    <cellStyle name="Currency 3 2 3 4 3 5 2" xfId="13502" xr:uid="{0260248A-2800-4061-A3BE-064922755B09}"/>
    <cellStyle name="Currency 3 2 3 4 3 5 2 2" xfId="27553" xr:uid="{FCBED808-9105-4A94-B9F4-480F4C083121}"/>
    <cellStyle name="Currency 3 2 3 4 3 5 3" xfId="22345" xr:uid="{E35218D6-EEA1-4864-99E1-B8D62A15DC5E}"/>
    <cellStyle name="Currency 3 2 3 4 3 6" xfId="7426" xr:uid="{2ADFB7A6-0F55-487E-9BD3-823ABDD50CF3}"/>
    <cellStyle name="Currency 3 2 3 4 3 6 2" xfId="21477" xr:uid="{266C551D-883D-4BA2-9FFE-E38EE1ECA065}"/>
    <cellStyle name="Currency 3 2 3 4 3 7" xfId="10898" xr:uid="{4B01372E-AFA1-4B21-84D0-090DD89E75C2}"/>
    <cellStyle name="Currency 3 2 3 4 3 7 2" xfId="24949" xr:uid="{9B81BF4A-F935-4B72-8FA9-59BB50D37B31}"/>
    <cellStyle name="Currency 3 2 3 4 3 8" xfId="17119" xr:uid="{CADB9094-DED1-431D-83B9-26201D8BF766}"/>
    <cellStyle name="Currency 3 2 3 4 4" xfId="5064" xr:uid="{8EC5CCCC-4548-45A2-8D64-84CDE3BB9332}"/>
    <cellStyle name="Currency 3 2 3 4 4 2" xfId="5932" xr:uid="{E08A7999-9DE9-498B-8A8F-13A47836C1FD}"/>
    <cellStyle name="Currency 3 2 3 4 4 2 2" xfId="9404" xr:uid="{ECC71AB5-7328-42F5-BAE5-80798E2B5386}"/>
    <cellStyle name="Currency 3 2 3 4 4 2 2 2" xfId="23455" xr:uid="{EB4F3A61-5991-4CB4-A4DC-4858294C9652}"/>
    <cellStyle name="Currency 3 2 3 4 4 2 3" xfId="12008" xr:uid="{DA69DBA2-3A49-4D27-9B75-F5E1E64E8C3A}"/>
    <cellStyle name="Currency 3 2 3 4 4 2 3 2" xfId="26059" xr:uid="{676FF25F-F867-4897-BA8E-331796464262}"/>
    <cellStyle name="Currency 3 2 3 4 4 2 4" xfId="19983" xr:uid="{894D08B8-AACB-4A49-9322-DDF28D968394}"/>
    <cellStyle name="Currency 3 2 3 4 4 3" xfId="6800" xr:uid="{69735FCE-43E6-470F-89C7-7A369FC00D61}"/>
    <cellStyle name="Currency 3 2 3 4 4 3 2" xfId="10272" xr:uid="{C76409C1-147F-4BB4-A2CE-FD6055A2D5EA}"/>
    <cellStyle name="Currency 3 2 3 4 4 3 2 2" xfId="24323" xr:uid="{6F31BC14-6BE7-4C55-89FC-BBD2CCE98B8F}"/>
    <cellStyle name="Currency 3 2 3 4 4 3 3" xfId="12876" xr:uid="{502BCBD1-7510-4BC5-B289-6A97C4E41883}"/>
    <cellStyle name="Currency 3 2 3 4 4 3 3 2" xfId="26927" xr:uid="{DE488318-C313-4BFD-B2F6-877E16EE4DD4}"/>
    <cellStyle name="Currency 3 2 3 4 4 3 4" xfId="20851" xr:uid="{AA6A7856-25F0-41CE-85EA-F2F3999B73A4}"/>
    <cellStyle name="Currency 3 2 3 4 4 4" xfId="8536" xr:uid="{823417FB-CD62-4A39-AEC8-6AC962878075}"/>
    <cellStyle name="Currency 3 2 3 4 4 4 2" xfId="13744" xr:uid="{C0AD0A8E-979C-45DF-AD32-F3DA98A63290}"/>
    <cellStyle name="Currency 3 2 3 4 4 4 2 2" xfId="27795" xr:uid="{7B2C571B-8C16-416A-9DC6-AEBED5ACEEB7}"/>
    <cellStyle name="Currency 3 2 3 4 4 4 3" xfId="22587" xr:uid="{283F5F33-552C-4D2D-A903-7FD978EEFCBA}"/>
    <cellStyle name="Currency 3 2 3 4 4 5" xfId="7668" xr:uid="{8BD6A454-028B-4A1A-8F7F-78A3BFFC26F2}"/>
    <cellStyle name="Currency 3 2 3 4 4 5 2" xfId="21719" xr:uid="{5E3F0EDD-B8CF-46B9-B7B4-F2CCDD27D854}"/>
    <cellStyle name="Currency 3 2 3 4 4 6" xfId="11140" xr:uid="{C1919AC3-8702-4BC7-AABB-641FB46CE379}"/>
    <cellStyle name="Currency 3 2 3 4 4 6 2" xfId="25191" xr:uid="{A1B03815-9529-4B33-8D24-BD173B1D42FF}"/>
    <cellStyle name="Currency 3 2 3 4 4 7" xfId="19115" xr:uid="{1720E752-48DE-4654-905C-D7B2FDB9C21D}"/>
    <cellStyle name="Currency 3 2 3 4 5" xfId="5498" xr:uid="{DBC380FB-89F4-4CD2-B49A-DAD1CCBDFB36}"/>
    <cellStyle name="Currency 3 2 3 4 5 2" xfId="8970" xr:uid="{8C74692B-61AC-49CB-88C6-5CF53FDC3FAA}"/>
    <cellStyle name="Currency 3 2 3 4 5 2 2" xfId="23021" xr:uid="{F8D1318E-C894-4080-9859-2981C15B9391}"/>
    <cellStyle name="Currency 3 2 3 4 5 3" xfId="11574" xr:uid="{CAF6350C-CC2E-4A74-8185-77087CEA8F06}"/>
    <cellStyle name="Currency 3 2 3 4 5 3 2" xfId="25625" xr:uid="{D1B2D51A-81E3-4B65-959B-DF922AFEACF4}"/>
    <cellStyle name="Currency 3 2 3 4 5 4" xfId="19549" xr:uid="{01E15569-AE32-4AEC-8809-C99201A5F08B}"/>
    <cellStyle name="Currency 3 2 3 4 6" xfId="6366" xr:uid="{27F2B561-08A2-495C-8E66-E4A5D3AFD41A}"/>
    <cellStyle name="Currency 3 2 3 4 6 2" xfId="9838" xr:uid="{79526C62-EA4A-4804-9FC0-DE8D09DA661C}"/>
    <cellStyle name="Currency 3 2 3 4 6 2 2" xfId="23889" xr:uid="{B33E8E6E-2D58-4996-AB24-E9B46370A531}"/>
    <cellStyle name="Currency 3 2 3 4 6 3" xfId="12442" xr:uid="{5C0CF9C8-48C7-4BEC-9A34-4B3A6C45D69A}"/>
    <cellStyle name="Currency 3 2 3 4 6 3 2" xfId="26493" xr:uid="{2E65766D-3C38-4A48-97E9-AEDF561369AC}"/>
    <cellStyle name="Currency 3 2 3 4 6 4" xfId="20417" xr:uid="{420E33CF-9A03-4301-881A-E79F8C69EACB}"/>
    <cellStyle name="Currency 3 2 3 4 7" xfId="8102" xr:uid="{426059DC-8C9C-4C42-B912-F254A776AC69}"/>
    <cellStyle name="Currency 3 2 3 4 7 2" xfId="13310" xr:uid="{B7716102-139F-4C2E-8F09-30AD39CF8E71}"/>
    <cellStyle name="Currency 3 2 3 4 7 2 2" xfId="27361" xr:uid="{FAD806B1-253D-4508-AB26-0B269FF24802}"/>
    <cellStyle name="Currency 3 2 3 4 7 3" xfId="22153" xr:uid="{A8F80F90-7DB8-4D40-AF79-FD962B7D0EF1}"/>
    <cellStyle name="Currency 3 2 3 4 8" xfId="7234" xr:uid="{A18E4A0B-5697-46EB-9F72-0C1533A17068}"/>
    <cellStyle name="Currency 3 2 3 4 8 2" xfId="21285" xr:uid="{B5EE69D0-F340-4C64-B575-9825C128AD8F}"/>
    <cellStyle name="Currency 3 2 3 4 9" xfId="10706" xr:uid="{5585B298-3C4C-48F1-95E6-3F97F8A12FEB}"/>
    <cellStyle name="Currency 3 2 3 4 9 2" xfId="24757" xr:uid="{B197EE8E-6031-476D-A038-5BBC62E6480B}"/>
    <cellStyle name="Currency 3 2 3 5" xfId="1283" xr:uid="{773CBDAA-71AF-4AD8-86CE-A4D246F5FBCC}"/>
    <cellStyle name="Currency 3 2 3 5 2" xfId="3473" xr:uid="{918FF06C-43B8-4360-AE40-6381988A75D0}"/>
    <cellStyle name="Currency 3 2 3 5 2 2" xfId="5292" xr:uid="{F24C6A1E-0650-4B85-A4D9-2C97B25688A2}"/>
    <cellStyle name="Currency 3 2 3 5 2 2 2" xfId="6160" xr:uid="{90D4D8C2-186C-4824-91A7-AB02F641ADA3}"/>
    <cellStyle name="Currency 3 2 3 5 2 2 2 2" xfId="9632" xr:uid="{5BE6CB2B-0458-4982-850A-B0D8E50EFC7E}"/>
    <cellStyle name="Currency 3 2 3 5 2 2 2 2 2" xfId="23683" xr:uid="{227D704D-6E59-4D31-B3AF-3CEBE4FC88E0}"/>
    <cellStyle name="Currency 3 2 3 5 2 2 2 3" xfId="12236" xr:uid="{1A709228-4780-4DDA-A6FA-51466A72C595}"/>
    <cellStyle name="Currency 3 2 3 5 2 2 2 3 2" xfId="26287" xr:uid="{0B57359F-64D8-4CA6-8E11-4721037A0A43}"/>
    <cellStyle name="Currency 3 2 3 5 2 2 2 4" xfId="20211" xr:uid="{58D649DF-83E4-44CB-917C-53AD59E36DE3}"/>
    <cellStyle name="Currency 3 2 3 5 2 2 3" xfId="7028" xr:uid="{522762EE-7EAF-4140-896F-16766C66B308}"/>
    <cellStyle name="Currency 3 2 3 5 2 2 3 2" xfId="10500" xr:uid="{D622BF4E-B058-42A5-AD27-76CFE2DC4180}"/>
    <cellStyle name="Currency 3 2 3 5 2 2 3 2 2" xfId="24551" xr:uid="{1A1A26B3-388F-408F-BD6B-97A6EBD72F8F}"/>
    <cellStyle name="Currency 3 2 3 5 2 2 3 3" xfId="13104" xr:uid="{9C571745-5B62-4187-8061-7118904ED994}"/>
    <cellStyle name="Currency 3 2 3 5 2 2 3 3 2" xfId="27155" xr:uid="{9DBB6DFF-323A-47DE-8598-40B4A85163B2}"/>
    <cellStyle name="Currency 3 2 3 5 2 2 3 4" xfId="21079" xr:uid="{A780482E-BD21-4AEE-9BA7-B7035B5C69D1}"/>
    <cellStyle name="Currency 3 2 3 5 2 2 4" xfId="8764" xr:uid="{EA03ED43-445F-4491-9DD1-A89AEA6DBD7A}"/>
    <cellStyle name="Currency 3 2 3 5 2 2 4 2" xfId="13972" xr:uid="{1DAC2B4A-AED6-4011-8A41-6DDB1723F39C}"/>
    <cellStyle name="Currency 3 2 3 5 2 2 4 2 2" xfId="28023" xr:uid="{89DE0627-C935-4EC1-B6D5-984D008232F4}"/>
    <cellStyle name="Currency 3 2 3 5 2 2 4 3" xfId="22815" xr:uid="{2D657381-3A51-4496-A5D6-3027F12E8BB5}"/>
    <cellStyle name="Currency 3 2 3 5 2 2 5" xfId="7896" xr:uid="{DD0FA233-F8B3-4078-8B56-4E7E6AD1E7C7}"/>
    <cellStyle name="Currency 3 2 3 5 2 2 5 2" xfId="21947" xr:uid="{FF25033A-5336-40C4-BCAD-2AF3E681FF32}"/>
    <cellStyle name="Currency 3 2 3 5 2 2 6" xfId="11368" xr:uid="{D59E12EB-2C2F-475D-A552-1B97BD271339}"/>
    <cellStyle name="Currency 3 2 3 5 2 2 6 2" xfId="25419" xr:uid="{CB9EBF35-E61E-4D95-A9F2-F95659036E51}"/>
    <cellStyle name="Currency 3 2 3 5 2 2 7" xfId="19343" xr:uid="{211E9577-72AF-4EBE-8C93-416D1AF48CA0}"/>
    <cellStyle name="Currency 3 2 3 5 2 3" xfId="5726" xr:uid="{45E0E8EF-0C7B-4FC3-B3BF-03DD8691DB93}"/>
    <cellStyle name="Currency 3 2 3 5 2 3 2" xfId="9198" xr:uid="{54CA7C2C-9EF8-430D-A947-E3031F142C57}"/>
    <cellStyle name="Currency 3 2 3 5 2 3 2 2" xfId="23249" xr:uid="{36FEBB60-DA8D-4C65-A1E8-351027D091F8}"/>
    <cellStyle name="Currency 3 2 3 5 2 3 3" xfId="11802" xr:uid="{79272059-A5A0-46A7-A011-6347BB6C85CC}"/>
    <cellStyle name="Currency 3 2 3 5 2 3 3 2" xfId="25853" xr:uid="{B4DEDAE5-19CC-41F3-8E3E-E07FD90A54B1}"/>
    <cellStyle name="Currency 3 2 3 5 2 3 4" xfId="19777" xr:uid="{5AC3AA23-226D-48D7-9C5C-F90BC2C68460}"/>
    <cellStyle name="Currency 3 2 3 5 2 4" xfId="6594" xr:uid="{FABA07B1-85C2-4273-BE06-0CABD0B24544}"/>
    <cellStyle name="Currency 3 2 3 5 2 4 2" xfId="10066" xr:uid="{DBB8D14A-B91E-42D3-BF9F-EDCCFC0EADD0}"/>
    <cellStyle name="Currency 3 2 3 5 2 4 2 2" xfId="24117" xr:uid="{7BA2E6F4-E1E2-4B19-B428-12F32A80C8BF}"/>
    <cellStyle name="Currency 3 2 3 5 2 4 3" xfId="12670" xr:uid="{23227EDD-6231-46E1-81A2-31F9890986AE}"/>
    <cellStyle name="Currency 3 2 3 5 2 4 3 2" xfId="26721" xr:uid="{F3D641C9-03F9-4D17-8A70-BBBB0B494C7E}"/>
    <cellStyle name="Currency 3 2 3 5 2 4 4" xfId="20645" xr:uid="{826A941F-4CA8-49B9-927B-E565B3208B34}"/>
    <cellStyle name="Currency 3 2 3 5 2 5" xfId="8330" xr:uid="{B65F61DD-1254-4865-BD37-0E1E0F84358A}"/>
    <cellStyle name="Currency 3 2 3 5 2 5 2" xfId="13538" xr:uid="{A83AF324-84FB-4B8F-B297-0FC6C8FF14DA}"/>
    <cellStyle name="Currency 3 2 3 5 2 5 2 2" xfId="27589" xr:uid="{75F255E5-8957-41CC-A121-4E9026DA61AD}"/>
    <cellStyle name="Currency 3 2 3 5 2 5 3" xfId="22381" xr:uid="{97B62AE4-A664-48CE-A037-E7CB208DE465}"/>
    <cellStyle name="Currency 3 2 3 5 2 6" xfId="7462" xr:uid="{CFE4A713-65A1-4F94-A459-DF0A04244BC2}"/>
    <cellStyle name="Currency 3 2 3 5 2 6 2" xfId="21513" xr:uid="{D6B7AADC-FD8D-4559-A6FC-199A95A20F39}"/>
    <cellStyle name="Currency 3 2 3 5 2 7" xfId="10934" xr:uid="{6DCED831-2E24-4463-9FA3-B716695FCB21}"/>
    <cellStyle name="Currency 3 2 3 5 2 7 2" xfId="24985" xr:uid="{028E6BE1-A9BB-47D8-93E0-6D02A08E15B0}"/>
    <cellStyle name="Currency 3 2 3 5 2 8" xfId="17525" xr:uid="{CE919457-5A59-42FE-8502-6D22B142E464}"/>
    <cellStyle name="Currency 3 2 3 5 3" xfId="5101" xr:uid="{214DF42C-76A8-4BB2-973A-36C602C01CEE}"/>
    <cellStyle name="Currency 3 2 3 5 3 2" xfId="5969" xr:uid="{7128AE5D-6751-4DF7-8419-FDA98A5002D3}"/>
    <cellStyle name="Currency 3 2 3 5 3 2 2" xfId="9441" xr:uid="{7AF0AACA-504B-4B95-8C6C-EC1736ADB8D6}"/>
    <cellStyle name="Currency 3 2 3 5 3 2 2 2" xfId="23492" xr:uid="{50384F58-C6F5-443A-AB31-B8788F91E157}"/>
    <cellStyle name="Currency 3 2 3 5 3 2 3" xfId="12045" xr:uid="{21F1B93E-D4CE-4074-AB82-8A4E0F686844}"/>
    <cellStyle name="Currency 3 2 3 5 3 2 3 2" xfId="26096" xr:uid="{FB84C9C0-55D3-40C9-9E74-41D3459AED8E}"/>
    <cellStyle name="Currency 3 2 3 5 3 2 4" xfId="20020" xr:uid="{27ACA73A-D9A5-49DA-A91D-075B98F1E601}"/>
    <cellStyle name="Currency 3 2 3 5 3 3" xfId="6837" xr:uid="{7BB74836-60AA-4E82-A648-52A987791F6A}"/>
    <cellStyle name="Currency 3 2 3 5 3 3 2" xfId="10309" xr:uid="{195F1AC7-80FA-497D-9B63-3D94A5E49DEE}"/>
    <cellStyle name="Currency 3 2 3 5 3 3 2 2" xfId="24360" xr:uid="{4825A4E5-B46A-46D3-BBC5-13DD962396B0}"/>
    <cellStyle name="Currency 3 2 3 5 3 3 3" xfId="12913" xr:uid="{D1065165-2EA3-4827-AC64-B02A124C9166}"/>
    <cellStyle name="Currency 3 2 3 5 3 3 3 2" xfId="26964" xr:uid="{D6E56FE6-8240-4093-BEB3-8F92751CBEB1}"/>
    <cellStyle name="Currency 3 2 3 5 3 3 4" xfId="20888" xr:uid="{48E0CD63-C42F-4B89-A74F-79B5ABFD2E53}"/>
    <cellStyle name="Currency 3 2 3 5 3 4" xfId="8573" xr:uid="{2B890550-6DE5-455F-A097-03D3AC09AD1C}"/>
    <cellStyle name="Currency 3 2 3 5 3 4 2" xfId="13781" xr:uid="{CE492FE5-376E-4C2A-95E6-2CBB7DD99BB3}"/>
    <cellStyle name="Currency 3 2 3 5 3 4 2 2" xfId="27832" xr:uid="{BA980271-71C6-4B96-81A1-83B98F26F469}"/>
    <cellStyle name="Currency 3 2 3 5 3 4 3" xfId="22624" xr:uid="{ABA8EEB7-2AED-4F25-9E7A-EDBAB167A2EB}"/>
    <cellStyle name="Currency 3 2 3 5 3 5" xfId="7705" xr:uid="{C0DC4BB9-8B8E-4DFC-AD13-6041E7418868}"/>
    <cellStyle name="Currency 3 2 3 5 3 5 2" xfId="21756" xr:uid="{C4821EEF-3B9B-4585-A426-32D3890F8D6B}"/>
    <cellStyle name="Currency 3 2 3 5 3 6" xfId="11177" xr:uid="{7D53256B-4C51-458C-9744-EF8C530137A2}"/>
    <cellStyle name="Currency 3 2 3 5 3 6 2" xfId="25228" xr:uid="{610CEB3F-5581-4746-8C65-0748B56AA362}"/>
    <cellStyle name="Currency 3 2 3 5 3 7" xfId="19152" xr:uid="{5EC5BA1F-6DCD-4C75-AEDC-BA968243E039}"/>
    <cellStyle name="Currency 3 2 3 5 4" xfId="5535" xr:uid="{1ABFCBDB-95A5-4736-B634-0E2A45A94C8B}"/>
    <cellStyle name="Currency 3 2 3 5 4 2" xfId="9007" xr:uid="{D1D2B06B-B586-42BA-AF83-4BEBF5E0AF4C}"/>
    <cellStyle name="Currency 3 2 3 5 4 2 2" xfId="23058" xr:uid="{1834C540-D309-4E53-9AF2-A92EA469F67E}"/>
    <cellStyle name="Currency 3 2 3 5 4 3" xfId="11611" xr:uid="{A3E4C310-79A6-4D55-A9B7-0F42E9E7B742}"/>
    <cellStyle name="Currency 3 2 3 5 4 3 2" xfId="25662" xr:uid="{F5F84B4D-0599-4E3B-89A1-C1A2FB8D59B9}"/>
    <cellStyle name="Currency 3 2 3 5 4 4" xfId="19586" xr:uid="{974CAC89-A844-4CF9-847F-06D2B745409D}"/>
    <cellStyle name="Currency 3 2 3 5 5" xfId="6403" xr:uid="{91124389-D9AD-48C0-8F29-42EC8D8EAC64}"/>
    <cellStyle name="Currency 3 2 3 5 5 2" xfId="9875" xr:uid="{0E2E33FE-2E42-4C88-9138-5C12C10344DF}"/>
    <cellStyle name="Currency 3 2 3 5 5 2 2" xfId="23926" xr:uid="{F4957A5F-86B3-41D1-8E39-8EB328C7A461}"/>
    <cellStyle name="Currency 3 2 3 5 5 3" xfId="12479" xr:uid="{F27E71C4-48F2-4301-AD45-3FC1A66AAA54}"/>
    <cellStyle name="Currency 3 2 3 5 5 3 2" xfId="26530" xr:uid="{5AA90E78-BB01-4A0C-905E-B2FA36A5DECE}"/>
    <cellStyle name="Currency 3 2 3 5 5 4" xfId="20454" xr:uid="{862143F8-B809-4BD0-A9A3-75A763D43B43}"/>
    <cellStyle name="Currency 3 2 3 5 6" xfId="8139" xr:uid="{93239CEE-AB32-4655-AD5B-50C7D1098192}"/>
    <cellStyle name="Currency 3 2 3 5 6 2" xfId="13347" xr:uid="{69191341-C1BF-4A0F-B186-A76FFD51A715}"/>
    <cellStyle name="Currency 3 2 3 5 6 2 2" xfId="27398" xr:uid="{3C06DB17-450A-4966-97A4-D3757819691F}"/>
    <cellStyle name="Currency 3 2 3 5 6 3" xfId="22190" xr:uid="{57394CF2-3355-496E-817C-A8F952C51AF8}"/>
    <cellStyle name="Currency 3 2 3 5 7" xfId="7271" xr:uid="{6BE583BA-ECE6-4673-B1B5-F4ED6E739D87}"/>
    <cellStyle name="Currency 3 2 3 5 7 2" xfId="21322" xr:uid="{98356242-7885-4EEC-A08E-BD121032A4F4}"/>
    <cellStyle name="Currency 3 2 3 5 8" xfId="10743" xr:uid="{E2170590-8F81-46D9-A29E-0B139FD683E4}"/>
    <cellStyle name="Currency 3 2 3 5 8 2" xfId="24794" xr:uid="{847B7317-EF07-4AE4-98D3-7A0BE5046562}"/>
    <cellStyle name="Currency 3 2 3 5 9" xfId="15331" xr:uid="{154B47C5-948B-4267-BE36-E60BE2178E8E}"/>
    <cellStyle name="Currency 3 2 3 6" xfId="2374" xr:uid="{7AB7E3A0-43B9-4345-98E1-C5E0673198C1}"/>
    <cellStyle name="Currency 3 2 3 6 2" xfId="5196" xr:uid="{CA4373B4-236A-4DA6-8315-DC6165373443}"/>
    <cellStyle name="Currency 3 2 3 6 2 2" xfId="6064" xr:uid="{902BDDFA-114F-402B-81D9-B46EDFC2FC6F}"/>
    <cellStyle name="Currency 3 2 3 6 2 2 2" xfId="9536" xr:uid="{660FB320-0DBB-4087-B146-CBB698026072}"/>
    <cellStyle name="Currency 3 2 3 6 2 2 2 2" xfId="23587" xr:uid="{40E473F4-78AD-4553-9A7D-F247F6CC310D}"/>
    <cellStyle name="Currency 3 2 3 6 2 2 3" xfId="12140" xr:uid="{9381D66E-17B7-4A00-AB36-4BC14A2FD25B}"/>
    <cellStyle name="Currency 3 2 3 6 2 2 3 2" xfId="26191" xr:uid="{3DDC055B-389B-4923-90DF-1670F7622D2A}"/>
    <cellStyle name="Currency 3 2 3 6 2 2 4" xfId="20115" xr:uid="{E493BD0D-812F-4C32-9C13-71CCA232C0A9}"/>
    <cellStyle name="Currency 3 2 3 6 2 3" xfId="6932" xr:uid="{95D14BC8-BA4F-4892-AA23-4A67FC69A3B4}"/>
    <cellStyle name="Currency 3 2 3 6 2 3 2" xfId="10404" xr:uid="{45A3D4F0-5E0C-4CF5-850F-37BD484B6DE8}"/>
    <cellStyle name="Currency 3 2 3 6 2 3 2 2" xfId="24455" xr:uid="{8F13E62D-6AAF-43A5-8BC3-FD7264156F2E}"/>
    <cellStyle name="Currency 3 2 3 6 2 3 3" xfId="13008" xr:uid="{6CAE6764-A6F6-41A6-A380-E0A02DD05AC4}"/>
    <cellStyle name="Currency 3 2 3 6 2 3 3 2" xfId="27059" xr:uid="{C1BF2A6D-9E0C-4AFE-BB97-24BDB6AE3407}"/>
    <cellStyle name="Currency 3 2 3 6 2 3 4" xfId="20983" xr:uid="{5140D944-4BCD-4637-8145-A39CC82467C3}"/>
    <cellStyle name="Currency 3 2 3 6 2 4" xfId="8668" xr:uid="{8F5BE13C-F42B-4336-A653-37DD3966454A}"/>
    <cellStyle name="Currency 3 2 3 6 2 4 2" xfId="13876" xr:uid="{2EAC9081-5227-45FC-8F73-0C7D37051685}"/>
    <cellStyle name="Currency 3 2 3 6 2 4 2 2" xfId="27927" xr:uid="{5C2B9A00-5E86-42D0-9488-01FC11BC8D99}"/>
    <cellStyle name="Currency 3 2 3 6 2 4 3" xfId="22719" xr:uid="{48127E6B-ECCE-45BF-B762-414A30B4F245}"/>
    <cellStyle name="Currency 3 2 3 6 2 5" xfId="7800" xr:uid="{EDABE9C0-D6A9-4D7E-9C26-83DCDC855E99}"/>
    <cellStyle name="Currency 3 2 3 6 2 5 2" xfId="21851" xr:uid="{959E58FE-B0DF-4076-8DCE-B038BDD733AC}"/>
    <cellStyle name="Currency 3 2 3 6 2 6" xfId="11272" xr:uid="{1BD8F672-510C-4687-952D-6436FCBA1939}"/>
    <cellStyle name="Currency 3 2 3 6 2 6 2" xfId="25323" xr:uid="{A7DB9BAE-F72C-4F33-8D05-D2500A487FB9}"/>
    <cellStyle name="Currency 3 2 3 6 2 7" xfId="19247" xr:uid="{001F8DE4-14FF-4EA6-A3C6-FD21431B3CBC}"/>
    <cellStyle name="Currency 3 2 3 6 3" xfId="5630" xr:uid="{65E65D9F-C443-49AA-BADB-65DA4FBB5282}"/>
    <cellStyle name="Currency 3 2 3 6 3 2" xfId="9102" xr:uid="{CFBC77CE-405A-4442-A6FD-FE49D523D1E9}"/>
    <cellStyle name="Currency 3 2 3 6 3 2 2" xfId="23153" xr:uid="{350BE269-F528-48A9-876D-7B9DA2F750AC}"/>
    <cellStyle name="Currency 3 2 3 6 3 3" xfId="11706" xr:uid="{8DBDA46E-29DF-437F-8EE9-7FD5B9875355}"/>
    <cellStyle name="Currency 3 2 3 6 3 3 2" xfId="25757" xr:uid="{681609F9-069E-4544-A0B3-9B7EE8FE65B5}"/>
    <cellStyle name="Currency 3 2 3 6 3 4" xfId="19681" xr:uid="{5D7CEE4F-11E4-4A50-82B5-3E3F68CDC2CA}"/>
    <cellStyle name="Currency 3 2 3 6 4" xfId="6498" xr:uid="{2F349E0D-76EE-42E6-B142-43144DE97C7E}"/>
    <cellStyle name="Currency 3 2 3 6 4 2" xfId="9970" xr:uid="{2FBCE369-24BB-4D29-8D75-0DC1D3EA2727}"/>
    <cellStyle name="Currency 3 2 3 6 4 2 2" xfId="24021" xr:uid="{EDBBE403-AF3F-4FE7-8677-37D409B5C475}"/>
    <cellStyle name="Currency 3 2 3 6 4 3" xfId="12574" xr:uid="{59414FF9-CEBE-4185-8C37-6E70184A415E}"/>
    <cellStyle name="Currency 3 2 3 6 4 3 2" xfId="26625" xr:uid="{038B0976-6FD8-4CEF-990A-1F7629185C4D}"/>
    <cellStyle name="Currency 3 2 3 6 4 4" xfId="20549" xr:uid="{32D833AF-7632-4EC9-A13E-35D71C720594}"/>
    <cellStyle name="Currency 3 2 3 6 5" xfId="8234" xr:uid="{74F62CC9-785E-4FFB-AC2D-4329CCC5C581}"/>
    <cellStyle name="Currency 3 2 3 6 5 2" xfId="13442" xr:uid="{363BD9EA-4386-4402-989E-1B12A14C0F94}"/>
    <cellStyle name="Currency 3 2 3 6 5 2 2" xfId="27493" xr:uid="{F13AD93F-91D6-41AA-BF03-047D50036762}"/>
    <cellStyle name="Currency 3 2 3 6 5 3" xfId="22285" xr:uid="{95C7278C-56E8-4D2C-B6C8-0ABA22C35802}"/>
    <cellStyle name="Currency 3 2 3 6 6" xfId="7366" xr:uid="{B83F4916-4AE7-475A-9575-EC82B5B1389C}"/>
    <cellStyle name="Currency 3 2 3 6 6 2" xfId="21417" xr:uid="{A738BCAF-4327-4E65-BA0C-BAD44F4FD6A2}"/>
    <cellStyle name="Currency 3 2 3 6 7" xfId="10838" xr:uid="{C8D57024-348F-4EF9-9E0E-5A77BA721E3F}"/>
    <cellStyle name="Currency 3 2 3 6 7 2" xfId="24889" xr:uid="{8C80C3A0-AEB5-47A9-8A88-4570AE93ADD4}"/>
    <cellStyle name="Currency 3 2 3 6 8" xfId="16425" xr:uid="{4CCC7A86-E9DE-4118-97C4-8F25F0C2F2F5}"/>
    <cellStyle name="Currency 3 2 3 7" xfId="4567" xr:uid="{D7217101-CFDD-4F94-B7A5-F703614E9D86}"/>
    <cellStyle name="Currency 3 2 3 7 2" xfId="5387" xr:uid="{56ABB56B-546F-40C0-99C8-B2337BEB3A0F}"/>
    <cellStyle name="Currency 3 2 3 7 2 2" xfId="6255" xr:uid="{2AB89BBB-CBCD-46AD-8D1C-6EB1DB08A156}"/>
    <cellStyle name="Currency 3 2 3 7 2 2 2" xfId="9727" xr:uid="{E004C2BB-9EE2-4605-A79D-9E9573EBEB2F}"/>
    <cellStyle name="Currency 3 2 3 7 2 2 2 2" xfId="23778" xr:uid="{C65F8CF2-5253-4A15-AB3C-6DD59AD590F8}"/>
    <cellStyle name="Currency 3 2 3 7 2 2 3" xfId="12331" xr:uid="{17A073A9-B77E-4ECE-B1FC-C7702F7E13FB}"/>
    <cellStyle name="Currency 3 2 3 7 2 2 3 2" xfId="26382" xr:uid="{0C978C80-DCA2-4AE2-A675-7F57CE1D7634}"/>
    <cellStyle name="Currency 3 2 3 7 2 2 4" xfId="20306" xr:uid="{3343FFB5-8BEB-462D-A92E-CEF0726C25B3}"/>
    <cellStyle name="Currency 3 2 3 7 2 3" xfId="7123" xr:uid="{6806AF39-014F-4B61-83CB-E482875A358F}"/>
    <cellStyle name="Currency 3 2 3 7 2 3 2" xfId="10595" xr:uid="{2006D015-8765-46A5-9369-0FCCB28B7C11}"/>
    <cellStyle name="Currency 3 2 3 7 2 3 2 2" xfId="24646" xr:uid="{94BCFD26-C54D-4DE9-9AAA-4D634AB39679}"/>
    <cellStyle name="Currency 3 2 3 7 2 3 3" xfId="13199" xr:uid="{06390A9E-1E54-4D65-927A-E810FCE3F689}"/>
    <cellStyle name="Currency 3 2 3 7 2 3 3 2" xfId="27250" xr:uid="{5D4F227A-E389-4FBC-A532-4432C08A8F51}"/>
    <cellStyle name="Currency 3 2 3 7 2 3 4" xfId="21174" xr:uid="{F6B2EE98-0359-43D1-9022-90D7243DE027}"/>
    <cellStyle name="Currency 3 2 3 7 2 4" xfId="8859" xr:uid="{91EEA199-E120-4865-8EB9-DAD95CD3DF90}"/>
    <cellStyle name="Currency 3 2 3 7 2 4 2" xfId="14067" xr:uid="{5E5D1F37-78A5-45A4-AA09-28B3F2805F2C}"/>
    <cellStyle name="Currency 3 2 3 7 2 4 2 2" xfId="28118" xr:uid="{70B4A0F1-825C-4F0D-9D05-DB28528BD1CC}"/>
    <cellStyle name="Currency 3 2 3 7 2 4 3" xfId="22910" xr:uid="{68E9C772-5905-42F5-8272-042CCF7335F7}"/>
    <cellStyle name="Currency 3 2 3 7 2 5" xfId="7991" xr:uid="{F15173CC-95A3-4B51-B9F5-7472E7D996B4}"/>
    <cellStyle name="Currency 3 2 3 7 2 5 2" xfId="22042" xr:uid="{C9E0548D-7A6F-43FE-B50D-B85A95A16E81}"/>
    <cellStyle name="Currency 3 2 3 7 2 6" xfId="11463" xr:uid="{19731EF8-0E40-435F-B294-F1E8DE8951FF}"/>
    <cellStyle name="Currency 3 2 3 7 2 6 2" xfId="25514" xr:uid="{E2B71CF3-9300-4805-80D3-D8BAD82AA676}"/>
    <cellStyle name="Currency 3 2 3 7 2 7" xfId="19438" xr:uid="{D2CFB6C4-BE2B-4430-A1AC-F92C0E3356EA}"/>
    <cellStyle name="Currency 3 2 3 7 3" xfId="5821" xr:uid="{64E9FD9C-36E1-463B-B204-7B960B92E110}"/>
    <cellStyle name="Currency 3 2 3 7 3 2" xfId="9293" xr:uid="{75A3C155-79B5-44C5-B268-6F212CE7EE0D}"/>
    <cellStyle name="Currency 3 2 3 7 3 2 2" xfId="23344" xr:uid="{BAC7B425-4026-4052-8415-126FF549AEEB}"/>
    <cellStyle name="Currency 3 2 3 7 3 3" xfId="11897" xr:uid="{17C42E3C-120F-4567-A582-54C22CF81E22}"/>
    <cellStyle name="Currency 3 2 3 7 3 3 2" xfId="25948" xr:uid="{469A5149-55F9-4274-96E8-A6FCF503EF43}"/>
    <cellStyle name="Currency 3 2 3 7 3 4" xfId="19872" xr:uid="{B1D99369-7DE9-47F7-82B8-B39B55456D45}"/>
    <cellStyle name="Currency 3 2 3 7 4" xfId="6689" xr:uid="{C1B23C17-F3A8-4557-9B30-9706CC0534F7}"/>
    <cellStyle name="Currency 3 2 3 7 4 2" xfId="10161" xr:uid="{DCAED3AC-642E-4B84-A238-0D79755CA83E}"/>
    <cellStyle name="Currency 3 2 3 7 4 2 2" xfId="24212" xr:uid="{1588550E-7EA6-4BAE-9366-CB436ED6EE7E}"/>
    <cellStyle name="Currency 3 2 3 7 4 3" xfId="12765" xr:uid="{90B814A3-6A98-4C86-BD02-FEE41BE30887}"/>
    <cellStyle name="Currency 3 2 3 7 4 3 2" xfId="26816" xr:uid="{3DC04A82-225A-4AC6-8576-5E560B14E66A}"/>
    <cellStyle name="Currency 3 2 3 7 4 4" xfId="20740" xr:uid="{5B048D99-39B5-4C74-A32E-914676D1DD38}"/>
    <cellStyle name="Currency 3 2 3 7 5" xfId="8425" xr:uid="{566C6A40-DA48-41A3-A0F7-F9F205D3D949}"/>
    <cellStyle name="Currency 3 2 3 7 5 2" xfId="13633" xr:uid="{97BD129C-9291-4D6F-AFFA-483713776FC0}"/>
    <cellStyle name="Currency 3 2 3 7 5 2 2" xfId="27684" xr:uid="{7A7F9680-E919-49D3-B4B7-83FFF9F70AD4}"/>
    <cellStyle name="Currency 3 2 3 7 5 3" xfId="22476" xr:uid="{148B68C7-976F-47E7-BCFE-9E538592C10C}"/>
    <cellStyle name="Currency 3 2 3 7 6" xfId="7557" xr:uid="{0DAEA75B-43A5-4590-993D-91025E9FB1E5}"/>
    <cellStyle name="Currency 3 2 3 7 6 2" xfId="21608" xr:uid="{2461F10B-B1A7-4FAF-B9CB-BAFE760849C1}"/>
    <cellStyle name="Currency 3 2 3 7 7" xfId="11029" xr:uid="{5FCB8831-A12B-4500-9D75-226CD7FAD2B8}"/>
    <cellStyle name="Currency 3 2 3 7 7 2" xfId="25080" xr:uid="{9EA885B4-976A-4F11-A8BA-F21C1E9B4408}"/>
    <cellStyle name="Currency 3 2 3 7 8" xfId="18619" xr:uid="{966FE5BA-0E05-4133-99DB-797CAC55477E}"/>
    <cellStyle name="Currency 3 2 3 8" xfId="5001" xr:uid="{A84913A9-8F14-42F3-8611-47A896CDF7CD}"/>
    <cellStyle name="Currency 3 2 3 8 2" xfId="5869" xr:uid="{311F3465-F3CC-47DA-929D-695FA3E9FE3B}"/>
    <cellStyle name="Currency 3 2 3 8 2 2" xfId="9341" xr:uid="{52193E14-0979-4226-876B-A7BBF0E20EBE}"/>
    <cellStyle name="Currency 3 2 3 8 2 2 2" xfId="23392" xr:uid="{C9A7823D-1914-4311-9F64-44E6E43D3240}"/>
    <cellStyle name="Currency 3 2 3 8 2 3" xfId="11945" xr:uid="{0DD6DD86-B8B7-4D96-9502-7B944B394F9C}"/>
    <cellStyle name="Currency 3 2 3 8 2 3 2" xfId="25996" xr:uid="{DE7E3864-8B45-4F8F-8C18-892E2F2C3904}"/>
    <cellStyle name="Currency 3 2 3 8 2 4" xfId="19920" xr:uid="{822723E4-9E16-48E8-87C6-1A3F39628B53}"/>
    <cellStyle name="Currency 3 2 3 8 3" xfId="6737" xr:uid="{48A0BDAC-FCE7-44D8-ABD3-6EEC4D197B95}"/>
    <cellStyle name="Currency 3 2 3 8 3 2" xfId="10209" xr:uid="{A0CE7055-6BF5-45B2-A180-28BDA832DAB0}"/>
    <cellStyle name="Currency 3 2 3 8 3 2 2" xfId="24260" xr:uid="{4B1526AD-11FD-464E-8788-CE25A24D3879}"/>
    <cellStyle name="Currency 3 2 3 8 3 3" xfId="12813" xr:uid="{7F143047-B59D-403F-A608-304594258A2E}"/>
    <cellStyle name="Currency 3 2 3 8 3 3 2" xfId="26864" xr:uid="{913310DF-E825-4B1E-B415-181B6A9AE7AD}"/>
    <cellStyle name="Currency 3 2 3 8 3 4" xfId="20788" xr:uid="{589E5CB2-9584-4E48-9828-1C6CD17494F8}"/>
    <cellStyle name="Currency 3 2 3 8 4" xfId="8473" xr:uid="{E23165F9-323F-4568-88B9-2695D9C6EFE6}"/>
    <cellStyle name="Currency 3 2 3 8 4 2" xfId="13681" xr:uid="{01B31AC4-3CF9-4716-88DA-77724EAC41EA}"/>
    <cellStyle name="Currency 3 2 3 8 4 2 2" xfId="27732" xr:uid="{728DF887-8FE0-4831-B18D-708DE3404B95}"/>
    <cellStyle name="Currency 3 2 3 8 4 3" xfId="22524" xr:uid="{EAE4E249-CF02-4090-80DB-8289347E5B88}"/>
    <cellStyle name="Currency 3 2 3 8 5" xfId="7605" xr:uid="{B81972BD-A6B5-4099-AB9C-6AF2BDFA4BF8}"/>
    <cellStyle name="Currency 3 2 3 8 5 2" xfId="21656" xr:uid="{CC469945-047D-4A15-AC06-09DBA081C8D6}"/>
    <cellStyle name="Currency 3 2 3 8 6" xfId="11077" xr:uid="{6998B9F6-B21D-49E0-8930-F76D80E39F99}"/>
    <cellStyle name="Currency 3 2 3 8 6 2" xfId="25128" xr:uid="{B7CD1A30-1D26-4209-9752-5AF16D6C354D}"/>
    <cellStyle name="Currency 3 2 3 8 7" xfId="19052" xr:uid="{63323D4C-DB4A-4E31-81CA-0EAF89269277}"/>
    <cellStyle name="Currency 3 2 3 9" xfId="5435" xr:uid="{A1C26973-7CE1-4DD9-97AE-5CD488AF2177}"/>
    <cellStyle name="Currency 3 2 3 9 2" xfId="8907" xr:uid="{88D763C5-CED4-433A-8982-60A08E17C25F}"/>
    <cellStyle name="Currency 3 2 3 9 2 2" xfId="22958" xr:uid="{A0A3874A-DB9B-4D48-95B6-0AE5C92D81E9}"/>
    <cellStyle name="Currency 3 2 3 9 3" xfId="11511" xr:uid="{C870EF59-D7C0-4061-934C-A5C33151FA9C}"/>
    <cellStyle name="Currency 3 2 3 9 3 2" xfId="25562" xr:uid="{F19B3361-FE63-4776-9CFF-F691CA976052}"/>
    <cellStyle name="Currency 3 2 3 9 4" xfId="19486" xr:uid="{B6BAA732-49D8-4FE0-B8F8-7C2452860320}"/>
    <cellStyle name="Currency 3 2 4" xfId="291" xr:uid="{76E833F7-77A7-40B4-97DD-01E5613D2559}"/>
    <cellStyle name="Currency 3 2 4 10" xfId="8050" xr:uid="{AFA6D0C1-7364-4CA9-B06A-8B8E09392E4D}"/>
    <cellStyle name="Currency 3 2 4 10 2" xfId="13258" xr:uid="{8EA2F7B5-91D2-47C6-8803-B8779A745963}"/>
    <cellStyle name="Currency 3 2 4 10 2 2" xfId="27309" xr:uid="{56B23259-062E-488B-B464-AB0526778617}"/>
    <cellStyle name="Currency 3 2 4 10 3" xfId="22101" xr:uid="{66B1548E-BD1B-4727-A27E-33EDF8AD43A4}"/>
    <cellStyle name="Currency 3 2 4 11" xfId="7182" xr:uid="{2DEC1DD4-256F-43AD-ABBF-5A103FC2D57B}"/>
    <cellStyle name="Currency 3 2 4 11 2" xfId="21233" xr:uid="{C6505431-3FC9-4250-91DB-79FA94FBEAF2}"/>
    <cellStyle name="Currency 3 2 4 12" xfId="10654" xr:uid="{98FABEBD-8CEA-424C-8DEC-3375968E33FE}"/>
    <cellStyle name="Currency 3 2 4 12 2" xfId="24705" xr:uid="{31CF693E-4824-40D3-953E-957779B7D591}"/>
    <cellStyle name="Currency 3 2 4 13" xfId="14348" xr:uid="{B4D00630-6B72-4290-B643-88EED9CA2CE1}"/>
    <cellStyle name="Currency 3 2 4 2" xfId="645" xr:uid="{C68E3F54-19B7-4933-81C8-5AF88A610483}"/>
    <cellStyle name="Currency 3 2 4 2 10" xfId="14696" xr:uid="{C36E2C37-AAD6-4F1D-A4C7-686E2B41FD08}"/>
    <cellStyle name="Currency 3 2 4 2 2" xfId="1747" xr:uid="{30B4121E-AA7C-43C2-B246-72BD083F39F9}"/>
    <cellStyle name="Currency 3 2 4 2 2 2" xfId="3935" xr:uid="{CDC105E9-556F-481B-BC1C-FCA328F8188D}"/>
    <cellStyle name="Currency 3 2 4 2 2 2 2" xfId="5332" xr:uid="{C0B8017D-AD7A-4773-8CC1-F61DA3AC974D}"/>
    <cellStyle name="Currency 3 2 4 2 2 2 2 2" xfId="6200" xr:uid="{2E7ED79D-AAD9-43F6-A0FE-2236A2882182}"/>
    <cellStyle name="Currency 3 2 4 2 2 2 2 2 2" xfId="9672" xr:uid="{94B239FD-3F7F-4092-99E2-5DE259AB5889}"/>
    <cellStyle name="Currency 3 2 4 2 2 2 2 2 2 2" xfId="23723" xr:uid="{E095AAB8-FCBD-4A53-87C1-4978F3472A3A}"/>
    <cellStyle name="Currency 3 2 4 2 2 2 2 2 3" xfId="12276" xr:uid="{3A2B361A-3B38-4A96-8D59-215E129A562D}"/>
    <cellStyle name="Currency 3 2 4 2 2 2 2 2 3 2" xfId="26327" xr:uid="{43A337EA-8CB4-495D-BD90-AC9EC85BE0CC}"/>
    <cellStyle name="Currency 3 2 4 2 2 2 2 2 4" xfId="20251" xr:uid="{0D58201A-DB90-48DB-8D72-44E03CA6E79E}"/>
    <cellStyle name="Currency 3 2 4 2 2 2 2 3" xfId="7068" xr:uid="{A5B373C2-56D1-45DA-A7E3-B7F05DE42322}"/>
    <cellStyle name="Currency 3 2 4 2 2 2 2 3 2" xfId="10540" xr:uid="{B7CF4FEE-A3F5-4DB2-8B9F-E50A3FD044B8}"/>
    <cellStyle name="Currency 3 2 4 2 2 2 2 3 2 2" xfId="24591" xr:uid="{F317DEC3-D389-4EE8-A270-83EACD710A0E}"/>
    <cellStyle name="Currency 3 2 4 2 2 2 2 3 3" xfId="13144" xr:uid="{886D8D89-1D3D-4861-80D2-1C1632749F15}"/>
    <cellStyle name="Currency 3 2 4 2 2 2 2 3 3 2" xfId="27195" xr:uid="{E15A3A24-BF57-48A2-AD91-21F17A93679B}"/>
    <cellStyle name="Currency 3 2 4 2 2 2 2 3 4" xfId="21119" xr:uid="{A6636B32-787F-4A5C-8AA3-F7C6614DBE41}"/>
    <cellStyle name="Currency 3 2 4 2 2 2 2 4" xfId="8804" xr:uid="{7688E5D7-40ED-45DD-AB6F-75D8949A7368}"/>
    <cellStyle name="Currency 3 2 4 2 2 2 2 4 2" xfId="14012" xr:uid="{B2A5A612-1402-4760-8FF7-488E4987F723}"/>
    <cellStyle name="Currency 3 2 4 2 2 2 2 4 2 2" xfId="28063" xr:uid="{8552678C-B8B5-4BD1-BCAB-D008FF59DDAF}"/>
    <cellStyle name="Currency 3 2 4 2 2 2 2 4 3" xfId="22855" xr:uid="{1EE6A9C6-FB00-4738-89A4-DCDCCA916336}"/>
    <cellStyle name="Currency 3 2 4 2 2 2 2 5" xfId="7936" xr:uid="{650BD17D-C343-43CF-ACE0-3FA35F9FB40C}"/>
    <cellStyle name="Currency 3 2 4 2 2 2 2 5 2" xfId="21987" xr:uid="{5BC0B358-4F8D-4A1C-95B6-5E164A170C48}"/>
    <cellStyle name="Currency 3 2 4 2 2 2 2 6" xfId="11408" xr:uid="{00657CAB-D8F4-4C6F-A2D9-984B1045EA1F}"/>
    <cellStyle name="Currency 3 2 4 2 2 2 2 6 2" xfId="25459" xr:uid="{7C8D553C-A341-4279-8C08-2FF85DA23A6B}"/>
    <cellStyle name="Currency 3 2 4 2 2 2 2 7" xfId="19383" xr:uid="{084A2F7C-F23D-41FC-8A6B-014763515F90}"/>
    <cellStyle name="Currency 3 2 4 2 2 2 3" xfId="5766" xr:uid="{868CAB0E-0293-4666-AC7E-B57A8160AE64}"/>
    <cellStyle name="Currency 3 2 4 2 2 2 3 2" xfId="9238" xr:uid="{BAB00558-82BB-44BB-BB43-92DCBA481E87}"/>
    <cellStyle name="Currency 3 2 4 2 2 2 3 2 2" xfId="23289" xr:uid="{2C1C9B56-689C-4062-92EA-25184B7F58D3}"/>
    <cellStyle name="Currency 3 2 4 2 2 2 3 3" xfId="11842" xr:uid="{C4C63B55-03D1-48F5-BFCE-4D7FBC4B66C5}"/>
    <cellStyle name="Currency 3 2 4 2 2 2 3 3 2" xfId="25893" xr:uid="{D1937D40-7EE0-4951-BE9D-7A02E5C45B87}"/>
    <cellStyle name="Currency 3 2 4 2 2 2 3 4" xfId="19817" xr:uid="{3061FFAA-EE0D-4D68-95BF-F7DA84A5E45C}"/>
    <cellStyle name="Currency 3 2 4 2 2 2 4" xfId="6634" xr:uid="{5D474268-9F8B-4987-ACD0-802292EDFA1F}"/>
    <cellStyle name="Currency 3 2 4 2 2 2 4 2" xfId="10106" xr:uid="{27430E2F-E1D8-40BD-B4EB-91940F049F8E}"/>
    <cellStyle name="Currency 3 2 4 2 2 2 4 2 2" xfId="24157" xr:uid="{CD95E41C-3F13-40E7-8BAA-679AF2E5AD08}"/>
    <cellStyle name="Currency 3 2 4 2 2 2 4 3" xfId="12710" xr:uid="{04B7E58C-1999-4122-A799-47A38905BEF3}"/>
    <cellStyle name="Currency 3 2 4 2 2 2 4 3 2" xfId="26761" xr:uid="{A8A9DCB9-8FEB-4E87-A5EE-912F7E5E46CB}"/>
    <cellStyle name="Currency 3 2 4 2 2 2 4 4" xfId="20685" xr:uid="{7C113D85-1BFB-45FB-B782-16420D9594D9}"/>
    <cellStyle name="Currency 3 2 4 2 2 2 5" xfId="8370" xr:uid="{5A003F1E-FB38-4B3B-AF45-015E597F4661}"/>
    <cellStyle name="Currency 3 2 4 2 2 2 5 2" xfId="13578" xr:uid="{45A2F747-692B-4599-83F5-DEBB8CB20315}"/>
    <cellStyle name="Currency 3 2 4 2 2 2 5 2 2" xfId="27629" xr:uid="{412BD441-7758-4C36-86D5-C211ED303B49}"/>
    <cellStyle name="Currency 3 2 4 2 2 2 5 3" xfId="22421" xr:uid="{339D4604-99AD-438A-A9BC-104BAC4BE093}"/>
    <cellStyle name="Currency 3 2 4 2 2 2 6" xfId="7502" xr:uid="{733A79C0-5514-4227-9338-26DB0DC00022}"/>
    <cellStyle name="Currency 3 2 4 2 2 2 6 2" xfId="21553" xr:uid="{ACDE0D3B-462F-4953-9F0E-EB2DE2B15F40}"/>
    <cellStyle name="Currency 3 2 4 2 2 2 7" xfId="10974" xr:uid="{151FA464-07DF-4B95-932A-382D5AC5E008}"/>
    <cellStyle name="Currency 3 2 4 2 2 2 7 2" xfId="25025" xr:uid="{DA7D1FD9-8778-4EF9-BD93-70BCBAE589F6}"/>
    <cellStyle name="Currency 3 2 4 2 2 2 8" xfId="17987" xr:uid="{ED5915C2-D9AB-48FA-9089-272EE7ADC9AB}"/>
    <cellStyle name="Currency 3 2 4 2 2 3" xfId="5142" xr:uid="{88203114-A290-479A-8C67-23905A396AD0}"/>
    <cellStyle name="Currency 3 2 4 2 2 3 2" xfId="6010" xr:uid="{4F38B805-8581-44C6-9AA6-A36714486540}"/>
    <cellStyle name="Currency 3 2 4 2 2 3 2 2" xfId="9482" xr:uid="{1670C47E-6254-4049-BF55-AD524FBCC5E6}"/>
    <cellStyle name="Currency 3 2 4 2 2 3 2 2 2" xfId="23533" xr:uid="{3F68DCA3-71BD-4EDB-86C5-96D836ED3A07}"/>
    <cellStyle name="Currency 3 2 4 2 2 3 2 3" xfId="12086" xr:uid="{CA8A923B-0A6C-47ED-BADC-9F5FC912468D}"/>
    <cellStyle name="Currency 3 2 4 2 2 3 2 3 2" xfId="26137" xr:uid="{8DD96C5E-7CE4-4FD1-AACA-3AB9D023C37F}"/>
    <cellStyle name="Currency 3 2 4 2 2 3 2 4" xfId="20061" xr:uid="{F6149C48-9832-4051-8385-2DBB4E351CAA}"/>
    <cellStyle name="Currency 3 2 4 2 2 3 3" xfId="6878" xr:uid="{425E122A-6CE9-4DBD-A811-17A769D2E2F0}"/>
    <cellStyle name="Currency 3 2 4 2 2 3 3 2" xfId="10350" xr:uid="{D3A49ECE-093E-404C-B701-47109EB82D31}"/>
    <cellStyle name="Currency 3 2 4 2 2 3 3 2 2" xfId="24401" xr:uid="{BA5FA4CE-3B70-4A5E-87E3-27AA16B2E0C5}"/>
    <cellStyle name="Currency 3 2 4 2 2 3 3 3" xfId="12954" xr:uid="{CE4B792C-4256-4C80-B60C-1DF134634B07}"/>
    <cellStyle name="Currency 3 2 4 2 2 3 3 3 2" xfId="27005" xr:uid="{5B8175FA-8FA9-44AA-B11A-BCA6DB94C486}"/>
    <cellStyle name="Currency 3 2 4 2 2 3 3 4" xfId="20929" xr:uid="{E106ACBB-0A8C-4BE3-A1B9-2A94AF4F46E7}"/>
    <cellStyle name="Currency 3 2 4 2 2 3 4" xfId="8614" xr:uid="{B02A06BF-E4FA-46E6-9FA0-341B508DCDAB}"/>
    <cellStyle name="Currency 3 2 4 2 2 3 4 2" xfId="13822" xr:uid="{6AF6CE9B-E81A-4148-A8A5-BFB272C13424}"/>
    <cellStyle name="Currency 3 2 4 2 2 3 4 2 2" xfId="27873" xr:uid="{9A5ED5E5-1C79-4406-91D3-B2AFF8AA8C83}"/>
    <cellStyle name="Currency 3 2 4 2 2 3 4 3" xfId="22665" xr:uid="{EE39F8C8-C4E9-4AA2-818F-95BDF7F57780}"/>
    <cellStyle name="Currency 3 2 4 2 2 3 5" xfId="7746" xr:uid="{D94C0189-4618-4514-9440-C80A37C8B365}"/>
    <cellStyle name="Currency 3 2 4 2 2 3 5 2" xfId="21797" xr:uid="{2DFC83DF-8C15-4858-8073-9C8B44850959}"/>
    <cellStyle name="Currency 3 2 4 2 2 3 6" xfId="11218" xr:uid="{2ADBCD83-8FEF-4F03-B2FD-BD3E0D2BCCD7}"/>
    <cellStyle name="Currency 3 2 4 2 2 3 6 2" xfId="25269" xr:uid="{882D1145-2FF6-461D-B37B-0A5DF37BA309}"/>
    <cellStyle name="Currency 3 2 4 2 2 3 7" xfId="19193" xr:uid="{F49E44C8-8BA8-46D4-8302-73F971C44D6C}"/>
    <cellStyle name="Currency 3 2 4 2 2 4" xfId="5576" xr:uid="{4099067B-998B-4412-8BB3-34EBA5C7ACA2}"/>
    <cellStyle name="Currency 3 2 4 2 2 4 2" xfId="9048" xr:uid="{27B09211-8367-4B18-90B0-198152E3933C}"/>
    <cellStyle name="Currency 3 2 4 2 2 4 2 2" xfId="23099" xr:uid="{552CED16-FC8A-4EE2-929F-235A3087F964}"/>
    <cellStyle name="Currency 3 2 4 2 2 4 3" xfId="11652" xr:uid="{12A579AC-8964-4B1A-887F-4763B05609E7}"/>
    <cellStyle name="Currency 3 2 4 2 2 4 3 2" xfId="25703" xr:uid="{42DBDC78-8FC3-4D79-A8B2-89FCD8DF5986}"/>
    <cellStyle name="Currency 3 2 4 2 2 4 4" xfId="19627" xr:uid="{320F11C6-4C22-4A21-9D2A-2A2004D59DE2}"/>
    <cellStyle name="Currency 3 2 4 2 2 5" xfId="6444" xr:uid="{AEEB484C-2A60-49E0-A4A2-3A74165E0853}"/>
    <cellStyle name="Currency 3 2 4 2 2 5 2" xfId="9916" xr:uid="{9215B860-B85E-407D-8B77-E8A42726749C}"/>
    <cellStyle name="Currency 3 2 4 2 2 5 2 2" xfId="23967" xr:uid="{D8DB0EF7-F91E-4001-9B2F-8799F8D1EC66}"/>
    <cellStyle name="Currency 3 2 4 2 2 5 3" xfId="12520" xr:uid="{B30915F3-E023-4E11-B080-C0DB8AA6B9AE}"/>
    <cellStyle name="Currency 3 2 4 2 2 5 3 2" xfId="26571" xr:uid="{810E1A04-682A-4C53-863F-E49166AAAA3B}"/>
    <cellStyle name="Currency 3 2 4 2 2 5 4" xfId="20495" xr:uid="{FDF035CF-1D1C-4026-9C78-E490C774E4EC}"/>
    <cellStyle name="Currency 3 2 4 2 2 6" xfId="8180" xr:uid="{C3FD725A-BE3A-42E6-938C-554B2FABF537}"/>
    <cellStyle name="Currency 3 2 4 2 2 6 2" xfId="13388" xr:uid="{58C3E9FB-059C-48F2-95A0-EF5A5D739429}"/>
    <cellStyle name="Currency 3 2 4 2 2 6 2 2" xfId="27439" xr:uid="{9911516C-9041-412D-8048-5237C8D89202}"/>
    <cellStyle name="Currency 3 2 4 2 2 6 3" xfId="22231" xr:uid="{5F2A02F4-3340-44CE-B021-A0D957661C0A}"/>
    <cellStyle name="Currency 3 2 4 2 2 7" xfId="7312" xr:uid="{55381F8C-08FE-4901-AD0A-9BF7D75D8813}"/>
    <cellStyle name="Currency 3 2 4 2 2 7 2" xfId="21363" xr:uid="{DB478AA1-B027-40F8-B649-0843ACE5990B}"/>
    <cellStyle name="Currency 3 2 4 2 2 8" xfId="10784" xr:uid="{DDE38D74-021B-4B91-9BC4-5EA5A1F43315}"/>
    <cellStyle name="Currency 3 2 4 2 2 8 2" xfId="24835" xr:uid="{A3947983-377A-4F7A-9DFA-AD57B7B68B7D}"/>
    <cellStyle name="Currency 3 2 4 2 2 9" xfId="15795" xr:uid="{5F9FF734-B892-4502-B660-429D34E1D776}"/>
    <cellStyle name="Currency 3 2 4 2 3" xfId="2838" xr:uid="{79021274-8EC1-4788-A8DF-7A91BF98A60E}"/>
    <cellStyle name="Currency 3 2 4 2 3 2" xfId="5236" xr:uid="{F73575B4-3706-48F3-AE37-B48F934B23A2}"/>
    <cellStyle name="Currency 3 2 4 2 3 2 2" xfId="6104" xr:uid="{73F7BD68-9585-49FE-A05B-7FBFAD3B00C1}"/>
    <cellStyle name="Currency 3 2 4 2 3 2 2 2" xfId="9576" xr:uid="{795E812B-DAD9-4E74-B5C2-8E56CD254CB3}"/>
    <cellStyle name="Currency 3 2 4 2 3 2 2 2 2" xfId="23627" xr:uid="{69124255-3C62-47F6-8350-861F3A786557}"/>
    <cellStyle name="Currency 3 2 4 2 3 2 2 3" xfId="12180" xr:uid="{3FAA6501-E650-41C0-9618-53FF23E84F05}"/>
    <cellStyle name="Currency 3 2 4 2 3 2 2 3 2" xfId="26231" xr:uid="{C35B3203-318D-40BD-8C7A-D0643A8DB49A}"/>
    <cellStyle name="Currency 3 2 4 2 3 2 2 4" xfId="20155" xr:uid="{39EE3FBB-777D-462E-87EC-7E19F6E59531}"/>
    <cellStyle name="Currency 3 2 4 2 3 2 3" xfId="6972" xr:uid="{3B935EC3-E797-4354-ABE4-1B09D4AB8C41}"/>
    <cellStyle name="Currency 3 2 4 2 3 2 3 2" xfId="10444" xr:uid="{3A36A19F-D956-4B43-9F15-7A9BE68F7FDE}"/>
    <cellStyle name="Currency 3 2 4 2 3 2 3 2 2" xfId="24495" xr:uid="{2D2F415C-2A68-40BF-953B-27DDD355E4DD}"/>
    <cellStyle name="Currency 3 2 4 2 3 2 3 3" xfId="13048" xr:uid="{A6E061B0-6983-4064-99FA-74579F64123B}"/>
    <cellStyle name="Currency 3 2 4 2 3 2 3 3 2" xfId="27099" xr:uid="{2EA735D1-CAD4-4A93-91BD-E05019715942}"/>
    <cellStyle name="Currency 3 2 4 2 3 2 3 4" xfId="21023" xr:uid="{1005DC56-F0DC-49C9-BF0A-97ECF68D5F6C}"/>
    <cellStyle name="Currency 3 2 4 2 3 2 4" xfId="8708" xr:uid="{5B142F7A-0E92-4EF3-9E15-80934C8DF181}"/>
    <cellStyle name="Currency 3 2 4 2 3 2 4 2" xfId="13916" xr:uid="{960F3723-14AB-49C8-893A-29C1EEAFF929}"/>
    <cellStyle name="Currency 3 2 4 2 3 2 4 2 2" xfId="27967" xr:uid="{1EE08115-00DB-4F4E-BA58-3FF21C99F176}"/>
    <cellStyle name="Currency 3 2 4 2 3 2 4 3" xfId="22759" xr:uid="{501EA1FD-3F7D-4179-A383-608CF01F2A2B}"/>
    <cellStyle name="Currency 3 2 4 2 3 2 5" xfId="7840" xr:uid="{08A78371-A821-48CC-96A0-D4F67826E697}"/>
    <cellStyle name="Currency 3 2 4 2 3 2 5 2" xfId="21891" xr:uid="{F9E5F217-119A-4282-845A-8DD74BA61D55}"/>
    <cellStyle name="Currency 3 2 4 2 3 2 6" xfId="11312" xr:uid="{16F8AFE6-70F0-4F5E-BEAA-548E12FFF7CB}"/>
    <cellStyle name="Currency 3 2 4 2 3 2 6 2" xfId="25363" xr:uid="{37901969-485B-4965-AE28-2DE0EFF6B32E}"/>
    <cellStyle name="Currency 3 2 4 2 3 2 7" xfId="19287" xr:uid="{FBF26AA3-8C48-4779-99F5-755FBFBB4BAE}"/>
    <cellStyle name="Currency 3 2 4 2 3 3" xfId="5670" xr:uid="{EEE6C0E8-628D-4FD8-8A25-39F5F29B1B3B}"/>
    <cellStyle name="Currency 3 2 4 2 3 3 2" xfId="9142" xr:uid="{68AC8D4C-5642-47F6-A971-7B21CB04FCCE}"/>
    <cellStyle name="Currency 3 2 4 2 3 3 2 2" xfId="23193" xr:uid="{F3B07B23-9846-4580-8ACC-ADE1114C97D0}"/>
    <cellStyle name="Currency 3 2 4 2 3 3 3" xfId="11746" xr:uid="{78B6837D-4700-4943-8F21-5C92DEC21B20}"/>
    <cellStyle name="Currency 3 2 4 2 3 3 3 2" xfId="25797" xr:uid="{2EE60133-7BEC-4A2D-B451-7FCCE668C76B}"/>
    <cellStyle name="Currency 3 2 4 2 3 3 4" xfId="19721" xr:uid="{392A092C-BD29-4A00-9712-A4D6EB0EF48C}"/>
    <cellStyle name="Currency 3 2 4 2 3 4" xfId="6538" xr:uid="{C5CD6DF1-65C7-404B-B5F1-A83AD36191E1}"/>
    <cellStyle name="Currency 3 2 4 2 3 4 2" xfId="10010" xr:uid="{72CC2636-55AC-4614-97B1-42E5736C5854}"/>
    <cellStyle name="Currency 3 2 4 2 3 4 2 2" xfId="24061" xr:uid="{4563D207-AB72-403E-B244-B03E72F227F2}"/>
    <cellStyle name="Currency 3 2 4 2 3 4 3" xfId="12614" xr:uid="{CD2839DC-423F-4684-A639-8D149CB0B8FC}"/>
    <cellStyle name="Currency 3 2 4 2 3 4 3 2" xfId="26665" xr:uid="{25F9176B-5393-4DE6-A326-2CBFCCCFD25E}"/>
    <cellStyle name="Currency 3 2 4 2 3 4 4" xfId="20589" xr:uid="{28045D51-75E4-40F4-9320-AB8B39BD9A33}"/>
    <cellStyle name="Currency 3 2 4 2 3 5" xfId="8274" xr:uid="{FE6B8607-8EF3-484F-8615-4B9FB067F139}"/>
    <cellStyle name="Currency 3 2 4 2 3 5 2" xfId="13482" xr:uid="{1992CE03-13B6-4534-B9C5-D871BD90C84F}"/>
    <cellStyle name="Currency 3 2 4 2 3 5 2 2" xfId="27533" xr:uid="{ADF0FD08-10B3-4459-9151-A07B544710D1}"/>
    <cellStyle name="Currency 3 2 4 2 3 5 3" xfId="22325" xr:uid="{0D62A0F4-BFC1-44B0-962C-8FBA389080A5}"/>
    <cellStyle name="Currency 3 2 4 2 3 6" xfId="7406" xr:uid="{BD021002-4637-420A-BECF-6AFACD967276}"/>
    <cellStyle name="Currency 3 2 4 2 3 6 2" xfId="21457" xr:uid="{B9FC7B58-1E0C-4A53-AB83-3D6E3089ADAE}"/>
    <cellStyle name="Currency 3 2 4 2 3 7" xfId="10878" xr:uid="{743F91D2-CE2E-4151-ADE9-9CC40D41018C}"/>
    <cellStyle name="Currency 3 2 4 2 3 7 2" xfId="24929" xr:uid="{BA0DF2B9-48D6-4004-8ADB-878D7699A253}"/>
    <cellStyle name="Currency 3 2 4 2 3 8" xfId="16889" xr:uid="{186BFDCB-731F-4EC5-902F-1D11B853FFF8}"/>
    <cellStyle name="Currency 3 2 4 2 4" xfId="5044" xr:uid="{9DECA9B4-ACB2-4900-B19E-DA98AA18FFAB}"/>
    <cellStyle name="Currency 3 2 4 2 4 2" xfId="5912" xr:uid="{A672A96C-AC47-4E6C-A1A0-E974CAD5657C}"/>
    <cellStyle name="Currency 3 2 4 2 4 2 2" xfId="9384" xr:uid="{3A00BEBA-00DF-4D95-A46C-F1F1ADB95D99}"/>
    <cellStyle name="Currency 3 2 4 2 4 2 2 2" xfId="23435" xr:uid="{9E6CDBA7-2387-4382-A8E8-4BCE5DA6659C}"/>
    <cellStyle name="Currency 3 2 4 2 4 2 3" xfId="11988" xr:uid="{1B3A81A0-441D-4B9E-B60E-927C6B008C1C}"/>
    <cellStyle name="Currency 3 2 4 2 4 2 3 2" xfId="26039" xr:uid="{B5D32F42-9153-4541-88D0-3B879F9E3D96}"/>
    <cellStyle name="Currency 3 2 4 2 4 2 4" xfId="19963" xr:uid="{11A65481-553D-403D-90C1-E2550396DCA1}"/>
    <cellStyle name="Currency 3 2 4 2 4 3" xfId="6780" xr:uid="{C4C14547-30C2-4C9A-AB98-65E31358C509}"/>
    <cellStyle name="Currency 3 2 4 2 4 3 2" xfId="10252" xr:uid="{EFC986CF-27F0-45F6-B412-0A11566F0BCA}"/>
    <cellStyle name="Currency 3 2 4 2 4 3 2 2" xfId="24303" xr:uid="{A484F8BF-34C2-4D68-91DC-FE1E309D58D2}"/>
    <cellStyle name="Currency 3 2 4 2 4 3 3" xfId="12856" xr:uid="{DAD7CB44-6087-4293-9EF8-B68882C4E7AD}"/>
    <cellStyle name="Currency 3 2 4 2 4 3 3 2" xfId="26907" xr:uid="{8FC987A7-62B3-4BE8-8562-5E740D91BDE2}"/>
    <cellStyle name="Currency 3 2 4 2 4 3 4" xfId="20831" xr:uid="{55D73C58-3B39-4536-A010-550DC87F4F9A}"/>
    <cellStyle name="Currency 3 2 4 2 4 4" xfId="8516" xr:uid="{1F8527A8-CBFB-4EEC-BC95-D8043788D3C9}"/>
    <cellStyle name="Currency 3 2 4 2 4 4 2" xfId="13724" xr:uid="{511A9106-5CC6-43D8-9D19-711F1FF64B07}"/>
    <cellStyle name="Currency 3 2 4 2 4 4 2 2" xfId="27775" xr:uid="{C478D1C2-97AA-4941-B910-6F4738148722}"/>
    <cellStyle name="Currency 3 2 4 2 4 4 3" xfId="22567" xr:uid="{74A44B0B-402E-4629-8CD1-3DC476F1ADDC}"/>
    <cellStyle name="Currency 3 2 4 2 4 5" xfId="7648" xr:uid="{272B9C99-CC4F-4CD2-B1AB-8211C008C25A}"/>
    <cellStyle name="Currency 3 2 4 2 4 5 2" xfId="21699" xr:uid="{9E9166B7-BE18-4B0C-A226-9E6698096DB2}"/>
    <cellStyle name="Currency 3 2 4 2 4 6" xfId="11120" xr:uid="{56D922C8-7A46-4CB0-A802-A7A3DA3A8E7B}"/>
    <cellStyle name="Currency 3 2 4 2 4 6 2" xfId="25171" xr:uid="{7E9F8E5D-BB4E-4C03-8266-2841E98B9D4F}"/>
    <cellStyle name="Currency 3 2 4 2 4 7" xfId="19095" xr:uid="{C80DBD69-2AE2-46DD-925C-E0D5FBF24BB4}"/>
    <cellStyle name="Currency 3 2 4 2 5" xfId="5478" xr:uid="{A0455D51-344B-4B81-968B-9235BF4B56B3}"/>
    <cellStyle name="Currency 3 2 4 2 5 2" xfId="8950" xr:uid="{201312A6-4B0E-43EE-93CE-D1A47E96F139}"/>
    <cellStyle name="Currency 3 2 4 2 5 2 2" xfId="23001" xr:uid="{49CF0777-A233-42B5-A522-99E234D3DFA3}"/>
    <cellStyle name="Currency 3 2 4 2 5 3" xfId="11554" xr:uid="{FE99B1DB-84EA-454B-A3C7-4FA9800BDAEC}"/>
    <cellStyle name="Currency 3 2 4 2 5 3 2" xfId="25605" xr:uid="{A2E410AB-8941-469B-964C-B4BE69ADBB56}"/>
    <cellStyle name="Currency 3 2 4 2 5 4" xfId="19529" xr:uid="{F2428232-F0FB-410C-8A9C-CFCC9D6E9342}"/>
    <cellStyle name="Currency 3 2 4 2 6" xfId="6346" xr:uid="{0E6973C7-BBAF-4D8A-8FE9-ADC4798EA685}"/>
    <cellStyle name="Currency 3 2 4 2 6 2" xfId="9818" xr:uid="{FD60F483-0097-45FB-BF45-B8DB4D95F355}"/>
    <cellStyle name="Currency 3 2 4 2 6 2 2" xfId="23869" xr:uid="{8F56E9A1-6DAF-4E23-9246-B5340725678E}"/>
    <cellStyle name="Currency 3 2 4 2 6 3" xfId="12422" xr:uid="{732EC373-D4E2-4FC7-94FF-781BD8F363F2}"/>
    <cellStyle name="Currency 3 2 4 2 6 3 2" xfId="26473" xr:uid="{F99FB2F9-1F0F-4E65-BF3A-1B31D5169D2F}"/>
    <cellStyle name="Currency 3 2 4 2 6 4" xfId="20397" xr:uid="{E7C89EE4-1829-4958-A49B-BE5884E722B4}"/>
    <cellStyle name="Currency 3 2 4 2 7" xfId="8082" xr:uid="{BB289A5F-2689-441D-BBC7-1954F916E426}"/>
    <cellStyle name="Currency 3 2 4 2 7 2" xfId="13290" xr:uid="{2E458A33-9DEC-4032-BFD5-BD5C76C284F3}"/>
    <cellStyle name="Currency 3 2 4 2 7 2 2" xfId="27341" xr:uid="{00E16021-233C-4021-BF2B-6CD01100EC4E}"/>
    <cellStyle name="Currency 3 2 4 2 7 3" xfId="22133" xr:uid="{88DC5E4F-FB5F-4ABD-B1EB-3676AF4FDEE4}"/>
    <cellStyle name="Currency 3 2 4 2 8" xfId="7214" xr:uid="{701544C1-456C-4F6A-A3B3-62E1FDBC3625}"/>
    <cellStyle name="Currency 3 2 4 2 8 2" xfId="21265" xr:uid="{7DA16C66-06B8-4FDA-AA40-BBD5B6F9E679}"/>
    <cellStyle name="Currency 3 2 4 2 9" xfId="10686" xr:uid="{E16DE998-6EB1-4D85-9780-DC2674B843C0}"/>
    <cellStyle name="Currency 3 2 4 2 9 2" xfId="24737" xr:uid="{44CC8E06-8D3C-46AA-9594-5E45ED77A219}"/>
    <cellStyle name="Currency 3 2 4 3" xfId="992" xr:uid="{0D03FEBA-169B-4B70-81F1-28AF1C2F5E80}"/>
    <cellStyle name="Currency 3 2 4 3 10" xfId="15042" xr:uid="{4889E0A0-3322-4840-BBCC-B740076C1D5D}"/>
    <cellStyle name="Currency 3 2 4 3 2" xfId="2091" xr:uid="{6095B5F6-BE6C-4ACA-82CC-A635CA42E82D}"/>
    <cellStyle name="Currency 3 2 4 3 2 2" xfId="4280" xr:uid="{B23589CF-3CAE-40E7-8ADF-87AD3D8A6BDB}"/>
    <cellStyle name="Currency 3 2 4 3 2 2 2" xfId="5361" xr:uid="{FD5D0F06-F200-4C6C-8463-887B2DB30FCC}"/>
    <cellStyle name="Currency 3 2 4 3 2 2 2 2" xfId="6229" xr:uid="{2077E9E1-D89F-4C0E-A523-565D38617BE3}"/>
    <cellStyle name="Currency 3 2 4 3 2 2 2 2 2" xfId="9701" xr:uid="{7D527D53-5939-411C-8820-C95993E45A2A}"/>
    <cellStyle name="Currency 3 2 4 3 2 2 2 2 2 2" xfId="23752" xr:uid="{DDB94F45-34C4-4542-8816-46E2FA92D8F6}"/>
    <cellStyle name="Currency 3 2 4 3 2 2 2 2 3" xfId="12305" xr:uid="{E263D256-EFC7-4275-B880-22F7BEE4C524}"/>
    <cellStyle name="Currency 3 2 4 3 2 2 2 2 3 2" xfId="26356" xr:uid="{64881428-A466-46AD-B36D-641864AB20BE}"/>
    <cellStyle name="Currency 3 2 4 3 2 2 2 2 4" xfId="20280" xr:uid="{08843497-4565-418F-875E-3FFA7657BB0B}"/>
    <cellStyle name="Currency 3 2 4 3 2 2 2 3" xfId="7097" xr:uid="{97BB5D38-11A3-462F-90D5-79C9866D9FC8}"/>
    <cellStyle name="Currency 3 2 4 3 2 2 2 3 2" xfId="10569" xr:uid="{C07537BF-152E-4D8E-BBCF-90D234E2683B}"/>
    <cellStyle name="Currency 3 2 4 3 2 2 2 3 2 2" xfId="24620" xr:uid="{2ABFAA76-CAFC-4B62-95A2-B827BC1EF861}"/>
    <cellStyle name="Currency 3 2 4 3 2 2 2 3 3" xfId="13173" xr:uid="{767A5DF6-82AA-42F8-BDE0-BC180607A59C}"/>
    <cellStyle name="Currency 3 2 4 3 2 2 2 3 3 2" xfId="27224" xr:uid="{F737EED0-8409-4941-8099-D48C57EB50A1}"/>
    <cellStyle name="Currency 3 2 4 3 2 2 2 3 4" xfId="21148" xr:uid="{42606437-0F29-404B-96ED-458823F95288}"/>
    <cellStyle name="Currency 3 2 4 3 2 2 2 4" xfId="8833" xr:uid="{0F3315E6-6B65-42A3-A03D-CFCC5F5F1896}"/>
    <cellStyle name="Currency 3 2 4 3 2 2 2 4 2" xfId="14041" xr:uid="{4DC237F3-F039-4D3E-9FC6-6A4D4AD1F346}"/>
    <cellStyle name="Currency 3 2 4 3 2 2 2 4 2 2" xfId="28092" xr:uid="{D595C905-23D8-4702-91F5-6BFEC199117C}"/>
    <cellStyle name="Currency 3 2 4 3 2 2 2 4 3" xfId="22884" xr:uid="{B4ABA2C0-0B71-4D3F-9584-14F30D0070DB}"/>
    <cellStyle name="Currency 3 2 4 3 2 2 2 5" xfId="7965" xr:uid="{512F4EF1-DA1F-4801-9AE9-CF6B06210A8F}"/>
    <cellStyle name="Currency 3 2 4 3 2 2 2 5 2" xfId="22016" xr:uid="{7C5E1132-642A-4264-AFBC-6035E7DE3234}"/>
    <cellStyle name="Currency 3 2 4 3 2 2 2 6" xfId="11437" xr:uid="{9C98FA84-54E1-47B5-AB37-908AD41C1E2C}"/>
    <cellStyle name="Currency 3 2 4 3 2 2 2 6 2" xfId="25488" xr:uid="{B8BFEDC1-73B2-43DB-808E-026E7CF2C76E}"/>
    <cellStyle name="Currency 3 2 4 3 2 2 2 7" xfId="19412" xr:uid="{CE0343BC-102E-40A6-8CA4-BF9D6FAADA92}"/>
    <cellStyle name="Currency 3 2 4 3 2 2 3" xfId="5795" xr:uid="{6F0956D8-A2FA-4CA2-8E03-BF5F62723A09}"/>
    <cellStyle name="Currency 3 2 4 3 2 2 3 2" xfId="9267" xr:uid="{FD5E8ABD-D509-4755-97FB-7551E9B286C2}"/>
    <cellStyle name="Currency 3 2 4 3 2 2 3 2 2" xfId="23318" xr:uid="{53BA474B-828F-4510-B9F9-AF2C1D870811}"/>
    <cellStyle name="Currency 3 2 4 3 2 2 3 3" xfId="11871" xr:uid="{52994796-FE19-4F65-99D2-7418BE1607C8}"/>
    <cellStyle name="Currency 3 2 4 3 2 2 3 3 2" xfId="25922" xr:uid="{C14106C3-5EA5-4408-85B4-047BF55DB3EC}"/>
    <cellStyle name="Currency 3 2 4 3 2 2 3 4" xfId="19846" xr:uid="{1AA4EEC8-0BB3-4841-94E1-992540F3087D}"/>
    <cellStyle name="Currency 3 2 4 3 2 2 4" xfId="6663" xr:uid="{BEC14B66-9B45-4857-B4D9-5D0B7807379B}"/>
    <cellStyle name="Currency 3 2 4 3 2 2 4 2" xfId="10135" xr:uid="{2014AB41-E4D7-41E4-8309-7CDB1CB3BBAB}"/>
    <cellStyle name="Currency 3 2 4 3 2 2 4 2 2" xfId="24186" xr:uid="{7B099878-A26C-4372-91FE-2BBBD31AA5D2}"/>
    <cellStyle name="Currency 3 2 4 3 2 2 4 3" xfId="12739" xr:uid="{BDA0E53F-A3B9-49F4-A349-8D46B100A04E}"/>
    <cellStyle name="Currency 3 2 4 3 2 2 4 3 2" xfId="26790" xr:uid="{F0D22D2D-8ABC-4BC0-B3FC-6B12E73EC094}"/>
    <cellStyle name="Currency 3 2 4 3 2 2 4 4" xfId="20714" xr:uid="{79B7C2A9-8EAB-48A0-97A1-FC2B357DBDDA}"/>
    <cellStyle name="Currency 3 2 4 3 2 2 5" xfId="8399" xr:uid="{E8BF3004-2CC3-457B-803F-40BA4B003543}"/>
    <cellStyle name="Currency 3 2 4 3 2 2 5 2" xfId="13607" xr:uid="{B5AB8E14-019D-4E3F-B6AA-411DDF4F546B}"/>
    <cellStyle name="Currency 3 2 4 3 2 2 5 2 2" xfId="27658" xr:uid="{6D7F14AB-4AFC-4DEF-B5FC-A5AE28CFE01B}"/>
    <cellStyle name="Currency 3 2 4 3 2 2 5 3" xfId="22450" xr:uid="{6D0C4FC0-3D83-40AA-BB26-8C39529A29DE}"/>
    <cellStyle name="Currency 3 2 4 3 2 2 6" xfId="7531" xr:uid="{39D01EC9-8C0E-44ED-A7A4-3913CF015D63}"/>
    <cellStyle name="Currency 3 2 4 3 2 2 6 2" xfId="21582" xr:uid="{409436DD-7EFB-4CFF-B206-4B2046D2BFA2}"/>
    <cellStyle name="Currency 3 2 4 3 2 2 7" xfId="11003" xr:uid="{ACD9E57F-E734-4812-8C03-B74A458FC7E7}"/>
    <cellStyle name="Currency 3 2 4 3 2 2 7 2" xfId="25054" xr:uid="{8B295B63-57F9-4BCE-A5E9-C701FD96D647}"/>
    <cellStyle name="Currency 3 2 4 3 2 2 8" xfId="18331" xr:uid="{FBEE7596-BBD6-4977-808B-B11E6F2CB0B4}"/>
    <cellStyle name="Currency 3 2 4 3 2 3" xfId="5171" xr:uid="{01CEEA23-AB4E-4DD3-8EB7-B64E87CE55ED}"/>
    <cellStyle name="Currency 3 2 4 3 2 3 2" xfId="6039" xr:uid="{5053AC82-8A07-4C15-BCB9-DC913AF5B646}"/>
    <cellStyle name="Currency 3 2 4 3 2 3 2 2" xfId="9511" xr:uid="{F11FDFC4-990C-4AD5-84D9-82D5194F7AF6}"/>
    <cellStyle name="Currency 3 2 4 3 2 3 2 2 2" xfId="23562" xr:uid="{B5F0823F-558C-4912-B19E-033AB7FAF4A9}"/>
    <cellStyle name="Currency 3 2 4 3 2 3 2 3" xfId="12115" xr:uid="{CF4C2DCB-A455-4E38-9663-23711576C009}"/>
    <cellStyle name="Currency 3 2 4 3 2 3 2 3 2" xfId="26166" xr:uid="{F38FFE56-A41E-4764-B8B0-747FB5439C0B}"/>
    <cellStyle name="Currency 3 2 4 3 2 3 2 4" xfId="20090" xr:uid="{A1740553-10F1-4794-97FD-1946A1F230BA}"/>
    <cellStyle name="Currency 3 2 4 3 2 3 3" xfId="6907" xr:uid="{6E46E000-9DCC-4F4F-9A90-224902AD41B7}"/>
    <cellStyle name="Currency 3 2 4 3 2 3 3 2" xfId="10379" xr:uid="{2150A2DB-38C1-41D0-BF7D-E36FDFEF1D35}"/>
    <cellStyle name="Currency 3 2 4 3 2 3 3 2 2" xfId="24430" xr:uid="{C14D153C-FFA6-450B-83D1-69F9E7D24E9F}"/>
    <cellStyle name="Currency 3 2 4 3 2 3 3 3" xfId="12983" xr:uid="{1C596DFA-4D4F-41F7-BC9B-D9C8A1AC5615}"/>
    <cellStyle name="Currency 3 2 4 3 2 3 3 3 2" xfId="27034" xr:uid="{1070F207-DFAA-40BB-B910-366887DDF94F}"/>
    <cellStyle name="Currency 3 2 4 3 2 3 3 4" xfId="20958" xr:uid="{5EACDFA9-A6C7-428A-AA42-37F2491938A5}"/>
    <cellStyle name="Currency 3 2 4 3 2 3 4" xfId="8643" xr:uid="{D0EA59B1-6E6C-4CD9-A061-75F8B8F74A7B}"/>
    <cellStyle name="Currency 3 2 4 3 2 3 4 2" xfId="13851" xr:uid="{60B08EAC-822B-43DA-AEBA-944F9E7949C4}"/>
    <cellStyle name="Currency 3 2 4 3 2 3 4 2 2" xfId="27902" xr:uid="{D7971E8F-46AA-4F73-93F3-E06A53FF8816}"/>
    <cellStyle name="Currency 3 2 4 3 2 3 4 3" xfId="22694" xr:uid="{0A10C404-85AF-4E05-9FFD-5D511F2268D0}"/>
    <cellStyle name="Currency 3 2 4 3 2 3 5" xfId="7775" xr:uid="{C7B7103F-6585-4683-9FA7-526E906F9214}"/>
    <cellStyle name="Currency 3 2 4 3 2 3 5 2" xfId="21826" xr:uid="{C75524AB-2DFA-4FBD-982D-E5525B821094}"/>
    <cellStyle name="Currency 3 2 4 3 2 3 6" xfId="11247" xr:uid="{D059FF5F-B747-4EE2-AFC5-E625273B54B6}"/>
    <cellStyle name="Currency 3 2 4 3 2 3 6 2" xfId="25298" xr:uid="{7E244BC6-5182-460B-81DD-BBD36F876405}"/>
    <cellStyle name="Currency 3 2 4 3 2 3 7" xfId="19222" xr:uid="{838519EC-B746-4E55-90C6-BF52CC5DD370}"/>
    <cellStyle name="Currency 3 2 4 3 2 4" xfId="5605" xr:uid="{36F80D63-0D0B-45FD-893F-4DE475B91C40}"/>
    <cellStyle name="Currency 3 2 4 3 2 4 2" xfId="9077" xr:uid="{B1477174-1F0C-4770-9E2D-CD524BA0BEC0}"/>
    <cellStyle name="Currency 3 2 4 3 2 4 2 2" xfId="23128" xr:uid="{1A773B99-1B23-4773-9E00-AFF0ADB160F1}"/>
    <cellStyle name="Currency 3 2 4 3 2 4 3" xfId="11681" xr:uid="{E760D015-BFC8-4D98-97BB-B104E91259A7}"/>
    <cellStyle name="Currency 3 2 4 3 2 4 3 2" xfId="25732" xr:uid="{A9672A93-CC52-4B73-8CE5-C47EE067CAD2}"/>
    <cellStyle name="Currency 3 2 4 3 2 4 4" xfId="19656" xr:uid="{1E2EBB0E-17D6-40EA-B13B-7D1EA00D910C}"/>
    <cellStyle name="Currency 3 2 4 3 2 5" xfId="6473" xr:uid="{78301677-43B1-4826-B73A-30F05C5384F0}"/>
    <cellStyle name="Currency 3 2 4 3 2 5 2" xfId="9945" xr:uid="{D77701B0-4F86-4286-AF88-F56959A5F1AA}"/>
    <cellStyle name="Currency 3 2 4 3 2 5 2 2" xfId="23996" xr:uid="{A49D5589-ACFF-4864-A76E-A2C3C6DF486C}"/>
    <cellStyle name="Currency 3 2 4 3 2 5 3" xfId="12549" xr:uid="{87E2A01C-8FB3-45BA-BA2D-05FF5A5A0A50}"/>
    <cellStyle name="Currency 3 2 4 3 2 5 3 2" xfId="26600" xr:uid="{816B0B89-4125-4136-AEA6-C17FA0C543FF}"/>
    <cellStyle name="Currency 3 2 4 3 2 5 4" xfId="20524" xr:uid="{81014010-1DEE-4E6E-B5AE-6EBF0509DAA6}"/>
    <cellStyle name="Currency 3 2 4 3 2 6" xfId="8209" xr:uid="{49181341-8E9A-4A02-AEF1-4160A53CE123}"/>
    <cellStyle name="Currency 3 2 4 3 2 6 2" xfId="13417" xr:uid="{4BC9A526-32AF-470A-83A5-13CB57F40891}"/>
    <cellStyle name="Currency 3 2 4 3 2 6 2 2" xfId="27468" xr:uid="{6ED01102-E099-4C05-9A48-1B7A6093DED6}"/>
    <cellStyle name="Currency 3 2 4 3 2 6 3" xfId="22260" xr:uid="{07CEF095-7F07-41FC-B526-C48318643269}"/>
    <cellStyle name="Currency 3 2 4 3 2 7" xfId="7341" xr:uid="{A9D81D6F-2652-486C-B39D-B8CCB9631029}"/>
    <cellStyle name="Currency 3 2 4 3 2 7 2" xfId="21392" xr:uid="{F30C5A1E-1E25-49D1-94AA-DE34DBA517E2}"/>
    <cellStyle name="Currency 3 2 4 3 2 8" xfId="10813" xr:uid="{84C1B3E9-6DF6-472F-8992-51DE92723DB2}"/>
    <cellStyle name="Currency 3 2 4 3 2 8 2" xfId="24864" xr:uid="{4AB40879-86FA-414E-A6AF-1E476FF9856A}"/>
    <cellStyle name="Currency 3 2 4 3 2 9" xfId="16140" xr:uid="{D656C830-0D0A-43A2-890D-7AD605644E64}"/>
    <cellStyle name="Currency 3 2 4 3 3" xfId="3184" xr:uid="{DAC823EC-CA4E-4662-B616-0DC05B09B1D7}"/>
    <cellStyle name="Currency 3 2 4 3 3 2" xfId="5266" xr:uid="{68234B52-B27D-4879-951C-7C62A584CEAA}"/>
    <cellStyle name="Currency 3 2 4 3 3 2 2" xfId="6134" xr:uid="{F7F854F6-B8A9-4E4C-A2B1-34E9AFCAE1D3}"/>
    <cellStyle name="Currency 3 2 4 3 3 2 2 2" xfId="9606" xr:uid="{C14C6785-DC7B-4FD0-84A3-DA07E70EE29E}"/>
    <cellStyle name="Currency 3 2 4 3 3 2 2 2 2" xfId="23657" xr:uid="{5A5A92D2-FDFB-4471-BE61-8982F8E79F4F}"/>
    <cellStyle name="Currency 3 2 4 3 3 2 2 3" xfId="12210" xr:uid="{52003293-A766-448F-8D7F-C2545940A2DD}"/>
    <cellStyle name="Currency 3 2 4 3 3 2 2 3 2" xfId="26261" xr:uid="{1A7F9151-474B-4810-8474-A992FEB4D2E7}"/>
    <cellStyle name="Currency 3 2 4 3 3 2 2 4" xfId="20185" xr:uid="{4389063C-5E78-43CA-ABCF-1AF53DAAFB9A}"/>
    <cellStyle name="Currency 3 2 4 3 3 2 3" xfId="7002" xr:uid="{1062EEB4-23A7-41E4-BEA2-C69A7D33C37F}"/>
    <cellStyle name="Currency 3 2 4 3 3 2 3 2" xfId="10474" xr:uid="{5876598C-56F8-484F-A876-8B6E4ABA8FBC}"/>
    <cellStyle name="Currency 3 2 4 3 3 2 3 2 2" xfId="24525" xr:uid="{061701A2-D093-45EE-8396-08D81F31B864}"/>
    <cellStyle name="Currency 3 2 4 3 3 2 3 3" xfId="13078" xr:uid="{3F3782DA-C13D-4862-9F34-25FA3017C7C9}"/>
    <cellStyle name="Currency 3 2 4 3 3 2 3 3 2" xfId="27129" xr:uid="{6C892787-F708-4526-ADC8-D0268A3F2575}"/>
    <cellStyle name="Currency 3 2 4 3 3 2 3 4" xfId="21053" xr:uid="{7759362B-36AF-4C03-8778-54B0174544AB}"/>
    <cellStyle name="Currency 3 2 4 3 3 2 4" xfId="8738" xr:uid="{0F6DC99E-6A17-412F-8744-F38A1785EC53}"/>
    <cellStyle name="Currency 3 2 4 3 3 2 4 2" xfId="13946" xr:uid="{03F33253-AE86-4CFE-9DD9-A42BCEC18367}"/>
    <cellStyle name="Currency 3 2 4 3 3 2 4 2 2" xfId="27997" xr:uid="{851AF6FA-E2A6-4CAA-BE93-2C655A805C78}"/>
    <cellStyle name="Currency 3 2 4 3 3 2 4 3" xfId="22789" xr:uid="{2F2DD4E1-78F4-4B82-96C3-9B60E57328FB}"/>
    <cellStyle name="Currency 3 2 4 3 3 2 5" xfId="7870" xr:uid="{C27A2FE4-6BB3-4808-839A-A4962C8A284D}"/>
    <cellStyle name="Currency 3 2 4 3 3 2 5 2" xfId="21921" xr:uid="{19C0A462-E1A8-4B3D-B4E9-67589843A9EA}"/>
    <cellStyle name="Currency 3 2 4 3 3 2 6" xfId="11342" xr:uid="{FA921F24-FF8B-447D-8090-425839C5ABE6}"/>
    <cellStyle name="Currency 3 2 4 3 3 2 6 2" xfId="25393" xr:uid="{0FA0E55B-7474-45EE-AFAB-4096D6BCBCCE}"/>
    <cellStyle name="Currency 3 2 4 3 3 2 7" xfId="19317" xr:uid="{DCDF93C6-DD97-49D4-B48C-29B73F15F485}"/>
    <cellStyle name="Currency 3 2 4 3 3 3" xfId="5700" xr:uid="{566F7C8F-0FE7-4FBE-8184-CC508BF21EFD}"/>
    <cellStyle name="Currency 3 2 4 3 3 3 2" xfId="9172" xr:uid="{97E118E3-DD1E-460C-A8C1-47FE3BD97493}"/>
    <cellStyle name="Currency 3 2 4 3 3 3 2 2" xfId="23223" xr:uid="{7B4C6D17-1ABE-4245-93EF-37629FBF546C}"/>
    <cellStyle name="Currency 3 2 4 3 3 3 3" xfId="11776" xr:uid="{F65446CD-B806-46F5-9019-6B347838ADB8}"/>
    <cellStyle name="Currency 3 2 4 3 3 3 3 2" xfId="25827" xr:uid="{752EF807-D62A-4482-BB6B-1968D6C561C8}"/>
    <cellStyle name="Currency 3 2 4 3 3 3 4" xfId="19751" xr:uid="{EC3D8ABF-B333-496C-A329-76C5ACE2F2F6}"/>
    <cellStyle name="Currency 3 2 4 3 3 4" xfId="6568" xr:uid="{F16ED6DD-2A39-48C8-A8CF-E2C0A374A543}"/>
    <cellStyle name="Currency 3 2 4 3 3 4 2" xfId="10040" xr:uid="{C68BDC11-165D-445B-BF9A-B00DFD29ECA2}"/>
    <cellStyle name="Currency 3 2 4 3 3 4 2 2" xfId="24091" xr:uid="{BDD95369-F59E-41AE-A46E-6614953D8D4E}"/>
    <cellStyle name="Currency 3 2 4 3 3 4 3" xfId="12644" xr:uid="{A784838A-7896-4A3E-9559-C6DD29504683}"/>
    <cellStyle name="Currency 3 2 4 3 3 4 3 2" xfId="26695" xr:uid="{69154AFA-447E-4FD7-B0D3-4DCCDB368C05}"/>
    <cellStyle name="Currency 3 2 4 3 3 4 4" xfId="20619" xr:uid="{51807380-C6E4-46B6-AE9B-D66ACEC0B22C}"/>
    <cellStyle name="Currency 3 2 4 3 3 5" xfId="8304" xr:uid="{53127788-55D5-4EB4-838F-86AED429F275}"/>
    <cellStyle name="Currency 3 2 4 3 3 5 2" xfId="13512" xr:uid="{D7B7D5B4-9D13-4617-B322-7A37037B47CA}"/>
    <cellStyle name="Currency 3 2 4 3 3 5 2 2" xfId="27563" xr:uid="{05990450-62B3-4AFD-8388-DCD526197BB7}"/>
    <cellStyle name="Currency 3 2 4 3 3 5 3" xfId="22355" xr:uid="{6CFD3A70-4530-474E-AB9D-929DBD098018}"/>
    <cellStyle name="Currency 3 2 4 3 3 6" xfId="7436" xr:uid="{871CD686-5156-41FA-9EC3-19E0E852164F}"/>
    <cellStyle name="Currency 3 2 4 3 3 6 2" xfId="21487" xr:uid="{FCB2E1A7-3CE9-4B86-BBEA-FBD27DE5CF29}"/>
    <cellStyle name="Currency 3 2 4 3 3 7" xfId="10908" xr:uid="{962BF580-5405-479C-9146-D61588411A2B}"/>
    <cellStyle name="Currency 3 2 4 3 3 7 2" xfId="24959" xr:uid="{5F1489A7-3DAE-427C-BA51-ED485198418F}"/>
    <cellStyle name="Currency 3 2 4 3 3 8" xfId="17236" xr:uid="{7DFA4EDD-0C31-4CD9-BB09-FBB4589F3364}"/>
    <cellStyle name="Currency 3 2 4 3 4" xfId="5074" xr:uid="{B8180FCE-7CED-41CE-998C-48397EF9ECC2}"/>
    <cellStyle name="Currency 3 2 4 3 4 2" xfId="5942" xr:uid="{91AABD6C-AC02-4825-89D4-B09DB011F906}"/>
    <cellStyle name="Currency 3 2 4 3 4 2 2" xfId="9414" xr:uid="{733F3FF2-DEBB-47FB-82D1-DDBDB5204B1F}"/>
    <cellStyle name="Currency 3 2 4 3 4 2 2 2" xfId="23465" xr:uid="{D8C4CC26-0C31-44E7-89D5-41BE3BEE1B36}"/>
    <cellStyle name="Currency 3 2 4 3 4 2 3" xfId="12018" xr:uid="{92857065-4614-493C-975F-0E9C9C3634C8}"/>
    <cellStyle name="Currency 3 2 4 3 4 2 3 2" xfId="26069" xr:uid="{835DEFA3-12A2-4BFB-B835-CE12AD763ECC}"/>
    <cellStyle name="Currency 3 2 4 3 4 2 4" xfId="19993" xr:uid="{0B28E652-DCBA-4B15-99F6-8D3B1D9B6E0F}"/>
    <cellStyle name="Currency 3 2 4 3 4 3" xfId="6810" xr:uid="{BFB0D75E-23CB-4278-BED5-1D4CF6E8C36B}"/>
    <cellStyle name="Currency 3 2 4 3 4 3 2" xfId="10282" xr:uid="{2217B356-517A-4020-A72F-75B22DC71CF8}"/>
    <cellStyle name="Currency 3 2 4 3 4 3 2 2" xfId="24333" xr:uid="{1FCD1208-6333-4C72-B81E-B69CAC43B18F}"/>
    <cellStyle name="Currency 3 2 4 3 4 3 3" xfId="12886" xr:uid="{8A4B76C9-3250-49A8-99B1-6A56D7253AED}"/>
    <cellStyle name="Currency 3 2 4 3 4 3 3 2" xfId="26937" xr:uid="{30BD1A8E-EB41-47F8-8B47-8711ADC1DE89}"/>
    <cellStyle name="Currency 3 2 4 3 4 3 4" xfId="20861" xr:uid="{FFE64B6C-6253-4932-81A9-DECF3D74AFCB}"/>
    <cellStyle name="Currency 3 2 4 3 4 4" xfId="8546" xr:uid="{70BF4A92-D387-4013-B15B-25C934C0AC95}"/>
    <cellStyle name="Currency 3 2 4 3 4 4 2" xfId="13754" xr:uid="{76E60B5D-0733-4BE0-BC04-5B2CC7C4F4DB}"/>
    <cellStyle name="Currency 3 2 4 3 4 4 2 2" xfId="27805" xr:uid="{911184E9-24C3-493C-A649-1172604813EB}"/>
    <cellStyle name="Currency 3 2 4 3 4 4 3" xfId="22597" xr:uid="{AFC82B2A-FD37-4DF1-A80D-B9EC453865A2}"/>
    <cellStyle name="Currency 3 2 4 3 4 5" xfId="7678" xr:uid="{A172C04F-83FD-462C-AA67-CDDE73F7819E}"/>
    <cellStyle name="Currency 3 2 4 3 4 5 2" xfId="21729" xr:uid="{B424D28C-66AA-4514-B823-A8C289277958}"/>
    <cellStyle name="Currency 3 2 4 3 4 6" xfId="11150" xr:uid="{19F6843E-2478-4744-9D7B-BB885DC116D8}"/>
    <cellStyle name="Currency 3 2 4 3 4 6 2" xfId="25201" xr:uid="{D8ED589A-93D0-48B8-8DE1-70787C9143D4}"/>
    <cellStyle name="Currency 3 2 4 3 4 7" xfId="19125" xr:uid="{83122741-B254-4923-83D8-624CA7D7A4FA}"/>
    <cellStyle name="Currency 3 2 4 3 5" xfId="5508" xr:uid="{B87B7CC4-EB89-4F5F-AA12-27A82A48AF0A}"/>
    <cellStyle name="Currency 3 2 4 3 5 2" xfId="8980" xr:uid="{CB916E44-B900-4AC3-B6AB-E6FE2481FE92}"/>
    <cellStyle name="Currency 3 2 4 3 5 2 2" xfId="23031" xr:uid="{D06597A5-5041-4B6D-8DD4-9858D0D853C0}"/>
    <cellStyle name="Currency 3 2 4 3 5 3" xfId="11584" xr:uid="{9C6630B1-DD3B-4E4B-9E8D-0D030EF63238}"/>
    <cellStyle name="Currency 3 2 4 3 5 3 2" xfId="25635" xr:uid="{C81CE9B8-5DD3-47C7-8AAD-484DDA3470FE}"/>
    <cellStyle name="Currency 3 2 4 3 5 4" xfId="19559" xr:uid="{E8CC4849-DD29-40C5-8A3F-0C439076CEE3}"/>
    <cellStyle name="Currency 3 2 4 3 6" xfId="6376" xr:uid="{6D853889-78AC-4308-B62C-8834C5B2B948}"/>
    <cellStyle name="Currency 3 2 4 3 6 2" xfId="9848" xr:uid="{5F690293-2D8B-4361-B5A5-7E5883850C7D}"/>
    <cellStyle name="Currency 3 2 4 3 6 2 2" xfId="23899" xr:uid="{5939B0E8-8642-4393-A4E5-A55567D2C57B}"/>
    <cellStyle name="Currency 3 2 4 3 6 3" xfId="12452" xr:uid="{22E4C242-BD78-491A-9E47-E8304CBFC18A}"/>
    <cellStyle name="Currency 3 2 4 3 6 3 2" xfId="26503" xr:uid="{8672543E-4733-45C5-8FBA-B003A2EDB511}"/>
    <cellStyle name="Currency 3 2 4 3 6 4" xfId="20427" xr:uid="{6CE9A25E-5C16-4668-BC85-9879E2CEEF4F}"/>
    <cellStyle name="Currency 3 2 4 3 7" xfId="8112" xr:uid="{0986D08D-ED66-4306-A4CB-C59760656178}"/>
    <cellStyle name="Currency 3 2 4 3 7 2" xfId="13320" xr:uid="{65CC8643-4458-49C4-84E8-4FC5770FC3E4}"/>
    <cellStyle name="Currency 3 2 4 3 7 2 2" xfId="27371" xr:uid="{C2A6A68A-2FA1-47DE-B7A5-FCBAA7501529}"/>
    <cellStyle name="Currency 3 2 4 3 7 3" xfId="22163" xr:uid="{DE255CE6-4090-48D3-A6AF-396174A61084}"/>
    <cellStyle name="Currency 3 2 4 3 8" xfId="7244" xr:uid="{8E12FEA5-6300-4433-BE3C-8C180AFB33BD}"/>
    <cellStyle name="Currency 3 2 4 3 8 2" xfId="21295" xr:uid="{38FB9B01-7203-4B63-92B8-CB1DA11D550C}"/>
    <cellStyle name="Currency 3 2 4 3 9" xfId="10716" xr:uid="{22897DCB-2CB9-47AB-A973-6C9F86AE5016}"/>
    <cellStyle name="Currency 3 2 4 3 9 2" xfId="24767" xr:uid="{6CA93AC7-B91A-4537-A515-D8BA2942D0FF}"/>
    <cellStyle name="Currency 3 2 4 4" xfId="1572" xr:uid="{3D272DE0-5D06-48D9-8F15-926F3B4F3971}"/>
    <cellStyle name="Currency 3 2 4 4 2" xfId="3762" xr:uid="{4501BBBF-A39C-4B63-84B3-F90C350FB231}"/>
    <cellStyle name="Currency 3 2 4 4 2 2" xfId="5317" xr:uid="{AC70BC9D-A4A6-4F1C-9CBE-5B9538497D59}"/>
    <cellStyle name="Currency 3 2 4 4 2 2 2" xfId="6185" xr:uid="{86057014-7CDB-4ED6-8815-CDD27E74349E}"/>
    <cellStyle name="Currency 3 2 4 4 2 2 2 2" xfId="9657" xr:uid="{3911867B-BCE7-47E8-9699-D70DA05C8952}"/>
    <cellStyle name="Currency 3 2 4 4 2 2 2 2 2" xfId="23708" xr:uid="{59E29964-A4B8-4E0F-AB86-F460AF9FBA1D}"/>
    <cellStyle name="Currency 3 2 4 4 2 2 2 3" xfId="12261" xr:uid="{9EC03C14-75D6-48F1-AF3C-019451CB9E6D}"/>
    <cellStyle name="Currency 3 2 4 4 2 2 2 3 2" xfId="26312" xr:uid="{D81B1274-9EB6-4562-858E-81E514D5DED7}"/>
    <cellStyle name="Currency 3 2 4 4 2 2 2 4" xfId="20236" xr:uid="{6757C76C-A926-433F-A19C-8C1086C7B289}"/>
    <cellStyle name="Currency 3 2 4 4 2 2 3" xfId="7053" xr:uid="{D1B46693-8493-4B02-A88D-EBBBF1F14379}"/>
    <cellStyle name="Currency 3 2 4 4 2 2 3 2" xfId="10525" xr:uid="{C72FEA09-3DEA-4020-BC63-8759F79BA97A}"/>
    <cellStyle name="Currency 3 2 4 4 2 2 3 2 2" xfId="24576" xr:uid="{347CBAE0-88F3-48F8-9AC2-ACA6FAE253A6}"/>
    <cellStyle name="Currency 3 2 4 4 2 2 3 3" xfId="13129" xr:uid="{9B466C08-82A2-4210-A2A2-6960FDCE0BB8}"/>
    <cellStyle name="Currency 3 2 4 4 2 2 3 3 2" xfId="27180" xr:uid="{D49BCFE9-F651-4F6B-8442-27B0013F3242}"/>
    <cellStyle name="Currency 3 2 4 4 2 2 3 4" xfId="21104" xr:uid="{2DED4306-97EB-4FC0-9486-308884F644BC}"/>
    <cellStyle name="Currency 3 2 4 4 2 2 4" xfId="8789" xr:uid="{85F59819-1EF4-4E23-B6EA-12E29B1CD9C4}"/>
    <cellStyle name="Currency 3 2 4 4 2 2 4 2" xfId="13997" xr:uid="{22D4E37B-23D0-4339-B207-2A94A3B4A148}"/>
    <cellStyle name="Currency 3 2 4 4 2 2 4 2 2" xfId="28048" xr:uid="{D2D4B394-8B49-4E7A-A61F-78B74EAA18F5}"/>
    <cellStyle name="Currency 3 2 4 4 2 2 4 3" xfId="22840" xr:uid="{7CF676EA-E0EB-471E-8350-7A10B67F709E}"/>
    <cellStyle name="Currency 3 2 4 4 2 2 5" xfId="7921" xr:uid="{860D959D-FC78-441E-98C5-FF6B5F80E498}"/>
    <cellStyle name="Currency 3 2 4 4 2 2 5 2" xfId="21972" xr:uid="{3BA6A981-E045-4767-B4B6-2A8DAF3C0438}"/>
    <cellStyle name="Currency 3 2 4 4 2 2 6" xfId="11393" xr:uid="{DE071CB0-A0D8-423D-ACA9-65873EF32EE0}"/>
    <cellStyle name="Currency 3 2 4 4 2 2 6 2" xfId="25444" xr:uid="{97C3709B-27D6-434A-95B2-3C3315A09209}"/>
    <cellStyle name="Currency 3 2 4 4 2 2 7" xfId="19368" xr:uid="{FD3F39A7-3C02-43B3-9D4D-1E3041DAF95B}"/>
    <cellStyle name="Currency 3 2 4 4 2 3" xfId="5751" xr:uid="{C0523310-69BD-4976-87DB-D0F9F334AB0A}"/>
    <cellStyle name="Currency 3 2 4 4 2 3 2" xfId="9223" xr:uid="{58F7DB05-480B-4FAF-AB8D-A90FAA820566}"/>
    <cellStyle name="Currency 3 2 4 4 2 3 2 2" xfId="23274" xr:uid="{DE3CE415-0885-43C9-80E8-530A0DB1730C}"/>
    <cellStyle name="Currency 3 2 4 4 2 3 3" xfId="11827" xr:uid="{915CFDEC-1308-4FC3-9709-1362FBA76584}"/>
    <cellStyle name="Currency 3 2 4 4 2 3 3 2" xfId="25878" xr:uid="{C8BF740F-74FB-410B-A54B-E83465FDB0DA}"/>
    <cellStyle name="Currency 3 2 4 4 2 3 4" xfId="19802" xr:uid="{A34783F5-D929-404F-BE53-95533E8C8A0B}"/>
    <cellStyle name="Currency 3 2 4 4 2 4" xfId="6619" xr:uid="{F119B6F6-0F50-4810-8DB8-4D4557943732}"/>
    <cellStyle name="Currency 3 2 4 4 2 4 2" xfId="10091" xr:uid="{6BECC160-F6CE-43E5-A136-8F541C8141D7}"/>
    <cellStyle name="Currency 3 2 4 4 2 4 2 2" xfId="24142" xr:uid="{56EA11D5-5316-4776-89D1-3B3DC214FEAE}"/>
    <cellStyle name="Currency 3 2 4 4 2 4 3" xfId="12695" xr:uid="{D04A6CF2-DB4C-42EF-90A9-0FD4D1FAF8FC}"/>
    <cellStyle name="Currency 3 2 4 4 2 4 3 2" xfId="26746" xr:uid="{8AACF793-276A-4BA4-8E86-B5F26DE3D919}"/>
    <cellStyle name="Currency 3 2 4 4 2 4 4" xfId="20670" xr:uid="{AD3F1299-4E68-4F85-8DFA-BCDF41BC6596}"/>
    <cellStyle name="Currency 3 2 4 4 2 5" xfId="8355" xr:uid="{B2078A8B-B0D2-4B38-BF7A-6AAC8B839DC4}"/>
    <cellStyle name="Currency 3 2 4 4 2 5 2" xfId="13563" xr:uid="{86D08149-572D-47B7-8096-796728BDD620}"/>
    <cellStyle name="Currency 3 2 4 4 2 5 2 2" xfId="27614" xr:uid="{4677932C-A670-46F5-B9B5-9E06C92FBACC}"/>
    <cellStyle name="Currency 3 2 4 4 2 5 3" xfId="22406" xr:uid="{0D2E81A9-334F-4844-A1F8-32BECA786419}"/>
    <cellStyle name="Currency 3 2 4 4 2 6" xfId="7487" xr:uid="{E7642627-C80A-47B4-A5E1-3927F02F8FD2}"/>
    <cellStyle name="Currency 3 2 4 4 2 6 2" xfId="21538" xr:uid="{93FFAEE5-D073-4B4C-8211-C8E52B869A1B}"/>
    <cellStyle name="Currency 3 2 4 4 2 7" xfId="10959" xr:uid="{EFC149AB-74B2-40A4-99EC-1DBB52B88F19}"/>
    <cellStyle name="Currency 3 2 4 4 2 7 2" xfId="25010" xr:uid="{BC003E05-36B1-4D9C-AFEB-F39D85A590EB}"/>
    <cellStyle name="Currency 3 2 4 4 2 8" xfId="17815" xr:uid="{2F9BD64F-FF9B-4EEB-A788-87A391B08F1F}"/>
    <cellStyle name="Currency 3 2 4 4 3" xfId="5126" xr:uid="{9B3A8E78-5A56-4A72-A639-3E83C0951872}"/>
    <cellStyle name="Currency 3 2 4 4 3 2" xfId="5994" xr:uid="{0D940305-A5AE-4B51-A306-52698A6512D4}"/>
    <cellStyle name="Currency 3 2 4 4 3 2 2" xfId="9466" xr:uid="{A9BEF333-1893-4A02-8A0F-169FCE441519}"/>
    <cellStyle name="Currency 3 2 4 4 3 2 2 2" xfId="23517" xr:uid="{DEFDD109-B090-4AAB-B2D1-A71A70E07505}"/>
    <cellStyle name="Currency 3 2 4 4 3 2 3" xfId="12070" xr:uid="{798C4CA1-EDD5-4E8A-8D8D-DBDF1C6CCB75}"/>
    <cellStyle name="Currency 3 2 4 4 3 2 3 2" xfId="26121" xr:uid="{30A95A14-5DC2-431D-9B0A-EC1292963428}"/>
    <cellStyle name="Currency 3 2 4 4 3 2 4" xfId="20045" xr:uid="{0F8DC100-5F92-4064-94EA-4EFEE884710F}"/>
    <cellStyle name="Currency 3 2 4 4 3 3" xfId="6862" xr:uid="{A734C42C-53C1-4FA3-859E-F7A459CBEB6F}"/>
    <cellStyle name="Currency 3 2 4 4 3 3 2" xfId="10334" xr:uid="{79BAF9E7-1697-485B-B9BA-D42A7033F475}"/>
    <cellStyle name="Currency 3 2 4 4 3 3 2 2" xfId="24385" xr:uid="{DA431861-850D-4716-B571-2F0814D43909}"/>
    <cellStyle name="Currency 3 2 4 4 3 3 3" xfId="12938" xr:uid="{650312D6-FEFF-4932-B4D5-FB32983CE27D}"/>
    <cellStyle name="Currency 3 2 4 4 3 3 3 2" xfId="26989" xr:uid="{018127A7-77A1-413F-99FC-BF0D215A70C6}"/>
    <cellStyle name="Currency 3 2 4 4 3 3 4" xfId="20913" xr:uid="{9D26D903-647A-4BBE-B8ED-6A332CDD3E42}"/>
    <cellStyle name="Currency 3 2 4 4 3 4" xfId="8598" xr:uid="{B2A76A9E-D3D7-418A-8864-4096A76C1826}"/>
    <cellStyle name="Currency 3 2 4 4 3 4 2" xfId="13806" xr:uid="{70E17C9E-A7C0-48A8-87CA-A0A5E1A7FF21}"/>
    <cellStyle name="Currency 3 2 4 4 3 4 2 2" xfId="27857" xr:uid="{5D8E266F-59A8-44E6-B89D-0A8213EF5618}"/>
    <cellStyle name="Currency 3 2 4 4 3 4 3" xfId="22649" xr:uid="{EAFA8E1B-424B-4093-B76D-342508A20B0F}"/>
    <cellStyle name="Currency 3 2 4 4 3 5" xfId="7730" xr:uid="{D2A25888-8DC2-41AF-9FB5-062018B09A44}"/>
    <cellStyle name="Currency 3 2 4 4 3 5 2" xfId="21781" xr:uid="{1B2DFA21-1A96-4A92-8B79-2D78D7ABC9A9}"/>
    <cellStyle name="Currency 3 2 4 4 3 6" xfId="11202" xr:uid="{C80C1ECC-779D-4B68-AEB2-70C84513186F}"/>
    <cellStyle name="Currency 3 2 4 4 3 6 2" xfId="25253" xr:uid="{B7B307DA-74ED-4713-BB41-5B16EF940DD0}"/>
    <cellStyle name="Currency 3 2 4 4 3 7" xfId="19177" xr:uid="{72F24EF3-FC6E-43A5-B045-E12765FAEF40}"/>
    <cellStyle name="Currency 3 2 4 4 4" xfId="5560" xr:uid="{67538536-6946-44B6-BF95-83FC73409A14}"/>
    <cellStyle name="Currency 3 2 4 4 4 2" xfId="9032" xr:uid="{4DFB0FF2-4244-4A19-88D4-278C81ED0084}"/>
    <cellStyle name="Currency 3 2 4 4 4 2 2" xfId="23083" xr:uid="{087B4789-07BD-4CF7-91D9-7C12A55D4F16}"/>
    <cellStyle name="Currency 3 2 4 4 4 3" xfId="11636" xr:uid="{13F379AD-576B-4C83-8510-17D02775E1E7}"/>
    <cellStyle name="Currency 3 2 4 4 4 3 2" xfId="25687" xr:uid="{73A3C2E7-B362-45A0-B0BB-28F30409B2AC}"/>
    <cellStyle name="Currency 3 2 4 4 4 4" xfId="19611" xr:uid="{DE7B94FF-B912-41CB-B163-9D0E8405E9B2}"/>
    <cellStyle name="Currency 3 2 4 4 5" xfId="6428" xr:uid="{E219BB24-71C6-4CF8-8D90-A7D30E8D514D}"/>
    <cellStyle name="Currency 3 2 4 4 5 2" xfId="9900" xr:uid="{CC6A7DE0-D72E-4635-B4F4-7FF810BE2580}"/>
    <cellStyle name="Currency 3 2 4 4 5 2 2" xfId="23951" xr:uid="{9AFF4A59-FDD4-4EAA-A138-783566482F4A}"/>
    <cellStyle name="Currency 3 2 4 4 5 3" xfId="12504" xr:uid="{5045B998-C5BC-41D8-8F30-8CA8F6EF1E5F}"/>
    <cellStyle name="Currency 3 2 4 4 5 3 2" xfId="26555" xr:uid="{B5708579-2011-43B3-801A-27CE0ACBB7FC}"/>
    <cellStyle name="Currency 3 2 4 4 5 4" xfId="20479" xr:uid="{35B86593-4A49-443F-8AA4-1D607332D52E}"/>
    <cellStyle name="Currency 3 2 4 4 6" xfId="8164" xr:uid="{85CC043E-D9DC-49D4-9BBA-9BFE5DFA6647}"/>
    <cellStyle name="Currency 3 2 4 4 6 2" xfId="13372" xr:uid="{75EE1EA7-1B11-4E5F-9475-B00FE64D72C2}"/>
    <cellStyle name="Currency 3 2 4 4 6 2 2" xfId="27423" xr:uid="{AA845782-836E-47E7-9EB2-633FDC822F95}"/>
    <cellStyle name="Currency 3 2 4 4 6 3" xfId="22215" xr:uid="{51B8F914-F632-4C1A-BE2D-5465B486FA50}"/>
    <cellStyle name="Currency 3 2 4 4 7" xfId="7296" xr:uid="{F265DBB8-1808-4085-8D5F-8DA2D2C55E24}"/>
    <cellStyle name="Currency 3 2 4 4 7 2" xfId="21347" xr:uid="{D1B8FCDC-3035-4D31-9476-D408C9097D13}"/>
    <cellStyle name="Currency 3 2 4 4 8" xfId="10768" xr:uid="{A140048E-D752-43C9-857D-99109FF61AA4}"/>
    <cellStyle name="Currency 3 2 4 4 8 2" xfId="24819" xr:uid="{5B920560-9B09-4F78-985F-7A7FBBD4901F}"/>
    <cellStyle name="Currency 3 2 4 4 9" xfId="15621" xr:uid="{54ED481E-009E-42A1-8B9C-EA440E5B2B49}"/>
    <cellStyle name="Currency 3 2 4 5" xfId="2491" xr:uid="{3004DC67-5A95-465D-AA98-461FCCE13F2A}"/>
    <cellStyle name="Currency 3 2 4 5 2" xfId="5206" xr:uid="{48589FE3-B7C5-4CA5-84E0-4C32C25CD8DD}"/>
    <cellStyle name="Currency 3 2 4 5 2 2" xfId="6074" xr:uid="{808C3BE7-8984-4976-BDB1-1656A9E9F1AC}"/>
    <cellStyle name="Currency 3 2 4 5 2 2 2" xfId="9546" xr:uid="{FC4DCDA9-AF17-4C79-9E7A-0080C89A88AD}"/>
    <cellStyle name="Currency 3 2 4 5 2 2 2 2" xfId="23597" xr:uid="{07A59126-4F50-42D1-A15C-9340EC31D863}"/>
    <cellStyle name="Currency 3 2 4 5 2 2 3" xfId="12150" xr:uid="{49EA147C-F20E-4D16-8259-0F193A380EE0}"/>
    <cellStyle name="Currency 3 2 4 5 2 2 3 2" xfId="26201" xr:uid="{E5B8EA24-E1ED-41B7-836C-A6BFF1C03EC3}"/>
    <cellStyle name="Currency 3 2 4 5 2 2 4" xfId="20125" xr:uid="{60B63C65-86A4-45F0-8715-072AB58A2667}"/>
    <cellStyle name="Currency 3 2 4 5 2 3" xfId="6942" xr:uid="{A4F33FD2-1D45-4A96-A7B9-E1220F5B5AD0}"/>
    <cellStyle name="Currency 3 2 4 5 2 3 2" xfId="10414" xr:uid="{C57593E1-4735-4968-AC8A-FEC83EF4DCAF}"/>
    <cellStyle name="Currency 3 2 4 5 2 3 2 2" xfId="24465" xr:uid="{0AD55654-67BD-489D-B5B8-3AB94CDAC070}"/>
    <cellStyle name="Currency 3 2 4 5 2 3 3" xfId="13018" xr:uid="{F8E1CABF-C116-4FA3-92A1-6A61566CD66D}"/>
    <cellStyle name="Currency 3 2 4 5 2 3 3 2" xfId="27069" xr:uid="{AB49BE0F-6574-4AA1-BE1B-4E60344A4572}"/>
    <cellStyle name="Currency 3 2 4 5 2 3 4" xfId="20993" xr:uid="{D3042A43-90ED-42F5-ACE7-4CB231182F63}"/>
    <cellStyle name="Currency 3 2 4 5 2 4" xfId="8678" xr:uid="{A2899213-A980-4B25-A6FB-C1F5C94AA521}"/>
    <cellStyle name="Currency 3 2 4 5 2 4 2" xfId="13886" xr:uid="{7F7ACC97-4FCB-4667-B179-822655670AFE}"/>
    <cellStyle name="Currency 3 2 4 5 2 4 2 2" xfId="27937" xr:uid="{722CF716-B973-4E66-8584-27071D215652}"/>
    <cellStyle name="Currency 3 2 4 5 2 4 3" xfId="22729" xr:uid="{69A63AF6-6B47-452F-988F-DEAF319777D9}"/>
    <cellStyle name="Currency 3 2 4 5 2 5" xfId="7810" xr:uid="{3E1BB793-75D4-4104-B7C1-0D33CBEBF9BD}"/>
    <cellStyle name="Currency 3 2 4 5 2 5 2" xfId="21861" xr:uid="{8A77D87A-F9CA-4C6F-927D-5459130B3495}"/>
    <cellStyle name="Currency 3 2 4 5 2 6" xfId="11282" xr:uid="{8638C352-4252-42F8-A35C-3FF23D354120}"/>
    <cellStyle name="Currency 3 2 4 5 2 6 2" xfId="25333" xr:uid="{25BD5AF5-94FF-45E5-AD4C-D943F49C124D}"/>
    <cellStyle name="Currency 3 2 4 5 2 7" xfId="19257" xr:uid="{AC3DC841-D4DD-487A-98CB-813A00A35AD8}"/>
    <cellStyle name="Currency 3 2 4 5 3" xfId="5640" xr:uid="{2842BF24-41D2-4F20-B13A-82BE94350758}"/>
    <cellStyle name="Currency 3 2 4 5 3 2" xfId="9112" xr:uid="{D93F5DD7-4222-4CCB-A810-8FA930D68E97}"/>
    <cellStyle name="Currency 3 2 4 5 3 2 2" xfId="23163" xr:uid="{3385E182-4005-4CBB-A0E4-518209EF0793}"/>
    <cellStyle name="Currency 3 2 4 5 3 3" xfId="11716" xr:uid="{358B128B-8788-4E40-9E73-CBB341618FB0}"/>
    <cellStyle name="Currency 3 2 4 5 3 3 2" xfId="25767" xr:uid="{B4536F14-ED66-4D5F-BE67-F92F101D853F}"/>
    <cellStyle name="Currency 3 2 4 5 3 4" xfId="19691" xr:uid="{AA19D951-8D76-4D92-BABB-C2089A4CBAD6}"/>
    <cellStyle name="Currency 3 2 4 5 4" xfId="6508" xr:uid="{0E592D95-8EC3-48D6-99EA-09A43D1C8B53}"/>
    <cellStyle name="Currency 3 2 4 5 4 2" xfId="9980" xr:uid="{C9EAF42E-CE6B-4EC1-8A49-835EEEDA3975}"/>
    <cellStyle name="Currency 3 2 4 5 4 2 2" xfId="24031" xr:uid="{4D308F17-3C64-4249-A834-C6DFBE5A9A3D}"/>
    <cellStyle name="Currency 3 2 4 5 4 3" xfId="12584" xr:uid="{A7529230-7F5A-4618-86F0-9E2FAF357B61}"/>
    <cellStyle name="Currency 3 2 4 5 4 3 2" xfId="26635" xr:uid="{5D9AC1BE-F83E-4168-A13D-87246B5CDB7A}"/>
    <cellStyle name="Currency 3 2 4 5 4 4" xfId="20559" xr:uid="{0709A1E8-520C-4247-9445-71C679CC0142}"/>
    <cellStyle name="Currency 3 2 4 5 5" xfId="8244" xr:uid="{7D14863A-AB0F-4F02-ABC1-055F47D0980B}"/>
    <cellStyle name="Currency 3 2 4 5 5 2" xfId="13452" xr:uid="{56954B84-36E3-489D-97AF-43E317C8220A}"/>
    <cellStyle name="Currency 3 2 4 5 5 2 2" xfId="27503" xr:uid="{61A11960-9BDF-434F-A867-07C997A1D09A}"/>
    <cellStyle name="Currency 3 2 4 5 5 3" xfId="22295" xr:uid="{1C2B7AFF-7395-4B39-B578-2DCD9E734C0B}"/>
    <cellStyle name="Currency 3 2 4 5 6" xfId="7376" xr:uid="{80EBC436-299E-4829-9BAE-E26F530AE446}"/>
    <cellStyle name="Currency 3 2 4 5 6 2" xfId="21427" xr:uid="{9382BCC1-B9AA-4400-BABF-9412358307D3}"/>
    <cellStyle name="Currency 3 2 4 5 7" xfId="10848" xr:uid="{97318CAE-DD83-482F-94BF-369749E35092}"/>
    <cellStyle name="Currency 3 2 4 5 7 2" xfId="24899" xr:uid="{4A19CF08-94CD-465C-AADB-F8D3B4805850}"/>
    <cellStyle name="Currency 3 2 4 5 8" xfId="16542" xr:uid="{5695E0AB-332D-4B72-BD6A-04566184AC50}"/>
    <cellStyle name="Currency 3 2 4 6" xfId="4857" xr:uid="{69F52999-9659-44BB-863E-3D655B98235C}"/>
    <cellStyle name="Currency 3 2 4 6 2" xfId="5412" xr:uid="{0950BB91-9160-4101-AF4C-2309E0F18366}"/>
    <cellStyle name="Currency 3 2 4 6 2 2" xfId="6280" xr:uid="{990629AB-D028-4E29-8836-5B6D858E756B}"/>
    <cellStyle name="Currency 3 2 4 6 2 2 2" xfId="9752" xr:uid="{A06E83B5-68E2-48AF-A49B-55E089B0BC1F}"/>
    <cellStyle name="Currency 3 2 4 6 2 2 2 2" xfId="23803" xr:uid="{57063012-2DE0-4220-A3F7-98F9A0CF8C95}"/>
    <cellStyle name="Currency 3 2 4 6 2 2 3" xfId="12356" xr:uid="{82D90E11-4002-4EDA-9ED4-29BBB3F7D2FC}"/>
    <cellStyle name="Currency 3 2 4 6 2 2 3 2" xfId="26407" xr:uid="{A47A7F6F-B0A2-4A37-A56C-883048F34F93}"/>
    <cellStyle name="Currency 3 2 4 6 2 2 4" xfId="20331" xr:uid="{9B1ECE9F-9760-4138-B333-E9F6FABF8743}"/>
    <cellStyle name="Currency 3 2 4 6 2 3" xfId="7148" xr:uid="{954AC722-EF93-40C9-A86E-987FB666A766}"/>
    <cellStyle name="Currency 3 2 4 6 2 3 2" xfId="10620" xr:uid="{3E27F443-9D7C-47B9-AC06-E7ACA097C25E}"/>
    <cellStyle name="Currency 3 2 4 6 2 3 2 2" xfId="24671" xr:uid="{E5E5BB6F-AA17-4069-8989-1C99C53A9FBC}"/>
    <cellStyle name="Currency 3 2 4 6 2 3 3" xfId="13224" xr:uid="{E8D77B65-38E6-46D1-9489-C8C0C43C7B4E}"/>
    <cellStyle name="Currency 3 2 4 6 2 3 3 2" xfId="27275" xr:uid="{4D807E16-A278-4B91-8EFF-004B0BD02021}"/>
    <cellStyle name="Currency 3 2 4 6 2 3 4" xfId="21199" xr:uid="{56005D02-72B4-4AEB-874A-7D872C776371}"/>
    <cellStyle name="Currency 3 2 4 6 2 4" xfId="8884" xr:uid="{104DFEE7-11E4-4CA4-9374-AFC8CB5F8DC4}"/>
    <cellStyle name="Currency 3 2 4 6 2 4 2" xfId="14092" xr:uid="{53F48A21-698C-4B2B-8E40-0E79088C5B1D}"/>
    <cellStyle name="Currency 3 2 4 6 2 4 2 2" xfId="28143" xr:uid="{6374FE35-30B3-4FC4-95A4-E0A734D513BD}"/>
    <cellStyle name="Currency 3 2 4 6 2 4 3" xfId="22935" xr:uid="{42270B17-8079-4425-844C-BAED08981B13}"/>
    <cellStyle name="Currency 3 2 4 6 2 5" xfId="8016" xr:uid="{9358DB2D-45D8-4ECF-B11F-9B1002AB5C66}"/>
    <cellStyle name="Currency 3 2 4 6 2 5 2" xfId="22067" xr:uid="{13788979-9678-4249-A9F0-D48E4DEB2A5C}"/>
    <cellStyle name="Currency 3 2 4 6 2 6" xfId="11488" xr:uid="{36F951E8-EB33-48FE-9C9B-218C3C18C232}"/>
    <cellStyle name="Currency 3 2 4 6 2 6 2" xfId="25539" xr:uid="{18738048-BDD6-48DF-BE51-0D4EB9B57E39}"/>
    <cellStyle name="Currency 3 2 4 6 2 7" xfId="19463" xr:uid="{6DF0E775-486E-4455-97EC-0E75EBCC3A7C}"/>
    <cellStyle name="Currency 3 2 4 6 3" xfId="5846" xr:uid="{BA971B90-4D54-46A4-ADD4-5E889844A921}"/>
    <cellStyle name="Currency 3 2 4 6 3 2" xfId="9318" xr:uid="{2D4228A8-3A5C-4F16-B801-2B14EDF0D092}"/>
    <cellStyle name="Currency 3 2 4 6 3 2 2" xfId="23369" xr:uid="{E998DD24-0866-4A56-9998-2E54B0C49E98}"/>
    <cellStyle name="Currency 3 2 4 6 3 3" xfId="11922" xr:uid="{2CD04176-43A0-45CE-AC93-99C3158AE862}"/>
    <cellStyle name="Currency 3 2 4 6 3 3 2" xfId="25973" xr:uid="{0916BF22-A11A-472F-B2DD-D0E91689D9C3}"/>
    <cellStyle name="Currency 3 2 4 6 3 4" xfId="19897" xr:uid="{3927FB62-9F8D-4BD7-BA86-2AD7AB6C53F1}"/>
    <cellStyle name="Currency 3 2 4 6 4" xfId="6714" xr:uid="{5CD5E6B3-1F6C-4B74-9B92-951856BAC35A}"/>
    <cellStyle name="Currency 3 2 4 6 4 2" xfId="10186" xr:uid="{32E8BE14-AA5C-4847-B070-130E79E914A9}"/>
    <cellStyle name="Currency 3 2 4 6 4 2 2" xfId="24237" xr:uid="{61BAB670-EBAA-4D80-BCF1-6D9319DE1061}"/>
    <cellStyle name="Currency 3 2 4 6 4 3" xfId="12790" xr:uid="{72D83629-CAF5-4D12-B550-A87D894944E8}"/>
    <cellStyle name="Currency 3 2 4 6 4 3 2" xfId="26841" xr:uid="{87D6E25B-6D43-4159-A49A-7B96BE046E3E}"/>
    <cellStyle name="Currency 3 2 4 6 4 4" xfId="20765" xr:uid="{804835B6-27BA-40E9-9015-13710BD000B9}"/>
    <cellStyle name="Currency 3 2 4 6 5" xfId="8450" xr:uid="{51A1C284-4455-41C5-98EC-0BD37F70275F}"/>
    <cellStyle name="Currency 3 2 4 6 5 2" xfId="13658" xr:uid="{B42B1289-49AF-4F23-A21D-CD5FEBC02A81}"/>
    <cellStyle name="Currency 3 2 4 6 5 2 2" xfId="27709" xr:uid="{C9223DB8-A181-4717-8D64-897215479850}"/>
    <cellStyle name="Currency 3 2 4 6 5 3" xfId="22501" xr:uid="{25EE5EBC-8412-4670-B903-5CD65390A7E7}"/>
    <cellStyle name="Currency 3 2 4 6 6" xfId="7582" xr:uid="{959C6BD2-E126-4143-9BA2-455D4216FF24}"/>
    <cellStyle name="Currency 3 2 4 6 6 2" xfId="21633" xr:uid="{7AC1357A-2933-43C5-A3C0-CBCAB80C2970}"/>
    <cellStyle name="Currency 3 2 4 6 7" xfId="11054" xr:uid="{8E30AF0D-F546-40E6-BB43-EAC121B72206}"/>
    <cellStyle name="Currency 3 2 4 6 7 2" xfId="25105" xr:uid="{00E7B417-06B6-46D8-9450-10BBBF2F7964}"/>
    <cellStyle name="Currency 3 2 4 6 8" xfId="18909" xr:uid="{02974391-46D3-41D0-994E-C9F5BC1C8FAA}"/>
    <cellStyle name="Currency 3 2 4 7" xfId="5012" xr:uid="{37C3FA56-1CE7-4EA3-B286-B95DED06096B}"/>
    <cellStyle name="Currency 3 2 4 7 2" xfId="5880" xr:uid="{6B4D1CE4-558B-4B2D-AB7D-93B08860A0B2}"/>
    <cellStyle name="Currency 3 2 4 7 2 2" xfId="9352" xr:uid="{E9584F3B-5096-4983-ADAF-7A901AE8BD57}"/>
    <cellStyle name="Currency 3 2 4 7 2 2 2" xfId="23403" xr:uid="{014AEBED-A944-45F0-975D-F1BAF74A1C0D}"/>
    <cellStyle name="Currency 3 2 4 7 2 3" xfId="11956" xr:uid="{658106C9-E6B3-4240-9D0A-3986A885A866}"/>
    <cellStyle name="Currency 3 2 4 7 2 3 2" xfId="26007" xr:uid="{7A6C28E4-22A5-453B-80CA-F97F12C3183A}"/>
    <cellStyle name="Currency 3 2 4 7 2 4" xfId="19931" xr:uid="{F04EB714-EAB5-4316-B835-3514B9D56A7B}"/>
    <cellStyle name="Currency 3 2 4 7 3" xfId="6748" xr:uid="{5A834E5E-85FD-4A16-B0E3-B1052974F125}"/>
    <cellStyle name="Currency 3 2 4 7 3 2" xfId="10220" xr:uid="{0A528877-F280-4ED2-A24A-94AF57929434}"/>
    <cellStyle name="Currency 3 2 4 7 3 2 2" xfId="24271" xr:uid="{B7F2BED7-F4F8-4BFF-8E78-2389EDF698D7}"/>
    <cellStyle name="Currency 3 2 4 7 3 3" xfId="12824" xr:uid="{53C4D5AB-59E6-464C-A566-E91CCA38443C}"/>
    <cellStyle name="Currency 3 2 4 7 3 3 2" xfId="26875" xr:uid="{39F3FDC7-391B-4EA7-832A-0F0C17A9F5CB}"/>
    <cellStyle name="Currency 3 2 4 7 3 4" xfId="20799" xr:uid="{520B6837-5D30-40FA-B0E1-5423EF317623}"/>
    <cellStyle name="Currency 3 2 4 7 4" xfId="8484" xr:uid="{E624662E-B614-4EF7-80C0-01437E96F850}"/>
    <cellStyle name="Currency 3 2 4 7 4 2" xfId="13692" xr:uid="{DC0EEC76-EA2D-41F2-9FFC-98B687440C1A}"/>
    <cellStyle name="Currency 3 2 4 7 4 2 2" xfId="27743" xr:uid="{45AE245B-FCB6-4E21-A819-048FFD80F39E}"/>
    <cellStyle name="Currency 3 2 4 7 4 3" xfId="22535" xr:uid="{416050E3-C96F-4BEA-9341-DFE49B011463}"/>
    <cellStyle name="Currency 3 2 4 7 5" xfId="7616" xr:uid="{6C246FD5-67E3-4CB7-B12C-C759B34D9365}"/>
    <cellStyle name="Currency 3 2 4 7 5 2" xfId="21667" xr:uid="{F131AC78-A2C3-4169-9F63-1AFF2CB31E33}"/>
    <cellStyle name="Currency 3 2 4 7 6" xfId="11088" xr:uid="{B4EF4624-D759-45D4-8EED-2BCAD5A03829}"/>
    <cellStyle name="Currency 3 2 4 7 6 2" xfId="25139" xr:uid="{5B11B942-3340-40E1-B809-530F96774F68}"/>
    <cellStyle name="Currency 3 2 4 7 7" xfId="19063" xr:uid="{36C68503-7D41-498C-A707-6861DF85A900}"/>
    <cellStyle name="Currency 3 2 4 8" xfId="5446" xr:uid="{CCD795D4-0396-48D1-9ABC-FC09FA2C983F}"/>
    <cellStyle name="Currency 3 2 4 8 2" xfId="8918" xr:uid="{E267EF54-16A9-4F27-BE46-0762F0776D84}"/>
    <cellStyle name="Currency 3 2 4 8 2 2" xfId="22969" xr:uid="{10490CF8-430B-4107-B136-7CD5F761BEBA}"/>
    <cellStyle name="Currency 3 2 4 8 3" xfId="11522" xr:uid="{10B17840-D50F-4551-898B-C0A660FF083B}"/>
    <cellStyle name="Currency 3 2 4 8 3 2" xfId="25573" xr:uid="{819EDC4D-9130-4550-9005-83EB747DA7EA}"/>
    <cellStyle name="Currency 3 2 4 8 4" xfId="19497" xr:uid="{ACB9D195-D44D-4D53-B80A-F5B5A9A65A68}"/>
    <cellStyle name="Currency 3 2 4 9" xfId="6314" xr:uid="{2870027E-7BE2-4B9D-AFA8-4D3A70321756}"/>
    <cellStyle name="Currency 3 2 4 9 2" xfId="9786" xr:uid="{575419A5-99D5-4790-A9BA-1D05ED24BC19}"/>
    <cellStyle name="Currency 3 2 4 9 2 2" xfId="23837" xr:uid="{D29C456A-BEB4-4C4A-B251-08AEE10B1A90}"/>
    <cellStyle name="Currency 3 2 4 9 3" xfId="12390" xr:uid="{7959E430-92DE-47CB-92A6-727AA00A88FF}"/>
    <cellStyle name="Currency 3 2 4 9 3 2" xfId="26441" xr:uid="{70155A27-75DA-4FA5-A06D-9DE368C00F20}"/>
    <cellStyle name="Currency 3 2 4 9 4" xfId="20365" xr:uid="{0C8785B9-705E-470A-A4AF-8403706BE945}"/>
    <cellStyle name="Currency 3 2 5" xfId="465" xr:uid="{51AAB9F4-5909-4B1A-BFDC-EA5558FEED5B}"/>
    <cellStyle name="Currency 3 2 5 10" xfId="10669" xr:uid="{F8D0B0EA-6AA3-48A6-853D-493CAD15C432}"/>
    <cellStyle name="Currency 3 2 5 10 2" xfId="24720" xr:uid="{CCF43A8B-BDBD-4BD9-AEB1-8F784AA96DCE}"/>
    <cellStyle name="Currency 3 2 5 11" xfId="14520" xr:uid="{D1A51FFE-EAE4-465A-923C-C3501D20E1E5}"/>
    <cellStyle name="Currency 3 2 5 2" xfId="1398" xr:uid="{34124D52-6FF6-4384-9516-9C5A5A87CB04}"/>
    <cellStyle name="Currency 3 2 5 2 2" xfId="3588" xr:uid="{07BFD3F7-8139-410C-BEB0-617AE2697CE6}"/>
    <cellStyle name="Currency 3 2 5 2 2 2" xfId="5302" xr:uid="{6131781C-6DC3-467D-A152-289681DEFD26}"/>
    <cellStyle name="Currency 3 2 5 2 2 2 2" xfId="6170" xr:uid="{6DCA7F2F-F4AD-4D4C-B5B0-6932ADBB0828}"/>
    <cellStyle name="Currency 3 2 5 2 2 2 2 2" xfId="9642" xr:uid="{654498A1-599D-4F51-9D97-2AF4E2275F29}"/>
    <cellStyle name="Currency 3 2 5 2 2 2 2 2 2" xfId="23693" xr:uid="{174D6C5B-D440-4AD5-9DC8-ADC956B7E606}"/>
    <cellStyle name="Currency 3 2 5 2 2 2 2 3" xfId="12246" xr:uid="{39C817FD-15A7-447C-B291-A34B417ECC33}"/>
    <cellStyle name="Currency 3 2 5 2 2 2 2 3 2" xfId="26297" xr:uid="{DA66E5CD-3C6B-4502-A12A-FF100B58B82F}"/>
    <cellStyle name="Currency 3 2 5 2 2 2 2 4" xfId="20221" xr:uid="{036A40A6-FA28-4B51-99E5-14F36616661D}"/>
    <cellStyle name="Currency 3 2 5 2 2 2 3" xfId="7038" xr:uid="{949B33FC-0EB9-434C-83ED-AD38649C4677}"/>
    <cellStyle name="Currency 3 2 5 2 2 2 3 2" xfId="10510" xr:uid="{AE18D00D-C099-405A-891A-593BD6CF3FE2}"/>
    <cellStyle name="Currency 3 2 5 2 2 2 3 2 2" xfId="24561" xr:uid="{6371F55E-CBEF-4EEE-A213-05F2BBA3B4A0}"/>
    <cellStyle name="Currency 3 2 5 2 2 2 3 3" xfId="13114" xr:uid="{23E46A0F-61CC-4ED4-BAC1-E2F42299023A}"/>
    <cellStyle name="Currency 3 2 5 2 2 2 3 3 2" xfId="27165" xr:uid="{CF27A620-97CC-4BCC-B988-34505026B03A}"/>
    <cellStyle name="Currency 3 2 5 2 2 2 3 4" xfId="21089" xr:uid="{D9BC1A5F-F8E1-42BD-A729-B0AEC383AAD1}"/>
    <cellStyle name="Currency 3 2 5 2 2 2 4" xfId="8774" xr:uid="{6E31FFF2-C667-4C84-8209-F6DBC9DC2C02}"/>
    <cellStyle name="Currency 3 2 5 2 2 2 4 2" xfId="13982" xr:uid="{3D61DD32-948D-47F4-9D34-342E87A1F69B}"/>
    <cellStyle name="Currency 3 2 5 2 2 2 4 2 2" xfId="28033" xr:uid="{816FD3A4-DC94-4310-9498-EF8BEAAB32B5}"/>
    <cellStyle name="Currency 3 2 5 2 2 2 4 3" xfId="22825" xr:uid="{7F99C939-9217-4928-A339-016B33CEE0B8}"/>
    <cellStyle name="Currency 3 2 5 2 2 2 5" xfId="7906" xr:uid="{2E707443-EA77-4FF7-B1EB-6DADF697BB49}"/>
    <cellStyle name="Currency 3 2 5 2 2 2 5 2" xfId="21957" xr:uid="{AB7EC995-9BF6-4090-9500-3661C5E042D8}"/>
    <cellStyle name="Currency 3 2 5 2 2 2 6" xfId="11378" xr:uid="{FEF335FB-17AD-4D62-B26C-692632796AA7}"/>
    <cellStyle name="Currency 3 2 5 2 2 2 6 2" xfId="25429" xr:uid="{4F31F045-7F8F-42E6-BD8D-794D9FBCEC7B}"/>
    <cellStyle name="Currency 3 2 5 2 2 2 7" xfId="19353" xr:uid="{29D5ADD8-ACB9-433E-BE34-14C12C372EAA}"/>
    <cellStyle name="Currency 3 2 5 2 2 3" xfId="5736" xr:uid="{77A437EF-F352-4D73-9E5A-7EC4D05C7DB9}"/>
    <cellStyle name="Currency 3 2 5 2 2 3 2" xfId="9208" xr:uid="{A974F1E2-E123-4ECB-91B2-8A663CCE350C}"/>
    <cellStyle name="Currency 3 2 5 2 2 3 2 2" xfId="23259" xr:uid="{41BDDBDC-1CEF-4699-8053-D1C2BFA06539}"/>
    <cellStyle name="Currency 3 2 5 2 2 3 3" xfId="11812" xr:uid="{9C4D14D0-41FD-44A6-B584-64055973A416}"/>
    <cellStyle name="Currency 3 2 5 2 2 3 3 2" xfId="25863" xr:uid="{5584B353-C32A-429C-B51C-17F57122B15E}"/>
    <cellStyle name="Currency 3 2 5 2 2 3 4" xfId="19787" xr:uid="{33263797-A844-4B25-B118-4439C7B61513}"/>
    <cellStyle name="Currency 3 2 5 2 2 4" xfId="6604" xr:uid="{3900300D-B99E-4810-BCDE-1A5ECB57AE11}"/>
    <cellStyle name="Currency 3 2 5 2 2 4 2" xfId="10076" xr:uid="{03138658-7258-43E1-A0FA-F71CC7E09A5A}"/>
    <cellStyle name="Currency 3 2 5 2 2 4 2 2" xfId="24127" xr:uid="{D63067E1-5BDC-4137-87D8-A5FABC53F808}"/>
    <cellStyle name="Currency 3 2 5 2 2 4 3" xfId="12680" xr:uid="{9B40B76E-A01D-4345-9095-E592E5E194FA}"/>
    <cellStyle name="Currency 3 2 5 2 2 4 3 2" xfId="26731" xr:uid="{E2FB484D-9DCD-4CD9-A111-9FDF9E37F6F4}"/>
    <cellStyle name="Currency 3 2 5 2 2 4 4" xfId="20655" xr:uid="{AE9D8DEA-613D-4AB1-878C-A2BE5FCC4FBD}"/>
    <cellStyle name="Currency 3 2 5 2 2 5" xfId="8340" xr:uid="{45F0FD95-5333-404F-BD16-60BFDB58E2F6}"/>
    <cellStyle name="Currency 3 2 5 2 2 5 2" xfId="13548" xr:uid="{E02ACC5F-CF46-49A3-A432-E90A59370552}"/>
    <cellStyle name="Currency 3 2 5 2 2 5 2 2" xfId="27599" xr:uid="{86D5181A-B88C-4B63-B460-94329C0BF8EC}"/>
    <cellStyle name="Currency 3 2 5 2 2 5 3" xfId="22391" xr:uid="{DBB7200D-289F-49AC-A3DC-A00DBB6200E2}"/>
    <cellStyle name="Currency 3 2 5 2 2 6" xfId="7472" xr:uid="{EF0FE0A5-CBE1-435F-9623-079F33DBB735}"/>
    <cellStyle name="Currency 3 2 5 2 2 6 2" xfId="21523" xr:uid="{E03C9CFD-670D-4109-9996-0CAE0F3577D6}"/>
    <cellStyle name="Currency 3 2 5 2 2 7" xfId="10944" xr:uid="{56B6CF2D-EBEA-4EBB-B0CA-82E3C547F98B}"/>
    <cellStyle name="Currency 3 2 5 2 2 7 2" xfId="24995" xr:uid="{C23B3BC6-1BEA-4BE6-9DBD-8D22EEC9AE39}"/>
    <cellStyle name="Currency 3 2 5 2 2 8" xfId="17641" xr:uid="{8C2F58FD-28B6-45E8-ADB9-7A84286FA55F}"/>
    <cellStyle name="Currency 3 2 5 2 3" xfId="5111" xr:uid="{1A9D422D-ED48-4F53-9C28-35F6FF87BABA}"/>
    <cellStyle name="Currency 3 2 5 2 3 2" xfId="5979" xr:uid="{26AAA047-51AD-4B0F-BF35-B25ED8C33963}"/>
    <cellStyle name="Currency 3 2 5 2 3 2 2" xfId="9451" xr:uid="{4216B8FB-24C5-48B5-BC6F-657759495AA1}"/>
    <cellStyle name="Currency 3 2 5 2 3 2 2 2" xfId="23502" xr:uid="{523B821B-078B-4D23-8DCD-88693B7B8578}"/>
    <cellStyle name="Currency 3 2 5 2 3 2 3" xfId="12055" xr:uid="{2FCA1310-1BA8-4571-8044-F510C8E82B68}"/>
    <cellStyle name="Currency 3 2 5 2 3 2 3 2" xfId="26106" xr:uid="{60D4A23E-6810-4E4C-85E7-65D0F8AC5D04}"/>
    <cellStyle name="Currency 3 2 5 2 3 2 4" xfId="20030" xr:uid="{36FED8FB-F099-45D7-8364-C01C377A94B7}"/>
    <cellStyle name="Currency 3 2 5 2 3 3" xfId="6847" xr:uid="{DBC3C169-83BD-4507-B2CC-4AE440D71166}"/>
    <cellStyle name="Currency 3 2 5 2 3 3 2" xfId="10319" xr:uid="{20B69562-F19C-4936-BD63-707B28AC309B}"/>
    <cellStyle name="Currency 3 2 5 2 3 3 2 2" xfId="24370" xr:uid="{DF3E570D-1706-4E4A-8450-C8EDAB82768A}"/>
    <cellStyle name="Currency 3 2 5 2 3 3 3" xfId="12923" xr:uid="{C3E536C1-0927-4A0C-AC9C-EBCF99C43D91}"/>
    <cellStyle name="Currency 3 2 5 2 3 3 3 2" xfId="26974" xr:uid="{267772FE-4257-4CE7-A4D8-9F8F2B29DDCC}"/>
    <cellStyle name="Currency 3 2 5 2 3 3 4" xfId="20898" xr:uid="{5374F14E-7228-438F-94F5-439363BE05C0}"/>
    <cellStyle name="Currency 3 2 5 2 3 4" xfId="8583" xr:uid="{48DF0890-876F-4DDA-B0C9-5CBF185BB2B0}"/>
    <cellStyle name="Currency 3 2 5 2 3 4 2" xfId="13791" xr:uid="{45DCDCB5-08C0-469C-8B91-75E4E2C583E5}"/>
    <cellStyle name="Currency 3 2 5 2 3 4 2 2" xfId="27842" xr:uid="{CD9EEFFB-FC20-4534-B33F-043EC507724F}"/>
    <cellStyle name="Currency 3 2 5 2 3 4 3" xfId="22634" xr:uid="{E68C93FC-B334-44AE-B70B-EA2115C3B932}"/>
    <cellStyle name="Currency 3 2 5 2 3 5" xfId="7715" xr:uid="{C22F7998-E32D-498B-BBCF-B76883F5A58F}"/>
    <cellStyle name="Currency 3 2 5 2 3 5 2" xfId="21766" xr:uid="{3FF89244-240D-424D-A03E-3CEE71A905B5}"/>
    <cellStyle name="Currency 3 2 5 2 3 6" xfId="11187" xr:uid="{958D8249-D7CD-4909-B2E5-201EDB6B61E4}"/>
    <cellStyle name="Currency 3 2 5 2 3 6 2" xfId="25238" xr:uid="{3E9BB330-A8B1-4298-86DB-7C9E78937123}"/>
    <cellStyle name="Currency 3 2 5 2 3 7" xfId="19162" xr:uid="{5200842B-4BBB-4403-9738-5F8AC0044F8C}"/>
    <cellStyle name="Currency 3 2 5 2 4" xfId="5545" xr:uid="{D91721E8-3412-4A46-9CDB-F1FFDAB3ABCA}"/>
    <cellStyle name="Currency 3 2 5 2 4 2" xfId="9017" xr:uid="{25435896-43D4-4030-A7FB-F62526320B46}"/>
    <cellStyle name="Currency 3 2 5 2 4 2 2" xfId="23068" xr:uid="{0803D8FA-472D-4DBC-A930-986CD1A6E4E9}"/>
    <cellStyle name="Currency 3 2 5 2 4 3" xfId="11621" xr:uid="{0C8C925A-BE8A-4D4A-BF80-EBA1A2A79F39}"/>
    <cellStyle name="Currency 3 2 5 2 4 3 2" xfId="25672" xr:uid="{7A3544E6-F2B3-41DA-97A4-485E0ECFBA03}"/>
    <cellStyle name="Currency 3 2 5 2 4 4" xfId="19596" xr:uid="{C86FFCB1-55C6-4D52-844F-155E1701B21A}"/>
    <cellStyle name="Currency 3 2 5 2 5" xfId="6413" xr:uid="{DBA6F890-98DE-4393-A437-55CE9CC46C3D}"/>
    <cellStyle name="Currency 3 2 5 2 5 2" xfId="9885" xr:uid="{BB94DBC1-1047-43AF-9E6C-9B43D4C473EA}"/>
    <cellStyle name="Currency 3 2 5 2 5 2 2" xfId="23936" xr:uid="{996AF68C-948C-4492-94C2-2FB81D214DB9}"/>
    <cellStyle name="Currency 3 2 5 2 5 3" xfId="12489" xr:uid="{6AF6BAA1-FB89-40CA-8086-4F58B7BD95F5}"/>
    <cellStyle name="Currency 3 2 5 2 5 3 2" xfId="26540" xr:uid="{335F95D6-6401-4F45-9F51-D091AC6C269B}"/>
    <cellStyle name="Currency 3 2 5 2 5 4" xfId="20464" xr:uid="{DDE0DF8C-B7C2-419D-A2BD-5602791C4A3C}"/>
    <cellStyle name="Currency 3 2 5 2 6" xfId="8149" xr:uid="{AF4A8A86-07F9-41BA-8538-2006EB373CE4}"/>
    <cellStyle name="Currency 3 2 5 2 6 2" xfId="13357" xr:uid="{23E30E7A-5E17-4360-BE2D-86D1E0F56AD7}"/>
    <cellStyle name="Currency 3 2 5 2 6 2 2" xfId="27408" xr:uid="{0E1D916C-20BD-4897-814C-35A9D4841978}"/>
    <cellStyle name="Currency 3 2 5 2 6 3" xfId="22200" xr:uid="{6140B250-5E4E-4B2E-9812-A1ED1EE56ED4}"/>
    <cellStyle name="Currency 3 2 5 2 7" xfId="7281" xr:uid="{F10BF258-299D-472A-A53E-BFE57603F8EF}"/>
    <cellStyle name="Currency 3 2 5 2 7 2" xfId="21332" xr:uid="{E7DE9F54-B524-49BF-8F5C-66A746407BF7}"/>
    <cellStyle name="Currency 3 2 5 2 8" xfId="10753" xr:uid="{C51B1F3F-4DDF-4A8B-8A37-ADE5251BE71B}"/>
    <cellStyle name="Currency 3 2 5 2 8 2" xfId="24804" xr:uid="{747211F5-9F78-4271-BE63-E3834BDB9A48}"/>
    <cellStyle name="Currency 3 2 5 2 9" xfId="15447" xr:uid="{DC60E668-8068-4C66-91F5-ADF30D348625}"/>
    <cellStyle name="Currency 3 2 5 3" xfId="2664" xr:uid="{B4D65433-D2A1-4CD6-95F0-90E73F0C20ED}"/>
    <cellStyle name="Currency 3 2 5 3 2" xfId="5221" xr:uid="{79A563B2-D2FF-4381-9331-4E9471B0AD78}"/>
    <cellStyle name="Currency 3 2 5 3 2 2" xfId="6089" xr:uid="{D1039752-6906-4824-8950-9BFCB55D67C9}"/>
    <cellStyle name="Currency 3 2 5 3 2 2 2" xfId="9561" xr:uid="{0AD035FB-74B3-4A53-8A98-3A0CD422007E}"/>
    <cellStyle name="Currency 3 2 5 3 2 2 2 2" xfId="23612" xr:uid="{CDEFF6A0-9212-4B66-BB31-7A44456B65E4}"/>
    <cellStyle name="Currency 3 2 5 3 2 2 3" xfId="12165" xr:uid="{8C3D27FB-5343-463A-B7B2-2ED5F9CF37BB}"/>
    <cellStyle name="Currency 3 2 5 3 2 2 3 2" xfId="26216" xr:uid="{E8C596D0-53C9-49F6-99F9-3C26A6CE1304}"/>
    <cellStyle name="Currency 3 2 5 3 2 2 4" xfId="20140" xr:uid="{8991118D-AEAF-4750-BB71-9E5C3F7515A5}"/>
    <cellStyle name="Currency 3 2 5 3 2 3" xfId="6957" xr:uid="{D4D4A493-6BDA-46E7-BC66-5D50C4848CC9}"/>
    <cellStyle name="Currency 3 2 5 3 2 3 2" xfId="10429" xr:uid="{8D85238E-6ACA-4635-BBD5-E5BD27654F7D}"/>
    <cellStyle name="Currency 3 2 5 3 2 3 2 2" xfId="24480" xr:uid="{CF3BED4E-A178-4EF8-B9A1-9F56BB5F413E}"/>
    <cellStyle name="Currency 3 2 5 3 2 3 3" xfId="13033" xr:uid="{9B30DBF6-DAA6-494C-87BF-091555F33FA4}"/>
    <cellStyle name="Currency 3 2 5 3 2 3 3 2" xfId="27084" xr:uid="{9AB1A898-7630-49D5-8EAD-C186BB0C9655}"/>
    <cellStyle name="Currency 3 2 5 3 2 3 4" xfId="21008" xr:uid="{5EE969F3-49D1-40DA-883B-21A7C8738946}"/>
    <cellStyle name="Currency 3 2 5 3 2 4" xfId="8693" xr:uid="{2B39B6FB-10BB-4A73-AC20-215ECB99C9D2}"/>
    <cellStyle name="Currency 3 2 5 3 2 4 2" xfId="13901" xr:uid="{22DE1199-56F4-447B-B47B-B7C943094C40}"/>
    <cellStyle name="Currency 3 2 5 3 2 4 2 2" xfId="27952" xr:uid="{B30C8FDC-F8B2-45F5-A637-55A86DB72E60}"/>
    <cellStyle name="Currency 3 2 5 3 2 4 3" xfId="22744" xr:uid="{6B3B8F24-4A84-4E31-AB39-047335F60DB5}"/>
    <cellStyle name="Currency 3 2 5 3 2 5" xfId="7825" xr:uid="{2D40A743-FE20-4B5A-BDA6-68B66AD433C1}"/>
    <cellStyle name="Currency 3 2 5 3 2 5 2" xfId="21876" xr:uid="{65FC93E9-636B-4F41-990F-860C84BEE698}"/>
    <cellStyle name="Currency 3 2 5 3 2 6" xfId="11297" xr:uid="{A6732C94-0844-4881-948A-0C560E7985EF}"/>
    <cellStyle name="Currency 3 2 5 3 2 6 2" xfId="25348" xr:uid="{5FF1503B-642E-430A-8A1D-B338EE7B121B}"/>
    <cellStyle name="Currency 3 2 5 3 2 7" xfId="19272" xr:uid="{13FC81B8-37A0-4E60-A2DD-7B42B907893B}"/>
    <cellStyle name="Currency 3 2 5 3 3" xfId="5655" xr:uid="{B7942DD5-63ED-484D-BD6F-18CA6073663B}"/>
    <cellStyle name="Currency 3 2 5 3 3 2" xfId="9127" xr:uid="{8B5FD49A-D636-4EE9-AA4C-B6D4297123CA}"/>
    <cellStyle name="Currency 3 2 5 3 3 2 2" xfId="23178" xr:uid="{9C67AE77-035B-4DFE-B02E-62AC31C025F0}"/>
    <cellStyle name="Currency 3 2 5 3 3 3" xfId="11731" xr:uid="{A2E19CF6-FC8A-4907-A1F2-36CD5831930C}"/>
    <cellStyle name="Currency 3 2 5 3 3 3 2" xfId="25782" xr:uid="{82156E87-57C0-4231-A7A8-DE504967A11C}"/>
    <cellStyle name="Currency 3 2 5 3 3 4" xfId="19706" xr:uid="{493C8678-7515-437B-816E-6CD7D8CAF0A6}"/>
    <cellStyle name="Currency 3 2 5 3 4" xfId="6523" xr:uid="{DBA9F9A5-6E9D-44BC-887A-7CB0B8B69943}"/>
    <cellStyle name="Currency 3 2 5 3 4 2" xfId="9995" xr:uid="{8749B1F0-116B-4935-9BC7-7CD982093253}"/>
    <cellStyle name="Currency 3 2 5 3 4 2 2" xfId="24046" xr:uid="{B4D16A7A-0997-4653-A966-9249F66A4798}"/>
    <cellStyle name="Currency 3 2 5 3 4 3" xfId="12599" xr:uid="{610802DC-F531-4358-B2DF-73AB4136BEBB}"/>
    <cellStyle name="Currency 3 2 5 3 4 3 2" xfId="26650" xr:uid="{D779A103-1036-47AD-B1AF-CA69A99B097B}"/>
    <cellStyle name="Currency 3 2 5 3 4 4" xfId="20574" xr:uid="{DC5B42DD-186F-424D-974D-2FD98B22FEA9}"/>
    <cellStyle name="Currency 3 2 5 3 5" xfId="8259" xr:uid="{DB2D217E-9839-40A0-927C-9F044752A66F}"/>
    <cellStyle name="Currency 3 2 5 3 5 2" xfId="13467" xr:uid="{F03FB41F-3CB2-474B-9742-166C95D5EC11}"/>
    <cellStyle name="Currency 3 2 5 3 5 2 2" xfId="27518" xr:uid="{5915B673-783C-4151-B3F9-FD820B96F034}"/>
    <cellStyle name="Currency 3 2 5 3 5 3" xfId="22310" xr:uid="{98BDFAC0-942C-423C-943C-71B3A8255FD2}"/>
    <cellStyle name="Currency 3 2 5 3 6" xfId="7391" xr:uid="{F4EC22C1-F507-49C2-8D5C-90BEF3545B4D}"/>
    <cellStyle name="Currency 3 2 5 3 6 2" xfId="21442" xr:uid="{5889B698-BFD2-4776-BFE3-B15D4D628BCC}"/>
    <cellStyle name="Currency 3 2 5 3 7" xfId="10863" xr:uid="{845220D0-7A1C-408D-A064-7DA8A9888388}"/>
    <cellStyle name="Currency 3 2 5 3 7 2" xfId="24914" xr:uid="{3E962978-51A5-4AA9-8D2E-87D644191434}"/>
    <cellStyle name="Currency 3 2 5 3 8" xfId="16715" xr:uid="{03DA8E1D-0770-445C-AC03-C2851C84B7AD}"/>
    <cellStyle name="Currency 3 2 5 4" xfId="4683" xr:uid="{79679BA7-8BC7-454F-B42B-F0C5DA132FCB}"/>
    <cellStyle name="Currency 3 2 5 4 2" xfId="5397" xr:uid="{FE00FD3C-198C-487A-B27E-910D43D9E1F7}"/>
    <cellStyle name="Currency 3 2 5 4 2 2" xfId="6265" xr:uid="{E3F5AAEE-C456-4A69-8AAB-E5436AA53C7A}"/>
    <cellStyle name="Currency 3 2 5 4 2 2 2" xfId="9737" xr:uid="{84FAEA50-CA7F-4F3F-B25C-B90AC587E216}"/>
    <cellStyle name="Currency 3 2 5 4 2 2 2 2" xfId="23788" xr:uid="{D67EF16E-500A-4A94-B207-33849A8292EC}"/>
    <cellStyle name="Currency 3 2 5 4 2 2 3" xfId="12341" xr:uid="{08E324C7-D098-4C82-845F-A99A2797002D}"/>
    <cellStyle name="Currency 3 2 5 4 2 2 3 2" xfId="26392" xr:uid="{8F781B23-CA2B-45C3-B4BB-E924CFAD8A39}"/>
    <cellStyle name="Currency 3 2 5 4 2 2 4" xfId="20316" xr:uid="{B85E3097-1C26-4937-AF3C-D1765C9AE9DC}"/>
    <cellStyle name="Currency 3 2 5 4 2 3" xfId="7133" xr:uid="{2EDB2A24-881B-4C84-8549-08C2F98BD0C5}"/>
    <cellStyle name="Currency 3 2 5 4 2 3 2" xfId="10605" xr:uid="{BE131FEE-AFF0-4537-A499-999A55D50A41}"/>
    <cellStyle name="Currency 3 2 5 4 2 3 2 2" xfId="24656" xr:uid="{63BD8665-225B-4AC2-873D-045F42407FA4}"/>
    <cellStyle name="Currency 3 2 5 4 2 3 3" xfId="13209" xr:uid="{D66FACA0-2141-461B-8663-9846F5B37CA2}"/>
    <cellStyle name="Currency 3 2 5 4 2 3 3 2" xfId="27260" xr:uid="{0B73D0B0-C76C-406B-98D7-C7FA9F823633}"/>
    <cellStyle name="Currency 3 2 5 4 2 3 4" xfId="21184" xr:uid="{D9714ABC-D717-4F02-A702-CD43F893C8B6}"/>
    <cellStyle name="Currency 3 2 5 4 2 4" xfId="8869" xr:uid="{63F9D24A-D600-46F3-AFFF-CDD0578ACDD5}"/>
    <cellStyle name="Currency 3 2 5 4 2 4 2" xfId="14077" xr:uid="{2CDBE195-C09D-492D-A003-4F2A433C326B}"/>
    <cellStyle name="Currency 3 2 5 4 2 4 2 2" xfId="28128" xr:uid="{56BC723D-CFE8-4CE4-989A-E1E99B997B0D}"/>
    <cellStyle name="Currency 3 2 5 4 2 4 3" xfId="22920" xr:uid="{1F145643-EFC3-4ACC-98A7-E10FDF8024C5}"/>
    <cellStyle name="Currency 3 2 5 4 2 5" xfId="8001" xr:uid="{8BB1A7CD-70F7-40B0-BCC0-1101906802EA}"/>
    <cellStyle name="Currency 3 2 5 4 2 5 2" xfId="22052" xr:uid="{65DE5F57-2F35-4DD0-B19D-1412B9CC1019}"/>
    <cellStyle name="Currency 3 2 5 4 2 6" xfId="11473" xr:uid="{E858A264-7A98-461F-8383-1F2838D07DF1}"/>
    <cellStyle name="Currency 3 2 5 4 2 6 2" xfId="25524" xr:uid="{6BC3173D-FD32-4937-AED1-AF06B80329F5}"/>
    <cellStyle name="Currency 3 2 5 4 2 7" xfId="19448" xr:uid="{B777DF0D-F253-47BB-88A5-35BD309E77BA}"/>
    <cellStyle name="Currency 3 2 5 4 3" xfId="5831" xr:uid="{54DF39BF-C94D-4247-8038-49837065741A}"/>
    <cellStyle name="Currency 3 2 5 4 3 2" xfId="9303" xr:uid="{969037A7-A79E-4EDA-A3EB-CD22F1392115}"/>
    <cellStyle name="Currency 3 2 5 4 3 2 2" xfId="23354" xr:uid="{540F61E3-6A6C-4374-A584-99F0F42CE428}"/>
    <cellStyle name="Currency 3 2 5 4 3 3" xfId="11907" xr:uid="{1BBA43FA-43E5-465A-B01D-CB6368C2C226}"/>
    <cellStyle name="Currency 3 2 5 4 3 3 2" xfId="25958" xr:uid="{898441B4-A86D-462B-B549-FB67CE32DB27}"/>
    <cellStyle name="Currency 3 2 5 4 3 4" xfId="19882" xr:uid="{1A851306-66C3-470E-94D9-23A1CEBEA208}"/>
    <cellStyle name="Currency 3 2 5 4 4" xfId="6699" xr:uid="{15F5C48F-9C44-42DC-9250-710606E033FD}"/>
    <cellStyle name="Currency 3 2 5 4 4 2" xfId="10171" xr:uid="{03D35407-E9B8-4699-A53D-CB61F4E6D18E}"/>
    <cellStyle name="Currency 3 2 5 4 4 2 2" xfId="24222" xr:uid="{CEF224E2-CF0E-4308-AE03-92B8F2F0ED7B}"/>
    <cellStyle name="Currency 3 2 5 4 4 3" xfId="12775" xr:uid="{B8DCE082-280F-4707-884F-AA797134B889}"/>
    <cellStyle name="Currency 3 2 5 4 4 3 2" xfId="26826" xr:uid="{D9477AB6-3717-4A2E-B31D-F01877BAEF00}"/>
    <cellStyle name="Currency 3 2 5 4 4 4" xfId="20750" xr:uid="{9E3F3F81-F2F1-468D-BE56-35ECA4BC421C}"/>
    <cellStyle name="Currency 3 2 5 4 5" xfId="8435" xr:uid="{907D9B1D-E514-4661-89A9-4CB7462932E2}"/>
    <cellStyle name="Currency 3 2 5 4 5 2" xfId="13643" xr:uid="{99A20C32-5CDB-4117-8D9F-FF2DA774C517}"/>
    <cellStyle name="Currency 3 2 5 4 5 2 2" xfId="27694" xr:uid="{A0F1490A-2B9C-48F8-8E7B-7974DE449217}"/>
    <cellStyle name="Currency 3 2 5 4 5 3" xfId="22486" xr:uid="{B6AE8B22-AD32-4F36-9B8B-3570864FF625}"/>
    <cellStyle name="Currency 3 2 5 4 6" xfId="7567" xr:uid="{2B58ECA9-B534-4732-BB5C-82F51F90C6BB}"/>
    <cellStyle name="Currency 3 2 5 4 6 2" xfId="21618" xr:uid="{1B0DF037-0E84-44C5-850B-4001BD341767}"/>
    <cellStyle name="Currency 3 2 5 4 7" xfId="11039" xr:uid="{B688D4B4-11DD-453B-8DD2-4AB38DFBB39D}"/>
    <cellStyle name="Currency 3 2 5 4 7 2" xfId="25090" xr:uid="{E5F95287-855B-4D91-A6C2-CABF4B000621}"/>
    <cellStyle name="Currency 3 2 5 4 8" xfId="18735" xr:uid="{63631497-81B4-47AA-9E2F-6128724D969F}"/>
    <cellStyle name="Currency 3 2 5 5" xfId="5027" xr:uid="{9E1AAE96-325A-4C59-B072-D11B3081CA95}"/>
    <cellStyle name="Currency 3 2 5 5 2" xfId="5895" xr:uid="{730D6043-287B-451E-B31D-2C1BCAB4CDFC}"/>
    <cellStyle name="Currency 3 2 5 5 2 2" xfId="9367" xr:uid="{2873B206-F18A-44F0-BE4A-09F56700EF2E}"/>
    <cellStyle name="Currency 3 2 5 5 2 2 2" xfId="23418" xr:uid="{287A0596-72DC-4BD3-A8C3-E93A764ADF37}"/>
    <cellStyle name="Currency 3 2 5 5 2 3" xfId="11971" xr:uid="{65217DCB-5B47-4981-A3B2-C63FB22D1784}"/>
    <cellStyle name="Currency 3 2 5 5 2 3 2" xfId="26022" xr:uid="{7DEF6DA7-0387-4AF7-8399-6977661128B7}"/>
    <cellStyle name="Currency 3 2 5 5 2 4" xfId="19946" xr:uid="{4F1247D3-9272-4718-8203-D8650BC3DD0D}"/>
    <cellStyle name="Currency 3 2 5 5 3" xfId="6763" xr:uid="{BC533371-1507-46DF-919E-1E84FCC83A53}"/>
    <cellStyle name="Currency 3 2 5 5 3 2" xfId="10235" xr:uid="{29CC89E8-1CF9-414C-806C-0FF83B195AE8}"/>
    <cellStyle name="Currency 3 2 5 5 3 2 2" xfId="24286" xr:uid="{7184F765-24B2-49DA-ACC6-DC6DDE374997}"/>
    <cellStyle name="Currency 3 2 5 5 3 3" xfId="12839" xr:uid="{A71872EC-ADB5-419B-9C94-B7F9CD58A6EB}"/>
    <cellStyle name="Currency 3 2 5 5 3 3 2" xfId="26890" xr:uid="{4AD63450-64E5-4E80-9F6E-AD84D03636A2}"/>
    <cellStyle name="Currency 3 2 5 5 3 4" xfId="20814" xr:uid="{905B26B4-3A09-4571-B0B7-9C14C91E9009}"/>
    <cellStyle name="Currency 3 2 5 5 4" xfId="8499" xr:uid="{2F0E8366-3AB7-4FFC-84D9-9372E401AD6A}"/>
    <cellStyle name="Currency 3 2 5 5 4 2" xfId="13707" xr:uid="{51B6CD79-D248-433B-82ED-3B32370C79AB}"/>
    <cellStyle name="Currency 3 2 5 5 4 2 2" xfId="27758" xr:uid="{F26A5821-7A5A-4A76-B861-282D4602B224}"/>
    <cellStyle name="Currency 3 2 5 5 4 3" xfId="22550" xr:uid="{32311FC4-6130-4BF7-A0D2-5B6195D90D0C}"/>
    <cellStyle name="Currency 3 2 5 5 5" xfId="7631" xr:uid="{5EE92E4B-1E71-42AE-AA44-B7BE94431701}"/>
    <cellStyle name="Currency 3 2 5 5 5 2" xfId="21682" xr:uid="{E593EC89-FF15-487D-8CC2-927119EB7460}"/>
    <cellStyle name="Currency 3 2 5 5 6" xfId="11103" xr:uid="{00DEDFCA-E1BF-4564-B18D-B490A7EE3B45}"/>
    <cellStyle name="Currency 3 2 5 5 6 2" xfId="25154" xr:uid="{A816B701-1165-4F24-AF6E-2723257C6E77}"/>
    <cellStyle name="Currency 3 2 5 5 7" xfId="19078" xr:uid="{0952AC86-2C93-4041-A6AA-AF63EBE79EF2}"/>
    <cellStyle name="Currency 3 2 5 6" xfId="5461" xr:uid="{6C65109F-ADFC-4C82-8717-10EDC9A89AF2}"/>
    <cellStyle name="Currency 3 2 5 6 2" xfId="8933" xr:uid="{759DAD1A-5693-479F-94AD-3622082B4D7C}"/>
    <cellStyle name="Currency 3 2 5 6 2 2" xfId="22984" xr:uid="{80F1A160-8659-455B-9055-0CB9DB1227D8}"/>
    <cellStyle name="Currency 3 2 5 6 3" xfId="11537" xr:uid="{12AAA547-BFF9-470B-8C3D-7BCDB21AF099}"/>
    <cellStyle name="Currency 3 2 5 6 3 2" xfId="25588" xr:uid="{4CC9D33A-D64F-4F21-AA52-561AE3628594}"/>
    <cellStyle name="Currency 3 2 5 6 4" xfId="19512" xr:uid="{4215C703-ED37-44E0-9712-4B7E241D1005}"/>
    <cellStyle name="Currency 3 2 5 7" xfId="6329" xr:uid="{25510606-343F-4969-9FDA-7400F74F792D}"/>
    <cellStyle name="Currency 3 2 5 7 2" xfId="9801" xr:uid="{D2CF0B1A-BB98-4BCD-BC6C-2CB31009A2EB}"/>
    <cellStyle name="Currency 3 2 5 7 2 2" xfId="23852" xr:uid="{68A09029-9E34-43BB-9F27-0B689AB966E0}"/>
    <cellStyle name="Currency 3 2 5 7 3" xfId="12405" xr:uid="{57ABCC0A-3A4A-42D2-B1D4-699BCA8A4CED}"/>
    <cellStyle name="Currency 3 2 5 7 3 2" xfId="26456" xr:uid="{2788F9AE-E866-4950-A455-AE0D47909C2A}"/>
    <cellStyle name="Currency 3 2 5 7 4" xfId="20380" xr:uid="{0B50B59D-C0AB-419C-9476-720D87A48D20}"/>
    <cellStyle name="Currency 3 2 5 8" xfId="8065" xr:uid="{4FAD2645-2A86-49E5-B213-0B2DFE62C3CC}"/>
    <cellStyle name="Currency 3 2 5 8 2" xfId="13273" xr:uid="{711DCF30-C2F1-4652-B043-7D16A80EC5CF}"/>
    <cellStyle name="Currency 3 2 5 8 2 2" xfId="27324" xr:uid="{D3346B62-7AFC-4F8B-AC65-FD755589BE5F}"/>
    <cellStyle name="Currency 3 2 5 8 3" xfId="22116" xr:uid="{D600F6A6-C339-44CD-AA34-B5FF3E406DB6}"/>
    <cellStyle name="Currency 3 2 5 9" xfId="7197" xr:uid="{E4B99AC3-62BF-457A-89E7-E03A89B7BAD3}"/>
    <cellStyle name="Currency 3 2 5 9 2" xfId="21248" xr:uid="{EE76FFA1-2C14-42BF-941F-DB30CEBADCA7}"/>
    <cellStyle name="Currency 3 2 6" xfId="818" xr:uid="{F709B5FE-8A32-49FA-BEC8-B7B51605F191}"/>
    <cellStyle name="Currency 3 2 6 10" xfId="14868" xr:uid="{A0AABC60-9A78-4819-9499-5436319FF753}"/>
    <cellStyle name="Currency 3 2 6 2" xfId="1917" xr:uid="{98E37856-CE83-4642-AF77-752593523A7F}"/>
    <cellStyle name="Currency 3 2 6 2 2" xfId="4106" xr:uid="{C64029C0-D77C-49CC-BBC9-58B84772F36F}"/>
    <cellStyle name="Currency 3 2 6 2 2 2" xfId="5346" xr:uid="{11ABF468-BBA5-4C0B-83AD-192653B8307F}"/>
    <cellStyle name="Currency 3 2 6 2 2 2 2" xfId="6214" xr:uid="{11E8EB92-BE6B-48ED-BC8F-766D9CE1B862}"/>
    <cellStyle name="Currency 3 2 6 2 2 2 2 2" xfId="9686" xr:uid="{6B5D6CD0-9CC3-4BB0-90EB-2F0D30E905C8}"/>
    <cellStyle name="Currency 3 2 6 2 2 2 2 2 2" xfId="23737" xr:uid="{9857E625-C812-4B25-A1D4-CB7D9ACD48F0}"/>
    <cellStyle name="Currency 3 2 6 2 2 2 2 3" xfId="12290" xr:uid="{A617DB5C-DC9D-4412-BA0A-9E8D5DF422F4}"/>
    <cellStyle name="Currency 3 2 6 2 2 2 2 3 2" xfId="26341" xr:uid="{693EAB44-9B07-4F90-9A96-279F844F6C3A}"/>
    <cellStyle name="Currency 3 2 6 2 2 2 2 4" xfId="20265" xr:uid="{20312FED-CF1B-4931-990B-D565E7D21E3D}"/>
    <cellStyle name="Currency 3 2 6 2 2 2 3" xfId="7082" xr:uid="{3156608A-BF83-4DE9-B49B-F1B5044E91B5}"/>
    <cellStyle name="Currency 3 2 6 2 2 2 3 2" xfId="10554" xr:uid="{B9586629-B0D7-453B-A856-3ED73FEADCFE}"/>
    <cellStyle name="Currency 3 2 6 2 2 2 3 2 2" xfId="24605" xr:uid="{8DA1A91A-D0A5-4B21-921E-BAF45153E542}"/>
    <cellStyle name="Currency 3 2 6 2 2 2 3 3" xfId="13158" xr:uid="{70728000-DBBA-436E-AC34-0F9A52411588}"/>
    <cellStyle name="Currency 3 2 6 2 2 2 3 3 2" xfId="27209" xr:uid="{3A2B1692-0423-48B5-962D-1E21C0BCE56E}"/>
    <cellStyle name="Currency 3 2 6 2 2 2 3 4" xfId="21133" xr:uid="{842EA5DC-4644-494D-B2B4-280D36A9E057}"/>
    <cellStyle name="Currency 3 2 6 2 2 2 4" xfId="8818" xr:uid="{D75D40E7-CC19-48EB-BA44-1A4F8F65B6CA}"/>
    <cellStyle name="Currency 3 2 6 2 2 2 4 2" xfId="14026" xr:uid="{04F89C34-5A78-4C17-B554-8BA0E38C5F6B}"/>
    <cellStyle name="Currency 3 2 6 2 2 2 4 2 2" xfId="28077" xr:uid="{103CCB3E-E75B-42CE-A95C-D7392C84293C}"/>
    <cellStyle name="Currency 3 2 6 2 2 2 4 3" xfId="22869" xr:uid="{49A1B773-C1C9-4C22-BD14-1194D25B8293}"/>
    <cellStyle name="Currency 3 2 6 2 2 2 5" xfId="7950" xr:uid="{1B6E37EC-F697-48AE-8EED-647B0C096D12}"/>
    <cellStyle name="Currency 3 2 6 2 2 2 5 2" xfId="22001" xr:uid="{F7425DB4-DD53-4DBB-A417-EDA734A8425A}"/>
    <cellStyle name="Currency 3 2 6 2 2 2 6" xfId="11422" xr:uid="{B6D9A877-A461-48C8-B4A3-A0160A4E4ED2}"/>
    <cellStyle name="Currency 3 2 6 2 2 2 6 2" xfId="25473" xr:uid="{F2F96509-A24C-46EA-BADB-BBA621541224}"/>
    <cellStyle name="Currency 3 2 6 2 2 2 7" xfId="19397" xr:uid="{15A9C06B-B2CF-4B40-971F-4922CE4E3E13}"/>
    <cellStyle name="Currency 3 2 6 2 2 3" xfId="5780" xr:uid="{DDB8446D-2E3B-4E33-A1F0-BB32E4DE969F}"/>
    <cellStyle name="Currency 3 2 6 2 2 3 2" xfId="9252" xr:uid="{F24EEAD9-44EC-46F7-A660-F94F834539A6}"/>
    <cellStyle name="Currency 3 2 6 2 2 3 2 2" xfId="23303" xr:uid="{E5CDA20D-F27E-415A-9F7E-64375651B02A}"/>
    <cellStyle name="Currency 3 2 6 2 2 3 3" xfId="11856" xr:uid="{712D8CA1-6129-4060-BBD4-A219EC822D07}"/>
    <cellStyle name="Currency 3 2 6 2 2 3 3 2" xfId="25907" xr:uid="{0B52E256-4033-4652-9DFE-22D43043C3A9}"/>
    <cellStyle name="Currency 3 2 6 2 2 3 4" xfId="19831" xr:uid="{5CE57037-BD69-4359-9093-BAC7EFDAAD19}"/>
    <cellStyle name="Currency 3 2 6 2 2 4" xfId="6648" xr:uid="{138D6B38-56DF-4D51-8C77-53DF4DB64138}"/>
    <cellStyle name="Currency 3 2 6 2 2 4 2" xfId="10120" xr:uid="{A544316F-7C1F-4A26-86C7-9260A86F63A9}"/>
    <cellStyle name="Currency 3 2 6 2 2 4 2 2" xfId="24171" xr:uid="{FD9573B4-DC5C-4374-B766-5EF9E0F96270}"/>
    <cellStyle name="Currency 3 2 6 2 2 4 3" xfId="12724" xr:uid="{77C13EA5-81EC-4582-9E75-80E174869CB4}"/>
    <cellStyle name="Currency 3 2 6 2 2 4 3 2" xfId="26775" xr:uid="{0AB23DBE-2D8B-4822-9556-22458D716D6C}"/>
    <cellStyle name="Currency 3 2 6 2 2 4 4" xfId="20699" xr:uid="{60F68510-6BBA-4BB8-B2C7-281E8FA0CABC}"/>
    <cellStyle name="Currency 3 2 6 2 2 5" xfId="8384" xr:uid="{BB0CC539-E5FF-4A80-B442-F7E1AD22ADD6}"/>
    <cellStyle name="Currency 3 2 6 2 2 5 2" xfId="13592" xr:uid="{74AD9542-2D08-4806-8523-050B9C025E68}"/>
    <cellStyle name="Currency 3 2 6 2 2 5 2 2" xfId="27643" xr:uid="{81ECF7A1-3761-497A-9D14-A555D080B77F}"/>
    <cellStyle name="Currency 3 2 6 2 2 5 3" xfId="22435" xr:uid="{472C8AFE-2D6D-4404-9748-F1A676274598}"/>
    <cellStyle name="Currency 3 2 6 2 2 6" xfId="7516" xr:uid="{15B36864-DDDC-48DF-9586-C33B85E80E43}"/>
    <cellStyle name="Currency 3 2 6 2 2 6 2" xfId="21567" xr:uid="{E340432A-DDC4-41B7-B437-B4F1078DD8FB}"/>
    <cellStyle name="Currency 3 2 6 2 2 7" xfId="10988" xr:uid="{0155C842-7FB1-4A02-89F4-9FEB1DC6A249}"/>
    <cellStyle name="Currency 3 2 6 2 2 7 2" xfId="25039" xr:uid="{B3ABACC6-BC34-49B6-AA5E-0D360E5EDCA9}"/>
    <cellStyle name="Currency 3 2 6 2 2 8" xfId="18158" xr:uid="{63BFC5E1-5953-46C8-A89D-A9DDB008AF91}"/>
    <cellStyle name="Currency 3 2 6 2 3" xfId="5156" xr:uid="{008E6853-FB8C-41B9-AA5B-2DB3454FAE45}"/>
    <cellStyle name="Currency 3 2 6 2 3 2" xfId="6024" xr:uid="{019B7BF4-E645-4F34-A426-AC43FEBA86AA}"/>
    <cellStyle name="Currency 3 2 6 2 3 2 2" xfId="9496" xr:uid="{41D4AA20-78AA-4F88-93A2-B2D693562B0F}"/>
    <cellStyle name="Currency 3 2 6 2 3 2 2 2" xfId="23547" xr:uid="{775D327B-11BA-45CA-8765-74D0C23740E6}"/>
    <cellStyle name="Currency 3 2 6 2 3 2 3" xfId="12100" xr:uid="{24E0528F-DA4A-426C-9211-EBA9FB207A8F}"/>
    <cellStyle name="Currency 3 2 6 2 3 2 3 2" xfId="26151" xr:uid="{66C90162-9BCB-497C-B04A-03B3366A32CA}"/>
    <cellStyle name="Currency 3 2 6 2 3 2 4" xfId="20075" xr:uid="{C4947AD9-9FA7-49AC-A6BB-0FABCFDD34C1}"/>
    <cellStyle name="Currency 3 2 6 2 3 3" xfId="6892" xr:uid="{6ADDD51E-6922-4050-9770-97B6593E452E}"/>
    <cellStyle name="Currency 3 2 6 2 3 3 2" xfId="10364" xr:uid="{E7F1CF32-3662-4785-BC6E-3A39E88EE563}"/>
    <cellStyle name="Currency 3 2 6 2 3 3 2 2" xfId="24415" xr:uid="{3D3D0427-3887-4088-A655-6ADC15EC53C1}"/>
    <cellStyle name="Currency 3 2 6 2 3 3 3" xfId="12968" xr:uid="{8B0375F6-028C-4E39-B5A6-A84FA5903175}"/>
    <cellStyle name="Currency 3 2 6 2 3 3 3 2" xfId="27019" xr:uid="{F41B279C-226C-4B0D-B863-BB9F23BBC98F}"/>
    <cellStyle name="Currency 3 2 6 2 3 3 4" xfId="20943" xr:uid="{3A561A42-AB30-4049-852C-C9A8A7900907}"/>
    <cellStyle name="Currency 3 2 6 2 3 4" xfId="8628" xr:uid="{DD693C0B-B2D1-4416-B7C2-0CC74287B1B6}"/>
    <cellStyle name="Currency 3 2 6 2 3 4 2" xfId="13836" xr:uid="{DA007A28-154C-4948-8301-A8FDF8E43085}"/>
    <cellStyle name="Currency 3 2 6 2 3 4 2 2" xfId="27887" xr:uid="{16D56EC2-97F7-4A5B-8E89-EB58EB2A77CE}"/>
    <cellStyle name="Currency 3 2 6 2 3 4 3" xfId="22679" xr:uid="{1F72544A-B938-4FE6-932D-681705368D96}"/>
    <cellStyle name="Currency 3 2 6 2 3 5" xfId="7760" xr:uid="{EAB4435F-0BB9-4187-A861-3A828B9D64D6}"/>
    <cellStyle name="Currency 3 2 6 2 3 5 2" xfId="21811" xr:uid="{B4874373-3782-47AA-AFF4-1C893D05624A}"/>
    <cellStyle name="Currency 3 2 6 2 3 6" xfId="11232" xr:uid="{2AA7DC08-7348-43BB-B6C0-67FABD81687E}"/>
    <cellStyle name="Currency 3 2 6 2 3 6 2" xfId="25283" xr:uid="{FCA467EF-F250-4C76-B259-45EADD8F8CD4}"/>
    <cellStyle name="Currency 3 2 6 2 3 7" xfId="19207" xr:uid="{ACFBFBFC-CC18-4645-9086-C41CC8D49B47}"/>
    <cellStyle name="Currency 3 2 6 2 4" xfId="5590" xr:uid="{B17F312C-30A2-4B59-BDD8-3A80832A9B59}"/>
    <cellStyle name="Currency 3 2 6 2 4 2" xfId="9062" xr:uid="{8CA9E2B9-3198-4E20-A55C-15F73CF5491B}"/>
    <cellStyle name="Currency 3 2 6 2 4 2 2" xfId="23113" xr:uid="{85F323C8-749F-426F-9F9C-7420EAE63167}"/>
    <cellStyle name="Currency 3 2 6 2 4 3" xfId="11666" xr:uid="{811B6100-8273-4EA4-B4C9-5841C4CBC6E8}"/>
    <cellStyle name="Currency 3 2 6 2 4 3 2" xfId="25717" xr:uid="{0F1E5600-9426-42C2-AC94-3B6DA2A35F85}"/>
    <cellStyle name="Currency 3 2 6 2 4 4" xfId="19641" xr:uid="{8F26F53E-4409-4F57-8F50-1A57A1C7799F}"/>
    <cellStyle name="Currency 3 2 6 2 5" xfId="6458" xr:uid="{847B2492-1509-4DA9-BB8A-92BEDD2D9669}"/>
    <cellStyle name="Currency 3 2 6 2 5 2" xfId="9930" xr:uid="{B9F9ABE6-0AC3-4631-88C9-E8B4770F0962}"/>
    <cellStyle name="Currency 3 2 6 2 5 2 2" xfId="23981" xr:uid="{B74F7E4A-3FFB-416C-9A4F-1ED9A1E308C8}"/>
    <cellStyle name="Currency 3 2 6 2 5 3" xfId="12534" xr:uid="{F1AA62C7-727B-49D8-B292-22AB8ACB72CE}"/>
    <cellStyle name="Currency 3 2 6 2 5 3 2" xfId="26585" xr:uid="{8D56BAC1-A8B1-421D-8CD7-81A326F30AC9}"/>
    <cellStyle name="Currency 3 2 6 2 5 4" xfId="20509" xr:uid="{DE8AB70E-1F53-43A6-A146-F8881AD73171}"/>
    <cellStyle name="Currency 3 2 6 2 6" xfId="8194" xr:uid="{D8C86A75-1267-4293-AF5D-77736750AC78}"/>
    <cellStyle name="Currency 3 2 6 2 6 2" xfId="13402" xr:uid="{8E1D8613-AA18-4F48-8E5A-4734F6D24C8A}"/>
    <cellStyle name="Currency 3 2 6 2 6 2 2" xfId="27453" xr:uid="{4692CE4A-C07A-4A51-A227-67A4D1B0D986}"/>
    <cellStyle name="Currency 3 2 6 2 6 3" xfId="22245" xr:uid="{17340E89-4F63-4C22-A2DE-81FDFE06DFED}"/>
    <cellStyle name="Currency 3 2 6 2 7" xfId="7326" xr:uid="{063DC966-DCA7-4D68-8961-098DA880B094}"/>
    <cellStyle name="Currency 3 2 6 2 7 2" xfId="21377" xr:uid="{E3BF7A3C-4576-4EAE-9DD9-25C461BA8AB6}"/>
    <cellStyle name="Currency 3 2 6 2 8" xfId="10798" xr:uid="{E8E26CD1-3253-48CA-974E-092B8EFFE77E}"/>
    <cellStyle name="Currency 3 2 6 2 8 2" xfId="24849" xr:uid="{930E0B94-8812-4634-A84B-48B4FD341EBD}"/>
    <cellStyle name="Currency 3 2 6 2 9" xfId="15966" xr:uid="{42B8CE0F-BA5E-4C9A-8674-C1FE8A9A0717}"/>
    <cellStyle name="Currency 3 2 6 3" xfId="3010" xr:uid="{0A8A037F-E894-423B-AF2A-9940A4E26571}"/>
    <cellStyle name="Currency 3 2 6 3 2" xfId="5251" xr:uid="{8106B478-69A0-4038-A686-7824957135BD}"/>
    <cellStyle name="Currency 3 2 6 3 2 2" xfId="6119" xr:uid="{CCBCB095-C160-426E-849E-D050A0CCF1F9}"/>
    <cellStyle name="Currency 3 2 6 3 2 2 2" xfId="9591" xr:uid="{11A45046-3BC7-49A1-A8B1-5ECB2C8431D3}"/>
    <cellStyle name="Currency 3 2 6 3 2 2 2 2" xfId="23642" xr:uid="{A80985B9-4048-4F0F-9D79-88500ED772A5}"/>
    <cellStyle name="Currency 3 2 6 3 2 2 3" xfId="12195" xr:uid="{4151BCA7-F9F5-4250-BA85-61C1B45D98D7}"/>
    <cellStyle name="Currency 3 2 6 3 2 2 3 2" xfId="26246" xr:uid="{CC0346D8-4344-408C-B50C-DA257AAD5AC7}"/>
    <cellStyle name="Currency 3 2 6 3 2 2 4" xfId="20170" xr:uid="{C99DD34F-4F3D-40D8-BE2A-55DE9514DBC4}"/>
    <cellStyle name="Currency 3 2 6 3 2 3" xfId="6987" xr:uid="{19AAB56B-D9E7-4BCE-ACAC-C7A3254482AA}"/>
    <cellStyle name="Currency 3 2 6 3 2 3 2" xfId="10459" xr:uid="{84B9BD14-2FBD-4925-A242-6FE4C944797B}"/>
    <cellStyle name="Currency 3 2 6 3 2 3 2 2" xfId="24510" xr:uid="{BCF43A08-1C92-4B97-894F-69C28E4901B3}"/>
    <cellStyle name="Currency 3 2 6 3 2 3 3" xfId="13063" xr:uid="{2B8ED55F-4FC9-4148-A74F-F2723205D28F}"/>
    <cellStyle name="Currency 3 2 6 3 2 3 3 2" xfId="27114" xr:uid="{1F67D682-B423-44A1-9AF7-047FA24B49A0}"/>
    <cellStyle name="Currency 3 2 6 3 2 3 4" xfId="21038" xr:uid="{990D10F3-5907-4EBA-9639-636BCA1CE234}"/>
    <cellStyle name="Currency 3 2 6 3 2 4" xfId="8723" xr:uid="{2F6D889A-E326-4944-9438-F76CA7C40F3A}"/>
    <cellStyle name="Currency 3 2 6 3 2 4 2" xfId="13931" xr:uid="{0F4E8157-6FED-4749-B47B-1D17EA2662AA}"/>
    <cellStyle name="Currency 3 2 6 3 2 4 2 2" xfId="27982" xr:uid="{1082F78B-AC4F-4AAF-9904-A013F7AC8C1D}"/>
    <cellStyle name="Currency 3 2 6 3 2 4 3" xfId="22774" xr:uid="{7A0B07D5-FD2A-4CE1-BBAC-43E12104B861}"/>
    <cellStyle name="Currency 3 2 6 3 2 5" xfId="7855" xr:uid="{BFD7F73C-67DE-4314-B06B-ADCD26E409FD}"/>
    <cellStyle name="Currency 3 2 6 3 2 5 2" xfId="21906" xr:uid="{94D90F22-0B74-4623-AA89-B10EB8DE18E1}"/>
    <cellStyle name="Currency 3 2 6 3 2 6" xfId="11327" xr:uid="{E2F7B1F3-44A4-43CD-9E8D-D8E1799C270E}"/>
    <cellStyle name="Currency 3 2 6 3 2 6 2" xfId="25378" xr:uid="{F5A1DFF4-C823-4400-A13F-DB5575A031A8}"/>
    <cellStyle name="Currency 3 2 6 3 2 7" xfId="19302" xr:uid="{52F5B915-E230-4B1F-9C47-ABA826B41EAC}"/>
    <cellStyle name="Currency 3 2 6 3 3" xfId="5685" xr:uid="{22EB6CDE-EDE3-4203-9923-FB1C864873E1}"/>
    <cellStyle name="Currency 3 2 6 3 3 2" xfId="9157" xr:uid="{DF3C923E-651D-452D-B740-A79F496346EC}"/>
    <cellStyle name="Currency 3 2 6 3 3 2 2" xfId="23208" xr:uid="{FA96CD82-A091-4D89-A24B-87F3A1547D40}"/>
    <cellStyle name="Currency 3 2 6 3 3 3" xfId="11761" xr:uid="{E7947DF4-21F6-4F97-B337-9D29D24B5FF2}"/>
    <cellStyle name="Currency 3 2 6 3 3 3 2" xfId="25812" xr:uid="{12F4F02E-C8C0-4FAD-BB47-C1AC511655C8}"/>
    <cellStyle name="Currency 3 2 6 3 3 4" xfId="19736" xr:uid="{E75B0B2B-45AB-49EB-A293-2F572F853894}"/>
    <cellStyle name="Currency 3 2 6 3 4" xfId="6553" xr:uid="{ABB9868E-1BEE-4BEA-AF4C-C5AE4A0FEF23}"/>
    <cellStyle name="Currency 3 2 6 3 4 2" xfId="10025" xr:uid="{AF2E57E8-0B00-438F-889F-9C17A100DEC9}"/>
    <cellStyle name="Currency 3 2 6 3 4 2 2" xfId="24076" xr:uid="{209B88D4-62F1-4704-B66E-D6181CD986FF}"/>
    <cellStyle name="Currency 3 2 6 3 4 3" xfId="12629" xr:uid="{A27C00A0-F542-4E0A-AE38-BFA73C6FBD42}"/>
    <cellStyle name="Currency 3 2 6 3 4 3 2" xfId="26680" xr:uid="{366F0766-2B06-47FF-A2CE-AF257C0BC786}"/>
    <cellStyle name="Currency 3 2 6 3 4 4" xfId="20604" xr:uid="{C932B4B2-1CCA-403E-85B0-EDC8F9C20365}"/>
    <cellStyle name="Currency 3 2 6 3 5" xfId="8289" xr:uid="{3698B50B-D7F3-46D0-8D4D-6D8A65A609F5}"/>
    <cellStyle name="Currency 3 2 6 3 5 2" xfId="13497" xr:uid="{53E90E6A-655F-4917-AC72-C06D3A0FA91F}"/>
    <cellStyle name="Currency 3 2 6 3 5 2 2" xfId="27548" xr:uid="{54B2939F-531A-4351-9FD9-777EB7832B96}"/>
    <cellStyle name="Currency 3 2 6 3 5 3" xfId="22340" xr:uid="{BFC6D80B-7B8F-4E1D-9EB8-6D4A382F7D74}"/>
    <cellStyle name="Currency 3 2 6 3 6" xfId="7421" xr:uid="{EFDF919D-4EBF-4F63-A5AA-CE08DF92DD88}"/>
    <cellStyle name="Currency 3 2 6 3 6 2" xfId="21472" xr:uid="{0D75DEE2-649F-4CE5-AE44-D39307D75E89}"/>
    <cellStyle name="Currency 3 2 6 3 7" xfId="10893" xr:uid="{05298770-581A-470A-AB7A-35141F0B4116}"/>
    <cellStyle name="Currency 3 2 6 3 7 2" xfId="24944" xr:uid="{6B6D6002-70AF-4A38-842E-12AF5E293497}"/>
    <cellStyle name="Currency 3 2 6 3 8" xfId="17062" xr:uid="{EC0E28DF-CB70-49D5-AA45-5BAF4F8163B0}"/>
    <cellStyle name="Currency 3 2 6 4" xfId="5059" xr:uid="{E7484823-587B-4F11-9F1F-A9626528A85C}"/>
    <cellStyle name="Currency 3 2 6 4 2" xfId="5927" xr:uid="{730863DC-4A06-47A8-B07B-0ACB38183DC8}"/>
    <cellStyle name="Currency 3 2 6 4 2 2" xfId="9399" xr:uid="{A6018EFF-54E4-4646-8174-D9BECD9B2731}"/>
    <cellStyle name="Currency 3 2 6 4 2 2 2" xfId="23450" xr:uid="{310E109A-D4E9-4921-B7CB-935E45A641B1}"/>
    <cellStyle name="Currency 3 2 6 4 2 3" xfId="12003" xr:uid="{B3F5E99D-BAAC-4083-BFC9-2B7FDA600953}"/>
    <cellStyle name="Currency 3 2 6 4 2 3 2" xfId="26054" xr:uid="{ED444B95-EB76-4C4D-82EA-5516AAF49480}"/>
    <cellStyle name="Currency 3 2 6 4 2 4" xfId="19978" xr:uid="{9AD259ED-63D0-4100-8B43-8151CA9CEAE4}"/>
    <cellStyle name="Currency 3 2 6 4 3" xfId="6795" xr:uid="{ED6A3246-34D6-4E06-B21D-39329C7CF704}"/>
    <cellStyle name="Currency 3 2 6 4 3 2" xfId="10267" xr:uid="{5C0ABC94-BDC1-4F6D-B4C4-5E3289A0AAEA}"/>
    <cellStyle name="Currency 3 2 6 4 3 2 2" xfId="24318" xr:uid="{57DDAF05-D279-4213-955A-99CEE6DED1BC}"/>
    <cellStyle name="Currency 3 2 6 4 3 3" xfId="12871" xr:uid="{00D6FE0B-9F20-4247-BA4C-46048CFE78D4}"/>
    <cellStyle name="Currency 3 2 6 4 3 3 2" xfId="26922" xr:uid="{F1353FC4-E414-4D9E-927E-776D1E617ABD}"/>
    <cellStyle name="Currency 3 2 6 4 3 4" xfId="20846" xr:uid="{640782DD-10F4-4CED-B3A2-389DF3CBD31E}"/>
    <cellStyle name="Currency 3 2 6 4 4" xfId="8531" xr:uid="{C8141B2C-1ADB-4B79-8076-5F5ED5123A38}"/>
    <cellStyle name="Currency 3 2 6 4 4 2" xfId="13739" xr:uid="{F3BC473B-4D94-4D69-AE71-53E1E0B5334D}"/>
    <cellStyle name="Currency 3 2 6 4 4 2 2" xfId="27790" xr:uid="{EEC87C67-4D19-4C6A-BF9C-8CD75B9C40F2}"/>
    <cellStyle name="Currency 3 2 6 4 4 3" xfId="22582" xr:uid="{C5449050-61B6-47A3-B5B2-4CE176FF24D6}"/>
    <cellStyle name="Currency 3 2 6 4 5" xfId="7663" xr:uid="{4BE30A99-926A-42A8-B74F-8191DB3E5377}"/>
    <cellStyle name="Currency 3 2 6 4 5 2" xfId="21714" xr:uid="{3AB07A0B-6DCA-4282-B847-590B7268146F}"/>
    <cellStyle name="Currency 3 2 6 4 6" xfId="11135" xr:uid="{420BD3A3-FF37-46A4-BBD0-4C30D59326DA}"/>
    <cellStyle name="Currency 3 2 6 4 6 2" xfId="25186" xr:uid="{5E634B24-A99D-46C9-B9E1-0449259764D0}"/>
    <cellStyle name="Currency 3 2 6 4 7" xfId="19110" xr:uid="{6B35AB46-4210-41E7-8B8F-8F038B2D59B7}"/>
    <cellStyle name="Currency 3 2 6 5" xfId="5493" xr:uid="{93F4CA3B-1265-4983-A4E1-7327299C11F1}"/>
    <cellStyle name="Currency 3 2 6 5 2" xfId="8965" xr:uid="{1D77F49D-24A4-49B3-A80C-84F28061BA37}"/>
    <cellStyle name="Currency 3 2 6 5 2 2" xfId="23016" xr:uid="{18F80895-F2B3-4ABD-8AA4-791A70C3BDC1}"/>
    <cellStyle name="Currency 3 2 6 5 3" xfId="11569" xr:uid="{02E4BD8E-157A-4731-9690-95BDA05990D4}"/>
    <cellStyle name="Currency 3 2 6 5 3 2" xfId="25620" xr:uid="{90C1FC86-1EEA-412C-B1A0-FCDB2E68182F}"/>
    <cellStyle name="Currency 3 2 6 5 4" xfId="19544" xr:uid="{8E681207-CECC-4EC5-85EE-3F46BE456238}"/>
    <cellStyle name="Currency 3 2 6 6" xfId="6361" xr:uid="{4104117D-6E04-408B-9C6A-B61B82A9C59D}"/>
    <cellStyle name="Currency 3 2 6 6 2" xfId="9833" xr:uid="{669AD857-62E6-485C-B0CD-003892078308}"/>
    <cellStyle name="Currency 3 2 6 6 2 2" xfId="23884" xr:uid="{971C9AA8-BFB3-4846-8E1C-AA491B78A859}"/>
    <cellStyle name="Currency 3 2 6 6 3" xfId="12437" xr:uid="{F91B314A-0404-40C1-8125-6F83EB014D35}"/>
    <cellStyle name="Currency 3 2 6 6 3 2" xfId="26488" xr:uid="{8BFD0B20-FA37-48EE-B25C-6EC4AFCBF844}"/>
    <cellStyle name="Currency 3 2 6 6 4" xfId="20412" xr:uid="{5AEFC4F2-38DE-4B51-A2AA-0B85259BB872}"/>
    <cellStyle name="Currency 3 2 6 7" xfId="8097" xr:uid="{73B448CC-D7E0-4864-A690-349D24E6BA9A}"/>
    <cellStyle name="Currency 3 2 6 7 2" xfId="13305" xr:uid="{33C7D039-EEDC-4A5E-9600-0E337A871FF3}"/>
    <cellStyle name="Currency 3 2 6 7 2 2" xfId="27356" xr:uid="{B4353FCB-85E1-4701-99E0-F6C7533B0F5F}"/>
    <cellStyle name="Currency 3 2 6 7 3" xfId="22148" xr:uid="{7907B1F3-838D-4AAA-B697-05B4F87280CC}"/>
    <cellStyle name="Currency 3 2 6 8" xfId="7229" xr:uid="{C5F6B61A-972B-4CF5-B51D-43C95A9910E5}"/>
    <cellStyle name="Currency 3 2 6 8 2" xfId="21280" xr:uid="{722F110E-8364-49F2-A9A0-8A33EFAB5717}"/>
    <cellStyle name="Currency 3 2 6 9" xfId="10701" xr:uid="{34CCF4AA-1571-4C10-8B99-BD9CE16CA487}"/>
    <cellStyle name="Currency 3 2 6 9 2" xfId="24752" xr:uid="{E885944E-C5D3-42C4-94FB-E515ED41E79C}"/>
    <cellStyle name="Currency 3 2 7" xfId="1162" xr:uid="{1DB258A5-DA68-42AE-858F-75A42AC5A899}"/>
    <cellStyle name="Currency 3 2 7 10" xfId="15213" xr:uid="{EFF070AC-32B3-4B24-800D-E82CFF2333D1}"/>
    <cellStyle name="Currency 3 2 7 2" xfId="2261" xr:uid="{06B3924E-4719-4B6F-BC6C-A691E7051769}"/>
    <cellStyle name="Currency 3 2 7 2 2" xfId="4450" xr:uid="{B9962D38-3629-4DB4-AE22-7E5C4E80973E}"/>
    <cellStyle name="Currency 3 2 7 2 2 2" xfId="5376" xr:uid="{E2935897-E9C5-4D85-BE3E-8CF58F753FBE}"/>
    <cellStyle name="Currency 3 2 7 2 2 2 2" xfId="6244" xr:uid="{24C0E4B5-83AF-45A8-9975-8093A5AAD118}"/>
    <cellStyle name="Currency 3 2 7 2 2 2 2 2" xfId="9716" xr:uid="{73E80044-0DD8-4CED-A2EE-BC540395DD3D}"/>
    <cellStyle name="Currency 3 2 7 2 2 2 2 2 2" xfId="23767" xr:uid="{500AF30E-CFFC-4842-B691-F8766BC0C8C2}"/>
    <cellStyle name="Currency 3 2 7 2 2 2 2 3" xfId="12320" xr:uid="{B5D46DE4-EBD7-4DF5-8C80-227F78C23E8D}"/>
    <cellStyle name="Currency 3 2 7 2 2 2 2 3 2" xfId="26371" xr:uid="{BEA573CF-5666-4BFA-A804-59EB934F0113}"/>
    <cellStyle name="Currency 3 2 7 2 2 2 2 4" xfId="20295" xr:uid="{A9C8DFEF-204B-48E0-8313-58FC303DAB82}"/>
    <cellStyle name="Currency 3 2 7 2 2 2 3" xfId="7112" xr:uid="{9A2C2F1E-70F2-4DE0-95E8-E5110DE737D4}"/>
    <cellStyle name="Currency 3 2 7 2 2 2 3 2" xfId="10584" xr:uid="{5351BA41-2DBB-4632-A695-22310B81FB78}"/>
    <cellStyle name="Currency 3 2 7 2 2 2 3 2 2" xfId="24635" xr:uid="{C72F2D0F-6E6B-462A-9CF1-63F94DAD7B98}"/>
    <cellStyle name="Currency 3 2 7 2 2 2 3 3" xfId="13188" xr:uid="{3AF1495F-2F9A-42F8-A70A-2DDDF43CDBC1}"/>
    <cellStyle name="Currency 3 2 7 2 2 2 3 3 2" xfId="27239" xr:uid="{9975575F-952C-411C-BD40-B111234D9B72}"/>
    <cellStyle name="Currency 3 2 7 2 2 2 3 4" xfId="21163" xr:uid="{7DA62430-B4BB-46A3-84C7-5C259B0AC706}"/>
    <cellStyle name="Currency 3 2 7 2 2 2 4" xfId="8848" xr:uid="{B71CE9B8-87BA-4D6B-BD72-0A7F5BD3FFFD}"/>
    <cellStyle name="Currency 3 2 7 2 2 2 4 2" xfId="14056" xr:uid="{879C0B1C-55D7-464A-A3A5-24D8810C5AD8}"/>
    <cellStyle name="Currency 3 2 7 2 2 2 4 2 2" xfId="28107" xr:uid="{CE33ECD3-B8F4-478A-B0E3-1362E17CAF8E}"/>
    <cellStyle name="Currency 3 2 7 2 2 2 4 3" xfId="22899" xr:uid="{3824FA8D-836D-49B8-9FAD-F0DDB9C77E1A}"/>
    <cellStyle name="Currency 3 2 7 2 2 2 5" xfId="7980" xr:uid="{6BA42C73-2674-4659-BA7C-4804B5E01547}"/>
    <cellStyle name="Currency 3 2 7 2 2 2 5 2" xfId="22031" xr:uid="{8F18C6EF-610A-4E5F-BFFD-A3FA57EE4286}"/>
    <cellStyle name="Currency 3 2 7 2 2 2 6" xfId="11452" xr:uid="{D5D40F66-807A-4AF7-BAE6-82E4F0094FB0}"/>
    <cellStyle name="Currency 3 2 7 2 2 2 6 2" xfId="25503" xr:uid="{1333A346-8DFA-4BED-B4B4-17EE41E7B2CB}"/>
    <cellStyle name="Currency 3 2 7 2 2 2 7" xfId="19427" xr:uid="{115E9EE9-2280-41C2-BEC5-E9FC522F3A06}"/>
    <cellStyle name="Currency 3 2 7 2 2 3" xfId="5810" xr:uid="{EF8E64B7-8459-4C7F-A86D-FC172B4596E2}"/>
    <cellStyle name="Currency 3 2 7 2 2 3 2" xfId="9282" xr:uid="{FB2406CB-242C-4FD8-8E54-A767F29B5F12}"/>
    <cellStyle name="Currency 3 2 7 2 2 3 2 2" xfId="23333" xr:uid="{8C11C6D6-4E37-4A0C-9AD5-D9A13DFADAF1}"/>
    <cellStyle name="Currency 3 2 7 2 2 3 3" xfId="11886" xr:uid="{BC23F548-3F9C-4874-B385-AC5DA69DEAE2}"/>
    <cellStyle name="Currency 3 2 7 2 2 3 3 2" xfId="25937" xr:uid="{CC6EDD26-0EDF-4BF3-893D-0BC6D9AF96BA}"/>
    <cellStyle name="Currency 3 2 7 2 2 3 4" xfId="19861" xr:uid="{637064BA-3113-4643-81A1-441F3C8A34A7}"/>
    <cellStyle name="Currency 3 2 7 2 2 4" xfId="6678" xr:uid="{7DC6DF3C-6C74-4CC4-85A3-7138975BE106}"/>
    <cellStyle name="Currency 3 2 7 2 2 4 2" xfId="10150" xr:uid="{81CE86E1-F563-470B-8073-2C546E79A6CC}"/>
    <cellStyle name="Currency 3 2 7 2 2 4 2 2" xfId="24201" xr:uid="{4E7F51F8-6540-48BA-8B8A-DE1BC37D6743}"/>
    <cellStyle name="Currency 3 2 7 2 2 4 3" xfId="12754" xr:uid="{B6C76109-0845-4E9F-B780-EEF591326B8C}"/>
    <cellStyle name="Currency 3 2 7 2 2 4 3 2" xfId="26805" xr:uid="{1F10DFF1-64F6-436E-BE09-9D51890CFB64}"/>
    <cellStyle name="Currency 3 2 7 2 2 4 4" xfId="20729" xr:uid="{B829724D-9A02-4827-928B-3E1EBA3FD858}"/>
    <cellStyle name="Currency 3 2 7 2 2 5" xfId="8414" xr:uid="{AB15A8A7-3A47-470D-8CA0-D839C7184A60}"/>
    <cellStyle name="Currency 3 2 7 2 2 5 2" xfId="13622" xr:uid="{B86C7CF5-DE4C-40A6-991E-7D951D04257A}"/>
    <cellStyle name="Currency 3 2 7 2 2 5 2 2" xfId="27673" xr:uid="{8884966C-F79C-4CD1-BB99-D3E7409D0D4C}"/>
    <cellStyle name="Currency 3 2 7 2 2 5 3" xfId="22465" xr:uid="{C6464958-37E5-4FA1-9C4B-4E7DE5F6A1B0}"/>
    <cellStyle name="Currency 3 2 7 2 2 6" xfId="7546" xr:uid="{27B0C60F-D39D-4D6C-B6F4-3C30643CE8FD}"/>
    <cellStyle name="Currency 3 2 7 2 2 6 2" xfId="21597" xr:uid="{379CEA92-19E3-444C-A055-AD973C901290}"/>
    <cellStyle name="Currency 3 2 7 2 2 7" xfId="11018" xr:uid="{D978E635-821E-428E-B3ED-901D59B4471E}"/>
    <cellStyle name="Currency 3 2 7 2 2 7 2" xfId="25069" xr:uid="{153CB1F3-2A91-429E-9790-B049F90043D3}"/>
    <cellStyle name="Currency 3 2 7 2 2 8" xfId="18501" xr:uid="{02712167-0B91-470F-B957-6F9F8CCBC6F0}"/>
    <cellStyle name="Currency 3 2 7 2 3" xfId="5186" xr:uid="{75DAF7ED-BDA7-4E87-AD50-860DC5EC632D}"/>
    <cellStyle name="Currency 3 2 7 2 3 2" xfId="6054" xr:uid="{8817D6BE-F4B9-4D3C-97B4-C00A291A0D5E}"/>
    <cellStyle name="Currency 3 2 7 2 3 2 2" xfId="9526" xr:uid="{97D0E87F-FC4D-41A5-8F3D-FEDD088A2C0D}"/>
    <cellStyle name="Currency 3 2 7 2 3 2 2 2" xfId="23577" xr:uid="{61CDA11B-6BA5-4DA8-9F34-FAA34EE63FAE}"/>
    <cellStyle name="Currency 3 2 7 2 3 2 3" xfId="12130" xr:uid="{6A3A7704-16C5-4363-B676-9D9A9DD68B95}"/>
    <cellStyle name="Currency 3 2 7 2 3 2 3 2" xfId="26181" xr:uid="{89BF000C-5028-4FE5-9A21-09705553A723}"/>
    <cellStyle name="Currency 3 2 7 2 3 2 4" xfId="20105" xr:uid="{D86CBA5D-9BA5-4FC8-873A-A3257E5BD2D7}"/>
    <cellStyle name="Currency 3 2 7 2 3 3" xfId="6922" xr:uid="{B806CCA6-BDA7-4CE1-94E7-05BCB6A86AA6}"/>
    <cellStyle name="Currency 3 2 7 2 3 3 2" xfId="10394" xr:uid="{4846DE63-0166-4AF6-A060-C5D504093EE5}"/>
    <cellStyle name="Currency 3 2 7 2 3 3 2 2" xfId="24445" xr:uid="{F9C268D4-5E3C-4850-99C6-1BB09B5A45E6}"/>
    <cellStyle name="Currency 3 2 7 2 3 3 3" xfId="12998" xr:uid="{72675169-BA4C-4433-8034-884F155264FF}"/>
    <cellStyle name="Currency 3 2 7 2 3 3 3 2" xfId="27049" xr:uid="{61ABC31B-065D-48A6-BA2F-675934B01F7F}"/>
    <cellStyle name="Currency 3 2 7 2 3 3 4" xfId="20973" xr:uid="{A9380E9D-0A6C-4FB5-BCED-1880EEAD4A5F}"/>
    <cellStyle name="Currency 3 2 7 2 3 4" xfId="8658" xr:uid="{1D2699C7-0481-47DD-9962-F14F8371780E}"/>
    <cellStyle name="Currency 3 2 7 2 3 4 2" xfId="13866" xr:uid="{4998B8DD-6D5D-4B06-A5E9-81245DA5D43A}"/>
    <cellStyle name="Currency 3 2 7 2 3 4 2 2" xfId="27917" xr:uid="{418E6889-0159-423B-8386-F2320EBA399F}"/>
    <cellStyle name="Currency 3 2 7 2 3 4 3" xfId="22709" xr:uid="{8D3D5FC9-AFAB-43DB-BEA1-8C757CDD0249}"/>
    <cellStyle name="Currency 3 2 7 2 3 5" xfId="7790" xr:uid="{E2660CC8-10E6-4E6E-8C04-EC444C092B2A}"/>
    <cellStyle name="Currency 3 2 7 2 3 5 2" xfId="21841" xr:uid="{5DA87E30-BFA8-4E2A-8A8F-CF726C47A064}"/>
    <cellStyle name="Currency 3 2 7 2 3 6" xfId="11262" xr:uid="{19C6D96B-0D8B-49DD-886C-9071DCDF7747}"/>
    <cellStyle name="Currency 3 2 7 2 3 6 2" xfId="25313" xr:uid="{AC096F50-9342-4120-9807-470119AD2820}"/>
    <cellStyle name="Currency 3 2 7 2 3 7" xfId="19237" xr:uid="{736EE1C4-BB38-425B-9715-23164A6D1113}"/>
    <cellStyle name="Currency 3 2 7 2 4" xfId="5620" xr:uid="{6CBB0576-3628-4F25-B72E-63DFA0D28B5A}"/>
    <cellStyle name="Currency 3 2 7 2 4 2" xfId="9092" xr:uid="{701B2722-8CD8-4872-B813-B652E989A08D}"/>
    <cellStyle name="Currency 3 2 7 2 4 2 2" xfId="23143" xr:uid="{A66D5B09-34FD-4CF3-9CA4-F33CB5F124A5}"/>
    <cellStyle name="Currency 3 2 7 2 4 3" xfId="11696" xr:uid="{78F9C07B-5B3F-47C0-BB19-D34C2DFDED4B}"/>
    <cellStyle name="Currency 3 2 7 2 4 3 2" xfId="25747" xr:uid="{B159B1C9-79FA-4C1C-A1FC-80F931FE6D9D}"/>
    <cellStyle name="Currency 3 2 7 2 4 4" xfId="19671" xr:uid="{2E9CB5CE-5BFD-49B7-ACD7-18778285A826}"/>
    <cellStyle name="Currency 3 2 7 2 5" xfId="6488" xr:uid="{0700E396-9444-4B65-A76B-3E08C736EF63}"/>
    <cellStyle name="Currency 3 2 7 2 5 2" xfId="9960" xr:uid="{D9E3C848-A040-444C-BFAB-A0C3DAD745E0}"/>
    <cellStyle name="Currency 3 2 7 2 5 2 2" xfId="24011" xr:uid="{43B298AD-BC11-4359-B3A1-2240D17D68A8}"/>
    <cellStyle name="Currency 3 2 7 2 5 3" xfId="12564" xr:uid="{9FB1D0BC-9851-4E62-A79D-C62D3A7E5001}"/>
    <cellStyle name="Currency 3 2 7 2 5 3 2" xfId="26615" xr:uid="{1C75CDD1-47F4-4A83-867E-254B219CD4AE}"/>
    <cellStyle name="Currency 3 2 7 2 5 4" xfId="20539" xr:uid="{35CFF65F-9CFC-4DB6-B350-C55DD7FCFE99}"/>
    <cellStyle name="Currency 3 2 7 2 6" xfId="8224" xr:uid="{B2446FFB-97F8-446E-9ADD-B94734C41674}"/>
    <cellStyle name="Currency 3 2 7 2 6 2" xfId="13432" xr:uid="{2522C076-07AE-443C-819E-0E8A0983F10E}"/>
    <cellStyle name="Currency 3 2 7 2 6 2 2" xfId="27483" xr:uid="{0094B7FB-6BB0-4A24-9943-D3155F7B5615}"/>
    <cellStyle name="Currency 3 2 7 2 6 3" xfId="22275" xr:uid="{A3D454CB-D8B6-459B-BA8E-A58CC4C4449C}"/>
    <cellStyle name="Currency 3 2 7 2 7" xfId="7356" xr:uid="{07A2B382-6274-4328-811F-27129CEE1899}"/>
    <cellStyle name="Currency 3 2 7 2 7 2" xfId="21407" xr:uid="{BEC9C7F7-0174-4341-8D98-6FF7ADEA6D95}"/>
    <cellStyle name="Currency 3 2 7 2 8" xfId="10828" xr:uid="{80215DE8-D8ED-4106-809C-E06ADCCD7D8D}"/>
    <cellStyle name="Currency 3 2 7 2 8 2" xfId="24879" xr:uid="{3F8969B1-0B45-442A-9467-E0504D374BF6}"/>
    <cellStyle name="Currency 3 2 7 2 9" xfId="16311" xr:uid="{84AE10D7-0A11-4BF7-AF38-EC1023A598F2}"/>
    <cellStyle name="Currency 3 2 7 3" xfId="3355" xr:uid="{7DF6043B-73BC-46AE-B299-7221E776F410}"/>
    <cellStyle name="Currency 3 2 7 3 2" xfId="5281" xr:uid="{91E2461F-2054-47BB-B44F-A946F893C562}"/>
    <cellStyle name="Currency 3 2 7 3 2 2" xfId="6149" xr:uid="{0BEA2C54-072C-45AF-8CA9-9DA31F200886}"/>
    <cellStyle name="Currency 3 2 7 3 2 2 2" xfId="9621" xr:uid="{D7C157EC-3689-4838-B4F6-773BD44092EA}"/>
    <cellStyle name="Currency 3 2 7 3 2 2 2 2" xfId="23672" xr:uid="{B7DD834B-D51A-41FB-9817-563604C163BB}"/>
    <cellStyle name="Currency 3 2 7 3 2 2 3" xfId="12225" xr:uid="{457C519A-7FFB-4688-BF1B-03D6EA4ED1B8}"/>
    <cellStyle name="Currency 3 2 7 3 2 2 3 2" xfId="26276" xr:uid="{125709CE-06C8-44A8-9F79-E5174D6F2733}"/>
    <cellStyle name="Currency 3 2 7 3 2 2 4" xfId="20200" xr:uid="{3577ED08-D36C-4C91-9E74-66F331EA3131}"/>
    <cellStyle name="Currency 3 2 7 3 2 3" xfId="7017" xr:uid="{9C5D0FD4-FAE0-4435-A0D0-811BB5387ACD}"/>
    <cellStyle name="Currency 3 2 7 3 2 3 2" xfId="10489" xr:uid="{F21AE019-7C48-4B12-8029-38BF9205E7F9}"/>
    <cellStyle name="Currency 3 2 7 3 2 3 2 2" xfId="24540" xr:uid="{F95B8507-FC55-41AC-AF70-CFE5F4FEBE4E}"/>
    <cellStyle name="Currency 3 2 7 3 2 3 3" xfId="13093" xr:uid="{152EFD65-D016-4F95-9D58-B2CE1AEDE737}"/>
    <cellStyle name="Currency 3 2 7 3 2 3 3 2" xfId="27144" xr:uid="{3A3A9AC7-00D8-4A8B-A7CF-3B4E014C415E}"/>
    <cellStyle name="Currency 3 2 7 3 2 3 4" xfId="21068" xr:uid="{F35172AD-634F-4829-A202-395AC09C4DA2}"/>
    <cellStyle name="Currency 3 2 7 3 2 4" xfId="8753" xr:uid="{00F63C05-DA47-456F-9A9C-9361923B01D0}"/>
    <cellStyle name="Currency 3 2 7 3 2 4 2" xfId="13961" xr:uid="{2CC182FC-A8FC-49C3-A401-43B8FE235BB3}"/>
    <cellStyle name="Currency 3 2 7 3 2 4 2 2" xfId="28012" xr:uid="{E61F922B-B6AA-4BF7-9D03-17003C4D30A2}"/>
    <cellStyle name="Currency 3 2 7 3 2 4 3" xfId="22804" xr:uid="{180B5F76-D418-42EC-B25B-461018D39563}"/>
    <cellStyle name="Currency 3 2 7 3 2 5" xfId="7885" xr:uid="{88E7F28F-F940-4577-B53D-BB85841F21BB}"/>
    <cellStyle name="Currency 3 2 7 3 2 5 2" xfId="21936" xr:uid="{16907415-20BA-4F3A-8488-4B1585863E2B}"/>
    <cellStyle name="Currency 3 2 7 3 2 6" xfId="11357" xr:uid="{3D3C6A8B-8292-4D37-A7AB-E1ABE6065F52}"/>
    <cellStyle name="Currency 3 2 7 3 2 6 2" xfId="25408" xr:uid="{33B8CC73-DF99-4B72-AC04-BD8083035603}"/>
    <cellStyle name="Currency 3 2 7 3 2 7" xfId="19332" xr:uid="{8CA59114-0C73-402F-9826-19A0C704D7A5}"/>
    <cellStyle name="Currency 3 2 7 3 3" xfId="5715" xr:uid="{60553B4F-DC00-44F9-9C3D-25D3843FA851}"/>
    <cellStyle name="Currency 3 2 7 3 3 2" xfId="9187" xr:uid="{99B3E251-99E8-4DEF-94C2-2A398FC2D1C5}"/>
    <cellStyle name="Currency 3 2 7 3 3 2 2" xfId="23238" xr:uid="{E0341323-1AEF-4384-B633-A55BCE9C035F}"/>
    <cellStyle name="Currency 3 2 7 3 3 3" xfId="11791" xr:uid="{82D31B41-7DC8-44EC-B9A3-9189770A6680}"/>
    <cellStyle name="Currency 3 2 7 3 3 3 2" xfId="25842" xr:uid="{CC2F54C6-07E3-40A2-8B47-5CBAEFF59A26}"/>
    <cellStyle name="Currency 3 2 7 3 3 4" xfId="19766" xr:uid="{00AFF1F1-1F56-448F-BD1D-066187E1D3C3}"/>
    <cellStyle name="Currency 3 2 7 3 4" xfId="6583" xr:uid="{4FE779E8-E78E-4863-9146-6FD072F641F8}"/>
    <cellStyle name="Currency 3 2 7 3 4 2" xfId="10055" xr:uid="{C968A525-2D68-4E80-B973-7F5EA2EC82F6}"/>
    <cellStyle name="Currency 3 2 7 3 4 2 2" xfId="24106" xr:uid="{3A2407D2-597E-438C-95E5-0EDAC1150D83}"/>
    <cellStyle name="Currency 3 2 7 3 4 3" xfId="12659" xr:uid="{5CE2DE3F-EB63-4481-80EF-5E94CB4CF8B9}"/>
    <cellStyle name="Currency 3 2 7 3 4 3 2" xfId="26710" xr:uid="{FDB1889A-5E4B-4E76-9D21-982E356F6163}"/>
    <cellStyle name="Currency 3 2 7 3 4 4" xfId="20634" xr:uid="{967D40B4-8153-4AAE-9E2A-7C887A1D0612}"/>
    <cellStyle name="Currency 3 2 7 3 5" xfId="8319" xr:uid="{45018B91-1C3B-4CA7-876F-A6CC5D000E36}"/>
    <cellStyle name="Currency 3 2 7 3 5 2" xfId="13527" xr:uid="{90847EFE-D9A9-4E4B-9399-A173B98F4F2B}"/>
    <cellStyle name="Currency 3 2 7 3 5 2 2" xfId="27578" xr:uid="{72EACD53-13BC-4FE2-9CB6-14894307D607}"/>
    <cellStyle name="Currency 3 2 7 3 5 3" xfId="22370" xr:uid="{769952AC-3C62-42E6-A1B1-A0CE6832B0DD}"/>
    <cellStyle name="Currency 3 2 7 3 6" xfId="7451" xr:uid="{82C8CBF3-87B7-4942-82AB-ECAB49C1B7BD}"/>
    <cellStyle name="Currency 3 2 7 3 6 2" xfId="21502" xr:uid="{47CF4F4C-9469-4E7E-82FB-EC7052AAFF52}"/>
    <cellStyle name="Currency 3 2 7 3 7" xfId="10923" xr:uid="{754F6DCD-7859-4D77-B35F-B8E403F78246}"/>
    <cellStyle name="Currency 3 2 7 3 7 2" xfId="24974" xr:uid="{7647FC63-6605-46C1-A1B2-7C0C3F1F7554}"/>
    <cellStyle name="Currency 3 2 7 3 8" xfId="17407" xr:uid="{A589BCCB-4CDB-484D-BE7B-0BAF0D030D00}"/>
    <cellStyle name="Currency 3 2 7 4" xfId="5089" xr:uid="{7A76A6D1-D7BC-46D0-A618-B0353BB75F0F}"/>
    <cellStyle name="Currency 3 2 7 4 2" xfId="5957" xr:uid="{AA5C44D3-FB2D-4D8A-9546-A087E318BF7A}"/>
    <cellStyle name="Currency 3 2 7 4 2 2" xfId="9429" xr:uid="{87923EAF-F3BA-4744-89B1-4AEA4DB4C4CE}"/>
    <cellStyle name="Currency 3 2 7 4 2 2 2" xfId="23480" xr:uid="{B1C49437-98F2-4A1B-970C-BA4512D4EB47}"/>
    <cellStyle name="Currency 3 2 7 4 2 3" xfId="12033" xr:uid="{54219688-CB48-411D-867A-E6AC010DD7E7}"/>
    <cellStyle name="Currency 3 2 7 4 2 3 2" xfId="26084" xr:uid="{46A4FB8C-6B8B-4767-BA58-A7FC7630BEDD}"/>
    <cellStyle name="Currency 3 2 7 4 2 4" xfId="20008" xr:uid="{3D655CD9-2D48-4583-8F28-FC4A4068B1CD}"/>
    <cellStyle name="Currency 3 2 7 4 3" xfId="6825" xr:uid="{E1971CB3-9DF6-4E98-919D-D61741329EB9}"/>
    <cellStyle name="Currency 3 2 7 4 3 2" xfId="10297" xr:uid="{FBC36BB9-14DF-4DAB-AA9B-AB3CD9732C40}"/>
    <cellStyle name="Currency 3 2 7 4 3 2 2" xfId="24348" xr:uid="{C2B71D75-BC58-4F17-8A35-21B7644419F3}"/>
    <cellStyle name="Currency 3 2 7 4 3 3" xfId="12901" xr:uid="{7C883503-0E1A-45C3-B04A-C055B145468E}"/>
    <cellStyle name="Currency 3 2 7 4 3 3 2" xfId="26952" xr:uid="{61A81934-C406-4FA5-B864-CB8BA4A60BBD}"/>
    <cellStyle name="Currency 3 2 7 4 3 4" xfId="20876" xr:uid="{311A41D5-38A2-4BEC-985C-A89480BB7858}"/>
    <cellStyle name="Currency 3 2 7 4 4" xfId="8561" xr:uid="{9DCBFD06-6502-408D-A9D1-76331B297B87}"/>
    <cellStyle name="Currency 3 2 7 4 4 2" xfId="13769" xr:uid="{7C7DA99E-18C5-4D85-AE38-24B4607BA78A}"/>
    <cellStyle name="Currency 3 2 7 4 4 2 2" xfId="27820" xr:uid="{CFDD430D-9EC2-4ED1-B79A-F51B3EA5E89E}"/>
    <cellStyle name="Currency 3 2 7 4 4 3" xfId="22612" xr:uid="{F11FA8A8-FFB1-4E9E-BCED-B30E53F0F23A}"/>
    <cellStyle name="Currency 3 2 7 4 5" xfId="7693" xr:uid="{F449858A-62CB-4EAE-A743-6FB1BFB0B0E4}"/>
    <cellStyle name="Currency 3 2 7 4 5 2" xfId="21744" xr:uid="{B3424555-36F3-486B-93AB-825E508901F3}"/>
    <cellStyle name="Currency 3 2 7 4 6" xfId="11165" xr:uid="{199803E1-0D2F-4ED8-AF91-C6F65C3B71A2}"/>
    <cellStyle name="Currency 3 2 7 4 6 2" xfId="25216" xr:uid="{6F95B5B2-C5F6-4BA2-ADE6-83E9E01AF83B}"/>
    <cellStyle name="Currency 3 2 7 4 7" xfId="19140" xr:uid="{64E0445C-5325-419D-A95E-151E5359659C}"/>
    <cellStyle name="Currency 3 2 7 5" xfId="5523" xr:uid="{C87F95A1-D131-41A1-81C6-1D94EE1D12F8}"/>
    <cellStyle name="Currency 3 2 7 5 2" xfId="8995" xr:uid="{39D0DE11-53B0-406B-B74F-572B6FCBBD16}"/>
    <cellStyle name="Currency 3 2 7 5 2 2" xfId="23046" xr:uid="{366342E6-7203-4BE5-B8CF-A20AF28CBCC8}"/>
    <cellStyle name="Currency 3 2 7 5 3" xfId="11599" xr:uid="{7322DB37-1F84-44C3-8FCB-CE1FF6884654}"/>
    <cellStyle name="Currency 3 2 7 5 3 2" xfId="25650" xr:uid="{36845727-C8E3-4082-9569-A3BA2274C2B5}"/>
    <cellStyle name="Currency 3 2 7 5 4" xfId="19574" xr:uid="{EBFD0DD8-D762-4419-B8FC-6843B54FF570}"/>
    <cellStyle name="Currency 3 2 7 6" xfId="6391" xr:uid="{8A780F62-7309-4E09-A6B6-D7BEF07D48D8}"/>
    <cellStyle name="Currency 3 2 7 6 2" xfId="9863" xr:uid="{49FC1032-C514-49D4-A6B7-D71D49200A4E}"/>
    <cellStyle name="Currency 3 2 7 6 2 2" xfId="23914" xr:uid="{278F4C0F-BA3B-4D35-B4E7-E212758522CD}"/>
    <cellStyle name="Currency 3 2 7 6 3" xfId="12467" xr:uid="{19EB2E69-15D0-4F88-9F36-BCB250E969E2}"/>
    <cellStyle name="Currency 3 2 7 6 3 2" xfId="26518" xr:uid="{FE2F7E9B-E3A4-4D52-B245-336DBC8D2262}"/>
    <cellStyle name="Currency 3 2 7 6 4" xfId="20442" xr:uid="{19A66CD3-FD9D-4E93-9960-312A5E20260E}"/>
    <cellStyle name="Currency 3 2 7 7" xfId="8127" xr:uid="{BD67EABE-176B-48FF-AFF9-20B52484FD85}"/>
    <cellStyle name="Currency 3 2 7 7 2" xfId="13335" xr:uid="{D9D5BA11-C1B0-4A33-B432-D65801982D3D}"/>
    <cellStyle name="Currency 3 2 7 7 2 2" xfId="27386" xr:uid="{84838ECB-F7A8-4401-982B-78C6AB55DA88}"/>
    <cellStyle name="Currency 3 2 7 7 3" xfId="22178" xr:uid="{0DB9C8A1-7C35-4A68-9519-F2457935C3D2}"/>
    <cellStyle name="Currency 3 2 7 8" xfId="7259" xr:uid="{4C79A87C-B7E9-414D-84CB-A8DBB5AAA673}"/>
    <cellStyle name="Currency 3 2 7 8 2" xfId="21310" xr:uid="{3875CD67-CFC7-4CFD-9118-E795CB9BFA57}"/>
    <cellStyle name="Currency 3 2 7 9" xfId="10731" xr:uid="{842C16B1-1A6D-48D8-9B74-E27B081F6831}"/>
    <cellStyle name="Currency 3 2 7 9 2" xfId="24782" xr:uid="{FAA0B0EE-7321-4ABA-AE84-1205E59F82DB}"/>
    <cellStyle name="Currency 3 2 8" xfId="1226" xr:uid="{D7E60E8F-DF43-46FE-AAA7-88FA08D2ABD8}"/>
    <cellStyle name="Currency 3 2 8 2" xfId="3416" xr:uid="{6D6EE2CC-10F8-4C22-9E59-7B349944F630}"/>
    <cellStyle name="Currency 3 2 8 2 2" xfId="5287" xr:uid="{5D5E97B5-F91D-46AE-8F46-60E1813B06CF}"/>
    <cellStyle name="Currency 3 2 8 2 2 2" xfId="6155" xr:uid="{7C6247A1-4360-4023-8524-0B63A4E3115B}"/>
    <cellStyle name="Currency 3 2 8 2 2 2 2" xfId="9627" xr:uid="{8E4AD2EC-1CD0-4AD7-940E-D39A46DF1955}"/>
    <cellStyle name="Currency 3 2 8 2 2 2 2 2" xfId="23678" xr:uid="{892F042B-8E42-4832-A3A4-44A7E3AA4047}"/>
    <cellStyle name="Currency 3 2 8 2 2 2 3" xfId="12231" xr:uid="{CCAA5906-902F-419D-A6BC-8EEA6EC2BC22}"/>
    <cellStyle name="Currency 3 2 8 2 2 2 3 2" xfId="26282" xr:uid="{65C52855-5F9D-45D4-9D99-9110FF64B3E6}"/>
    <cellStyle name="Currency 3 2 8 2 2 2 4" xfId="20206" xr:uid="{85A683A2-0502-4714-9C35-DE771684B1AE}"/>
    <cellStyle name="Currency 3 2 8 2 2 3" xfId="7023" xr:uid="{01EC93CE-B389-4BDF-AD85-113DE88BE629}"/>
    <cellStyle name="Currency 3 2 8 2 2 3 2" xfId="10495" xr:uid="{982BFD39-BA41-4290-A6AC-DA8C68A655A1}"/>
    <cellStyle name="Currency 3 2 8 2 2 3 2 2" xfId="24546" xr:uid="{E9F488A8-F356-4B58-BEA4-F5C7E2826A85}"/>
    <cellStyle name="Currency 3 2 8 2 2 3 3" xfId="13099" xr:uid="{D2D285C3-1A40-490B-B6D5-49750501E2A4}"/>
    <cellStyle name="Currency 3 2 8 2 2 3 3 2" xfId="27150" xr:uid="{542B4562-CB75-407A-B782-14380B6EB7C7}"/>
    <cellStyle name="Currency 3 2 8 2 2 3 4" xfId="21074" xr:uid="{EEAD81B7-ADE7-424E-8703-7C03CA724FA1}"/>
    <cellStyle name="Currency 3 2 8 2 2 4" xfId="8759" xr:uid="{22E31CA5-664F-4EBC-9708-DDDADD807492}"/>
    <cellStyle name="Currency 3 2 8 2 2 4 2" xfId="13967" xr:uid="{7A26A55A-E840-462D-92C1-41421FC0386F}"/>
    <cellStyle name="Currency 3 2 8 2 2 4 2 2" xfId="28018" xr:uid="{29705A49-498B-4243-A2E2-7B679603CF88}"/>
    <cellStyle name="Currency 3 2 8 2 2 4 3" xfId="22810" xr:uid="{EB9585F3-D7F6-4F36-AC2C-D0530E839DC7}"/>
    <cellStyle name="Currency 3 2 8 2 2 5" xfId="7891" xr:uid="{B5E94779-8288-4C2B-8AC1-D45C0040240E}"/>
    <cellStyle name="Currency 3 2 8 2 2 5 2" xfId="21942" xr:uid="{510C3E51-1BA9-472F-A733-0E6802563940}"/>
    <cellStyle name="Currency 3 2 8 2 2 6" xfId="11363" xr:uid="{1C8A519C-9D89-4142-B5A5-EB9D750306F0}"/>
    <cellStyle name="Currency 3 2 8 2 2 6 2" xfId="25414" xr:uid="{69B1B7DF-BDA1-487B-90A1-D6BE7C88EB49}"/>
    <cellStyle name="Currency 3 2 8 2 2 7" xfId="19338" xr:uid="{EAEF2335-0603-43F4-ADAC-2547FBE9BAD2}"/>
    <cellStyle name="Currency 3 2 8 2 3" xfId="5721" xr:uid="{BDB9465B-321D-448C-BCEF-D4988920F19E}"/>
    <cellStyle name="Currency 3 2 8 2 3 2" xfId="9193" xr:uid="{26D6BED8-148C-492D-B181-226B243090AC}"/>
    <cellStyle name="Currency 3 2 8 2 3 2 2" xfId="23244" xr:uid="{BA277D6D-C800-4B1A-8BC6-021DAFCC3313}"/>
    <cellStyle name="Currency 3 2 8 2 3 3" xfId="11797" xr:uid="{31271D45-854B-47E5-858B-B7D95BEAF820}"/>
    <cellStyle name="Currency 3 2 8 2 3 3 2" xfId="25848" xr:uid="{6A9B02D9-103A-46FA-A831-97132D58BECE}"/>
    <cellStyle name="Currency 3 2 8 2 3 4" xfId="19772" xr:uid="{464C924A-6C9E-4DE3-953E-9504E6C4C72E}"/>
    <cellStyle name="Currency 3 2 8 2 4" xfId="6589" xr:uid="{35E9850B-53FE-495A-BE8B-A19F48E46A5B}"/>
    <cellStyle name="Currency 3 2 8 2 4 2" xfId="10061" xr:uid="{498EF55E-F63D-488D-9DCE-B03D4C60734F}"/>
    <cellStyle name="Currency 3 2 8 2 4 2 2" xfId="24112" xr:uid="{14F2F71D-98A2-4210-B801-6C16EDB03E9F}"/>
    <cellStyle name="Currency 3 2 8 2 4 3" xfId="12665" xr:uid="{E1539888-F112-4C02-9820-7A7B3F981BEB}"/>
    <cellStyle name="Currency 3 2 8 2 4 3 2" xfId="26716" xr:uid="{DAE9EED5-AFB4-4E8C-A7E2-088B5BF04E66}"/>
    <cellStyle name="Currency 3 2 8 2 4 4" xfId="20640" xr:uid="{47D96287-236D-498E-A74C-D8312D48C06F}"/>
    <cellStyle name="Currency 3 2 8 2 5" xfId="8325" xr:uid="{CC0FE7A5-48D0-44B7-9A46-496D4D10E60C}"/>
    <cellStyle name="Currency 3 2 8 2 5 2" xfId="13533" xr:uid="{9C1BFFD3-24FE-41DD-90C0-F13FCF4A47CE}"/>
    <cellStyle name="Currency 3 2 8 2 5 2 2" xfId="27584" xr:uid="{4B769E4B-BE36-4413-B3DA-741D90A55C6C}"/>
    <cellStyle name="Currency 3 2 8 2 5 3" xfId="22376" xr:uid="{62A0F938-028E-4D53-AAF7-D9CCD9260A98}"/>
    <cellStyle name="Currency 3 2 8 2 6" xfId="7457" xr:uid="{D3F6087F-4630-4615-8D74-33B3A40F1AB2}"/>
    <cellStyle name="Currency 3 2 8 2 6 2" xfId="21508" xr:uid="{7388BC19-C277-4CA2-90BD-906E308195DE}"/>
    <cellStyle name="Currency 3 2 8 2 7" xfId="10929" xr:uid="{43743BB1-B204-4A7A-9868-E93AEE367556}"/>
    <cellStyle name="Currency 3 2 8 2 7 2" xfId="24980" xr:uid="{62EB99C7-2BE3-47C8-8322-F94FE7E55AD2}"/>
    <cellStyle name="Currency 3 2 8 2 8" xfId="17468" xr:uid="{DC354DF8-9679-4E9B-95C6-9435CB5DFCF5}"/>
    <cellStyle name="Currency 3 2 8 3" xfId="5096" xr:uid="{63983E0D-6255-4B00-8762-FF25B67AB658}"/>
    <cellStyle name="Currency 3 2 8 3 2" xfId="5964" xr:uid="{E65013CD-C992-4EC7-91C6-375FF1D4B5B2}"/>
    <cellStyle name="Currency 3 2 8 3 2 2" xfId="9436" xr:uid="{36D24825-F1BC-467C-8794-D493D6F12586}"/>
    <cellStyle name="Currency 3 2 8 3 2 2 2" xfId="23487" xr:uid="{27E60A4D-E2D8-4AA4-95D1-17F6C2781C7B}"/>
    <cellStyle name="Currency 3 2 8 3 2 3" xfId="12040" xr:uid="{747745A2-718E-451F-87AB-39762A1BBBEA}"/>
    <cellStyle name="Currency 3 2 8 3 2 3 2" xfId="26091" xr:uid="{FAE93847-ED3A-4702-8F4C-55E1EF0C95DB}"/>
    <cellStyle name="Currency 3 2 8 3 2 4" xfId="20015" xr:uid="{73C6B4E8-F705-4933-BD30-2B0B2144EA85}"/>
    <cellStyle name="Currency 3 2 8 3 3" xfId="6832" xr:uid="{EE9D982C-CD05-4E0A-BEFF-79746468B1DE}"/>
    <cellStyle name="Currency 3 2 8 3 3 2" xfId="10304" xr:uid="{1F179F85-44F3-4F89-B6A7-0096B767C93A}"/>
    <cellStyle name="Currency 3 2 8 3 3 2 2" xfId="24355" xr:uid="{826A1117-EE0C-48BE-B8DF-393343798547}"/>
    <cellStyle name="Currency 3 2 8 3 3 3" xfId="12908" xr:uid="{0E80CCB8-A0EE-42A2-ADB2-E28276E3FC23}"/>
    <cellStyle name="Currency 3 2 8 3 3 3 2" xfId="26959" xr:uid="{3F5BC4C0-8726-4378-8D67-41551CC487E9}"/>
    <cellStyle name="Currency 3 2 8 3 3 4" xfId="20883" xr:uid="{76F84A3F-572A-4584-BC18-60A6F26FE1B4}"/>
    <cellStyle name="Currency 3 2 8 3 4" xfId="8568" xr:uid="{5FE7E9DA-7701-4725-B47E-EA9AD548FA45}"/>
    <cellStyle name="Currency 3 2 8 3 4 2" xfId="13776" xr:uid="{B13E4EF0-5D65-4950-8A19-24C82B3ABC19}"/>
    <cellStyle name="Currency 3 2 8 3 4 2 2" xfId="27827" xr:uid="{3FB7FAC4-AD29-4CFA-98AC-EAF6A24CD227}"/>
    <cellStyle name="Currency 3 2 8 3 4 3" xfId="22619" xr:uid="{910422F5-D0A8-49EB-9592-8E9E5114794B}"/>
    <cellStyle name="Currency 3 2 8 3 5" xfId="7700" xr:uid="{928DA4B6-7AB0-41F1-86B1-0068B7467F95}"/>
    <cellStyle name="Currency 3 2 8 3 5 2" xfId="21751" xr:uid="{632C9E94-305B-469B-85F2-AB1729C6CA52}"/>
    <cellStyle name="Currency 3 2 8 3 6" xfId="11172" xr:uid="{AA6F767A-187F-4B32-8DEC-B254E5550528}"/>
    <cellStyle name="Currency 3 2 8 3 6 2" xfId="25223" xr:uid="{BC98419F-E0E0-443B-81FD-E9F201CA951F}"/>
    <cellStyle name="Currency 3 2 8 3 7" xfId="19147" xr:uid="{28715CFC-EBDF-414F-B8D4-849144475C9C}"/>
    <cellStyle name="Currency 3 2 8 4" xfId="5530" xr:uid="{F49FBCFE-99E8-4A07-B3EE-219F6321D3E5}"/>
    <cellStyle name="Currency 3 2 8 4 2" xfId="9002" xr:uid="{2F74F4FB-38FC-414C-B6A7-4431137ECF5D}"/>
    <cellStyle name="Currency 3 2 8 4 2 2" xfId="23053" xr:uid="{E6CD4922-463B-4C0A-A5F9-2EDB4AAB4AB3}"/>
    <cellStyle name="Currency 3 2 8 4 3" xfId="11606" xr:uid="{7A2CD2D4-F895-4D07-949C-BB49CE3B2C56}"/>
    <cellStyle name="Currency 3 2 8 4 3 2" xfId="25657" xr:uid="{CF79F623-DF38-4EB8-A219-72651E6D7557}"/>
    <cellStyle name="Currency 3 2 8 4 4" xfId="19581" xr:uid="{54D4A402-1BA9-4279-B291-2BCA8D0702ED}"/>
    <cellStyle name="Currency 3 2 8 5" xfId="6398" xr:uid="{D2AB8444-5D5E-403C-B990-9A28B2996CED}"/>
    <cellStyle name="Currency 3 2 8 5 2" xfId="9870" xr:uid="{89FB9DF6-C087-4ED3-B155-D12884FD30D9}"/>
    <cellStyle name="Currency 3 2 8 5 2 2" xfId="23921" xr:uid="{FE5478DC-C3D7-42AC-977A-65D4ABC0AE16}"/>
    <cellStyle name="Currency 3 2 8 5 3" xfId="12474" xr:uid="{507D9D93-0520-43E0-A1C6-55636DB87691}"/>
    <cellStyle name="Currency 3 2 8 5 3 2" xfId="26525" xr:uid="{094DE96A-DFD4-4E06-878A-1A6646AB567B}"/>
    <cellStyle name="Currency 3 2 8 5 4" xfId="20449" xr:uid="{BD045CDB-2E5A-49CC-8768-ADE39D65D755}"/>
    <cellStyle name="Currency 3 2 8 6" xfId="8134" xr:uid="{9C340B58-AD3F-46A2-B288-3E80F472834C}"/>
    <cellStyle name="Currency 3 2 8 6 2" xfId="13342" xr:uid="{7B8613C8-A39A-40C8-9419-7D709F7D6DF0}"/>
    <cellStyle name="Currency 3 2 8 6 2 2" xfId="27393" xr:uid="{9F76ADE0-94C5-447C-9862-C42CCEC1824A}"/>
    <cellStyle name="Currency 3 2 8 6 3" xfId="22185" xr:uid="{6D193D68-3204-4B20-A154-6765D392658F}"/>
    <cellStyle name="Currency 3 2 8 7" xfId="7266" xr:uid="{72A00460-6964-4F75-9E03-A4F5651AFD79}"/>
    <cellStyle name="Currency 3 2 8 7 2" xfId="21317" xr:uid="{ADB6127B-BD1D-47AD-9453-DE15C42D77F6}"/>
    <cellStyle name="Currency 3 2 8 8" xfId="10738" xr:uid="{877BA556-AE42-4D59-A8F2-AEC2953A7908}"/>
    <cellStyle name="Currency 3 2 8 8 2" xfId="24789" xr:uid="{E1C99987-6673-44A1-994C-C001DD7EA88F}"/>
    <cellStyle name="Currency 3 2 8 9" xfId="15274" xr:uid="{9835D2E8-9142-4E7D-904F-023F6EAC8FAF}"/>
    <cellStyle name="Currency 3 2 9" xfId="2317" xr:uid="{4C2FD560-CE0B-4D33-9EEC-822C5CD8F6D6}"/>
    <cellStyle name="Currency 3 2 9 2" xfId="5191" xr:uid="{FEFECB09-BD06-4C69-8179-D9EE1C7099A8}"/>
    <cellStyle name="Currency 3 2 9 2 2" xfId="6059" xr:uid="{A48368E1-D474-4A3D-99FB-C102E91D9629}"/>
    <cellStyle name="Currency 3 2 9 2 2 2" xfId="9531" xr:uid="{5079BCB7-A775-4B05-BC33-B99745D3ED2A}"/>
    <cellStyle name="Currency 3 2 9 2 2 2 2" xfId="23582" xr:uid="{E4191F94-3B0A-4CAC-97DB-F133973C7A25}"/>
    <cellStyle name="Currency 3 2 9 2 2 3" xfId="12135" xr:uid="{E97C61D9-DFD4-4755-A078-DAF74DD0C769}"/>
    <cellStyle name="Currency 3 2 9 2 2 3 2" xfId="26186" xr:uid="{23987E81-C5A8-4513-B5BC-B79D6FE3AFBA}"/>
    <cellStyle name="Currency 3 2 9 2 2 4" xfId="20110" xr:uid="{E8E847B0-75F9-42FE-B018-BEC0EA75D5CA}"/>
    <cellStyle name="Currency 3 2 9 2 3" xfId="6927" xr:uid="{8CBEC458-0B47-4ABB-9FEB-D72CB977C5E0}"/>
    <cellStyle name="Currency 3 2 9 2 3 2" xfId="10399" xr:uid="{CF7E948B-33FC-4EC8-BE01-EB6047B48AB3}"/>
    <cellStyle name="Currency 3 2 9 2 3 2 2" xfId="24450" xr:uid="{B2C32693-D29F-460C-B54D-AD7E0C5EF888}"/>
    <cellStyle name="Currency 3 2 9 2 3 3" xfId="13003" xr:uid="{BF587787-E354-4772-B8B3-4FFD42A23E33}"/>
    <cellStyle name="Currency 3 2 9 2 3 3 2" xfId="27054" xr:uid="{D7CAECA0-5E68-4EFB-B001-BC805EBA4843}"/>
    <cellStyle name="Currency 3 2 9 2 3 4" xfId="20978" xr:uid="{58C5A1A6-3BD3-412A-9D18-D6ADB83E1579}"/>
    <cellStyle name="Currency 3 2 9 2 4" xfId="8663" xr:uid="{112AA102-85C1-4A6D-88F6-F77D6257624F}"/>
    <cellStyle name="Currency 3 2 9 2 4 2" xfId="13871" xr:uid="{BE56B3AB-94DD-4843-9AFD-834C3E03DB76}"/>
    <cellStyle name="Currency 3 2 9 2 4 2 2" xfId="27922" xr:uid="{F06C0AD7-7560-472B-A420-445447450EBF}"/>
    <cellStyle name="Currency 3 2 9 2 4 3" xfId="22714" xr:uid="{D5710D3B-9DDD-466E-A583-CB4FEEA946ED}"/>
    <cellStyle name="Currency 3 2 9 2 5" xfId="7795" xr:uid="{127D26D5-30DB-4803-AB1B-0B036A96D32A}"/>
    <cellStyle name="Currency 3 2 9 2 5 2" xfId="21846" xr:uid="{7C3995CB-1445-4607-8E09-DE5591A14D36}"/>
    <cellStyle name="Currency 3 2 9 2 6" xfId="11267" xr:uid="{F2C9070C-EA76-452B-851A-B3D654217487}"/>
    <cellStyle name="Currency 3 2 9 2 6 2" xfId="25318" xr:uid="{DC324558-7F04-41FD-A4FD-08DBE3AA5F48}"/>
    <cellStyle name="Currency 3 2 9 2 7" xfId="19242" xr:uid="{06A5820F-19DC-4B29-A7D9-6A9BD333585F}"/>
    <cellStyle name="Currency 3 2 9 3" xfId="5625" xr:uid="{820FBC91-DAA2-4181-9969-889B42C7BB31}"/>
    <cellStyle name="Currency 3 2 9 3 2" xfId="9097" xr:uid="{E47C69E9-27C7-45BD-AB2C-54A8605A7E2E}"/>
    <cellStyle name="Currency 3 2 9 3 2 2" xfId="23148" xr:uid="{D1B6B8B9-882E-4B27-BF1E-CD0BB5C8F57D}"/>
    <cellStyle name="Currency 3 2 9 3 3" xfId="11701" xr:uid="{4423ADCA-CB14-42AC-9307-AC7D1D509275}"/>
    <cellStyle name="Currency 3 2 9 3 3 2" xfId="25752" xr:uid="{F7FBB366-F383-4A85-9D47-EE7BB94E2561}"/>
    <cellStyle name="Currency 3 2 9 3 4" xfId="19676" xr:uid="{07A6E1D3-CDFD-4441-9CED-69143F721CA1}"/>
    <cellStyle name="Currency 3 2 9 4" xfId="6493" xr:uid="{42E9F455-3511-411F-92F2-347E8EDF2E3F}"/>
    <cellStyle name="Currency 3 2 9 4 2" xfId="9965" xr:uid="{E0FBB53C-56B9-4D69-8080-AC912A4B03A7}"/>
    <cellStyle name="Currency 3 2 9 4 2 2" xfId="24016" xr:uid="{74731D98-85DC-46AB-A40A-D2384397F0F4}"/>
    <cellStyle name="Currency 3 2 9 4 3" xfId="12569" xr:uid="{26AF92B1-0B25-4359-B029-48D4D20F5EFF}"/>
    <cellStyle name="Currency 3 2 9 4 3 2" xfId="26620" xr:uid="{24932860-9C28-42D6-A23A-D0C4B1032DEC}"/>
    <cellStyle name="Currency 3 2 9 4 4" xfId="20544" xr:uid="{3D43748B-E552-4F33-8963-0DA9139F48CD}"/>
    <cellStyle name="Currency 3 2 9 5" xfId="8229" xr:uid="{7030D280-FD79-4BBB-9D76-81E5E8A175A7}"/>
    <cellStyle name="Currency 3 2 9 5 2" xfId="13437" xr:uid="{051E3CE6-2D4D-4562-B4F8-35CF0B160631}"/>
    <cellStyle name="Currency 3 2 9 5 2 2" xfId="27488" xr:uid="{7C1ACA2D-D8B3-4334-AA7B-19DB00A69796}"/>
    <cellStyle name="Currency 3 2 9 5 3" xfId="22280" xr:uid="{29D16C34-380B-459B-9DEC-E16FB376313B}"/>
    <cellStyle name="Currency 3 2 9 6" xfId="7361" xr:uid="{E33C9C9C-3474-4518-84A6-1EE9E5F5C5AF}"/>
    <cellStyle name="Currency 3 2 9 6 2" xfId="21412" xr:uid="{631474EF-7247-4704-9C4B-F65A45C5E52A}"/>
    <cellStyle name="Currency 3 2 9 7" xfId="10833" xr:uid="{6D4ED3DE-BEF9-4411-A4C7-7BDFE695F8AC}"/>
    <cellStyle name="Currency 3 2 9 7 2" xfId="24884" xr:uid="{D98DA8BD-4C6C-4D8E-B978-ACDFC28FB887}"/>
    <cellStyle name="Currency 3 2 9 8" xfId="16368" xr:uid="{1E560C2B-DF54-4645-B920-8D5B05953C59}"/>
    <cellStyle name="Currency 3 3" xfId="208" xr:uid="{1A6D24A7-C753-425F-8A29-F71405D8862F}"/>
    <cellStyle name="Currency 3 3 10" xfId="6306" xr:uid="{54F52BF5-BF15-401D-9617-E41ADF97DA24}"/>
    <cellStyle name="Currency 3 3 10 2" xfId="9778" xr:uid="{D20A78DA-B3E8-451B-BFAE-959AD06E05EC}"/>
    <cellStyle name="Currency 3 3 10 2 2" xfId="23829" xr:uid="{E38BD0EF-52FE-4478-B503-9BAB23967691}"/>
    <cellStyle name="Currency 3 3 10 3" xfId="12382" xr:uid="{551C2126-44C8-4F31-8EBA-E491C0759BBE}"/>
    <cellStyle name="Currency 3 3 10 3 2" xfId="26433" xr:uid="{ED4265D8-96D1-49B9-95EA-34BB3199543A}"/>
    <cellStyle name="Currency 3 3 10 4" xfId="20357" xr:uid="{2399D8DC-6CE4-4B04-BB7E-D86A223A9E89}"/>
    <cellStyle name="Currency 3 3 11" xfId="8042" xr:uid="{733F8CA0-4B3F-48CB-89ED-38D724B63B09}"/>
    <cellStyle name="Currency 3 3 11 2" xfId="13250" xr:uid="{0B96D978-8FA6-4511-9D2C-A372E8885DA5}"/>
    <cellStyle name="Currency 3 3 11 2 2" xfId="27301" xr:uid="{A3A74BF9-5BE6-40AC-B926-770AC2EB7EE6}"/>
    <cellStyle name="Currency 3 3 11 3" xfId="22093" xr:uid="{4D56D916-5D1C-47D5-B627-503673BFAABF}"/>
    <cellStyle name="Currency 3 3 12" xfId="7174" xr:uid="{17C77A04-3489-48CA-A70C-D83FBA295C9B}"/>
    <cellStyle name="Currency 3 3 12 2" xfId="21225" xr:uid="{BBE3DEF6-DB34-4006-91B4-EAD6DBF2A874}"/>
    <cellStyle name="Currency 3 3 13" xfId="10646" xr:uid="{B2CC3518-7336-4F9E-89AE-B52BB42497B1}"/>
    <cellStyle name="Currency 3 3 13 2" xfId="24697" xr:uid="{DE43ED28-6170-4715-8BA3-A64F6FD94DAB}"/>
    <cellStyle name="Currency 3 3 14" xfId="14267" xr:uid="{B497A703-2180-4F16-936C-743985404611}"/>
    <cellStyle name="Currency 3 3 2" xfId="385" xr:uid="{1C209ABF-6723-4A68-9B31-6D9252906296}"/>
    <cellStyle name="Currency 3 3 2 10" xfId="8058" xr:uid="{F4D296EB-A1FE-40E8-9AEF-52C62924312C}"/>
    <cellStyle name="Currency 3 3 2 10 2" xfId="13266" xr:uid="{18350C32-DBC5-40CF-A534-E92B815AA126}"/>
    <cellStyle name="Currency 3 3 2 10 2 2" xfId="27317" xr:uid="{514EE74F-9CAE-4E36-BA1C-E3F91E8C546C}"/>
    <cellStyle name="Currency 3 3 2 10 3" xfId="22109" xr:uid="{E51FCE22-C7CB-4838-AFED-574EDC07F312}"/>
    <cellStyle name="Currency 3 3 2 11" xfId="7190" xr:uid="{0BFBBC2A-0209-419F-AC4E-BAC26F5D8EF9}"/>
    <cellStyle name="Currency 3 3 2 11 2" xfId="21241" xr:uid="{F8D0309D-9BF0-4C01-A4B5-1E8602139DB1}"/>
    <cellStyle name="Currency 3 3 2 12" xfId="10662" xr:uid="{5FAE2260-D7DA-46D6-91DE-9F84E6CEA4A7}"/>
    <cellStyle name="Currency 3 3 2 12 2" xfId="24713" xr:uid="{949A9855-54A4-455A-B7BD-31730A4919AD}"/>
    <cellStyle name="Currency 3 3 2 13" xfId="14442" xr:uid="{A3093192-633F-485D-9D3D-0C2386A06DCB}"/>
    <cellStyle name="Currency 3 3 2 2" xfId="739" xr:uid="{99DC8B05-53B1-404A-BE11-63B6BC2B3629}"/>
    <cellStyle name="Currency 3 3 2 2 10" xfId="14790" xr:uid="{FF13F040-EB56-469F-9B73-40E9BF4EC39D}"/>
    <cellStyle name="Currency 3 3 2 2 2" xfId="1840" xr:uid="{19FA42D8-ACE8-4351-879E-92240E252973}"/>
    <cellStyle name="Currency 3 3 2 2 2 2" xfId="4029" xr:uid="{FCFB1632-5F0F-45A5-91B4-FE26A80D2652}"/>
    <cellStyle name="Currency 3 3 2 2 2 2 2" xfId="5340" xr:uid="{4935EB81-1E3F-49A4-9FA1-A35A6735A2A4}"/>
    <cellStyle name="Currency 3 3 2 2 2 2 2 2" xfId="6208" xr:uid="{1EDDF24B-C285-4DB2-BA98-DC446D1C4A2B}"/>
    <cellStyle name="Currency 3 3 2 2 2 2 2 2 2" xfId="9680" xr:uid="{B976E8F6-099E-4E07-9E1E-301A2EA8C502}"/>
    <cellStyle name="Currency 3 3 2 2 2 2 2 2 2 2" xfId="23731" xr:uid="{77A2F21F-FCFE-4C0F-9D4A-AEBD4FD50C4A}"/>
    <cellStyle name="Currency 3 3 2 2 2 2 2 2 3" xfId="12284" xr:uid="{67FF3FB8-DBE3-4531-A377-5C0842FD71C4}"/>
    <cellStyle name="Currency 3 3 2 2 2 2 2 2 3 2" xfId="26335" xr:uid="{DDE9623C-5FCB-4722-8E24-423F9EA0FE9F}"/>
    <cellStyle name="Currency 3 3 2 2 2 2 2 2 4" xfId="20259" xr:uid="{9F8428F0-A57D-4F48-A8EC-82A59A3E29E3}"/>
    <cellStyle name="Currency 3 3 2 2 2 2 2 3" xfId="7076" xr:uid="{016D7E04-0383-44AF-8671-783616A3F7D6}"/>
    <cellStyle name="Currency 3 3 2 2 2 2 2 3 2" xfId="10548" xr:uid="{2B0A7B26-E034-4CD6-839E-F4D60C0C8680}"/>
    <cellStyle name="Currency 3 3 2 2 2 2 2 3 2 2" xfId="24599" xr:uid="{F9CCC10D-173C-4AC6-B93C-68D945C29CB3}"/>
    <cellStyle name="Currency 3 3 2 2 2 2 2 3 3" xfId="13152" xr:uid="{DDEF02D5-020D-4D9F-828E-1DF86F2A35CE}"/>
    <cellStyle name="Currency 3 3 2 2 2 2 2 3 3 2" xfId="27203" xr:uid="{068CD0C8-EB17-40D7-B545-3A80E8D0293C}"/>
    <cellStyle name="Currency 3 3 2 2 2 2 2 3 4" xfId="21127" xr:uid="{92E49A52-06BE-4713-A00A-6C46A5564B90}"/>
    <cellStyle name="Currency 3 3 2 2 2 2 2 4" xfId="8812" xr:uid="{1B1076C7-3485-4E88-8EE1-C37168271B6A}"/>
    <cellStyle name="Currency 3 3 2 2 2 2 2 4 2" xfId="14020" xr:uid="{8D08F341-9354-4EF0-B527-9B7B82795562}"/>
    <cellStyle name="Currency 3 3 2 2 2 2 2 4 2 2" xfId="28071" xr:uid="{3D799841-BFA4-4695-B8B1-0ECFDFB4C78A}"/>
    <cellStyle name="Currency 3 3 2 2 2 2 2 4 3" xfId="22863" xr:uid="{EC1DA329-779F-40B7-A70C-30996A075B64}"/>
    <cellStyle name="Currency 3 3 2 2 2 2 2 5" xfId="7944" xr:uid="{F8BBDD7F-B71C-45D9-8EFB-F6660763771E}"/>
    <cellStyle name="Currency 3 3 2 2 2 2 2 5 2" xfId="21995" xr:uid="{A3235BFC-71C6-40FC-918F-D7813BA2540B}"/>
    <cellStyle name="Currency 3 3 2 2 2 2 2 6" xfId="11416" xr:uid="{D614E515-45A4-4954-802E-5A7554F55E86}"/>
    <cellStyle name="Currency 3 3 2 2 2 2 2 6 2" xfId="25467" xr:uid="{758273EF-2CD8-4ACB-926C-9292705E1266}"/>
    <cellStyle name="Currency 3 3 2 2 2 2 2 7" xfId="19391" xr:uid="{167E9561-D51B-4237-B60A-27C5F5C40524}"/>
    <cellStyle name="Currency 3 3 2 2 2 2 3" xfId="5774" xr:uid="{2EDAF952-EE76-4D03-9289-57C5408013E5}"/>
    <cellStyle name="Currency 3 3 2 2 2 2 3 2" xfId="9246" xr:uid="{7335F2DC-AD82-4017-AA4B-F301A91F8837}"/>
    <cellStyle name="Currency 3 3 2 2 2 2 3 2 2" xfId="23297" xr:uid="{1826C295-7870-4AC3-9C4F-898ACB99FF39}"/>
    <cellStyle name="Currency 3 3 2 2 2 2 3 3" xfId="11850" xr:uid="{D8011B36-E37E-4F8C-9D2A-54ECBE52347D}"/>
    <cellStyle name="Currency 3 3 2 2 2 2 3 3 2" xfId="25901" xr:uid="{07415731-B5E2-4670-9A56-EC261489E74C}"/>
    <cellStyle name="Currency 3 3 2 2 2 2 3 4" xfId="19825" xr:uid="{4F530B1A-89F1-4715-84E2-0734E98AD6C9}"/>
    <cellStyle name="Currency 3 3 2 2 2 2 4" xfId="6642" xr:uid="{1D961806-3D3B-4EEE-9654-AD227FFE1844}"/>
    <cellStyle name="Currency 3 3 2 2 2 2 4 2" xfId="10114" xr:uid="{FBDCD2EA-681F-40A5-91F1-38F6BF8932C3}"/>
    <cellStyle name="Currency 3 3 2 2 2 2 4 2 2" xfId="24165" xr:uid="{1469B02B-72A1-4209-983A-9852A9EAE913}"/>
    <cellStyle name="Currency 3 3 2 2 2 2 4 3" xfId="12718" xr:uid="{573BCA0B-FCCE-4DAA-BFCF-4A4E813659E7}"/>
    <cellStyle name="Currency 3 3 2 2 2 2 4 3 2" xfId="26769" xr:uid="{BC3467B2-8475-4347-A080-0E07DDA5CE71}"/>
    <cellStyle name="Currency 3 3 2 2 2 2 4 4" xfId="20693" xr:uid="{3CC34F98-B334-4676-B648-E3E18EEE93AA}"/>
    <cellStyle name="Currency 3 3 2 2 2 2 5" xfId="8378" xr:uid="{2B52ED28-EC8C-4B57-9B1B-48B66C306137}"/>
    <cellStyle name="Currency 3 3 2 2 2 2 5 2" xfId="13586" xr:uid="{F1A34560-7947-4EFC-82DC-9C96F9295836}"/>
    <cellStyle name="Currency 3 3 2 2 2 2 5 2 2" xfId="27637" xr:uid="{243F272A-2FA0-4200-8BE2-53202910A654}"/>
    <cellStyle name="Currency 3 3 2 2 2 2 5 3" xfId="22429" xr:uid="{01418F62-443F-4253-9EE0-99B850026265}"/>
    <cellStyle name="Currency 3 3 2 2 2 2 6" xfId="7510" xr:uid="{BD88567A-A7C3-43B9-B79C-3D528FF3EB57}"/>
    <cellStyle name="Currency 3 3 2 2 2 2 6 2" xfId="21561" xr:uid="{17FF6F9D-F39C-4095-BB80-2218E0C3FE4E}"/>
    <cellStyle name="Currency 3 3 2 2 2 2 7" xfId="10982" xr:uid="{E88A138C-3A07-4BE7-ADB6-21389F10A597}"/>
    <cellStyle name="Currency 3 3 2 2 2 2 7 2" xfId="25033" xr:uid="{0B73FCEC-2FF7-4050-8AFE-6358FFF093BB}"/>
    <cellStyle name="Currency 3 3 2 2 2 2 8" xfId="18081" xr:uid="{4DF8BFC8-86D3-4A8D-B1E2-DA4DC4520EF5}"/>
    <cellStyle name="Currency 3 3 2 2 2 3" xfId="5150" xr:uid="{F2A1BEEE-F2BE-4752-9423-D0EDF255E893}"/>
    <cellStyle name="Currency 3 3 2 2 2 3 2" xfId="6018" xr:uid="{4CB124BE-62A6-44C8-A18E-FB7243B694C2}"/>
    <cellStyle name="Currency 3 3 2 2 2 3 2 2" xfId="9490" xr:uid="{CCC61A3B-3907-4EB3-B379-CCDCC5B3C71C}"/>
    <cellStyle name="Currency 3 3 2 2 2 3 2 2 2" xfId="23541" xr:uid="{463CD352-BF33-4BD7-A433-B1FC5A36059F}"/>
    <cellStyle name="Currency 3 3 2 2 2 3 2 3" xfId="12094" xr:uid="{3DE206D9-C4BF-48BF-9D24-843C5F4F4690}"/>
    <cellStyle name="Currency 3 3 2 2 2 3 2 3 2" xfId="26145" xr:uid="{BE382D98-6F10-4299-827E-D6BD79B59E80}"/>
    <cellStyle name="Currency 3 3 2 2 2 3 2 4" xfId="20069" xr:uid="{E0EE3AD4-4C42-4CD4-BCF5-9716BAC7915B}"/>
    <cellStyle name="Currency 3 3 2 2 2 3 3" xfId="6886" xr:uid="{BBA6D5C8-188B-41A7-9F9B-A92F5DE21F34}"/>
    <cellStyle name="Currency 3 3 2 2 2 3 3 2" xfId="10358" xr:uid="{CCBB765C-47F9-4C60-9065-8BEBEBBD58B9}"/>
    <cellStyle name="Currency 3 3 2 2 2 3 3 2 2" xfId="24409" xr:uid="{E0BF0031-F0ED-49E5-A104-1ABDEA31D060}"/>
    <cellStyle name="Currency 3 3 2 2 2 3 3 3" xfId="12962" xr:uid="{9B6B48A7-9D4F-49DF-B43C-E9C39A1E2F24}"/>
    <cellStyle name="Currency 3 3 2 2 2 3 3 3 2" xfId="27013" xr:uid="{5BDB0842-5958-485F-9E33-BF9755C9FF40}"/>
    <cellStyle name="Currency 3 3 2 2 2 3 3 4" xfId="20937" xr:uid="{72EB309F-5B43-48DA-9B93-8177F306E324}"/>
    <cellStyle name="Currency 3 3 2 2 2 3 4" xfId="8622" xr:uid="{D03F2DE3-F85F-4A15-9152-13768316CBF4}"/>
    <cellStyle name="Currency 3 3 2 2 2 3 4 2" xfId="13830" xr:uid="{5A872C59-17E1-43FD-8194-8B1DE0D10699}"/>
    <cellStyle name="Currency 3 3 2 2 2 3 4 2 2" xfId="27881" xr:uid="{905E3DEC-2DB5-4D5D-BC0C-FCDB7199792F}"/>
    <cellStyle name="Currency 3 3 2 2 2 3 4 3" xfId="22673" xr:uid="{4319F6DE-4578-456E-B74A-DB38E622887B}"/>
    <cellStyle name="Currency 3 3 2 2 2 3 5" xfId="7754" xr:uid="{C942C654-5E8F-4DDD-A2E5-DB7765732615}"/>
    <cellStyle name="Currency 3 3 2 2 2 3 5 2" xfId="21805" xr:uid="{C6E83E2C-D7F0-4C9B-89FB-C9F3C87FC24D}"/>
    <cellStyle name="Currency 3 3 2 2 2 3 6" xfId="11226" xr:uid="{52AE340C-C0A2-41AD-9E53-6432F0FD369E}"/>
    <cellStyle name="Currency 3 3 2 2 2 3 6 2" xfId="25277" xr:uid="{8340BD74-BDC1-4999-8353-D806DB691701}"/>
    <cellStyle name="Currency 3 3 2 2 2 3 7" xfId="19201" xr:uid="{560C4237-219D-4539-949C-841EA397F4EB}"/>
    <cellStyle name="Currency 3 3 2 2 2 4" xfId="5584" xr:uid="{858AF597-229A-41D7-84FB-CC57A19BB161}"/>
    <cellStyle name="Currency 3 3 2 2 2 4 2" xfId="9056" xr:uid="{319BBB31-C933-4813-B9CA-EE4359701F52}"/>
    <cellStyle name="Currency 3 3 2 2 2 4 2 2" xfId="23107" xr:uid="{80860AFD-D20C-4CD6-885B-DA813DBFEA21}"/>
    <cellStyle name="Currency 3 3 2 2 2 4 3" xfId="11660" xr:uid="{8846BBE5-8924-48C2-9F69-D8E61CBAC326}"/>
    <cellStyle name="Currency 3 3 2 2 2 4 3 2" xfId="25711" xr:uid="{BEF35B01-1A0F-4C79-8969-EAFA8948F97C}"/>
    <cellStyle name="Currency 3 3 2 2 2 4 4" xfId="19635" xr:uid="{4A88A43A-D15E-4F6D-84FD-2A221F5C287B}"/>
    <cellStyle name="Currency 3 3 2 2 2 5" xfId="6452" xr:uid="{C7FFFDED-3DBE-4490-ABDF-A23FC71C53B8}"/>
    <cellStyle name="Currency 3 3 2 2 2 5 2" xfId="9924" xr:uid="{0EDC22FF-CC2D-4C68-889C-DEE85A47A8E9}"/>
    <cellStyle name="Currency 3 3 2 2 2 5 2 2" xfId="23975" xr:uid="{96F75957-174D-43AF-931C-3E08E67292DA}"/>
    <cellStyle name="Currency 3 3 2 2 2 5 3" xfId="12528" xr:uid="{71C4A8FD-3CCC-4122-A5AA-C1D4995A8B36}"/>
    <cellStyle name="Currency 3 3 2 2 2 5 3 2" xfId="26579" xr:uid="{3A2D43E0-2B9F-4BBA-A5E4-E08DECA2968F}"/>
    <cellStyle name="Currency 3 3 2 2 2 5 4" xfId="20503" xr:uid="{A58A9337-E703-4A59-A93C-9E01EA6340F8}"/>
    <cellStyle name="Currency 3 3 2 2 2 6" xfId="8188" xr:uid="{984B25A4-4EF5-4E09-A0C0-2DD5B965422A}"/>
    <cellStyle name="Currency 3 3 2 2 2 6 2" xfId="13396" xr:uid="{10C96C60-14F8-4D03-A0E4-52AE644A0DBE}"/>
    <cellStyle name="Currency 3 3 2 2 2 6 2 2" xfId="27447" xr:uid="{81006AE2-14FA-43BD-9C23-297377C7EF73}"/>
    <cellStyle name="Currency 3 3 2 2 2 6 3" xfId="22239" xr:uid="{27CE72C6-3862-4C60-999D-53D7BA3C35DB}"/>
    <cellStyle name="Currency 3 3 2 2 2 7" xfId="7320" xr:uid="{B319F12E-CC8B-41EA-A4D7-DB3175F2B31A}"/>
    <cellStyle name="Currency 3 3 2 2 2 7 2" xfId="21371" xr:uid="{B0F1E448-EA65-43DA-8279-C07455A5B9C3}"/>
    <cellStyle name="Currency 3 3 2 2 2 8" xfId="10792" xr:uid="{C57D8DD7-0CAA-4A7A-8D51-C9841F061E93}"/>
    <cellStyle name="Currency 3 3 2 2 2 8 2" xfId="24843" xr:uid="{8C54A8E9-9A24-4A2B-BFDF-5C7D684BD8A1}"/>
    <cellStyle name="Currency 3 3 2 2 2 9" xfId="15889" xr:uid="{66A77BEE-127F-4552-9B24-0208A277F0F1}"/>
    <cellStyle name="Currency 3 3 2 2 3" xfId="2931" xr:uid="{CF3F0C86-90BF-402D-95AA-428FD56498D9}"/>
    <cellStyle name="Currency 3 3 2 2 3 2" xfId="5244" xr:uid="{6955B0D6-3803-4967-ACA2-98265D484AF0}"/>
    <cellStyle name="Currency 3 3 2 2 3 2 2" xfId="6112" xr:uid="{0F21A590-BB27-4843-BA32-48DD2F841431}"/>
    <cellStyle name="Currency 3 3 2 2 3 2 2 2" xfId="9584" xr:uid="{A95BC2E2-A0C0-4379-9CF8-EED57361425D}"/>
    <cellStyle name="Currency 3 3 2 2 3 2 2 2 2" xfId="23635" xr:uid="{9CCFEB56-9C12-474B-9F32-252687E07C94}"/>
    <cellStyle name="Currency 3 3 2 2 3 2 2 3" xfId="12188" xr:uid="{FB9D51C5-BB46-4A78-9414-C7B4BDD19325}"/>
    <cellStyle name="Currency 3 3 2 2 3 2 2 3 2" xfId="26239" xr:uid="{0B29EEBE-1A28-4C7C-90AA-51ED5DF5974A}"/>
    <cellStyle name="Currency 3 3 2 2 3 2 2 4" xfId="20163" xr:uid="{2A6415F3-490D-41CF-991C-998E89F824BB}"/>
    <cellStyle name="Currency 3 3 2 2 3 2 3" xfId="6980" xr:uid="{4C1B4B27-F94A-4AB7-8E30-87158352757D}"/>
    <cellStyle name="Currency 3 3 2 2 3 2 3 2" xfId="10452" xr:uid="{5A6EB19E-767B-4B78-AE8E-04A56F0E4AC4}"/>
    <cellStyle name="Currency 3 3 2 2 3 2 3 2 2" xfId="24503" xr:uid="{439793FA-2C0F-4FA8-BDDC-5F2F90BB7F2E}"/>
    <cellStyle name="Currency 3 3 2 2 3 2 3 3" xfId="13056" xr:uid="{F6C31458-38FA-4260-A5D9-88D3EC1B9E9D}"/>
    <cellStyle name="Currency 3 3 2 2 3 2 3 3 2" xfId="27107" xr:uid="{B50DF5B3-1C83-487B-89D8-CE838570B8C1}"/>
    <cellStyle name="Currency 3 3 2 2 3 2 3 4" xfId="21031" xr:uid="{6144F40B-554B-49B4-B323-06EB92AD4E66}"/>
    <cellStyle name="Currency 3 3 2 2 3 2 4" xfId="8716" xr:uid="{511218EA-ACEB-4C1A-A2B3-EA7BD2DD8DAB}"/>
    <cellStyle name="Currency 3 3 2 2 3 2 4 2" xfId="13924" xr:uid="{6BDD0AC1-66F6-4A43-A3BB-98E2A595E78E}"/>
    <cellStyle name="Currency 3 3 2 2 3 2 4 2 2" xfId="27975" xr:uid="{CA818CD4-F654-45B3-9511-B5B72C7D2318}"/>
    <cellStyle name="Currency 3 3 2 2 3 2 4 3" xfId="22767" xr:uid="{96A7E122-0683-4057-BC4E-3C8623B0E91D}"/>
    <cellStyle name="Currency 3 3 2 2 3 2 5" xfId="7848" xr:uid="{2848ABF3-A178-4D9E-A503-C59812E1FD76}"/>
    <cellStyle name="Currency 3 3 2 2 3 2 5 2" xfId="21899" xr:uid="{44FFAFD3-9E20-4DB0-A3B2-B6CCB08DE2EB}"/>
    <cellStyle name="Currency 3 3 2 2 3 2 6" xfId="11320" xr:uid="{C243ED47-D8A6-4528-9D36-DD694F943CCD}"/>
    <cellStyle name="Currency 3 3 2 2 3 2 6 2" xfId="25371" xr:uid="{06A6FB39-7565-42B2-BAEF-15692AE7AADD}"/>
    <cellStyle name="Currency 3 3 2 2 3 2 7" xfId="19295" xr:uid="{04EE3F5B-C764-492C-9FCC-BA1629D6CE2C}"/>
    <cellStyle name="Currency 3 3 2 2 3 3" xfId="5678" xr:uid="{8EC356A7-132A-4883-ABD4-46B0DBAF9D69}"/>
    <cellStyle name="Currency 3 3 2 2 3 3 2" xfId="9150" xr:uid="{DAFE0547-A6D8-4AA3-974D-64FCDC08C830}"/>
    <cellStyle name="Currency 3 3 2 2 3 3 2 2" xfId="23201" xr:uid="{D1DA48F6-72D1-46F7-991F-4C9385BD11C7}"/>
    <cellStyle name="Currency 3 3 2 2 3 3 3" xfId="11754" xr:uid="{C9AB3949-81D4-4D6F-8199-193E5CBC7338}"/>
    <cellStyle name="Currency 3 3 2 2 3 3 3 2" xfId="25805" xr:uid="{1CFCFA5C-2BC2-48A1-AD40-06DCDB7CD728}"/>
    <cellStyle name="Currency 3 3 2 2 3 3 4" xfId="19729" xr:uid="{D4008BB4-AACD-40FD-9BE6-E674398C574B}"/>
    <cellStyle name="Currency 3 3 2 2 3 4" xfId="6546" xr:uid="{E5C0A8A7-70DE-4DDD-92FA-9501968FE479}"/>
    <cellStyle name="Currency 3 3 2 2 3 4 2" xfId="10018" xr:uid="{D7553B15-2481-44BF-A54A-0C57A54294D7}"/>
    <cellStyle name="Currency 3 3 2 2 3 4 2 2" xfId="24069" xr:uid="{462572BA-04AE-4689-803D-215DF7608DCF}"/>
    <cellStyle name="Currency 3 3 2 2 3 4 3" xfId="12622" xr:uid="{A5537DC4-B03A-4416-AA16-7DFDE74ACC49}"/>
    <cellStyle name="Currency 3 3 2 2 3 4 3 2" xfId="26673" xr:uid="{3E2275B5-A8AE-4929-9FC1-4600797C2904}"/>
    <cellStyle name="Currency 3 3 2 2 3 4 4" xfId="20597" xr:uid="{866D68DD-C399-4CDF-ABD0-458E7C94A1E2}"/>
    <cellStyle name="Currency 3 3 2 2 3 5" xfId="8282" xr:uid="{6A489820-0332-4E13-B492-58B56ECC31B3}"/>
    <cellStyle name="Currency 3 3 2 2 3 5 2" xfId="13490" xr:uid="{DF0BC64C-D732-414D-BF70-AC04E1856CCB}"/>
    <cellStyle name="Currency 3 3 2 2 3 5 2 2" xfId="27541" xr:uid="{A68FDC52-339B-43A2-8EA6-92F49DE3918A}"/>
    <cellStyle name="Currency 3 3 2 2 3 5 3" xfId="22333" xr:uid="{DF916F25-3C93-425B-9176-52B5A55FCFF7}"/>
    <cellStyle name="Currency 3 3 2 2 3 6" xfId="7414" xr:uid="{DEDEBDBA-60C4-4273-B90C-7EA45D701F41}"/>
    <cellStyle name="Currency 3 3 2 2 3 6 2" xfId="21465" xr:uid="{997D29A7-B107-4AC9-915F-47115540FA4D}"/>
    <cellStyle name="Currency 3 3 2 2 3 7" xfId="10886" xr:uid="{34008C0A-C1C9-4CDD-A97F-1D857A2F0640}"/>
    <cellStyle name="Currency 3 3 2 2 3 7 2" xfId="24937" xr:uid="{3B772F2F-74E4-4E7F-AAFF-936A73217B05}"/>
    <cellStyle name="Currency 3 3 2 2 3 8" xfId="16983" xr:uid="{D95D4690-1023-4168-B6A1-C3593106FC60}"/>
    <cellStyle name="Currency 3 3 2 2 4" xfId="5052" xr:uid="{2BC2903C-CBA7-4767-802B-C82365CDFF64}"/>
    <cellStyle name="Currency 3 3 2 2 4 2" xfId="5920" xr:uid="{86AE7284-6F47-48BD-B0C2-05E06DD014C2}"/>
    <cellStyle name="Currency 3 3 2 2 4 2 2" xfId="9392" xr:uid="{4AD38B60-A58A-4967-8EFA-88C58116F142}"/>
    <cellStyle name="Currency 3 3 2 2 4 2 2 2" xfId="23443" xr:uid="{3337F222-A575-460D-AD43-0BF3EEA2194A}"/>
    <cellStyle name="Currency 3 3 2 2 4 2 3" xfId="11996" xr:uid="{39686326-3C68-4911-A9CF-945D29C177FE}"/>
    <cellStyle name="Currency 3 3 2 2 4 2 3 2" xfId="26047" xr:uid="{020960E1-C037-4EBF-ABFB-3823E8D421D2}"/>
    <cellStyle name="Currency 3 3 2 2 4 2 4" xfId="19971" xr:uid="{9157AEEF-82BB-4A10-BDA1-976FE3DFD457}"/>
    <cellStyle name="Currency 3 3 2 2 4 3" xfId="6788" xr:uid="{190BB2F6-96C1-473D-A718-6317C23E02EA}"/>
    <cellStyle name="Currency 3 3 2 2 4 3 2" xfId="10260" xr:uid="{B47545EE-1DD2-4CC8-B639-A9AF2535AC54}"/>
    <cellStyle name="Currency 3 3 2 2 4 3 2 2" xfId="24311" xr:uid="{7074AC8B-2256-49A0-9892-5743FC5052F0}"/>
    <cellStyle name="Currency 3 3 2 2 4 3 3" xfId="12864" xr:uid="{DE16067A-61F2-4F36-8851-952F42E4BC01}"/>
    <cellStyle name="Currency 3 3 2 2 4 3 3 2" xfId="26915" xr:uid="{9BF1D71E-D4B0-405E-A7DF-7743CC05C409}"/>
    <cellStyle name="Currency 3 3 2 2 4 3 4" xfId="20839" xr:uid="{82E0120B-D4BA-4804-BFEC-7354569750F3}"/>
    <cellStyle name="Currency 3 3 2 2 4 4" xfId="8524" xr:uid="{F3332575-3194-4AC4-BE57-E07401BDEEA5}"/>
    <cellStyle name="Currency 3 3 2 2 4 4 2" xfId="13732" xr:uid="{56E89A6E-ECA3-42E8-8573-45C36CAAE0A8}"/>
    <cellStyle name="Currency 3 3 2 2 4 4 2 2" xfId="27783" xr:uid="{EE95C26D-608D-46F8-B091-F50D936A604B}"/>
    <cellStyle name="Currency 3 3 2 2 4 4 3" xfId="22575" xr:uid="{35C5A1D1-7146-48B9-A783-7D4F18ABE39A}"/>
    <cellStyle name="Currency 3 3 2 2 4 5" xfId="7656" xr:uid="{DE98A862-C608-4B1A-B19A-E6030DB15E78}"/>
    <cellStyle name="Currency 3 3 2 2 4 5 2" xfId="21707" xr:uid="{E4771BDF-E225-46C9-8EED-90C9B91DB287}"/>
    <cellStyle name="Currency 3 3 2 2 4 6" xfId="11128" xr:uid="{35E7F0B5-352A-4D2E-8681-D7A9A6466F10}"/>
    <cellStyle name="Currency 3 3 2 2 4 6 2" xfId="25179" xr:uid="{BE94CFA9-090A-44E5-8CD1-F1D0526F2A51}"/>
    <cellStyle name="Currency 3 3 2 2 4 7" xfId="19103" xr:uid="{0A3871A0-3CC9-49A3-9247-7549FC66F3E5}"/>
    <cellStyle name="Currency 3 3 2 2 5" xfId="5486" xr:uid="{E5C9FFE7-912B-4542-A3E2-39C3D8D36A05}"/>
    <cellStyle name="Currency 3 3 2 2 5 2" xfId="8958" xr:uid="{03F09544-0021-4F38-A825-A111B0B35318}"/>
    <cellStyle name="Currency 3 3 2 2 5 2 2" xfId="23009" xr:uid="{5EE752EF-F469-45B5-9D3C-D794F1E9F120}"/>
    <cellStyle name="Currency 3 3 2 2 5 3" xfId="11562" xr:uid="{4906EA8D-BDB6-4A94-B842-AFBECB85AEB2}"/>
    <cellStyle name="Currency 3 3 2 2 5 3 2" xfId="25613" xr:uid="{269CFFDF-F719-495A-BAE8-492B427AC4CD}"/>
    <cellStyle name="Currency 3 3 2 2 5 4" xfId="19537" xr:uid="{7F2E2ACD-B1D0-425F-A475-18595D31A590}"/>
    <cellStyle name="Currency 3 3 2 2 6" xfId="6354" xr:uid="{5C384252-14E9-43F9-9C72-BC918B676653}"/>
    <cellStyle name="Currency 3 3 2 2 6 2" xfId="9826" xr:uid="{484F9E68-0652-4CD4-8E39-0EC696E68526}"/>
    <cellStyle name="Currency 3 3 2 2 6 2 2" xfId="23877" xr:uid="{CA756B3E-8AAD-4399-96CD-F8F1536C2BE7}"/>
    <cellStyle name="Currency 3 3 2 2 6 3" xfId="12430" xr:uid="{A6C703E7-5F05-41FD-93E1-AC3856AA48DD}"/>
    <cellStyle name="Currency 3 3 2 2 6 3 2" xfId="26481" xr:uid="{C8592111-1A2A-4E1C-807E-C8924EBAAA10}"/>
    <cellStyle name="Currency 3 3 2 2 6 4" xfId="20405" xr:uid="{49C4029C-A36F-4414-8AC4-7F1BC2031956}"/>
    <cellStyle name="Currency 3 3 2 2 7" xfId="8090" xr:uid="{7A79D211-00C7-4A04-8925-FD2222B65F50}"/>
    <cellStyle name="Currency 3 3 2 2 7 2" xfId="13298" xr:uid="{4E7874EE-094E-4DA1-9D84-06248A6DD6F1}"/>
    <cellStyle name="Currency 3 3 2 2 7 2 2" xfId="27349" xr:uid="{CC31728C-1C83-45F8-AE07-E89E0F85F4EC}"/>
    <cellStyle name="Currency 3 3 2 2 7 3" xfId="22141" xr:uid="{62F27B6B-1253-4F54-BB63-DC26BF6A32DD}"/>
    <cellStyle name="Currency 3 3 2 2 8" xfId="7222" xr:uid="{41F06464-E95C-46D6-8F9A-1F242B2C9F47}"/>
    <cellStyle name="Currency 3 3 2 2 8 2" xfId="21273" xr:uid="{BF04294D-C50A-4300-BFEA-CD62239C5C92}"/>
    <cellStyle name="Currency 3 3 2 2 9" xfId="10694" xr:uid="{2AA3B122-79DC-4225-BF15-1FEF3981830D}"/>
    <cellStyle name="Currency 3 3 2 2 9 2" xfId="24745" xr:uid="{D0F458CC-20F3-4712-A082-6C87D053E1CF}"/>
    <cellStyle name="Currency 3 3 2 3" xfId="1086" xr:uid="{661875A4-3773-40AC-81D3-4EA101BDB118}"/>
    <cellStyle name="Currency 3 3 2 3 10" xfId="15136" xr:uid="{B89A733A-D025-44D1-B2DF-84E6E898FE2D}"/>
    <cellStyle name="Currency 3 3 2 3 2" xfId="2185" xr:uid="{CF6C5F5D-FF69-417C-A870-1FBDF9922A0E}"/>
    <cellStyle name="Currency 3 3 2 3 2 2" xfId="4374" xr:uid="{B06DA459-04BB-4F9B-AE8D-A6E3EE83EE76}"/>
    <cellStyle name="Currency 3 3 2 3 2 2 2" xfId="5369" xr:uid="{BFB03DC4-2F72-432A-879A-6F4B585C0E43}"/>
    <cellStyle name="Currency 3 3 2 3 2 2 2 2" xfId="6237" xr:uid="{1FC5B15A-6075-4390-AD28-ACC1AEDC742A}"/>
    <cellStyle name="Currency 3 3 2 3 2 2 2 2 2" xfId="9709" xr:uid="{A30654A7-54EA-46E6-8F9C-8728BFA55CB0}"/>
    <cellStyle name="Currency 3 3 2 3 2 2 2 2 2 2" xfId="23760" xr:uid="{0D11A515-9FD2-4D95-80E1-B72A04DC0673}"/>
    <cellStyle name="Currency 3 3 2 3 2 2 2 2 3" xfId="12313" xr:uid="{D220B89C-42B0-45C1-9FB0-451CC771DFF9}"/>
    <cellStyle name="Currency 3 3 2 3 2 2 2 2 3 2" xfId="26364" xr:uid="{B4127BE9-315F-4780-8942-49AAB57D6527}"/>
    <cellStyle name="Currency 3 3 2 3 2 2 2 2 4" xfId="20288" xr:uid="{C0340970-DCB0-4198-B23E-A72D8B28F5AC}"/>
    <cellStyle name="Currency 3 3 2 3 2 2 2 3" xfId="7105" xr:uid="{0FF37EAF-CAED-49DB-B9EE-EC0089D9CC7B}"/>
    <cellStyle name="Currency 3 3 2 3 2 2 2 3 2" xfId="10577" xr:uid="{98EAF06C-A939-45C6-B8B4-DA042D274BBE}"/>
    <cellStyle name="Currency 3 3 2 3 2 2 2 3 2 2" xfId="24628" xr:uid="{322B7214-E744-4F22-95A8-7EAF1833FDF1}"/>
    <cellStyle name="Currency 3 3 2 3 2 2 2 3 3" xfId="13181" xr:uid="{263BA7C8-BE96-480B-ADFF-AD96CB300B93}"/>
    <cellStyle name="Currency 3 3 2 3 2 2 2 3 3 2" xfId="27232" xr:uid="{39A69D64-BCF5-46E3-9D69-8711B3C1E1C6}"/>
    <cellStyle name="Currency 3 3 2 3 2 2 2 3 4" xfId="21156" xr:uid="{D88DE8AC-7904-4A44-A528-8EC3F733F3EB}"/>
    <cellStyle name="Currency 3 3 2 3 2 2 2 4" xfId="8841" xr:uid="{086643AE-9F73-4D46-B997-30599A419CC6}"/>
    <cellStyle name="Currency 3 3 2 3 2 2 2 4 2" xfId="14049" xr:uid="{6F5FD818-ABA9-4138-90EC-173BFD00A890}"/>
    <cellStyle name="Currency 3 3 2 3 2 2 2 4 2 2" xfId="28100" xr:uid="{D6A0FA76-58F9-4FF9-9704-B98A4C574891}"/>
    <cellStyle name="Currency 3 3 2 3 2 2 2 4 3" xfId="22892" xr:uid="{8D72FE85-B27D-4A5A-B571-D51C211FA2EF}"/>
    <cellStyle name="Currency 3 3 2 3 2 2 2 5" xfId="7973" xr:uid="{C61F5BCB-67B0-4E5F-BFE6-B6ED01E62D25}"/>
    <cellStyle name="Currency 3 3 2 3 2 2 2 5 2" xfId="22024" xr:uid="{E7A1C3B9-CAE5-481B-8CD3-8AEC5EB2A7DC}"/>
    <cellStyle name="Currency 3 3 2 3 2 2 2 6" xfId="11445" xr:uid="{CB3D8FB4-62EA-450E-8667-83E3CE37C7B1}"/>
    <cellStyle name="Currency 3 3 2 3 2 2 2 6 2" xfId="25496" xr:uid="{10A429DB-9C5C-4183-9A77-5917DB8A380E}"/>
    <cellStyle name="Currency 3 3 2 3 2 2 2 7" xfId="19420" xr:uid="{A9243199-59E0-4D69-9B92-0951A37A228C}"/>
    <cellStyle name="Currency 3 3 2 3 2 2 3" xfId="5803" xr:uid="{89CD0E9A-5EB2-489F-9600-1752EF8ECC22}"/>
    <cellStyle name="Currency 3 3 2 3 2 2 3 2" xfId="9275" xr:uid="{9ADE7A71-E949-4532-BC91-D32F38B31649}"/>
    <cellStyle name="Currency 3 3 2 3 2 2 3 2 2" xfId="23326" xr:uid="{2FB8DE47-C3E8-435A-A892-034EF76E5D03}"/>
    <cellStyle name="Currency 3 3 2 3 2 2 3 3" xfId="11879" xr:uid="{849084BF-4B3C-49D7-A49A-0B7438910367}"/>
    <cellStyle name="Currency 3 3 2 3 2 2 3 3 2" xfId="25930" xr:uid="{92976503-710B-4982-9D41-E0C249DB96B5}"/>
    <cellStyle name="Currency 3 3 2 3 2 2 3 4" xfId="19854" xr:uid="{DB0131C9-A03B-436B-84C1-49D6F1410ECC}"/>
    <cellStyle name="Currency 3 3 2 3 2 2 4" xfId="6671" xr:uid="{BD741799-531D-4AD7-A72F-B12A61145DD7}"/>
    <cellStyle name="Currency 3 3 2 3 2 2 4 2" xfId="10143" xr:uid="{759C2F4E-0A4F-478E-9D52-7208C5DF0C31}"/>
    <cellStyle name="Currency 3 3 2 3 2 2 4 2 2" xfId="24194" xr:uid="{BD62D75F-7F4B-4781-9F8B-901EB44B708A}"/>
    <cellStyle name="Currency 3 3 2 3 2 2 4 3" xfId="12747" xr:uid="{B5E30800-AE93-46F5-AE90-ECBB1563FB88}"/>
    <cellStyle name="Currency 3 3 2 3 2 2 4 3 2" xfId="26798" xr:uid="{81C5AB19-A30B-4934-8D38-18C94C2DC043}"/>
    <cellStyle name="Currency 3 3 2 3 2 2 4 4" xfId="20722" xr:uid="{190B4CC7-50EB-424D-8171-E40422CBA752}"/>
    <cellStyle name="Currency 3 3 2 3 2 2 5" xfId="8407" xr:uid="{7FDD61C7-DE68-4CA3-A2E4-180047C29590}"/>
    <cellStyle name="Currency 3 3 2 3 2 2 5 2" xfId="13615" xr:uid="{4314DEF5-88AF-4A5B-9F36-FC07059FC9F3}"/>
    <cellStyle name="Currency 3 3 2 3 2 2 5 2 2" xfId="27666" xr:uid="{4B9C86BE-A204-4A67-9D87-4B9135C1F72D}"/>
    <cellStyle name="Currency 3 3 2 3 2 2 5 3" xfId="22458" xr:uid="{1C182F90-019D-4FEE-97F2-5C93A393A920}"/>
    <cellStyle name="Currency 3 3 2 3 2 2 6" xfId="7539" xr:uid="{8773A18B-A924-4423-9C84-C9A42444CAA7}"/>
    <cellStyle name="Currency 3 3 2 3 2 2 6 2" xfId="21590" xr:uid="{12F389B0-7DC7-46A9-9FD5-EF2F0B8BCEF2}"/>
    <cellStyle name="Currency 3 3 2 3 2 2 7" xfId="11011" xr:uid="{29566495-AB50-4FEF-BA7B-16D5C38E4930}"/>
    <cellStyle name="Currency 3 3 2 3 2 2 7 2" xfId="25062" xr:uid="{F3C7D4C5-077F-4B8B-87FC-0FCFDF07C523}"/>
    <cellStyle name="Currency 3 3 2 3 2 2 8" xfId="18424" xr:uid="{D2A4A30E-2B0E-4B3D-A9DB-FC286A9956F3}"/>
    <cellStyle name="Currency 3 3 2 3 2 3" xfId="5179" xr:uid="{701CF980-434F-4D96-8513-BC276DDEC802}"/>
    <cellStyle name="Currency 3 3 2 3 2 3 2" xfId="6047" xr:uid="{1DAEA85B-3EAC-400E-9EC1-215B2FD08872}"/>
    <cellStyle name="Currency 3 3 2 3 2 3 2 2" xfId="9519" xr:uid="{9D1D66DE-F798-4E75-8430-011BC9557579}"/>
    <cellStyle name="Currency 3 3 2 3 2 3 2 2 2" xfId="23570" xr:uid="{19B66389-3702-4C59-9FFA-E80794EBFFDF}"/>
    <cellStyle name="Currency 3 3 2 3 2 3 2 3" xfId="12123" xr:uid="{83F4A68B-1241-4F09-8B4F-B16293389F67}"/>
    <cellStyle name="Currency 3 3 2 3 2 3 2 3 2" xfId="26174" xr:uid="{543DAB6A-B73A-4A04-81B9-28720A0A54E3}"/>
    <cellStyle name="Currency 3 3 2 3 2 3 2 4" xfId="20098" xr:uid="{3DFFA206-FB58-4A53-BE4F-DEA949EF6F4C}"/>
    <cellStyle name="Currency 3 3 2 3 2 3 3" xfId="6915" xr:uid="{2C3E2D3B-C053-4C1F-BC82-E57A0A5ED03E}"/>
    <cellStyle name="Currency 3 3 2 3 2 3 3 2" xfId="10387" xr:uid="{AD88CA6D-4C90-47A2-97C2-B9F669C898B5}"/>
    <cellStyle name="Currency 3 3 2 3 2 3 3 2 2" xfId="24438" xr:uid="{4FCD01F9-58EA-4054-A2C3-5DF9A8E50CDE}"/>
    <cellStyle name="Currency 3 3 2 3 2 3 3 3" xfId="12991" xr:uid="{CDC89AC0-4696-4768-9F77-F81EB0F7039B}"/>
    <cellStyle name="Currency 3 3 2 3 2 3 3 3 2" xfId="27042" xr:uid="{79E5EBC2-7DE2-4335-8CEE-83885D9B8E63}"/>
    <cellStyle name="Currency 3 3 2 3 2 3 3 4" xfId="20966" xr:uid="{15C32C0F-66E6-4903-A9EE-B9A6FFAF30D8}"/>
    <cellStyle name="Currency 3 3 2 3 2 3 4" xfId="8651" xr:uid="{057036FA-3E7A-42EE-9085-B492DB4DC383}"/>
    <cellStyle name="Currency 3 3 2 3 2 3 4 2" xfId="13859" xr:uid="{D98EF234-BDD2-4746-9C35-C6BB4B40C071}"/>
    <cellStyle name="Currency 3 3 2 3 2 3 4 2 2" xfId="27910" xr:uid="{7BE48053-801D-4EE6-9672-03F9BB0A6541}"/>
    <cellStyle name="Currency 3 3 2 3 2 3 4 3" xfId="22702" xr:uid="{48D68D12-8F27-4348-8671-A30429208D1F}"/>
    <cellStyle name="Currency 3 3 2 3 2 3 5" xfId="7783" xr:uid="{496928F6-6FF1-4BC6-973A-AAC1697D1CF0}"/>
    <cellStyle name="Currency 3 3 2 3 2 3 5 2" xfId="21834" xr:uid="{C34553B1-C0D3-49AE-816C-B1F937A4761C}"/>
    <cellStyle name="Currency 3 3 2 3 2 3 6" xfId="11255" xr:uid="{BA471489-8212-4CE2-8DAF-2A7B1BFF2349}"/>
    <cellStyle name="Currency 3 3 2 3 2 3 6 2" xfId="25306" xr:uid="{1792953C-6489-4DCE-A45D-9AD4967BF212}"/>
    <cellStyle name="Currency 3 3 2 3 2 3 7" xfId="19230" xr:uid="{BE442705-36E4-44E9-8454-44608A4E7D41}"/>
    <cellStyle name="Currency 3 3 2 3 2 4" xfId="5613" xr:uid="{4E40D47E-E414-4B5C-BFB4-92B549B0D81D}"/>
    <cellStyle name="Currency 3 3 2 3 2 4 2" xfId="9085" xr:uid="{A4292DCF-CD04-420A-8464-3D0BF44AF753}"/>
    <cellStyle name="Currency 3 3 2 3 2 4 2 2" xfId="23136" xr:uid="{017240AC-D880-44B9-8CD4-CA32549AAA05}"/>
    <cellStyle name="Currency 3 3 2 3 2 4 3" xfId="11689" xr:uid="{FA4D3DD9-A8AE-478D-891C-64D7301C1DF6}"/>
    <cellStyle name="Currency 3 3 2 3 2 4 3 2" xfId="25740" xr:uid="{49BD8EF0-B02B-4542-845F-32767786867C}"/>
    <cellStyle name="Currency 3 3 2 3 2 4 4" xfId="19664" xr:uid="{F7BF5354-A5E1-4FDA-95AD-0AD53F064FEB}"/>
    <cellStyle name="Currency 3 3 2 3 2 5" xfId="6481" xr:uid="{C43B9720-4959-41DE-A0EF-A3FB8BFFD1B3}"/>
    <cellStyle name="Currency 3 3 2 3 2 5 2" xfId="9953" xr:uid="{92F5FFAD-7C6E-4D92-AB89-EFEC47B80B76}"/>
    <cellStyle name="Currency 3 3 2 3 2 5 2 2" xfId="24004" xr:uid="{215C6CE5-0565-444D-BC24-5B805BC2E479}"/>
    <cellStyle name="Currency 3 3 2 3 2 5 3" xfId="12557" xr:uid="{B242D927-258C-4620-89FF-9A831D8EA9F9}"/>
    <cellStyle name="Currency 3 3 2 3 2 5 3 2" xfId="26608" xr:uid="{16880E75-0EAA-441F-9750-67393507CB9D}"/>
    <cellStyle name="Currency 3 3 2 3 2 5 4" xfId="20532" xr:uid="{BF41A81B-A94A-4181-9CCB-7310DEA691D8}"/>
    <cellStyle name="Currency 3 3 2 3 2 6" xfId="8217" xr:uid="{3D0BDC57-1EFC-4926-AFCA-83B806148E1B}"/>
    <cellStyle name="Currency 3 3 2 3 2 6 2" xfId="13425" xr:uid="{2CE4C726-93AE-42BD-ACD9-7DE346FB5C33}"/>
    <cellStyle name="Currency 3 3 2 3 2 6 2 2" xfId="27476" xr:uid="{4F46BCED-4BFB-4504-9420-9AD2D732ECE8}"/>
    <cellStyle name="Currency 3 3 2 3 2 6 3" xfId="22268" xr:uid="{2E029C2E-5D37-4327-821C-F8BF7CAD9C67}"/>
    <cellStyle name="Currency 3 3 2 3 2 7" xfId="7349" xr:uid="{963366BB-188A-4939-8E9C-BC4E0A3134F2}"/>
    <cellStyle name="Currency 3 3 2 3 2 7 2" xfId="21400" xr:uid="{33294A0C-47E6-4E5A-8583-8BD05CDA1517}"/>
    <cellStyle name="Currency 3 3 2 3 2 8" xfId="10821" xr:uid="{A9AB1ED8-3548-437A-BF6E-0F3CD72E09C1}"/>
    <cellStyle name="Currency 3 3 2 3 2 8 2" xfId="24872" xr:uid="{FF734D1F-4C40-4801-A232-82B585384293}"/>
    <cellStyle name="Currency 3 3 2 3 2 9" xfId="16234" xr:uid="{9B506AE6-4979-418D-84BE-357C5289643A}"/>
    <cellStyle name="Currency 3 3 2 3 3" xfId="3278" xr:uid="{5B80AE35-C35D-4E66-9903-E11F55D742FC}"/>
    <cellStyle name="Currency 3 3 2 3 3 2" xfId="5274" xr:uid="{EB688780-8844-459D-A0E2-DCFD819CCAF2}"/>
    <cellStyle name="Currency 3 3 2 3 3 2 2" xfId="6142" xr:uid="{ECFE785F-F104-4A0B-8C20-9ED05DE60FA9}"/>
    <cellStyle name="Currency 3 3 2 3 3 2 2 2" xfId="9614" xr:uid="{710C1AEB-4AB2-4A16-9D5F-2049020C8D77}"/>
    <cellStyle name="Currency 3 3 2 3 3 2 2 2 2" xfId="23665" xr:uid="{D8C3B76D-2CAC-4A68-9249-1CDFEFD38C3C}"/>
    <cellStyle name="Currency 3 3 2 3 3 2 2 3" xfId="12218" xr:uid="{D9A49780-DF55-4A42-B027-5C3DF0152C5A}"/>
    <cellStyle name="Currency 3 3 2 3 3 2 2 3 2" xfId="26269" xr:uid="{6A48795F-206D-4510-AB97-DD94FA51449F}"/>
    <cellStyle name="Currency 3 3 2 3 3 2 2 4" xfId="20193" xr:uid="{06A4DFB4-CEA5-4EA2-9E6B-77F1BCB751D1}"/>
    <cellStyle name="Currency 3 3 2 3 3 2 3" xfId="7010" xr:uid="{32504628-FA34-4F4A-9114-5A1EFE5276D3}"/>
    <cellStyle name="Currency 3 3 2 3 3 2 3 2" xfId="10482" xr:uid="{4BFD3CCB-C963-4A78-A535-5EE36A601710}"/>
    <cellStyle name="Currency 3 3 2 3 3 2 3 2 2" xfId="24533" xr:uid="{3E87D6F0-964E-4956-9583-0196C78C6E37}"/>
    <cellStyle name="Currency 3 3 2 3 3 2 3 3" xfId="13086" xr:uid="{15CE2CE0-2640-40F9-8401-6BFCD81164AD}"/>
    <cellStyle name="Currency 3 3 2 3 3 2 3 3 2" xfId="27137" xr:uid="{A317F390-11C3-4A37-95AC-279F8B36DAEC}"/>
    <cellStyle name="Currency 3 3 2 3 3 2 3 4" xfId="21061" xr:uid="{438DFB51-73C7-4D30-88BB-E68138C6043F}"/>
    <cellStyle name="Currency 3 3 2 3 3 2 4" xfId="8746" xr:uid="{B04BEB89-E5BE-4EBA-8A37-2930A02A57C6}"/>
    <cellStyle name="Currency 3 3 2 3 3 2 4 2" xfId="13954" xr:uid="{718F39D3-9FBA-4789-AE60-820D99CC851F}"/>
    <cellStyle name="Currency 3 3 2 3 3 2 4 2 2" xfId="28005" xr:uid="{05C444DB-047F-41F7-AF03-476F76031D97}"/>
    <cellStyle name="Currency 3 3 2 3 3 2 4 3" xfId="22797" xr:uid="{DB3754F2-8796-40EF-A9B2-FD9CA392F97C}"/>
    <cellStyle name="Currency 3 3 2 3 3 2 5" xfId="7878" xr:uid="{50E0907F-2831-4FB2-A942-4E4F78F62346}"/>
    <cellStyle name="Currency 3 3 2 3 3 2 5 2" xfId="21929" xr:uid="{80E75E1D-17A5-4BB8-9189-2631FA16E5D4}"/>
    <cellStyle name="Currency 3 3 2 3 3 2 6" xfId="11350" xr:uid="{E5B94C05-0AA3-4FF3-B56C-0368BD3A86D9}"/>
    <cellStyle name="Currency 3 3 2 3 3 2 6 2" xfId="25401" xr:uid="{FEB958DA-2662-498D-A2AB-40328B2BE6E5}"/>
    <cellStyle name="Currency 3 3 2 3 3 2 7" xfId="19325" xr:uid="{4007AEFB-C66A-4DD1-8E0B-94F747E60754}"/>
    <cellStyle name="Currency 3 3 2 3 3 3" xfId="5708" xr:uid="{749523A3-0E0D-4668-994A-12169473D414}"/>
    <cellStyle name="Currency 3 3 2 3 3 3 2" xfId="9180" xr:uid="{6D82D78D-60F6-4C23-9382-E5CA327E9A2F}"/>
    <cellStyle name="Currency 3 3 2 3 3 3 2 2" xfId="23231" xr:uid="{43956C2E-06F8-495E-AE21-33692AAA8EFA}"/>
    <cellStyle name="Currency 3 3 2 3 3 3 3" xfId="11784" xr:uid="{80C68E5E-741C-4F22-AC8B-D77D386BBF83}"/>
    <cellStyle name="Currency 3 3 2 3 3 3 3 2" xfId="25835" xr:uid="{9DF4038E-0BE9-4DEF-A1C3-E286B32521B7}"/>
    <cellStyle name="Currency 3 3 2 3 3 3 4" xfId="19759" xr:uid="{4F493129-C0A1-466F-B150-8E9AB4CA567D}"/>
    <cellStyle name="Currency 3 3 2 3 3 4" xfId="6576" xr:uid="{4009E243-2663-4045-A54D-17DC19044A47}"/>
    <cellStyle name="Currency 3 3 2 3 3 4 2" xfId="10048" xr:uid="{906C510E-A677-46DC-9A57-4BFFFE55AF89}"/>
    <cellStyle name="Currency 3 3 2 3 3 4 2 2" xfId="24099" xr:uid="{B58A5A4A-ADC5-4BAB-9476-911043E6A3EF}"/>
    <cellStyle name="Currency 3 3 2 3 3 4 3" xfId="12652" xr:uid="{7FC187E8-DE09-49F1-B14E-A5CEADA62CFE}"/>
    <cellStyle name="Currency 3 3 2 3 3 4 3 2" xfId="26703" xr:uid="{11ADB357-E1FB-4B4A-A84F-F37BB4245412}"/>
    <cellStyle name="Currency 3 3 2 3 3 4 4" xfId="20627" xr:uid="{A2457B1F-6EC5-44D0-8904-055E3015A7A9}"/>
    <cellStyle name="Currency 3 3 2 3 3 5" xfId="8312" xr:uid="{CDE4910F-095B-4509-A3F7-1BAE5183CC46}"/>
    <cellStyle name="Currency 3 3 2 3 3 5 2" xfId="13520" xr:uid="{54E1E933-57DB-4693-8FA4-DDE6A30D11D6}"/>
    <cellStyle name="Currency 3 3 2 3 3 5 2 2" xfId="27571" xr:uid="{AA2FCEDB-9B06-44F7-BF85-C0728A9C7387}"/>
    <cellStyle name="Currency 3 3 2 3 3 5 3" xfId="22363" xr:uid="{5CC38E5F-0B46-475E-8D93-2AF2BBB5CF52}"/>
    <cellStyle name="Currency 3 3 2 3 3 6" xfId="7444" xr:uid="{7B3516C2-8585-4CD5-9259-96C974F08892}"/>
    <cellStyle name="Currency 3 3 2 3 3 6 2" xfId="21495" xr:uid="{8439D367-BDED-4BCC-91CB-5EA30133AD08}"/>
    <cellStyle name="Currency 3 3 2 3 3 7" xfId="10916" xr:uid="{28C04E69-96E6-4581-8361-2DACBF991245}"/>
    <cellStyle name="Currency 3 3 2 3 3 7 2" xfId="24967" xr:uid="{AB8C09A5-A79D-431D-A5CB-AAFD90AD2795}"/>
    <cellStyle name="Currency 3 3 2 3 3 8" xfId="17330" xr:uid="{9610D633-3756-4111-AEBE-0F2E3CCEF77C}"/>
    <cellStyle name="Currency 3 3 2 3 4" xfId="5082" xr:uid="{D65DA71E-5804-47BA-8C94-89D5C5690FB4}"/>
    <cellStyle name="Currency 3 3 2 3 4 2" xfId="5950" xr:uid="{F2836679-C1C7-4285-873E-CBCA3BF31AAD}"/>
    <cellStyle name="Currency 3 3 2 3 4 2 2" xfId="9422" xr:uid="{9EA2A655-53A1-40F2-8809-F010D1715128}"/>
    <cellStyle name="Currency 3 3 2 3 4 2 2 2" xfId="23473" xr:uid="{3CE6A3FC-6442-4793-A0A7-7AF19AB326E3}"/>
    <cellStyle name="Currency 3 3 2 3 4 2 3" xfId="12026" xr:uid="{8ABF87F3-EACE-4E23-9D86-FDB694480D84}"/>
    <cellStyle name="Currency 3 3 2 3 4 2 3 2" xfId="26077" xr:uid="{B28FE7AF-F7B5-4391-B8D1-191628EDECFB}"/>
    <cellStyle name="Currency 3 3 2 3 4 2 4" xfId="20001" xr:uid="{BF9E7BAA-E8C3-4CE2-A912-603D7AF33A18}"/>
    <cellStyle name="Currency 3 3 2 3 4 3" xfId="6818" xr:uid="{C813BFE4-8DC9-448D-ACE8-F5467E3E3A96}"/>
    <cellStyle name="Currency 3 3 2 3 4 3 2" xfId="10290" xr:uid="{F2B608DD-38EF-40C5-9B42-7321A3E9D429}"/>
    <cellStyle name="Currency 3 3 2 3 4 3 2 2" xfId="24341" xr:uid="{E9DE7F0E-3CE2-4369-95E2-D237254642A4}"/>
    <cellStyle name="Currency 3 3 2 3 4 3 3" xfId="12894" xr:uid="{E1B5ECA9-12ED-4D32-BED0-3DB52CB72841}"/>
    <cellStyle name="Currency 3 3 2 3 4 3 3 2" xfId="26945" xr:uid="{BF6907BF-DC87-4743-9087-395114842915}"/>
    <cellStyle name="Currency 3 3 2 3 4 3 4" xfId="20869" xr:uid="{E7B90813-01D6-489C-800E-6EE93911B6F2}"/>
    <cellStyle name="Currency 3 3 2 3 4 4" xfId="8554" xr:uid="{8809A993-3B30-4366-B4B5-39B6033C02EA}"/>
    <cellStyle name="Currency 3 3 2 3 4 4 2" xfId="13762" xr:uid="{850E9818-4821-4246-AA59-069FC2D5C2F5}"/>
    <cellStyle name="Currency 3 3 2 3 4 4 2 2" xfId="27813" xr:uid="{A2824D87-F285-4935-BA32-9840D0D38CDA}"/>
    <cellStyle name="Currency 3 3 2 3 4 4 3" xfId="22605" xr:uid="{E53A3C4D-42AF-4A02-8EE5-A2C3ED6599A3}"/>
    <cellStyle name="Currency 3 3 2 3 4 5" xfId="7686" xr:uid="{679DE604-AAE4-4AA3-9F7B-039AC9DDA4C4}"/>
    <cellStyle name="Currency 3 3 2 3 4 5 2" xfId="21737" xr:uid="{5CECE111-2B31-4B40-A964-6596D775E9FC}"/>
    <cellStyle name="Currency 3 3 2 3 4 6" xfId="11158" xr:uid="{7301C477-4457-44DA-8D48-A5572012AEBC}"/>
    <cellStyle name="Currency 3 3 2 3 4 6 2" xfId="25209" xr:uid="{AA936B8A-82CC-404C-A5D4-C9B784A89205}"/>
    <cellStyle name="Currency 3 3 2 3 4 7" xfId="19133" xr:uid="{537A03C8-DEFD-45DE-803A-A70A679817E8}"/>
    <cellStyle name="Currency 3 3 2 3 5" xfId="5516" xr:uid="{9404B9D3-28FD-4636-862A-94A128F4E50F}"/>
    <cellStyle name="Currency 3 3 2 3 5 2" xfId="8988" xr:uid="{66AA6384-208A-474C-B432-489A059F8753}"/>
    <cellStyle name="Currency 3 3 2 3 5 2 2" xfId="23039" xr:uid="{C12960A4-9EAB-44A3-9734-77E0F8C1AD6C}"/>
    <cellStyle name="Currency 3 3 2 3 5 3" xfId="11592" xr:uid="{AD384D17-15EA-47EB-9EA9-3D45D2B2B234}"/>
    <cellStyle name="Currency 3 3 2 3 5 3 2" xfId="25643" xr:uid="{AF40EBAE-67FD-4FD7-9CD0-633C5D86D83F}"/>
    <cellStyle name="Currency 3 3 2 3 5 4" xfId="19567" xr:uid="{AE380A92-39D2-46F6-ACFD-5B236846034C}"/>
    <cellStyle name="Currency 3 3 2 3 6" xfId="6384" xr:uid="{14923214-6E41-4BC1-B5FA-795A603F988B}"/>
    <cellStyle name="Currency 3 3 2 3 6 2" xfId="9856" xr:uid="{54F929DB-39A8-4E3E-B0D1-AA9D1BE64188}"/>
    <cellStyle name="Currency 3 3 2 3 6 2 2" xfId="23907" xr:uid="{43B6FF43-5E21-4A41-86F1-B1E316A90AEA}"/>
    <cellStyle name="Currency 3 3 2 3 6 3" xfId="12460" xr:uid="{F635ED0C-CC82-4E1F-8641-ECF67138F3FD}"/>
    <cellStyle name="Currency 3 3 2 3 6 3 2" xfId="26511" xr:uid="{D1D58B59-942E-482C-8B0A-F9864A346C07}"/>
    <cellStyle name="Currency 3 3 2 3 6 4" xfId="20435" xr:uid="{EAD63423-B070-4364-92B7-C35FFAB6851D}"/>
    <cellStyle name="Currency 3 3 2 3 7" xfId="8120" xr:uid="{897D1C6D-1C8A-4157-A575-484BA6B20F3C}"/>
    <cellStyle name="Currency 3 3 2 3 7 2" xfId="13328" xr:uid="{5D8A17AC-C719-4442-AE07-61C10C4EA9E0}"/>
    <cellStyle name="Currency 3 3 2 3 7 2 2" xfId="27379" xr:uid="{14044B4C-BD4E-44F0-AB62-EB10493D1A2A}"/>
    <cellStyle name="Currency 3 3 2 3 7 3" xfId="22171" xr:uid="{777362AD-A402-486B-937F-B66E02E18405}"/>
    <cellStyle name="Currency 3 3 2 3 8" xfId="7252" xr:uid="{6995B2BC-FFF5-4A3F-AA7F-CDD424146D41}"/>
    <cellStyle name="Currency 3 3 2 3 8 2" xfId="21303" xr:uid="{CFD2A86D-951A-43E9-9116-0168AC97B33A}"/>
    <cellStyle name="Currency 3 3 2 3 9" xfId="10724" xr:uid="{9AA3CBFD-D3F7-4FCD-8135-998E270467B5}"/>
    <cellStyle name="Currency 3 3 2 3 9 2" xfId="24775" xr:uid="{3C76C4C6-3A19-4A64-B985-7610B26E2201}"/>
    <cellStyle name="Currency 3 3 2 4" xfId="1666" xr:uid="{BABCB88D-E6E7-4353-8C5C-B046D826DF74}"/>
    <cellStyle name="Currency 3 3 2 4 2" xfId="3856" xr:uid="{21BF3451-6A47-4DBC-8705-2D5A5D4FE087}"/>
    <cellStyle name="Currency 3 3 2 4 2 2" xfId="5325" xr:uid="{10A0CF7C-716E-4181-813B-E58B72330019}"/>
    <cellStyle name="Currency 3 3 2 4 2 2 2" xfId="6193" xr:uid="{3AD27565-3640-455F-ABCB-5C40B74D7BF1}"/>
    <cellStyle name="Currency 3 3 2 4 2 2 2 2" xfId="9665" xr:uid="{78190CDD-2DE6-4977-BB54-44844CA7C2A5}"/>
    <cellStyle name="Currency 3 3 2 4 2 2 2 2 2" xfId="23716" xr:uid="{9CD3A6E0-8046-4FD8-BC0A-8DA60D856C0E}"/>
    <cellStyle name="Currency 3 3 2 4 2 2 2 3" xfId="12269" xr:uid="{77D58CD2-8826-4D5E-9BD3-1C1EB2ADBFCA}"/>
    <cellStyle name="Currency 3 3 2 4 2 2 2 3 2" xfId="26320" xr:uid="{D6B448A4-21C3-461E-A540-2EFD69C9DFD4}"/>
    <cellStyle name="Currency 3 3 2 4 2 2 2 4" xfId="20244" xr:uid="{23E7DA3B-3FEF-4706-89DD-E46736E0624A}"/>
    <cellStyle name="Currency 3 3 2 4 2 2 3" xfId="7061" xr:uid="{103C5B55-E133-49F8-BEBE-521732B48808}"/>
    <cellStyle name="Currency 3 3 2 4 2 2 3 2" xfId="10533" xr:uid="{D380D45D-A6CF-4B37-BB60-0FC349B103DB}"/>
    <cellStyle name="Currency 3 3 2 4 2 2 3 2 2" xfId="24584" xr:uid="{F91A80D3-850D-4AA9-8C03-4843B3C7D75B}"/>
    <cellStyle name="Currency 3 3 2 4 2 2 3 3" xfId="13137" xr:uid="{9DC75C6D-BA80-483A-A399-F1B10C3BC00C}"/>
    <cellStyle name="Currency 3 3 2 4 2 2 3 3 2" xfId="27188" xr:uid="{CDA1A3C6-A3D1-4953-95AF-C9A165955679}"/>
    <cellStyle name="Currency 3 3 2 4 2 2 3 4" xfId="21112" xr:uid="{9B5664C4-01D7-47ED-BF86-E81D282E5B30}"/>
    <cellStyle name="Currency 3 3 2 4 2 2 4" xfId="8797" xr:uid="{35A9AD6C-79CA-4556-A9A7-92504177F6AA}"/>
    <cellStyle name="Currency 3 3 2 4 2 2 4 2" xfId="14005" xr:uid="{AFFF4EA1-2C54-4134-9602-1F1AAF48B4E3}"/>
    <cellStyle name="Currency 3 3 2 4 2 2 4 2 2" xfId="28056" xr:uid="{39BCDC75-430A-43C0-8853-6134B754F4CE}"/>
    <cellStyle name="Currency 3 3 2 4 2 2 4 3" xfId="22848" xr:uid="{FBBEE55F-3B3F-4595-A782-A3C922DDBE04}"/>
    <cellStyle name="Currency 3 3 2 4 2 2 5" xfId="7929" xr:uid="{46E67857-22AA-418B-8321-5A6134C13CF1}"/>
    <cellStyle name="Currency 3 3 2 4 2 2 5 2" xfId="21980" xr:uid="{576EDE6D-9F20-4058-9F25-3D86196E9ED5}"/>
    <cellStyle name="Currency 3 3 2 4 2 2 6" xfId="11401" xr:uid="{A2A84285-76D9-4535-922C-C025AF93F2AD}"/>
    <cellStyle name="Currency 3 3 2 4 2 2 6 2" xfId="25452" xr:uid="{22EAF834-2A17-4D94-AADE-7D91D6D7A838}"/>
    <cellStyle name="Currency 3 3 2 4 2 2 7" xfId="19376" xr:uid="{D2762CD7-D92E-4625-A3B6-6A8CCB2129A3}"/>
    <cellStyle name="Currency 3 3 2 4 2 3" xfId="5759" xr:uid="{F5207AFE-E411-4A73-9040-F14CFAA13F50}"/>
    <cellStyle name="Currency 3 3 2 4 2 3 2" xfId="9231" xr:uid="{959431B6-EADF-440D-8391-F011D47129D3}"/>
    <cellStyle name="Currency 3 3 2 4 2 3 2 2" xfId="23282" xr:uid="{81D39541-E9FE-43CD-8562-5B5B0F96ADFB}"/>
    <cellStyle name="Currency 3 3 2 4 2 3 3" xfId="11835" xr:uid="{6BECB6BF-B2FD-4284-AA2E-906098DC3040}"/>
    <cellStyle name="Currency 3 3 2 4 2 3 3 2" xfId="25886" xr:uid="{FB3B3C31-46DD-4AB5-A27C-BA7C68E75AC8}"/>
    <cellStyle name="Currency 3 3 2 4 2 3 4" xfId="19810" xr:uid="{6AB0941A-6D55-4C05-9F6D-51A13419818B}"/>
    <cellStyle name="Currency 3 3 2 4 2 4" xfId="6627" xr:uid="{C97B86BE-3424-4E36-BCE2-5EF0F4E4F453}"/>
    <cellStyle name="Currency 3 3 2 4 2 4 2" xfId="10099" xr:uid="{BF522859-FC4A-4153-B907-936A7B1B00EA}"/>
    <cellStyle name="Currency 3 3 2 4 2 4 2 2" xfId="24150" xr:uid="{1535F6A0-0444-4591-8BB4-47079F1D519F}"/>
    <cellStyle name="Currency 3 3 2 4 2 4 3" xfId="12703" xr:uid="{4194641F-664E-4E5D-99C1-27BDB99F8ADA}"/>
    <cellStyle name="Currency 3 3 2 4 2 4 3 2" xfId="26754" xr:uid="{FEAA71D4-6FBF-4C5F-8B90-78E31117202A}"/>
    <cellStyle name="Currency 3 3 2 4 2 4 4" xfId="20678" xr:uid="{CC40A19C-24BC-4D45-952F-A91F5A701C26}"/>
    <cellStyle name="Currency 3 3 2 4 2 5" xfId="8363" xr:uid="{26CB9DDD-FD11-466A-8AA7-E54C6EE06B92}"/>
    <cellStyle name="Currency 3 3 2 4 2 5 2" xfId="13571" xr:uid="{73E5AC9F-301B-44F9-82B9-26BCEEF9E8D5}"/>
    <cellStyle name="Currency 3 3 2 4 2 5 2 2" xfId="27622" xr:uid="{AF09B5ED-4DA8-4B1A-8AE7-500CDACA1E41}"/>
    <cellStyle name="Currency 3 3 2 4 2 5 3" xfId="22414" xr:uid="{D9D7EA44-13AB-4580-BD1C-FBEEA21DB9EB}"/>
    <cellStyle name="Currency 3 3 2 4 2 6" xfId="7495" xr:uid="{3032AABC-D72C-4CD6-81BF-4ED645C3FEC9}"/>
    <cellStyle name="Currency 3 3 2 4 2 6 2" xfId="21546" xr:uid="{54F2B3AC-CC94-4E8B-95BB-4207C3035E22}"/>
    <cellStyle name="Currency 3 3 2 4 2 7" xfId="10967" xr:uid="{10F6736D-CEB5-4069-9276-934A370CF2D9}"/>
    <cellStyle name="Currency 3 3 2 4 2 7 2" xfId="25018" xr:uid="{39E1C328-21AA-4984-8350-2400EBBC560E}"/>
    <cellStyle name="Currency 3 3 2 4 2 8" xfId="17909" xr:uid="{6D564B98-4750-44F8-BD4E-DCFC8237EE7F}"/>
    <cellStyle name="Currency 3 3 2 4 3" xfId="5134" xr:uid="{0EF65506-86AC-40F1-91EF-C74D4CAE5766}"/>
    <cellStyle name="Currency 3 3 2 4 3 2" xfId="6002" xr:uid="{9A4E08F2-62DC-4CA6-95EA-2867743E7554}"/>
    <cellStyle name="Currency 3 3 2 4 3 2 2" xfId="9474" xr:uid="{2D3901AF-4541-4BF3-BD88-04FF37254CAE}"/>
    <cellStyle name="Currency 3 3 2 4 3 2 2 2" xfId="23525" xr:uid="{3E18230C-C131-44D0-8D83-3D4A8154311F}"/>
    <cellStyle name="Currency 3 3 2 4 3 2 3" xfId="12078" xr:uid="{7A7FB4C6-C82C-4870-AF5A-A144BA09F944}"/>
    <cellStyle name="Currency 3 3 2 4 3 2 3 2" xfId="26129" xr:uid="{B7AF6FCF-89D6-4060-A284-878D87A52D00}"/>
    <cellStyle name="Currency 3 3 2 4 3 2 4" xfId="20053" xr:uid="{1EBAA5EF-B21A-4515-BF2A-69A3CDB08A0E}"/>
    <cellStyle name="Currency 3 3 2 4 3 3" xfId="6870" xr:uid="{A497472B-407E-45BD-A45A-C3FBAC730FCE}"/>
    <cellStyle name="Currency 3 3 2 4 3 3 2" xfId="10342" xr:uid="{35915132-A1A8-496C-851C-304352F631BE}"/>
    <cellStyle name="Currency 3 3 2 4 3 3 2 2" xfId="24393" xr:uid="{2EA2A03A-92F3-4C22-BC52-1FBE6CE11542}"/>
    <cellStyle name="Currency 3 3 2 4 3 3 3" xfId="12946" xr:uid="{05DD67DD-9065-49E6-87E9-85F180FF4D12}"/>
    <cellStyle name="Currency 3 3 2 4 3 3 3 2" xfId="26997" xr:uid="{F8CEF0AD-A23B-4538-BED3-5AB189986BFF}"/>
    <cellStyle name="Currency 3 3 2 4 3 3 4" xfId="20921" xr:uid="{3B13998A-C5F8-4063-9141-32AFE0D6AF80}"/>
    <cellStyle name="Currency 3 3 2 4 3 4" xfId="8606" xr:uid="{83AF185D-1CF9-473A-89D9-8336214F845C}"/>
    <cellStyle name="Currency 3 3 2 4 3 4 2" xfId="13814" xr:uid="{1047CB2B-BEE3-41CD-868A-2A20C0C382B9}"/>
    <cellStyle name="Currency 3 3 2 4 3 4 2 2" xfId="27865" xr:uid="{32DC4FE7-DD3D-44EE-9882-1AC9C3C07407}"/>
    <cellStyle name="Currency 3 3 2 4 3 4 3" xfId="22657" xr:uid="{5CCD94F7-08E3-4475-AF70-6C86B7F52BF4}"/>
    <cellStyle name="Currency 3 3 2 4 3 5" xfId="7738" xr:uid="{5EAD1791-AFA0-4C66-A4E1-9B6D01C4F3CA}"/>
    <cellStyle name="Currency 3 3 2 4 3 5 2" xfId="21789" xr:uid="{7F59824F-95D2-4878-98C5-063B1806F2E4}"/>
    <cellStyle name="Currency 3 3 2 4 3 6" xfId="11210" xr:uid="{9E87ABD9-CCEE-4D02-94DC-44021D4A45A1}"/>
    <cellStyle name="Currency 3 3 2 4 3 6 2" xfId="25261" xr:uid="{4E93CBAF-6CDC-4916-AAB0-F82BFFE0138F}"/>
    <cellStyle name="Currency 3 3 2 4 3 7" xfId="19185" xr:uid="{AFD02394-723D-48C1-BFE5-ABCB7A285698}"/>
    <cellStyle name="Currency 3 3 2 4 4" xfId="5568" xr:uid="{39BBC973-C9D8-40F3-8CF6-935A0EE1533A}"/>
    <cellStyle name="Currency 3 3 2 4 4 2" xfId="9040" xr:uid="{97E5FB3C-2B6A-41C1-ABD3-A6B6E7A0BB97}"/>
    <cellStyle name="Currency 3 3 2 4 4 2 2" xfId="23091" xr:uid="{409C92DA-1412-41B4-BF6F-15C7F8EDBBCE}"/>
    <cellStyle name="Currency 3 3 2 4 4 3" xfId="11644" xr:uid="{D38B0076-198A-48DB-B866-5F8083F163D5}"/>
    <cellStyle name="Currency 3 3 2 4 4 3 2" xfId="25695" xr:uid="{EE3E129F-89A3-474D-AD1E-E81DA84867B0}"/>
    <cellStyle name="Currency 3 3 2 4 4 4" xfId="19619" xr:uid="{5E384BBF-517D-4F96-8E37-5D76E063E7DD}"/>
    <cellStyle name="Currency 3 3 2 4 5" xfId="6436" xr:uid="{3BA30C2D-5D9B-48A9-8B22-5480973533F2}"/>
    <cellStyle name="Currency 3 3 2 4 5 2" xfId="9908" xr:uid="{6ED992F8-4CD9-416C-952C-0E726EE5CEFA}"/>
    <cellStyle name="Currency 3 3 2 4 5 2 2" xfId="23959" xr:uid="{F40A6933-6F5C-49ED-A087-9DE9248940DF}"/>
    <cellStyle name="Currency 3 3 2 4 5 3" xfId="12512" xr:uid="{6ADD01E2-7957-4342-812C-2A9AC06E2FC2}"/>
    <cellStyle name="Currency 3 3 2 4 5 3 2" xfId="26563" xr:uid="{96AD08CE-179C-415B-AB50-1581127F76EB}"/>
    <cellStyle name="Currency 3 3 2 4 5 4" xfId="20487" xr:uid="{8A60456A-BD6B-4D45-92B4-B79D06B24D62}"/>
    <cellStyle name="Currency 3 3 2 4 6" xfId="8172" xr:uid="{CFCBB820-881D-4BE0-BC36-946DC6A5AF8B}"/>
    <cellStyle name="Currency 3 3 2 4 6 2" xfId="13380" xr:uid="{AE89F6C1-1A65-4DB4-8B79-FDD4B7511231}"/>
    <cellStyle name="Currency 3 3 2 4 6 2 2" xfId="27431" xr:uid="{107785B5-A11A-4B29-B2A0-A77A62E2514F}"/>
    <cellStyle name="Currency 3 3 2 4 6 3" xfId="22223" xr:uid="{5E9B68BF-BD96-49A4-8644-8185D1191A1C}"/>
    <cellStyle name="Currency 3 3 2 4 7" xfId="7304" xr:uid="{A0D1B5FD-F8DB-4907-A2B1-3AF563473CFB}"/>
    <cellStyle name="Currency 3 3 2 4 7 2" xfId="21355" xr:uid="{1E7787CC-AE70-4CC0-8122-86D16FCF733F}"/>
    <cellStyle name="Currency 3 3 2 4 8" xfId="10776" xr:uid="{C06B8FE8-3F50-4984-94BE-5E2B98BB7C2B}"/>
    <cellStyle name="Currency 3 3 2 4 8 2" xfId="24827" xr:uid="{97E55DBD-BE78-41C3-846B-5166A97DDFD9}"/>
    <cellStyle name="Currency 3 3 2 4 9" xfId="15715" xr:uid="{6A5C95B1-7D32-48AE-B65B-E4901C5FE005}"/>
    <cellStyle name="Currency 3 3 2 5" xfId="2585" xr:uid="{845CDAF0-38E7-42DC-8E7E-B9A911555F2B}"/>
    <cellStyle name="Currency 3 3 2 5 2" xfId="5214" xr:uid="{314F148F-C73C-44DB-A61F-BB2FF490955A}"/>
    <cellStyle name="Currency 3 3 2 5 2 2" xfId="6082" xr:uid="{22E7B4AC-2C67-4B1C-9F17-DB540E729D98}"/>
    <cellStyle name="Currency 3 3 2 5 2 2 2" xfId="9554" xr:uid="{36346B8F-C15A-48B1-9B4F-6A891D62C2CA}"/>
    <cellStyle name="Currency 3 3 2 5 2 2 2 2" xfId="23605" xr:uid="{FA23CF9D-FEA2-4C71-8F9E-5FC32849951A}"/>
    <cellStyle name="Currency 3 3 2 5 2 2 3" xfId="12158" xr:uid="{C1839A70-8438-41F8-A7EC-7B59228AE339}"/>
    <cellStyle name="Currency 3 3 2 5 2 2 3 2" xfId="26209" xr:uid="{65EB01FA-372D-4C0E-BFD5-0B90AB295CFC}"/>
    <cellStyle name="Currency 3 3 2 5 2 2 4" xfId="20133" xr:uid="{4CF2A77D-1226-4BC4-9544-F82F546BF089}"/>
    <cellStyle name="Currency 3 3 2 5 2 3" xfId="6950" xr:uid="{9CA09113-DA66-424E-AA8E-589E8FED88D2}"/>
    <cellStyle name="Currency 3 3 2 5 2 3 2" xfId="10422" xr:uid="{F587CD4C-6EA0-4B1A-8A8C-8DBA7FE11624}"/>
    <cellStyle name="Currency 3 3 2 5 2 3 2 2" xfId="24473" xr:uid="{2F6E98E2-3959-47FE-97EC-7F523D9FCF29}"/>
    <cellStyle name="Currency 3 3 2 5 2 3 3" xfId="13026" xr:uid="{8FFF35A0-F165-409C-889F-D1FC6778CEE0}"/>
    <cellStyle name="Currency 3 3 2 5 2 3 3 2" xfId="27077" xr:uid="{48357AB4-7CE0-4D2F-BE06-82A80897F729}"/>
    <cellStyle name="Currency 3 3 2 5 2 3 4" xfId="21001" xr:uid="{F415C7BF-F152-4F3A-BFE1-668630DDB8D4}"/>
    <cellStyle name="Currency 3 3 2 5 2 4" xfId="8686" xr:uid="{619AAEC2-3EA4-4114-9197-2707E8ACC0C3}"/>
    <cellStyle name="Currency 3 3 2 5 2 4 2" xfId="13894" xr:uid="{ABCF4EB4-5806-423A-960A-CA405CFEBFD2}"/>
    <cellStyle name="Currency 3 3 2 5 2 4 2 2" xfId="27945" xr:uid="{1B6999EA-4DC6-459B-94D3-EA6C15FFFD2B}"/>
    <cellStyle name="Currency 3 3 2 5 2 4 3" xfId="22737" xr:uid="{F5881150-CE2F-42D6-AB80-303B18AE2C86}"/>
    <cellStyle name="Currency 3 3 2 5 2 5" xfId="7818" xr:uid="{86FA9F4F-F5B6-4797-9FE5-807CD0F89AEF}"/>
    <cellStyle name="Currency 3 3 2 5 2 5 2" xfId="21869" xr:uid="{FAFF6E4D-A01B-4E61-9BA7-2A029128EA85}"/>
    <cellStyle name="Currency 3 3 2 5 2 6" xfId="11290" xr:uid="{7EED2E26-86AA-43C9-9C22-F657355ED60E}"/>
    <cellStyle name="Currency 3 3 2 5 2 6 2" xfId="25341" xr:uid="{2106C6E8-EEC4-4CF5-AB17-ABDFFFED1DA9}"/>
    <cellStyle name="Currency 3 3 2 5 2 7" xfId="19265" xr:uid="{17B019E9-8D51-4EAA-B9BD-8A19650C4AC7}"/>
    <cellStyle name="Currency 3 3 2 5 3" xfId="5648" xr:uid="{25FF5DCE-420D-463D-9235-44E016CE0438}"/>
    <cellStyle name="Currency 3 3 2 5 3 2" xfId="9120" xr:uid="{7F493284-CD50-4BEB-8162-D7A7C8C5318C}"/>
    <cellStyle name="Currency 3 3 2 5 3 2 2" xfId="23171" xr:uid="{E3F93DFB-FE28-485A-BB0D-282491640B28}"/>
    <cellStyle name="Currency 3 3 2 5 3 3" xfId="11724" xr:uid="{99954FBE-1779-4DCE-944E-DA720E217315}"/>
    <cellStyle name="Currency 3 3 2 5 3 3 2" xfId="25775" xr:uid="{615BADE8-6E52-43DE-B086-CEA0B9F0E185}"/>
    <cellStyle name="Currency 3 3 2 5 3 4" xfId="19699" xr:uid="{AB553B4A-A4FB-471F-8868-13B60880ACE3}"/>
    <cellStyle name="Currency 3 3 2 5 4" xfId="6516" xr:uid="{B3485C38-D5A3-4887-BBFD-963ADE1BA3F3}"/>
    <cellStyle name="Currency 3 3 2 5 4 2" xfId="9988" xr:uid="{24322E9B-B0B2-4122-848C-478ED6597E94}"/>
    <cellStyle name="Currency 3 3 2 5 4 2 2" xfId="24039" xr:uid="{0E2177BE-BBF0-41C6-9156-C43762466C04}"/>
    <cellStyle name="Currency 3 3 2 5 4 3" xfId="12592" xr:uid="{0E84DFB7-A064-4F7D-965A-C7BACF618590}"/>
    <cellStyle name="Currency 3 3 2 5 4 3 2" xfId="26643" xr:uid="{9A7DF5A9-E2B7-4BD1-85A9-E045FA2E4695}"/>
    <cellStyle name="Currency 3 3 2 5 4 4" xfId="20567" xr:uid="{7A569CA9-38B6-4BBA-8068-5383C615369F}"/>
    <cellStyle name="Currency 3 3 2 5 5" xfId="8252" xr:uid="{75A3C1DE-0B22-4277-A0A2-A2056CADBD42}"/>
    <cellStyle name="Currency 3 3 2 5 5 2" xfId="13460" xr:uid="{E15B8EB7-1D3D-437C-81F0-E3E93C2E66A6}"/>
    <cellStyle name="Currency 3 3 2 5 5 2 2" xfId="27511" xr:uid="{374AC4F1-A129-44CB-A6AB-A7A6286D2B19}"/>
    <cellStyle name="Currency 3 3 2 5 5 3" xfId="22303" xr:uid="{29812B2E-D71D-4921-A00B-9FF8DF4EB808}"/>
    <cellStyle name="Currency 3 3 2 5 6" xfId="7384" xr:uid="{B8BB83BE-A1B5-4CF7-AC9E-D5D60B0B396A}"/>
    <cellStyle name="Currency 3 3 2 5 6 2" xfId="21435" xr:uid="{93F81730-34B2-4388-A70C-342F8EF934BB}"/>
    <cellStyle name="Currency 3 3 2 5 7" xfId="10856" xr:uid="{817B3EC1-E7A6-4922-8F00-5725315430F5}"/>
    <cellStyle name="Currency 3 3 2 5 7 2" xfId="24907" xr:uid="{3E9E0E84-CE64-4B55-9228-143C754F0B6C}"/>
    <cellStyle name="Currency 3 3 2 5 8" xfId="16636" xr:uid="{032014CD-0B71-42C9-9045-DFA0C9DE635E}"/>
    <cellStyle name="Currency 3 3 2 6" xfId="4951" xr:uid="{BCF79EE3-4DED-46EB-B6FE-94A4D051F179}"/>
    <cellStyle name="Currency 3 3 2 6 2" xfId="5420" xr:uid="{B489038E-C94E-49F2-88F2-20CE80FC01F6}"/>
    <cellStyle name="Currency 3 3 2 6 2 2" xfId="6288" xr:uid="{30AE167C-7FFF-400D-AC4C-E6BA74AE9942}"/>
    <cellStyle name="Currency 3 3 2 6 2 2 2" xfId="9760" xr:uid="{B4B749F8-11D8-4D94-BBE0-1329624F43B1}"/>
    <cellStyle name="Currency 3 3 2 6 2 2 2 2" xfId="23811" xr:uid="{AE57C86A-77B6-4C57-B2C2-C37949314D13}"/>
    <cellStyle name="Currency 3 3 2 6 2 2 3" xfId="12364" xr:uid="{7C2FA066-7091-45A1-BF4C-343B368C6379}"/>
    <cellStyle name="Currency 3 3 2 6 2 2 3 2" xfId="26415" xr:uid="{0001245D-E5A3-4975-AD30-3EFC8C52768E}"/>
    <cellStyle name="Currency 3 3 2 6 2 2 4" xfId="20339" xr:uid="{951E3C2A-3F1E-41A7-A2A5-61B2432F8BB9}"/>
    <cellStyle name="Currency 3 3 2 6 2 3" xfId="7156" xr:uid="{E1A3C47E-230E-46E5-8BC6-A9756661BC19}"/>
    <cellStyle name="Currency 3 3 2 6 2 3 2" xfId="10628" xr:uid="{979602F4-7E09-49DD-96AA-8BE478973C61}"/>
    <cellStyle name="Currency 3 3 2 6 2 3 2 2" xfId="24679" xr:uid="{5DA38E72-596F-4CDE-88B5-00A2E12BF9E8}"/>
    <cellStyle name="Currency 3 3 2 6 2 3 3" xfId="13232" xr:uid="{1089F8D5-1A66-4A2F-85EA-56AEA3E6C072}"/>
    <cellStyle name="Currency 3 3 2 6 2 3 3 2" xfId="27283" xr:uid="{21F9228F-EAD5-4A49-8145-6E1207B2A6AD}"/>
    <cellStyle name="Currency 3 3 2 6 2 3 4" xfId="21207" xr:uid="{AD4553A5-74AA-4A6A-99EB-7E41E52A29DD}"/>
    <cellStyle name="Currency 3 3 2 6 2 4" xfId="8892" xr:uid="{0DFAA8C3-4978-4050-A3C3-F8D2727A74A1}"/>
    <cellStyle name="Currency 3 3 2 6 2 4 2" xfId="14100" xr:uid="{18E8DF17-906B-4B35-BA31-E180D8C42DBC}"/>
    <cellStyle name="Currency 3 3 2 6 2 4 2 2" xfId="28151" xr:uid="{5D3A9242-F180-4AF9-B4C8-921FBE42C201}"/>
    <cellStyle name="Currency 3 3 2 6 2 4 3" xfId="22943" xr:uid="{529C9378-3091-4568-B1A5-E78199C70D9B}"/>
    <cellStyle name="Currency 3 3 2 6 2 5" xfId="8024" xr:uid="{EEDB0BF2-F87F-443B-B1AE-CD8616BA9A77}"/>
    <cellStyle name="Currency 3 3 2 6 2 5 2" xfId="22075" xr:uid="{D6EC8208-D57A-4CD3-8AE6-2257C2BCB653}"/>
    <cellStyle name="Currency 3 3 2 6 2 6" xfId="11496" xr:uid="{80FD1615-2FFD-435F-89E2-3E965CC5B2B1}"/>
    <cellStyle name="Currency 3 3 2 6 2 6 2" xfId="25547" xr:uid="{E41F8771-2949-42AB-8316-FFEB729A42B0}"/>
    <cellStyle name="Currency 3 3 2 6 2 7" xfId="19471" xr:uid="{D2BD1398-9EA2-4FC1-9AFD-BF060C12D21C}"/>
    <cellStyle name="Currency 3 3 2 6 3" xfId="5854" xr:uid="{3CCD0116-FA11-4B79-A88A-1F14B0D8D474}"/>
    <cellStyle name="Currency 3 3 2 6 3 2" xfId="9326" xr:uid="{15351DAB-DFF2-4992-BB7A-3086ABE3F085}"/>
    <cellStyle name="Currency 3 3 2 6 3 2 2" xfId="23377" xr:uid="{C78DA366-ABF0-433D-866C-A38713DC35A8}"/>
    <cellStyle name="Currency 3 3 2 6 3 3" xfId="11930" xr:uid="{DA1A681C-8854-46D9-AAE4-4B9F97636D38}"/>
    <cellStyle name="Currency 3 3 2 6 3 3 2" xfId="25981" xr:uid="{482572B0-8F94-42FE-9C87-AC80324DF048}"/>
    <cellStyle name="Currency 3 3 2 6 3 4" xfId="19905" xr:uid="{5A26A9FD-F59D-4693-986E-FC0D5C2FD585}"/>
    <cellStyle name="Currency 3 3 2 6 4" xfId="6722" xr:uid="{20D86D4B-D81A-4D8B-BC5B-A8AFC2F3F650}"/>
    <cellStyle name="Currency 3 3 2 6 4 2" xfId="10194" xr:uid="{3C213BF3-1369-43F9-978F-17F878B33283}"/>
    <cellStyle name="Currency 3 3 2 6 4 2 2" xfId="24245" xr:uid="{BE11BE9F-BC45-4FD1-B97C-838F87FEDB15}"/>
    <cellStyle name="Currency 3 3 2 6 4 3" xfId="12798" xr:uid="{F596761F-A038-49F5-8622-7C0213F9EC69}"/>
    <cellStyle name="Currency 3 3 2 6 4 3 2" xfId="26849" xr:uid="{3F062442-6F21-48A4-B34B-CC5569A37347}"/>
    <cellStyle name="Currency 3 3 2 6 4 4" xfId="20773" xr:uid="{80E78154-8788-43A1-A4DB-F430EDD4971C}"/>
    <cellStyle name="Currency 3 3 2 6 5" xfId="8458" xr:uid="{6C8E27CC-E160-441D-8008-3C916CB3A759}"/>
    <cellStyle name="Currency 3 3 2 6 5 2" xfId="13666" xr:uid="{7956DED1-E903-4B55-A13A-FE484A9898FF}"/>
    <cellStyle name="Currency 3 3 2 6 5 2 2" xfId="27717" xr:uid="{8F284B5B-8AB2-4C44-BC27-626BB4718003}"/>
    <cellStyle name="Currency 3 3 2 6 5 3" xfId="22509" xr:uid="{3F417385-3929-45A1-B7E6-9C69068DAB3C}"/>
    <cellStyle name="Currency 3 3 2 6 6" xfId="7590" xr:uid="{DFCAED8C-ED6D-4DC0-94E5-0CD6701AA91B}"/>
    <cellStyle name="Currency 3 3 2 6 6 2" xfId="21641" xr:uid="{03039670-07AF-4CC9-BFB8-ADB441077727}"/>
    <cellStyle name="Currency 3 3 2 6 7" xfId="11062" xr:uid="{F92316CD-40B2-4A8A-98DC-79CCF8D568EA}"/>
    <cellStyle name="Currency 3 3 2 6 7 2" xfId="25113" xr:uid="{0A56605D-8F75-48DF-8C45-4114AA62A5BE}"/>
    <cellStyle name="Currency 3 3 2 6 8" xfId="19003" xr:uid="{DA21263B-46C7-4E67-B420-195423A447DA}"/>
    <cellStyle name="Currency 3 3 2 7" xfId="5020" xr:uid="{7DFFEF3B-54FD-497F-AB93-1BD02DD8390D}"/>
    <cellStyle name="Currency 3 3 2 7 2" xfId="5888" xr:uid="{FA7EAC01-E79B-455D-82D5-CCA0EC03BF02}"/>
    <cellStyle name="Currency 3 3 2 7 2 2" xfId="9360" xr:uid="{7EB86D20-9F8E-41AA-A402-DE0A4791CA21}"/>
    <cellStyle name="Currency 3 3 2 7 2 2 2" xfId="23411" xr:uid="{39AA25AA-92BB-41B8-B7CC-FE09049918D1}"/>
    <cellStyle name="Currency 3 3 2 7 2 3" xfId="11964" xr:uid="{9A8CB2FB-953F-44DF-B209-95A6DF4225C9}"/>
    <cellStyle name="Currency 3 3 2 7 2 3 2" xfId="26015" xr:uid="{F911383A-C354-4805-B19F-C321990636A5}"/>
    <cellStyle name="Currency 3 3 2 7 2 4" xfId="19939" xr:uid="{A59B2549-6AE8-44EA-9510-53280922FA3C}"/>
    <cellStyle name="Currency 3 3 2 7 3" xfId="6756" xr:uid="{7A4A830A-8CEA-41EE-87AB-2DE2FE906FE3}"/>
    <cellStyle name="Currency 3 3 2 7 3 2" xfId="10228" xr:uid="{C922E8AC-A313-41EE-BF05-E6A3953E4BDF}"/>
    <cellStyle name="Currency 3 3 2 7 3 2 2" xfId="24279" xr:uid="{68920366-4891-4C7A-AE57-95138FDE0632}"/>
    <cellStyle name="Currency 3 3 2 7 3 3" xfId="12832" xr:uid="{71E7B773-E486-43B6-80E3-C6EF6C6E9F2C}"/>
    <cellStyle name="Currency 3 3 2 7 3 3 2" xfId="26883" xr:uid="{F53A766B-22FF-4849-BB7E-83111CBC0B84}"/>
    <cellStyle name="Currency 3 3 2 7 3 4" xfId="20807" xr:uid="{FD39CC2A-F915-421D-A272-BE9B08A6E09A}"/>
    <cellStyle name="Currency 3 3 2 7 4" xfId="8492" xr:uid="{DD9A1152-FD5B-4C3C-BEF3-1C2ABD9001D7}"/>
    <cellStyle name="Currency 3 3 2 7 4 2" xfId="13700" xr:uid="{5C7E675B-A42D-48D0-ACAB-BA0136D93E5D}"/>
    <cellStyle name="Currency 3 3 2 7 4 2 2" xfId="27751" xr:uid="{09E1E3FA-7970-4D1A-BC78-3C5BBBA6B00A}"/>
    <cellStyle name="Currency 3 3 2 7 4 3" xfId="22543" xr:uid="{C5B665CE-4FEA-408C-AF51-389FC4CE4C00}"/>
    <cellStyle name="Currency 3 3 2 7 5" xfId="7624" xr:uid="{80608C35-2752-4AE6-9E15-A33B1099B713}"/>
    <cellStyle name="Currency 3 3 2 7 5 2" xfId="21675" xr:uid="{D5C3E8FF-103D-413A-9501-1EF7DDB1C7D3}"/>
    <cellStyle name="Currency 3 3 2 7 6" xfId="11096" xr:uid="{FBD38579-AD98-4765-8F5D-EE858113754B}"/>
    <cellStyle name="Currency 3 3 2 7 6 2" xfId="25147" xr:uid="{2D6313E7-EE3C-483C-88F1-411BEE325CB8}"/>
    <cellStyle name="Currency 3 3 2 7 7" xfId="19071" xr:uid="{8906099D-5142-4FFA-BD03-2AB9999473FE}"/>
    <cellStyle name="Currency 3 3 2 8" xfId="5454" xr:uid="{FBEBC0E1-7474-4E6F-88F0-B891EDA7BBE7}"/>
    <cellStyle name="Currency 3 3 2 8 2" xfId="8926" xr:uid="{E2E30398-CDB2-4ACA-A3D6-FF0A561DD487}"/>
    <cellStyle name="Currency 3 3 2 8 2 2" xfId="22977" xr:uid="{741093C3-84FA-482C-9E22-36DC6C399A59}"/>
    <cellStyle name="Currency 3 3 2 8 3" xfId="11530" xr:uid="{6F17521F-4CAC-49EA-AD2E-ED6D1BE1CF28}"/>
    <cellStyle name="Currency 3 3 2 8 3 2" xfId="25581" xr:uid="{1E6EBD52-D4BB-4EFA-84D4-04AF13973A6E}"/>
    <cellStyle name="Currency 3 3 2 8 4" xfId="19505" xr:uid="{7640DEC5-62DE-4F44-8ADF-3BA08378B67A}"/>
    <cellStyle name="Currency 3 3 2 9" xfId="6322" xr:uid="{F4E68889-CE1D-411E-90D1-33E0488F19AF}"/>
    <cellStyle name="Currency 3 3 2 9 2" xfId="9794" xr:uid="{9D4CAFB2-2D11-4560-A5A6-6F59C378956D}"/>
    <cellStyle name="Currency 3 3 2 9 2 2" xfId="23845" xr:uid="{E8412A22-8E20-41C5-881D-5F791F362FB5}"/>
    <cellStyle name="Currency 3 3 2 9 3" xfId="12398" xr:uid="{EDE1172A-ADF5-4378-B4A6-9D10F9ADE5FF}"/>
    <cellStyle name="Currency 3 3 2 9 3 2" xfId="26449" xr:uid="{D7E3F79A-A43D-4E8A-9ECC-7B2C2E4DE796}"/>
    <cellStyle name="Currency 3 3 2 9 4" xfId="20373" xr:uid="{7C070F3D-A314-47DB-860D-99A0A84B6CC3}"/>
    <cellStyle name="Currency 3 3 3" xfId="559" xr:uid="{B7CAFB29-4EE5-4E2C-AF51-674BA536FFE0}"/>
    <cellStyle name="Currency 3 3 3 10" xfId="10677" xr:uid="{2C4FB6F6-2CF7-4ED5-909D-45C6BA0D2BC6}"/>
    <cellStyle name="Currency 3 3 3 10 2" xfId="24728" xr:uid="{55172846-C483-4778-90B2-803D82979084}"/>
    <cellStyle name="Currency 3 3 3 11" xfId="14614" xr:uid="{1FFA8C32-FD53-476D-8F91-BA7635320A52}"/>
    <cellStyle name="Currency 3 3 3 2" xfId="1492" xr:uid="{0EF3F726-B48A-45D1-BC47-A6C9EF84D102}"/>
    <cellStyle name="Currency 3 3 3 2 2" xfId="3682" xr:uid="{785217C1-85B5-459A-9EB8-851AAFD09851}"/>
    <cellStyle name="Currency 3 3 3 2 2 2" xfId="5310" xr:uid="{E4CD9206-8F8D-4D5D-B1A8-D598375AF398}"/>
    <cellStyle name="Currency 3 3 3 2 2 2 2" xfId="6178" xr:uid="{8185B5C9-DBEE-40F6-8E78-ACFA9F617366}"/>
    <cellStyle name="Currency 3 3 3 2 2 2 2 2" xfId="9650" xr:uid="{14940E9C-47BA-4DB9-98C4-03F327769077}"/>
    <cellStyle name="Currency 3 3 3 2 2 2 2 2 2" xfId="23701" xr:uid="{37C01CBF-4EDA-4077-B730-761E0C98A72B}"/>
    <cellStyle name="Currency 3 3 3 2 2 2 2 3" xfId="12254" xr:uid="{C6DC47A9-03CD-4C83-BADE-1CAD819D9F8B}"/>
    <cellStyle name="Currency 3 3 3 2 2 2 2 3 2" xfId="26305" xr:uid="{5D6954AA-E200-4B22-9E5E-9EA93F82FA35}"/>
    <cellStyle name="Currency 3 3 3 2 2 2 2 4" xfId="20229" xr:uid="{B23E80A2-8493-42F3-BFCD-ABA1042222A8}"/>
    <cellStyle name="Currency 3 3 3 2 2 2 3" xfId="7046" xr:uid="{8919D44A-E762-4344-A986-4A90548A13EC}"/>
    <cellStyle name="Currency 3 3 3 2 2 2 3 2" xfId="10518" xr:uid="{D919B141-C2E1-4D79-808E-0C483954BBB1}"/>
    <cellStyle name="Currency 3 3 3 2 2 2 3 2 2" xfId="24569" xr:uid="{7A780DD2-6B6C-4181-A1A5-35B8A8C4A579}"/>
    <cellStyle name="Currency 3 3 3 2 2 2 3 3" xfId="13122" xr:uid="{93929E49-09F6-4D76-A9C8-08A01D805C93}"/>
    <cellStyle name="Currency 3 3 3 2 2 2 3 3 2" xfId="27173" xr:uid="{324916DA-2BE7-49E3-8958-7F91DC96DCD6}"/>
    <cellStyle name="Currency 3 3 3 2 2 2 3 4" xfId="21097" xr:uid="{9369DEF1-BED0-4A10-984A-D3C59C2E93D0}"/>
    <cellStyle name="Currency 3 3 3 2 2 2 4" xfId="8782" xr:uid="{0EE66AAE-F778-4F9C-A274-8AB1591EB807}"/>
    <cellStyle name="Currency 3 3 3 2 2 2 4 2" xfId="13990" xr:uid="{5ACE61D3-457D-434C-A96F-750F013801E0}"/>
    <cellStyle name="Currency 3 3 3 2 2 2 4 2 2" xfId="28041" xr:uid="{9F1992C2-81CA-4237-87F5-960534C548EC}"/>
    <cellStyle name="Currency 3 3 3 2 2 2 4 3" xfId="22833" xr:uid="{73BDA2D3-7903-41DC-8724-3F2606E3A377}"/>
    <cellStyle name="Currency 3 3 3 2 2 2 5" xfId="7914" xr:uid="{A5038B94-175E-4395-9432-0EC70924885B}"/>
    <cellStyle name="Currency 3 3 3 2 2 2 5 2" xfId="21965" xr:uid="{4D9556CE-A1F7-498F-9C1F-E605A2ED8B59}"/>
    <cellStyle name="Currency 3 3 3 2 2 2 6" xfId="11386" xr:uid="{5A765E7D-29C1-4CF5-9BCB-C869E5170499}"/>
    <cellStyle name="Currency 3 3 3 2 2 2 6 2" xfId="25437" xr:uid="{602F3395-E63E-4EAA-82FE-18E28586FD06}"/>
    <cellStyle name="Currency 3 3 3 2 2 2 7" xfId="19361" xr:uid="{D101F930-164A-4E19-ACBA-0D47B3909E77}"/>
    <cellStyle name="Currency 3 3 3 2 2 3" xfId="5744" xr:uid="{F5457A49-3910-4C78-8683-BD122DBEB804}"/>
    <cellStyle name="Currency 3 3 3 2 2 3 2" xfId="9216" xr:uid="{3A321F38-0DEA-405C-AEBF-92F223A34553}"/>
    <cellStyle name="Currency 3 3 3 2 2 3 2 2" xfId="23267" xr:uid="{B94F47BA-5586-4FFD-BED6-C6C890B7DD46}"/>
    <cellStyle name="Currency 3 3 3 2 2 3 3" xfId="11820" xr:uid="{BF1FAC1C-C946-4A3F-9377-53A39F04C3DC}"/>
    <cellStyle name="Currency 3 3 3 2 2 3 3 2" xfId="25871" xr:uid="{75FD202C-6DB0-4478-9A0B-DCB12ADE60EA}"/>
    <cellStyle name="Currency 3 3 3 2 2 3 4" xfId="19795" xr:uid="{D8F7FA56-C0BB-4BC1-B337-7F7C0709B000}"/>
    <cellStyle name="Currency 3 3 3 2 2 4" xfId="6612" xr:uid="{1FB71C3B-438B-46F3-A35A-FE75BABF86DA}"/>
    <cellStyle name="Currency 3 3 3 2 2 4 2" xfId="10084" xr:uid="{840F05BC-93D5-4AA1-8022-81A4DA09B29E}"/>
    <cellStyle name="Currency 3 3 3 2 2 4 2 2" xfId="24135" xr:uid="{7274FB74-878C-44F8-8DB8-3A0A1720BFE2}"/>
    <cellStyle name="Currency 3 3 3 2 2 4 3" xfId="12688" xr:uid="{182ABB23-E710-4814-B283-D5B05C1E53E6}"/>
    <cellStyle name="Currency 3 3 3 2 2 4 3 2" xfId="26739" xr:uid="{13BCA092-3FBB-40F2-8852-3CC4472A0A36}"/>
    <cellStyle name="Currency 3 3 3 2 2 4 4" xfId="20663" xr:uid="{702773A5-7977-4482-A361-16EBEE74B651}"/>
    <cellStyle name="Currency 3 3 3 2 2 5" xfId="8348" xr:uid="{E446AD51-7C68-49EF-AB6C-53EE1C5E6350}"/>
    <cellStyle name="Currency 3 3 3 2 2 5 2" xfId="13556" xr:uid="{61DA0AD5-AF5F-4F4E-9218-62AF5A03CECD}"/>
    <cellStyle name="Currency 3 3 3 2 2 5 2 2" xfId="27607" xr:uid="{0D8DDFC6-0B27-448C-B861-A86FDB0C5DC5}"/>
    <cellStyle name="Currency 3 3 3 2 2 5 3" xfId="22399" xr:uid="{653AA81B-56DA-4D74-B682-B73502B70219}"/>
    <cellStyle name="Currency 3 3 3 2 2 6" xfId="7480" xr:uid="{2C3AEC1F-ABF2-4BB1-8E2A-EC25E9DACD9E}"/>
    <cellStyle name="Currency 3 3 3 2 2 6 2" xfId="21531" xr:uid="{07E94185-5611-4E9A-A4C1-D76E02CFB949}"/>
    <cellStyle name="Currency 3 3 3 2 2 7" xfId="10952" xr:uid="{33B04E44-9FA1-484D-A888-AF423836BDB6}"/>
    <cellStyle name="Currency 3 3 3 2 2 7 2" xfId="25003" xr:uid="{75186C76-B3D5-48E7-91AA-D9564F8600F0}"/>
    <cellStyle name="Currency 3 3 3 2 2 8" xfId="17735" xr:uid="{C835DA1A-A0FD-4E7A-A0E6-D34FE69F767F}"/>
    <cellStyle name="Currency 3 3 3 2 3" xfId="5119" xr:uid="{37F056C2-63C5-41ED-BEE3-93A5F63ED372}"/>
    <cellStyle name="Currency 3 3 3 2 3 2" xfId="5987" xr:uid="{7BCE7201-0E5B-4A07-8DAE-B5C85A2E6B9C}"/>
    <cellStyle name="Currency 3 3 3 2 3 2 2" xfId="9459" xr:uid="{0993304A-5DAB-4241-933B-45AFCCED698E}"/>
    <cellStyle name="Currency 3 3 3 2 3 2 2 2" xfId="23510" xr:uid="{1E62AE90-A5CB-44CA-94D6-F5F3420E5862}"/>
    <cellStyle name="Currency 3 3 3 2 3 2 3" xfId="12063" xr:uid="{C96C020E-C9B3-48A0-A4A7-1E3CE610999A}"/>
    <cellStyle name="Currency 3 3 3 2 3 2 3 2" xfId="26114" xr:uid="{61703676-2B41-41FD-B1F2-CF65B06DDA3E}"/>
    <cellStyle name="Currency 3 3 3 2 3 2 4" xfId="20038" xr:uid="{C1AA0ABA-C2F6-48C8-BEC9-D2A01191C052}"/>
    <cellStyle name="Currency 3 3 3 2 3 3" xfId="6855" xr:uid="{5637A168-B143-42CE-96CF-AB5AF3291526}"/>
    <cellStyle name="Currency 3 3 3 2 3 3 2" xfId="10327" xr:uid="{1C8C000A-28BA-40DE-9683-E3F260ACB25E}"/>
    <cellStyle name="Currency 3 3 3 2 3 3 2 2" xfId="24378" xr:uid="{E7F67FAD-8285-4D21-AE11-BD2433884F89}"/>
    <cellStyle name="Currency 3 3 3 2 3 3 3" xfId="12931" xr:uid="{17DBF4CE-9274-4692-9C65-97E821915EAA}"/>
    <cellStyle name="Currency 3 3 3 2 3 3 3 2" xfId="26982" xr:uid="{F2E14F1C-A3C7-44A5-A41C-E3AF4D8B915C}"/>
    <cellStyle name="Currency 3 3 3 2 3 3 4" xfId="20906" xr:uid="{14B28A77-A277-4111-A9F8-CE7637A9D27D}"/>
    <cellStyle name="Currency 3 3 3 2 3 4" xfId="8591" xr:uid="{A8F40D7D-2645-43FE-A6A8-8E50FDC74C3A}"/>
    <cellStyle name="Currency 3 3 3 2 3 4 2" xfId="13799" xr:uid="{C88BA4BC-32A2-45F1-AD46-31E9057038B3}"/>
    <cellStyle name="Currency 3 3 3 2 3 4 2 2" xfId="27850" xr:uid="{6EF06DD7-C1E7-46B9-91E7-C4B4A0DA998A}"/>
    <cellStyle name="Currency 3 3 3 2 3 4 3" xfId="22642" xr:uid="{05B2D97B-92CD-415B-84F1-E9DC29B6CD30}"/>
    <cellStyle name="Currency 3 3 3 2 3 5" xfId="7723" xr:uid="{64B718E2-0054-444A-AB5B-0F5931900FEF}"/>
    <cellStyle name="Currency 3 3 3 2 3 5 2" xfId="21774" xr:uid="{9FB1D831-65BB-4E28-8B4D-18319308626E}"/>
    <cellStyle name="Currency 3 3 3 2 3 6" xfId="11195" xr:uid="{46E081C1-709D-4261-A666-19EA67D518F0}"/>
    <cellStyle name="Currency 3 3 3 2 3 6 2" xfId="25246" xr:uid="{2B57E784-387E-45FC-B0C6-3446CAC8EF8C}"/>
    <cellStyle name="Currency 3 3 3 2 3 7" xfId="19170" xr:uid="{B739A139-CCA9-4B08-A1F4-FAA0BED997EE}"/>
    <cellStyle name="Currency 3 3 3 2 4" xfId="5553" xr:uid="{313F7C68-8BA2-4AD9-A8DE-0EEAD2671B7B}"/>
    <cellStyle name="Currency 3 3 3 2 4 2" xfId="9025" xr:uid="{0CD93E3C-D920-4C16-8136-49962932E4D9}"/>
    <cellStyle name="Currency 3 3 3 2 4 2 2" xfId="23076" xr:uid="{E66B7CBD-A685-4398-87A9-AB1308237EBA}"/>
    <cellStyle name="Currency 3 3 3 2 4 3" xfId="11629" xr:uid="{2E4ADB6A-F818-4E70-8215-6908DC2146F9}"/>
    <cellStyle name="Currency 3 3 3 2 4 3 2" xfId="25680" xr:uid="{BB038EE2-083F-4298-B39A-CE9F102A56C8}"/>
    <cellStyle name="Currency 3 3 3 2 4 4" xfId="19604" xr:uid="{2D16D51D-BC3D-453C-9566-1C206474B7DA}"/>
    <cellStyle name="Currency 3 3 3 2 5" xfId="6421" xr:uid="{A401E09E-1CDF-45DF-8D25-7BD73E900B1A}"/>
    <cellStyle name="Currency 3 3 3 2 5 2" xfId="9893" xr:uid="{6F34DA81-0ED9-4195-9BD8-18E107427CA3}"/>
    <cellStyle name="Currency 3 3 3 2 5 2 2" xfId="23944" xr:uid="{12E76573-3E35-46A3-B081-704C6FCFB848}"/>
    <cellStyle name="Currency 3 3 3 2 5 3" xfId="12497" xr:uid="{5DFB9E4D-9E15-4940-9554-440AB965F208}"/>
    <cellStyle name="Currency 3 3 3 2 5 3 2" xfId="26548" xr:uid="{2595E6E5-C75B-496F-B805-7E659A8123E0}"/>
    <cellStyle name="Currency 3 3 3 2 5 4" xfId="20472" xr:uid="{35A3E962-4519-4DED-A518-510923E5EFB3}"/>
    <cellStyle name="Currency 3 3 3 2 6" xfId="8157" xr:uid="{D8FB9F22-7FE4-4ACD-80E8-ABF987EFA0D1}"/>
    <cellStyle name="Currency 3 3 3 2 6 2" xfId="13365" xr:uid="{9C995F3B-E461-4558-898A-0D70DDC33E0E}"/>
    <cellStyle name="Currency 3 3 3 2 6 2 2" xfId="27416" xr:uid="{9B28635E-3291-451A-9AED-2E12B0556C8A}"/>
    <cellStyle name="Currency 3 3 3 2 6 3" xfId="22208" xr:uid="{51634191-C7AF-4B66-937E-B18D0ACAC4C5}"/>
    <cellStyle name="Currency 3 3 3 2 7" xfId="7289" xr:uid="{74261053-0999-41CF-B935-B6B4CC9DC7DD}"/>
    <cellStyle name="Currency 3 3 3 2 7 2" xfId="21340" xr:uid="{F3A54207-B716-4C3C-9997-AC0369496C23}"/>
    <cellStyle name="Currency 3 3 3 2 8" xfId="10761" xr:uid="{4C6600D6-F726-4108-9958-5316E2883C31}"/>
    <cellStyle name="Currency 3 3 3 2 8 2" xfId="24812" xr:uid="{DA72507E-803A-43B4-9670-D644DBBAC5AD}"/>
    <cellStyle name="Currency 3 3 3 2 9" xfId="15541" xr:uid="{4C313129-59F6-4D3D-A201-2887435454A6}"/>
    <cellStyle name="Currency 3 3 3 3" xfId="2758" xr:uid="{1979B8DB-1C12-4603-A713-3A13002C63A5}"/>
    <cellStyle name="Currency 3 3 3 3 2" xfId="5229" xr:uid="{526AE855-C44F-4756-9D63-2274DBD64CAE}"/>
    <cellStyle name="Currency 3 3 3 3 2 2" xfId="6097" xr:uid="{A9107284-85E9-46A8-BF88-4275B6AA257F}"/>
    <cellStyle name="Currency 3 3 3 3 2 2 2" xfId="9569" xr:uid="{A77AEF45-BCD2-40EB-BDED-6152921D5222}"/>
    <cellStyle name="Currency 3 3 3 3 2 2 2 2" xfId="23620" xr:uid="{FCF00FAF-885B-4890-8F7A-6CFB78402097}"/>
    <cellStyle name="Currency 3 3 3 3 2 2 3" xfId="12173" xr:uid="{A127A0EE-6A7A-4081-BF91-64100DC3E2DC}"/>
    <cellStyle name="Currency 3 3 3 3 2 2 3 2" xfId="26224" xr:uid="{70EAC134-0176-4AC1-AA70-CBBFB12AFDE1}"/>
    <cellStyle name="Currency 3 3 3 3 2 2 4" xfId="20148" xr:uid="{BF2F5F14-E1EE-4B92-97B4-B206D418AD39}"/>
    <cellStyle name="Currency 3 3 3 3 2 3" xfId="6965" xr:uid="{82CA6DEA-52FF-463E-A42F-B4A167418AF8}"/>
    <cellStyle name="Currency 3 3 3 3 2 3 2" xfId="10437" xr:uid="{95B4F6FD-E5D5-4044-873C-916DFA45D364}"/>
    <cellStyle name="Currency 3 3 3 3 2 3 2 2" xfId="24488" xr:uid="{03455E4B-F74F-478E-90E0-EE7D88A0DFA9}"/>
    <cellStyle name="Currency 3 3 3 3 2 3 3" xfId="13041" xr:uid="{C2A403D1-EAE5-4BB0-910B-A4C028C6760B}"/>
    <cellStyle name="Currency 3 3 3 3 2 3 3 2" xfId="27092" xr:uid="{ABD2F6F0-BBC5-45ED-8F7C-0878274D2C8B}"/>
    <cellStyle name="Currency 3 3 3 3 2 3 4" xfId="21016" xr:uid="{9566D612-B516-4578-BCFC-933549C0E031}"/>
    <cellStyle name="Currency 3 3 3 3 2 4" xfId="8701" xr:uid="{6A0C4575-A82A-4376-B1D8-15122BC5A046}"/>
    <cellStyle name="Currency 3 3 3 3 2 4 2" xfId="13909" xr:uid="{B0A46018-CE19-47C1-A468-6601599CE591}"/>
    <cellStyle name="Currency 3 3 3 3 2 4 2 2" xfId="27960" xr:uid="{2B21F143-67E5-46AA-BF56-A48F21FE5B59}"/>
    <cellStyle name="Currency 3 3 3 3 2 4 3" xfId="22752" xr:uid="{8B01B6EC-0842-4BA9-8B57-A768AF86AF27}"/>
    <cellStyle name="Currency 3 3 3 3 2 5" xfId="7833" xr:uid="{0F9BEA9C-AA93-4932-979E-DBE6E37A2F9D}"/>
    <cellStyle name="Currency 3 3 3 3 2 5 2" xfId="21884" xr:uid="{A47CB111-0C08-4DA1-8BB1-E29E14B70374}"/>
    <cellStyle name="Currency 3 3 3 3 2 6" xfId="11305" xr:uid="{E9132DA2-2A74-48CB-AEE4-1533F6A44B28}"/>
    <cellStyle name="Currency 3 3 3 3 2 6 2" xfId="25356" xr:uid="{C62A755E-C711-415B-9062-65AD5B9D716E}"/>
    <cellStyle name="Currency 3 3 3 3 2 7" xfId="19280" xr:uid="{9CCE9809-7BE5-4FFB-85BC-6CDC163BB42E}"/>
    <cellStyle name="Currency 3 3 3 3 3" xfId="5663" xr:uid="{705D4651-85F9-428A-A1A5-7895E8708FBF}"/>
    <cellStyle name="Currency 3 3 3 3 3 2" xfId="9135" xr:uid="{94E85DEC-C778-425D-A05C-4B2F0C6F6224}"/>
    <cellStyle name="Currency 3 3 3 3 3 2 2" xfId="23186" xr:uid="{1063C854-EA58-47F2-A1DA-820381EA9665}"/>
    <cellStyle name="Currency 3 3 3 3 3 3" xfId="11739" xr:uid="{7FC8D1D4-BA08-422C-A007-78D89FDD3BE3}"/>
    <cellStyle name="Currency 3 3 3 3 3 3 2" xfId="25790" xr:uid="{871BA8AE-8E58-4D31-B533-5A4F9791F3A5}"/>
    <cellStyle name="Currency 3 3 3 3 3 4" xfId="19714" xr:uid="{36A3E563-0D14-4118-AB9D-6D240C53B1C0}"/>
    <cellStyle name="Currency 3 3 3 3 4" xfId="6531" xr:uid="{43306CE4-16AE-4E3B-AB98-FDAE6A0D1649}"/>
    <cellStyle name="Currency 3 3 3 3 4 2" xfId="10003" xr:uid="{18740AE9-2594-48BB-9359-8E21715B1039}"/>
    <cellStyle name="Currency 3 3 3 3 4 2 2" xfId="24054" xr:uid="{B24E4658-EEA4-44A6-A921-8D65C6E8C377}"/>
    <cellStyle name="Currency 3 3 3 3 4 3" xfId="12607" xr:uid="{F5E8E94A-D12D-4B7E-AC24-7DD5F5CB6F73}"/>
    <cellStyle name="Currency 3 3 3 3 4 3 2" xfId="26658" xr:uid="{BDC47211-C982-4857-836E-2B94ECA93474}"/>
    <cellStyle name="Currency 3 3 3 3 4 4" xfId="20582" xr:uid="{3856327D-03E7-4B73-98BD-3092DB9E7200}"/>
    <cellStyle name="Currency 3 3 3 3 5" xfId="8267" xr:uid="{24CD8235-23F0-4F44-B968-4C6B598E3261}"/>
    <cellStyle name="Currency 3 3 3 3 5 2" xfId="13475" xr:uid="{2A59FC45-0C47-487E-94E1-D05A3CCC2B75}"/>
    <cellStyle name="Currency 3 3 3 3 5 2 2" xfId="27526" xr:uid="{EFB63936-328A-41AB-BC7D-BC9817E19B07}"/>
    <cellStyle name="Currency 3 3 3 3 5 3" xfId="22318" xr:uid="{0B3FD372-BB31-4929-99AB-0BE61F3D48DB}"/>
    <cellStyle name="Currency 3 3 3 3 6" xfId="7399" xr:uid="{8A40AAFB-09C2-4B3B-9F8B-25342024584D}"/>
    <cellStyle name="Currency 3 3 3 3 6 2" xfId="21450" xr:uid="{478118E4-B312-43F7-A249-1F3A7E56430A}"/>
    <cellStyle name="Currency 3 3 3 3 7" xfId="10871" xr:uid="{BFF00BD0-1654-410E-8029-3D5AB90D2BA5}"/>
    <cellStyle name="Currency 3 3 3 3 7 2" xfId="24922" xr:uid="{120D123C-C8E2-44BE-B1B7-4743957ED486}"/>
    <cellStyle name="Currency 3 3 3 3 8" xfId="16809" xr:uid="{B67CFC28-777E-46A0-84E8-C6F3F8F98A47}"/>
    <cellStyle name="Currency 3 3 3 4" xfId="4777" xr:uid="{158E6E70-5250-4C28-9431-62267856E80F}"/>
    <cellStyle name="Currency 3 3 3 4 2" xfId="5405" xr:uid="{20BCDF01-8519-4EF7-B6DB-31F7EF267E5D}"/>
    <cellStyle name="Currency 3 3 3 4 2 2" xfId="6273" xr:uid="{2FD3F4AD-574A-4129-888A-EB4BFEB1562D}"/>
    <cellStyle name="Currency 3 3 3 4 2 2 2" xfId="9745" xr:uid="{771CE24A-9395-4D76-972D-2D6289D4C7FD}"/>
    <cellStyle name="Currency 3 3 3 4 2 2 2 2" xfId="23796" xr:uid="{08ACC0A9-C41C-445A-AFFF-91CD0AC3CA7E}"/>
    <cellStyle name="Currency 3 3 3 4 2 2 3" xfId="12349" xr:uid="{9702F504-4C36-43BD-8292-77A80D0ADDDF}"/>
    <cellStyle name="Currency 3 3 3 4 2 2 3 2" xfId="26400" xr:uid="{B56D5814-383D-4176-B1FC-3A1428EA98E3}"/>
    <cellStyle name="Currency 3 3 3 4 2 2 4" xfId="20324" xr:uid="{D34BE0D6-A800-4576-A454-697C6E3A7896}"/>
    <cellStyle name="Currency 3 3 3 4 2 3" xfId="7141" xr:uid="{58A9DA50-D2D7-438F-B951-D104D26ED810}"/>
    <cellStyle name="Currency 3 3 3 4 2 3 2" xfId="10613" xr:uid="{D9EC175F-EA45-48DB-9864-0F40D96595AE}"/>
    <cellStyle name="Currency 3 3 3 4 2 3 2 2" xfId="24664" xr:uid="{33A1949C-1E0A-467C-902D-B09A62C4CC98}"/>
    <cellStyle name="Currency 3 3 3 4 2 3 3" xfId="13217" xr:uid="{5D577951-5AD9-40D0-9B47-34521F2F4917}"/>
    <cellStyle name="Currency 3 3 3 4 2 3 3 2" xfId="27268" xr:uid="{A89876E3-2A5D-41B2-A95C-02A0A903298F}"/>
    <cellStyle name="Currency 3 3 3 4 2 3 4" xfId="21192" xr:uid="{DAEF31B0-8673-4E67-A981-F709035C34DC}"/>
    <cellStyle name="Currency 3 3 3 4 2 4" xfId="8877" xr:uid="{FBED5873-2882-4DC5-AA13-E091E88CB398}"/>
    <cellStyle name="Currency 3 3 3 4 2 4 2" xfId="14085" xr:uid="{82D42D2A-CDA3-4F97-8DE8-142966837657}"/>
    <cellStyle name="Currency 3 3 3 4 2 4 2 2" xfId="28136" xr:uid="{86FF1BE9-C3A0-4BEC-857B-83B8A43EDEC0}"/>
    <cellStyle name="Currency 3 3 3 4 2 4 3" xfId="22928" xr:uid="{705DBD58-33C9-4F7B-B31C-D4EDE5FACF62}"/>
    <cellStyle name="Currency 3 3 3 4 2 5" xfId="8009" xr:uid="{4994F6F2-0F43-42CC-8FB6-60D39156C032}"/>
    <cellStyle name="Currency 3 3 3 4 2 5 2" xfId="22060" xr:uid="{9D6420F2-179F-480C-AB86-28EBAB4D77AC}"/>
    <cellStyle name="Currency 3 3 3 4 2 6" xfId="11481" xr:uid="{9C6F82C9-95FB-4601-9E88-ECD7B1A99764}"/>
    <cellStyle name="Currency 3 3 3 4 2 6 2" xfId="25532" xr:uid="{1D2A5EAE-DE16-4FC1-A5FC-710BB6BFAD75}"/>
    <cellStyle name="Currency 3 3 3 4 2 7" xfId="19456" xr:uid="{7043BDA0-CEF3-4421-9D9C-16B222766252}"/>
    <cellStyle name="Currency 3 3 3 4 3" xfId="5839" xr:uid="{E458A831-CC4C-474B-9503-FD72643379AE}"/>
    <cellStyle name="Currency 3 3 3 4 3 2" xfId="9311" xr:uid="{7F884497-2E94-4C03-9A04-F0274A118D64}"/>
    <cellStyle name="Currency 3 3 3 4 3 2 2" xfId="23362" xr:uid="{8CAD495E-8C7B-4078-AF3F-0B1C910272B6}"/>
    <cellStyle name="Currency 3 3 3 4 3 3" xfId="11915" xr:uid="{1472D88B-8955-43A6-B706-FA4A2262158C}"/>
    <cellStyle name="Currency 3 3 3 4 3 3 2" xfId="25966" xr:uid="{30B4F950-6BD1-4010-B892-85C9EBA7908E}"/>
    <cellStyle name="Currency 3 3 3 4 3 4" xfId="19890" xr:uid="{D5DB60EE-BF8C-42FD-B646-15BC9743967F}"/>
    <cellStyle name="Currency 3 3 3 4 4" xfId="6707" xr:uid="{AE600C5A-E102-466F-8300-18FD0FB18A11}"/>
    <cellStyle name="Currency 3 3 3 4 4 2" xfId="10179" xr:uid="{BAE012A0-4EBD-4016-9D81-DF50105BD109}"/>
    <cellStyle name="Currency 3 3 3 4 4 2 2" xfId="24230" xr:uid="{9AE8C159-D3CF-4AE6-8520-2B3589029197}"/>
    <cellStyle name="Currency 3 3 3 4 4 3" xfId="12783" xr:uid="{E218E812-8C90-445E-875B-2B281EA8A137}"/>
    <cellStyle name="Currency 3 3 3 4 4 3 2" xfId="26834" xr:uid="{9C5D2D8C-2A14-4CBA-86FE-9BAAE60655F2}"/>
    <cellStyle name="Currency 3 3 3 4 4 4" xfId="20758" xr:uid="{C1DEFC03-64A7-4FEF-B910-0F4C4A739F4D}"/>
    <cellStyle name="Currency 3 3 3 4 5" xfId="8443" xr:uid="{05D10D72-D940-4948-BBEF-41109BCC845D}"/>
    <cellStyle name="Currency 3 3 3 4 5 2" xfId="13651" xr:uid="{01C9C259-D87F-48A3-A337-A6320079CD50}"/>
    <cellStyle name="Currency 3 3 3 4 5 2 2" xfId="27702" xr:uid="{BA93FAF8-4FC2-46D9-AACC-08D3A6847ADB}"/>
    <cellStyle name="Currency 3 3 3 4 5 3" xfId="22494" xr:uid="{524974AD-E87F-45B8-95A5-E2F8307C8BE6}"/>
    <cellStyle name="Currency 3 3 3 4 6" xfId="7575" xr:uid="{93CF8E8B-609B-487A-948A-0C51617FE00A}"/>
    <cellStyle name="Currency 3 3 3 4 6 2" xfId="21626" xr:uid="{CDFE29AA-054C-4EFB-A356-11E9CCB92693}"/>
    <cellStyle name="Currency 3 3 3 4 7" xfId="11047" xr:uid="{24ED99DD-D383-4E57-9603-F3A911F3A951}"/>
    <cellStyle name="Currency 3 3 3 4 7 2" xfId="25098" xr:uid="{B509548C-4374-4DA0-9458-C15F28B593EE}"/>
    <cellStyle name="Currency 3 3 3 4 8" xfId="18829" xr:uid="{CB2B0B34-23A6-4633-8037-D93DFD7C9B18}"/>
    <cellStyle name="Currency 3 3 3 5" xfId="5035" xr:uid="{83BB1394-EC32-48CE-9432-A882E516278D}"/>
    <cellStyle name="Currency 3 3 3 5 2" xfId="5903" xr:uid="{F404011C-4586-4835-BCCE-E4C846DEF662}"/>
    <cellStyle name="Currency 3 3 3 5 2 2" xfId="9375" xr:uid="{1BD0C165-1940-422A-BCFC-3743BE9EA814}"/>
    <cellStyle name="Currency 3 3 3 5 2 2 2" xfId="23426" xr:uid="{787E893A-0799-4AAA-98E2-7D67FC677039}"/>
    <cellStyle name="Currency 3 3 3 5 2 3" xfId="11979" xr:uid="{BECA1C4C-D8F4-409D-82AD-93FF0DCB0FE4}"/>
    <cellStyle name="Currency 3 3 3 5 2 3 2" xfId="26030" xr:uid="{CE3B8AB3-38F2-4B2E-B57E-0C2C6CAF581F}"/>
    <cellStyle name="Currency 3 3 3 5 2 4" xfId="19954" xr:uid="{EC8A4AB0-1E2E-457C-ACBC-C79D997E74D2}"/>
    <cellStyle name="Currency 3 3 3 5 3" xfId="6771" xr:uid="{4DD31C63-43A0-4AE5-946E-070FE392B5F7}"/>
    <cellStyle name="Currency 3 3 3 5 3 2" xfId="10243" xr:uid="{B5AC8576-5A6D-4AD3-B628-2261133B530E}"/>
    <cellStyle name="Currency 3 3 3 5 3 2 2" xfId="24294" xr:uid="{5BC098F3-102B-4246-9093-90F327C7FF5B}"/>
    <cellStyle name="Currency 3 3 3 5 3 3" xfId="12847" xr:uid="{DC355D59-BD9D-4DF2-A35C-29B9309E7CCB}"/>
    <cellStyle name="Currency 3 3 3 5 3 3 2" xfId="26898" xr:uid="{B91823E6-EED0-4FBB-84F2-8F628BCBCA26}"/>
    <cellStyle name="Currency 3 3 3 5 3 4" xfId="20822" xr:uid="{61DCA7F5-3D5E-4472-B79C-4521F451A639}"/>
    <cellStyle name="Currency 3 3 3 5 4" xfId="8507" xr:uid="{B12EC0B0-37F1-4FD0-9B51-30262397045E}"/>
    <cellStyle name="Currency 3 3 3 5 4 2" xfId="13715" xr:uid="{13494462-A289-412C-914C-C0C85EC97B0F}"/>
    <cellStyle name="Currency 3 3 3 5 4 2 2" xfId="27766" xr:uid="{BDDDA7C8-9BD1-4C8E-963D-48B530686BE6}"/>
    <cellStyle name="Currency 3 3 3 5 4 3" xfId="22558" xr:uid="{F8EEEDBD-4513-4C21-B5E5-203345324C99}"/>
    <cellStyle name="Currency 3 3 3 5 5" xfId="7639" xr:uid="{AB7B6E63-8657-4E8B-A1D5-D14783197E41}"/>
    <cellStyle name="Currency 3 3 3 5 5 2" xfId="21690" xr:uid="{01B38EEE-27D7-4241-8E53-1152828E1373}"/>
    <cellStyle name="Currency 3 3 3 5 6" xfId="11111" xr:uid="{AF00D1A0-95F0-41F4-84FC-20B859B69FF0}"/>
    <cellStyle name="Currency 3 3 3 5 6 2" xfId="25162" xr:uid="{39E66562-5C33-4403-AEBE-A367B098E5FF}"/>
    <cellStyle name="Currency 3 3 3 5 7" xfId="19086" xr:uid="{30DE27F6-1C75-4374-A62D-137B024A7EE8}"/>
    <cellStyle name="Currency 3 3 3 6" xfId="5469" xr:uid="{CE1EC639-4C7C-4E05-B8B6-9F8BD810EBA5}"/>
    <cellStyle name="Currency 3 3 3 6 2" xfId="8941" xr:uid="{21750100-422F-40FB-9E86-9E999996FE80}"/>
    <cellStyle name="Currency 3 3 3 6 2 2" xfId="22992" xr:uid="{7E07EAE5-B194-4C26-9320-2F7E6509A91C}"/>
    <cellStyle name="Currency 3 3 3 6 3" xfId="11545" xr:uid="{B28B3CBE-5408-4827-9FD7-F04686C3BE17}"/>
    <cellStyle name="Currency 3 3 3 6 3 2" xfId="25596" xr:uid="{889B5A85-04A3-4530-8941-C2B70CEFA04A}"/>
    <cellStyle name="Currency 3 3 3 6 4" xfId="19520" xr:uid="{185A3863-5EA6-483D-86BB-C4FBFC0B52BB}"/>
    <cellStyle name="Currency 3 3 3 7" xfId="6337" xr:uid="{D80286F3-8013-4C47-986B-65C00A584518}"/>
    <cellStyle name="Currency 3 3 3 7 2" xfId="9809" xr:uid="{546008FD-2F2E-4306-92FB-404E58913B37}"/>
    <cellStyle name="Currency 3 3 3 7 2 2" xfId="23860" xr:uid="{83F8F668-B1B5-4EA7-BA60-47BE4C80D9F6}"/>
    <cellStyle name="Currency 3 3 3 7 3" xfId="12413" xr:uid="{853F984E-B76C-465E-9D9B-5341A0A88C84}"/>
    <cellStyle name="Currency 3 3 3 7 3 2" xfId="26464" xr:uid="{D5FAD204-799A-4C76-96EC-8CA54BDB8B5B}"/>
    <cellStyle name="Currency 3 3 3 7 4" xfId="20388" xr:uid="{AF1447A3-B206-43C8-868E-8DB31DED6182}"/>
    <cellStyle name="Currency 3 3 3 8" xfId="8073" xr:uid="{E4D61B08-20BF-41D8-AAFE-E5A8A164A94B}"/>
    <cellStyle name="Currency 3 3 3 8 2" xfId="13281" xr:uid="{26F5150C-7DDA-423A-B6AE-87A04F307497}"/>
    <cellStyle name="Currency 3 3 3 8 2 2" xfId="27332" xr:uid="{4E26CF7D-B6C2-495C-A785-70F910826A16}"/>
    <cellStyle name="Currency 3 3 3 8 3" xfId="22124" xr:uid="{071ED254-F8CA-4396-AB71-6EA7B68FEEF3}"/>
    <cellStyle name="Currency 3 3 3 9" xfId="7205" xr:uid="{6B5CE139-EAFF-4C12-AA5D-DEC762C375B8}"/>
    <cellStyle name="Currency 3 3 3 9 2" xfId="21256" xr:uid="{0A3586B8-B914-4358-A05D-82F3E6D084FF}"/>
    <cellStyle name="Currency 3 3 4" xfId="912" xr:uid="{0824B7BB-C5D8-4666-90AB-2D345144A452}"/>
    <cellStyle name="Currency 3 3 4 10" xfId="14962" xr:uid="{1E2078D6-4ED3-40E4-8559-53849D433A55}"/>
    <cellStyle name="Currency 3 3 4 2" xfId="2011" xr:uid="{F53963CB-1984-410D-A2B6-EA7CDF07BDD2}"/>
    <cellStyle name="Currency 3 3 4 2 2" xfId="4200" xr:uid="{1332E6EA-449D-43F0-9641-E3B2A0DA00F0}"/>
    <cellStyle name="Currency 3 3 4 2 2 2" xfId="5354" xr:uid="{1961307D-B9AD-4BBD-8E33-EBB99987C769}"/>
    <cellStyle name="Currency 3 3 4 2 2 2 2" xfId="6222" xr:uid="{38EA0334-FA4A-4129-AC6A-AD16796F76B3}"/>
    <cellStyle name="Currency 3 3 4 2 2 2 2 2" xfId="9694" xr:uid="{5C4096C6-249A-4AFD-B7B7-0F958D5D090F}"/>
    <cellStyle name="Currency 3 3 4 2 2 2 2 2 2" xfId="23745" xr:uid="{0CE5FC0A-6CF2-46B0-A777-71BB866F161C}"/>
    <cellStyle name="Currency 3 3 4 2 2 2 2 3" xfId="12298" xr:uid="{00A01249-9126-4763-9FC7-B093871E8891}"/>
    <cellStyle name="Currency 3 3 4 2 2 2 2 3 2" xfId="26349" xr:uid="{DCA37AD0-47F3-4B65-9B05-A435AB470930}"/>
    <cellStyle name="Currency 3 3 4 2 2 2 2 4" xfId="20273" xr:uid="{5D33341F-686D-4B15-888B-7BB197FC719D}"/>
    <cellStyle name="Currency 3 3 4 2 2 2 3" xfId="7090" xr:uid="{ADFA533C-B0EB-4ECB-B2DC-93556A7B239D}"/>
    <cellStyle name="Currency 3 3 4 2 2 2 3 2" xfId="10562" xr:uid="{3A50EFCA-CC53-4165-B3D0-490116AF5F79}"/>
    <cellStyle name="Currency 3 3 4 2 2 2 3 2 2" xfId="24613" xr:uid="{58346FD9-AC3B-4526-8ED9-73642C44730C}"/>
    <cellStyle name="Currency 3 3 4 2 2 2 3 3" xfId="13166" xr:uid="{4B47DA87-8CB1-4065-86BC-EF1D9788FEB6}"/>
    <cellStyle name="Currency 3 3 4 2 2 2 3 3 2" xfId="27217" xr:uid="{67914FA7-87A1-4230-A664-42C5797518E8}"/>
    <cellStyle name="Currency 3 3 4 2 2 2 3 4" xfId="21141" xr:uid="{39314044-20AB-448E-B920-82E60553C16F}"/>
    <cellStyle name="Currency 3 3 4 2 2 2 4" xfId="8826" xr:uid="{D586DBBD-D8E1-42CE-963B-DA29348D0AB3}"/>
    <cellStyle name="Currency 3 3 4 2 2 2 4 2" xfId="14034" xr:uid="{CC6E7221-CF5C-4D52-B147-A0180E3429C8}"/>
    <cellStyle name="Currency 3 3 4 2 2 2 4 2 2" xfId="28085" xr:uid="{55037915-96BA-4B92-B335-508E657BA010}"/>
    <cellStyle name="Currency 3 3 4 2 2 2 4 3" xfId="22877" xr:uid="{3665D5C5-034C-4388-989B-FBA50532DDDE}"/>
    <cellStyle name="Currency 3 3 4 2 2 2 5" xfId="7958" xr:uid="{E136098F-2403-45F5-8E44-BD12D512D676}"/>
    <cellStyle name="Currency 3 3 4 2 2 2 5 2" xfId="22009" xr:uid="{A3E11A08-1D4F-4D59-886F-3057A1A61765}"/>
    <cellStyle name="Currency 3 3 4 2 2 2 6" xfId="11430" xr:uid="{BAE3B81C-232B-45C1-A1D8-BF35AD268A01}"/>
    <cellStyle name="Currency 3 3 4 2 2 2 6 2" xfId="25481" xr:uid="{30F21DCC-0DF7-469F-86F9-8681CA9D3DFA}"/>
    <cellStyle name="Currency 3 3 4 2 2 2 7" xfId="19405" xr:uid="{5040B3A3-7BF9-40DF-A58B-19293D864381}"/>
    <cellStyle name="Currency 3 3 4 2 2 3" xfId="5788" xr:uid="{3C9F62FC-5097-4AAE-AF4F-3243AFB8988D}"/>
    <cellStyle name="Currency 3 3 4 2 2 3 2" xfId="9260" xr:uid="{7D70F63B-C3F5-45D2-A505-47D09A888CF7}"/>
    <cellStyle name="Currency 3 3 4 2 2 3 2 2" xfId="23311" xr:uid="{0566EF7D-D6AD-46F9-9871-3C98FA75C70B}"/>
    <cellStyle name="Currency 3 3 4 2 2 3 3" xfId="11864" xr:uid="{948A9837-371A-4EE2-AFD0-7205699717AF}"/>
    <cellStyle name="Currency 3 3 4 2 2 3 3 2" xfId="25915" xr:uid="{C66F0990-0472-4F16-B98A-979E686D4EBA}"/>
    <cellStyle name="Currency 3 3 4 2 2 3 4" xfId="19839" xr:uid="{5225C9D9-0141-4148-B199-FDDB74B5A604}"/>
    <cellStyle name="Currency 3 3 4 2 2 4" xfId="6656" xr:uid="{00837E62-5B54-45CF-A1FC-5E4A42E7C021}"/>
    <cellStyle name="Currency 3 3 4 2 2 4 2" xfId="10128" xr:uid="{3540B02F-EBFA-4581-80CD-BDA97B4720A5}"/>
    <cellStyle name="Currency 3 3 4 2 2 4 2 2" xfId="24179" xr:uid="{65A2D741-A3A4-4F80-8B72-E88C7360FA60}"/>
    <cellStyle name="Currency 3 3 4 2 2 4 3" xfId="12732" xr:uid="{0B6EDF15-0BDE-48F8-ABA7-07F1B4DA8361}"/>
    <cellStyle name="Currency 3 3 4 2 2 4 3 2" xfId="26783" xr:uid="{7DCA6349-FF9B-4A69-9CDD-EA4CA6536088}"/>
    <cellStyle name="Currency 3 3 4 2 2 4 4" xfId="20707" xr:uid="{BE12217E-1668-4D5E-AB99-7318284AD417}"/>
    <cellStyle name="Currency 3 3 4 2 2 5" xfId="8392" xr:uid="{22B62DA1-CE26-40B2-829B-6602C6E99DA1}"/>
    <cellStyle name="Currency 3 3 4 2 2 5 2" xfId="13600" xr:uid="{565E8165-0999-432F-9B41-76ED3CA6B705}"/>
    <cellStyle name="Currency 3 3 4 2 2 5 2 2" xfId="27651" xr:uid="{7253554B-525B-49FF-AC3A-29D7D20E0775}"/>
    <cellStyle name="Currency 3 3 4 2 2 5 3" xfId="22443" xr:uid="{98B977EB-7160-41F5-8CB0-2B31049D1E99}"/>
    <cellStyle name="Currency 3 3 4 2 2 6" xfId="7524" xr:uid="{2A894F73-16D9-491C-A796-E3B00B9616C2}"/>
    <cellStyle name="Currency 3 3 4 2 2 6 2" xfId="21575" xr:uid="{651D6690-2928-492C-84DB-735F99110DFA}"/>
    <cellStyle name="Currency 3 3 4 2 2 7" xfId="10996" xr:uid="{78D3E08E-C82B-4C5B-A0A5-A21674C0540D}"/>
    <cellStyle name="Currency 3 3 4 2 2 7 2" xfId="25047" xr:uid="{2ADDBB3D-5665-4151-B5E7-4FF655370744}"/>
    <cellStyle name="Currency 3 3 4 2 2 8" xfId="18251" xr:uid="{AA4201B3-41C4-4841-91D5-4146D6B8AC4A}"/>
    <cellStyle name="Currency 3 3 4 2 3" xfId="5164" xr:uid="{212FEC29-C848-4CAA-A9CF-14EF6EEE3624}"/>
    <cellStyle name="Currency 3 3 4 2 3 2" xfId="6032" xr:uid="{6E994148-722C-4CE0-AF09-17FE6FF0FB45}"/>
    <cellStyle name="Currency 3 3 4 2 3 2 2" xfId="9504" xr:uid="{7A64A288-E680-42DE-A0B9-69C848E48AE0}"/>
    <cellStyle name="Currency 3 3 4 2 3 2 2 2" xfId="23555" xr:uid="{B7F8BD90-1BDA-4E64-B419-3B0E1A248529}"/>
    <cellStyle name="Currency 3 3 4 2 3 2 3" xfId="12108" xr:uid="{C6047016-BBD3-47A6-871B-C21D52AAAAB0}"/>
    <cellStyle name="Currency 3 3 4 2 3 2 3 2" xfId="26159" xr:uid="{751280CD-2490-4436-8864-C873E3F8DD20}"/>
    <cellStyle name="Currency 3 3 4 2 3 2 4" xfId="20083" xr:uid="{260E906E-2A42-49E6-AF01-2E97F683E38F}"/>
    <cellStyle name="Currency 3 3 4 2 3 3" xfId="6900" xr:uid="{5A056607-5731-43FE-AD5B-83E4B4EBE96E}"/>
    <cellStyle name="Currency 3 3 4 2 3 3 2" xfId="10372" xr:uid="{445D5A1A-7F4F-4882-A3CA-0492413FCC0E}"/>
    <cellStyle name="Currency 3 3 4 2 3 3 2 2" xfId="24423" xr:uid="{964806A9-7BD1-4D93-B1E1-9B50AA742B3B}"/>
    <cellStyle name="Currency 3 3 4 2 3 3 3" xfId="12976" xr:uid="{3FA78D60-EFC1-4948-884F-6381152DDA85}"/>
    <cellStyle name="Currency 3 3 4 2 3 3 3 2" xfId="27027" xr:uid="{4103A4EC-A7C7-40DB-8775-98F602177CFD}"/>
    <cellStyle name="Currency 3 3 4 2 3 3 4" xfId="20951" xr:uid="{9A162616-B5D0-4EF5-8565-41AE1C790D33}"/>
    <cellStyle name="Currency 3 3 4 2 3 4" xfId="8636" xr:uid="{F8C4DFF0-DDEB-4C36-92D1-C8E6A0952479}"/>
    <cellStyle name="Currency 3 3 4 2 3 4 2" xfId="13844" xr:uid="{A62A83EB-87C8-4F0E-A3BD-136033A87DAC}"/>
    <cellStyle name="Currency 3 3 4 2 3 4 2 2" xfId="27895" xr:uid="{FBD18098-2143-43C4-9496-CDD62228C77B}"/>
    <cellStyle name="Currency 3 3 4 2 3 4 3" xfId="22687" xr:uid="{38E49299-0D4F-48DF-B2FD-69A01DA93634}"/>
    <cellStyle name="Currency 3 3 4 2 3 5" xfId="7768" xr:uid="{FF002A02-3F65-48FD-8F2F-44CB012D696A}"/>
    <cellStyle name="Currency 3 3 4 2 3 5 2" xfId="21819" xr:uid="{BECD30D3-BEFD-4BAA-B9D7-4200C36898DE}"/>
    <cellStyle name="Currency 3 3 4 2 3 6" xfId="11240" xr:uid="{DC7242E2-1C35-4FA5-B6F6-FE94F3849251}"/>
    <cellStyle name="Currency 3 3 4 2 3 6 2" xfId="25291" xr:uid="{12329E3E-4135-48AF-BD73-5AB0289BCA34}"/>
    <cellStyle name="Currency 3 3 4 2 3 7" xfId="19215" xr:uid="{8ECBC32E-F400-4022-81B3-8D72C5FD1B6D}"/>
    <cellStyle name="Currency 3 3 4 2 4" xfId="5598" xr:uid="{3A779633-0BE9-4A1B-9E86-B6EDDB811577}"/>
    <cellStyle name="Currency 3 3 4 2 4 2" xfId="9070" xr:uid="{A2202A46-243D-43ED-B4B8-8FAE0DBB1DA9}"/>
    <cellStyle name="Currency 3 3 4 2 4 2 2" xfId="23121" xr:uid="{19ABBED5-F127-40F1-ADE1-C51237B974E0}"/>
    <cellStyle name="Currency 3 3 4 2 4 3" xfId="11674" xr:uid="{030FDB47-AC50-4B71-AA32-3F6D6F82A625}"/>
    <cellStyle name="Currency 3 3 4 2 4 3 2" xfId="25725" xr:uid="{B04EFA1B-E965-4DF2-BB6D-53E2EE675388}"/>
    <cellStyle name="Currency 3 3 4 2 4 4" xfId="19649" xr:uid="{1277C741-8EDF-43E7-8443-D7F20F9B74FC}"/>
    <cellStyle name="Currency 3 3 4 2 5" xfId="6466" xr:uid="{E41253B4-877D-4588-94D9-EEB324D1D7A7}"/>
    <cellStyle name="Currency 3 3 4 2 5 2" xfId="9938" xr:uid="{7633132B-403B-4F8C-AA46-97DB54A10301}"/>
    <cellStyle name="Currency 3 3 4 2 5 2 2" xfId="23989" xr:uid="{0B744C20-5496-41C2-8DF3-2A3E055095BD}"/>
    <cellStyle name="Currency 3 3 4 2 5 3" xfId="12542" xr:uid="{4BD6CCB3-A544-4207-96E0-20D527BA24BC}"/>
    <cellStyle name="Currency 3 3 4 2 5 3 2" xfId="26593" xr:uid="{146D20AA-4639-4CC9-8043-7E49AF49A389}"/>
    <cellStyle name="Currency 3 3 4 2 5 4" xfId="20517" xr:uid="{6D7847F4-66BE-49A6-87F8-5CE391642211}"/>
    <cellStyle name="Currency 3 3 4 2 6" xfId="8202" xr:uid="{1D3A5F36-DB08-44BF-ADAD-13F03EF54D1A}"/>
    <cellStyle name="Currency 3 3 4 2 6 2" xfId="13410" xr:uid="{856805C3-6618-47BF-B21C-562B8EB7E326}"/>
    <cellStyle name="Currency 3 3 4 2 6 2 2" xfId="27461" xr:uid="{608B3E6C-0D9D-4B54-B596-80B5D9B0D46D}"/>
    <cellStyle name="Currency 3 3 4 2 6 3" xfId="22253" xr:uid="{921391CA-D252-4533-A491-AB5372BC6F51}"/>
    <cellStyle name="Currency 3 3 4 2 7" xfId="7334" xr:uid="{7F3D8785-0B72-4C72-A0C3-755B4FDEF927}"/>
    <cellStyle name="Currency 3 3 4 2 7 2" xfId="21385" xr:uid="{10CBAD4A-7740-452A-888D-B11D1E24B4CF}"/>
    <cellStyle name="Currency 3 3 4 2 8" xfId="10806" xr:uid="{8C99CA30-37CF-479B-8F73-9830D3E45EF9}"/>
    <cellStyle name="Currency 3 3 4 2 8 2" xfId="24857" xr:uid="{C0CAF51E-0CDE-44BA-9860-3C79B94F6840}"/>
    <cellStyle name="Currency 3 3 4 2 9" xfId="16060" xr:uid="{95AEDC74-B30B-44E4-B9D2-933AC4704219}"/>
    <cellStyle name="Currency 3 3 4 3" xfId="3104" xr:uid="{9B9D5A57-3763-42D7-95B8-16DB72E6E1EC}"/>
    <cellStyle name="Currency 3 3 4 3 2" xfId="5259" xr:uid="{470C8A7D-361A-4E42-96C7-3F6B4840B57E}"/>
    <cellStyle name="Currency 3 3 4 3 2 2" xfId="6127" xr:uid="{FAB90582-FD32-4AEE-847A-608E7073BFF3}"/>
    <cellStyle name="Currency 3 3 4 3 2 2 2" xfId="9599" xr:uid="{6751978F-36D3-4846-8977-0C2F36626CA0}"/>
    <cellStyle name="Currency 3 3 4 3 2 2 2 2" xfId="23650" xr:uid="{3B637666-7E6D-4ABD-B0E4-1982E6E6F8FB}"/>
    <cellStyle name="Currency 3 3 4 3 2 2 3" xfId="12203" xr:uid="{FEC09F5C-2060-4957-8A4C-13F01CE46100}"/>
    <cellStyle name="Currency 3 3 4 3 2 2 3 2" xfId="26254" xr:uid="{150F80E9-752D-4AA9-8FD5-1E30B71EC098}"/>
    <cellStyle name="Currency 3 3 4 3 2 2 4" xfId="20178" xr:uid="{5CF3ABFE-2A06-48B7-8DED-057D1ADEA637}"/>
    <cellStyle name="Currency 3 3 4 3 2 3" xfId="6995" xr:uid="{A66E85E5-60F6-429A-8A13-E630EDDE5C81}"/>
    <cellStyle name="Currency 3 3 4 3 2 3 2" xfId="10467" xr:uid="{5F457E61-3858-4E64-8CB5-67EF136FEBF9}"/>
    <cellStyle name="Currency 3 3 4 3 2 3 2 2" xfId="24518" xr:uid="{250EA3F5-9C65-43DB-B2C1-DE4B18474C7C}"/>
    <cellStyle name="Currency 3 3 4 3 2 3 3" xfId="13071" xr:uid="{D91C31CD-F6C1-4BF7-9E09-991441D354AA}"/>
    <cellStyle name="Currency 3 3 4 3 2 3 3 2" xfId="27122" xr:uid="{B795E1B7-EA4C-4974-B9F1-E56B93F0641A}"/>
    <cellStyle name="Currency 3 3 4 3 2 3 4" xfId="21046" xr:uid="{EC229551-DEC1-4DFC-9293-96CB05B98BDF}"/>
    <cellStyle name="Currency 3 3 4 3 2 4" xfId="8731" xr:uid="{BEFBD0D1-21C4-47A4-A442-1D14C92267BD}"/>
    <cellStyle name="Currency 3 3 4 3 2 4 2" xfId="13939" xr:uid="{B4EAF238-D57B-4681-AD87-D60719138227}"/>
    <cellStyle name="Currency 3 3 4 3 2 4 2 2" xfId="27990" xr:uid="{631BDE48-DB18-45A1-80D1-F42C1AF08FC1}"/>
    <cellStyle name="Currency 3 3 4 3 2 4 3" xfId="22782" xr:uid="{924FB2A8-25C1-4BDA-9F1F-0951427C6533}"/>
    <cellStyle name="Currency 3 3 4 3 2 5" xfId="7863" xr:uid="{28CF2D22-D1B4-4595-B5A3-51A06B6A7A4A}"/>
    <cellStyle name="Currency 3 3 4 3 2 5 2" xfId="21914" xr:uid="{D50C792B-31E5-4B4E-92DD-70275B3858F1}"/>
    <cellStyle name="Currency 3 3 4 3 2 6" xfId="11335" xr:uid="{C10272EB-D8CE-4B50-8B1B-CB18FB7F3DD2}"/>
    <cellStyle name="Currency 3 3 4 3 2 6 2" xfId="25386" xr:uid="{93AD4FE6-01C0-45BC-AE39-28FF12A7258F}"/>
    <cellStyle name="Currency 3 3 4 3 2 7" xfId="19310" xr:uid="{B6BB5191-8BEB-4EAD-8A34-215D052F280C}"/>
    <cellStyle name="Currency 3 3 4 3 3" xfId="5693" xr:uid="{21F4AA24-F88A-487A-A91E-4068300222A3}"/>
    <cellStyle name="Currency 3 3 4 3 3 2" xfId="9165" xr:uid="{2984E039-0E6F-418E-89E7-EB37E4557D83}"/>
    <cellStyle name="Currency 3 3 4 3 3 2 2" xfId="23216" xr:uid="{AF139435-9220-4BEF-8BFF-E5CD8820BA6D}"/>
    <cellStyle name="Currency 3 3 4 3 3 3" xfId="11769" xr:uid="{7C881EA4-0518-4F5F-89DB-7CC96FD7D1D4}"/>
    <cellStyle name="Currency 3 3 4 3 3 3 2" xfId="25820" xr:uid="{E0C8FBC7-4283-409E-8FE1-37C658C165F2}"/>
    <cellStyle name="Currency 3 3 4 3 3 4" xfId="19744" xr:uid="{695A9466-97B5-456F-A6C8-0E194D9CF01D}"/>
    <cellStyle name="Currency 3 3 4 3 4" xfId="6561" xr:uid="{B088C64C-E516-41EA-A65C-0806A31624D9}"/>
    <cellStyle name="Currency 3 3 4 3 4 2" xfId="10033" xr:uid="{894E2D39-C70E-432E-B616-609BF5E408D4}"/>
    <cellStyle name="Currency 3 3 4 3 4 2 2" xfId="24084" xr:uid="{CBE6ADB2-FE5E-4DEA-9BDA-5978C4DE56E2}"/>
    <cellStyle name="Currency 3 3 4 3 4 3" xfId="12637" xr:uid="{504C1BD6-88EC-47E4-8E22-C8773DAA9B45}"/>
    <cellStyle name="Currency 3 3 4 3 4 3 2" xfId="26688" xr:uid="{FA73619A-2516-42A7-A1D7-A4099F47A524}"/>
    <cellStyle name="Currency 3 3 4 3 4 4" xfId="20612" xr:uid="{5B23A217-C9E7-471F-A03F-8D7424273BDF}"/>
    <cellStyle name="Currency 3 3 4 3 5" xfId="8297" xr:uid="{F8B6EE4A-29AC-49EE-B41B-CE51C099DAA3}"/>
    <cellStyle name="Currency 3 3 4 3 5 2" xfId="13505" xr:uid="{07C885B2-502C-466B-919E-F335DE8FABAF}"/>
    <cellStyle name="Currency 3 3 4 3 5 2 2" xfId="27556" xr:uid="{DFD9FE8C-AD8F-484B-80C3-577EE8970F33}"/>
    <cellStyle name="Currency 3 3 4 3 5 3" xfId="22348" xr:uid="{4DAE47BC-E2E9-4141-BA99-08BD9F3DF273}"/>
    <cellStyle name="Currency 3 3 4 3 6" xfId="7429" xr:uid="{40C95C84-D997-4768-9102-E3325463688F}"/>
    <cellStyle name="Currency 3 3 4 3 6 2" xfId="21480" xr:uid="{DD727435-6263-4E06-B029-6A727DAF34DB}"/>
    <cellStyle name="Currency 3 3 4 3 7" xfId="10901" xr:uid="{037F8B2F-9F8C-4184-8575-04D89C9A79B0}"/>
    <cellStyle name="Currency 3 3 4 3 7 2" xfId="24952" xr:uid="{226F4977-C0FA-4C7B-8E8B-69C2B524F9FA}"/>
    <cellStyle name="Currency 3 3 4 3 8" xfId="17156" xr:uid="{F039B92E-9273-455C-A414-8715C38710C5}"/>
    <cellStyle name="Currency 3 3 4 4" xfId="5067" xr:uid="{9A2EC9C8-822F-4638-9C09-046C8A4BCF5F}"/>
    <cellStyle name="Currency 3 3 4 4 2" xfId="5935" xr:uid="{7254D881-B28D-43D4-8C27-2A510B26C714}"/>
    <cellStyle name="Currency 3 3 4 4 2 2" xfId="9407" xr:uid="{795BBA99-F0ED-4236-9C58-52468D9046C6}"/>
    <cellStyle name="Currency 3 3 4 4 2 2 2" xfId="23458" xr:uid="{16F90F90-F278-4E39-964B-CF26CD4708A1}"/>
    <cellStyle name="Currency 3 3 4 4 2 3" xfId="12011" xr:uid="{DBCFF2AF-2E10-46E7-8B37-B9E56193DD9F}"/>
    <cellStyle name="Currency 3 3 4 4 2 3 2" xfId="26062" xr:uid="{9BA77277-F30E-4C79-A276-52D3742C11BA}"/>
    <cellStyle name="Currency 3 3 4 4 2 4" xfId="19986" xr:uid="{57265244-C5BD-455E-BF6A-9A7D0236BA7B}"/>
    <cellStyle name="Currency 3 3 4 4 3" xfId="6803" xr:uid="{879A5930-A190-4F8D-8A9D-6AAEE00C0729}"/>
    <cellStyle name="Currency 3 3 4 4 3 2" xfId="10275" xr:uid="{C7B6267C-810D-4097-A182-6A062DDD8EAB}"/>
    <cellStyle name="Currency 3 3 4 4 3 2 2" xfId="24326" xr:uid="{284EBB52-AE5D-4907-98A6-B77AE0E6C562}"/>
    <cellStyle name="Currency 3 3 4 4 3 3" xfId="12879" xr:uid="{645CB931-F1DE-47D9-9BAD-950343020B82}"/>
    <cellStyle name="Currency 3 3 4 4 3 3 2" xfId="26930" xr:uid="{84853ED0-55B5-4B48-BD4A-34000A6607D3}"/>
    <cellStyle name="Currency 3 3 4 4 3 4" xfId="20854" xr:uid="{883F4022-2AA4-4D7E-9C17-3F2D87C60D86}"/>
    <cellStyle name="Currency 3 3 4 4 4" xfId="8539" xr:uid="{8AF2C959-E488-4191-91CF-887E61388A1A}"/>
    <cellStyle name="Currency 3 3 4 4 4 2" xfId="13747" xr:uid="{27A7DFC2-4D0A-4E84-8B9A-6D59EDB2391B}"/>
    <cellStyle name="Currency 3 3 4 4 4 2 2" xfId="27798" xr:uid="{498562FC-00F9-4051-9BC6-95F2DF7AA58E}"/>
    <cellStyle name="Currency 3 3 4 4 4 3" xfId="22590" xr:uid="{B1224B89-80ED-48EB-AD0E-CD8290380BF0}"/>
    <cellStyle name="Currency 3 3 4 4 5" xfId="7671" xr:uid="{47183997-CB87-4617-9323-07D05FB2A1A1}"/>
    <cellStyle name="Currency 3 3 4 4 5 2" xfId="21722" xr:uid="{8ECFECFA-8632-4860-93B2-D64C39245709}"/>
    <cellStyle name="Currency 3 3 4 4 6" xfId="11143" xr:uid="{DCF11B5A-398F-45F4-90E9-77BB537A03A0}"/>
    <cellStyle name="Currency 3 3 4 4 6 2" xfId="25194" xr:uid="{375E8EF8-7406-4545-9F18-DE0872F73AF1}"/>
    <cellStyle name="Currency 3 3 4 4 7" xfId="19118" xr:uid="{54BB36A4-8CFC-4F19-996E-C939705F0237}"/>
    <cellStyle name="Currency 3 3 4 5" xfId="5501" xr:uid="{EDE4D6EA-CC5E-4BBB-996D-29F443B31F4D}"/>
    <cellStyle name="Currency 3 3 4 5 2" xfId="8973" xr:uid="{A796AB79-6DA0-498C-89A5-9AB9C0A2263B}"/>
    <cellStyle name="Currency 3 3 4 5 2 2" xfId="23024" xr:uid="{5EB25808-DDEE-4757-A870-5D68CEA15FCB}"/>
    <cellStyle name="Currency 3 3 4 5 3" xfId="11577" xr:uid="{C279171F-C0CA-483E-9B43-52BE77F5E60A}"/>
    <cellStyle name="Currency 3 3 4 5 3 2" xfId="25628" xr:uid="{50FFD761-6536-4464-92E5-3F666BD22EB8}"/>
    <cellStyle name="Currency 3 3 4 5 4" xfId="19552" xr:uid="{7810D8B0-F33D-43A9-9E35-A807C68DB246}"/>
    <cellStyle name="Currency 3 3 4 6" xfId="6369" xr:uid="{680F20E5-0722-4476-B9A3-756EC4BFF796}"/>
    <cellStyle name="Currency 3 3 4 6 2" xfId="9841" xr:uid="{39896292-B67C-4747-BA85-1AA2DCD1284C}"/>
    <cellStyle name="Currency 3 3 4 6 2 2" xfId="23892" xr:uid="{0C48551F-0C1E-4CC1-A3EA-51FC598B0586}"/>
    <cellStyle name="Currency 3 3 4 6 3" xfId="12445" xr:uid="{0E8E5607-5B75-40AB-9623-3E876A3E71BC}"/>
    <cellStyle name="Currency 3 3 4 6 3 2" xfId="26496" xr:uid="{338C39BE-D072-4A84-968D-6EF043E764AE}"/>
    <cellStyle name="Currency 3 3 4 6 4" xfId="20420" xr:uid="{8C7D4619-B1DE-48AE-971D-B06B1D481C6E}"/>
    <cellStyle name="Currency 3 3 4 7" xfId="8105" xr:uid="{6A07AE13-C9D5-4BE3-99EF-CE70D3B65DCD}"/>
    <cellStyle name="Currency 3 3 4 7 2" xfId="13313" xr:uid="{436FDDCE-4729-442D-AE11-479DD8C1D399}"/>
    <cellStyle name="Currency 3 3 4 7 2 2" xfId="27364" xr:uid="{B449E8DC-F9D0-4C1E-95B9-B567BD44FF8C}"/>
    <cellStyle name="Currency 3 3 4 7 3" xfId="22156" xr:uid="{A079BCF8-9349-4010-8C18-88A098A6E411}"/>
    <cellStyle name="Currency 3 3 4 8" xfId="7237" xr:uid="{31A6D8DE-5D98-410E-B1B6-70C99ABCFA95}"/>
    <cellStyle name="Currency 3 3 4 8 2" xfId="21288" xr:uid="{ADC43B95-5AD9-4D5D-BDE2-BC28F64D87A7}"/>
    <cellStyle name="Currency 3 3 4 9" xfId="10709" xr:uid="{3BAF75BC-CCDD-4E4B-B26E-6D1D55D7C9DB}"/>
    <cellStyle name="Currency 3 3 4 9 2" xfId="24760" xr:uid="{E50FEC85-088C-4E2F-8093-1AE9566A3E9C}"/>
    <cellStyle name="Currency 3 3 5" xfId="1319" xr:uid="{AF16DDA7-B586-4DDB-802A-E80218B1DAD7}"/>
    <cellStyle name="Currency 3 3 5 2" xfId="3510" xr:uid="{3B25E7D5-768D-479C-997C-032757D9F8B8}"/>
    <cellStyle name="Currency 3 3 5 2 2" xfId="5295" xr:uid="{D36C5422-B39F-4DA2-B70A-704C19747949}"/>
    <cellStyle name="Currency 3 3 5 2 2 2" xfId="6163" xr:uid="{7396EDAD-48F8-4234-8325-805162A46AC5}"/>
    <cellStyle name="Currency 3 3 5 2 2 2 2" xfId="9635" xr:uid="{FA317CC6-4609-4DD0-8DCE-E674C970AF27}"/>
    <cellStyle name="Currency 3 3 5 2 2 2 2 2" xfId="23686" xr:uid="{2FEF7297-B9E8-4FC3-B993-47EF7DC2802D}"/>
    <cellStyle name="Currency 3 3 5 2 2 2 3" xfId="12239" xr:uid="{42CC21EB-C613-4B8B-A564-ECBA013DAA49}"/>
    <cellStyle name="Currency 3 3 5 2 2 2 3 2" xfId="26290" xr:uid="{6DDFC2E1-1A8E-4510-8A39-FA32C69D96CE}"/>
    <cellStyle name="Currency 3 3 5 2 2 2 4" xfId="20214" xr:uid="{A9A2E601-2F9C-4BD1-8173-BCD2F9D17853}"/>
    <cellStyle name="Currency 3 3 5 2 2 3" xfId="7031" xr:uid="{F656745A-2C0A-4A08-B42A-DE1FDF86B61A}"/>
    <cellStyle name="Currency 3 3 5 2 2 3 2" xfId="10503" xr:uid="{1B49418D-7A0B-4068-8BBA-DB438E48B670}"/>
    <cellStyle name="Currency 3 3 5 2 2 3 2 2" xfId="24554" xr:uid="{6C613A46-9348-4DB1-87B9-41A918E018CD}"/>
    <cellStyle name="Currency 3 3 5 2 2 3 3" xfId="13107" xr:uid="{9D266373-6708-4DD6-B5C4-07F85DEC6D9D}"/>
    <cellStyle name="Currency 3 3 5 2 2 3 3 2" xfId="27158" xr:uid="{5ACEE8D4-FDFB-4A1D-A121-22B0C1E0AE5E}"/>
    <cellStyle name="Currency 3 3 5 2 2 3 4" xfId="21082" xr:uid="{6BC63824-C6A1-42AC-BC77-81193EBF10AB}"/>
    <cellStyle name="Currency 3 3 5 2 2 4" xfId="8767" xr:uid="{FACFAFEC-A339-40B7-A5BE-480DCBC087DA}"/>
    <cellStyle name="Currency 3 3 5 2 2 4 2" xfId="13975" xr:uid="{7D767BBF-FD7A-44BC-94E0-6733BA43F35D}"/>
    <cellStyle name="Currency 3 3 5 2 2 4 2 2" xfId="28026" xr:uid="{E9E1C615-F886-49E2-8DBC-285F5E1EB612}"/>
    <cellStyle name="Currency 3 3 5 2 2 4 3" xfId="22818" xr:uid="{5B94411F-A6B5-48EE-86B2-4C1E9BDC2070}"/>
    <cellStyle name="Currency 3 3 5 2 2 5" xfId="7899" xr:uid="{F9D29309-A13E-4DA4-83A1-6090B7EE4C7F}"/>
    <cellStyle name="Currency 3 3 5 2 2 5 2" xfId="21950" xr:uid="{5191AE8F-3BB8-4EAD-BA11-C2EC84AD0966}"/>
    <cellStyle name="Currency 3 3 5 2 2 6" xfId="11371" xr:uid="{4C920F18-8DD4-4E59-9B5F-66AC55ACC021}"/>
    <cellStyle name="Currency 3 3 5 2 2 6 2" xfId="25422" xr:uid="{86B2562D-9A7B-427C-BE99-3445EC549C46}"/>
    <cellStyle name="Currency 3 3 5 2 2 7" xfId="19346" xr:uid="{5C3125C7-A065-44C9-9E4F-3AB0E5071BF1}"/>
    <cellStyle name="Currency 3 3 5 2 3" xfId="5729" xr:uid="{963911F8-FB36-433D-BFB6-4FAFBA2F1C5D}"/>
    <cellStyle name="Currency 3 3 5 2 3 2" xfId="9201" xr:uid="{DA798BDC-22DE-421E-A96C-1C6A920A5717}"/>
    <cellStyle name="Currency 3 3 5 2 3 2 2" xfId="23252" xr:uid="{0A833C71-8B41-48C6-8702-1202EC10535B}"/>
    <cellStyle name="Currency 3 3 5 2 3 3" xfId="11805" xr:uid="{41ACCE9A-7451-4910-AD88-9B18C6148E35}"/>
    <cellStyle name="Currency 3 3 5 2 3 3 2" xfId="25856" xr:uid="{BB136679-22B6-44E8-829E-BFF04C0A7A0B}"/>
    <cellStyle name="Currency 3 3 5 2 3 4" xfId="19780" xr:uid="{F07FDB8D-C26D-4D9B-ACC6-D4B4F9EDF686}"/>
    <cellStyle name="Currency 3 3 5 2 4" xfId="6597" xr:uid="{A946A08B-FB7C-4E7B-8B69-FD3028796B87}"/>
    <cellStyle name="Currency 3 3 5 2 4 2" xfId="10069" xr:uid="{B574010F-4B34-4388-AD60-39814F37A143}"/>
    <cellStyle name="Currency 3 3 5 2 4 2 2" xfId="24120" xr:uid="{36ADB02B-A7FB-4914-BE89-6AB5CEEEB0FF}"/>
    <cellStyle name="Currency 3 3 5 2 4 3" xfId="12673" xr:uid="{40690948-AF89-4F23-A325-C95A453AF719}"/>
    <cellStyle name="Currency 3 3 5 2 4 3 2" xfId="26724" xr:uid="{16B8C223-EAB4-4D97-BC3B-106A28195D01}"/>
    <cellStyle name="Currency 3 3 5 2 4 4" xfId="20648" xr:uid="{D333B520-32CF-45D1-AF7C-C2C2A8462257}"/>
    <cellStyle name="Currency 3 3 5 2 5" xfId="8333" xr:uid="{4CC487B9-3BA2-4C17-A7EE-C1D6BA1103E6}"/>
    <cellStyle name="Currency 3 3 5 2 5 2" xfId="13541" xr:uid="{DF23C30C-F658-40B0-83A3-E615B77FE6A4}"/>
    <cellStyle name="Currency 3 3 5 2 5 2 2" xfId="27592" xr:uid="{43E95485-E118-477F-9C4A-3CF4C90AE39B}"/>
    <cellStyle name="Currency 3 3 5 2 5 3" xfId="22384" xr:uid="{5D48D182-F257-4B9B-982B-6A7F17C02EDB}"/>
    <cellStyle name="Currency 3 3 5 2 6" xfId="7465" xr:uid="{E93C8BDD-5E5F-4738-A01A-180ABCBEB466}"/>
    <cellStyle name="Currency 3 3 5 2 6 2" xfId="21516" xr:uid="{DCFCCF8E-BD2F-4C0E-9294-BAABF0B96E77}"/>
    <cellStyle name="Currency 3 3 5 2 7" xfId="10937" xr:uid="{C0070E6B-ED13-4EAC-98D3-301588C8B381}"/>
    <cellStyle name="Currency 3 3 5 2 7 2" xfId="24988" xr:uid="{23057B71-94AC-408A-8737-C0F25C570ADA}"/>
    <cellStyle name="Currency 3 3 5 2 8" xfId="17562" xr:uid="{8684A9C2-434B-4400-990B-F2394A775F33}"/>
    <cellStyle name="Currency 3 3 5 3" xfId="5104" xr:uid="{D3686292-110F-4560-8119-ADC6251E3D96}"/>
    <cellStyle name="Currency 3 3 5 3 2" xfId="5972" xr:uid="{AB61D60A-BD3A-4090-B8DF-D263E57E6743}"/>
    <cellStyle name="Currency 3 3 5 3 2 2" xfId="9444" xr:uid="{92CF6E5A-491E-450C-B19A-AFEA6402503B}"/>
    <cellStyle name="Currency 3 3 5 3 2 2 2" xfId="23495" xr:uid="{C3F9C1C3-649C-4A0B-BE6C-6ACD0EA233CE}"/>
    <cellStyle name="Currency 3 3 5 3 2 3" xfId="12048" xr:uid="{36A4847E-DC0D-4BF0-9608-9E344DABB6C2}"/>
    <cellStyle name="Currency 3 3 5 3 2 3 2" xfId="26099" xr:uid="{8B7D9B78-CDDA-41EE-A926-81E9D6BD5545}"/>
    <cellStyle name="Currency 3 3 5 3 2 4" xfId="20023" xr:uid="{AE2FF4E5-EDF1-47BC-A105-4A99DBA88C35}"/>
    <cellStyle name="Currency 3 3 5 3 3" xfId="6840" xr:uid="{94142C84-0C3D-4EDB-98AD-53EDC7C09771}"/>
    <cellStyle name="Currency 3 3 5 3 3 2" xfId="10312" xr:uid="{B7FFC83D-6884-4948-AD41-DF0D036ED03A}"/>
    <cellStyle name="Currency 3 3 5 3 3 2 2" xfId="24363" xr:uid="{A4F2DB8A-E359-47D0-B743-D6329C889067}"/>
    <cellStyle name="Currency 3 3 5 3 3 3" xfId="12916" xr:uid="{B6424A7C-C958-4029-A513-84022ED5C4F4}"/>
    <cellStyle name="Currency 3 3 5 3 3 3 2" xfId="26967" xr:uid="{F1724082-98FF-4CA1-A63C-243FDCD8AF33}"/>
    <cellStyle name="Currency 3 3 5 3 3 4" xfId="20891" xr:uid="{90D2AE94-94DC-45B6-A113-5E9E237CB043}"/>
    <cellStyle name="Currency 3 3 5 3 4" xfId="8576" xr:uid="{0798C411-10AF-4E64-9C74-6A9D1A2E9FD9}"/>
    <cellStyle name="Currency 3 3 5 3 4 2" xfId="13784" xr:uid="{62BA295A-80FE-4D1A-9AEC-67DB88D6319E}"/>
    <cellStyle name="Currency 3 3 5 3 4 2 2" xfId="27835" xr:uid="{6ACD650E-53FB-41E4-ABFA-35C9A679EA48}"/>
    <cellStyle name="Currency 3 3 5 3 4 3" xfId="22627" xr:uid="{41F2574D-9E1C-4070-B0FB-AD37725A85C2}"/>
    <cellStyle name="Currency 3 3 5 3 5" xfId="7708" xr:uid="{7EAFA669-1B6A-468A-B914-A55B9AC9C6DF}"/>
    <cellStyle name="Currency 3 3 5 3 5 2" xfId="21759" xr:uid="{74E1D0E7-B045-4819-8173-00C539E54A91}"/>
    <cellStyle name="Currency 3 3 5 3 6" xfId="11180" xr:uid="{51C0DC59-9463-4CA0-9088-28B6920DB34F}"/>
    <cellStyle name="Currency 3 3 5 3 6 2" xfId="25231" xr:uid="{5082844A-EF80-4B5F-910D-0DA4220ECC06}"/>
    <cellStyle name="Currency 3 3 5 3 7" xfId="19155" xr:uid="{323FF662-BE3F-4B1B-8096-5C216BAEB873}"/>
    <cellStyle name="Currency 3 3 5 4" xfId="5538" xr:uid="{A26ED674-DA5B-4E8A-97AD-56758910C94C}"/>
    <cellStyle name="Currency 3 3 5 4 2" xfId="9010" xr:uid="{68CDFC37-BCA1-4DEE-85E0-D4606B096A09}"/>
    <cellStyle name="Currency 3 3 5 4 2 2" xfId="23061" xr:uid="{40D7D2E2-9578-4CCD-A41A-5CDA64DB944E}"/>
    <cellStyle name="Currency 3 3 5 4 3" xfId="11614" xr:uid="{2543BFB4-B469-45D4-A4E9-B66A23DD628A}"/>
    <cellStyle name="Currency 3 3 5 4 3 2" xfId="25665" xr:uid="{8ABFD444-3E9C-4309-87D1-7B494C947F77}"/>
    <cellStyle name="Currency 3 3 5 4 4" xfId="19589" xr:uid="{9C220BDE-287F-45C6-B2DD-418A34957509}"/>
    <cellStyle name="Currency 3 3 5 5" xfId="6406" xr:uid="{2576A150-A937-4948-AF18-06F46CBDB431}"/>
    <cellStyle name="Currency 3 3 5 5 2" xfId="9878" xr:uid="{9201D665-9696-4977-9BE6-8C8D648931E8}"/>
    <cellStyle name="Currency 3 3 5 5 2 2" xfId="23929" xr:uid="{18E186FD-057C-4F6C-83E5-8652D612BCE8}"/>
    <cellStyle name="Currency 3 3 5 5 3" xfId="12482" xr:uid="{7E17C0ED-65E7-459B-A024-F7E34F2A0B05}"/>
    <cellStyle name="Currency 3 3 5 5 3 2" xfId="26533" xr:uid="{5DA96EAC-FF8F-4D94-A4E7-0E62117F6188}"/>
    <cellStyle name="Currency 3 3 5 5 4" xfId="20457" xr:uid="{953C0EC9-2679-40B9-9DD0-16475965DEEE}"/>
    <cellStyle name="Currency 3 3 5 6" xfId="8142" xr:uid="{F5AA116A-08F9-4710-B3A6-748278BEBE43}"/>
    <cellStyle name="Currency 3 3 5 6 2" xfId="13350" xr:uid="{69B35D72-A12D-4952-BB38-F4B962BB4E8D}"/>
    <cellStyle name="Currency 3 3 5 6 2 2" xfId="27401" xr:uid="{65B8C3A2-E499-4E51-A15C-93CCEFD20289}"/>
    <cellStyle name="Currency 3 3 5 6 3" xfId="22193" xr:uid="{8DAF7F27-E689-45A1-8C95-0F41E0B98CF2}"/>
    <cellStyle name="Currency 3 3 5 7" xfId="7274" xr:uid="{1DAFB729-E951-48AB-98CA-E18168820A38}"/>
    <cellStyle name="Currency 3 3 5 7 2" xfId="21325" xr:uid="{29AC2FA6-90BA-42E4-8280-00CABEE3C59B}"/>
    <cellStyle name="Currency 3 3 5 8" xfId="10746" xr:uid="{5C66F0EA-03A8-4D3E-8708-B3C67C708648}"/>
    <cellStyle name="Currency 3 3 5 8 2" xfId="24797" xr:uid="{EE055EB9-0568-4563-ABE9-5D4125C93439}"/>
    <cellStyle name="Currency 3 3 5 9" xfId="15368" xr:uid="{970F743C-D123-4092-BC89-A0101283ACBC}"/>
    <cellStyle name="Currency 3 3 6" xfId="2411" xr:uid="{42DCD2A0-4209-49E2-9E2C-A504BB326091}"/>
    <cellStyle name="Currency 3 3 6 2" xfId="5199" xr:uid="{216AFAE9-8ECF-4A66-B071-FA2B99FC33E0}"/>
    <cellStyle name="Currency 3 3 6 2 2" xfId="6067" xr:uid="{67098FA8-6B8E-4608-AFB0-B51C07265519}"/>
    <cellStyle name="Currency 3 3 6 2 2 2" xfId="9539" xr:uid="{B5EFA3C4-CDA7-4059-906D-51105AAA063A}"/>
    <cellStyle name="Currency 3 3 6 2 2 2 2" xfId="23590" xr:uid="{90FE7B79-64FF-4DF4-9B84-434AA90A761C}"/>
    <cellStyle name="Currency 3 3 6 2 2 3" xfId="12143" xr:uid="{B1075E3A-7067-4ACB-ABB5-A06F83429267}"/>
    <cellStyle name="Currency 3 3 6 2 2 3 2" xfId="26194" xr:uid="{EF72E569-FE9E-4E1D-967B-D4286311AB5B}"/>
    <cellStyle name="Currency 3 3 6 2 2 4" xfId="20118" xr:uid="{7C27F7C2-337D-4621-904F-FA19FC786C04}"/>
    <cellStyle name="Currency 3 3 6 2 3" xfId="6935" xr:uid="{63C141C8-2172-463D-8FBE-317A7D3A579A}"/>
    <cellStyle name="Currency 3 3 6 2 3 2" xfId="10407" xr:uid="{753AFCD3-CB89-49F8-B0ED-C46991B4FA2A}"/>
    <cellStyle name="Currency 3 3 6 2 3 2 2" xfId="24458" xr:uid="{BEBCD661-E6A0-4DD7-A51A-044638C7FE92}"/>
    <cellStyle name="Currency 3 3 6 2 3 3" xfId="13011" xr:uid="{6C14C8E2-1BB3-47F5-B415-A550B611A946}"/>
    <cellStyle name="Currency 3 3 6 2 3 3 2" xfId="27062" xr:uid="{35082E26-781E-4EAF-A8DB-7512F077FF75}"/>
    <cellStyle name="Currency 3 3 6 2 3 4" xfId="20986" xr:uid="{52A4284D-F1D6-43EE-B829-083903739EB3}"/>
    <cellStyle name="Currency 3 3 6 2 4" xfId="8671" xr:uid="{D5B2638E-8BBF-4A2E-BD1E-9E7AF19998AD}"/>
    <cellStyle name="Currency 3 3 6 2 4 2" xfId="13879" xr:uid="{F4F0304B-3C75-4D8F-B8A9-4ADE36AE44E3}"/>
    <cellStyle name="Currency 3 3 6 2 4 2 2" xfId="27930" xr:uid="{C76777CA-6DEE-42D7-A150-8F5888B6BF7F}"/>
    <cellStyle name="Currency 3 3 6 2 4 3" xfId="22722" xr:uid="{3DF0FEE7-38D4-4B9E-B3B3-E2AD920923E4}"/>
    <cellStyle name="Currency 3 3 6 2 5" xfId="7803" xr:uid="{7B1B0EA3-308A-4F2A-BEE4-13F32CDC8EE3}"/>
    <cellStyle name="Currency 3 3 6 2 5 2" xfId="21854" xr:uid="{84B64BB8-1741-400E-9627-A32409AF6CEF}"/>
    <cellStyle name="Currency 3 3 6 2 6" xfId="11275" xr:uid="{91924344-1457-4C13-B621-62AFE1BFCBB7}"/>
    <cellStyle name="Currency 3 3 6 2 6 2" xfId="25326" xr:uid="{3D2B6714-4906-458D-AAC7-6BD6AA405CBA}"/>
    <cellStyle name="Currency 3 3 6 2 7" xfId="19250" xr:uid="{899C492A-7F81-424E-B809-397F540B5058}"/>
    <cellStyle name="Currency 3 3 6 3" xfId="5633" xr:uid="{F8DEB5EA-0361-4B48-A20A-16B3DA9019F4}"/>
    <cellStyle name="Currency 3 3 6 3 2" xfId="9105" xr:uid="{386C6D9E-062A-46E9-A37D-DCD8FD67EE0E}"/>
    <cellStyle name="Currency 3 3 6 3 2 2" xfId="23156" xr:uid="{A61EB0B1-47E0-4AB8-92E2-130236A7DAC7}"/>
    <cellStyle name="Currency 3 3 6 3 3" xfId="11709" xr:uid="{AFF118A0-10A3-4F4D-87C7-3B2DE4038B86}"/>
    <cellStyle name="Currency 3 3 6 3 3 2" xfId="25760" xr:uid="{F6301C9B-5216-4206-8B78-35837CD229D6}"/>
    <cellStyle name="Currency 3 3 6 3 4" xfId="19684" xr:uid="{DA54F244-1C40-4C8A-B664-5003AE3BE614}"/>
    <cellStyle name="Currency 3 3 6 4" xfId="6501" xr:uid="{6C26F2F9-AE41-445C-BC2D-FCA13F77051D}"/>
    <cellStyle name="Currency 3 3 6 4 2" xfId="9973" xr:uid="{0B6523C9-2537-4407-9C8E-A8DEAEF79902}"/>
    <cellStyle name="Currency 3 3 6 4 2 2" xfId="24024" xr:uid="{F3BB29F6-523E-418F-B47A-73E1D242FF54}"/>
    <cellStyle name="Currency 3 3 6 4 3" xfId="12577" xr:uid="{0BE1CB2F-F905-4E69-9FCD-E7B58D49AA42}"/>
    <cellStyle name="Currency 3 3 6 4 3 2" xfId="26628" xr:uid="{87CA60E8-C6F0-429C-9F03-4AF246E5C712}"/>
    <cellStyle name="Currency 3 3 6 4 4" xfId="20552" xr:uid="{29A76959-B81F-4195-9526-9C7CBEC66C31}"/>
    <cellStyle name="Currency 3 3 6 5" xfId="8237" xr:uid="{B0D92204-A6C2-417D-985C-2A6BA142F01A}"/>
    <cellStyle name="Currency 3 3 6 5 2" xfId="13445" xr:uid="{DD71B5E8-75A3-4B7A-8F63-3F77AA2BD0DF}"/>
    <cellStyle name="Currency 3 3 6 5 2 2" xfId="27496" xr:uid="{4FF84629-F408-4D7A-A31C-55946D3326FF}"/>
    <cellStyle name="Currency 3 3 6 5 3" xfId="22288" xr:uid="{9603AF5D-8500-44E1-B13D-23465D0BFB2D}"/>
    <cellStyle name="Currency 3 3 6 6" xfId="7369" xr:uid="{598014B1-7F45-40E9-B413-EAA357D427AC}"/>
    <cellStyle name="Currency 3 3 6 6 2" xfId="21420" xr:uid="{FE2AE6E6-52DA-40A8-9B9E-55F8DF31FA0C}"/>
    <cellStyle name="Currency 3 3 6 7" xfId="10841" xr:uid="{7FA5349A-3F07-4106-917B-B73CCB39514C}"/>
    <cellStyle name="Currency 3 3 6 7 2" xfId="24892" xr:uid="{C34F4E3F-45E2-40E4-B3BC-627D9BF99BBC}"/>
    <cellStyle name="Currency 3 3 6 8" xfId="16462" xr:uid="{4D0052B3-A321-4864-A46E-2AF71B28235B}"/>
    <cellStyle name="Currency 3 3 7" xfId="4604" xr:uid="{A721E313-B8C4-4731-8537-68759D8E58D7}"/>
    <cellStyle name="Currency 3 3 7 2" xfId="5390" xr:uid="{175ACAD8-6EB5-4AB9-92CA-12BF4ED4E0FE}"/>
    <cellStyle name="Currency 3 3 7 2 2" xfId="6258" xr:uid="{4F9D092A-A5C7-40ED-82A0-CB6CFBA26D8B}"/>
    <cellStyle name="Currency 3 3 7 2 2 2" xfId="9730" xr:uid="{27EA8548-F718-4263-AB58-5690271D5B07}"/>
    <cellStyle name="Currency 3 3 7 2 2 2 2" xfId="23781" xr:uid="{C158B02A-493E-49B8-9CC6-54768666EF3F}"/>
    <cellStyle name="Currency 3 3 7 2 2 3" xfId="12334" xr:uid="{F04A9574-465C-4EB6-897E-D5C9C4BC648E}"/>
    <cellStyle name="Currency 3 3 7 2 2 3 2" xfId="26385" xr:uid="{91046CC2-0FDF-4000-B9F1-6A5B60ACB7A2}"/>
    <cellStyle name="Currency 3 3 7 2 2 4" xfId="20309" xr:uid="{82B6F1AA-0679-4D5B-9493-46D8E41D45EF}"/>
    <cellStyle name="Currency 3 3 7 2 3" xfId="7126" xr:uid="{84AA847E-792D-428C-ACAF-D3EDDF76375D}"/>
    <cellStyle name="Currency 3 3 7 2 3 2" xfId="10598" xr:uid="{B27BD2DC-BE80-4CD6-8C99-A274FB1D7344}"/>
    <cellStyle name="Currency 3 3 7 2 3 2 2" xfId="24649" xr:uid="{9F18DCF8-D403-4129-BF23-374D0A431578}"/>
    <cellStyle name="Currency 3 3 7 2 3 3" xfId="13202" xr:uid="{0D3C97AD-BE2B-4957-94CF-6F98F8813317}"/>
    <cellStyle name="Currency 3 3 7 2 3 3 2" xfId="27253" xr:uid="{CD4D4104-0887-4B29-BD2D-4B2D71FDE498}"/>
    <cellStyle name="Currency 3 3 7 2 3 4" xfId="21177" xr:uid="{047D99A9-2E79-4A05-A799-933DB97E3C50}"/>
    <cellStyle name="Currency 3 3 7 2 4" xfId="8862" xr:uid="{FA6A7A65-8285-4D74-BAB5-AE7D1988B1E7}"/>
    <cellStyle name="Currency 3 3 7 2 4 2" xfId="14070" xr:uid="{8E8C0A88-D311-467F-9A42-55032EDAB43C}"/>
    <cellStyle name="Currency 3 3 7 2 4 2 2" xfId="28121" xr:uid="{43ACC146-8F8B-44BD-BA13-6E7A6CF8CB39}"/>
    <cellStyle name="Currency 3 3 7 2 4 3" xfId="22913" xr:uid="{6B1DB1EE-B0B9-48F7-A69A-BD743258CC4E}"/>
    <cellStyle name="Currency 3 3 7 2 5" xfId="7994" xr:uid="{DDF3F515-1BC9-47CE-88F7-D5099F5425ED}"/>
    <cellStyle name="Currency 3 3 7 2 5 2" xfId="22045" xr:uid="{95E1F37C-F329-4995-B0DB-D6F945544B56}"/>
    <cellStyle name="Currency 3 3 7 2 6" xfId="11466" xr:uid="{22CE26DC-73FC-488A-85D1-3F243F95E3B9}"/>
    <cellStyle name="Currency 3 3 7 2 6 2" xfId="25517" xr:uid="{C4F84239-42FC-4D4F-8F19-F70746808D65}"/>
    <cellStyle name="Currency 3 3 7 2 7" xfId="19441" xr:uid="{43A6213E-C522-4D60-B2E9-344F49A12287}"/>
    <cellStyle name="Currency 3 3 7 3" xfId="5824" xr:uid="{4B520F39-C666-4790-87BD-A691FED1FEF7}"/>
    <cellStyle name="Currency 3 3 7 3 2" xfId="9296" xr:uid="{0654B18E-6C66-413F-8D1A-F1A04583EC2E}"/>
    <cellStyle name="Currency 3 3 7 3 2 2" xfId="23347" xr:uid="{8597BBE2-F0B9-43EA-9F99-80DFEC086932}"/>
    <cellStyle name="Currency 3 3 7 3 3" xfId="11900" xr:uid="{7521D8F9-FBA0-4B3E-9A85-5B40B8F3F6E5}"/>
    <cellStyle name="Currency 3 3 7 3 3 2" xfId="25951" xr:uid="{943E530B-F0B6-4660-8118-ADE9DBCD303E}"/>
    <cellStyle name="Currency 3 3 7 3 4" xfId="19875" xr:uid="{ADFB0094-DFBB-4E01-93B8-DD9262F7DBD7}"/>
    <cellStyle name="Currency 3 3 7 4" xfId="6692" xr:uid="{3C118D96-0595-4EEC-A9BF-CAD6A0E57BEE}"/>
    <cellStyle name="Currency 3 3 7 4 2" xfId="10164" xr:uid="{BDC0371E-5582-4516-86B5-F81059161E23}"/>
    <cellStyle name="Currency 3 3 7 4 2 2" xfId="24215" xr:uid="{FDE1C378-D70A-44E9-B504-AE448FDFBACE}"/>
    <cellStyle name="Currency 3 3 7 4 3" xfId="12768" xr:uid="{4040DC08-002C-4CA7-A780-DAAD32EE6B1B}"/>
    <cellStyle name="Currency 3 3 7 4 3 2" xfId="26819" xr:uid="{5F7FBB1A-1404-4000-80D6-3A4B3E132FFC}"/>
    <cellStyle name="Currency 3 3 7 4 4" xfId="20743" xr:uid="{1195A0C6-393E-43FA-8473-1B0C205D122D}"/>
    <cellStyle name="Currency 3 3 7 5" xfId="8428" xr:uid="{33393D69-DBEB-4895-AF3B-0577057A0503}"/>
    <cellStyle name="Currency 3 3 7 5 2" xfId="13636" xr:uid="{DD8E2B2E-60A7-4365-BD05-4B309BD2A78A}"/>
    <cellStyle name="Currency 3 3 7 5 2 2" xfId="27687" xr:uid="{654F3586-E481-45C7-AC96-80175D0A8412}"/>
    <cellStyle name="Currency 3 3 7 5 3" xfId="22479" xr:uid="{029E7EE9-6BA1-4D82-97C1-0FCE3164F555}"/>
    <cellStyle name="Currency 3 3 7 6" xfId="7560" xr:uid="{E5BBB159-6FFA-43D2-BC8F-6EE291580A0E}"/>
    <cellStyle name="Currency 3 3 7 6 2" xfId="21611" xr:uid="{9FC5BF90-BBAD-483E-9E73-7459948F4301}"/>
    <cellStyle name="Currency 3 3 7 7" xfId="11032" xr:uid="{7D2DCA67-39B3-4D14-93B9-3890CCFD4A88}"/>
    <cellStyle name="Currency 3 3 7 7 2" xfId="25083" xr:uid="{2828D581-EA73-424C-AABA-CC288ECC2A53}"/>
    <cellStyle name="Currency 3 3 7 8" xfId="18656" xr:uid="{E532AE61-1FF9-419E-938E-2855967F35A0}"/>
    <cellStyle name="Currency 3 3 8" xfId="5004" xr:uid="{6AD517E9-3389-4586-AB4E-3083EEDC8A08}"/>
    <cellStyle name="Currency 3 3 8 2" xfId="5872" xr:uid="{13683B70-5B55-4D47-AE40-D65ABAA7A799}"/>
    <cellStyle name="Currency 3 3 8 2 2" xfId="9344" xr:uid="{98ACDF7A-C48C-4B1A-8CB5-4EEF67C7889A}"/>
    <cellStyle name="Currency 3 3 8 2 2 2" xfId="23395" xr:uid="{CCC2A929-4E52-4827-A236-75A9C02458FA}"/>
    <cellStyle name="Currency 3 3 8 2 3" xfId="11948" xr:uid="{4EFD3EE5-0B64-437B-9F84-5F8F90DD6A76}"/>
    <cellStyle name="Currency 3 3 8 2 3 2" xfId="25999" xr:uid="{3CECADF8-3AD8-4B38-99D5-7AA0E7E6498A}"/>
    <cellStyle name="Currency 3 3 8 2 4" xfId="19923" xr:uid="{DC1233A5-CD41-4E72-BEDF-21E5CD29C64E}"/>
    <cellStyle name="Currency 3 3 8 3" xfId="6740" xr:uid="{14C19CAA-E38D-4BB9-BE0D-BFD390F934A9}"/>
    <cellStyle name="Currency 3 3 8 3 2" xfId="10212" xr:uid="{5C6E43C3-935F-4F7A-8938-6C108D6467E4}"/>
    <cellStyle name="Currency 3 3 8 3 2 2" xfId="24263" xr:uid="{83182C2B-5947-4B5B-A6DC-F288B05CDA95}"/>
    <cellStyle name="Currency 3 3 8 3 3" xfId="12816" xr:uid="{05C7E0E9-B0B1-44E5-8FD0-0CFB7094A779}"/>
    <cellStyle name="Currency 3 3 8 3 3 2" xfId="26867" xr:uid="{5F1DE003-D431-41C8-B68F-553B1776CFA7}"/>
    <cellStyle name="Currency 3 3 8 3 4" xfId="20791" xr:uid="{EE5261D9-4DA9-443C-9844-CBC324EBBBDA}"/>
    <cellStyle name="Currency 3 3 8 4" xfId="8476" xr:uid="{9FB94E8E-F767-403D-B066-DB183DEB3F71}"/>
    <cellStyle name="Currency 3 3 8 4 2" xfId="13684" xr:uid="{4F4AADCE-3C86-4ED2-84A5-47C731EC3A18}"/>
    <cellStyle name="Currency 3 3 8 4 2 2" xfId="27735" xr:uid="{D64E325E-549B-4844-825E-646945FB6D50}"/>
    <cellStyle name="Currency 3 3 8 4 3" xfId="22527" xr:uid="{85B77977-E494-4DB7-A4A8-7ECC8898BE88}"/>
    <cellStyle name="Currency 3 3 8 5" xfId="7608" xr:uid="{A2545224-DE00-4FD4-93AD-58944164966A}"/>
    <cellStyle name="Currency 3 3 8 5 2" xfId="21659" xr:uid="{F6044BDD-4B34-4E0B-9A2E-2049557A8E86}"/>
    <cellStyle name="Currency 3 3 8 6" xfId="11080" xr:uid="{3AD7AB95-359A-483E-BA0D-5660B7129649}"/>
    <cellStyle name="Currency 3 3 8 6 2" xfId="25131" xr:uid="{5E78DA53-0CEC-4CAF-ACA9-C719BE384709}"/>
    <cellStyle name="Currency 3 3 8 7" xfId="19055" xr:uid="{3879BF23-ECC1-412A-A415-8DACF1C5E78B}"/>
    <cellStyle name="Currency 3 3 9" xfId="5438" xr:uid="{A2ED8796-6099-4420-B8F5-7DF4629A0368}"/>
    <cellStyle name="Currency 3 3 9 2" xfId="8910" xr:uid="{48A3A258-56A7-42EF-B3BF-2824AF6641B6}"/>
    <cellStyle name="Currency 3 3 9 2 2" xfId="22961" xr:uid="{3EB6562D-DABA-4855-902C-59F5B9E63DC5}"/>
    <cellStyle name="Currency 3 3 9 3" xfId="11514" xr:uid="{F44881B0-9D40-42E2-9ADC-0AD5E75F8F47}"/>
    <cellStyle name="Currency 3 3 9 3 2" xfId="25565" xr:uid="{0D5C8266-E252-43C4-902D-169C238F58E6}"/>
    <cellStyle name="Currency 3 3 9 4" xfId="19489" xr:uid="{0EB8C33A-38CF-449F-93E3-DDDD1D7A5AA0}"/>
    <cellStyle name="Currency 3 4" xfId="151" xr:uid="{D63AB685-7ADD-4F78-A1B3-D2350AD7DC70}"/>
    <cellStyle name="Currency 3 4 10" xfId="6301" xr:uid="{3DB05A9E-078C-4BBE-9927-518A4161B4A6}"/>
    <cellStyle name="Currency 3 4 10 2" xfId="9773" xr:uid="{8F2FA275-10AC-4F77-9B93-91E68CE508D9}"/>
    <cellStyle name="Currency 3 4 10 2 2" xfId="23824" xr:uid="{2B28BBC2-491E-40F9-98CF-4667A333E9EB}"/>
    <cellStyle name="Currency 3 4 10 3" xfId="12377" xr:uid="{345A6911-FD2D-4013-90FF-59ACBE75A015}"/>
    <cellStyle name="Currency 3 4 10 3 2" xfId="26428" xr:uid="{7328AD25-0759-4AD1-B68D-F35FB7EA28B8}"/>
    <cellStyle name="Currency 3 4 10 4" xfId="20352" xr:uid="{89D80E71-B537-4B48-9F00-7A34E8FB1871}"/>
    <cellStyle name="Currency 3 4 11" xfId="8037" xr:uid="{2AC377C0-A89A-4B64-AEC5-BEDE53B0B6D5}"/>
    <cellStyle name="Currency 3 4 11 2" xfId="13245" xr:uid="{2B5DD715-26CA-48F4-84E1-06D17954A274}"/>
    <cellStyle name="Currency 3 4 11 2 2" xfId="27296" xr:uid="{DCD45BA1-F50E-45A2-BB61-D859C4FB1481}"/>
    <cellStyle name="Currency 3 4 11 3" xfId="22088" xr:uid="{23186A97-8C8A-421A-85F9-305A8E82D459}"/>
    <cellStyle name="Currency 3 4 12" xfId="7169" xr:uid="{5FDE3323-9E19-43FE-B1C6-8308648F9E1B}"/>
    <cellStyle name="Currency 3 4 12 2" xfId="21220" xr:uid="{7F180A53-C1C5-4E7F-B771-8DB717C13299}"/>
    <cellStyle name="Currency 3 4 13" xfId="10641" xr:uid="{4CCC0411-F3C6-4D8E-9F10-F48890BFACC0}"/>
    <cellStyle name="Currency 3 4 13 2" xfId="24692" xr:uid="{5A5C976D-1612-4C56-B4DA-972F97296B9A}"/>
    <cellStyle name="Currency 3 4 14" xfId="14210" xr:uid="{FF74E215-5926-4D7F-AED0-3ACC1E5DC77B}"/>
    <cellStyle name="Currency 3 4 2" xfId="328" xr:uid="{E6B8712D-6852-451A-A6C9-27C73A2CBF46}"/>
    <cellStyle name="Currency 3 4 2 10" xfId="8053" xr:uid="{868AAD50-1A46-41D8-A4A2-491681545FF0}"/>
    <cellStyle name="Currency 3 4 2 10 2" xfId="13261" xr:uid="{33A81C4E-FC52-4F57-B24B-FC5C0DDF1B60}"/>
    <cellStyle name="Currency 3 4 2 10 2 2" xfId="27312" xr:uid="{C9326728-A31E-4FB6-9712-3E861D143762}"/>
    <cellStyle name="Currency 3 4 2 10 3" xfId="22104" xr:uid="{2252A5E5-4360-43FE-A4EC-1481A4B3691E}"/>
    <cellStyle name="Currency 3 4 2 11" xfId="7185" xr:uid="{C1C30BF0-E718-4BA4-8DF4-65A3F38F958C}"/>
    <cellStyle name="Currency 3 4 2 11 2" xfId="21236" xr:uid="{44C23839-582B-46E9-B636-EBE2158CF812}"/>
    <cellStyle name="Currency 3 4 2 12" xfId="10657" xr:uid="{0BD54528-1EE1-4D96-A38F-1F00E30F030D}"/>
    <cellStyle name="Currency 3 4 2 12 2" xfId="24708" xr:uid="{7A831EF5-A129-4CA6-BC17-928413AC8307}"/>
    <cellStyle name="Currency 3 4 2 13" xfId="14385" xr:uid="{BB884830-9E72-486E-9090-1DB9AD2FCA3D}"/>
    <cellStyle name="Currency 3 4 2 2" xfId="682" xr:uid="{E8C5B2A0-DE5A-427B-A2A2-FA39E1CBE71E}"/>
    <cellStyle name="Currency 3 4 2 2 10" xfId="14733" xr:uid="{0D11AD4E-95FF-4AFC-BFC1-38F3AAC14433}"/>
    <cellStyle name="Currency 3 4 2 2 2" xfId="1783" xr:uid="{864E047E-E6B3-489C-8291-37B45C5D8590}"/>
    <cellStyle name="Currency 3 4 2 2 2 2" xfId="3972" xr:uid="{2134810A-73AD-4EA6-8181-56CA0579AC7C}"/>
    <cellStyle name="Currency 3 4 2 2 2 2 2" xfId="5335" xr:uid="{64906FC7-81C3-4BFE-9114-7772F0A5E25F}"/>
    <cellStyle name="Currency 3 4 2 2 2 2 2 2" xfId="6203" xr:uid="{D291A7E6-BE48-424D-997D-0740B9178EEF}"/>
    <cellStyle name="Currency 3 4 2 2 2 2 2 2 2" xfId="9675" xr:uid="{3C3EDBAB-A559-4CAE-B2D9-90EF43B9B831}"/>
    <cellStyle name="Currency 3 4 2 2 2 2 2 2 2 2" xfId="23726" xr:uid="{BA4C7ABE-7A67-4855-A497-790279E56A3B}"/>
    <cellStyle name="Currency 3 4 2 2 2 2 2 2 3" xfId="12279" xr:uid="{72631FE1-F325-4ADF-8B09-46A542A3C1B4}"/>
    <cellStyle name="Currency 3 4 2 2 2 2 2 2 3 2" xfId="26330" xr:uid="{7B31125C-D7EE-4D20-A0B9-C922A404603D}"/>
    <cellStyle name="Currency 3 4 2 2 2 2 2 2 4" xfId="20254" xr:uid="{9170EF0A-4C31-4B32-A38F-F709F74A8C89}"/>
    <cellStyle name="Currency 3 4 2 2 2 2 2 3" xfId="7071" xr:uid="{B006D884-BB69-4B47-BAAF-723A1D3B28F8}"/>
    <cellStyle name="Currency 3 4 2 2 2 2 2 3 2" xfId="10543" xr:uid="{5EF4594F-30A0-4EDD-B828-95368BF4F547}"/>
    <cellStyle name="Currency 3 4 2 2 2 2 2 3 2 2" xfId="24594" xr:uid="{035DD0C5-4C0B-4039-983A-3B6F7EA6E88D}"/>
    <cellStyle name="Currency 3 4 2 2 2 2 2 3 3" xfId="13147" xr:uid="{13D8861B-8239-4E9F-9D5C-F24BB3BF690A}"/>
    <cellStyle name="Currency 3 4 2 2 2 2 2 3 3 2" xfId="27198" xr:uid="{A01E815C-B8B9-4DB8-99DF-6268B68BE418}"/>
    <cellStyle name="Currency 3 4 2 2 2 2 2 3 4" xfId="21122" xr:uid="{06160884-9DD1-4FD0-B0EF-471C239F24B2}"/>
    <cellStyle name="Currency 3 4 2 2 2 2 2 4" xfId="8807" xr:uid="{19581149-DBCB-4D47-A923-201F288F58D5}"/>
    <cellStyle name="Currency 3 4 2 2 2 2 2 4 2" xfId="14015" xr:uid="{8A912A0D-341F-45ED-A2A8-E8A02C97D072}"/>
    <cellStyle name="Currency 3 4 2 2 2 2 2 4 2 2" xfId="28066" xr:uid="{89479431-4EAA-49D8-B41F-F67251B8F2D5}"/>
    <cellStyle name="Currency 3 4 2 2 2 2 2 4 3" xfId="22858" xr:uid="{09F50FA8-9AF2-42D2-89BF-00979313B4D3}"/>
    <cellStyle name="Currency 3 4 2 2 2 2 2 5" xfId="7939" xr:uid="{A30FCF5B-FD5F-4FE5-A071-211E0944BB30}"/>
    <cellStyle name="Currency 3 4 2 2 2 2 2 5 2" xfId="21990" xr:uid="{C46B2DB5-13AC-4D4D-A642-A9A5DB54FAA8}"/>
    <cellStyle name="Currency 3 4 2 2 2 2 2 6" xfId="11411" xr:uid="{39291AC6-6471-406E-BF40-C300212B3C64}"/>
    <cellStyle name="Currency 3 4 2 2 2 2 2 6 2" xfId="25462" xr:uid="{A48364BF-09FC-4CF8-9953-5F9D629F2122}"/>
    <cellStyle name="Currency 3 4 2 2 2 2 2 7" xfId="19386" xr:uid="{755E4485-523E-4385-AE86-683CBC78AF8A}"/>
    <cellStyle name="Currency 3 4 2 2 2 2 3" xfId="5769" xr:uid="{ED083FE8-A358-472A-84FE-E0C0D5B009A6}"/>
    <cellStyle name="Currency 3 4 2 2 2 2 3 2" xfId="9241" xr:uid="{33C2DA57-19D0-4BB0-82A2-1C8EC7A24D36}"/>
    <cellStyle name="Currency 3 4 2 2 2 2 3 2 2" xfId="23292" xr:uid="{A852A0B6-AE9D-4B69-B898-C16F843426B5}"/>
    <cellStyle name="Currency 3 4 2 2 2 2 3 3" xfId="11845" xr:uid="{439A9527-03F0-4A54-A7D8-5BB4400762A3}"/>
    <cellStyle name="Currency 3 4 2 2 2 2 3 3 2" xfId="25896" xr:uid="{504C1F9D-32A5-4792-92DA-5574EEDF53D3}"/>
    <cellStyle name="Currency 3 4 2 2 2 2 3 4" xfId="19820" xr:uid="{5F5C46B2-BCCF-4083-B753-BD6B5E0F8BDF}"/>
    <cellStyle name="Currency 3 4 2 2 2 2 4" xfId="6637" xr:uid="{0052A972-86F0-4848-8527-82F50E0EE741}"/>
    <cellStyle name="Currency 3 4 2 2 2 2 4 2" xfId="10109" xr:uid="{9E0559DA-39FA-4B0B-A06E-1E6E85F66406}"/>
    <cellStyle name="Currency 3 4 2 2 2 2 4 2 2" xfId="24160" xr:uid="{0814F324-3EBC-4ED1-A805-FD0E20459D19}"/>
    <cellStyle name="Currency 3 4 2 2 2 2 4 3" xfId="12713" xr:uid="{77E5E542-A810-4327-9363-7B2312FF173D}"/>
    <cellStyle name="Currency 3 4 2 2 2 2 4 3 2" xfId="26764" xr:uid="{1B19B02E-E9F9-449A-9A86-3D8D019790A7}"/>
    <cellStyle name="Currency 3 4 2 2 2 2 4 4" xfId="20688" xr:uid="{061A0175-C340-4D7C-AAAE-76C2757DA102}"/>
    <cellStyle name="Currency 3 4 2 2 2 2 5" xfId="8373" xr:uid="{6D96A06F-7EB9-43CC-9C20-CEDDFFED06A4}"/>
    <cellStyle name="Currency 3 4 2 2 2 2 5 2" xfId="13581" xr:uid="{9A2B4120-BB20-4E9A-BFA2-F282FB8031C1}"/>
    <cellStyle name="Currency 3 4 2 2 2 2 5 2 2" xfId="27632" xr:uid="{AE3483F8-251B-4A61-9707-FA363542D367}"/>
    <cellStyle name="Currency 3 4 2 2 2 2 5 3" xfId="22424" xr:uid="{D2316686-4557-428A-8710-617ADB5B3868}"/>
    <cellStyle name="Currency 3 4 2 2 2 2 6" xfId="7505" xr:uid="{963B256C-5EB0-4C9D-83F9-92CEF1968E07}"/>
    <cellStyle name="Currency 3 4 2 2 2 2 6 2" xfId="21556" xr:uid="{7809E603-D81F-4221-A584-0BFEAA0C54CE}"/>
    <cellStyle name="Currency 3 4 2 2 2 2 7" xfId="10977" xr:uid="{FF58761F-8308-42CA-8F71-395D8D9C37FD}"/>
    <cellStyle name="Currency 3 4 2 2 2 2 7 2" xfId="25028" xr:uid="{F24D0B73-215B-455A-8BC6-2BFAA83D4C3B}"/>
    <cellStyle name="Currency 3 4 2 2 2 2 8" xfId="18024" xr:uid="{8971312F-D1FD-42D6-B894-14FC192B8CAA}"/>
    <cellStyle name="Currency 3 4 2 2 2 3" xfId="5145" xr:uid="{C0B984EB-038B-4E76-B599-099A29AEDB34}"/>
    <cellStyle name="Currency 3 4 2 2 2 3 2" xfId="6013" xr:uid="{E9505904-B3EE-45E0-8DB1-2DA89FC13B3A}"/>
    <cellStyle name="Currency 3 4 2 2 2 3 2 2" xfId="9485" xr:uid="{B1A1EC6C-CB1A-489B-9096-49546146FA42}"/>
    <cellStyle name="Currency 3 4 2 2 2 3 2 2 2" xfId="23536" xr:uid="{21B0A6C8-B659-4802-9D60-07C938F5F524}"/>
    <cellStyle name="Currency 3 4 2 2 2 3 2 3" xfId="12089" xr:uid="{177A30DB-2341-45CD-9840-6052166C921D}"/>
    <cellStyle name="Currency 3 4 2 2 2 3 2 3 2" xfId="26140" xr:uid="{F025B58E-B5BB-4C7E-8221-6622656F6967}"/>
    <cellStyle name="Currency 3 4 2 2 2 3 2 4" xfId="20064" xr:uid="{DF3AF37B-E03D-425F-A0E0-8ECF2D8B0EB9}"/>
    <cellStyle name="Currency 3 4 2 2 2 3 3" xfId="6881" xr:uid="{A88D7FEC-413B-4743-AD7B-6469FCD52AE5}"/>
    <cellStyle name="Currency 3 4 2 2 2 3 3 2" xfId="10353" xr:uid="{53C59C11-AB9F-45F5-85CE-20269BB20A4E}"/>
    <cellStyle name="Currency 3 4 2 2 2 3 3 2 2" xfId="24404" xr:uid="{930D383B-47AE-4FF0-9064-072793B66BA6}"/>
    <cellStyle name="Currency 3 4 2 2 2 3 3 3" xfId="12957" xr:uid="{BA3353C9-F351-4A4A-8A7B-51C17300B464}"/>
    <cellStyle name="Currency 3 4 2 2 2 3 3 3 2" xfId="27008" xr:uid="{155A8FD7-EF7F-4179-954C-F60D7A817D21}"/>
    <cellStyle name="Currency 3 4 2 2 2 3 3 4" xfId="20932" xr:uid="{F286E82F-20D7-4DDD-987A-DC78613EC996}"/>
    <cellStyle name="Currency 3 4 2 2 2 3 4" xfId="8617" xr:uid="{74400839-EDA0-4B85-8A22-42294FD06161}"/>
    <cellStyle name="Currency 3 4 2 2 2 3 4 2" xfId="13825" xr:uid="{DBA84D01-C661-42A8-830F-3B38F90F408A}"/>
    <cellStyle name="Currency 3 4 2 2 2 3 4 2 2" xfId="27876" xr:uid="{0A32E766-7BE8-469D-82B3-121B0A305D17}"/>
    <cellStyle name="Currency 3 4 2 2 2 3 4 3" xfId="22668" xr:uid="{2ACE3DA8-5E6D-416C-829E-85FB8B3CFA71}"/>
    <cellStyle name="Currency 3 4 2 2 2 3 5" xfId="7749" xr:uid="{EEDFC704-9E6E-42CD-8027-82A30DDE1DB9}"/>
    <cellStyle name="Currency 3 4 2 2 2 3 5 2" xfId="21800" xr:uid="{A7183F15-7A9B-4CE7-8638-95101C762A7E}"/>
    <cellStyle name="Currency 3 4 2 2 2 3 6" xfId="11221" xr:uid="{B65012F4-47FE-4A02-A2D3-FA0BEEBB04E4}"/>
    <cellStyle name="Currency 3 4 2 2 2 3 6 2" xfId="25272" xr:uid="{985DBC38-AEBC-46F4-B112-9A7A74C986E7}"/>
    <cellStyle name="Currency 3 4 2 2 2 3 7" xfId="19196" xr:uid="{56A7F94A-9B46-4E31-A13E-3751226FC393}"/>
    <cellStyle name="Currency 3 4 2 2 2 4" xfId="5579" xr:uid="{37A0B4CD-B27B-4B01-A1C7-CF16F233AED1}"/>
    <cellStyle name="Currency 3 4 2 2 2 4 2" xfId="9051" xr:uid="{37009E52-56FA-408F-B836-D13802C944E7}"/>
    <cellStyle name="Currency 3 4 2 2 2 4 2 2" xfId="23102" xr:uid="{D754B2B2-9FE5-442F-97DC-154B56E201E9}"/>
    <cellStyle name="Currency 3 4 2 2 2 4 3" xfId="11655" xr:uid="{F032683F-2C91-4483-A065-1E3A88E0107A}"/>
    <cellStyle name="Currency 3 4 2 2 2 4 3 2" xfId="25706" xr:uid="{F1472066-B40F-4D4D-9127-6B45016A9795}"/>
    <cellStyle name="Currency 3 4 2 2 2 4 4" xfId="19630" xr:uid="{FF1AE447-8E95-4ED0-8650-58375E6945C1}"/>
    <cellStyle name="Currency 3 4 2 2 2 5" xfId="6447" xr:uid="{932AA474-C2ED-460D-A33F-EAABFFCD25A7}"/>
    <cellStyle name="Currency 3 4 2 2 2 5 2" xfId="9919" xr:uid="{BFBFEC39-8601-40DE-B53B-4958070293B1}"/>
    <cellStyle name="Currency 3 4 2 2 2 5 2 2" xfId="23970" xr:uid="{D5687706-7342-4969-B94F-3E0E05B46382}"/>
    <cellStyle name="Currency 3 4 2 2 2 5 3" xfId="12523" xr:uid="{B7B629A7-1F1B-420C-A06F-41172015DB57}"/>
    <cellStyle name="Currency 3 4 2 2 2 5 3 2" xfId="26574" xr:uid="{C3721BDF-2F44-4D9E-A2BC-E141FFC8E15F}"/>
    <cellStyle name="Currency 3 4 2 2 2 5 4" xfId="20498" xr:uid="{3483E51E-CE1C-49C3-A191-82462E839EAB}"/>
    <cellStyle name="Currency 3 4 2 2 2 6" xfId="8183" xr:uid="{8D66C536-6B53-43A9-A214-6EC6C3C48051}"/>
    <cellStyle name="Currency 3 4 2 2 2 6 2" xfId="13391" xr:uid="{D0433E3B-5D31-4D7F-AFC6-04BF92819734}"/>
    <cellStyle name="Currency 3 4 2 2 2 6 2 2" xfId="27442" xr:uid="{2CFB7419-B2A4-4FBB-9DEF-52C0EAB3BC9C}"/>
    <cellStyle name="Currency 3 4 2 2 2 6 3" xfId="22234" xr:uid="{AC6695BF-AC99-47A6-BCF7-D3A94A40C58D}"/>
    <cellStyle name="Currency 3 4 2 2 2 7" xfId="7315" xr:uid="{7AF552D5-7408-4DAE-A0CF-8A8082FD723A}"/>
    <cellStyle name="Currency 3 4 2 2 2 7 2" xfId="21366" xr:uid="{965313E9-3753-4E94-91AE-CE52175BBE6D}"/>
    <cellStyle name="Currency 3 4 2 2 2 8" xfId="10787" xr:uid="{C83BD886-C1F3-4E40-87F9-A72626E913EF}"/>
    <cellStyle name="Currency 3 4 2 2 2 8 2" xfId="24838" xr:uid="{1D6821BF-28B7-40F4-AF8C-708D9278A5CE}"/>
    <cellStyle name="Currency 3 4 2 2 2 9" xfId="15832" xr:uid="{692CF006-70A4-461A-8C9F-E2F622402605}"/>
    <cellStyle name="Currency 3 4 2 2 3" xfId="2874" xr:uid="{5ED5673C-3D83-43DC-8B14-A88F84EEC5FF}"/>
    <cellStyle name="Currency 3 4 2 2 3 2" xfId="5239" xr:uid="{26E668BF-43C4-432E-A7D5-FA8B1F5C72C7}"/>
    <cellStyle name="Currency 3 4 2 2 3 2 2" xfId="6107" xr:uid="{0A2110DC-5BC5-4637-B81D-5C172A5AEFD9}"/>
    <cellStyle name="Currency 3 4 2 2 3 2 2 2" xfId="9579" xr:uid="{C4B38B72-B02A-413C-A090-47286B41E253}"/>
    <cellStyle name="Currency 3 4 2 2 3 2 2 2 2" xfId="23630" xr:uid="{A2160AD8-79C3-4D85-8D7F-F67A9837B6B9}"/>
    <cellStyle name="Currency 3 4 2 2 3 2 2 3" xfId="12183" xr:uid="{AD28599A-6478-40D1-8632-2937CBEBB69F}"/>
    <cellStyle name="Currency 3 4 2 2 3 2 2 3 2" xfId="26234" xr:uid="{3CCA05AA-0724-4509-B2A4-4382E43F6391}"/>
    <cellStyle name="Currency 3 4 2 2 3 2 2 4" xfId="20158" xr:uid="{605661BC-CDBE-4A4B-B1F0-9163AB2225E4}"/>
    <cellStyle name="Currency 3 4 2 2 3 2 3" xfId="6975" xr:uid="{76CBF70B-8707-48DB-BE38-5F6D49B220FF}"/>
    <cellStyle name="Currency 3 4 2 2 3 2 3 2" xfId="10447" xr:uid="{F30FFD4F-D255-4329-8881-92094BE4E197}"/>
    <cellStyle name="Currency 3 4 2 2 3 2 3 2 2" xfId="24498" xr:uid="{9C52CE50-E1F5-40FD-A031-8EFB90DE867C}"/>
    <cellStyle name="Currency 3 4 2 2 3 2 3 3" xfId="13051" xr:uid="{6F9EFC3A-36B0-4A3E-88D9-72C69BC5981A}"/>
    <cellStyle name="Currency 3 4 2 2 3 2 3 3 2" xfId="27102" xr:uid="{D7992898-619C-4926-9A4B-D1944751C1DC}"/>
    <cellStyle name="Currency 3 4 2 2 3 2 3 4" xfId="21026" xr:uid="{D12276D3-3473-4511-918C-1F9DBCF4E719}"/>
    <cellStyle name="Currency 3 4 2 2 3 2 4" xfId="8711" xr:uid="{670F00C9-19FB-4BEB-B712-793B990269CF}"/>
    <cellStyle name="Currency 3 4 2 2 3 2 4 2" xfId="13919" xr:uid="{146C691B-94A3-4E72-BAE9-C3C4A9A07E06}"/>
    <cellStyle name="Currency 3 4 2 2 3 2 4 2 2" xfId="27970" xr:uid="{750D83E0-3117-4B0F-BFE2-C4EA9852D447}"/>
    <cellStyle name="Currency 3 4 2 2 3 2 4 3" xfId="22762" xr:uid="{EAF2B9D6-1E5C-41EB-BCDA-3677952185D6}"/>
    <cellStyle name="Currency 3 4 2 2 3 2 5" xfId="7843" xr:uid="{55C218F0-53F9-4B8A-83A4-AA0FC6A31A9D}"/>
    <cellStyle name="Currency 3 4 2 2 3 2 5 2" xfId="21894" xr:uid="{807B5DF3-199F-436B-99F7-8CEC90C29C5F}"/>
    <cellStyle name="Currency 3 4 2 2 3 2 6" xfId="11315" xr:uid="{58E7D8AF-C5E9-47F4-87E8-CA5FEE4F5821}"/>
    <cellStyle name="Currency 3 4 2 2 3 2 6 2" xfId="25366" xr:uid="{CF9D5259-31CE-4C11-847C-1E4ED7BBC24E}"/>
    <cellStyle name="Currency 3 4 2 2 3 2 7" xfId="19290" xr:uid="{E552FC73-00DD-488E-861B-2FBE8B092BF8}"/>
    <cellStyle name="Currency 3 4 2 2 3 3" xfId="5673" xr:uid="{402719A8-8166-4900-AD63-E6D8E8B02B73}"/>
    <cellStyle name="Currency 3 4 2 2 3 3 2" xfId="9145" xr:uid="{A8A57D9E-3AC4-48BA-99BE-AD250FD25C5B}"/>
    <cellStyle name="Currency 3 4 2 2 3 3 2 2" xfId="23196" xr:uid="{F1A4EBE2-0403-46F2-BA69-900A78C3D1CD}"/>
    <cellStyle name="Currency 3 4 2 2 3 3 3" xfId="11749" xr:uid="{8B1DEF58-D1ED-471E-84F9-9EA0C9A200FB}"/>
    <cellStyle name="Currency 3 4 2 2 3 3 3 2" xfId="25800" xr:uid="{7DC74596-2636-4C1F-996B-FB51DCFECFF2}"/>
    <cellStyle name="Currency 3 4 2 2 3 3 4" xfId="19724" xr:uid="{9B0DF874-8AA8-4A1D-B7A3-AFE5777790D2}"/>
    <cellStyle name="Currency 3 4 2 2 3 4" xfId="6541" xr:uid="{1E62D881-C4B9-4AE5-BE16-D32359354EC8}"/>
    <cellStyle name="Currency 3 4 2 2 3 4 2" xfId="10013" xr:uid="{0DFC966D-E77B-4AD0-A967-150352C68DF3}"/>
    <cellStyle name="Currency 3 4 2 2 3 4 2 2" xfId="24064" xr:uid="{C2A795F2-D951-43D2-8D09-60A5470DEEF6}"/>
    <cellStyle name="Currency 3 4 2 2 3 4 3" xfId="12617" xr:uid="{D1149CAB-8735-4657-9D56-C586A6186C6D}"/>
    <cellStyle name="Currency 3 4 2 2 3 4 3 2" xfId="26668" xr:uid="{87D175A6-F0F7-476B-967F-1BA3F134B3EF}"/>
    <cellStyle name="Currency 3 4 2 2 3 4 4" xfId="20592" xr:uid="{3604C4FD-464F-4279-A1E5-CD807328D343}"/>
    <cellStyle name="Currency 3 4 2 2 3 5" xfId="8277" xr:uid="{5C4B892A-A37C-43DB-AE3A-A928F03255AA}"/>
    <cellStyle name="Currency 3 4 2 2 3 5 2" xfId="13485" xr:uid="{0D412B7B-51CB-49FD-BA0C-9DC8F244A55A}"/>
    <cellStyle name="Currency 3 4 2 2 3 5 2 2" xfId="27536" xr:uid="{48C4B212-A8FC-452E-83B2-AABA52F15A01}"/>
    <cellStyle name="Currency 3 4 2 2 3 5 3" xfId="22328" xr:uid="{44379EC4-E535-4A87-A0EA-B36A78E73888}"/>
    <cellStyle name="Currency 3 4 2 2 3 6" xfId="7409" xr:uid="{4768E3B5-E5BA-4FCF-A336-D0265B90C97C}"/>
    <cellStyle name="Currency 3 4 2 2 3 6 2" xfId="21460" xr:uid="{80CCEC51-541A-4BD6-881D-1725211549F8}"/>
    <cellStyle name="Currency 3 4 2 2 3 7" xfId="10881" xr:uid="{9BB55B47-E559-41FA-A6BB-0D2F308AF3E1}"/>
    <cellStyle name="Currency 3 4 2 2 3 7 2" xfId="24932" xr:uid="{C574B16A-8E46-4525-84D8-B9556905076A}"/>
    <cellStyle name="Currency 3 4 2 2 3 8" xfId="16926" xr:uid="{6C7D572E-D4B9-45E2-B7DE-F6A404EF731A}"/>
    <cellStyle name="Currency 3 4 2 2 4" xfId="5047" xr:uid="{5B6771A5-7C4E-4E00-9384-4FE66297A201}"/>
    <cellStyle name="Currency 3 4 2 2 4 2" xfId="5915" xr:uid="{B962A587-2A5F-4ACC-9E98-6E46B14E2FE3}"/>
    <cellStyle name="Currency 3 4 2 2 4 2 2" xfId="9387" xr:uid="{EDDB1AAE-7AF9-412D-8566-45ADED968718}"/>
    <cellStyle name="Currency 3 4 2 2 4 2 2 2" xfId="23438" xr:uid="{AF22D71D-0004-4FE4-AA23-B17787D16DDE}"/>
    <cellStyle name="Currency 3 4 2 2 4 2 3" xfId="11991" xr:uid="{96DEBBC8-E750-483C-8B27-1CFF94150FA5}"/>
    <cellStyle name="Currency 3 4 2 2 4 2 3 2" xfId="26042" xr:uid="{BF85865E-7F77-43B5-BCFD-B3092B902CAE}"/>
    <cellStyle name="Currency 3 4 2 2 4 2 4" xfId="19966" xr:uid="{1A80ECDE-B29A-43B2-9E80-19D00C921E70}"/>
    <cellStyle name="Currency 3 4 2 2 4 3" xfId="6783" xr:uid="{8AA6DFF3-C402-48DC-A5E7-4771C1A10DD3}"/>
    <cellStyle name="Currency 3 4 2 2 4 3 2" xfId="10255" xr:uid="{F9279F1F-D3BB-458D-8254-2D9E2EE28AE9}"/>
    <cellStyle name="Currency 3 4 2 2 4 3 2 2" xfId="24306" xr:uid="{282C7E72-0527-4102-9419-66DA4D29EF85}"/>
    <cellStyle name="Currency 3 4 2 2 4 3 3" xfId="12859" xr:uid="{283B1A8C-A3DA-4007-A207-6916F4260092}"/>
    <cellStyle name="Currency 3 4 2 2 4 3 3 2" xfId="26910" xr:uid="{B44D5255-021C-4C22-BD22-14FAF956EFF9}"/>
    <cellStyle name="Currency 3 4 2 2 4 3 4" xfId="20834" xr:uid="{B627113C-EF7A-4442-BD04-25B9353E82DD}"/>
    <cellStyle name="Currency 3 4 2 2 4 4" xfId="8519" xr:uid="{2C8A10A4-1C1A-4615-BCFA-EB672ED9764B}"/>
    <cellStyle name="Currency 3 4 2 2 4 4 2" xfId="13727" xr:uid="{C59FAB34-0BFE-48F8-B5A1-C1275449804C}"/>
    <cellStyle name="Currency 3 4 2 2 4 4 2 2" xfId="27778" xr:uid="{9058D44C-D8B2-406D-ABCF-29BD092CE0BD}"/>
    <cellStyle name="Currency 3 4 2 2 4 4 3" xfId="22570" xr:uid="{4AC2B4A1-CCFD-4287-88CC-FFAB0893A85A}"/>
    <cellStyle name="Currency 3 4 2 2 4 5" xfId="7651" xr:uid="{BB03A0EA-8A72-4B56-9470-028A2F17784B}"/>
    <cellStyle name="Currency 3 4 2 2 4 5 2" xfId="21702" xr:uid="{C0FBD6A8-D83E-4AB4-88F0-5EE7E9AE5381}"/>
    <cellStyle name="Currency 3 4 2 2 4 6" xfId="11123" xr:uid="{622D78EF-F8E6-40AA-80F3-4078AB6F2DE1}"/>
    <cellStyle name="Currency 3 4 2 2 4 6 2" xfId="25174" xr:uid="{16F1988B-DE17-4438-8AB8-1F0BEA91759B}"/>
    <cellStyle name="Currency 3 4 2 2 4 7" xfId="19098" xr:uid="{AC8280F3-482B-4C93-9EE1-292A55A40EB4}"/>
    <cellStyle name="Currency 3 4 2 2 5" xfId="5481" xr:uid="{B4FA9693-0F83-4B54-90A0-1B357A258785}"/>
    <cellStyle name="Currency 3 4 2 2 5 2" xfId="8953" xr:uid="{CEFF3BD5-D6AA-4312-8190-2727B37E7131}"/>
    <cellStyle name="Currency 3 4 2 2 5 2 2" xfId="23004" xr:uid="{EC2B38F3-FB4D-41DB-AFC5-FA38620D8102}"/>
    <cellStyle name="Currency 3 4 2 2 5 3" xfId="11557" xr:uid="{4F216933-08E3-4BE5-9E61-A1C031E7E324}"/>
    <cellStyle name="Currency 3 4 2 2 5 3 2" xfId="25608" xr:uid="{713F9573-699A-4AFF-92BA-FC258FBAAFA8}"/>
    <cellStyle name="Currency 3 4 2 2 5 4" xfId="19532" xr:uid="{7568120C-F255-41CD-9B7F-9F9F30DCB5D5}"/>
    <cellStyle name="Currency 3 4 2 2 6" xfId="6349" xr:uid="{CEB42302-B3A8-4291-BD1E-F4BDF57DBFB8}"/>
    <cellStyle name="Currency 3 4 2 2 6 2" xfId="9821" xr:uid="{25B06C66-B58C-4231-ABA7-0414A86ABBE7}"/>
    <cellStyle name="Currency 3 4 2 2 6 2 2" xfId="23872" xr:uid="{7DA96A86-CE1B-49C0-A6E5-74B86C298BD1}"/>
    <cellStyle name="Currency 3 4 2 2 6 3" xfId="12425" xr:uid="{68957ABF-338D-41D9-BD77-3710A21153E8}"/>
    <cellStyle name="Currency 3 4 2 2 6 3 2" xfId="26476" xr:uid="{F64CF26A-DB96-4934-8337-C6DD07C3C7D7}"/>
    <cellStyle name="Currency 3 4 2 2 6 4" xfId="20400" xr:uid="{B3BF0E80-7108-4FEC-B809-92B8C3773072}"/>
    <cellStyle name="Currency 3 4 2 2 7" xfId="8085" xr:uid="{866DAFE7-5F06-47B8-B57F-554562F9C661}"/>
    <cellStyle name="Currency 3 4 2 2 7 2" xfId="13293" xr:uid="{7CCC163B-20B1-455F-9909-5473761DA486}"/>
    <cellStyle name="Currency 3 4 2 2 7 2 2" xfId="27344" xr:uid="{2D49C585-945E-4BAA-BE54-34F2DCB995BC}"/>
    <cellStyle name="Currency 3 4 2 2 7 3" xfId="22136" xr:uid="{C22232F1-E174-496C-80DA-112FE7E8E0DD}"/>
    <cellStyle name="Currency 3 4 2 2 8" xfId="7217" xr:uid="{B75897DB-2EB6-42D1-80DA-C0B2F648907D}"/>
    <cellStyle name="Currency 3 4 2 2 8 2" xfId="21268" xr:uid="{CCF173E8-9807-451C-94D4-8984A90EDC12}"/>
    <cellStyle name="Currency 3 4 2 2 9" xfId="10689" xr:uid="{818F425A-158D-4761-8832-CEB01EF1A75F}"/>
    <cellStyle name="Currency 3 4 2 2 9 2" xfId="24740" xr:uid="{9EEB57EB-DDD6-43C8-82E2-A95D49B98E50}"/>
    <cellStyle name="Currency 3 4 2 3" xfId="1029" xr:uid="{9846E85B-28BA-4C50-BD31-3E44C1E786ED}"/>
    <cellStyle name="Currency 3 4 2 3 10" xfId="15079" xr:uid="{625D8D61-26DD-4721-8C2D-D9BEDA8D04DA}"/>
    <cellStyle name="Currency 3 4 2 3 2" xfId="2128" xr:uid="{9BF7D5B8-C9A6-4DFE-AF6B-6C5E5E550DF8}"/>
    <cellStyle name="Currency 3 4 2 3 2 2" xfId="4317" xr:uid="{F998CC65-6439-448D-82D0-1564CF4DCCEA}"/>
    <cellStyle name="Currency 3 4 2 3 2 2 2" xfId="5364" xr:uid="{E394F129-C006-4C03-B658-12BDDF70D8E5}"/>
    <cellStyle name="Currency 3 4 2 3 2 2 2 2" xfId="6232" xr:uid="{8BDF3192-F414-4968-9B71-3E65E95BB71D}"/>
    <cellStyle name="Currency 3 4 2 3 2 2 2 2 2" xfId="9704" xr:uid="{879557AE-D6E4-4A82-BF52-D9D792B53D42}"/>
    <cellStyle name="Currency 3 4 2 3 2 2 2 2 2 2" xfId="23755" xr:uid="{5C9FAAAE-282C-4A6E-A1BB-1A0546993F74}"/>
    <cellStyle name="Currency 3 4 2 3 2 2 2 2 3" xfId="12308" xr:uid="{0F47DFC3-D794-4567-839F-2FBC12071D41}"/>
    <cellStyle name="Currency 3 4 2 3 2 2 2 2 3 2" xfId="26359" xr:uid="{E573CA63-EFC2-4DB2-9C28-E3DC8EB566A5}"/>
    <cellStyle name="Currency 3 4 2 3 2 2 2 2 4" xfId="20283" xr:uid="{9FABE8A2-A165-4302-90A5-82B53C41744A}"/>
    <cellStyle name="Currency 3 4 2 3 2 2 2 3" xfId="7100" xr:uid="{7070CEE4-1686-4068-87EA-4CE6F29DECA5}"/>
    <cellStyle name="Currency 3 4 2 3 2 2 2 3 2" xfId="10572" xr:uid="{10DE6F81-6540-407F-AFDF-C3CD628067C4}"/>
    <cellStyle name="Currency 3 4 2 3 2 2 2 3 2 2" xfId="24623" xr:uid="{067B914D-26D3-4D5E-AB4D-7FAE714A167F}"/>
    <cellStyle name="Currency 3 4 2 3 2 2 2 3 3" xfId="13176" xr:uid="{55F6A3D0-1487-42B5-A53F-4EDC0AD129AF}"/>
    <cellStyle name="Currency 3 4 2 3 2 2 2 3 3 2" xfId="27227" xr:uid="{933FB4D4-E765-462C-8793-D5F7FEE8723E}"/>
    <cellStyle name="Currency 3 4 2 3 2 2 2 3 4" xfId="21151" xr:uid="{F88E98BD-BE31-47E8-BB4F-BB1A1F0D071B}"/>
    <cellStyle name="Currency 3 4 2 3 2 2 2 4" xfId="8836" xr:uid="{DE3360A3-89ED-46C3-82C5-C2602CC1CE2E}"/>
    <cellStyle name="Currency 3 4 2 3 2 2 2 4 2" xfId="14044" xr:uid="{9D267D1D-FEE4-4510-BD38-59800BE34493}"/>
    <cellStyle name="Currency 3 4 2 3 2 2 2 4 2 2" xfId="28095" xr:uid="{CFF26A4A-B4F9-45D6-94AE-A66C5F5D856D}"/>
    <cellStyle name="Currency 3 4 2 3 2 2 2 4 3" xfId="22887" xr:uid="{165AE467-C565-411E-AC77-0CC441AF8AE8}"/>
    <cellStyle name="Currency 3 4 2 3 2 2 2 5" xfId="7968" xr:uid="{375F992C-B89A-41A2-B5B0-C0E31CD737CA}"/>
    <cellStyle name="Currency 3 4 2 3 2 2 2 5 2" xfId="22019" xr:uid="{2D2FFD96-2633-426D-BBF8-A6A37819A4AC}"/>
    <cellStyle name="Currency 3 4 2 3 2 2 2 6" xfId="11440" xr:uid="{59427DAD-871D-4F88-9CF0-C0509AC96139}"/>
    <cellStyle name="Currency 3 4 2 3 2 2 2 6 2" xfId="25491" xr:uid="{000CFC53-6458-4A0C-A33B-F37D585BC489}"/>
    <cellStyle name="Currency 3 4 2 3 2 2 2 7" xfId="19415" xr:uid="{C941ADC9-F1D5-4A3E-845E-3242C735B624}"/>
    <cellStyle name="Currency 3 4 2 3 2 2 3" xfId="5798" xr:uid="{70B964C9-263E-4DCE-AF6F-DFDDA163DAA8}"/>
    <cellStyle name="Currency 3 4 2 3 2 2 3 2" xfId="9270" xr:uid="{B0967F99-EA21-4B34-8D74-42441315D4C3}"/>
    <cellStyle name="Currency 3 4 2 3 2 2 3 2 2" xfId="23321" xr:uid="{778FD182-A6BF-44C1-8CD1-471820C48FAA}"/>
    <cellStyle name="Currency 3 4 2 3 2 2 3 3" xfId="11874" xr:uid="{2E053EAD-EF9A-40D0-BBAE-FE153DAF38B3}"/>
    <cellStyle name="Currency 3 4 2 3 2 2 3 3 2" xfId="25925" xr:uid="{41AC79BF-D8FF-45D9-B03A-65B98A28E079}"/>
    <cellStyle name="Currency 3 4 2 3 2 2 3 4" xfId="19849" xr:uid="{B4CF6B39-F9AB-47B5-9E2C-DF26A64E4FC2}"/>
    <cellStyle name="Currency 3 4 2 3 2 2 4" xfId="6666" xr:uid="{A06F1C29-D5A5-47C1-A7EF-8E6B2C1939EF}"/>
    <cellStyle name="Currency 3 4 2 3 2 2 4 2" xfId="10138" xr:uid="{D0C65FFD-3402-4FC7-BAE3-733B7EBA7292}"/>
    <cellStyle name="Currency 3 4 2 3 2 2 4 2 2" xfId="24189" xr:uid="{2D688CF9-7292-4492-83B6-1475C5AA6EDB}"/>
    <cellStyle name="Currency 3 4 2 3 2 2 4 3" xfId="12742" xr:uid="{D59E7FAC-6779-4637-9A3E-0CCCFDC27B30}"/>
    <cellStyle name="Currency 3 4 2 3 2 2 4 3 2" xfId="26793" xr:uid="{0BD02CB9-816F-4839-8AC7-50BFE79F6674}"/>
    <cellStyle name="Currency 3 4 2 3 2 2 4 4" xfId="20717" xr:uid="{8B3E57FA-C12C-49FD-8FD4-56466F79BA38}"/>
    <cellStyle name="Currency 3 4 2 3 2 2 5" xfId="8402" xr:uid="{0AF6BA91-D9F5-41AC-8976-CCA09E9ADF8F}"/>
    <cellStyle name="Currency 3 4 2 3 2 2 5 2" xfId="13610" xr:uid="{B183AB5B-488F-49EE-A6C7-52B8E58D322E}"/>
    <cellStyle name="Currency 3 4 2 3 2 2 5 2 2" xfId="27661" xr:uid="{9F7942C3-2F52-4E17-9486-CC81D6C34D89}"/>
    <cellStyle name="Currency 3 4 2 3 2 2 5 3" xfId="22453" xr:uid="{F074700B-2E3F-43FE-8CE5-81100418B126}"/>
    <cellStyle name="Currency 3 4 2 3 2 2 6" xfId="7534" xr:uid="{303BA6ED-9D19-4D3E-95F8-121158A854CF}"/>
    <cellStyle name="Currency 3 4 2 3 2 2 6 2" xfId="21585" xr:uid="{943E2C4A-5DFC-42D1-B410-58B19EB07C76}"/>
    <cellStyle name="Currency 3 4 2 3 2 2 7" xfId="11006" xr:uid="{B9727420-7272-404D-8DE0-9587F58C8D24}"/>
    <cellStyle name="Currency 3 4 2 3 2 2 7 2" xfId="25057" xr:uid="{2F1D8575-A14A-484B-9527-46305F11A511}"/>
    <cellStyle name="Currency 3 4 2 3 2 2 8" xfId="18367" xr:uid="{AFE7E82E-ACDA-4580-A1F4-8A9C9569477B}"/>
    <cellStyle name="Currency 3 4 2 3 2 3" xfId="5174" xr:uid="{DF4BD829-8BC8-4AE6-A63E-F8C1F99A6AE0}"/>
    <cellStyle name="Currency 3 4 2 3 2 3 2" xfId="6042" xr:uid="{C5851834-B029-42F1-9B24-673140286C4C}"/>
    <cellStyle name="Currency 3 4 2 3 2 3 2 2" xfId="9514" xr:uid="{91FE50BD-709C-4F83-9DD6-7600B1165771}"/>
    <cellStyle name="Currency 3 4 2 3 2 3 2 2 2" xfId="23565" xr:uid="{AD62153A-5687-473E-B8D1-0A3AA839DCBF}"/>
    <cellStyle name="Currency 3 4 2 3 2 3 2 3" xfId="12118" xr:uid="{6894DDD7-EF68-4F7D-AC25-EF90B4F9D3B9}"/>
    <cellStyle name="Currency 3 4 2 3 2 3 2 3 2" xfId="26169" xr:uid="{6624CDF7-2EA9-4C06-A9FE-B95EBF3D8593}"/>
    <cellStyle name="Currency 3 4 2 3 2 3 2 4" xfId="20093" xr:uid="{4A7E61B9-A88B-47D3-A3B7-2F003C236F64}"/>
    <cellStyle name="Currency 3 4 2 3 2 3 3" xfId="6910" xr:uid="{032C0416-A697-4E68-9311-F6C53D3C056C}"/>
    <cellStyle name="Currency 3 4 2 3 2 3 3 2" xfId="10382" xr:uid="{34663973-A194-4AF9-90BE-E7ED339676D3}"/>
    <cellStyle name="Currency 3 4 2 3 2 3 3 2 2" xfId="24433" xr:uid="{9483E65B-21EF-40F7-9A53-CDE55DC48585}"/>
    <cellStyle name="Currency 3 4 2 3 2 3 3 3" xfId="12986" xr:uid="{04932F79-9B61-4D12-A325-A0D9EDA2EA5F}"/>
    <cellStyle name="Currency 3 4 2 3 2 3 3 3 2" xfId="27037" xr:uid="{FE751A0A-D517-402A-ACD2-A87D758B6B69}"/>
    <cellStyle name="Currency 3 4 2 3 2 3 3 4" xfId="20961" xr:uid="{67BDB2FB-A8DE-4699-9816-BD8BA53C8E3B}"/>
    <cellStyle name="Currency 3 4 2 3 2 3 4" xfId="8646" xr:uid="{8BD0F25D-6D7A-41AF-A608-7C9229FA723D}"/>
    <cellStyle name="Currency 3 4 2 3 2 3 4 2" xfId="13854" xr:uid="{F3988AA8-99F0-4CF2-8C8B-CD9F09A07B03}"/>
    <cellStyle name="Currency 3 4 2 3 2 3 4 2 2" xfId="27905" xr:uid="{2838488D-4EF5-48FD-AA7D-D65C032365B4}"/>
    <cellStyle name="Currency 3 4 2 3 2 3 4 3" xfId="22697" xr:uid="{773F73E1-D384-4B85-8D94-D1EFEC411F9E}"/>
    <cellStyle name="Currency 3 4 2 3 2 3 5" xfId="7778" xr:uid="{AE5B7823-DB70-4288-B598-FBBEC710D4F2}"/>
    <cellStyle name="Currency 3 4 2 3 2 3 5 2" xfId="21829" xr:uid="{2ABEE9ED-43F8-41F7-AB2A-764CEFEADF0C}"/>
    <cellStyle name="Currency 3 4 2 3 2 3 6" xfId="11250" xr:uid="{CDC40DD8-3B08-4791-87CB-F51FE8C91C52}"/>
    <cellStyle name="Currency 3 4 2 3 2 3 6 2" xfId="25301" xr:uid="{3B5A8F21-9699-4FE2-84D0-25EEEFEBE622}"/>
    <cellStyle name="Currency 3 4 2 3 2 3 7" xfId="19225" xr:uid="{EBE18600-9342-47BD-BC33-9404961B9DE9}"/>
    <cellStyle name="Currency 3 4 2 3 2 4" xfId="5608" xr:uid="{96E09AFF-4E4A-4BA7-B43D-EDDC5B58EB85}"/>
    <cellStyle name="Currency 3 4 2 3 2 4 2" xfId="9080" xr:uid="{70118619-EFCD-44E6-952E-2EA8D4963A0B}"/>
    <cellStyle name="Currency 3 4 2 3 2 4 2 2" xfId="23131" xr:uid="{37A86308-C97B-4512-8B13-F15EAD7E03DE}"/>
    <cellStyle name="Currency 3 4 2 3 2 4 3" xfId="11684" xr:uid="{503BED89-333E-4A66-BA59-41AD10489D4E}"/>
    <cellStyle name="Currency 3 4 2 3 2 4 3 2" xfId="25735" xr:uid="{8FF6B5DC-14A9-4E63-B45D-B18ADAF697C8}"/>
    <cellStyle name="Currency 3 4 2 3 2 4 4" xfId="19659" xr:uid="{5D8F9E38-0973-463B-A13C-A58FCD84A785}"/>
    <cellStyle name="Currency 3 4 2 3 2 5" xfId="6476" xr:uid="{7E50505A-218D-456B-AA09-88D965DDB456}"/>
    <cellStyle name="Currency 3 4 2 3 2 5 2" xfId="9948" xr:uid="{094AB1E0-463A-4779-BB96-7B80F9EDB7C7}"/>
    <cellStyle name="Currency 3 4 2 3 2 5 2 2" xfId="23999" xr:uid="{6F9AA5C0-0640-4FDD-ACFB-3DB93E0261F7}"/>
    <cellStyle name="Currency 3 4 2 3 2 5 3" xfId="12552" xr:uid="{30EEEC92-FF4D-473F-AC74-439C25A4FE4E}"/>
    <cellStyle name="Currency 3 4 2 3 2 5 3 2" xfId="26603" xr:uid="{A1164C3E-9A60-49FA-9462-3BD1F80FA70C}"/>
    <cellStyle name="Currency 3 4 2 3 2 5 4" xfId="20527" xr:uid="{4C415BB8-82D7-43CD-96BF-21FB4A12D30E}"/>
    <cellStyle name="Currency 3 4 2 3 2 6" xfId="8212" xr:uid="{1E4CD3B3-21B9-43A0-90B4-7A46B58F3D93}"/>
    <cellStyle name="Currency 3 4 2 3 2 6 2" xfId="13420" xr:uid="{DE6BEA4E-7974-485F-8D69-0FF92A2026A0}"/>
    <cellStyle name="Currency 3 4 2 3 2 6 2 2" xfId="27471" xr:uid="{4A82E0B6-4A31-4D38-AF2D-EB4B79645672}"/>
    <cellStyle name="Currency 3 4 2 3 2 6 3" xfId="22263" xr:uid="{31C96281-4E55-46CC-9F1E-4EF9D0242D77}"/>
    <cellStyle name="Currency 3 4 2 3 2 7" xfId="7344" xr:uid="{157226C2-5AAB-4242-9121-902FAF3CCE79}"/>
    <cellStyle name="Currency 3 4 2 3 2 7 2" xfId="21395" xr:uid="{ED9C79D2-015A-4CEE-B195-BF728D96EE72}"/>
    <cellStyle name="Currency 3 4 2 3 2 8" xfId="10816" xr:uid="{A663597C-C750-4883-AA67-28B74F9E64E7}"/>
    <cellStyle name="Currency 3 4 2 3 2 8 2" xfId="24867" xr:uid="{CFE47C13-75B2-470A-BF5A-47FDCB0B17B8}"/>
    <cellStyle name="Currency 3 4 2 3 2 9" xfId="16177" xr:uid="{478A9380-C45F-4C7B-B2AE-366DC559D170}"/>
    <cellStyle name="Currency 3 4 2 3 3" xfId="3221" xr:uid="{225F6F7F-9AC8-40A2-93A3-39FD3B04F091}"/>
    <cellStyle name="Currency 3 4 2 3 3 2" xfId="5269" xr:uid="{7D5923C7-0DBF-47AD-950B-AB30142432D5}"/>
    <cellStyle name="Currency 3 4 2 3 3 2 2" xfId="6137" xr:uid="{3BF5778F-D487-4ADF-B870-DC767C0C4482}"/>
    <cellStyle name="Currency 3 4 2 3 3 2 2 2" xfId="9609" xr:uid="{52D64F58-093C-48E7-9F57-6FE4BD034992}"/>
    <cellStyle name="Currency 3 4 2 3 3 2 2 2 2" xfId="23660" xr:uid="{E1569FAE-F61D-4A08-A5E5-9FE8557DD387}"/>
    <cellStyle name="Currency 3 4 2 3 3 2 2 3" xfId="12213" xr:uid="{BAEB9812-AC20-4CEF-AE03-5E23D3DA9DA4}"/>
    <cellStyle name="Currency 3 4 2 3 3 2 2 3 2" xfId="26264" xr:uid="{23773EF9-020C-47D5-A49F-614F0BAE86EA}"/>
    <cellStyle name="Currency 3 4 2 3 3 2 2 4" xfId="20188" xr:uid="{17326323-C36A-46CD-94C0-F23B82664CD2}"/>
    <cellStyle name="Currency 3 4 2 3 3 2 3" xfId="7005" xr:uid="{D1965BEA-4938-46D2-B451-D10EF087676F}"/>
    <cellStyle name="Currency 3 4 2 3 3 2 3 2" xfId="10477" xr:uid="{FA0C8CFA-686F-41E5-B2D4-E40175132DCC}"/>
    <cellStyle name="Currency 3 4 2 3 3 2 3 2 2" xfId="24528" xr:uid="{B9215097-91B7-423E-A6B4-37B81B324873}"/>
    <cellStyle name="Currency 3 4 2 3 3 2 3 3" xfId="13081" xr:uid="{4102B628-942F-4BE7-A318-39C9F3C96D0F}"/>
    <cellStyle name="Currency 3 4 2 3 3 2 3 3 2" xfId="27132" xr:uid="{68501502-41FF-4B6E-A26C-930DE03E2564}"/>
    <cellStyle name="Currency 3 4 2 3 3 2 3 4" xfId="21056" xr:uid="{A2D99A92-0214-484D-B8AF-1C268E9D4B86}"/>
    <cellStyle name="Currency 3 4 2 3 3 2 4" xfId="8741" xr:uid="{C917384C-2EB6-48EF-A501-19EABF1BAC26}"/>
    <cellStyle name="Currency 3 4 2 3 3 2 4 2" xfId="13949" xr:uid="{20CC3937-2037-4F84-8F6D-D15078AA1D33}"/>
    <cellStyle name="Currency 3 4 2 3 3 2 4 2 2" xfId="28000" xr:uid="{68E7A606-1F51-4324-8516-1B59C4BB7C0C}"/>
    <cellStyle name="Currency 3 4 2 3 3 2 4 3" xfId="22792" xr:uid="{0BD22D77-8994-495F-808A-FDD27B6E4C67}"/>
    <cellStyle name="Currency 3 4 2 3 3 2 5" xfId="7873" xr:uid="{5276BE91-25EE-4A64-8660-ACDE88BC0E48}"/>
    <cellStyle name="Currency 3 4 2 3 3 2 5 2" xfId="21924" xr:uid="{E3A9F2CC-15E8-4949-89C5-46CDD2395339}"/>
    <cellStyle name="Currency 3 4 2 3 3 2 6" xfId="11345" xr:uid="{72519C72-3FA0-4C23-9E26-E78050CFF8F6}"/>
    <cellStyle name="Currency 3 4 2 3 3 2 6 2" xfId="25396" xr:uid="{DF9C5A91-4478-4243-BFDD-183B384142D0}"/>
    <cellStyle name="Currency 3 4 2 3 3 2 7" xfId="19320" xr:uid="{53AA11F0-5E25-451E-9DAA-80A8919377AC}"/>
    <cellStyle name="Currency 3 4 2 3 3 3" xfId="5703" xr:uid="{2FF48322-73FD-4795-B879-9C9E6FDF684A}"/>
    <cellStyle name="Currency 3 4 2 3 3 3 2" xfId="9175" xr:uid="{351870BD-078F-4958-9689-948AFF1F372E}"/>
    <cellStyle name="Currency 3 4 2 3 3 3 2 2" xfId="23226" xr:uid="{3979D185-5379-4C3C-9BD4-40E1465F7CE7}"/>
    <cellStyle name="Currency 3 4 2 3 3 3 3" xfId="11779" xr:uid="{E02A62C5-2C5A-473A-80A9-A22A0F9C34E9}"/>
    <cellStyle name="Currency 3 4 2 3 3 3 3 2" xfId="25830" xr:uid="{A6D4178B-6365-4A1B-A418-2C574730E9A0}"/>
    <cellStyle name="Currency 3 4 2 3 3 3 4" xfId="19754" xr:uid="{887E4002-2780-48A7-99FB-B6726EE24492}"/>
    <cellStyle name="Currency 3 4 2 3 3 4" xfId="6571" xr:uid="{F3BB4A08-74C0-409D-86D3-D491F70EBCDC}"/>
    <cellStyle name="Currency 3 4 2 3 3 4 2" xfId="10043" xr:uid="{E23C3C05-D220-4C8F-8E8F-B8EEBC405744}"/>
    <cellStyle name="Currency 3 4 2 3 3 4 2 2" xfId="24094" xr:uid="{1A7C9B2E-5E77-4511-AA30-278C7EF446BE}"/>
    <cellStyle name="Currency 3 4 2 3 3 4 3" xfId="12647" xr:uid="{6C481905-847B-4B5B-A424-66675253B8AE}"/>
    <cellStyle name="Currency 3 4 2 3 3 4 3 2" xfId="26698" xr:uid="{F2B862EE-8796-4465-A448-4842866ED86D}"/>
    <cellStyle name="Currency 3 4 2 3 3 4 4" xfId="20622" xr:uid="{AF48604B-0B5B-419B-A2C7-6CE74CD36881}"/>
    <cellStyle name="Currency 3 4 2 3 3 5" xfId="8307" xr:uid="{9E8A6F5A-A806-43F9-9085-631E4E924EAA}"/>
    <cellStyle name="Currency 3 4 2 3 3 5 2" xfId="13515" xr:uid="{F216355F-B9DF-4ABA-873C-1166D6A9B0D9}"/>
    <cellStyle name="Currency 3 4 2 3 3 5 2 2" xfId="27566" xr:uid="{5858A34B-3101-46FE-BEBA-6DE19C78C126}"/>
    <cellStyle name="Currency 3 4 2 3 3 5 3" xfId="22358" xr:uid="{30CEF0D1-8757-4AA2-A5B8-BDB7D89F80FF}"/>
    <cellStyle name="Currency 3 4 2 3 3 6" xfId="7439" xr:uid="{624E77DA-EDF9-49C1-9C11-73DC466408E4}"/>
    <cellStyle name="Currency 3 4 2 3 3 6 2" xfId="21490" xr:uid="{04072CD8-30AA-4D76-9A90-D7C9A1F51AB7}"/>
    <cellStyle name="Currency 3 4 2 3 3 7" xfId="10911" xr:uid="{53F43035-644D-4874-8C50-B62C3FD68A40}"/>
    <cellStyle name="Currency 3 4 2 3 3 7 2" xfId="24962" xr:uid="{DD494375-F47C-477D-AA54-D6FA2526845B}"/>
    <cellStyle name="Currency 3 4 2 3 3 8" xfId="17273" xr:uid="{98449723-124C-4F08-841D-573AD714FDF6}"/>
    <cellStyle name="Currency 3 4 2 3 4" xfId="5077" xr:uid="{DD123783-5929-4A7A-835B-3BF69FEBCF73}"/>
    <cellStyle name="Currency 3 4 2 3 4 2" xfId="5945" xr:uid="{5EF9F2D9-3076-45CE-AC27-93BF3AAB12BA}"/>
    <cellStyle name="Currency 3 4 2 3 4 2 2" xfId="9417" xr:uid="{592CDD8E-4814-4662-A3AC-B14E2C2C4075}"/>
    <cellStyle name="Currency 3 4 2 3 4 2 2 2" xfId="23468" xr:uid="{9003017F-B96E-466C-96BC-8E537FA71371}"/>
    <cellStyle name="Currency 3 4 2 3 4 2 3" xfId="12021" xr:uid="{F687E3CA-4525-4ED6-8D11-F36011D9AD02}"/>
    <cellStyle name="Currency 3 4 2 3 4 2 3 2" xfId="26072" xr:uid="{342BBCDD-B943-43CC-BE9B-9670B8FDCC65}"/>
    <cellStyle name="Currency 3 4 2 3 4 2 4" xfId="19996" xr:uid="{AD938E91-BF1D-4431-813B-8192DEB76B87}"/>
    <cellStyle name="Currency 3 4 2 3 4 3" xfId="6813" xr:uid="{7EC301ED-2EB1-4CD1-941B-516CB08EA49A}"/>
    <cellStyle name="Currency 3 4 2 3 4 3 2" xfId="10285" xr:uid="{6E2B247F-93AC-4650-8FF0-6B5C48B12FA4}"/>
    <cellStyle name="Currency 3 4 2 3 4 3 2 2" xfId="24336" xr:uid="{328C66F8-D8FE-4662-9DC6-4DC9EB12F857}"/>
    <cellStyle name="Currency 3 4 2 3 4 3 3" xfId="12889" xr:uid="{CA367548-4B2F-4EC0-9EF0-CE6E5F7151D7}"/>
    <cellStyle name="Currency 3 4 2 3 4 3 3 2" xfId="26940" xr:uid="{5758F349-FC85-483F-B5A5-4BAC33C9733E}"/>
    <cellStyle name="Currency 3 4 2 3 4 3 4" xfId="20864" xr:uid="{37102AC6-D719-4E7E-A729-7B7490F4A1A9}"/>
    <cellStyle name="Currency 3 4 2 3 4 4" xfId="8549" xr:uid="{EC2535F5-97FB-4F70-92AD-C1BCB7F45CC3}"/>
    <cellStyle name="Currency 3 4 2 3 4 4 2" xfId="13757" xr:uid="{9D894155-036B-4602-A38A-44BD333E0C7A}"/>
    <cellStyle name="Currency 3 4 2 3 4 4 2 2" xfId="27808" xr:uid="{03ED3611-591F-4F6D-949D-88103FBEC551}"/>
    <cellStyle name="Currency 3 4 2 3 4 4 3" xfId="22600" xr:uid="{FC71F1D8-4905-4F8B-B4DB-0239E0AA5823}"/>
    <cellStyle name="Currency 3 4 2 3 4 5" xfId="7681" xr:uid="{E8E989A7-A021-4EC9-89D6-8606A46D2F9F}"/>
    <cellStyle name="Currency 3 4 2 3 4 5 2" xfId="21732" xr:uid="{A1ED62B4-8A82-4FD3-8CC8-CE317C19526C}"/>
    <cellStyle name="Currency 3 4 2 3 4 6" xfId="11153" xr:uid="{CB609422-5645-4BCA-8A5C-10259915486C}"/>
    <cellStyle name="Currency 3 4 2 3 4 6 2" xfId="25204" xr:uid="{901CFDF2-465F-4F85-B9AD-1DD2F7CF07D0}"/>
    <cellStyle name="Currency 3 4 2 3 4 7" xfId="19128" xr:uid="{6940F271-3AED-4CDD-89B3-7BF3FBBFF190}"/>
    <cellStyle name="Currency 3 4 2 3 5" xfId="5511" xr:uid="{13363C10-EF07-410D-BE35-392AE84E914E}"/>
    <cellStyle name="Currency 3 4 2 3 5 2" xfId="8983" xr:uid="{2597AFA0-4625-4FF5-96A1-D2E061E57F2C}"/>
    <cellStyle name="Currency 3 4 2 3 5 2 2" xfId="23034" xr:uid="{CAE8798B-75E2-422E-9E8D-CB8EEA67DF73}"/>
    <cellStyle name="Currency 3 4 2 3 5 3" xfId="11587" xr:uid="{95659250-29A7-40C6-A0AC-6CA90FDB6238}"/>
    <cellStyle name="Currency 3 4 2 3 5 3 2" xfId="25638" xr:uid="{50D626F8-6C00-4799-A96D-63D6BB65482A}"/>
    <cellStyle name="Currency 3 4 2 3 5 4" xfId="19562" xr:uid="{57E2869D-9216-4E98-AB13-57E2DDC463B5}"/>
    <cellStyle name="Currency 3 4 2 3 6" xfId="6379" xr:uid="{1C3EDE82-3A0E-4FC1-B0DA-753796931BA8}"/>
    <cellStyle name="Currency 3 4 2 3 6 2" xfId="9851" xr:uid="{8AE5F4C6-1BA8-4FED-9F4A-AE843BC0A07D}"/>
    <cellStyle name="Currency 3 4 2 3 6 2 2" xfId="23902" xr:uid="{207DED51-300E-44A8-A402-E7455C9E2317}"/>
    <cellStyle name="Currency 3 4 2 3 6 3" xfId="12455" xr:uid="{0480612E-FBA1-4DA0-A67C-C7FF6D954133}"/>
    <cellStyle name="Currency 3 4 2 3 6 3 2" xfId="26506" xr:uid="{9842ABEA-402D-40FF-B595-4EBA601D3F37}"/>
    <cellStyle name="Currency 3 4 2 3 6 4" xfId="20430" xr:uid="{92727B3B-5EC6-4F98-8689-F64FC7CBA6F4}"/>
    <cellStyle name="Currency 3 4 2 3 7" xfId="8115" xr:uid="{D0B75F0A-7709-487C-81B6-E60F75AA8BB5}"/>
    <cellStyle name="Currency 3 4 2 3 7 2" xfId="13323" xr:uid="{C040C847-3856-4877-B08A-9BFCFF3C2C30}"/>
    <cellStyle name="Currency 3 4 2 3 7 2 2" xfId="27374" xr:uid="{2D71CBA0-E94B-483D-986C-DFEAF593915C}"/>
    <cellStyle name="Currency 3 4 2 3 7 3" xfId="22166" xr:uid="{27B7C4B9-FCE3-4746-8B6F-6CA2B6F42F1C}"/>
    <cellStyle name="Currency 3 4 2 3 8" xfId="7247" xr:uid="{3D1B3178-9B2E-45C9-8927-3CB332E300A2}"/>
    <cellStyle name="Currency 3 4 2 3 8 2" xfId="21298" xr:uid="{CF4597EA-53F3-460C-9B19-0B69FD879278}"/>
    <cellStyle name="Currency 3 4 2 3 9" xfId="10719" xr:uid="{B7C6BDB4-CCF1-4EE3-9CFF-F3FA9F14D31B}"/>
    <cellStyle name="Currency 3 4 2 3 9 2" xfId="24770" xr:uid="{E0E40F0A-D8F9-4B7A-84F9-329271884F9C}"/>
    <cellStyle name="Currency 3 4 2 4" xfId="1609" xr:uid="{7007003F-57CA-4EAD-A138-235B486F8EF7}"/>
    <cellStyle name="Currency 3 4 2 4 2" xfId="3799" xr:uid="{B372AC0E-DAC6-411E-840A-F5C7FEFAAFE4}"/>
    <cellStyle name="Currency 3 4 2 4 2 2" xfId="5320" xr:uid="{374F475B-B593-4251-B021-29BF036C2430}"/>
    <cellStyle name="Currency 3 4 2 4 2 2 2" xfId="6188" xr:uid="{EEB131D7-4BFE-4951-8BCC-4727D3B0AF58}"/>
    <cellStyle name="Currency 3 4 2 4 2 2 2 2" xfId="9660" xr:uid="{D9B9E594-4062-4306-B64A-7FDA7ABCE0E7}"/>
    <cellStyle name="Currency 3 4 2 4 2 2 2 2 2" xfId="23711" xr:uid="{78E68603-7407-4485-B755-210AD6EE1D7F}"/>
    <cellStyle name="Currency 3 4 2 4 2 2 2 3" xfId="12264" xr:uid="{9E7BF943-8B9E-4102-B88D-EBEE3E56681E}"/>
    <cellStyle name="Currency 3 4 2 4 2 2 2 3 2" xfId="26315" xr:uid="{BC3F0EB4-3BA3-431A-B2B2-78162578D412}"/>
    <cellStyle name="Currency 3 4 2 4 2 2 2 4" xfId="20239" xr:uid="{FB8F5B9B-CC34-435B-BA71-AD2B09420480}"/>
    <cellStyle name="Currency 3 4 2 4 2 2 3" xfId="7056" xr:uid="{DA8AA490-1C47-4121-9727-6F721827E00C}"/>
    <cellStyle name="Currency 3 4 2 4 2 2 3 2" xfId="10528" xr:uid="{69AF7BF4-CE74-4D4E-AC52-EF799130DDEE}"/>
    <cellStyle name="Currency 3 4 2 4 2 2 3 2 2" xfId="24579" xr:uid="{82DB54E7-5B32-47DC-85A7-11ED2D839BF8}"/>
    <cellStyle name="Currency 3 4 2 4 2 2 3 3" xfId="13132" xr:uid="{CF43EFB3-3E4A-4D97-8E19-5CEE3646BE7A}"/>
    <cellStyle name="Currency 3 4 2 4 2 2 3 3 2" xfId="27183" xr:uid="{A4E7AB5D-0112-4A56-AA98-8FC361B151B0}"/>
    <cellStyle name="Currency 3 4 2 4 2 2 3 4" xfId="21107" xr:uid="{5621C699-1CE6-4806-B503-FCDC8FC380E2}"/>
    <cellStyle name="Currency 3 4 2 4 2 2 4" xfId="8792" xr:uid="{B44B415A-7E38-4272-91E3-04F99CC0296C}"/>
    <cellStyle name="Currency 3 4 2 4 2 2 4 2" xfId="14000" xr:uid="{0B1F37C0-C315-486E-9DC3-6768B66F8695}"/>
    <cellStyle name="Currency 3 4 2 4 2 2 4 2 2" xfId="28051" xr:uid="{7D1382CE-1312-43B5-B9F0-D9EFB23A9D82}"/>
    <cellStyle name="Currency 3 4 2 4 2 2 4 3" xfId="22843" xr:uid="{6A4EA399-16D9-430F-9B50-F4C723D7855B}"/>
    <cellStyle name="Currency 3 4 2 4 2 2 5" xfId="7924" xr:uid="{408C7509-83FA-46B3-B2A5-12FABD1E22B1}"/>
    <cellStyle name="Currency 3 4 2 4 2 2 5 2" xfId="21975" xr:uid="{B430E121-F4FF-480B-8FE8-E520DAF0AD7C}"/>
    <cellStyle name="Currency 3 4 2 4 2 2 6" xfId="11396" xr:uid="{ACDC9283-A3D4-4398-A1A8-2619FA1E7A83}"/>
    <cellStyle name="Currency 3 4 2 4 2 2 6 2" xfId="25447" xr:uid="{020D1ECF-CD66-4535-BA7E-FE357FCC5874}"/>
    <cellStyle name="Currency 3 4 2 4 2 2 7" xfId="19371" xr:uid="{B01C7A7B-9D95-43CF-B047-BDC60AC5ABE8}"/>
    <cellStyle name="Currency 3 4 2 4 2 3" xfId="5754" xr:uid="{201B6D46-B135-4E26-89E8-8612E28D3939}"/>
    <cellStyle name="Currency 3 4 2 4 2 3 2" xfId="9226" xr:uid="{2A9313D3-0207-45F2-AEE5-99837749854C}"/>
    <cellStyle name="Currency 3 4 2 4 2 3 2 2" xfId="23277" xr:uid="{D31CAF1D-6ABC-4168-BD3E-0AB9F16E38CE}"/>
    <cellStyle name="Currency 3 4 2 4 2 3 3" xfId="11830" xr:uid="{22A7793E-3843-448F-9B30-EE6F87C18F16}"/>
    <cellStyle name="Currency 3 4 2 4 2 3 3 2" xfId="25881" xr:uid="{B3BC9C68-C98A-4B4F-8545-1F0FBEAC466C}"/>
    <cellStyle name="Currency 3 4 2 4 2 3 4" xfId="19805" xr:uid="{F2550327-1CD8-47C4-AA97-EB7FBA01C193}"/>
    <cellStyle name="Currency 3 4 2 4 2 4" xfId="6622" xr:uid="{92E94387-AC9C-4AE0-BAA1-BFC1DB88789A}"/>
    <cellStyle name="Currency 3 4 2 4 2 4 2" xfId="10094" xr:uid="{0F1923B0-E8A5-47A8-9888-51E5D4FE474E}"/>
    <cellStyle name="Currency 3 4 2 4 2 4 2 2" xfId="24145" xr:uid="{13ABF63C-0666-4645-81D7-C63E36E55FA6}"/>
    <cellStyle name="Currency 3 4 2 4 2 4 3" xfId="12698" xr:uid="{0D7506F0-36E5-4259-9D74-434D7C2D8121}"/>
    <cellStyle name="Currency 3 4 2 4 2 4 3 2" xfId="26749" xr:uid="{A81D749B-3AF7-4E78-9F5F-6FA76E25F9BD}"/>
    <cellStyle name="Currency 3 4 2 4 2 4 4" xfId="20673" xr:uid="{FE548469-D560-42BE-B03B-1E1A1CC404C2}"/>
    <cellStyle name="Currency 3 4 2 4 2 5" xfId="8358" xr:uid="{D4B98DFD-2DBB-4FBE-B0CF-91D5403CC109}"/>
    <cellStyle name="Currency 3 4 2 4 2 5 2" xfId="13566" xr:uid="{C6F71292-B188-4E48-80CC-369154183621}"/>
    <cellStyle name="Currency 3 4 2 4 2 5 2 2" xfId="27617" xr:uid="{A20F488D-D748-4DBA-8DB0-10BE9D78B811}"/>
    <cellStyle name="Currency 3 4 2 4 2 5 3" xfId="22409" xr:uid="{39C36002-A152-4A7A-A078-0FC7E9B7050C}"/>
    <cellStyle name="Currency 3 4 2 4 2 6" xfId="7490" xr:uid="{E1D51FA4-072D-476D-90C2-FE6C58648FD0}"/>
    <cellStyle name="Currency 3 4 2 4 2 6 2" xfId="21541" xr:uid="{3ECC07E7-FDD8-4871-A5EB-74D8A7A721E2}"/>
    <cellStyle name="Currency 3 4 2 4 2 7" xfId="10962" xr:uid="{0FF7548B-30A1-4641-8280-B92FBCEBBD5F}"/>
    <cellStyle name="Currency 3 4 2 4 2 7 2" xfId="25013" xr:uid="{3EC87C2C-1FAC-48C7-9E60-2B02C801B226}"/>
    <cellStyle name="Currency 3 4 2 4 2 8" xfId="17852" xr:uid="{A2EE93CB-58DA-4235-8E73-EDE6602AFECE}"/>
    <cellStyle name="Currency 3 4 2 4 3" xfId="5129" xr:uid="{88BEC1B8-415F-4A85-9FCC-95B6973FF2E4}"/>
    <cellStyle name="Currency 3 4 2 4 3 2" xfId="5997" xr:uid="{976E3A55-1098-404E-8518-C27BEA450E29}"/>
    <cellStyle name="Currency 3 4 2 4 3 2 2" xfId="9469" xr:uid="{FFD7E943-DD10-4069-8C1C-B710C259F8B6}"/>
    <cellStyle name="Currency 3 4 2 4 3 2 2 2" xfId="23520" xr:uid="{E0D35446-6306-4455-AE22-A0B380FFE7FD}"/>
    <cellStyle name="Currency 3 4 2 4 3 2 3" xfId="12073" xr:uid="{25B9B8D8-18BF-4784-BEC4-47B75D6FCAFA}"/>
    <cellStyle name="Currency 3 4 2 4 3 2 3 2" xfId="26124" xr:uid="{ECD2D930-B15A-450F-95E2-7E23A9CA3AD4}"/>
    <cellStyle name="Currency 3 4 2 4 3 2 4" xfId="20048" xr:uid="{1E17B7E5-CBE1-4957-9ADF-3220E2DFA1DF}"/>
    <cellStyle name="Currency 3 4 2 4 3 3" xfId="6865" xr:uid="{18DEE5FD-59C5-4E11-9948-B3039525838B}"/>
    <cellStyle name="Currency 3 4 2 4 3 3 2" xfId="10337" xr:uid="{FBC1DDCA-6686-4CF4-813B-39E98CE1FD0B}"/>
    <cellStyle name="Currency 3 4 2 4 3 3 2 2" xfId="24388" xr:uid="{981136A8-A191-4DA8-8F4C-E587F7325C4E}"/>
    <cellStyle name="Currency 3 4 2 4 3 3 3" xfId="12941" xr:uid="{DC417C1F-99F8-48CF-8E51-7DFB90798860}"/>
    <cellStyle name="Currency 3 4 2 4 3 3 3 2" xfId="26992" xr:uid="{9F540BAA-CEDB-4F0B-BCC5-FA4765493139}"/>
    <cellStyle name="Currency 3 4 2 4 3 3 4" xfId="20916" xr:uid="{9E5DCF22-E25A-4A11-9202-0FBFCD194B79}"/>
    <cellStyle name="Currency 3 4 2 4 3 4" xfId="8601" xr:uid="{A9538685-6327-4806-93B6-B703379C598A}"/>
    <cellStyle name="Currency 3 4 2 4 3 4 2" xfId="13809" xr:uid="{AD380940-1A6C-4E36-9D35-41BCEF267668}"/>
    <cellStyle name="Currency 3 4 2 4 3 4 2 2" xfId="27860" xr:uid="{12004B1A-1C37-4C5A-9D38-EA9FDFFCBADC}"/>
    <cellStyle name="Currency 3 4 2 4 3 4 3" xfId="22652" xr:uid="{674DFBC4-4505-493B-B831-E2CA4C91C9C4}"/>
    <cellStyle name="Currency 3 4 2 4 3 5" xfId="7733" xr:uid="{1676FA21-A3A9-4749-B455-8C4782E127B3}"/>
    <cellStyle name="Currency 3 4 2 4 3 5 2" xfId="21784" xr:uid="{8845C5A5-8996-4F8A-B607-648EA1E9DC81}"/>
    <cellStyle name="Currency 3 4 2 4 3 6" xfId="11205" xr:uid="{BC587636-E27C-4FF7-8C04-9D047328842D}"/>
    <cellStyle name="Currency 3 4 2 4 3 6 2" xfId="25256" xr:uid="{A427E374-619A-4290-AA03-8B1F012FC83D}"/>
    <cellStyle name="Currency 3 4 2 4 3 7" xfId="19180" xr:uid="{C8664508-F8D7-4AFA-8645-B8B500453951}"/>
    <cellStyle name="Currency 3 4 2 4 4" xfId="5563" xr:uid="{58830DC3-E3AF-4598-B1B0-7ED318599ED7}"/>
    <cellStyle name="Currency 3 4 2 4 4 2" xfId="9035" xr:uid="{63425005-9FA2-4007-B472-9E7D5EB97907}"/>
    <cellStyle name="Currency 3 4 2 4 4 2 2" xfId="23086" xr:uid="{BD53434D-D37E-41CF-95D1-D6C49D973CAB}"/>
    <cellStyle name="Currency 3 4 2 4 4 3" xfId="11639" xr:uid="{AFB9830B-725D-4008-AB1F-D1D126ED2903}"/>
    <cellStyle name="Currency 3 4 2 4 4 3 2" xfId="25690" xr:uid="{D968758E-1D3A-434A-A3F4-86A17A646281}"/>
    <cellStyle name="Currency 3 4 2 4 4 4" xfId="19614" xr:uid="{89CB0C67-84D4-4B01-B8F3-37777B80218C}"/>
    <cellStyle name="Currency 3 4 2 4 5" xfId="6431" xr:uid="{120DF8CB-0A75-41D9-938D-CF7910922A7F}"/>
    <cellStyle name="Currency 3 4 2 4 5 2" xfId="9903" xr:uid="{B4BF8802-2285-46C4-B85E-905072D8BEC5}"/>
    <cellStyle name="Currency 3 4 2 4 5 2 2" xfId="23954" xr:uid="{403156B2-4C52-4825-AA60-ED6B1380367D}"/>
    <cellStyle name="Currency 3 4 2 4 5 3" xfId="12507" xr:uid="{3DF3E865-84E7-436B-B032-6120C60D4B8F}"/>
    <cellStyle name="Currency 3 4 2 4 5 3 2" xfId="26558" xr:uid="{AD1B5FCE-15E1-48F7-B227-F0790E8D46B9}"/>
    <cellStyle name="Currency 3 4 2 4 5 4" xfId="20482" xr:uid="{A2CD2266-04A7-475B-99DC-0F6DC4F1E8BB}"/>
    <cellStyle name="Currency 3 4 2 4 6" xfId="8167" xr:uid="{5BBA7C23-69EB-48FC-9D43-3D9B6A5C191E}"/>
    <cellStyle name="Currency 3 4 2 4 6 2" xfId="13375" xr:uid="{A8BFEFBC-EFB6-44E2-902B-7720DCEFBD64}"/>
    <cellStyle name="Currency 3 4 2 4 6 2 2" xfId="27426" xr:uid="{9B71F4DD-184E-48AA-957A-56792943A02F}"/>
    <cellStyle name="Currency 3 4 2 4 6 3" xfId="22218" xr:uid="{79A78C89-216E-4B5B-8669-AA35C404A307}"/>
    <cellStyle name="Currency 3 4 2 4 7" xfId="7299" xr:uid="{0501F1DA-1C5E-49C3-961F-850FE5D3ECF6}"/>
    <cellStyle name="Currency 3 4 2 4 7 2" xfId="21350" xr:uid="{CB5F11B5-976D-4E33-A0B0-51760F7A4AA0}"/>
    <cellStyle name="Currency 3 4 2 4 8" xfId="10771" xr:uid="{8B8D5CCD-6D7A-4108-85F5-A1E4E8AF16B2}"/>
    <cellStyle name="Currency 3 4 2 4 8 2" xfId="24822" xr:uid="{10F0DAB8-4EC3-4DCD-8411-E3511DB8E2B0}"/>
    <cellStyle name="Currency 3 4 2 4 9" xfId="15658" xr:uid="{FE9190C0-DF63-4A3C-B262-66269F9B920C}"/>
    <cellStyle name="Currency 3 4 2 5" xfId="2528" xr:uid="{495512E3-069F-4716-8B2E-98538B6F2ED1}"/>
    <cellStyle name="Currency 3 4 2 5 2" xfId="5209" xr:uid="{141E8DED-7CA8-4B3A-8DBA-1CF88EDAC467}"/>
    <cellStyle name="Currency 3 4 2 5 2 2" xfId="6077" xr:uid="{E8269EC3-CD02-4AB3-A5D3-D21683332379}"/>
    <cellStyle name="Currency 3 4 2 5 2 2 2" xfId="9549" xr:uid="{85686099-36F9-486D-9FD5-210C19570BDA}"/>
    <cellStyle name="Currency 3 4 2 5 2 2 2 2" xfId="23600" xr:uid="{315D67BF-3A5F-4299-BECE-28B2F9239E08}"/>
    <cellStyle name="Currency 3 4 2 5 2 2 3" xfId="12153" xr:uid="{ED5CDA8C-321E-43A0-903D-511644A3DE2A}"/>
    <cellStyle name="Currency 3 4 2 5 2 2 3 2" xfId="26204" xr:uid="{C7004821-DC3C-4FE0-84E5-FC734D752B6E}"/>
    <cellStyle name="Currency 3 4 2 5 2 2 4" xfId="20128" xr:uid="{28D12356-F9C0-4DE1-BB21-2C646F5AEF15}"/>
    <cellStyle name="Currency 3 4 2 5 2 3" xfId="6945" xr:uid="{8CF566FE-A4CF-43A8-A35B-A744AD46BD84}"/>
    <cellStyle name="Currency 3 4 2 5 2 3 2" xfId="10417" xr:uid="{B03378E2-1CA2-40A8-8303-64A48499F5C2}"/>
    <cellStyle name="Currency 3 4 2 5 2 3 2 2" xfId="24468" xr:uid="{85B28024-D6D9-4886-9A25-58C3FE35F84D}"/>
    <cellStyle name="Currency 3 4 2 5 2 3 3" xfId="13021" xr:uid="{34823F46-23EB-4526-92D1-E6FD7F1E7882}"/>
    <cellStyle name="Currency 3 4 2 5 2 3 3 2" xfId="27072" xr:uid="{462D4CC1-722F-482E-ACC2-464148A1CEEB}"/>
    <cellStyle name="Currency 3 4 2 5 2 3 4" xfId="20996" xr:uid="{8F757CB0-2782-4181-9A07-F9C9614D40B0}"/>
    <cellStyle name="Currency 3 4 2 5 2 4" xfId="8681" xr:uid="{C0DAFECF-09E5-419E-80A7-56965BF4991B}"/>
    <cellStyle name="Currency 3 4 2 5 2 4 2" xfId="13889" xr:uid="{BC68EAF6-F8F9-4A86-97A6-97B0344F90B3}"/>
    <cellStyle name="Currency 3 4 2 5 2 4 2 2" xfId="27940" xr:uid="{A9626DB4-3033-4880-8C18-E858203B0CE7}"/>
    <cellStyle name="Currency 3 4 2 5 2 4 3" xfId="22732" xr:uid="{69D52153-C055-4AAF-9FAB-FBC7E73BC301}"/>
    <cellStyle name="Currency 3 4 2 5 2 5" xfId="7813" xr:uid="{4EAC3F8A-598D-40A9-8001-7CFD4D711534}"/>
    <cellStyle name="Currency 3 4 2 5 2 5 2" xfId="21864" xr:uid="{210C7402-52A0-41BA-B6F8-31B1C37DE8D7}"/>
    <cellStyle name="Currency 3 4 2 5 2 6" xfId="11285" xr:uid="{17E139F8-5925-4A81-BDE6-791B478CB3E5}"/>
    <cellStyle name="Currency 3 4 2 5 2 6 2" xfId="25336" xr:uid="{3C3BDAB7-AE12-4851-9787-007292DCE16A}"/>
    <cellStyle name="Currency 3 4 2 5 2 7" xfId="19260" xr:uid="{2CD196EC-0DE3-4925-AFAB-C8FBDF9863E0}"/>
    <cellStyle name="Currency 3 4 2 5 3" xfId="5643" xr:uid="{A41B78F5-FA20-41FB-B958-3D1691005EE2}"/>
    <cellStyle name="Currency 3 4 2 5 3 2" xfId="9115" xr:uid="{BF4E8516-E11F-45B7-9680-1384A3996EA0}"/>
    <cellStyle name="Currency 3 4 2 5 3 2 2" xfId="23166" xr:uid="{B97A1B09-1A23-41B4-AC0A-9CFB1B7DEE52}"/>
    <cellStyle name="Currency 3 4 2 5 3 3" xfId="11719" xr:uid="{08B10E53-0D5C-4807-99CE-2A81B9D84D22}"/>
    <cellStyle name="Currency 3 4 2 5 3 3 2" xfId="25770" xr:uid="{E3E78E25-9899-4EA9-97C5-60C4ED7AAFC6}"/>
    <cellStyle name="Currency 3 4 2 5 3 4" xfId="19694" xr:uid="{F9FC09C8-7C67-4D17-88E7-A56D79E73BC6}"/>
    <cellStyle name="Currency 3 4 2 5 4" xfId="6511" xr:uid="{6DCC02E2-5880-4522-A1C0-738EA911A189}"/>
    <cellStyle name="Currency 3 4 2 5 4 2" xfId="9983" xr:uid="{96641BEB-8EF3-4A57-84D5-39D2CEC1A7A1}"/>
    <cellStyle name="Currency 3 4 2 5 4 2 2" xfId="24034" xr:uid="{DD1D8089-CFE1-4B7B-A355-657388742C17}"/>
    <cellStyle name="Currency 3 4 2 5 4 3" xfId="12587" xr:uid="{FC461AE2-3547-4FD9-ADEA-C13ECC348545}"/>
    <cellStyle name="Currency 3 4 2 5 4 3 2" xfId="26638" xr:uid="{BF8617C2-75B4-4E6B-A16A-1D0B5DE50C77}"/>
    <cellStyle name="Currency 3 4 2 5 4 4" xfId="20562" xr:uid="{C17A4A35-1844-4435-8DB4-7797B2F1BECE}"/>
    <cellStyle name="Currency 3 4 2 5 5" xfId="8247" xr:uid="{FB60BAB2-9F01-4550-BB61-C617D224C9B2}"/>
    <cellStyle name="Currency 3 4 2 5 5 2" xfId="13455" xr:uid="{991A2BCE-CFC6-44A0-9CEA-CFBBEEAC3CC5}"/>
    <cellStyle name="Currency 3 4 2 5 5 2 2" xfId="27506" xr:uid="{8BFC08FA-907B-4203-8A79-0D08CED8951C}"/>
    <cellStyle name="Currency 3 4 2 5 5 3" xfId="22298" xr:uid="{2BB20BB4-8FED-4598-A799-79A9C9AC8906}"/>
    <cellStyle name="Currency 3 4 2 5 6" xfId="7379" xr:uid="{2D8191C9-5D39-4FFB-8938-B89026FF531D}"/>
    <cellStyle name="Currency 3 4 2 5 6 2" xfId="21430" xr:uid="{A0B8D22A-0345-4A46-A45E-B9E02D7D9ECA}"/>
    <cellStyle name="Currency 3 4 2 5 7" xfId="10851" xr:uid="{246610DB-F892-434D-A8A2-D59DF6BB8951}"/>
    <cellStyle name="Currency 3 4 2 5 7 2" xfId="24902" xr:uid="{2FC983A4-0B95-4C12-A825-7E1DD119767C}"/>
    <cellStyle name="Currency 3 4 2 5 8" xfId="16579" xr:uid="{B39BAA42-ABAF-45DF-BEE6-1A81E43BEC32}"/>
    <cellStyle name="Currency 3 4 2 6" xfId="4894" xr:uid="{BEC27388-8E33-4814-A747-A8F160395760}"/>
    <cellStyle name="Currency 3 4 2 6 2" xfId="5415" xr:uid="{2A0879B0-E374-4224-BC4D-65AB7CBCECC3}"/>
    <cellStyle name="Currency 3 4 2 6 2 2" xfId="6283" xr:uid="{C7372BFD-A5F4-47A9-BBA4-8E4004EE6C63}"/>
    <cellStyle name="Currency 3 4 2 6 2 2 2" xfId="9755" xr:uid="{65DCF0BD-6FCA-4802-A0F3-63C4557E3744}"/>
    <cellStyle name="Currency 3 4 2 6 2 2 2 2" xfId="23806" xr:uid="{BF457965-91E4-4B81-AFCD-F8172DA9FD9F}"/>
    <cellStyle name="Currency 3 4 2 6 2 2 3" xfId="12359" xr:uid="{05DF2D5B-665C-4EB5-8674-2A6B7A5B0239}"/>
    <cellStyle name="Currency 3 4 2 6 2 2 3 2" xfId="26410" xr:uid="{F94265F5-9D8D-4B4F-BB2B-1233BF1FFB90}"/>
    <cellStyle name="Currency 3 4 2 6 2 2 4" xfId="20334" xr:uid="{5DFF16BC-CF64-4E90-BC66-9EBC8FF2D248}"/>
    <cellStyle name="Currency 3 4 2 6 2 3" xfId="7151" xr:uid="{54B0BEA0-90A3-41D4-9A41-7D7F2D607E8D}"/>
    <cellStyle name="Currency 3 4 2 6 2 3 2" xfId="10623" xr:uid="{989B57A6-4538-44F6-8A51-7B9614BECD42}"/>
    <cellStyle name="Currency 3 4 2 6 2 3 2 2" xfId="24674" xr:uid="{7A9CB0CD-A569-4177-A884-C9517B5328F9}"/>
    <cellStyle name="Currency 3 4 2 6 2 3 3" xfId="13227" xr:uid="{C8465385-7743-4F6F-B8D4-D02BF2728C7A}"/>
    <cellStyle name="Currency 3 4 2 6 2 3 3 2" xfId="27278" xr:uid="{0CE7335F-05D5-4268-9300-01A5A6230C38}"/>
    <cellStyle name="Currency 3 4 2 6 2 3 4" xfId="21202" xr:uid="{F852DFDB-0027-4925-9922-52D026395B88}"/>
    <cellStyle name="Currency 3 4 2 6 2 4" xfId="8887" xr:uid="{E3A1C1A4-4622-40FB-8D00-5E6CC4C60F3C}"/>
    <cellStyle name="Currency 3 4 2 6 2 4 2" xfId="14095" xr:uid="{5AEE1082-3B0F-4BC6-B585-13A41BA5F707}"/>
    <cellStyle name="Currency 3 4 2 6 2 4 2 2" xfId="28146" xr:uid="{268C45CC-B0F2-404B-98EE-D3A870C26528}"/>
    <cellStyle name="Currency 3 4 2 6 2 4 3" xfId="22938" xr:uid="{C19C9FFB-F7DC-479D-978C-90F3D2890A9B}"/>
    <cellStyle name="Currency 3 4 2 6 2 5" xfId="8019" xr:uid="{E7A28506-EB44-46F4-88E4-4A7EC4AF1346}"/>
    <cellStyle name="Currency 3 4 2 6 2 5 2" xfId="22070" xr:uid="{701CACC5-834F-4520-AC4E-42A1785043AF}"/>
    <cellStyle name="Currency 3 4 2 6 2 6" xfId="11491" xr:uid="{BEBDE330-8B50-40C5-8E7D-5C289F6AF37F}"/>
    <cellStyle name="Currency 3 4 2 6 2 6 2" xfId="25542" xr:uid="{36FDF546-2D82-40C1-B2C4-E89BEAC7F503}"/>
    <cellStyle name="Currency 3 4 2 6 2 7" xfId="19466" xr:uid="{FD176547-45AC-482B-950E-88013A54E178}"/>
    <cellStyle name="Currency 3 4 2 6 3" xfId="5849" xr:uid="{1C7DE300-0575-4391-A9CD-FB15562695C0}"/>
    <cellStyle name="Currency 3 4 2 6 3 2" xfId="9321" xr:uid="{ABA1979A-D0DB-497B-B04F-6DF06DD3164E}"/>
    <cellStyle name="Currency 3 4 2 6 3 2 2" xfId="23372" xr:uid="{3F60364E-0294-42F6-9674-CDEB2FD3DA74}"/>
    <cellStyle name="Currency 3 4 2 6 3 3" xfId="11925" xr:uid="{1BBFECF4-B317-43B7-98CF-A5960DCCB678}"/>
    <cellStyle name="Currency 3 4 2 6 3 3 2" xfId="25976" xr:uid="{33903164-7736-4179-BAD1-45639324203C}"/>
    <cellStyle name="Currency 3 4 2 6 3 4" xfId="19900" xr:uid="{35E84D9B-898C-45D9-975E-AF78FBCF5ECC}"/>
    <cellStyle name="Currency 3 4 2 6 4" xfId="6717" xr:uid="{C4FD055F-51F6-4C2F-8C38-08AE837C98D8}"/>
    <cellStyle name="Currency 3 4 2 6 4 2" xfId="10189" xr:uid="{3DEEC2F9-4B51-463E-BBD4-92558EC6A2D5}"/>
    <cellStyle name="Currency 3 4 2 6 4 2 2" xfId="24240" xr:uid="{8C03CB39-7ABC-404B-AC48-9F237AA33315}"/>
    <cellStyle name="Currency 3 4 2 6 4 3" xfId="12793" xr:uid="{FC18491F-C06E-4BEE-B577-26D8E8B94AAA}"/>
    <cellStyle name="Currency 3 4 2 6 4 3 2" xfId="26844" xr:uid="{9D0E1B0E-3B7A-40CD-ABAA-349E1DDB98DB}"/>
    <cellStyle name="Currency 3 4 2 6 4 4" xfId="20768" xr:uid="{23CBC40A-F080-4F97-A006-BE57859714D9}"/>
    <cellStyle name="Currency 3 4 2 6 5" xfId="8453" xr:uid="{25010083-B908-45D1-A9AB-AA0609A7549B}"/>
    <cellStyle name="Currency 3 4 2 6 5 2" xfId="13661" xr:uid="{4D6489B8-36B9-4E86-94D2-FEA1C6EA22D5}"/>
    <cellStyle name="Currency 3 4 2 6 5 2 2" xfId="27712" xr:uid="{AB65FADE-9CA1-4FF8-A971-0C7AAA9A0006}"/>
    <cellStyle name="Currency 3 4 2 6 5 3" xfId="22504" xr:uid="{F2CDCDF9-4763-4A59-9BB6-BC402F144994}"/>
    <cellStyle name="Currency 3 4 2 6 6" xfId="7585" xr:uid="{12FF3F77-DF6D-460E-95C1-7118A8A94A09}"/>
    <cellStyle name="Currency 3 4 2 6 6 2" xfId="21636" xr:uid="{5520DD1F-F994-4E75-8CAF-5354BD886FCD}"/>
    <cellStyle name="Currency 3 4 2 6 7" xfId="11057" xr:uid="{9F9B7FC9-40D5-46D3-ACB0-F50AEE3FC0E5}"/>
    <cellStyle name="Currency 3 4 2 6 7 2" xfId="25108" xr:uid="{EA0E7E8D-8CB3-4ED3-BCE6-8415406F635F}"/>
    <cellStyle name="Currency 3 4 2 6 8" xfId="18946" xr:uid="{C95EDDFD-1C83-41E5-86DC-941EBE2FB167}"/>
    <cellStyle name="Currency 3 4 2 7" xfId="5015" xr:uid="{DE094FB9-2877-48BC-A347-433891F7619E}"/>
    <cellStyle name="Currency 3 4 2 7 2" xfId="5883" xr:uid="{B5591119-0046-49BA-AFC8-8386D1E4B8B2}"/>
    <cellStyle name="Currency 3 4 2 7 2 2" xfId="9355" xr:uid="{8CFE706D-618C-4719-84DE-5C307F99B9CF}"/>
    <cellStyle name="Currency 3 4 2 7 2 2 2" xfId="23406" xr:uid="{BAA2950C-5A34-4D99-BBD0-255C51DB570E}"/>
    <cellStyle name="Currency 3 4 2 7 2 3" xfId="11959" xr:uid="{8E05B518-5F5E-48BF-93BF-EF1ECC491598}"/>
    <cellStyle name="Currency 3 4 2 7 2 3 2" xfId="26010" xr:uid="{66AFCF76-3929-428B-A611-1810A3909968}"/>
    <cellStyle name="Currency 3 4 2 7 2 4" xfId="19934" xr:uid="{70AB80C4-A6B2-4F75-B2FD-DCCE900D6782}"/>
    <cellStyle name="Currency 3 4 2 7 3" xfId="6751" xr:uid="{FCE5086A-433B-4CDF-AFF4-55DA05168993}"/>
    <cellStyle name="Currency 3 4 2 7 3 2" xfId="10223" xr:uid="{5FF0A5DA-2E83-4012-A588-2F4BE085B363}"/>
    <cellStyle name="Currency 3 4 2 7 3 2 2" xfId="24274" xr:uid="{D90738EA-ABC8-4B04-B4FD-56FDE9FFBDA1}"/>
    <cellStyle name="Currency 3 4 2 7 3 3" xfId="12827" xr:uid="{D0E16A2C-7F59-43F7-A313-4478869D2703}"/>
    <cellStyle name="Currency 3 4 2 7 3 3 2" xfId="26878" xr:uid="{037575E3-2168-4110-B265-67DF6D3D6F4F}"/>
    <cellStyle name="Currency 3 4 2 7 3 4" xfId="20802" xr:uid="{5018968D-3FB4-4B75-8FCA-32E6235F10FE}"/>
    <cellStyle name="Currency 3 4 2 7 4" xfId="8487" xr:uid="{5858F086-3B00-47EB-AEA9-63D974763650}"/>
    <cellStyle name="Currency 3 4 2 7 4 2" xfId="13695" xr:uid="{63F7DE03-163F-4B91-AE58-884991CAA33F}"/>
    <cellStyle name="Currency 3 4 2 7 4 2 2" xfId="27746" xr:uid="{316499B2-68FA-4784-B7F0-49A52CF6B9BA}"/>
    <cellStyle name="Currency 3 4 2 7 4 3" xfId="22538" xr:uid="{E5E42AEC-C379-459D-A152-BC49F7563346}"/>
    <cellStyle name="Currency 3 4 2 7 5" xfId="7619" xr:uid="{42300E0F-2BCB-4784-863E-AFC57728CF9E}"/>
    <cellStyle name="Currency 3 4 2 7 5 2" xfId="21670" xr:uid="{9FAF4631-7EF1-4C1D-BF06-646BD407CDC0}"/>
    <cellStyle name="Currency 3 4 2 7 6" xfId="11091" xr:uid="{8790F132-8FC2-4A2D-90D8-690C12035DF5}"/>
    <cellStyle name="Currency 3 4 2 7 6 2" xfId="25142" xr:uid="{E374AA82-4053-4EE9-937C-85C348A2A5B5}"/>
    <cellStyle name="Currency 3 4 2 7 7" xfId="19066" xr:uid="{CF6D7016-F46C-49BB-9157-CE052D15A993}"/>
    <cellStyle name="Currency 3 4 2 8" xfId="5449" xr:uid="{D777D8B0-C6B6-48BF-A2FD-1AC9C188B2DB}"/>
    <cellStyle name="Currency 3 4 2 8 2" xfId="8921" xr:uid="{5DD4F26C-B006-43C0-98A1-F2AE9E95F65F}"/>
    <cellStyle name="Currency 3 4 2 8 2 2" xfId="22972" xr:uid="{8BD67FBF-EF29-49E7-BAB3-817142942798}"/>
    <cellStyle name="Currency 3 4 2 8 3" xfId="11525" xr:uid="{B25A5260-D371-47B1-8FDE-02EF99B2C3EB}"/>
    <cellStyle name="Currency 3 4 2 8 3 2" xfId="25576" xr:uid="{B7870159-BFC8-434A-A4C3-B687752B2685}"/>
    <cellStyle name="Currency 3 4 2 8 4" xfId="19500" xr:uid="{086D2A6B-B977-4E6B-A979-856ADE960852}"/>
    <cellStyle name="Currency 3 4 2 9" xfId="6317" xr:uid="{127F21FF-2C44-4931-8F68-5915AC942CD9}"/>
    <cellStyle name="Currency 3 4 2 9 2" xfId="9789" xr:uid="{A61F2420-92D5-4842-A831-944CFDF587DF}"/>
    <cellStyle name="Currency 3 4 2 9 2 2" xfId="23840" xr:uid="{E1CFB734-35E8-4213-9DF7-4211B42DB59B}"/>
    <cellStyle name="Currency 3 4 2 9 3" xfId="12393" xr:uid="{41FD2824-2957-47FA-B58E-F6024597646C}"/>
    <cellStyle name="Currency 3 4 2 9 3 2" xfId="26444" xr:uid="{4290C9F2-CA01-436B-8191-0BBAAB933B47}"/>
    <cellStyle name="Currency 3 4 2 9 4" xfId="20368" xr:uid="{E60524DD-7DEE-44C4-9C2D-33773FD6E679}"/>
    <cellStyle name="Currency 3 4 3" xfId="502" xr:uid="{607C60B0-CBCF-4C11-AB0F-94BD9768338E}"/>
    <cellStyle name="Currency 3 4 3 10" xfId="10672" xr:uid="{E426CE7E-6841-4EC6-BBFB-5E03630523D2}"/>
    <cellStyle name="Currency 3 4 3 10 2" xfId="24723" xr:uid="{F9455530-5A3D-4EB3-B997-28B11979DDAD}"/>
    <cellStyle name="Currency 3 4 3 11" xfId="14557" xr:uid="{C9DD7CDC-4B25-4AD6-A16B-0A3DC85E7DBB}"/>
    <cellStyle name="Currency 3 4 3 2" xfId="1435" xr:uid="{42DBE6B6-01F7-4ABD-8755-3F8765155FB0}"/>
    <cellStyle name="Currency 3 4 3 2 2" xfId="3625" xr:uid="{9BF1BB3B-D17A-4D80-B3E1-BFB983817FBD}"/>
    <cellStyle name="Currency 3 4 3 2 2 2" xfId="5305" xr:uid="{5D765A36-7014-40A2-B170-11403C513BAC}"/>
    <cellStyle name="Currency 3 4 3 2 2 2 2" xfId="6173" xr:uid="{BAE5FE6E-EE86-4213-8675-0A590C81B012}"/>
    <cellStyle name="Currency 3 4 3 2 2 2 2 2" xfId="9645" xr:uid="{04EE0C26-7172-4286-8CE0-2E9583A57088}"/>
    <cellStyle name="Currency 3 4 3 2 2 2 2 2 2" xfId="23696" xr:uid="{70F5A46B-6163-4E1F-AC08-F2B164316B77}"/>
    <cellStyle name="Currency 3 4 3 2 2 2 2 3" xfId="12249" xr:uid="{32EE7679-DF55-4FE4-B0D4-31C32A6D8B70}"/>
    <cellStyle name="Currency 3 4 3 2 2 2 2 3 2" xfId="26300" xr:uid="{CD0356EE-21BA-41B8-9F22-443E0E03973E}"/>
    <cellStyle name="Currency 3 4 3 2 2 2 2 4" xfId="20224" xr:uid="{79AD7832-7071-4435-92CA-B7C88A27BFFB}"/>
    <cellStyle name="Currency 3 4 3 2 2 2 3" xfId="7041" xr:uid="{78A11D98-EAF6-4DE6-AA4E-6D7AEB21C75F}"/>
    <cellStyle name="Currency 3 4 3 2 2 2 3 2" xfId="10513" xr:uid="{FF2389EE-A7F0-4337-8C83-E8E52C8D2208}"/>
    <cellStyle name="Currency 3 4 3 2 2 2 3 2 2" xfId="24564" xr:uid="{CC610163-CD70-4848-8337-0C4F4E27AADC}"/>
    <cellStyle name="Currency 3 4 3 2 2 2 3 3" xfId="13117" xr:uid="{7C71DD76-4CE4-4DFE-B253-AE0A86FEA92A}"/>
    <cellStyle name="Currency 3 4 3 2 2 2 3 3 2" xfId="27168" xr:uid="{CAA5F836-C7CF-4A04-89D8-761936F3A0B6}"/>
    <cellStyle name="Currency 3 4 3 2 2 2 3 4" xfId="21092" xr:uid="{B287206D-6BA5-49D7-84A2-1C45D4957FC4}"/>
    <cellStyle name="Currency 3 4 3 2 2 2 4" xfId="8777" xr:uid="{7BB6AB2F-A5B8-4749-A410-D23B38638434}"/>
    <cellStyle name="Currency 3 4 3 2 2 2 4 2" xfId="13985" xr:uid="{06B015F2-5E62-4493-A1AC-9D7C31CA2E13}"/>
    <cellStyle name="Currency 3 4 3 2 2 2 4 2 2" xfId="28036" xr:uid="{F9508733-7141-4C11-A52F-DB5783862716}"/>
    <cellStyle name="Currency 3 4 3 2 2 2 4 3" xfId="22828" xr:uid="{5B869B43-4C7D-49FD-98C5-C9B3150FC6F4}"/>
    <cellStyle name="Currency 3 4 3 2 2 2 5" xfId="7909" xr:uid="{BFF06B43-89E8-446B-9F34-D1A27AA2FD95}"/>
    <cellStyle name="Currency 3 4 3 2 2 2 5 2" xfId="21960" xr:uid="{775A4BF6-4169-44EA-8962-4DFF7D33D63C}"/>
    <cellStyle name="Currency 3 4 3 2 2 2 6" xfId="11381" xr:uid="{B48DE37B-5B45-4E04-99DE-9F2D0C5C3377}"/>
    <cellStyle name="Currency 3 4 3 2 2 2 6 2" xfId="25432" xr:uid="{6DA76D83-D9B2-450B-BB08-7DADF61EE56D}"/>
    <cellStyle name="Currency 3 4 3 2 2 2 7" xfId="19356" xr:uid="{5E207F2D-170C-47A2-8CFA-37D4895FA2F1}"/>
    <cellStyle name="Currency 3 4 3 2 2 3" xfId="5739" xr:uid="{19BDA82F-EC40-4B5B-B4DF-684610693D0B}"/>
    <cellStyle name="Currency 3 4 3 2 2 3 2" xfId="9211" xr:uid="{4EE3CC06-03BF-43E3-AFCB-608B0B92A08E}"/>
    <cellStyle name="Currency 3 4 3 2 2 3 2 2" xfId="23262" xr:uid="{6944F118-65B7-453C-98D3-819F6CFFF690}"/>
    <cellStyle name="Currency 3 4 3 2 2 3 3" xfId="11815" xr:uid="{90D53F50-BC3D-49F8-97BD-C800D43B95D8}"/>
    <cellStyle name="Currency 3 4 3 2 2 3 3 2" xfId="25866" xr:uid="{B797EBF4-6DF4-432A-B03B-F6BD9CAFBEEC}"/>
    <cellStyle name="Currency 3 4 3 2 2 3 4" xfId="19790" xr:uid="{7EF65670-C5C8-4A92-A4F6-FD30D5399471}"/>
    <cellStyle name="Currency 3 4 3 2 2 4" xfId="6607" xr:uid="{D56A0E11-E106-4AF8-AC0A-53BD53F0F6DA}"/>
    <cellStyle name="Currency 3 4 3 2 2 4 2" xfId="10079" xr:uid="{147F94EC-4333-4A34-8A37-76F4845FE3E9}"/>
    <cellStyle name="Currency 3 4 3 2 2 4 2 2" xfId="24130" xr:uid="{0E015EFE-6B6B-4642-853C-192E775DFE9B}"/>
    <cellStyle name="Currency 3 4 3 2 2 4 3" xfId="12683" xr:uid="{603AEA99-A14A-432F-B5E3-C49E9987F576}"/>
    <cellStyle name="Currency 3 4 3 2 2 4 3 2" xfId="26734" xr:uid="{1B938880-8C47-49A8-A237-BBFEA182841E}"/>
    <cellStyle name="Currency 3 4 3 2 2 4 4" xfId="20658" xr:uid="{441E892D-22F3-4FAF-8057-7935F3174258}"/>
    <cellStyle name="Currency 3 4 3 2 2 5" xfId="8343" xr:uid="{4F5DD316-9CCC-4F09-B0B0-D7AB3B3E4A14}"/>
    <cellStyle name="Currency 3 4 3 2 2 5 2" xfId="13551" xr:uid="{DA9F6C59-CEB7-46ED-8BC5-924F1900DB63}"/>
    <cellStyle name="Currency 3 4 3 2 2 5 2 2" xfId="27602" xr:uid="{7E701895-5490-4375-BCFF-5AAB6EC15791}"/>
    <cellStyle name="Currency 3 4 3 2 2 5 3" xfId="22394" xr:uid="{C42A33D5-1C8A-4201-BFCD-36F4364153DE}"/>
    <cellStyle name="Currency 3 4 3 2 2 6" xfId="7475" xr:uid="{BB6BD4E3-8662-412C-8519-3E08DD650549}"/>
    <cellStyle name="Currency 3 4 3 2 2 6 2" xfId="21526" xr:uid="{A2207495-5059-48F3-96DB-9D5DAAC2F829}"/>
    <cellStyle name="Currency 3 4 3 2 2 7" xfId="10947" xr:uid="{CB1762B7-8D74-4E1B-AB38-160049E51720}"/>
    <cellStyle name="Currency 3 4 3 2 2 7 2" xfId="24998" xr:uid="{095AF9B3-C93C-4906-B08F-1A01D1D14CCE}"/>
    <cellStyle name="Currency 3 4 3 2 2 8" xfId="17678" xr:uid="{968549A5-9494-47B4-82CA-B1F368442EBF}"/>
    <cellStyle name="Currency 3 4 3 2 3" xfId="5114" xr:uid="{93A841EC-09DB-4CAA-9B65-F9F9A5812AC0}"/>
    <cellStyle name="Currency 3 4 3 2 3 2" xfId="5982" xr:uid="{29B4D08A-1D43-4CA2-94CA-4B03081DFE98}"/>
    <cellStyle name="Currency 3 4 3 2 3 2 2" xfId="9454" xr:uid="{8DED7123-97B2-4E63-99B9-AE4FF8943447}"/>
    <cellStyle name="Currency 3 4 3 2 3 2 2 2" xfId="23505" xr:uid="{A815752D-4C6D-43FC-AB7E-3F1844171D9E}"/>
    <cellStyle name="Currency 3 4 3 2 3 2 3" xfId="12058" xr:uid="{3A1F230B-C895-4215-AD99-945521982E66}"/>
    <cellStyle name="Currency 3 4 3 2 3 2 3 2" xfId="26109" xr:uid="{4423BCA1-B125-4DAD-8C6A-0970923236F9}"/>
    <cellStyle name="Currency 3 4 3 2 3 2 4" xfId="20033" xr:uid="{7B905DD7-14FD-4E3C-9728-CA75456046E4}"/>
    <cellStyle name="Currency 3 4 3 2 3 3" xfId="6850" xr:uid="{33DFB60D-2D7A-42AD-B2C9-5E29A08F25CA}"/>
    <cellStyle name="Currency 3 4 3 2 3 3 2" xfId="10322" xr:uid="{28883301-AD31-495E-A4DA-0D3181C2C27C}"/>
    <cellStyle name="Currency 3 4 3 2 3 3 2 2" xfId="24373" xr:uid="{B21E32D2-9BD9-41A4-B95E-50270CA884B3}"/>
    <cellStyle name="Currency 3 4 3 2 3 3 3" xfId="12926" xr:uid="{664A4493-1718-44AB-BAE0-F9913D789F73}"/>
    <cellStyle name="Currency 3 4 3 2 3 3 3 2" xfId="26977" xr:uid="{5F72374F-5A83-44FB-B171-F0649FB80E10}"/>
    <cellStyle name="Currency 3 4 3 2 3 3 4" xfId="20901" xr:uid="{3CB1AC6D-31F9-4E2D-9910-49A75DCAFB1B}"/>
    <cellStyle name="Currency 3 4 3 2 3 4" xfId="8586" xr:uid="{355C2257-08E9-4DB7-B0C4-2AC08739BE1A}"/>
    <cellStyle name="Currency 3 4 3 2 3 4 2" xfId="13794" xr:uid="{C6931932-082F-4D89-B387-C8F051DF9E6A}"/>
    <cellStyle name="Currency 3 4 3 2 3 4 2 2" xfId="27845" xr:uid="{12090EC1-95DA-4339-96A6-DA68C50AD9DE}"/>
    <cellStyle name="Currency 3 4 3 2 3 4 3" xfId="22637" xr:uid="{8757B66E-50E2-4D91-AF15-F9290AD95EBE}"/>
    <cellStyle name="Currency 3 4 3 2 3 5" xfId="7718" xr:uid="{C6E2A7C8-6369-426A-81CC-B7424A57F71B}"/>
    <cellStyle name="Currency 3 4 3 2 3 5 2" xfId="21769" xr:uid="{753CDDA2-F4CB-420E-A9BE-72525C6EDEEE}"/>
    <cellStyle name="Currency 3 4 3 2 3 6" xfId="11190" xr:uid="{4766E695-F4C8-4B58-A92B-4AC1DC5194E9}"/>
    <cellStyle name="Currency 3 4 3 2 3 6 2" xfId="25241" xr:uid="{DFAC033D-4559-4067-9BA4-17B5FD2BDFE9}"/>
    <cellStyle name="Currency 3 4 3 2 3 7" xfId="19165" xr:uid="{E7EDF6A2-AC1B-41D0-8121-43DB3EC368CD}"/>
    <cellStyle name="Currency 3 4 3 2 4" xfId="5548" xr:uid="{222F5C30-6859-4CE8-B364-66B0A19B7C86}"/>
    <cellStyle name="Currency 3 4 3 2 4 2" xfId="9020" xr:uid="{92849F66-9092-4FDC-98BD-5FBB2F66F98D}"/>
    <cellStyle name="Currency 3 4 3 2 4 2 2" xfId="23071" xr:uid="{D699D649-533B-44F0-827C-AE78F129FB89}"/>
    <cellStyle name="Currency 3 4 3 2 4 3" xfId="11624" xr:uid="{71DE55A9-23D0-4E02-A74E-CC3B65153E37}"/>
    <cellStyle name="Currency 3 4 3 2 4 3 2" xfId="25675" xr:uid="{12497DDA-DBCE-415B-AE4D-9317AC3B3CD9}"/>
    <cellStyle name="Currency 3 4 3 2 4 4" xfId="19599" xr:uid="{C3B00E55-3B21-4E2C-9926-4829ED6D3234}"/>
    <cellStyle name="Currency 3 4 3 2 5" xfId="6416" xr:uid="{15743DD8-F05B-4A87-8D2A-0BC50B2477CB}"/>
    <cellStyle name="Currency 3 4 3 2 5 2" xfId="9888" xr:uid="{2B4BDC33-A0AE-4E9A-AE60-B83F4A2D18C8}"/>
    <cellStyle name="Currency 3 4 3 2 5 2 2" xfId="23939" xr:uid="{6C1C0617-9294-44CD-8FCB-973A4A360F5E}"/>
    <cellStyle name="Currency 3 4 3 2 5 3" xfId="12492" xr:uid="{040F664E-F11D-4AB6-ADD5-884A4AEB7774}"/>
    <cellStyle name="Currency 3 4 3 2 5 3 2" xfId="26543" xr:uid="{8E2232D3-FEAC-4D63-99AB-D71F5B2C2854}"/>
    <cellStyle name="Currency 3 4 3 2 5 4" xfId="20467" xr:uid="{3749BBBF-A655-4814-AE05-3F8EFDDE25D9}"/>
    <cellStyle name="Currency 3 4 3 2 6" xfId="8152" xr:uid="{9EADEC26-8990-4C10-B2CE-F6E4B1DF87E6}"/>
    <cellStyle name="Currency 3 4 3 2 6 2" xfId="13360" xr:uid="{0F0FE9C2-1578-4876-9601-4F24483B7DEB}"/>
    <cellStyle name="Currency 3 4 3 2 6 2 2" xfId="27411" xr:uid="{2DF59261-ADFE-4E88-947C-4F5D9B9FA6A2}"/>
    <cellStyle name="Currency 3 4 3 2 6 3" xfId="22203" xr:uid="{4DD08950-2A21-4B91-A6A5-4DA6B28FFDD6}"/>
    <cellStyle name="Currency 3 4 3 2 7" xfId="7284" xr:uid="{EA43A976-5570-42A7-9434-CC246E072979}"/>
    <cellStyle name="Currency 3 4 3 2 7 2" xfId="21335" xr:uid="{D254729E-5DFD-4DE5-B00F-467329F8B651}"/>
    <cellStyle name="Currency 3 4 3 2 8" xfId="10756" xr:uid="{BB487B66-06E2-4080-8F29-8D7CDA96B07C}"/>
    <cellStyle name="Currency 3 4 3 2 8 2" xfId="24807" xr:uid="{63C03152-56F0-4875-BF66-08E208FA68D7}"/>
    <cellStyle name="Currency 3 4 3 2 9" xfId="15484" xr:uid="{B8D54138-FFCE-437E-8821-22ED6D8D9FF0}"/>
    <cellStyle name="Currency 3 4 3 3" xfId="2701" xr:uid="{5BD09082-CEB5-4757-BDB5-46E89F00D64E}"/>
    <cellStyle name="Currency 3 4 3 3 2" xfId="5224" xr:uid="{F13FF2BA-5B9B-4E9F-AB4B-6B23968F51C1}"/>
    <cellStyle name="Currency 3 4 3 3 2 2" xfId="6092" xr:uid="{F281718F-98C0-4FB7-8375-D1C774F3B5CD}"/>
    <cellStyle name="Currency 3 4 3 3 2 2 2" xfId="9564" xr:uid="{3D9EFB93-1AB9-4C9E-8D5B-35D4AD79ABA4}"/>
    <cellStyle name="Currency 3 4 3 3 2 2 2 2" xfId="23615" xr:uid="{9B8988FA-4902-4C9C-83CB-FDA4FFFFB550}"/>
    <cellStyle name="Currency 3 4 3 3 2 2 3" xfId="12168" xr:uid="{ED6C66EB-D391-4D8E-AF8A-BAC4780A3D9F}"/>
    <cellStyle name="Currency 3 4 3 3 2 2 3 2" xfId="26219" xr:uid="{EE5C6A50-97A4-4474-AA76-4FEBD41A002A}"/>
    <cellStyle name="Currency 3 4 3 3 2 2 4" xfId="20143" xr:uid="{17E3E076-0F70-4B5A-9F58-76BA7A3F3522}"/>
    <cellStyle name="Currency 3 4 3 3 2 3" xfId="6960" xr:uid="{11124B5A-E593-47E5-AFD5-83293235DB11}"/>
    <cellStyle name="Currency 3 4 3 3 2 3 2" xfId="10432" xr:uid="{8840F35D-EA0E-4F3B-8506-500C620625E4}"/>
    <cellStyle name="Currency 3 4 3 3 2 3 2 2" xfId="24483" xr:uid="{E1FD772D-B144-4D7B-BC8C-244D8CCA0785}"/>
    <cellStyle name="Currency 3 4 3 3 2 3 3" xfId="13036" xr:uid="{745A1A31-521A-4FDF-80FA-80E8498F4C8F}"/>
    <cellStyle name="Currency 3 4 3 3 2 3 3 2" xfId="27087" xr:uid="{EE24DFDF-41B7-48F2-926A-020D2388EDF8}"/>
    <cellStyle name="Currency 3 4 3 3 2 3 4" xfId="21011" xr:uid="{9250B14B-0711-45F0-88E0-7FE378EAC712}"/>
    <cellStyle name="Currency 3 4 3 3 2 4" xfId="8696" xr:uid="{4C84A16C-A2C8-4031-9801-B1A232029D15}"/>
    <cellStyle name="Currency 3 4 3 3 2 4 2" xfId="13904" xr:uid="{FA9B21D8-FACD-4F1D-A450-4DD607CB6576}"/>
    <cellStyle name="Currency 3 4 3 3 2 4 2 2" xfId="27955" xr:uid="{6DB93EE6-80E1-4A82-974A-807266EF3D74}"/>
    <cellStyle name="Currency 3 4 3 3 2 4 3" xfId="22747" xr:uid="{569A41BE-6603-4BC6-9C72-1293F381FDA1}"/>
    <cellStyle name="Currency 3 4 3 3 2 5" xfId="7828" xr:uid="{EBFC0365-79F3-4099-BF07-68B98A9C10C1}"/>
    <cellStyle name="Currency 3 4 3 3 2 5 2" xfId="21879" xr:uid="{5F8BE41C-6770-46BF-A49B-2262D1F58BAA}"/>
    <cellStyle name="Currency 3 4 3 3 2 6" xfId="11300" xr:uid="{DD19FAA2-4ACF-4641-B5E8-7E0426FC894B}"/>
    <cellStyle name="Currency 3 4 3 3 2 6 2" xfId="25351" xr:uid="{C25C4AB2-EDF9-45DF-87D9-6E0C2B5B74C5}"/>
    <cellStyle name="Currency 3 4 3 3 2 7" xfId="19275" xr:uid="{D2C4E1AE-3DB4-44E4-BA25-803518F7221E}"/>
    <cellStyle name="Currency 3 4 3 3 3" xfId="5658" xr:uid="{E2A916CC-7720-4195-8484-2CF5D95FC7A0}"/>
    <cellStyle name="Currency 3 4 3 3 3 2" xfId="9130" xr:uid="{85C30ED8-9F90-4CA0-9D8B-13C52569141B}"/>
    <cellStyle name="Currency 3 4 3 3 3 2 2" xfId="23181" xr:uid="{BE95910D-657A-40CF-A1B4-048896F3CBFE}"/>
    <cellStyle name="Currency 3 4 3 3 3 3" xfId="11734" xr:uid="{B5159C54-AC60-481A-8E5E-BB7A3BEDD761}"/>
    <cellStyle name="Currency 3 4 3 3 3 3 2" xfId="25785" xr:uid="{D1364BE6-8AE4-49F0-B0F8-A07D85D97417}"/>
    <cellStyle name="Currency 3 4 3 3 3 4" xfId="19709" xr:uid="{035AD328-F6C4-4145-910D-D057ED61EE46}"/>
    <cellStyle name="Currency 3 4 3 3 4" xfId="6526" xr:uid="{ACF90877-850B-4AE1-AA98-68824B8980D2}"/>
    <cellStyle name="Currency 3 4 3 3 4 2" xfId="9998" xr:uid="{132280B3-CA76-4FD4-864F-AB2EA92F8BE7}"/>
    <cellStyle name="Currency 3 4 3 3 4 2 2" xfId="24049" xr:uid="{27234CDC-9371-4E61-8FEF-E4B26860A212}"/>
    <cellStyle name="Currency 3 4 3 3 4 3" xfId="12602" xr:uid="{E904273A-B3F5-4655-AE12-56739406132B}"/>
    <cellStyle name="Currency 3 4 3 3 4 3 2" xfId="26653" xr:uid="{E220AF9B-5B74-4F38-8D17-51015975A946}"/>
    <cellStyle name="Currency 3 4 3 3 4 4" xfId="20577" xr:uid="{CAB69A7A-876E-4CDB-AE97-587A945B8C74}"/>
    <cellStyle name="Currency 3 4 3 3 5" xfId="8262" xr:uid="{DEFAB008-4D5E-4C5A-A787-70F57C75E772}"/>
    <cellStyle name="Currency 3 4 3 3 5 2" xfId="13470" xr:uid="{9342522B-0D19-4326-A831-3F65E3AAA012}"/>
    <cellStyle name="Currency 3 4 3 3 5 2 2" xfId="27521" xr:uid="{2DF9FDBD-0CF2-4CE5-A860-E4E4B7223BF1}"/>
    <cellStyle name="Currency 3 4 3 3 5 3" xfId="22313" xr:uid="{1B533CFE-14D3-4840-9ADA-2E5A16153753}"/>
    <cellStyle name="Currency 3 4 3 3 6" xfId="7394" xr:uid="{81561E9B-C002-4287-89B9-876EF2D2F2DA}"/>
    <cellStyle name="Currency 3 4 3 3 6 2" xfId="21445" xr:uid="{A6807798-91A1-44E2-B487-800AF1F220C8}"/>
    <cellStyle name="Currency 3 4 3 3 7" xfId="10866" xr:uid="{7BF3ABC3-7BB6-4B82-A52A-E2A961D49F59}"/>
    <cellStyle name="Currency 3 4 3 3 7 2" xfId="24917" xr:uid="{4BEE4B24-81C1-4ABC-B236-8CCFE81FA142}"/>
    <cellStyle name="Currency 3 4 3 3 8" xfId="16752" xr:uid="{44EB5891-19E0-4766-8FC5-E8B2391C31D9}"/>
    <cellStyle name="Currency 3 4 3 4" xfId="4720" xr:uid="{846C1A42-4B17-48B5-A5D4-5E819612ED1A}"/>
    <cellStyle name="Currency 3 4 3 4 2" xfId="5400" xr:uid="{DC82DBA4-802D-451B-970F-01E5AB1778B0}"/>
    <cellStyle name="Currency 3 4 3 4 2 2" xfId="6268" xr:uid="{A0341D6F-5846-43DD-9596-3CAC105D2071}"/>
    <cellStyle name="Currency 3 4 3 4 2 2 2" xfId="9740" xr:uid="{36F6B953-795D-4FBF-B38C-12958CCD3361}"/>
    <cellStyle name="Currency 3 4 3 4 2 2 2 2" xfId="23791" xr:uid="{7D4F3D66-45C7-49E6-92D8-09DE2A44926D}"/>
    <cellStyle name="Currency 3 4 3 4 2 2 3" xfId="12344" xr:uid="{94970B47-F5A1-4C15-A199-60D421BB03BC}"/>
    <cellStyle name="Currency 3 4 3 4 2 2 3 2" xfId="26395" xr:uid="{0F80D42E-CA3E-4E95-8F36-FBDF5FCE5F3D}"/>
    <cellStyle name="Currency 3 4 3 4 2 2 4" xfId="20319" xr:uid="{FFAAB938-4065-4C92-9E28-308A9437F4B7}"/>
    <cellStyle name="Currency 3 4 3 4 2 3" xfId="7136" xr:uid="{9C0BBF39-C849-4C0E-9006-552322F12585}"/>
    <cellStyle name="Currency 3 4 3 4 2 3 2" xfId="10608" xr:uid="{B6707CFA-8143-4F0B-9795-52E4EF79958C}"/>
    <cellStyle name="Currency 3 4 3 4 2 3 2 2" xfId="24659" xr:uid="{7D36218B-011D-469B-8324-D7DA2BEEAF43}"/>
    <cellStyle name="Currency 3 4 3 4 2 3 3" xfId="13212" xr:uid="{998BC705-4768-41EA-BE72-E63620696F53}"/>
    <cellStyle name="Currency 3 4 3 4 2 3 3 2" xfId="27263" xr:uid="{F6D6BC46-C420-4703-A028-67607B087119}"/>
    <cellStyle name="Currency 3 4 3 4 2 3 4" xfId="21187" xr:uid="{BE4CDB7F-7CD2-482A-BC91-1BBEF23DF559}"/>
    <cellStyle name="Currency 3 4 3 4 2 4" xfId="8872" xr:uid="{31EE1BA2-E818-4786-A56F-643C8F43B967}"/>
    <cellStyle name="Currency 3 4 3 4 2 4 2" xfId="14080" xr:uid="{A1B09008-F463-4B46-804C-543DA74537EC}"/>
    <cellStyle name="Currency 3 4 3 4 2 4 2 2" xfId="28131" xr:uid="{E87F6FE2-4EE9-4C2F-8689-A2157E3F9FF9}"/>
    <cellStyle name="Currency 3 4 3 4 2 4 3" xfId="22923" xr:uid="{A2168F26-EEFC-4830-AB72-4FE7CE716457}"/>
    <cellStyle name="Currency 3 4 3 4 2 5" xfId="8004" xr:uid="{E68FB463-171C-4699-AEBE-165B146A08C1}"/>
    <cellStyle name="Currency 3 4 3 4 2 5 2" xfId="22055" xr:uid="{7960A863-6829-418E-A4F3-5CDA1E31DD44}"/>
    <cellStyle name="Currency 3 4 3 4 2 6" xfId="11476" xr:uid="{66AD64A1-3A7F-4215-9E67-BC00461DAC14}"/>
    <cellStyle name="Currency 3 4 3 4 2 6 2" xfId="25527" xr:uid="{B15A488A-EFBF-4B39-8063-48AF2F17225C}"/>
    <cellStyle name="Currency 3 4 3 4 2 7" xfId="19451" xr:uid="{D52132C7-5BB4-4DEC-8C24-841553E6FE5F}"/>
    <cellStyle name="Currency 3 4 3 4 3" xfId="5834" xr:uid="{8DF0B92E-6C84-4C12-87FC-1A029161263F}"/>
    <cellStyle name="Currency 3 4 3 4 3 2" xfId="9306" xr:uid="{F1A97CBA-DD6B-47A1-A29C-3C68605D952C}"/>
    <cellStyle name="Currency 3 4 3 4 3 2 2" xfId="23357" xr:uid="{EA21C5B8-5557-4A53-B665-C8CA55CD98EF}"/>
    <cellStyle name="Currency 3 4 3 4 3 3" xfId="11910" xr:uid="{DC4744B3-7341-410F-89E2-44AAE1E09D90}"/>
    <cellStyle name="Currency 3 4 3 4 3 3 2" xfId="25961" xr:uid="{22FB96FA-00D2-4FE6-8581-B34A19B35C30}"/>
    <cellStyle name="Currency 3 4 3 4 3 4" xfId="19885" xr:uid="{2993FF3B-E69C-473F-B019-E8E6E0A04BF3}"/>
    <cellStyle name="Currency 3 4 3 4 4" xfId="6702" xr:uid="{CD0C9937-5490-48AF-94C7-D189EABFC7AF}"/>
    <cellStyle name="Currency 3 4 3 4 4 2" xfId="10174" xr:uid="{93184DFE-4C73-4E59-9809-B538E536B50C}"/>
    <cellStyle name="Currency 3 4 3 4 4 2 2" xfId="24225" xr:uid="{0094A5AE-97C9-443D-94A3-7BF3CB75EE18}"/>
    <cellStyle name="Currency 3 4 3 4 4 3" xfId="12778" xr:uid="{442FED16-E966-432A-96F1-C4475C45F1BE}"/>
    <cellStyle name="Currency 3 4 3 4 4 3 2" xfId="26829" xr:uid="{490DF181-D82B-4CD5-856B-1094A90DA5CE}"/>
    <cellStyle name="Currency 3 4 3 4 4 4" xfId="20753" xr:uid="{E645A6A6-329C-4078-BFD1-AD98E4F813DE}"/>
    <cellStyle name="Currency 3 4 3 4 5" xfId="8438" xr:uid="{92E2366A-1655-4C52-9B1C-FA06EA775CA2}"/>
    <cellStyle name="Currency 3 4 3 4 5 2" xfId="13646" xr:uid="{558A9194-40B7-4C32-9CFB-2991E02E8530}"/>
    <cellStyle name="Currency 3 4 3 4 5 2 2" xfId="27697" xr:uid="{51DF8E4B-AF35-4147-B28F-5496C58D365D}"/>
    <cellStyle name="Currency 3 4 3 4 5 3" xfId="22489" xr:uid="{E1D9D19F-0F6C-4567-9F99-F4246E3D1722}"/>
    <cellStyle name="Currency 3 4 3 4 6" xfId="7570" xr:uid="{AC945E3F-E020-4776-A2B3-9349858FDA6C}"/>
    <cellStyle name="Currency 3 4 3 4 6 2" xfId="21621" xr:uid="{F1C2D3F9-B077-4A93-B39F-BE888C9CC6FC}"/>
    <cellStyle name="Currency 3 4 3 4 7" xfId="11042" xr:uid="{FA80BAFB-DB2A-49E5-9ABE-A4841534D703}"/>
    <cellStyle name="Currency 3 4 3 4 7 2" xfId="25093" xr:uid="{880F6E2F-8C97-487D-8A34-C1CB6D72A8AA}"/>
    <cellStyle name="Currency 3 4 3 4 8" xfId="18772" xr:uid="{91B88D7E-13CF-479D-8E25-CE96A639C14F}"/>
    <cellStyle name="Currency 3 4 3 5" xfId="5030" xr:uid="{40FE8AF2-191A-4C6E-AB89-1C9CA368F7B8}"/>
    <cellStyle name="Currency 3 4 3 5 2" xfId="5898" xr:uid="{9FD13F0A-A85D-4B3A-ADAA-98F53447288B}"/>
    <cellStyle name="Currency 3 4 3 5 2 2" xfId="9370" xr:uid="{089A625A-C3AC-4794-ACB6-87E4C8C13EF9}"/>
    <cellStyle name="Currency 3 4 3 5 2 2 2" xfId="23421" xr:uid="{07CD25C1-21DB-4FD3-9082-BD1AD6D0CFCD}"/>
    <cellStyle name="Currency 3 4 3 5 2 3" xfId="11974" xr:uid="{822E8D75-5E51-41ED-9E3F-47C9126FCA8E}"/>
    <cellStyle name="Currency 3 4 3 5 2 3 2" xfId="26025" xr:uid="{B819C6E4-671E-4D6E-8FFA-2504EE6F9A9E}"/>
    <cellStyle name="Currency 3 4 3 5 2 4" xfId="19949" xr:uid="{A715F15E-BB18-4D71-A2A5-DF7BF504D56E}"/>
    <cellStyle name="Currency 3 4 3 5 3" xfId="6766" xr:uid="{17D492A9-544E-432F-BDD3-359F5B7E7A65}"/>
    <cellStyle name="Currency 3 4 3 5 3 2" xfId="10238" xr:uid="{9750CDAF-B1C9-4C3B-A107-C580955EEDF1}"/>
    <cellStyle name="Currency 3 4 3 5 3 2 2" xfId="24289" xr:uid="{60D4AA54-6F27-4911-8904-2C955B24560C}"/>
    <cellStyle name="Currency 3 4 3 5 3 3" xfId="12842" xr:uid="{F9544C52-B1F6-4643-BD9C-D10A35EE4252}"/>
    <cellStyle name="Currency 3 4 3 5 3 3 2" xfId="26893" xr:uid="{44743174-131D-40B6-8213-56E26892A0D7}"/>
    <cellStyle name="Currency 3 4 3 5 3 4" xfId="20817" xr:uid="{9EF3B19E-C2DB-4887-B665-00339432B547}"/>
    <cellStyle name="Currency 3 4 3 5 4" xfId="8502" xr:uid="{E4AFB7FF-D7D1-44B5-B8CD-269E3174B387}"/>
    <cellStyle name="Currency 3 4 3 5 4 2" xfId="13710" xr:uid="{9E0A0C29-0108-4504-9FFE-B47BAE2E3973}"/>
    <cellStyle name="Currency 3 4 3 5 4 2 2" xfId="27761" xr:uid="{E2222765-D80E-4998-A944-0693B48319C6}"/>
    <cellStyle name="Currency 3 4 3 5 4 3" xfId="22553" xr:uid="{AC38ECE8-9535-4DE1-94CB-5A8C3A2D73E7}"/>
    <cellStyle name="Currency 3 4 3 5 5" xfId="7634" xr:uid="{BF1215F0-DC27-4A56-9DB2-F3C81944FFFE}"/>
    <cellStyle name="Currency 3 4 3 5 5 2" xfId="21685" xr:uid="{C4AA05E9-50CF-4A5D-9525-C993A39BDDA3}"/>
    <cellStyle name="Currency 3 4 3 5 6" xfId="11106" xr:uid="{8D57FC65-0369-4909-9706-56E10D75D220}"/>
    <cellStyle name="Currency 3 4 3 5 6 2" xfId="25157" xr:uid="{9A5FD1CB-398B-441D-A402-60CF7DE922E1}"/>
    <cellStyle name="Currency 3 4 3 5 7" xfId="19081" xr:uid="{EC6D7AD3-4899-4B45-BF09-784BDA49E12B}"/>
    <cellStyle name="Currency 3 4 3 6" xfId="5464" xr:uid="{3B458380-73D7-494F-AC9F-5D5435FBBBBE}"/>
    <cellStyle name="Currency 3 4 3 6 2" xfId="8936" xr:uid="{EFE10048-ABF8-404C-B5AC-66C0AB60D3C9}"/>
    <cellStyle name="Currency 3 4 3 6 2 2" xfId="22987" xr:uid="{06572223-A112-435D-B583-6C8A34E0EA41}"/>
    <cellStyle name="Currency 3 4 3 6 3" xfId="11540" xr:uid="{BFBC5B9D-017A-4AF8-975E-DEC3B3A040F6}"/>
    <cellStyle name="Currency 3 4 3 6 3 2" xfId="25591" xr:uid="{396C3B3B-1B26-47C4-9D0A-AD02379B8FF4}"/>
    <cellStyle name="Currency 3 4 3 6 4" xfId="19515" xr:uid="{185F2EA0-DDA6-42B6-A92A-B592A56122B9}"/>
    <cellStyle name="Currency 3 4 3 7" xfId="6332" xr:uid="{9E0599DE-A16F-4388-9473-A4A4994BA26B}"/>
    <cellStyle name="Currency 3 4 3 7 2" xfId="9804" xr:uid="{D875C475-8E58-434D-AAE0-3D6E842D0A6D}"/>
    <cellStyle name="Currency 3 4 3 7 2 2" xfId="23855" xr:uid="{D4E6C1B7-DF09-4289-BC3C-2AC869DFD1FF}"/>
    <cellStyle name="Currency 3 4 3 7 3" xfId="12408" xr:uid="{C437531A-7869-4192-8428-FCC990426695}"/>
    <cellStyle name="Currency 3 4 3 7 3 2" xfId="26459" xr:uid="{9B927777-1A71-440D-A6D9-1A135C287DA4}"/>
    <cellStyle name="Currency 3 4 3 7 4" xfId="20383" xr:uid="{D34B8AAC-5376-4224-A059-54FB0BB0BFC6}"/>
    <cellStyle name="Currency 3 4 3 8" xfId="8068" xr:uid="{6C55AFA0-EA76-4915-BC83-9E94CBEC634E}"/>
    <cellStyle name="Currency 3 4 3 8 2" xfId="13276" xr:uid="{36E9A4A5-AAF6-4A8F-BC92-E36F8F88A5A3}"/>
    <cellStyle name="Currency 3 4 3 8 2 2" xfId="27327" xr:uid="{0F4365F7-4D6D-4384-B04E-3BEB48724D8D}"/>
    <cellStyle name="Currency 3 4 3 8 3" xfId="22119" xr:uid="{C62FF3F2-C761-4620-811F-ED0F987226E3}"/>
    <cellStyle name="Currency 3 4 3 9" xfId="7200" xr:uid="{C73479ED-C912-4C3C-A224-17C4585F36BC}"/>
    <cellStyle name="Currency 3 4 3 9 2" xfId="21251" xr:uid="{D8B08385-4AC8-4FD3-86D8-020C705A59C4}"/>
    <cellStyle name="Currency 3 4 4" xfId="855" xr:uid="{CA3C1255-A980-4EAE-B623-9B6E262FD30F}"/>
    <cellStyle name="Currency 3 4 4 10" xfId="14905" xr:uid="{4A16E025-69FF-4053-9057-7D670D6A67C3}"/>
    <cellStyle name="Currency 3 4 4 2" xfId="1954" xr:uid="{953824E3-21D6-455E-BDD4-8972EF6CF6FC}"/>
    <cellStyle name="Currency 3 4 4 2 2" xfId="4143" xr:uid="{0C0CA98D-FCA6-4DC8-938D-B7F248FC3E42}"/>
    <cellStyle name="Currency 3 4 4 2 2 2" xfId="5349" xr:uid="{333F3CE2-4648-49A6-9F86-842DB7D33398}"/>
    <cellStyle name="Currency 3 4 4 2 2 2 2" xfId="6217" xr:uid="{289BBBA1-CDA0-4A46-98BD-4AFCA05658B1}"/>
    <cellStyle name="Currency 3 4 4 2 2 2 2 2" xfId="9689" xr:uid="{F0525E76-6474-492A-8611-D582E1962DD4}"/>
    <cellStyle name="Currency 3 4 4 2 2 2 2 2 2" xfId="23740" xr:uid="{E500A856-0E84-46B3-B52B-AA157FAEF663}"/>
    <cellStyle name="Currency 3 4 4 2 2 2 2 3" xfId="12293" xr:uid="{8C6E7295-714C-48CA-BC88-55B0A347CDFC}"/>
    <cellStyle name="Currency 3 4 4 2 2 2 2 3 2" xfId="26344" xr:uid="{F8FB571C-3046-46EC-B36E-11D9B836271D}"/>
    <cellStyle name="Currency 3 4 4 2 2 2 2 4" xfId="20268" xr:uid="{07624AD2-5A47-4CCF-ABD9-9197FE8E476E}"/>
    <cellStyle name="Currency 3 4 4 2 2 2 3" xfId="7085" xr:uid="{BFD938DA-EE4E-4774-B54C-A296CADA4E72}"/>
    <cellStyle name="Currency 3 4 4 2 2 2 3 2" xfId="10557" xr:uid="{A27E2FD9-6CEA-47AD-91DA-B398A16F453B}"/>
    <cellStyle name="Currency 3 4 4 2 2 2 3 2 2" xfId="24608" xr:uid="{A851EE99-BD85-49DF-9C14-DFAE207B2CFB}"/>
    <cellStyle name="Currency 3 4 4 2 2 2 3 3" xfId="13161" xr:uid="{E22EC8FE-CDB2-4792-9FDC-6236BDC82B2F}"/>
    <cellStyle name="Currency 3 4 4 2 2 2 3 3 2" xfId="27212" xr:uid="{836371DB-1CCC-4AB5-BD42-9C38AE10B2DB}"/>
    <cellStyle name="Currency 3 4 4 2 2 2 3 4" xfId="21136" xr:uid="{2521FEC7-58A6-4B63-94AF-78607BE0352D}"/>
    <cellStyle name="Currency 3 4 4 2 2 2 4" xfId="8821" xr:uid="{E8C4B747-F326-434A-A68A-206BFE057E55}"/>
    <cellStyle name="Currency 3 4 4 2 2 2 4 2" xfId="14029" xr:uid="{D6AB3FF6-6159-4F3D-9DE4-389397B01950}"/>
    <cellStyle name="Currency 3 4 4 2 2 2 4 2 2" xfId="28080" xr:uid="{FA8DDF10-229E-4952-85BC-7B278FA6DE3B}"/>
    <cellStyle name="Currency 3 4 4 2 2 2 4 3" xfId="22872" xr:uid="{9447C126-3BC4-4AD5-9A45-03DB6957E15F}"/>
    <cellStyle name="Currency 3 4 4 2 2 2 5" xfId="7953" xr:uid="{4924CB46-E233-45E0-883D-A7510A2ADD51}"/>
    <cellStyle name="Currency 3 4 4 2 2 2 5 2" xfId="22004" xr:uid="{654B4FB8-AF55-43A4-B61F-F80EFC108B00}"/>
    <cellStyle name="Currency 3 4 4 2 2 2 6" xfId="11425" xr:uid="{569E021F-331E-4CE3-B788-E071313E95AE}"/>
    <cellStyle name="Currency 3 4 4 2 2 2 6 2" xfId="25476" xr:uid="{DA780745-497F-4081-A370-15560ECC7FB8}"/>
    <cellStyle name="Currency 3 4 4 2 2 2 7" xfId="19400" xr:uid="{EFAED0F1-89CA-4F4B-83D9-05A293C66832}"/>
    <cellStyle name="Currency 3 4 4 2 2 3" xfId="5783" xr:uid="{67B42C3C-4444-4503-AB54-1C5A2D6A6474}"/>
    <cellStyle name="Currency 3 4 4 2 2 3 2" xfId="9255" xr:uid="{F8B6CE0C-AAE0-4754-A958-51987EEDCBAD}"/>
    <cellStyle name="Currency 3 4 4 2 2 3 2 2" xfId="23306" xr:uid="{A5383BCC-5389-4F04-8891-B5E498D59B9E}"/>
    <cellStyle name="Currency 3 4 4 2 2 3 3" xfId="11859" xr:uid="{099902DC-10FD-41AE-B839-11A28CF6C308}"/>
    <cellStyle name="Currency 3 4 4 2 2 3 3 2" xfId="25910" xr:uid="{CA98544D-F7AB-4765-A365-DBEF03D4802D}"/>
    <cellStyle name="Currency 3 4 4 2 2 3 4" xfId="19834" xr:uid="{B488EC02-E30A-4A9A-98CD-68E1BC947800}"/>
    <cellStyle name="Currency 3 4 4 2 2 4" xfId="6651" xr:uid="{D130A237-2872-48B4-9388-9ABD2CDF012E}"/>
    <cellStyle name="Currency 3 4 4 2 2 4 2" xfId="10123" xr:uid="{D61B3623-DB71-4983-9CA7-495AE6D3C60B}"/>
    <cellStyle name="Currency 3 4 4 2 2 4 2 2" xfId="24174" xr:uid="{1BAE59A4-23BE-48C8-A530-693AE15F819B}"/>
    <cellStyle name="Currency 3 4 4 2 2 4 3" xfId="12727" xr:uid="{6150AD3C-7E3B-403A-9F62-DE8F1A74A15A}"/>
    <cellStyle name="Currency 3 4 4 2 2 4 3 2" xfId="26778" xr:uid="{22A145AE-C25A-4D13-83AB-5EC6F5959F85}"/>
    <cellStyle name="Currency 3 4 4 2 2 4 4" xfId="20702" xr:uid="{FF9C2F39-E3A9-486E-8E3E-810AC0C7D757}"/>
    <cellStyle name="Currency 3 4 4 2 2 5" xfId="8387" xr:uid="{456E147A-CB1D-43D5-A31B-F4C984C712D5}"/>
    <cellStyle name="Currency 3 4 4 2 2 5 2" xfId="13595" xr:uid="{329F6893-BFCE-48D5-97DB-61D9D48309C7}"/>
    <cellStyle name="Currency 3 4 4 2 2 5 2 2" xfId="27646" xr:uid="{B08513EE-B584-4099-9CE2-D0EFCE06765D}"/>
    <cellStyle name="Currency 3 4 4 2 2 5 3" xfId="22438" xr:uid="{AECAE0A2-7D4F-41FE-BAC0-3CD114029053}"/>
    <cellStyle name="Currency 3 4 4 2 2 6" xfId="7519" xr:uid="{1DF8B84E-6EC5-4A22-81DA-A78901D0D21F}"/>
    <cellStyle name="Currency 3 4 4 2 2 6 2" xfId="21570" xr:uid="{F8A69A2B-D49C-44C4-9E2A-BC7607D172B1}"/>
    <cellStyle name="Currency 3 4 4 2 2 7" xfId="10991" xr:uid="{1FAE892F-C1B0-4477-853F-6BE9DECC4FE9}"/>
    <cellStyle name="Currency 3 4 4 2 2 7 2" xfId="25042" xr:uid="{CEAA2AD5-E223-4FCE-AA59-002891E9B9C8}"/>
    <cellStyle name="Currency 3 4 4 2 2 8" xfId="18194" xr:uid="{0F87A7FD-6072-4D65-95D6-F297A8954A09}"/>
    <cellStyle name="Currency 3 4 4 2 3" xfId="5159" xr:uid="{AA00A617-5C21-4A0A-91CC-C722BFDB7114}"/>
    <cellStyle name="Currency 3 4 4 2 3 2" xfId="6027" xr:uid="{85807C1C-2361-4529-B632-B29FB89C0D66}"/>
    <cellStyle name="Currency 3 4 4 2 3 2 2" xfId="9499" xr:uid="{50C60010-93CD-44DE-9896-B9521C2A0E05}"/>
    <cellStyle name="Currency 3 4 4 2 3 2 2 2" xfId="23550" xr:uid="{5BFD10A4-56B4-4DCB-AB49-C7A98D5A3313}"/>
    <cellStyle name="Currency 3 4 4 2 3 2 3" xfId="12103" xr:uid="{99D7B411-5091-4B68-B719-17F628BE60F6}"/>
    <cellStyle name="Currency 3 4 4 2 3 2 3 2" xfId="26154" xr:uid="{95DDC506-EEA4-4494-B76B-1F05EFF4150B}"/>
    <cellStyle name="Currency 3 4 4 2 3 2 4" xfId="20078" xr:uid="{60FF7692-254C-4945-BD2C-F79CA57DDB0B}"/>
    <cellStyle name="Currency 3 4 4 2 3 3" xfId="6895" xr:uid="{E6FD0990-B02F-42E6-AB36-6772AF554B77}"/>
    <cellStyle name="Currency 3 4 4 2 3 3 2" xfId="10367" xr:uid="{1B44D040-A838-48D9-8C82-AAAD2D16D247}"/>
    <cellStyle name="Currency 3 4 4 2 3 3 2 2" xfId="24418" xr:uid="{81A92AE1-E911-43FE-887D-A519D066D936}"/>
    <cellStyle name="Currency 3 4 4 2 3 3 3" xfId="12971" xr:uid="{B335B438-BCCD-489B-B9D3-F96864F04183}"/>
    <cellStyle name="Currency 3 4 4 2 3 3 3 2" xfId="27022" xr:uid="{07ED8EBA-5B50-48C6-97EF-31DA12F80071}"/>
    <cellStyle name="Currency 3 4 4 2 3 3 4" xfId="20946" xr:uid="{506B1ECB-F745-4F36-8398-47F89B26905F}"/>
    <cellStyle name="Currency 3 4 4 2 3 4" xfId="8631" xr:uid="{9C7D778A-792C-48C6-ADA9-2EB8E4A173C0}"/>
    <cellStyle name="Currency 3 4 4 2 3 4 2" xfId="13839" xr:uid="{32EE466A-4B0C-439B-92AD-020D91ED5E34}"/>
    <cellStyle name="Currency 3 4 4 2 3 4 2 2" xfId="27890" xr:uid="{7AFCAA7C-146A-4E24-8123-903B946060CB}"/>
    <cellStyle name="Currency 3 4 4 2 3 4 3" xfId="22682" xr:uid="{A3CA1C13-A7C6-4653-B327-8DC2C36271AF}"/>
    <cellStyle name="Currency 3 4 4 2 3 5" xfId="7763" xr:uid="{BEB6397A-2180-4EBD-BEED-8003B476D8E4}"/>
    <cellStyle name="Currency 3 4 4 2 3 5 2" xfId="21814" xr:uid="{F5DD6922-0000-40C2-AC74-CDDFEF11D324}"/>
    <cellStyle name="Currency 3 4 4 2 3 6" xfId="11235" xr:uid="{5BF3E5D4-F06C-4E08-9E49-7FFAD1F4D58A}"/>
    <cellStyle name="Currency 3 4 4 2 3 6 2" xfId="25286" xr:uid="{B32DB20A-667B-4D08-8990-C2CE50475BBD}"/>
    <cellStyle name="Currency 3 4 4 2 3 7" xfId="19210" xr:uid="{24281A38-85BB-4B45-B986-25A7EFFAFE60}"/>
    <cellStyle name="Currency 3 4 4 2 4" xfId="5593" xr:uid="{7EAFA655-B517-4546-8FA4-B3D41BC56C8A}"/>
    <cellStyle name="Currency 3 4 4 2 4 2" xfId="9065" xr:uid="{6C41F156-F21A-45E1-865C-F6C95505D41F}"/>
    <cellStyle name="Currency 3 4 4 2 4 2 2" xfId="23116" xr:uid="{2F076C13-B06D-45D9-8B0D-FF92EC4FA6CB}"/>
    <cellStyle name="Currency 3 4 4 2 4 3" xfId="11669" xr:uid="{E9298A89-1146-4995-95FF-C7314E0763FC}"/>
    <cellStyle name="Currency 3 4 4 2 4 3 2" xfId="25720" xr:uid="{A829C859-5BEB-4EE6-AEB2-A27AC976568A}"/>
    <cellStyle name="Currency 3 4 4 2 4 4" xfId="19644" xr:uid="{AB77EACC-479A-4D58-A19F-3DC2227E56FE}"/>
    <cellStyle name="Currency 3 4 4 2 5" xfId="6461" xr:uid="{C479FA2C-3D15-4498-A0A6-A514F159F0CE}"/>
    <cellStyle name="Currency 3 4 4 2 5 2" xfId="9933" xr:uid="{62B737FD-CECE-4A0F-9610-2BCD65B87257}"/>
    <cellStyle name="Currency 3 4 4 2 5 2 2" xfId="23984" xr:uid="{FD103313-F7FB-4CA8-8BE9-10D533BEFE76}"/>
    <cellStyle name="Currency 3 4 4 2 5 3" xfId="12537" xr:uid="{94070D27-9D94-4D1A-B0ED-35C4E45AA46E}"/>
    <cellStyle name="Currency 3 4 4 2 5 3 2" xfId="26588" xr:uid="{B061AB6A-D14C-4D2E-94E5-3D4B04911B9F}"/>
    <cellStyle name="Currency 3 4 4 2 5 4" xfId="20512" xr:uid="{3CC8D729-8189-4D82-B93C-BA8DAFF8FE17}"/>
    <cellStyle name="Currency 3 4 4 2 6" xfId="8197" xr:uid="{1F593CC9-7E2D-410B-9856-C5A2D45FC082}"/>
    <cellStyle name="Currency 3 4 4 2 6 2" xfId="13405" xr:uid="{793F5213-C28C-4736-8B27-F29A8AB6007F}"/>
    <cellStyle name="Currency 3 4 4 2 6 2 2" xfId="27456" xr:uid="{F347AB24-A648-4758-9282-3FF78A9B79F1}"/>
    <cellStyle name="Currency 3 4 4 2 6 3" xfId="22248" xr:uid="{B1236ECC-CA1F-40FA-B972-D33A95461713}"/>
    <cellStyle name="Currency 3 4 4 2 7" xfId="7329" xr:uid="{4E96A360-CEA4-431E-A235-9D81234C240E}"/>
    <cellStyle name="Currency 3 4 4 2 7 2" xfId="21380" xr:uid="{BD646B48-05C2-4658-9603-B634CA974346}"/>
    <cellStyle name="Currency 3 4 4 2 8" xfId="10801" xr:uid="{4B281A35-B8F2-4C28-94FD-C7DE109CA42C}"/>
    <cellStyle name="Currency 3 4 4 2 8 2" xfId="24852" xr:uid="{0EA98A22-B408-4C1F-9BFB-C4F9854C9461}"/>
    <cellStyle name="Currency 3 4 4 2 9" xfId="16003" xr:uid="{D16279FB-0C1A-4215-9100-7906C15EB69E}"/>
    <cellStyle name="Currency 3 4 4 3" xfId="3047" xr:uid="{704C0378-F74F-4E08-8020-1422E756B076}"/>
    <cellStyle name="Currency 3 4 4 3 2" xfId="5254" xr:uid="{6F26FFDC-E7F1-42B3-9F9D-437F0149A76F}"/>
    <cellStyle name="Currency 3 4 4 3 2 2" xfId="6122" xr:uid="{1CC36064-2581-4A9D-9C90-9A137A4B1085}"/>
    <cellStyle name="Currency 3 4 4 3 2 2 2" xfId="9594" xr:uid="{996C71A8-B769-4C66-B962-A547D7ED3979}"/>
    <cellStyle name="Currency 3 4 4 3 2 2 2 2" xfId="23645" xr:uid="{8674A110-2E32-4F2D-9AD1-EB61AEBFBB2A}"/>
    <cellStyle name="Currency 3 4 4 3 2 2 3" xfId="12198" xr:uid="{3AFEAE93-5CCC-42D0-8E07-958C222A5648}"/>
    <cellStyle name="Currency 3 4 4 3 2 2 3 2" xfId="26249" xr:uid="{A5E6BF99-BC85-412F-9588-718823C4A063}"/>
    <cellStyle name="Currency 3 4 4 3 2 2 4" xfId="20173" xr:uid="{D47DC448-83E3-4F6D-A0A5-3A41D4D72063}"/>
    <cellStyle name="Currency 3 4 4 3 2 3" xfId="6990" xr:uid="{9424DF05-CC96-42CD-9C92-3C3943502CB0}"/>
    <cellStyle name="Currency 3 4 4 3 2 3 2" xfId="10462" xr:uid="{F5332AE4-6B02-4DA9-846D-E507AFA4F55B}"/>
    <cellStyle name="Currency 3 4 4 3 2 3 2 2" xfId="24513" xr:uid="{A64D993E-2CBA-4637-998D-790227F29992}"/>
    <cellStyle name="Currency 3 4 4 3 2 3 3" xfId="13066" xr:uid="{60447D01-FF77-4E2F-BCDD-88F7514E1FB2}"/>
    <cellStyle name="Currency 3 4 4 3 2 3 3 2" xfId="27117" xr:uid="{F9DEEA7A-D2A4-4928-8231-D29FB9AADF9F}"/>
    <cellStyle name="Currency 3 4 4 3 2 3 4" xfId="21041" xr:uid="{9B2BAB6E-031E-4C60-AED1-A3ADB1A38937}"/>
    <cellStyle name="Currency 3 4 4 3 2 4" xfId="8726" xr:uid="{72DBF86B-CB79-445C-BC9B-EB304E1B40B7}"/>
    <cellStyle name="Currency 3 4 4 3 2 4 2" xfId="13934" xr:uid="{83843A49-087C-4C1E-A597-7E25F16B8921}"/>
    <cellStyle name="Currency 3 4 4 3 2 4 2 2" xfId="27985" xr:uid="{24348ADC-7A33-4830-AAF9-69A6BBB8650D}"/>
    <cellStyle name="Currency 3 4 4 3 2 4 3" xfId="22777" xr:uid="{10423852-4F08-43A6-8615-DFE07D9E864D}"/>
    <cellStyle name="Currency 3 4 4 3 2 5" xfId="7858" xr:uid="{DEF00516-E63A-411D-AECC-AA348259D64A}"/>
    <cellStyle name="Currency 3 4 4 3 2 5 2" xfId="21909" xr:uid="{4A8A7D24-B545-4A17-BEA1-ED5BCB6B289E}"/>
    <cellStyle name="Currency 3 4 4 3 2 6" xfId="11330" xr:uid="{BF6BD6EF-01A8-468E-9DE7-CA546EADC0AE}"/>
    <cellStyle name="Currency 3 4 4 3 2 6 2" xfId="25381" xr:uid="{3499DF67-7287-45B5-8904-345BFE053ECA}"/>
    <cellStyle name="Currency 3 4 4 3 2 7" xfId="19305" xr:uid="{A46F7EC2-57B4-48CF-B2A2-EBBBA67D534D}"/>
    <cellStyle name="Currency 3 4 4 3 3" xfId="5688" xr:uid="{5E027F6A-6D64-4287-8A2B-2AA884D78588}"/>
    <cellStyle name="Currency 3 4 4 3 3 2" xfId="9160" xr:uid="{BC711970-0F2E-4E0A-B38C-0D54F9355338}"/>
    <cellStyle name="Currency 3 4 4 3 3 2 2" xfId="23211" xr:uid="{99951332-F27E-45DB-A7AC-51590E670BA8}"/>
    <cellStyle name="Currency 3 4 4 3 3 3" xfId="11764" xr:uid="{11CBC239-B2B8-4A44-B1B4-1FA77D0F033F}"/>
    <cellStyle name="Currency 3 4 4 3 3 3 2" xfId="25815" xr:uid="{C495070A-6BC1-4F08-9623-EB8A47FE4FD0}"/>
    <cellStyle name="Currency 3 4 4 3 3 4" xfId="19739" xr:uid="{7E6896E3-7F20-400A-A6E6-C0484F86711A}"/>
    <cellStyle name="Currency 3 4 4 3 4" xfId="6556" xr:uid="{29187407-EF5B-4E3D-B2EE-A188689082C4}"/>
    <cellStyle name="Currency 3 4 4 3 4 2" xfId="10028" xr:uid="{656A75C2-61EC-4349-A687-76D2AFA27603}"/>
    <cellStyle name="Currency 3 4 4 3 4 2 2" xfId="24079" xr:uid="{F37453C0-6C90-48FB-B840-FF82FBD6743C}"/>
    <cellStyle name="Currency 3 4 4 3 4 3" xfId="12632" xr:uid="{0D7EAC3C-B3DC-4CAA-A817-E6C6A4B5D136}"/>
    <cellStyle name="Currency 3 4 4 3 4 3 2" xfId="26683" xr:uid="{633FBBE0-6DA6-488A-9C79-4B3B612B0604}"/>
    <cellStyle name="Currency 3 4 4 3 4 4" xfId="20607" xr:uid="{C77B806F-BFA3-4A5C-A5BC-15B86605F92A}"/>
    <cellStyle name="Currency 3 4 4 3 5" xfId="8292" xr:uid="{9F92AEE5-7A3E-4A3B-82C5-BF9D23E46A82}"/>
    <cellStyle name="Currency 3 4 4 3 5 2" xfId="13500" xr:uid="{A247304F-3B79-41B8-A0BC-3F77E92641B6}"/>
    <cellStyle name="Currency 3 4 4 3 5 2 2" xfId="27551" xr:uid="{E4DC1C0D-D171-4F0B-8558-5572A0D001F4}"/>
    <cellStyle name="Currency 3 4 4 3 5 3" xfId="22343" xr:uid="{B8592FA2-C07C-4D1A-B34C-60A77689197E}"/>
    <cellStyle name="Currency 3 4 4 3 6" xfId="7424" xr:uid="{F6CBBAF4-4DC5-4FB1-9C64-AE215FCB7E77}"/>
    <cellStyle name="Currency 3 4 4 3 6 2" xfId="21475" xr:uid="{9C45F7BC-A2FC-4889-94DC-D7EF3994C6A0}"/>
    <cellStyle name="Currency 3 4 4 3 7" xfId="10896" xr:uid="{F7AE86C7-D0C2-4F3E-AD2F-3E0BE488B52A}"/>
    <cellStyle name="Currency 3 4 4 3 7 2" xfId="24947" xr:uid="{1DA860DB-6260-401D-8439-9438481F738B}"/>
    <cellStyle name="Currency 3 4 4 3 8" xfId="17099" xr:uid="{0E352050-4EE0-428A-BD2A-01CD4B5F99D5}"/>
    <cellStyle name="Currency 3 4 4 4" xfId="5062" xr:uid="{E05AE9DD-9CED-4A04-B70F-C18230C9C9DA}"/>
    <cellStyle name="Currency 3 4 4 4 2" xfId="5930" xr:uid="{1B455347-862A-4021-BE03-0EDBDCCED999}"/>
    <cellStyle name="Currency 3 4 4 4 2 2" xfId="9402" xr:uid="{1031D8AB-4BB4-44F8-8106-85F945ABA373}"/>
    <cellStyle name="Currency 3 4 4 4 2 2 2" xfId="23453" xr:uid="{43A834BA-6743-4867-93B3-4AB57166A157}"/>
    <cellStyle name="Currency 3 4 4 4 2 3" xfId="12006" xr:uid="{B829E0DB-5E9E-47B1-8D1E-F38FF6955FCB}"/>
    <cellStyle name="Currency 3 4 4 4 2 3 2" xfId="26057" xr:uid="{24108005-8CDE-4DA2-9136-366C3E4EA16E}"/>
    <cellStyle name="Currency 3 4 4 4 2 4" xfId="19981" xr:uid="{A94E4F86-878C-453F-B854-19FC90E51F2E}"/>
    <cellStyle name="Currency 3 4 4 4 3" xfId="6798" xr:uid="{09459E88-D14B-413C-928E-2C69A970A494}"/>
    <cellStyle name="Currency 3 4 4 4 3 2" xfId="10270" xr:uid="{26951EDA-173E-4126-83E6-2C7C0FC1C910}"/>
    <cellStyle name="Currency 3 4 4 4 3 2 2" xfId="24321" xr:uid="{5B420DF4-3B0F-4CFD-B651-2B616230F163}"/>
    <cellStyle name="Currency 3 4 4 4 3 3" xfId="12874" xr:uid="{80B8E9A1-DAAE-4926-9D18-7DDC28257845}"/>
    <cellStyle name="Currency 3 4 4 4 3 3 2" xfId="26925" xr:uid="{76F228C2-A749-4C67-A656-DA1BA3F2C38A}"/>
    <cellStyle name="Currency 3 4 4 4 3 4" xfId="20849" xr:uid="{B7A5117C-6855-4C27-8270-62B511FA6AAA}"/>
    <cellStyle name="Currency 3 4 4 4 4" xfId="8534" xr:uid="{D5649A88-7564-470A-B28C-0252A62893B3}"/>
    <cellStyle name="Currency 3 4 4 4 4 2" xfId="13742" xr:uid="{1EA24993-7FAC-4418-8932-E023496EC5B4}"/>
    <cellStyle name="Currency 3 4 4 4 4 2 2" xfId="27793" xr:uid="{8D937467-6C38-40E4-A108-820ABE7E0C8D}"/>
    <cellStyle name="Currency 3 4 4 4 4 3" xfId="22585" xr:uid="{2243FD0F-333D-4604-933D-63609C1E4513}"/>
    <cellStyle name="Currency 3 4 4 4 5" xfId="7666" xr:uid="{5502D1E6-B9BE-4C4B-94CD-911E084B3F3A}"/>
    <cellStyle name="Currency 3 4 4 4 5 2" xfId="21717" xr:uid="{6EFBD154-1F7F-4DFD-9265-1447F80D8E1F}"/>
    <cellStyle name="Currency 3 4 4 4 6" xfId="11138" xr:uid="{156D9304-A931-42DD-9664-54EBDE4AF6C8}"/>
    <cellStyle name="Currency 3 4 4 4 6 2" xfId="25189" xr:uid="{ADCD30AE-836C-467F-BE23-990F0C255D33}"/>
    <cellStyle name="Currency 3 4 4 4 7" xfId="19113" xr:uid="{B860D2F8-8671-4A13-98AF-9CDB2A533D17}"/>
    <cellStyle name="Currency 3 4 4 5" xfId="5496" xr:uid="{83B7340F-D6D2-4DC7-B232-AAFC8BC9550D}"/>
    <cellStyle name="Currency 3 4 4 5 2" xfId="8968" xr:uid="{E9721728-0D20-41AA-A147-F0231695DA0D}"/>
    <cellStyle name="Currency 3 4 4 5 2 2" xfId="23019" xr:uid="{74E218DF-0A67-42C2-8DEB-A7E7B6A59C1E}"/>
    <cellStyle name="Currency 3 4 4 5 3" xfId="11572" xr:uid="{866412E1-CC71-4F2B-A624-4574EA616770}"/>
    <cellStyle name="Currency 3 4 4 5 3 2" xfId="25623" xr:uid="{BBD30BFA-A936-4826-8B00-BF48F0917DF1}"/>
    <cellStyle name="Currency 3 4 4 5 4" xfId="19547" xr:uid="{8FEF38D1-474B-44C8-8FEC-832013B9FE08}"/>
    <cellStyle name="Currency 3 4 4 6" xfId="6364" xr:uid="{9ADEF67C-1BD7-476D-825C-F2ED87551DAF}"/>
    <cellStyle name="Currency 3 4 4 6 2" xfId="9836" xr:uid="{CFCD0E89-89BE-40A1-B344-72286B2643F2}"/>
    <cellStyle name="Currency 3 4 4 6 2 2" xfId="23887" xr:uid="{395708E7-1ED0-49D9-87FE-794218FAA7F3}"/>
    <cellStyle name="Currency 3 4 4 6 3" xfId="12440" xr:uid="{EF62DD6E-4E45-4268-80B8-70E852FEB614}"/>
    <cellStyle name="Currency 3 4 4 6 3 2" xfId="26491" xr:uid="{965B58F9-0C1A-4C03-A730-718C1E2A3758}"/>
    <cellStyle name="Currency 3 4 4 6 4" xfId="20415" xr:uid="{F864600B-3A9C-4C97-8F4F-206AEA421E63}"/>
    <cellStyle name="Currency 3 4 4 7" xfId="8100" xr:uid="{BF603465-3D3E-44A7-B0C8-542571FEB6A8}"/>
    <cellStyle name="Currency 3 4 4 7 2" xfId="13308" xr:uid="{2BB08413-9097-46BB-9AB8-CF867D1CBF95}"/>
    <cellStyle name="Currency 3 4 4 7 2 2" xfId="27359" xr:uid="{0E08D523-4D12-4123-BE0F-7E5E5D02925B}"/>
    <cellStyle name="Currency 3 4 4 7 3" xfId="22151" xr:uid="{71507ED9-EAF9-45DF-BBDF-9E9106A5231C}"/>
    <cellStyle name="Currency 3 4 4 8" xfId="7232" xr:uid="{9A793BAA-82CC-4301-8F9D-F7433D8344AF}"/>
    <cellStyle name="Currency 3 4 4 8 2" xfId="21283" xr:uid="{7FF45102-5538-4121-9D23-8D045E6162B7}"/>
    <cellStyle name="Currency 3 4 4 9" xfId="10704" xr:uid="{4104C838-BAD1-4137-A84B-B4632805DBE0}"/>
    <cellStyle name="Currency 3 4 4 9 2" xfId="24755" xr:uid="{18FD0D90-9018-401A-8421-FF2408FDBC63}"/>
    <cellStyle name="Currency 3 4 5" xfId="1263" xr:uid="{3BE24FD3-82BD-484E-BE7B-7FC9BA4B922D}"/>
    <cellStyle name="Currency 3 4 5 2" xfId="3453" xr:uid="{54AC14E4-55C5-4898-963F-D1260044C926}"/>
    <cellStyle name="Currency 3 4 5 2 2" xfId="5290" xr:uid="{7E916A16-6929-41F2-A1FF-7515D788A3D5}"/>
    <cellStyle name="Currency 3 4 5 2 2 2" xfId="6158" xr:uid="{A3E1A8CA-2EF1-42D0-99CD-70219C6E8DE8}"/>
    <cellStyle name="Currency 3 4 5 2 2 2 2" xfId="9630" xr:uid="{E40F9BA2-99F4-4630-9894-61EC0F2CF42B}"/>
    <cellStyle name="Currency 3 4 5 2 2 2 2 2" xfId="23681" xr:uid="{382AF37A-B757-4BEA-B5A0-2F8C8B957C35}"/>
    <cellStyle name="Currency 3 4 5 2 2 2 3" xfId="12234" xr:uid="{999A4342-107A-49BD-BAA8-5E5B3458F36A}"/>
    <cellStyle name="Currency 3 4 5 2 2 2 3 2" xfId="26285" xr:uid="{0047849D-4BDC-492A-A64E-93DBD3F02762}"/>
    <cellStyle name="Currency 3 4 5 2 2 2 4" xfId="20209" xr:uid="{CE8F9513-EF59-4DB8-AB9D-A4FB347FCFE5}"/>
    <cellStyle name="Currency 3 4 5 2 2 3" xfId="7026" xr:uid="{1DAB44EA-E9D7-4F3D-8215-01D63F7827BD}"/>
    <cellStyle name="Currency 3 4 5 2 2 3 2" xfId="10498" xr:uid="{568CB2D1-3710-4638-BFE3-4CDDD6F3E556}"/>
    <cellStyle name="Currency 3 4 5 2 2 3 2 2" xfId="24549" xr:uid="{87F42EE1-2658-4B25-84C8-4B8E8C5AD9BE}"/>
    <cellStyle name="Currency 3 4 5 2 2 3 3" xfId="13102" xr:uid="{B5A9D3D2-9B62-4BE4-8DFF-A56BED398B75}"/>
    <cellStyle name="Currency 3 4 5 2 2 3 3 2" xfId="27153" xr:uid="{DD3D606E-1030-40AA-8E6F-C51E0897ECEF}"/>
    <cellStyle name="Currency 3 4 5 2 2 3 4" xfId="21077" xr:uid="{B3A0A6AF-49DF-4FD8-9C6E-3E751C92E199}"/>
    <cellStyle name="Currency 3 4 5 2 2 4" xfId="8762" xr:uid="{82F96AF1-C8B8-4675-99FA-3EE52859124B}"/>
    <cellStyle name="Currency 3 4 5 2 2 4 2" xfId="13970" xr:uid="{75E75404-F53E-4EF1-80BB-25AF26417BF3}"/>
    <cellStyle name="Currency 3 4 5 2 2 4 2 2" xfId="28021" xr:uid="{4002587B-3D42-4032-A871-59D1405CFD6F}"/>
    <cellStyle name="Currency 3 4 5 2 2 4 3" xfId="22813" xr:uid="{9C03C7D8-B4F4-4205-A4B8-7E13162406E0}"/>
    <cellStyle name="Currency 3 4 5 2 2 5" xfId="7894" xr:uid="{ACDEEA42-0673-47FA-B232-44DD2B54A069}"/>
    <cellStyle name="Currency 3 4 5 2 2 5 2" xfId="21945" xr:uid="{4D980D86-06B3-4E72-BE63-984B63FB2112}"/>
    <cellStyle name="Currency 3 4 5 2 2 6" xfId="11366" xr:uid="{DBF68F17-8B5E-493F-A24E-57F863385874}"/>
    <cellStyle name="Currency 3 4 5 2 2 6 2" xfId="25417" xr:uid="{457AB392-F5E7-4DCE-9A63-A2A84437FAC3}"/>
    <cellStyle name="Currency 3 4 5 2 2 7" xfId="19341" xr:uid="{B7ADD21D-7242-4995-A79A-F95B6C365360}"/>
    <cellStyle name="Currency 3 4 5 2 3" xfId="5724" xr:uid="{64DEF173-1065-4029-B61A-8DFFE9ADAB91}"/>
    <cellStyle name="Currency 3 4 5 2 3 2" xfId="9196" xr:uid="{1183F9A0-EB50-465F-8D3A-E36F46081107}"/>
    <cellStyle name="Currency 3 4 5 2 3 2 2" xfId="23247" xr:uid="{7DA743DC-644F-46B0-8255-ADDE8F857D03}"/>
    <cellStyle name="Currency 3 4 5 2 3 3" xfId="11800" xr:uid="{AD7D0B5E-E8C5-4A83-AEAA-27B738C4FDFD}"/>
    <cellStyle name="Currency 3 4 5 2 3 3 2" xfId="25851" xr:uid="{5157302F-1B75-4A43-BD79-B593008748BC}"/>
    <cellStyle name="Currency 3 4 5 2 3 4" xfId="19775" xr:uid="{0CF630C6-A441-4166-8967-B9DC2E9BE883}"/>
    <cellStyle name="Currency 3 4 5 2 4" xfId="6592" xr:uid="{D7B9F488-7419-4A1B-B1A6-C85B71F42D6F}"/>
    <cellStyle name="Currency 3 4 5 2 4 2" xfId="10064" xr:uid="{4A0B1BB1-1876-44B9-B838-148706F4554C}"/>
    <cellStyle name="Currency 3 4 5 2 4 2 2" xfId="24115" xr:uid="{40FA562A-2215-4699-A768-DBE6CB59CDB8}"/>
    <cellStyle name="Currency 3 4 5 2 4 3" xfId="12668" xr:uid="{6D3A4E00-DCAD-4E00-BCA2-E919E76ABF5B}"/>
    <cellStyle name="Currency 3 4 5 2 4 3 2" xfId="26719" xr:uid="{8E9A1407-535A-4EB6-8CBB-30B1A218CF94}"/>
    <cellStyle name="Currency 3 4 5 2 4 4" xfId="20643" xr:uid="{93D194EA-C871-4386-A4D4-28409BDC09A7}"/>
    <cellStyle name="Currency 3 4 5 2 5" xfId="8328" xr:uid="{01C838C6-732F-4CAD-B2F9-ABEA7C3FD6A0}"/>
    <cellStyle name="Currency 3 4 5 2 5 2" xfId="13536" xr:uid="{66D73CDE-D322-4189-A63F-9498FF73DCE8}"/>
    <cellStyle name="Currency 3 4 5 2 5 2 2" xfId="27587" xr:uid="{4863E8B3-A1E5-4AE4-AD41-627A1253FE26}"/>
    <cellStyle name="Currency 3 4 5 2 5 3" xfId="22379" xr:uid="{4F950B14-4FB5-4AD5-9F9B-870F4DAC05CE}"/>
    <cellStyle name="Currency 3 4 5 2 6" xfId="7460" xr:uid="{74DF46BB-2919-4DB7-9774-0F192A0BB753}"/>
    <cellStyle name="Currency 3 4 5 2 6 2" xfId="21511" xr:uid="{FC9614E8-CF74-468C-A779-91D617A009CE}"/>
    <cellStyle name="Currency 3 4 5 2 7" xfId="10932" xr:uid="{A6E7E666-8609-4593-A140-E7C859F50C39}"/>
    <cellStyle name="Currency 3 4 5 2 7 2" xfId="24983" xr:uid="{D742A6C0-4DF3-4A36-B42C-82895E4756E8}"/>
    <cellStyle name="Currency 3 4 5 2 8" xfId="17505" xr:uid="{44AE6912-13B7-4BA9-A739-175A856D766F}"/>
    <cellStyle name="Currency 3 4 5 3" xfId="5099" xr:uid="{5DF9F313-944C-469A-8581-2E70571BBBE5}"/>
    <cellStyle name="Currency 3 4 5 3 2" xfId="5967" xr:uid="{A9E09399-21CA-4CEC-9A3A-C42C269AACB8}"/>
    <cellStyle name="Currency 3 4 5 3 2 2" xfId="9439" xr:uid="{603F7E12-2CB8-4418-8490-0ADCB2D99CCA}"/>
    <cellStyle name="Currency 3 4 5 3 2 2 2" xfId="23490" xr:uid="{B0DE447E-C0BA-4B37-97AF-42010DA1F41A}"/>
    <cellStyle name="Currency 3 4 5 3 2 3" xfId="12043" xr:uid="{51FFA55F-20B8-46CD-A3CD-23F653CF1D40}"/>
    <cellStyle name="Currency 3 4 5 3 2 3 2" xfId="26094" xr:uid="{27CADE8B-D4DB-40D1-9638-D21AD304C21C}"/>
    <cellStyle name="Currency 3 4 5 3 2 4" xfId="20018" xr:uid="{813A3AF8-2683-46F9-A0B9-D827F285B6A6}"/>
    <cellStyle name="Currency 3 4 5 3 3" xfId="6835" xr:uid="{B7AF8710-7CAC-4BF1-A86E-920F99EE1B2D}"/>
    <cellStyle name="Currency 3 4 5 3 3 2" xfId="10307" xr:uid="{9022AA82-7BA1-4223-992D-E136A8831224}"/>
    <cellStyle name="Currency 3 4 5 3 3 2 2" xfId="24358" xr:uid="{BE9C3725-8AAC-40E4-BDB2-55552CE80C7E}"/>
    <cellStyle name="Currency 3 4 5 3 3 3" xfId="12911" xr:uid="{110E8B92-82EA-4F9A-BCD4-EF01CFF35B6B}"/>
    <cellStyle name="Currency 3 4 5 3 3 3 2" xfId="26962" xr:uid="{DAFF88BD-5942-4D74-BAD1-1B5BAC112E38}"/>
    <cellStyle name="Currency 3 4 5 3 3 4" xfId="20886" xr:uid="{F986B954-B03C-42A9-8605-237D1F346ED1}"/>
    <cellStyle name="Currency 3 4 5 3 4" xfId="8571" xr:uid="{C4CAAC1A-5C1D-4C19-AF89-5587175E81E7}"/>
    <cellStyle name="Currency 3 4 5 3 4 2" xfId="13779" xr:uid="{E2A67F5B-6E94-4862-9C0C-9C0CD3C83796}"/>
    <cellStyle name="Currency 3 4 5 3 4 2 2" xfId="27830" xr:uid="{841E3DFE-FAF1-4543-98C4-4C25C7A207F2}"/>
    <cellStyle name="Currency 3 4 5 3 4 3" xfId="22622" xr:uid="{F339FF6E-40CA-46CA-9D1D-F717616ABAC3}"/>
    <cellStyle name="Currency 3 4 5 3 5" xfId="7703" xr:uid="{C519CCCF-C2C9-4DDE-98C2-458BCC996517}"/>
    <cellStyle name="Currency 3 4 5 3 5 2" xfId="21754" xr:uid="{57C650FC-A937-4F10-AA1C-BAF1F621D422}"/>
    <cellStyle name="Currency 3 4 5 3 6" xfId="11175" xr:uid="{CD5DCB0A-EC52-4659-8DD1-9207177373A8}"/>
    <cellStyle name="Currency 3 4 5 3 6 2" xfId="25226" xr:uid="{78AB1BE0-A445-4FD6-B839-4E2A1FE9A83D}"/>
    <cellStyle name="Currency 3 4 5 3 7" xfId="19150" xr:uid="{4F47A21A-53C2-4A6E-897C-8EC9781C2C73}"/>
    <cellStyle name="Currency 3 4 5 4" xfId="5533" xr:uid="{111359BB-B80F-4ED9-B4DE-3FED596B6C27}"/>
    <cellStyle name="Currency 3 4 5 4 2" xfId="9005" xr:uid="{00A67A64-1824-4B55-815A-4C93106940A7}"/>
    <cellStyle name="Currency 3 4 5 4 2 2" xfId="23056" xr:uid="{A16ECA38-EC0F-4BD4-828A-EE8794B2BD68}"/>
    <cellStyle name="Currency 3 4 5 4 3" xfId="11609" xr:uid="{2896AD00-D277-4ACC-8B5A-F409996505CC}"/>
    <cellStyle name="Currency 3 4 5 4 3 2" xfId="25660" xr:uid="{A0D96399-0000-4798-AE9E-0A555202C1CE}"/>
    <cellStyle name="Currency 3 4 5 4 4" xfId="19584" xr:uid="{B3A7D672-399C-4C79-A25C-EE5F9FC2A53F}"/>
    <cellStyle name="Currency 3 4 5 5" xfId="6401" xr:uid="{31889E41-EEBD-4C7D-BDC6-7C8B65010727}"/>
    <cellStyle name="Currency 3 4 5 5 2" xfId="9873" xr:uid="{BAD59FF8-FEDF-450C-B584-824D5CEE5558}"/>
    <cellStyle name="Currency 3 4 5 5 2 2" xfId="23924" xr:uid="{BC9AFB08-1E8A-42F2-8D3C-AD0D0E7F9ED2}"/>
    <cellStyle name="Currency 3 4 5 5 3" xfId="12477" xr:uid="{634DAC38-7B94-48C4-80C4-2C710FB6D89B}"/>
    <cellStyle name="Currency 3 4 5 5 3 2" xfId="26528" xr:uid="{697E40F5-3F0E-4A57-9A80-35113F9C9D97}"/>
    <cellStyle name="Currency 3 4 5 5 4" xfId="20452" xr:uid="{B8D69962-B040-423E-8BB5-834DC025BB50}"/>
    <cellStyle name="Currency 3 4 5 6" xfId="8137" xr:uid="{89A445B4-DA3E-4013-9C1C-C79CFF479570}"/>
    <cellStyle name="Currency 3 4 5 6 2" xfId="13345" xr:uid="{5CF014BC-5D58-4CF7-8BC5-F9DE773B8D7F}"/>
    <cellStyle name="Currency 3 4 5 6 2 2" xfId="27396" xr:uid="{365078E7-6F53-48B1-9DAF-3D66F1E3E6CF}"/>
    <cellStyle name="Currency 3 4 5 6 3" xfId="22188" xr:uid="{9AEB878D-31E8-4485-96C4-A88E207F3C72}"/>
    <cellStyle name="Currency 3 4 5 7" xfId="7269" xr:uid="{065617B4-05D7-4CBC-91A9-CB2D2660754A}"/>
    <cellStyle name="Currency 3 4 5 7 2" xfId="21320" xr:uid="{F4E4C809-FEB9-4A13-8C35-A762353A6F78}"/>
    <cellStyle name="Currency 3 4 5 8" xfId="10741" xr:uid="{346C5BC7-A2B4-47E2-AD6E-6A0987B20578}"/>
    <cellStyle name="Currency 3 4 5 8 2" xfId="24792" xr:uid="{A65B64EF-BB20-4AB8-B469-AA3E0630C130}"/>
    <cellStyle name="Currency 3 4 5 9" xfId="15311" xr:uid="{A0B7045E-9612-461D-9C4D-8443EF6AB4F2}"/>
    <cellStyle name="Currency 3 4 6" xfId="2354" xr:uid="{8055C65C-EB11-43A0-A52C-C2E8DE7867A2}"/>
    <cellStyle name="Currency 3 4 6 2" xfId="5194" xr:uid="{7A5F8BFE-DF8C-4BAC-88D0-796B23B9B420}"/>
    <cellStyle name="Currency 3 4 6 2 2" xfId="6062" xr:uid="{2F6B7B2E-4E2E-4873-BE96-C300CEBF7B85}"/>
    <cellStyle name="Currency 3 4 6 2 2 2" xfId="9534" xr:uid="{3D96B33E-1EAD-4D6E-BC52-74D0EA241507}"/>
    <cellStyle name="Currency 3 4 6 2 2 2 2" xfId="23585" xr:uid="{ACA5E2E5-6F5A-49B8-9A13-DE8FCE4F6DAA}"/>
    <cellStyle name="Currency 3 4 6 2 2 3" xfId="12138" xr:uid="{459BE0E1-8651-4F53-BD8B-A995677A76AD}"/>
    <cellStyle name="Currency 3 4 6 2 2 3 2" xfId="26189" xr:uid="{FE9FD564-0317-4AFA-B214-F0FE2A1BF352}"/>
    <cellStyle name="Currency 3 4 6 2 2 4" xfId="20113" xr:uid="{D18F4173-1D77-40FE-BFBA-BD25B4569776}"/>
    <cellStyle name="Currency 3 4 6 2 3" xfId="6930" xr:uid="{EA6C7BDD-FE06-4693-8A6A-6597AC6DB613}"/>
    <cellStyle name="Currency 3 4 6 2 3 2" xfId="10402" xr:uid="{3C84A0A1-D4AB-4BAB-8E8E-CFE9D0862221}"/>
    <cellStyle name="Currency 3 4 6 2 3 2 2" xfId="24453" xr:uid="{C57825AB-FA96-4CD5-8B93-D2A38C560B7E}"/>
    <cellStyle name="Currency 3 4 6 2 3 3" xfId="13006" xr:uid="{1E07BEB5-B323-453D-96D7-2AA2539A523F}"/>
    <cellStyle name="Currency 3 4 6 2 3 3 2" xfId="27057" xr:uid="{CE9461E0-6D40-484C-B610-0F0246B3AD06}"/>
    <cellStyle name="Currency 3 4 6 2 3 4" xfId="20981" xr:uid="{DE16F846-5A92-4F27-8943-2F0CD4AE4B56}"/>
    <cellStyle name="Currency 3 4 6 2 4" xfId="8666" xr:uid="{BBCF246C-AFB0-44C6-9A75-635A640C73CC}"/>
    <cellStyle name="Currency 3 4 6 2 4 2" xfId="13874" xr:uid="{788AA92A-A648-424E-A503-889F2647EC6B}"/>
    <cellStyle name="Currency 3 4 6 2 4 2 2" xfId="27925" xr:uid="{2380BCFA-B031-4EA4-A31C-D07F712C8559}"/>
    <cellStyle name="Currency 3 4 6 2 4 3" xfId="22717" xr:uid="{55910269-EBF9-4009-9E4F-11C73A9A09DE}"/>
    <cellStyle name="Currency 3 4 6 2 5" xfId="7798" xr:uid="{54C14290-CE87-4A95-9882-0FBDCF7A28C8}"/>
    <cellStyle name="Currency 3 4 6 2 5 2" xfId="21849" xr:uid="{9AFB0497-E9B6-467A-9459-C4E75132E6AB}"/>
    <cellStyle name="Currency 3 4 6 2 6" xfId="11270" xr:uid="{CE9DE0D3-F445-444E-9E05-E57A4DDBADA2}"/>
    <cellStyle name="Currency 3 4 6 2 6 2" xfId="25321" xr:uid="{73E759F9-C6E3-46F9-BDC5-940D8485EE4C}"/>
    <cellStyle name="Currency 3 4 6 2 7" xfId="19245" xr:uid="{766DE874-B0A6-431F-94D1-C80732E91B29}"/>
    <cellStyle name="Currency 3 4 6 3" xfId="5628" xr:uid="{80886EF3-543C-4EA7-99C7-F631B4A865B5}"/>
    <cellStyle name="Currency 3 4 6 3 2" xfId="9100" xr:uid="{868F42B5-C0EB-444C-8E07-86F8ABE60A35}"/>
    <cellStyle name="Currency 3 4 6 3 2 2" xfId="23151" xr:uid="{5560DFA6-D424-47AA-883A-E687D462C1BA}"/>
    <cellStyle name="Currency 3 4 6 3 3" xfId="11704" xr:uid="{C0BFB9ED-ED51-438D-B21D-92D98624A99E}"/>
    <cellStyle name="Currency 3 4 6 3 3 2" xfId="25755" xr:uid="{46F2B992-8E90-41D5-9CAA-0FEF1E3A409A}"/>
    <cellStyle name="Currency 3 4 6 3 4" xfId="19679" xr:uid="{BAC4194D-0B2A-4210-9624-EA8191772635}"/>
    <cellStyle name="Currency 3 4 6 4" xfId="6496" xr:uid="{6E0059B9-8EFA-4F99-A4DC-489D862AB990}"/>
    <cellStyle name="Currency 3 4 6 4 2" xfId="9968" xr:uid="{0A5401D7-CD25-4B18-BC8A-E43E3728661A}"/>
    <cellStyle name="Currency 3 4 6 4 2 2" xfId="24019" xr:uid="{7E19095D-9BE2-4130-A854-89BFD5506F4B}"/>
    <cellStyle name="Currency 3 4 6 4 3" xfId="12572" xr:uid="{68AC1869-4113-4042-AB8C-D1CF4A5946B2}"/>
    <cellStyle name="Currency 3 4 6 4 3 2" xfId="26623" xr:uid="{99741D1A-A8D8-4CF4-9820-10E5B8651403}"/>
    <cellStyle name="Currency 3 4 6 4 4" xfId="20547" xr:uid="{A65B6AF2-0E02-44E4-9A5F-7E6135B2DEE5}"/>
    <cellStyle name="Currency 3 4 6 5" xfId="8232" xr:uid="{819F93BC-5B63-46E4-94DB-B3D0141958E8}"/>
    <cellStyle name="Currency 3 4 6 5 2" xfId="13440" xr:uid="{7F899E5F-AB6C-456C-9CF2-219267DA7618}"/>
    <cellStyle name="Currency 3 4 6 5 2 2" xfId="27491" xr:uid="{636A7F9F-EE9C-411E-8BC5-1F13561825BB}"/>
    <cellStyle name="Currency 3 4 6 5 3" xfId="22283" xr:uid="{1C0F0BBB-1D38-49DB-AB80-C69D5D00D7FB}"/>
    <cellStyle name="Currency 3 4 6 6" xfId="7364" xr:uid="{09AC452B-E984-4C23-BE8D-3134A770CC26}"/>
    <cellStyle name="Currency 3 4 6 6 2" xfId="21415" xr:uid="{A6CA7945-907B-4146-AAD1-699D1036F011}"/>
    <cellStyle name="Currency 3 4 6 7" xfId="10836" xr:uid="{46F10914-92A3-4E95-AEF2-FBBED15511E8}"/>
    <cellStyle name="Currency 3 4 6 7 2" xfId="24887" xr:uid="{780F262C-94A9-47F9-9D75-DC857D7D23A5}"/>
    <cellStyle name="Currency 3 4 6 8" xfId="16405" xr:uid="{40A3C80F-B5E6-43B9-AE1F-42190631DCA7}"/>
    <cellStyle name="Currency 3 4 7" xfId="4547" xr:uid="{0F53B1B4-B788-434A-BB1E-CB894C8E5A55}"/>
    <cellStyle name="Currency 3 4 7 2" xfId="5385" xr:uid="{688A97CA-8EB8-48AA-9237-29414D41D54B}"/>
    <cellStyle name="Currency 3 4 7 2 2" xfId="6253" xr:uid="{EEDEA893-34A9-4261-B518-FFABAA99DBB7}"/>
    <cellStyle name="Currency 3 4 7 2 2 2" xfId="9725" xr:uid="{CF31D9CF-ACF3-462C-9EA0-B3E04AF13390}"/>
    <cellStyle name="Currency 3 4 7 2 2 2 2" xfId="23776" xr:uid="{23020B4E-5621-4422-821B-22EA23DA389E}"/>
    <cellStyle name="Currency 3 4 7 2 2 3" xfId="12329" xr:uid="{496723E6-3B96-4B03-9695-F7E47746EE74}"/>
    <cellStyle name="Currency 3 4 7 2 2 3 2" xfId="26380" xr:uid="{3AEBFABF-54FF-414A-9C47-216E3CCD88ED}"/>
    <cellStyle name="Currency 3 4 7 2 2 4" xfId="20304" xr:uid="{CD56E0D7-F49C-45EA-A8A6-46F62DD249D9}"/>
    <cellStyle name="Currency 3 4 7 2 3" xfId="7121" xr:uid="{B05F4424-DCF3-45FF-AB4F-AD2B44C9AE90}"/>
    <cellStyle name="Currency 3 4 7 2 3 2" xfId="10593" xr:uid="{F457853A-9E40-4826-8560-A9E549C84691}"/>
    <cellStyle name="Currency 3 4 7 2 3 2 2" xfId="24644" xr:uid="{CDA58EF1-9360-493F-9541-179798FE9573}"/>
    <cellStyle name="Currency 3 4 7 2 3 3" xfId="13197" xr:uid="{D8C23D45-0FE2-4439-AACB-F5D594766C81}"/>
    <cellStyle name="Currency 3 4 7 2 3 3 2" xfId="27248" xr:uid="{B1E89B81-A84B-40E2-869A-71230DA1AB8C}"/>
    <cellStyle name="Currency 3 4 7 2 3 4" xfId="21172" xr:uid="{0FB89477-1301-4DF6-B9C5-23A418C50BE9}"/>
    <cellStyle name="Currency 3 4 7 2 4" xfId="8857" xr:uid="{7CA7E1D7-0E23-4B36-8A03-A89BA097774B}"/>
    <cellStyle name="Currency 3 4 7 2 4 2" xfId="14065" xr:uid="{1BBED452-8960-4B79-BCDA-1743D401B3D9}"/>
    <cellStyle name="Currency 3 4 7 2 4 2 2" xfId="28116" xr:uid="{D31F2A54-2D84-4E8B-8CF2-B87A763BE876}"/>
    <cellStyle name="Currency 3 4 7 2 4 3" xfId="22908" xr:uid="{E7D923AB-C633-4CB7-9823-32D1606516B3}"/>
    <cellStyle name="Currency 3 4 7 2 5" xfId="7989" xr:uid="{57221C30-2D8F-427F-B8E8-8033F3C70416}"/>
    <cellStyle name="Currency 3 4 7 2 5 2" xfId="22040" xr:uid="{FFBB4466-04FF-4B76-AEE5-9D0472696D9E}"/>
    <cellStyle name="Currency 3 4 7 2 6" xfId="11461" xr:uid="{4255C298-DD56-4A87-927E-93037AB450F8}"/>
    <cellStyle name="Currency 3 4 7 2 6 2" xfId="25512" xr:uid="{FCA63FF9-87E2-4041-AFD7-799A49BA6B70}"/>
    <cellStyle name="Currency 3 4 7 2 7" xfId="19436" xr:uid="{5432AC70-C001-49D8-A6EB-C7E796B67D56}"/>
    <cellStyle name="Currency 3 4 7 3" xfId="5819" xr:uid="{34FC9FC1-D1D3-43E2-9041-776E62646417}"/>
    <cellStyle name="Currency 3 4 7 3 2" xfId="9291" xr:uid="{22A0E280-BDC5-432D-9941-050154610F46}"/>
    <cellStyle name="Currency 3 4 7 3 2 2" xfId="23342" xr:uid="{452104B0-C9C5-4B50-949F-BCF89D7978D6}"/>
    <cellStyle name="Currency 3 4 7 3 3" xfId="11895" xr:uid="{68E2C43F-5DE8-46CA-9C15-A41BFB91DDDA}"/>
    <cellStyle name="Currency 3 4 7 3 3 2" xfId="25946" xr:uid="{B7A905F2-B641-4D32-B4BD-CAE1DF3102AC}"/>
    <cellStyle name="Currency 3 4 7 3 4" xfId="19870" xr:uid="{4AD49218-B0AB-4040-BEE9-770325D81EC6}"/>
    <cellStyle name="Currency 3 4 7 4" xfId="6687" xr:uid="{DE9E83FF-D417-4144-9655-8B482384920B}"/>
    <cellStyle name="Currency 3 4 7 4 2" xfId="10159" xr:uid="{34E72605-B2F9-4A29-B4E3-0442CF8D6C4F}"/>
    <cellStyle name="Currency 3 4 7 4 2 2" xfId="24210" xr:uid="{187D9A82-22E8-4240-BE9B-C7C383590BE1}"/>
    <cellStyle name="Currency 3 4 7 4 3" xfId="12763" xr:uid="{9349804B-135D-421A-90FF-0AD5CE73C024}"/>
    <cellStyle name="Currency 3 4 7 4 3 2" xfId="26814" xr:uid="{97FB58B1-51B7-4422-8411-D9F6196587D4}"/>
    <cellStyle name="Currency 3 4 7 4 4" xfId="20738" xr:uid="{A1F6019A-E2F4-4E94-B014-0C3253FCE1CB}"/>
    <cellStyle name="Currency 3 4 7 5" xfId="8423" xr:uid="{BBA4DCF7-1653-441E-BB29-E153761503A5}"/>
    <cellStyle name="Currency 3 4 7 5 2" xfId="13631" xr:uid="{77AD4638-73A1-409C-B97D-15DFD5AEAA5A}"/>
    <cellStyle name="Currency 3 4 7 5 2 2" xfId="27682" xr:uid="{FDEBC93F-A3CD-4428-A309-E2075DDF32E9}"/>
    <cellStyle name="Currency 3 4 7 5 3" xfId="22474" xr:uid="{268DEF63-B7BC-4867-BA5E-B54CD360EE8E}"/>
    <cellStyle name="Currency 3 4 7 6" xfId="7555" xr:uid="{CD8CA4F8-3B3D-473D-8554-B41DED411F24}"/>
    <cellStyle name="Currency 3 4 7 6 2" xfId="21606" xr:uid="{60E38BF2-D799-4E5B-A5CF-FAF87FE0B2E0}"/>
    <cellStyle name="Currency 3 4 7 7" xfId="11027" xr:uid="{44B52238-424F-4FEA-B441-30251B08D02D}"/>
    <cellStyle name="Currency 3 4 7 7 2" xfId="25078" xr:uid="{D88A385B-C415-476F-8740-1A626B2BED39}"/>
    <cellStyle name="Currency 3 4 7 8" xfId="18599" xr:uid="{6ACC5C3E-672B-458A-AF8C-2DE416535168}"/>
    <cellStyle name="Currency 3 4 8" xfId="4999" xr:uid="{4A031DD0-8317-4C4C-A380-2C6D7CC56AD8}"/>
    <cellStyle name="Currency 3 4 8 2" xfId="5867" xr:uid="{0DF72C83-C575-4B69-84CB-9A6F9CA98FE1}"/>
    <cellStyle name="Currency 3 4 8 2 2" xfId="9339" xr:uid="{71F89B40-7E43-479D-9AE0-C740397565E3}"/>
    <cellStyle name="Currency 3 4 8 2 2 2" xfId="23390" xr:uid="{B98ED0BC-1F00-460A-9A35-F99C93C792FD}"/>
    <cellStyle name="Currency 3 4 8 2 3" xfId="11943" xr:uid="{397EC1A8-EA35-44D8-97B9-E9261FFE242A}"/>
    <cellStyle name="Currency 3 4 8 2 3 2" xfId="25994" xr:uid="{F43CBCBC-C964-4F9A-9B00-237BE3571E73}"/>
    <cellStyle name="Currency 3 4 8 2 4" xfId="19918" xr:uid="{92D0AC69-2AB4-48C0-914B-2CAE11F0D300}"/>
    <cellStyle name="Currency 3 4 8 3" xfId="6735" xr:uid="{A7D81A3A-BFCF-4643-98EE-9A74518719CE}"/>
    <cellStyle name="Currency 3 4 8 3 2" xfId="10207" xr:uid="{D26B38FD-9694-46A9-968E-FD9ACC9125AE}"/>
    <cellStyle name="Currency 3 4 8 3 2 2" xfId="24258" xr:uid="{72E7F327-BD2D-4BA6-84D2-A429CF38BF47}"/>
    <cellStyle name="Currency 3 4 8 3 3" xfId="12811" xr:uid="{BA35C6AF-69FB-4F1B-B810-558153F1DFF7}"/>
    <cellStyle name="Currency 3 4 8 3 3 2" xfId="26862" xr:uid="{072CEDC8-3EDD-41FD-9B92-20E5A0C7B276}"/>
    <cellStyle name="Currency 3 4 8 3 4" xfId="20786" xr:uid="{2D496030-EA4C-404C-96DB-622C900C1259}"/>
    <cellStyle name="Currency 3 4 8 4" xfId="8471" xr:uid="{6A5BD1DB-7C42-42EC-992A-C092B4A464CF}"/>
    <cellStyle name="Currency 3 4 8 4 2" xfId="13679" xr:uid="{3333D56A-1927-4388-ABED-AB382EE89441}"/>
    <cellStyle name="Currency 3 4 8 4 2 2" xfId="27730" xr:uid="{F7DEB807-9B02-4A70-9A20-9D7391B14449}"/>
    <cellStyle name="Currency 3 4 8 4 3" xfId="22522" xr:uid="{A2DEB018-16CE-41B0-B9C8-6932E207C9E8}"/>
    <cellStyle name="Currency 3 4 8 5" xfId="7603" xr:uid="{31F9D59E-E3D0-41F6-9F27-A795BC1711DC}"/>
    <cellStyle name="Currency 3 4 8 5 2" xfId="21654" xr:uid="{602B654A-C146-43C6-A5F0-8C327BC09137}"/>
    <cellStyle name="Currency 3 4 8 6" xfId="11075" xr:uid="{AB8848D1-B1CE-47DC-A7AF-266306F84FCA}"/>
    <cellStyle name="Currency 3 4 8 6 2" xfId="25126" xr:uid="{000B2832-D9AA-4EFC-AC78-7B7702FA473B}"/>
    <cellStyle name="Currency 3 4 8 7" xfId="19050" xr:uid="{C1541C39-C60B-4C4E-AD98-0A1834D6BEE0}"/>
    <cellStyle name="Currency 3 4 9" xfId="5433" xr:uid="{CE70E663-AA1A-4454-BE5C-FF74D8729D7B}"/>
    <cellStyle name="Currency 3 4 9 2" xfId="8905" xr:uid="{9822E802-8174-493A-89DF-DB12CE0B96D8}"/>
    <cellStyle name="Currency 3 4 9 2 2" xfId="22956" xr:uid="{D64DCFE7-1D49-4B4B-BB23-827C1A4C577E}"/>
    <cellStyle name="Currency 3 4 9 3" xfId="11509" xr:uid="{DF05B7EE-E10D-4FE5-B6F0-00E19519CF14}"/>
    <cellStyle name="Currency 3 4 9 3 2" xfId="25560" xr:uid="{C85770FB-397A-47EE-AF02-68943769B101}"/>
    <cellStyle name="Currency 3 4 9 4" xfId="19484" xr:uid="{41DB25E3-8AD2-46BF-A2DF-1831663993AD}"/>
    <cellStyle name="Currency 3 5" xfId="271" xr:uid="{41315C48-1A5D-4DC5-95FC-0E47388E4CA5}"/>
    <cellStyle name="Currency 3 5 10" xfId="8048" xr:uid="{8EA4AA1E-579E-424F-8C41-0A2C3366EA10}"/>
    <cellStyle name="Currency 3 5 10 2" xfId="13256" xr:uid="{0B337467-B515-48AF-B900-66E4A7ACEC92}"/>
    <cellStyle name="Currency 3 5 10 2 2" xfId="27307" xr:uid="{FCE8B5C6-D82F-4B0E-8B58-00700F590089}"/>
    <cellStyle name="Currency 3 5 10 3" xfId="22099" xr:uid="{0928BCC2-AB89-4EA5-9BB4-90476A2BB2B4}"/>
    <cellStyle name="Currency 3 5 11" xfId="7180" xr:uid="{B3D94101-3CFE-49EA-98AB-18A9C6738020}"/>
    <cellStyle name="Currency 3 5 11 2" xfId="21231" xr:uid="{E1B2900C-A60B-4D29-8FE5-0562F840B881}"/>
    <cellStyle name="Currency 3 5 12" xfId="10652" xr:uid="{D48298E5-2CC2-455C-97FC-7BF803F8B069}"/>
    <cellStyle name="Currency 3 5 12 2" xfId="24703" xr:uid="{9609AD1D-5A18-41A8-A0A6-94ABBF4AF5B1}"/>
    <cellStyle name="Currency 3 5 13" xfId="14328" xr:uid="{1E66221C-7005-4205-BA2F-7691CC50E722}"/>
    <cellStyle name="Currency 3 5 2" xfId="625" xr:uid="{C2680BBB-58E6-45AC-AB60-94B4D3A45D0A}"/>
    <cellStyle name="Currency 3 5 2 10" xfId="14676" xr:uid="{94978022-6B70-42A4-BAFF-B4E904E96A8E}"/>
    <cellStyle name="Currency 3 5 2 2" xfId="1727" xr:uid="{5FA255A8-FD38-4D7F-9CD9-91F530D57745}"/>
    <cellStyle name="Currency 3 5 2 2 2" xfId="3915" xr:uid="{473B8940-C67A-4CBB-A8C5-7D4841DA07CB}"/>
    <cellStyle name="Currency 3 5 2 2 2 2" xfId="5330" xr:uid="{4089C552-D7B4-4D41-8FC6-3BBAB6EC601B}"/>
    <cellStyle name="Currency 3 5 2 2 2 2 2" xfId="6198" xr:uid="{6069BB6F-9A1B-4FC3-83CF-8BC353F2D192}"/>
    <cellStyle name="Currency 3 5 2 2 2 2 2 2" xfId="9670" xr:uid="{93DB1078-254E-40AA-BAAD-3DB1189A128D}"/>
    <cellStyle name="Currency 3 5 2 2 2 2 2 2 2" xfId="23721" xr:uid="{BD75BC21-54AE-42B5-9EA7-CEFBD3842659}"/>
    <cellStyle name="Currency 3 5 2 2 2 2 2 3" xfId="12274" xr:uid="{0323237A-34D2-47A3-8056-09A84444C48E}"/>
    <cellStyle name="Currency 3 5 2 2 2 2 2 3 2" xfId="26325" xr:uid="{A6DA31E9-BAB1-4FB1-93AF-67E22CDBEC01}"/>
    <cellStyle name="Currency 3 5 2 2 2 2 2 4" xfId="20249" xr:uid="{EC82664B-AA46-4AF6-B67A-080492C2935C}"/>
    <cellStyle name="Currency 3 5 2 2 2 2 3" xfId="7066" xr:uid="{40D41BEE-22F6-4F5A-8F2E-52C9E09B831A}"/>
    <cellStyle name="Currency 3 5 2 2 2 2 3 2" xfId="10538" xr:uid="{B17CC3A4-84F2-453D-9C32-1D46F01995B0}"/>
    <cellStyle name="Currency 3 5 2 2 2 2 3 2 2" xfId="24589" xr:uid="{1512EAF1-3CA8-4F84-8658-C0B2035D1241}"/>
    <cellStyle name="Currency 3 5 2 2 2 2 3 3" xfId="13142" xr:uid="{F6E6CA9E-0B65-4524-A715-F7D6E189504F}"/>
    <cellStyle name="Currency 3 5 2 2 2 2 3 3 2" xfId="27193" xr:uid="{8C5500A6-4BB2-450B-BD7E-61481B7E928C}"/>
    <cellStyle name="Currency 3 5 2 2 2 2 3 4" xfId="21117" xr:uid="{C9B4CB6B-5E98-4ACB-81E7-E20DEDC3900C}"/>
    <cellStyle name="Currency 3 5 2 2 2 2 4" xfId="8802" xr:uid="{8B143B9C-7D8E-41F8-A5E7-5023EC2DF2C7}"/>
    <cellStyle name="Currency 3 5 2 2 2 2 4 2" xfId="14010" xr:uid="{0E325D28-E342-4069-B5ED-A479788D4778}"/>
    <cellStyle name="Currency 3 5 2 2 2 2 4 2 2" xfId="28061" xr:uid="{625B691C-9727-4413-B4C6-1F3260FB98A6}"/>
    <cellStyle name="Currency 3 5 2 2 2 2 4 3" xfId="22853" xr:uid="{495712AA-BA22-4667-8489-C53CADFAC5ED}"/>
    <cellStyle name="Currency 3 5 2 2 2 2 5" xfId="7934" xr:uid="{E52E0C02-B520-4DDB-B002-E440E7423FBD}"/>
    <cellStyle name="Currency 3 5 2 2 2 2 5 2" xfId="21985" xr:uid="{60D81D73-C0A2-40F5-A7F4-C91563CF2513}"/>
    <cellStyle name="Currency 3 5 2 2 2 2 6" xfId="11406" xr:uid="{72596187-7D3F-41BE-8D16-1074A1DC9254}"/>
    <cellStyle name="Currency 3 5 2 2 2 2 6 2" xfId="25457" xr:uid="{D43E33FA-3E61-4B02-9C01-AEF5202D6FBF}"/>
    <cellStyle name="Currency 3 5 2 2 2 2 7" xfId="19381" xr:uid="{45934ADD-6FAB-4183-8958-1D275B71E35F}"/>
    <cellStyle name="Currency 3 5 2 2 2 3" xfId="5764" xr:uid="{AD685A25-273C-4C5A-B820-B01A35E823A9}"/>
    <cellStyle name="Currency 3 5 2 2 2 3 2" xfId="9236" xr:uid="{4FDAFFBB-0F7C-4AAD-88D1-3F15893C71CB}"/>
    <cellStyle name="Currency 3 5 2 2 2 3 2 2" xfId="23287" xr:uid="{1638CCE7-DF6D-445B-854E-07F909182A23}"/>
    <cellStyle name="Currency 3 5 2 2 2 3 3" xfId="11840" xr:uid="{A453D168-2947-43D6-858E-73BCB12296D6}"/>
    <cellStyle name="Currency 3 5 2 2 2 3 3 2" xfId="25891" xr:uid="{0B6593FA-C435-456A-A532-EB972101C3D5}"/>
    <cellStyle name="Currency 3 5 2 2 2 3 4" xfId="19815" xr:uid="{78A1F499-8E7A-410C-B9C9-503A2DF9D9EC}"/>
    <cellStyle name="Currency 3 5 2 2 2 4" xfId="6632" xr:uid="{8C86DB7B-6005-44BC-B958-7C8E33B02280}"/>
    <cellStyle name="Currency 3 5 2 2 2 4 2" xfId="10104" xr:uid="{02D1F53C-ECD0-411B-ADE8-AB8DCFA7DDAB}"/>
    <cellStyle name="Currency 3 5 2 2 2 4 2 2" xfId="24155" xr:uid="{4D0FBE8E-88CF-454C-BC80-DBA9E136A092}"/>
    <cellStyle name="Currency 3 5 2 2 2 4 3" xfId="12708" xr:uid="{562923A2-A1C4-4C95-8B99-CBA955A46B0D}"/>
    <cellStyle name="Currency 3 5 2 2 2 4 3 2" xfId="26759" xr:uid="{CC7626C4-6026-4EAE-B447-F4472F2395AD}"/>
    <cellStyle name="Currency 3 5 2 2 2 4 4" xfId="20683" xr:uid="{93946E98-FC47-408C-A6B2-C50CF386F76B}"/>
    <cellStyle name="Currency 3 5 2 2 2 5" xfId="8368" xr:uid="{2A1E2FD9-A279-4580-8520-43BDDA4E0535}"/>
    <cellStyle name="Currency 3 5 2 2 2 5 2" xfId="13576" xr:uid="{3BB185B4-58ED-4AE4-B16E-ECDD798C7A65}"/>
    <cellStyle name="Currency 3 5 2 2 2 5 2 2" xfId="27627" xr:uid="{92214C98-0DC6-40A7-95AC-5589651C1DFF}"/>
    <cellStyle name="Currency 3 5 2 2 2 5 3" xfId="22419" xr:uid="{2B7A1130-215E-4E17-A31E-C087C632A723}"/>
    <cellStyle name="Currency 3 5 2 2 2 6" xfId="7500" xr:uid="{591E83BD-B022-4A08-8844-F1CD48B8242D}"/>
    <cellStyle name="Currency 3 5 2 2 2 6 2" xfId="21551" xr:uid="{2060CC2E-9DE8-43E8-B9F3-4FFB9A3757F8}"/>
    <cellStyle name="Currency 3 5 2 2 2 7" xfId="10972" xr:uid="{D94D3898-95F1-4957-92F7-7B6CA1A83D41}"/>
    <cellStyle name="Currency 3 5 2 2 2 7 2" xfId="25023" xr:uid="{B7616EC3-A473-4C32-BB59-10A4EFC3D781}"/>
    <cellStyle name="Currency 3 5 2 2 2 8" xfId="17967" xr:uid="{201E351C-41A7-4E1F-83D9-35E7ED542411}"/>
    <cellStyle name="Currency 3 5 2 2 3" xfId="5140" xr:uid="{2D81E344-7BA7-4226-AD75-A139752E1C7B}"/>
    <cellStyle name="Currency 3 5 2 2 3 2" xfId="6008" xr:uid="{C31D93CD-15F5-4135-A861-7FE159BA7412}"/>
    <cellStyle name="Currency 3 5 2 2 3 2 2" xfId="9480" xr:uid="{4A28AA32-0A74-4A23-97BA-1878851558FF}"/>
    <cellStyle name="Currency 3 5 2 2 3 2 2 2" xfId="23531" xr:uid="{72C20391-6678-48E2-B749-8D7DAA8FCEC1}"/>
    <cellStyle name="Currency 3 5 2 2 3 2 3" xfId="12084" xr:uid="{5DA32A1B-170E-43EB-A478-EAB0E946DE7F}"/>
    <cellStyle name="Currency 3 5 2 2 3 2 3 2" xfId="26135" xr:uid="{88A6A5EA-72B4-4FC4-ADBA-F2785046B22B}"/>
    <cellStyle name="Currency 3 5 2 2 3 2 4" xfId="20059" xr:uid="{687D80B1-92A1-4352-B877-66B8810C260A}"/>
    <cellStyle name="Currency 3 5 2 2 3 3" xfId="6876" xr:uid="{8D7C240E-B738-4304-B197-90090068D75E}"/>
    <cellStyle name="Currency 3 5 2 2 3 3 2" xfId="10348" xr:uid="{09E0E585-99C2-4F45-93BB-4B8594C607CB}"/>
    <cellStyle name="Currency 3 5 2 2 3 3 2 2" xfId="24399" xr:uid="{A0C597F2-DB11-4162-B72B-965AE03C16B3}"/>
    <cellStyle name="Currency 3 5 2 2 3 3 3" xfId="12952" xr:uid="{12CBE761-CC35-4E1D-90D1-4AA3C1A8681C}"/>
    <cellStyle name="Currency 3 5 2 2 3 3 3 2" xfId="27003" xr:uid="{BB5C47D8-BD19-458A-9E99-A9E5A0E1FB9A}"/>
    <cellStyle name="Currency 3 5 2 2 3 3 4" xfId="20927" xr:uid="{72CA410A-8556-4DB1-AD42-E33AF66D8C82}"/>
    <cellStyle name="Currency 3 5 2 2 3 4" xfId="8612" xr:uid="{4DFD51D0-FEE0-4C56-B6CB-933404D11E83}"/>
    <cellStyle name="Currency 3 5 2 2 3 4 2" xfId="13820" xr:uid="{CDE2B4A4-BF0E-453F-B08F-B9CFC141EFFE}"/>
    <cellStyle name="Currency 3 5 2 2 3 4 2 2" xfId="27871" xr:uid="{CB959B6C-65B5-493B-9EEF-9AF11FD16955}"/>
    <cellStyle name="Currency 3 5 2 2 3 4 3" xfId="22663" xr:uid="{0936C60E-4343-40BA-B7A8-7FF50363DDF6}"/>
    <cellStyle name="Currency 3 5 2 2 3 5" xfId="7744" xr:uid="{01AE8D0C-27BF-46B9-8B27-C66664533831}"/>
    <cellStyle name="Currency 3 5 2 2 3 5 2" xfId="21795" xr:uid="{D3CEFAC9-C979-4D93-9A21-1315C3B70922}"/>
    <cellStyle name="Currency 3 5 2 2 3 6" xfId="11216" xr:uid="{800862AB-B23A-450E-B286-E043A0503EC9}"/>
    <cellStyle name="Currency 3 5 2 2 3 6 2" xfId="25267" xr:uid="{4A5EEBFB-45A5-4D36-AF53-B32CE8D6ABC2}"/>
    <cellStyle name="Currency 3 5 2 2 3 7" xfId="19191" xr:uid="{21F27A6D-8AB1-4853-8E6D-69191800DF00}"/>
    <cellStyle name="Currency 3 5 2 2 4" xfId="5574" xr:uid="{127AA630-BC78-4918-BE55-8CDC849354CC}"/>
    <cellStyle name="Currency 3 5 2 2 4 2" xfId="9046" xr:uid="{E8AE7842-6573-4775-A12D-1B96F6764945}"/>
    <cellStyle name="Currency 3 5 2 2 4 2 2" xfId="23097" xr:uid="{3FC6C23C-96E3-40D3-9328-E06EF7E49B76}"/>
    <cellStyle name="Currency 3 5 2 2 4 3" xfId="11650" xr:uid="{FB0B4367-3D73-4A63-844A-CEC8CF650378}"/>
    <cellStyle name="Currency 3 5 2 2 4 3 2" xfId="25701" xr:uid="{38EC1EEB-65C2-4B3E-B680-F85C5AF8E3C3}"/>
    <cellStyle name="Currency 3 5 2 2 4 4" xfId="19625" xr:uid="{CE4479FE-F0CA-4C6E-B79B-BBCADEA802CB}"/>
    <cellStyle name="Currency 3 5 2 2 5" xfId="6442" xr:uid="{EA1119F4-1C7D-45B6-8BF1-4CC2D6D4AF27}"/>
    <cellStyle name="Currency 3 5 2 2 5 2" xfId="9914" xr:uid="{4CA6809C-38BA-41FE-A0F0-BA50B5E5BFA7}"/>
    <cellStyle name="Currency 3 5 2 2 5 2 2" xfId="23965" xr:uid="{202A3227-60C9-4DEE-BDA6-27C8D67051C0}"/>
    <cellStyle name="Currency 3 5 2 2 5 3" xfId="12518" xr:uid="{20206F39-1273-4005-94DE-0F22974CE4D6}"/>
    <cellStyle name="Currency 3 5 2 2 5 3 2" xfId="26569" xr:uid="{0F24B153-16E5-409E-8235-11CE448D67DD}"/>
    <cellStyle name="Currency 3 5 2 2 5 4" xfId="20493" xr:uid="{71B9FD6E-2345-4F40-8D90-05475B0A9F68}"/>
    <cellStyle name="Currency 3 5 2 2 6" xfId="8178" xr:uid="{BDDCCDB3-416E-42C8-ABEB-44A1DBF1C81D}"/>
    <cellStyle name="Currency 3 5 2 2 6 2" xfId="13386" xr:uid="{DBFE8D2D-5A65-474F-B2BE-807BF1FE5AC3}"/>
    <cellStyle name="Currency 3 5 2 2 6 2 2" xfId="27437" xr:uid="{FBBEDAA1-FC4E-428A-8126-08754C4E926F}"/>
    <cellStyle name="Currency 3 5 2 2 6 3" xfId="22229" xr:uid="{43083DB5-4186-4807-9925-A9E39130CF6F}"/>
    <cellStyle name="Currency 3 5 2 2 7" xfId="7310" xr:uid="{4385ED0D-4C3C-46AB-AC3B-E02309B3EDCA}"/>
    <cellStyle name="Currency 3 5 2 2 7 2" xfId="21361" xr:uid="{6653D2F9-2391-4687-82EB-F6E42D3920D4}"/>
    <cellStyle name="Currency 3 5 2 2 8" xfId="10782" xr:uid="{55C57CEE-D5B7-455B-9243-E0E6FF25D197}"/>
    <cellStyle name="Currency 3 5 2 2 8 2" xfId="24833" xr:uid="{AA2AECE4-66F6-4D08-A5CE-F9AADE3492C1}"/>
    <cellStyle name="Currency 3 5 2 2 9" xfId="15775" xr:uid="{631968A1-03BB-4DFD-985B-A8201A4541AF}"/>
    <cellStyle name="Currency 3 5 2 3" xfId="2818" xr:uid="{337BD4BA-AA8D-4837-84F7-337748E3C4D2}"/>
    <cellStyle name="Currency 3 5 2 3 2" xfId="5234" xr:uid="{59D152F3-878A-4DB4-AAEB-5863383CAD64}"/>
    <cellStyle name="Currency 3 5 2 3 2 2" xfId="6102" xr:uid="{0032915A-3FBA-4C2C-8650-3F0D76A05CEC}"/>
    <cellStyle name="Currency 3 5 2 3 2 2 2" xfId="9574" xr:uid="{B3D4D038-97BE-4736-B734-17C2F37235A6}"/>
    <cellStyle name="Currency 3 5 2 3 2 2 2 2" xfId="23625" xr:uid="{C5D76C27-BF37-49F7-BCFA-D790E7486E38}"/>
    <cellStyle name="Currency 3 5 2 3 2 2 3" xfId="12178" xr:uid="{66DDF58D-32D6-4FB6-A6F7-D3D97058DAA9}"/>
    <cellStyle name="Currency 3 5 2 3 2 2 3 2" xfId="26229" xr:uid="{8601FB71-7E87-49D6-AF37-56274E1E2963}"/>
    <cellStyle name="Currency 3 5 2 3 2 2 4" xfId="20153" xr:uid="{6D18A610-8650-45C1-82A8-79CA35ED2B7D}"/>
    <cellStyle name="Currency 3 5 2 3 2 3" xfId="6970" xr:uid="{F1FDD6DF-8271-41E0-9A1C-B5342BC97819}"/>
    <cellStyle name="Currency 3 5 2 3 2 3 2" xfId="10442" xr:uid="{38D513BD-70EE-48FD-8F83-84878D3748B6}"/>
    <cellStyle name="Currency 3 5 2 3 2 3 2 2" xfId="24493" xr:uid="{10B68AE9-053E-44D6-86D9-40CEF498CDE1}"/>
    <cellStyle name="Currency 3 5 2 3 2 3 3" xfId="13046" xr:uid="{DEDB2671-B301-45FE-9CA8-E6A37C81BFDA}"/>
    <cellStyle name="Currency 3 5 2 3 2 3 3 2" xfId="27097" xr:uid="{13255707-DD15-4D71-B32F-7CF723D2C33F}"/>
    <cellStyle name="Currency 3 5 2 3 2 3 4" xfId="21021" xr:uid="{0E21B9C6-8019-4A8A-A8F1-8CE5CFD22C8B}"/>
    <cellStyle name="Currency 3 5 2 3 2 4" xfId="8706" xr:uid="{3ED374B4-0215-4266-B527-DF134C874122}"/>
    <cellStyle name="Currency 3 5 2 3 2 4 2" xfId="13914" xr:uid="{79AA495C-CE5A-4AB7-9D23-41EF28EB360E}"/>
    <cellStyle name="Currency 3 5 2 3 2 4 2 2" xfId="27965" xr:uid="{9E8C4F88-13F6-4065-A225-B10555B0A2EF}"/>
    <cellStyle name="Currency 3 5 2 3 2 4 3" xfId="22757" xr:uid="{3FBAF301-40FB-4E06-95BD-BC875D48FF31}"/>
    <cellStyle name="Currency 3 5 2 3 2 5" xfId="7838" xr:uid="{E246A929-797C-4FED-BB10-A1AB9F07569B}"/>
    <cellStyle name="Currency 3 5 2 3 2 5 2" xfId="21889" xr:uid="{BB880F53-B63C-4798-99E3-14FB81445671}"/>
    <cellStyle name="Currency 3 5 2 3 2 6" xfId="11310" xr:uid="{AF09C1F3-0A9D-4D5F-9DAD-3035F3FC1E03}"/>
    <cellStyle name="Currency 3 5 2 3 2 6 2" xfId="25361" xr:uid="{D863E239-A3DF-49C1-9C47-B58B7E235D30}"/>
    <cellStyle name="Currency 3 5 2 3 2 7" xfId="19285" xr:uid="{9CEFAA41-F28A-4A0E-8FA8-9EC78F8D2046}"/>
    <cellStyle name="Currency 3 5 2 3 3" xfId="5668" xr:uid="{1C85342D-02A7-482A-BF23-E51C85CB0A84}"/>
    <cellStyle name="Currency 3 5 2 3 3 2" xfId="9140" xr:uid="{95820F24-1E4A-456F-8505-997B552BAC0B}"/>
    <cellStyle name="Currency 3 5 2 3 3 2 2" xfId="23191" xr:uid="{3C38CB5E-DDF8-4860-B50B-DD4BBE1E7920}"/>
    <cellStyle name="Currency 3 5 2 3 3 3" xfId="11744" xr:uid="{46B8F7ED-F037-43AF-A4B1-1D8B32ECC4CB}"/>
    <cellStyle name="Currency 3 5 2 3 3 3 2" xfId="25795" xr:uid="{39E3A03A-394A-4DDE-88B0-9831C148C167}"/>
    <cellStyle name="Currency 3 5 2 3 3 4" xfId="19719" xr:uid="{9A03E837-B360-4DAD-9D7D-1B926FAF7342}"/>
    <cellStyle name="Currency 3 5 2 3 4" xfId="6536" xr:uid="{1F720596-F0CA-440F-A5C4-F47639E23089}"/>
    <cellStyle name="Currency 3 5 2 3 4 2" xfId="10008" xr:uid="{25B06FF1-1E39-4EE0-9353-090ACDDDCB2E}"/>
    <cellStyle name="Currency 3 5 2 3 4 2 2" xfId="24059" xr:uid="{2BE109C7-7090-45DE-8A16-F33CA11E858A}"/>
    <cellStyle name="Currency 3 5 2 3 4 3" xfId="12612" xr:uid="{658356A8-8E2C-40C8-84C6-916B8FEF1E3A}"/>
    <cellStyle name="Currency 3 5 2 3 4 3 2" xfId="26663" xr:uid="{9832E5EF-4210-4C5A-8355-BA1DBCB5617B}"/>
    <cellStyle name="Currency 3 5 2 3 4 4" xfId="20587" xr:uid="{25905111-1ADE-4435-9BCE-293E952D031A}"/>
    <cellStyle name="Currency 3 5 2 3 5" xfId="8272" xr:uid="{86304B41-95DD-4556-813C-8C1237E771FC}"/>
    <cellStyle name="Currency 3 5 2 3 5 2" xfId="13480" xr:uid="{F915F7EF-DBFA-42E4-8638-D439A817C429}"/>
    <cellStyle name="Currency 3 5 2 3 5 2 2" xfId="27531" xr:uid="{A83AB0D5-3FB7-4D30-B0AD-8C95C0048597}"/>
    <cellStyle name="Currency 3 5 2 3 5 3" xfId="22323" xr:uid="{0D752CAF-0C00-4125-AFDB-C433B77E1175}"/>
    <cellStyle name="Currency 3 5 2 3 6" xfId="7404" xr:uid="{3F605DCD-5902-4D7E-AF93-568E3B64297A}"/>
    <cellStyle name="Currency 3 5 2 3 6 2" xfId="21455" xr:uid="{A8A9AD1E-C45E-4391-872E-88DC72E11C26}"/>
    <cellStyle name="Currency 3 5 2 3 7" xfId="10876" xr:uid="{F39F5EF2-DA31-4B32-8F2B-2E6BE078291E}"/>
    <cellStyle name="Currency 3 5 2 3 7 2" xfId="24927" xr:uid="{AB259529-8C4C-4B47-95F3-E201D431A6E7}"/>
    <cellStyle name="Currency 3 5 2 3 8" xfId="16869" xr:uid="{74DBBD5B-0AB7-4131-80C6-0F62D0C11D66}"/>
    <cellStyle name="Currency 3 5 2 4" xfId="5042" xr:uid="{8353E623-20F7-4F79-A9F3-8B55DAC76618}"/>
    <cellStyle name="Currency 3 5 2 4 2" xfId="5910" xr:uid="{20416E98-EC02-4B0D-B055-4E9C34678756}"/>
    <cellStyle name="Currency 3 5 2 4 2 2" xfId="9382" xr:uid="{DD305DD2-0445-4646-9173-B6094CFB3936}"/>
    <cellStyle name="Currency 3 5 2 4 2 2 2" xfId="23433" xr:uid="{3F6606C7-3EFB-4B20-B950-C11FDAD6741E}"/>
    <cellStyle name="Currency 3 5 2 4 2 3" xfId="11986" xr:uid="{5EE0A47C-010D-43D5-90D0-E7DFEB894286}"/>
    <cellStyle name="Currency 3 5 2 4 2 3 2" xfId="26037" xr:uid="{6186BEDB-54D6-40B6-97B8-9B9A9F2A2C44}"/>
    <cellStyle name="Currency 3 5 2 4 2 4" xfId="19961" xr:uid="{002F7C6D-287E-4A73-9E30-75428A2F145E}"/>
    <cellStyle name="Currency 3 5 2 4 3" xfId="6778" xr:uid="{C41A4D64-F14E-4FDE-9E32-074A55870791}"/>
    <cellStyle name="Currency 3 5 2 4 3 2" xfId="10250" xr:uid="{CF93863E-DC48-4B87-A010-3EF20AC704FE}"/>
    <cellStyle name="Currency 3 5 2 4 3 2 2" xfId="24301" xr:uid="{44E3210E-B4B1-4584-BA1B-20D7F931F1AE}"/>
    <cellStyle name="Currency 3 5 2 4 3 3" xfId="12854" xr:uid="{0CB0A5BA-8792-44FA-9B00-A81E6778B88F}"/>
    <cellStyle name="Currency 3 5 2 4 3 3 2" xfId="26905" xr:uid="{297EE777-D870-4426-BC9E-95DF3CE27640}"/>
    <cellStyle name="Currency 3 5 2 4 3 4" xfId="20829" xr:uid="{FD8E90C6-FF55-45F6-8427-1E8AEBD0E154}"/>
    <cellStyle name="Currency 3 5 2 4 4" xfId="8514" xr:uid="{F505F720-7757-4B39-900E-427C959FA182}"/>
    <cellStyle name="Currency 3 5 2 4 4 2" xfId="13722" xr:uid="{5E067DB3-09CC-46B1-AA6C-49732D3E8ADB}"/>
    <cellStyle name="Currency 3 5 2 4 4 2 2" xfId="27773" xr:uid="{0A8DEA06-74FE-4215-8F64-7DBF0456C4E0}"/>
    <cellStyle name="Currency 3 5 2 4 4 3" xfId="22565" xr:uid="{A6EE2424-2BC9-4C61-8C9B-82000175E114}"/>
    <cellStyle name="Currency 3 5 2 4 5" xfId="7646" xr:uid="{D79A38A3-56E9-4AE3-97A0-2005D8400F00}"/>
    <cellStyle name="Currency 3 5 2 4 5 2" xfId="21697" xr:uid="{C6CE9E17-FCEC-4DC5-B0D3-A386EF2D89F5}"/>
    <cellStyle name="Currency 3 5 2 4 6" xfId="11118" xr:uid="{3BA57D33-1F12-4063-8CE8-917B86B4A870}"/>
    <cellStyle name="Currency 3 5 2 4 6 2" xfId="25169" xr:uid="{C15A119C-ABB3-44EF-9368-2966332802F6}"/>
    <cellStyle name="Currency 3 5 2 4 7" xfId="19093" xr:uid="{A5E30931-CD22-4A71-85FA-78D7D5B05022}"/>
    <cellStyle name="Currency 3 5 2 5" xfId="5476" xr:uid="{52F31F8A-B69A-441A-B27F-CE9995BEAB0D}"/>
    <cellStyle name="Currency 3 5 2 5 2" xfId="8948" xr:uid="{828B772A-2FBC-4CE9-8792-B3872094088E}"/>
    <cellStyle name="Currency 3 5 2 5 2 2" xfId="22999" xr:uid="{22AB3E92-0BA0-4323-B5F0-253ACCD6474D}"/>
    <cellStyle name="Currency 3 5 2 5 3" xfId="11552" xr:uid="{D91D0767-A9BE-4C46-BE20-8DC7A445486B}"/>
    <cellStyle name="Currency 3 5 2 5 3 2" xfId="25603" xr:uid="{B2EB28A0-ADFB-442F-87E3-7B25C066D62B}"/>
    <cellStyle name="Currency 3 5 2 5 4" xfId="19527" xr:uid="{BC1A31AB-F94C-4B62-9D72-F1D091A5A43F}"/>
    <cellStyle name="Currency 3 5 2 6" xfId="6344" xr:uid="{6D5A6839-8A77-481E-B4BB-DFC6BD45806D}"/>
    <cellStyle name="Currency 3 5 2 6 2" xfId="9816" xr:uid="{B6A724FB-CBC5-4AA3-8FC0-A474221E8B03}"/>
    <cellStyle name="Currency 3 5 2 6 2 2" xfId="23867" xr:uid="{FA4C347C-4F42-4982-A375-4C600DBD08C6}"/>
    <cellStyle name="Currency 3 5 2 6 3" xfId="12420" xr:uid="{E7040151-BB22-45E0-A749-B5D45FD11D01}"/>
    <cellStyle name="Currency 3 5 2 6 3 2" xfId="26471" xr:uid="{5F2A57E2-BBE9-427D-9A87-A726D4034238}"/>
    <cellStyle name="Currency 3 5 2 6 4" xfId="20395" xr:uid="{AB4AFF6A-774A-4050-9B7B-74D002369CA1}"/>
    <cellStyle name="Currency 3 5 2 7" xfId="8080" xr:uid="{A0EAF339-97F9-4B7A-8668-D921E6668F7A}"/>
    <cellStyle name="Currency 3 5 2 7 2" xfId="13288" xr:uid="{240D0067-F0D1-48E1-99BE-454D05EE4949}"/>
    <cellStyle name="Currency 3 5 2 7 2 2" xfId="27339" xr:uid="{EC86ADD8-EFA2-4865-873D-96B87BDA585C}"/>
    <cellStyle name="Currency 3 5 2 7 3" xfId="22131" xr:uid="{FA105751-AC52-473C-B762-01FE3B6B4D7C}"/>
    <cellStyle name="Currency 3 5 2 8" xfId="7212" xr:uid="{0B349D67-3A2D-45D2-A2E5-4C02CE95B140}"/>
    <cellStyle name="Currency 3 5 2 8 2" xfId="21263" xr:uid="{02F462C9-4D25-43A5-A56A-7B1D2D87EA81}"/>
    <cellStyle name="Currency 3 5 2 9" xfId="10684" xr:uid="{1C42B1B6-134B-4C7B-9DBC-B15AC0D3C712}"/>
    <cellStyle name="Currency 3 5 2 9 2" xfId="24735" xr:uid="{8B54D6A5-C5A2-45DC-BB77-B3F93355AFC4}"/>
    <cellStyle name="Currency 3 5 3" xfId="972" xr:uid="{28180C55-CE83-4FFC-8EA0-18BC5C224937}"/>
    <cellStyle name="Currency 3 5 3 10" xfId="15022" xr:uid="{7D53D60E-688D-4BF3-A9DF-24213AF9FCD8}"/>
    <cellStyle name="Currency 3 5 3 2" xfId="2071" xr:uid="{C59E51E8-D875-4A84-BC3C-1F821880D50F}"/>
    <cellStyle name="Currency 3 5 3 2 2" xfId="4260" xr:uid="{748B3022-5BB3-48F3-825B-C21691A176CA}"/>
    <cellStyle name="Currency 3 5 3 2 2 2" xfId="5359" xr:uid="{200F8F7D-EFC2-4175-AAAC-82C958C786D5}"/>
    <cellStyle name="Currency 3 5 3 2 2 2 2" xfId="6227" xr:uid="{DDF7EAD1-BCAA-4B3A-8BAD-488C223BE819}"/>
    <cellStyle name="Currency 3 5 3 2 2 2 2 2" xfId="9699" xr:uid="{22759AE6-26C0-4C5C-83FB-52A5A86CF213}"/>
    <cellStyle name="Currency 3 5 3 2 2 2 2 2 2" xfId="23750" xr:uid="{279E6614-68A2-4246-983B-EE93E2982D5A}"/>
    <cellStyle name="Currency 3 5 3 2 2 2 2 3" xfId="12303" xr:uid="{7238E174-CA4B-42FD-9807-C76187E3654B}"/>
    <cellStyle name="Currency 3 5 3 2 2 2 2 3 2" xfId="26354" xr:uid="{8F4CEF83-2F0A-4AFA-AA06-4670CB9E5399}"/>
    <cellStyle name="Currency 3 5 3 2 2 2 2 4" xfId="20278" xr:uid="{07AF16F4-A3ED-45A0-B50E-59D5C469D38A}"/>
    <cellStyle name="Currency 3 5 3 2 2 2 3" xfId="7095" xr:uid="{89EF3CB7-5681-4A0F-BF32-A6CAFD1CA711}"/>
    <cellStyle name="Currency 3 5 3 2 2 2 3 2" xfId="10567" xr:uid="{45F7014A-EDB3-4654-AD3C-7073FCBFA40D}"/>
    <cellStyle name="Currency 3 5 3 2 2 2 3 2 2" xfId="24618" xr:uid="{648F4CBE-FD11-44E8-8984-E7FB8B3C0CB1}"/>
    <cellStyle name="Currency 3 5 3 2 2 2 3 3" xfId="13171" xr:uid="{E6EE63C4-5333-4A91-8611-399BCA8C6FD3}"/>
    <cellStyle name="Currency 3 5 3 2 2 2 3 3 2" xfId="27222" xr:uid="{78751F56-29E1-489F-A8D4-CC0BD91DB115}"/>
    <cellStyle name="Currency 3 5 3 2 2 2 3 4" xfId="21146" xr:uid="{6EE92AB8-0142-44DA-A015-B365BEA91F5B}"/>
    <cellStyle name="Currency 3 5 3 2 2 2 4" xfId="8831" xr:uid="{03A4F130-5CE4-436D-8A67-861C57231196}"/>
    <cellStyle name="Currency 3 5 3 2 2 2 4 2" xfId="14039" xr:uid="{C7FD1A44-D35A-46C2-9875-C51BEE9DAFB3}"/>
    <cellStyle name="Currency 3 5 3 2 2 2 4 2 2" xfId="28090" xr:uid="{A9F9BC30-C749-41DF-859A-F38563D3464A}"/>
    <cellStyle name="Currency 3 5 3 2 2 2 4 3" xfId="22882" xr:uid="{DCF94721-FD08-48BC-B271-28118AE82ECF}"/>
    <cellStyle name="Currency 3 5 3 2 2 2 5" xfId="7963" xr:uid="{96767286-4B36-45A7-98DE-642498CED1E6}"/>
    <cellStyle name="Currency 3 5 3 2 2 2 5 2" xfId="22014" xr:uid="{F749D21D-FF4D-4CD6-806D-505476BFA392}"/>
    <cellStyle name="Currency 3 5 3 2 2 2 6" xfId="11435" xr:uid="{C4413AF3-6A22-43D4-9128-252E7C8E3111}"/>
    <cellStyle name="Currency 3 5 3 2 2 2 6 2" xfId="25486" xr:uid="{9DCCD716-6A7D-49B8-A60F-AC778D5F8891}"/>
    <cellStyle name="Currency 3 5 3 2 2 2 7" xfId="19410" xr:uid="{86884474-4163-405F-95A7-29F4775A653B}"/>
    <cellStyle name="Currency 3 5 3 2 2 3" xfId="5793" xr:uid="{BF7B39E1-58EF-4CF3-8B75-D5787BB32431}"/>
    <cellStyle name="Currency 3 5 3 2 2 3 2" xfId="9265" xr:uid="{6CF9CA63-6226-4A81-B446-15BE336965D7}"/>
    <cellStyle name="Currency 3 5 3 2 2 3 2 2" xfId="23316" xr:uid="{05D1B9C8-D0CA-4353-9EA9-BC4CADAD4FA1}"/>
    <cellStyle name="Currency 3 5 3 2 2 3 3" xfId="11869" xr:uid="{5A68F9E8-8853-4E22-9C98-46820E4C74F2}"/>
    <cellStyle name="Currency 3 5 3 2 2 3 3 2" xfId="25920" xr:uid="{51B12A9E-B01C-4CC7-8BBF-504BA8FB3C83}"/>
    <cellStyle name="Currency 3 5 3 2 2 3 4" xfId="19844" xr:uid="{6025D59A-3A18-42D0-9ACB-86390F651E3C}"/>
    <cellStyle name="Currency 3 5 3 2 2 4" xfId="6661" xr:uid="{0942359A-3BDA-4834-9F5E-3B3C27A0BF72}"/>
    <cellStyle name="Currency 3 5 3 2 2 4 2" xfId="10133" xr:uid="{D0FFC02C-6399-450E-9502-8FC24F710841}"/>
    <cellStyle name="Currency 3 5 3 2 2 4 2 2" xfId="24184" xr:uid="{A50389CB-7D95-4E77-A5ED-0F127BB33140}"/>
    <cellStyle name="Currency 3 5 3 2 2 4 3" xfId="12737" xr:uid="{0A5DB6D7-F87D-47CE-954C-A0A77A9A6B71}"/>
    <cellStyle name="Currency 3 5 3 2 2 4 3 2" xfId="26788" xr:uid="{27C35674-7D59-4FDC-A47B-89F3D0018E54}"/>
    <cellStyle name="Currency 3 5 3 2 2 4 4" xfId="20712" xr:uid="{90F79267-FD24-4DFB-BEE9-9BA435B9BB94}"/>
    <cellStyle name="Currency 3 5 3 2 2 5" xfId="8397" xr:uid="{A994767C-2E9A-452E-AFD6-4369AA124151}"/>
    <cellStyle name="Currency 3 5 3 2 2 5 2" xfId="13605" xr:uid="{9E78D0CE-A246-4735-9062-EF11FD89A848}"/>
    <cellStyle name="Currency 3 5 3 2 2 5 2 2" xfId="27656" xr:uid="{E9BC4782-955A-4C10-B569-3F1038320E38}"/>
    <cellStyle name="Currency 3 5 3 2 2 5 3" xfId="22448" xr:uid="{2E0CFC9D-2078-48FC-B30F-FA06386CF009}"/>
    <cellStyle name="Currency 3 5 3 2 2 6" xfId="7529" xr:uid="{68DA900F-931B-498C-9FBC-5F6D589D7EC9}"/>
    <cellStyle name="Currency 3 5 3 2 2 6 2" xfId="21580" xr:uid="{6779EAE8-CC76-4930-A618-86E2922686C4}"/>
    <cellStyle name="Currency 3 5 3 2 2 7" xfId="11001" xr:uid="{E4E52C56-BAEA-4261-AD3E-5C88503D5D39}"/>
    <cellStyle name="Currency 3 5 3 2 2 7 2" xfId="25052" xr:uid="{1A4FA1A7-72DC-4072-AC8F-76095861F5CB}"/>
    <cellStyle name="Currency 3 5 3 2 2 8" xfId="18311" xr:uid="{524DF458-45F7-473B-9652-39616B72904D}"/>
    <cellStyle name="Currency 3 5 3 2 3" xfId="5169" xr:uid="{3BDB0C03-0ED4-414C-9FEC-DFCEA4338B66}"/>
    <cellStyle name="Currency 3 5 3 2 3 2" xfId="6037" xr:uid="{6339FE2C-143D-4076-97D3-014D0429FDEA}"/>
    <cellStyle name="Currency 3 5 3 2 3 2 2" xfId="9509" xr:uid="{BFB99639-3840-4A50-80EB-BBD533184863}"/>
    <cellStyle name="Currency 3 5 3 2 3 2 2 2" xfId="23560" xr:uid="{A0BB9361-1478-4A1D-9D21-311C7BED2B9C}"/>
    <cellStyle name="Currency 3 5 3 2 3 2 3" xfId="12113" xr:uid="{400710B8-E49C-469A-956E-46BCCFFA3677}"/>
    <cellStyle name="Currency 3 5 3 2 3 2 3 2" xfId="26164" xr:uid="{E26D2DDB-DB98-4FFE-BBF7-F7AFC28C4858}"/>
    <cellStyle name="Currency 3 5 3 2 3 2 4" xfId="20088" xr:uid="{B8132A88-B1D9-4395-A35D-9B9DFCD2F411}"/>
    <cellStyle name="Currency 3 5 3 2 3 3" xfId="6905" xr:uid="{1C202768-86EC-4160-9A1F-306D5B58D176}"/>
    <cellStyle name="Currency 3 5 3 2 3 3 2" xfId="10377" xr:uid="{078D1BFE-55D1-4A51-87B5-EE9EA3D21302}"/>
    <cellStyle name="Currency 3 5 3 2 3 3 2 2" xfId="24428" xr:uid="{C354E079-0988-46AA-A468-D61373DE327E}"/>
    <cellStyle name="Currency 3 5 3 2 3 3 3" xfId="12981" xr:uid="{F0C066B1-90D3-4988-B79D-7501637B84CA}"/>
    <cellStyle name="Currency 3 5 3 2 3 3 3 2" xfId="27032" xr:uid="{D0D4005C-D2F4-4E66-BCEE-644534EC7807}"/>
    <cellStyle name="Currency 3 5 3 2 3 3 4" xfId="20956" xr:uid="{297C166B-438C-4115-8646-0087AE4F5A9F}"/>
    <cellStyle name="Currency 3 5 3 2 3 4" xfId="8641" xr:uid="{A127ABE1-2A2C-4D8B-BA34-1100FCCE6045}"/>
    <cellStyle name="Currency 3 5 3 2 3 4 2" xfId="13849" xr:uid="{AD1B8FEB-6BDE-4C35-9C13-EC425E972DEC}"/>
    <cellStyle name="Currency 3 5 3 2 3 4 2 2" xfId="27900" xr:uid="{84B1B9D5-2856-4A0D-B8C9-4939D67E7BE1}"/>
    <cellStyle name="Currency 3 5 3 2 3 4 3" xfId="22692" xr:uid="{290AFDA4-3260-48C6-A412-722D701EB8F2}"/>
    <cellStyle name="Currency 3 5 3 2 3 5" xfId="7773" xr:uid="{DD42A944-F5B1-4716-9281-47E883632788}"/>
    <cellStyle name="Currency 3 5 3 2 3 5 2" xfId="21824" xr:uid="{B198C60B-4896-4631-87B4-D30F32FA95D3}"/>
    <cellStyle name="Currency 3 5 3 2 3 6" xfId="11245" xr:uid="{42E9E06C-620F-45DE-A7C4-018728173685}"/>
    <cellStyle name="Currency 3 5 3 2 3 6 2" xfId="25296" xr:uid="{F626F4B7-21B0-4359-A614-1FA1FDA7258E}"/>
    <cellStyle name="Currency 3 5 3 2 3 7" xfId="19220" xr:uid="{9F2BE3BF-B296-469E-9E7E-1DAC79B18948}"/>
    <cellStyle name="Currency 3 5 3 2 4" xfId="5603" xr:uid="{0946E937-48E4-41C9-92A1-F48B50B35BD2}"/>
    <cellStyle name="Currency 3 5 3 2 4 2" xfId="9075" xr:uid="{A0CF67AF-DA16-4CF7-9C0C-424A81687C87}"/>
    <cellStyle name="Currency 3 5 3 2 4 2 2" xfId="23126" xr:uid="{FB2039B7-CDD9-4513-B11C-B5D9B556EF2E}"/>
    <cellStyle name="Currency 3 5 3 2 4 3" xfId="11679" xr:uid="{DBD6BC36-C689-4060-BCA8-554A7BCC54B0}"/>
    <cellStyle name="Currency 3 5 3 2 4 3 2" xfId="25730" xr:uid="{4CA8DC16-A6BD-4924-8579-B8D76CB333EA}"/>
    <cellStyle name="Currency 3 5 3 2 4 4" xfId="19654" xr:uid="{9F210AB5-F3F0-45F7-82F3-A150069F44D7}"/>
    <cellStyle name="Currency 3 5 3 2 5" xfId="6471" xr:uid="{5AB0E5DC-C03C-48B1-871F-A561206F0CC6}"/>
    <cellStyle name="Currency 3 5 3 2 5 2" xfId="9943" xr:uid="{200F5BB1-367A-4FFE-BE39-8EA9ADDF725C}"/>
    <cellStyle name="Currency 3 5 3 2 5 2 2" xfId="23994" xr:uid="{38E1ECE9-B2D7-4F55-B325-AFC31416A6F4}"/>
    <cellStyle name="Currency 3 5 3 2 5 3" xfId="12547" xr:uid="{0FFE0236-1CC7-462E-98DF-C5CEFA225D3C}"/>
    <cellStyle name="Currency 3 5 3 2 5 3 2" xfId="26598" xr:uid="{220D706E-A215-4DDB-84F9-3C705E51E52A}"/>
    <cellStyle name="Currency 3 5 3 2 5 4" xfId="20522" xr:uid="{FA3B4CD0-77D5-4B64-8826-932CFC2A37CB}"/>
    <cellStyle name="Currency 3 5 3 2 6" xfId="8207" xr:uid="{43E9CBF3-889C-4588-A9DD-BD829692A975}"/>
    <cellStyle name="Currency 3 5 3 2 6 2" xfId="13415" xr:uid="{10A9ACF9-B7D6-411A-ADF3-11B88D7FD9ED}"/>
    <cellStyle name="Currency 3 5 3 2 6 2 2" xfId="27466" xr:uid="{F8E64D82-9888-4E9F-8DD9-D1BF3F7A3108}"/>
    <cellStyle name="Currency 3 5 3 2 6 3" xfId="22258" xr:uid="{3605581F-0B84-4437-9FB9-322BA9696BF0}"/>
    <cellStyle name="Currency 3 5 3 2 7" xfId="7339" xr:uid="{5DCEE559-5283-4C76-A533-A847635D5910}"/>
    <cellStyle name="Currency 3 5 3 2 7 2" xfId="21390" xr:uid="{298EFBA5-EFE5-44D4-8146-8BC90C23856F}"/>
    <cellStyle name="Currency 3 5 3 2 8" xfId="10811" xr:uid="{88099072-8FD8-49B0-A92A-53F7AECA6D9D}"/>
    <cellStyle name="Currency 3 5 3 2 8 2" xfId="24862" xr:uid="{F084420C-937D-41A0-A11D-B63E80B46645}"/>
    <cellStyle name="Currency 3 5 3 2 9" xfId="16120" xr:uid="{3F9A5B65-B879-47BD-8EAF-4C256C296D75}"/>
    <cellStyle name="Currency 3 5 3 3" xfId="3164" xr:uid="{26EE0664-3128-4CFE-88A0-56F6EF25F628}"/>
    <cellStyle name="Currency 3 5 3 3 2" xfId="5264" xr:uid="{ED93799B-5E09-474B-A506-20BA0842ED73}"/>
    <cellStyle name="Currency 3 5 3 3 2 2" xfId="6132" xr:uid="{164A5475-1C7E-43B5-94CF-B28015EF0630}"/>
    <cellStyle name="Currency 3 5 3 3 2 2 2" xfId="9604" xr:uid="{F36D9870-189A-4CC1-A7EE-149FC9701DEC}"/>
    <cellStyle name="Currency 3 5 3 3 2 2 2 2" xfId="23655" xr:uid="{A5CA0DFC-7BB5-400B-B87D-4E3540AD5BA0}"/>
    <cellStyle name="Currency 3 5 3 3 2 2 3" xfId="12208" xr:uid="{667CD17B-D932-4B7E-8EC7-7A35081DE831}"/>
    <cellStyle name="Currency 3 5 3 3 2 2 3 2" xfId="26259" xr:uid="{2660D4FF-423B-4B78-B36F-92F33D72F372}"/>
    <cellStyle name="Currency 3 5 3 3 2 2 4" xfId="20183" xr:uid="{3845247E-E288-4223-8E0D-764B633E10A6}"/>
    <cellStyle name="Currency 3 5 3 3 2 3" xfId="7000" xr:uid="{74063870-8670-44D4-A213-FDCC7E7C494F}"/>
    <cellStyle name="Currency 3 5 3 3 2 3 2" xfId="10472" xr:uid="{48F775C1-F4C9-47D7-80A9-F7F438EB527A}"/>
    <cellStyle name="Currency 3 5 3 3 2 3 2 2" xfId="24523" xr:uid="{794EDE53-C803-42A0-99C6-31D20230FA27}"/>
    <cellStyle name="Currency 3 5 3 3 2 3 3" xfId="13076" xr:uid="{C4F0ED46-BD7F-4CAB-BEE4-DB01B35B0CF8}"/>
    <cellStyle name="Currency 3 5 3 3 2 3 3 2" xfId="27127" xr:uid="{88F11AB6-910E-4082-A98B-FB75B956CCB1}"/>
    <cellStyle name="Currency 3 5 3 3 2 3 4" xfId="21051" xr:uid="{33A7EF50-1648-49B7-8BDE-F07E86228209}"/>
    <cellStyle name="Currency 3 5 3 3 2 4" xfId="8736" xr:uid="{5902CED2-C2D7-40F0-80EC-D7154884E873}"/>
    <cellStyle name="Currency 3 5 3 3 2 4 2" xfId="13944" xr:uid="{79B861A2-C04E-4B16-A5C2-FA15F7B3FBD7}"/>
    <cellStyle name="Currency 3 5 3 3 2 4 2 2" xfId="27995" xr:uid="{283C5FE3-28F2-4D2F-B422-8F3F8E2F33C8}"/>
    <cellStyle name="Currency 3 5 3 3 2 4 3" xfId="22787" xr:uid="{54D5D8F5-C78B-4649-A1CF-873185BF2E03}"/>
    <cellStyle name="Currency 3 5 3 3 2 5" xfId="7868" xr:uid="{7A5EA65A-BC0F-49E6-A866-2AD7006D6DEC}"/>
    <cellStyle name="Currency 3 5 3 3 2 5 2" xfId="21919" xr:uid="{B82A48FC-F2DC-4571-B93E-61934486EF84}"/>
    <cellStyle name="Currency 3 5 3 3 2 6" xfId="11340" xr:uid="{657F0079-6304-462D-B3E9-24E7CC09960A}"/>
    <cellStyle name="Currency 3 5 3 3 2 6 2" xfId="25391" xr:uid="{89C00474-FF13-48B5-9AE6-32CED1C0C865}"/>
    <cellStyle name="Currency 3 5 3 3 2 7" xfId="19315" xr:uid="{46108434-2E2D-4407-93FC-31EFC2FF6AAF}"/>
    <cellStyle name="Currency 3 5 3 3 3" xfId="5698" xr:uid="{C7F23198-32F9-4345-B66A-2CD9B070D6A4}"/>
    <cellStyle name="Currency 3 5 3 3 3 2" xfId="9170" xr:uid="{B302EFE4-19E6-4DF5-95D2-579F29039A3D}"/>
    <cellStyle name="Currency 3 5 3 3 3 2 2" xfId="23221" xr:uid="{87FC8CD2-65AA-454E-ACFF-2E554F8527D3}"/>
    <cellStyle name="Currency 3 5 3 3 3 3" xfId="11774" xr:uid="{E6B62898-A5C6-4958-87BA-FA0DF3B9D513}"/>
    <cellStyle name="Currency 3 5 3 3 3 3 2" xfId="25825" xr:uid="{2034C052-6D9C-4C91-9FEF-F79FF8C1C6C3}"/>
    <cellStyle name="Currency 3 5 3 3 3 4" xfId="19749" xr:uid="{59C11CFB-9665-4EFA-9CC5-6636F27A0298}"/>
    <cellStyle name="Currency 3 5 3 3 4" xfId="6566" xr:uid="{0B95F04C-903B-47C6-822D-1BC7EADE8A82}"/>
    <cellStyle name="Currency 3 5 3 3 4 2" xfId="10038" xr:uid="{5D5BDDCB-5071-4BC7-AA0C-2F91005BDFFB}"/>
    <cellStyle name="Currency 3 5 3 3 4 2 2" xfId="24089" xr:uid="{056341F9-4C71-4CE1-97F6-9AF3E72F34D4}"/>
    <cellStyle name="Currency 3 5 3 3 4 3" xfId="12642" xr:uid="{555D5547-A794-4D07-9C64-0AB5103DDAF7}"/>
    <cellStyle name="Currency 3 5 3 3 4 3 2" xfId="26693" xr:uid="{10B66B55-D406-4508-8A8D-0D9714A2DADF}"/>
    <cellStyle name="Currency 3 5 3 3 4 4" xfId="20617" xr:uid="{14AA2593-979C-4E3B-BA3C-871405902A0F}"/>
    <cellStyle name="Currency 3 5 3 3 5" xfId="8302" xr:uid="{D3C7BB0E-F2A3-4785-BE23-6FF451F01D74}"/>
    <cellStyle name="Currency 3 5 3 3 5 2" xfId="13510" xr:uid="{8B73FED2-0B63-4814-80FC-BB8894B8F16B}"/>
    <cellStyle name="Currency 3 5 3 3 5 2 2" xfId="27561" xr:uid="{8E800547-E3D5-49D1-9AA5-7BDD96EDA90A}"/>
    <cellStyle name="Currency 3 5 3 3 5 3" xfId="22353" xr:uid="{6113E8CE-792E-43E3-A759-635136F93BA2}"/>
    <cellStyle name="Currency 3 5 3 3 6" xfId="7434" xr:uid="{DA4ADFE6-0BAD-47EF-983A-4BADD50F1EF8}"/>
    <cellStyle name="Currency 3 5 3 3 6 2" xfId="21485" xr:uid="{511239A5-EA47-45A6-88BF-B495F9111FC6}"/>
    <cellStyle name="Currency 3 5 3 3 7" xfId="10906" xr:uid="{F2CFA24B-7D6D-4649-A1AA-EE6B547495B6}"/>
    <cellStyle name="Currency 3 5 3 3 7 2" xfId="24957" xr:uid="{97561141-4B43-444D-843C-53B067FB3BD7}"/>
    <cellStyle name="Currency 3 5 3 3 8" xfId="17216" xr:uid="{27CF3E38-4D71-40CA-AF3E-2854E7868056}"/>
    <cellStyle name="Currency 3 5 3 4" xfId="5072" xr:uid="{D0FDFEDA-9924-477F-A568-3D6B935586F7}"/>
    <cellStyle name="Currency 3 5 3 4 2" xfId="5940" xr:uid="{378718B1-87F3-436C-BBC5-81C1B608ECF9}"/>
    <cellStyle name="Currency 3 5 3 4 2 2" xfId="9412" xr:uid="{5FACEA2D-1E28-41BA-9D69-8AC8868562FE}"/>
    <cellStyle name="Currency 3 5 3 4 2 2 2" xfId="23463" xr:uid="{1940F8D7-917F-40DA-9E29-CCE87532A566}"/>
    <cellStyle name="Currency 3 5 3 4 2 3" xfId="12016" xr:uid="{9294C794-EE4A-42D2-AA05-192364E95325}"/>
    <cellStyle name="Currency 3 5 3 4 2 3 2" xfId="26067" xr:uid="{58DA18E3-3833-4908-9C14-1800D7C79044}"/>
    <cellStyle name="Currency 3 5 3 4 2 4" xfId="19991" xr:uid="{8B5A7934-0600-460D-B660-5753D9B7F450}"/>
    <cellStyle name="Currency 3 5 3 4 3" xfId="6808" xr:uid="{96276AA1-9AA8-47FC-B364-DC28BB6A65CA}"/>
    <cellStyle name="Currency 3 5 3 4 3 2" xfId="10280" xr:uid="{686EEC8B-0252-406D-86E5-6D8F278B540E}"/>
    <cellStyle name="Currency 3 5 3 4 3 2 2" xfId="24331" xr:uid="{0C064D83-EFF5-4C33-9B25-318AE656CDA8}"/>
    <cellStyle name="Currency 3 5 3 4 3 3" xfId="12884" xr:uid="{A3C46BB3-FA4A-4AEC-89FD-1BDDEBC0C5F6}"/>
    <cellStyle name="Currency 3 5 3 4 3 3 2" xfId="26935" xr:uid="{6B7B7AA9-40E3-4E06-BC5D-CE096C5B2F1D}"/>
    <cellStyle name="Currency 3 5 3 4 3 4" xfId="20859" xr:uid="{251E8F00-A990-4351-9985-CE6E99B326B3}"/>
    <cellStyle name="Currency 3 5 3 4 4" xfId="8544" xr:uid="{5F923604-6F15-44DC-A1AE-0E9022D68459}"/>
    <cellStyle name="Currency 3 5 3 4 4 2" xfId="13752" xr:uid="{53E5753C-A64D-4F92-975C-894E3648D70E}"/>
    <cellStyle name="Currency 3 5 3 4 4 2 2" xfId="27803" xr:uid="{33BD64F3-439B-4AE9-97DA-B39A5E294805}"/>
    <cellStyle name="Currency 3 5 3 4 4 3" xfId="22595" xr:uid="{3EF34D54-2D7B-43B0-B266-BA663E1970E4}"/>
    <cellStyle name="Currency 3 5 3 4 5" xfId="7676" xr:uid="{2966A0A0-0756-4433-A98B-0D51BCA40DF2}"/>
    <cellStyle name="Currency 3 5 3 4 5 2" xfId="21727" xr:uid="{28085FB0-C336-467D-8204-1EEA4BDB18F5}"/>
    <cellStyle name="Currency 3 5 3 4 6" xfId="11148" xr:uid="{CB027392-0CB4-44F6-89C1-E596073157AC}"/>
    <cellStyle name="Currency 3 5 3 4 6 2" xfId="25199" xr:uid="{31502AD8-C4D8-4CC0-95BC-A93DEF70AF1F}"/>
    <cellStyle name="Currency 3 5 3 4 7" xfId="19123" xr:uid="{611E1F10-0874-449B-88E2-26CA0C462651}"/>
    <cellStyle name="Currency 3 5 3 5" xfId="5506" xr:uid="{9CF350B6-4D7B-41D0-8A51-3EA5C9D47FD1}"/>
    <cellStyle name="Currency 3 5 3 5 2" xfId="8978" xr:uid="{CB99FDDD-4B87-425E-8054-AD34FB766BBA}"/>
    <cellStyle name="Currency 3 5 3 5 2 2" xfId="23029" xr:uid="{C0EE85E8-53D3-4A42-84BD-F6C573998896}"/>
    <cellStyle name="Currency 3 5 3 5 3" xfId="11582" xr:uid="{85B9F446-D01B-4DCA-A8AF-4DD39B2E0582}"/>
    <cellStyle name="Currency 3 5 3 5 3 2" xfId="25633" xr:uid="{3FE1469C-4A49-4109-BC83-088F92E34CB2}"/>
    <cellStyle name="Currency 3 5 3 5 4" xfId="19557" xr:uid="{21CAB272-35DE-453A-B7DA-94B9904E13A8}"/>
    <cellStyle name="Currency 3 5 3 6" xfId="6374" xr:uid="{BC303883-47A4-4369-8B5C-54AED5B6F02E}"/>
    <cellStyle name="Currency 3 5 3 6 2" xfId="9846" xr:uid="{3D7B83CE-FEE4-4864-BA8E-A5C9543A8F16}"/>
    <cellStyle name="Currency 3 5 3 6 2 2" xfId="23897" xr:uid="{729D0B67-AEDB-44D2-A81E-DB2EDE2F9C13}"/>
    <cellStyle name="Currency 3 5 3 6 3" xfId="12450" xr:uid="{3108951E-1288-4FBA-9A61-7ED7547274B6}"/>
    <cellStyle name="Currency 3 5 3 6 3 2" xfId="26501" xr:uid="{652D4F5A-EEB8-485A-9740-DDE1FB1CC7B4}"/>
    <cellStyle name="Currency 3 5 3 6 4" xfId="20425" xr:uid="{C947C614-7536-4CA2-A78F-B6F93D1FE136}"/>
    <cellStyle name="Currency 3 5 3 7" xfId="8110" xr:uid="{FA0FCBB0-BD26-4AA2-9AEA-DF98DFB0FB9E}"/>
    <cellStyle name="Currency 3 5 3 7 2" xfId="13318" xr:uid="{9589C921-0C16-4BDA-9AC2-51E166C03D82}"/>
    <cellStyle name="Currency 3 5 3 7 2 2" xfId="27369" xr:uid="{FB24E1ED-AF6B-4302-898B-337C1C587DBB}"/>
    <cellStyle name="Currency 3 5 3 7 3" xfId="22161" xr:uid="{0F3FD7BB-645E-4883-9671-4EC71942D291}"/>
    <cellStyle name="Currency 3 5 3 8" xfId="7242" xr:uid="{C3777F8B-B60B-433F-8C8D-B8DC06BA5BEC}"/>
    <cellStyle name="Currency 3 5 3 8 2" xfId="21293" xr:uid="{525568BD-9A85-45E7-9BCE-8C332891F01D}"/>
    <cellStyle name="Currency 3 5 3 9" xfId="10714" xr:uid="{6A01958C-D831-4DDF-8036-C38EC2FB05D6}"/>
    <cellStyle name="Currency 3 5 3 9 2" xfId="24765" xr:uid="{AC71F508-3909-4D16-A1B2-5348602B5024}"/>
    <cellStyle name="Currency 3 5 4" xfId="1552" xr:uid="{3666F4AC-FFEC-439D-9DAF-4C6C8B7363EC}"/>
    <cellStyle name="Currency 3 5 4 2" xfId="3742" xr:uid="{8FF72EA8-9552-4BD1-83D4-F1105BE6BB10}"/>
    <cellStyle name="Currency 3 5 4 2 2" xfId="5315" xr:uid="{305474F2-F128-4EB1-A8E6-FBA61199BBBE}"/>
    <cellStyle name="Currency 3 5 4 2 2 2" xfId="6183" xr:uid="{145DFF6F-F148-4A3E-9E7B-F21A429104B8}"/>
    <cellStyle name="Currency 3 5 4 2 2 2 2" xfId="9655" xr:uid="{EC143CED-5FB8-4E63-BC26-E9835039F657}"/>
    <cellStyle name="Currency 3 5 4 2 2 2 2 2" xfId="23706" xr:uid="{D04E100F-EE39-4861-BD58-456C73318063}"/>
    <cellStyle name="Currency 3 5 4 2 2 2 3" xfId="12259" xr:uid="{E1275880-D026-4681-96D8-E6681F86C34F}"/>
    <cellStyle name="Currency 3 5 4 2 2 2 3 2" xfId="26310" xr:uid="{DA08296C-7E36-4E0F-85BA-BF87532BC4D5}"/>
    <cellStyle name="Currency 3 5 4 2 2 2 4" xfId="20234" xr:uid="{18D1D492-4A6A-479E-BF97-4D41DC2BBA67}"/>
    <cellStyle name="Currency 3 5 4 2 2 3" xfId="7051" xr:uid="{28FB8178-C8F5-4E00-9DAF-AFA8FD6FEB7B}"/>
    <cellStyle name="Currency 3 5 4 2 2 3 2" xfId="10523" xr:uid="{0D83B3C9-73A2-4225-A530-2C7B0E3D5687}"/>
    <cellStyle name="Currency 3 5 4 2 2 3 2 2" xfId="24574" xr:uid="{4F9F3E4A-ADA6-402E-AC8A-B4199F4FE259}"/>
    <cellStyle name="Currency 3 5 4 2 2 3 3" xfId="13127" xr:uid="{244B3200-C011-4306-9AF5-37CCA171F4CA}"/>
    <cellStyle name="Currency 3 5 4 2 2 3 3 2" xfId="27178" xr:uid="{A53F879C-04E4-4565-99EB-050841BBCDB5}"/>
    <cellStyle name="Currency 3 5 4 2 2 3 4" xfId="21102" xr:uid="{EF410FDA-1856-4F0D-BA1C-5A23B9156A24}"/>
    <cellStyle name="Currency 3 5 4 2 2 4" xfId="8787" xr:uid="{4E5CD0EB-5829-45F9-91D9-70CF289C1207}"/>
    <cellStyle name="Currency 3 5 4 2 2 4 2" xfId="13995" xr:uid="{CE116166-3EE2-4E3D-B91B-C4B422ABF563}"/>
    <cellStyle name="Currency 3 5 4 2 2 4 2 2" xfId="28046" xr:uid="{0E9B9786-509F-4248-87A1-CE45F35D6F90}"/>
    <cellStyle name="Currency 3 5 4 2 2 4 3" xfId="22838" xr:uid="{9C83452D-FD16-4778-BE8A-5C4C748B7233}"/>
    <cellStyle name="Currency 3 5 4 2 2 5" xfId="7919" xr:uid="{53B99FAE-F359-4060-A8D4-A9563B4334EF}"/>
    <cellStyle name="Currency 3 5 4 2 2 5 2" xfId="21970" xr:uid="{9B9D9D19-43F8-4A8A-98E3-2A4208418E12}"/>
    <cellStyle name="Currency 3 5 4 2 2 6" xfId="11391" xr:uid="{F4D37D8E-116D-4C81-A57E-D698A567B11B}"/>
    <cellStyle name="Currency 3 5 4 2 2 6 2" xfId="25442" xr:uid="{3675B6FB-D045-4196-B609-E0DB31FA530D}"/>
    <cellStyle name="Currency 3 5 4 2 2 7" xfId="19366" xr:uid="{D51A2C2A-C283-4001-AD29-0911C91657B2}"/>
    <cellStyle name="Currency 3 5 4 2 3" xfId="5749" xr:uid="{413EB6A4-938F-4364-87B9-CECBFD0FB612}"/>
    <cellStyle name="Currency 3 5 4 2 3 2" xfId="9221" xr:uid="{4564D61A-00B8-4D99-BB4A-F53040569FC1}"/>
    <cellStyle name="Currency 3 5 4 2 3 2 2" xfId="23272" xr:uid="{AB0B58D5-AFCC-42AE-BCB0-D4C0F3274CAD}"/>
    <cellStyle name="Currency 3 5 4 2 3 3" xfId="11825" xr:uid="{AF23E4D0-3D55-4E73-AD25-1CCA6583CC38}"/>
    <cellStyle name="Currency 3 5 4 2 3 3 2" xfId="25876" xr:uid="{90D53394-1AD7-4408-8B52-8E378BD67BE5}"/>
    <cellStyle name="Currency 3 5 4 2 3 4" xfId="19800" xr:uid="{6EFB98D7-39E3-493B-B479-ACA7AA8CA7C8}"/>
    <cellStyle name="Currency 3 5 4 2 4" xfId="6617" xr:uid="{1BAF06E3-AE49-4D01-B6F9-FD5480EE37E0}"/>
    <cellStyle name="Currency 3 5 4 2 4 2" xfId="10089" xr:uid="{CDE25FC4-8348-4323-BBF9-F2B6A433FCB8}"/>
    <cellStyle name="Currency 3 5 4 2 4 2 2" xfId="24140" xr:uid="{509A824D-73A6-4EC4-8B0D-B9B5C59B739C}"/>
    <cellStyle name="Currency 3 5 4 2 4 3" xfId="12693" xr:uid="{A6B65203-2CD7-45F2-97DB-56CAF5C99982}"/>
    <cellStyle name="Currency 3 5 4 2 4 3 2" xfId="26744" xr:uid="{8DD38BD1-87C3-4AAD-A3B5-652F7C0A4FB2}"/>
    <cellStyle name="Currency 3 5 4 2 4 4" xfId="20668" xr:uid="{AD4A9533-2439-4BF6-863B-38D63301E09A}"/>
    <cellStyle name="Currency 3 5 4 2 5" xfId="8353" xr:uid="{D87B75B3-59B4-478D-92CF-CA67E398C3EC}"/>
    <cellStyle name="Currency 3 5 4 2 5 2" xfId="13561" xr:uid="{5C1C0B26-60B2-425C-83B9-19A6E447D80E}"/>
    <cellStyle name="Currency 3 5 4 2 5 2 2" xfId="27612" xr:uid="{86266368-E3D8-4FD8-BFCC-DC9B707B2586}"/>
    <cellStyle name="Currency 3 5 4 2 5 3" xfId="22404" xr:uid="{019A1C22-3586-4EA9-BA5E-55877E99C22F}"/>
    <cellStyle name="Currency 3 5 4 2 6" xfId="7485" xr:uid="{673775B7-B259-46B8-B6C6-2E073D8EB3CD}"/>
    <cellStyle name="Currency 3 5 4 2 6 2" xfId="21536" xr:uid="{4AC16CBE-CB72-4B16-877D-A4C625210A78}"/>
    <cellStyle name="Currency 3 5 4 2 7" xfId="10957" xr:uid="{E369045C-B61A-4458-ADA6-49358F474561}"/>
    <cellStyle name="Currency 3 5 4 2 7 2" xfId="25008" xr:uid="{8D34922C-BC08-47FB-891D-AFA2AFEAE086}"/>
    <cellStyle name="Currency 3 5 4 2 8" xfId="17795" xr:uid="{E24ED90A-B8AE-43E8-84C7-A92490FD7650}"/>
    <cellStyle name="Currency 3 5 4 3" xfId="5124" xr:uid="{6A34022E-8D87-4408-B0A7-31317C839911}"/>
    <cellStyle name="Currency 3 5 4 3 2" xfId="5992" xr:uid="{662EBD1C-C12B-4520-9EFF-029F2CD4A379}"/>
    <cellStyle name="Currency 3 5 4 3 2 2" xfId="9464" xr:uid="{64026532-5C0E-48EA-BEC3-659F1CCF6289}"/>
    <cellStyle name="Currency 3 5 4 3 2 2 2" xfId="23515" xr:uid="{CEC5EA97-6955-4AC1-A116-314D658F4768}"/>
    <cellStyle name="Currency 3 5 4 3 2 3" xfId="12068" xr:uid="{B3DD04C0-648C-4487-8E82-999893080CCB}"/>
    <cellStyle name="Currency 3 5 4 3 2 3 2" xfId="26119" xr:uid="{B357C7F8-201C-4142-B1D7-EC238177060F}"/>
    <cellStyle name="Currency 3 5 4 3 2 4" xfId="20043" xr:uid="{C0710297-FAC5-4F2A-BD24-592800C6681F}"/>
    <cellStyle name="Currency 3 5 4 3 3" xfId="6860" xr:uid="{D413D29C-061F-4448-8510-08D08D610768}"/>
    <cellStyle name="Currency 3 5 4 3 3 2" xfId="10332" xr:uid="{DA6BFA5E-B0A6-4A54-A12A-E3FC470C3CD2}"/>
    <cellStyle name="Currency 3 5 4 3 3 2 2" xfId="24383" xr:uid="{0E662913-8B8E-44D8-AABD-B1C6C5F9011E}"/>
    <cellStyle name="Currency 3 5 4 3 3 3" xfId="12936" xr:uid="{089CFF69-E1AA-4739-A8DC-3C58DFEF5ACF}"/>
    <cellStyle name="Currency 3 5 4 3 3 3 2" xfId="26987" xr:uid="{BFEB077F-30FF-4896-90DB-46CFA9326C72}"/>
    <cellStyle name="Currency 3 5 4 3 3 4" xfId="20911" xr:uid="{9DAD873D-F86F-4235-A242-940B36919EEC}"/>
    <cellStyle name="Currency 3 5 4 3 4" xfId="8596" xr:uid="{3E8DB610-38D2-4998-94D2-A5B9596A402C}"/>
    <cellStyle name="Currency 3 5 4 3 4 2" xfId="13804" xr:uid="{053018B6-CE42-4B16-9C09-BD676C014AF9}"/>
    <cellStyle name="Currency 3 5 4 3 4 2 2" xfId="27855" xr:uid="{081F16D9-AD7E-43B9-A5B5-BD7B7ED43035}"/>
    <cellStyle name="Currency 3 5 4 3 4 3" xfId="22647" xr:uid="{40D3B04A-6F64-4DA3-9DBC-6A9723F6C532}"/>
    <cellStyle name="Currency 3 5 4 3 5" xfId="7728" xr:uid="{6D96E8EE-93BE-4603-A485-5CB25F1ACCDA}"/>
    <cellStyle name="Currency 3 5 4 3 5 2" xfId="21779" xr:uid="{0FB940A3-6EC0-4FFE-BDFF-BF55F48B519A}"/>
    <cellStyle name="Currency 3 5 4 3 6" xfId="11200" xr:uid="{04AB87DF-D146-4C4F-A6C6-D6C78D247424}"/>
    <cellStyle name="Currency 3 5 4 3 6 2" xfId="25251" xr:uid="{50DBF607-608B-4424-96A5-EF74B0F94D3B}"/>
    <cellStyle name="Currency 3 5 4 3 7" xfId="19175" xr:uid="{E290F4D7-A642-4117-92C1-8C2F9810A881}"/>
    <cellStyle name="Currency 3 5 4 4" xfId="5558" xr:uid="{8727C757-944D-44B7-9807-6D2E567F9F1D}"/>
    <cellStyle name="Currency 3 5 4 4 2" xfId="9030" xr:uid="{30E7C8BE-4252-4D58-9DF2-47FF1E95847B}"/>
    <cellStyle name="Currency 3 5 4 4 2 2" xfId="23081" xr:uid="{50D16F8A-8FFF-4931-A2ED-AC773D551628}"/>
    <cellStyle name="Currency 3 5 4 4 3" xfId="11634" xr:uid="{920A52F7-23DF-4235-89AE-5D27CFDA6A6C}"/>
    <cellStyle name="Currency 3 5 4 4 3 2" xfId="25685" xr:uid="{7EB6DB5E-C2B0-4CEB-BECF-EC0C00F5EC86}"/>
    <cellStyle name="Currency 3 5 4 4 4" xfId="19609" xr:uid="{5B73850D-012A-4A70-A515-370C3337A3E3}"/>
    <cellStyle name="Currency 3 5 4 5" xfId="6426" xr:uid="{B963B716-FD51-4694-876C-0325EBD3CEA2}"/>
    <cellStyle name="Currency 3 5 4 5 2" xfId="9898" xr:uid="{9A54972D-F5CC-4EC2-B81B-A37FA408AABA}"/>
    <cellStyle name="Currency 3 5 4 5 2 2" xfId="23949" xr:uid="{408DE2D3-108C-460D-AC6A-DF3ACC8D1169}"/>
    <cellStyle name="Currency 3 5 4 5 3" xfId="12502" xr:uid="{85E5CDD3-451C-415E-BF7C-10A4D291B3DA}"/>
    <cellStyle name="Currency 3 5 4 5 3 2" xfId="26553" xr:uid="{4FF47602-DB54-42AC-B8DB-B6C9E56CE3FD}"/>
    <cellStyle name="Currency 3 5 4 5 4" xfId="20477" xr:uid="{F40DDE2E-F07B-4C1B-8ED6-DF0807E52E65}"/>
    <cellStyle name="Currency 3 5 4 6" xfId="8162" xr:uid="{3C9CA86A-B314-4711-A446-798CEE63B0BA}"/>
    <cellStyle name="Currency 3 5 4 6 2" xfId="13370" xr:uid="{ECE7A5E6-FC65-4CFF-9AF5-1A29CA864C86}"/>
    <cellStyle name="Currency 3 5 4 6 2 2" xfId="27421" xr:uid="{06AAD992-5C46-4BCD-9C36-33CF1505C2EA}"/>
    <cellStyle name="Currency 3 5 4 6 3" xfId="22213" xr:uid="{0692C2BE-DB88-4F98-AB97-20C1E1BDC065}"/>
    <cellStyle name="Currency 3 5 4 7" xfId="7294" xr:uid="{74B50FDE-42E1-47CF-8B49-1B71C00DE63F}"/>
    <cellStyle name="Currency 3 5 4 7 2" xfId="21345" xr:uid="{C226D335-B405-4469-A9DE-3318B08DCD2B}"/>
    <cellStyle name="Currency 3 5 4 8" xfId="10766" xr:uid="{B4AF3BEA-6FD7-4F41-9D98-C9008A21C83E}"/>
    <cellStyle name="Currency 3 5 4 8 2" xfId="24817" xr:uid="{43CD9974-E299-4258-9F9B-8245EB2B970B}"/>
    <cellStyle name="Currency 3 5 4 9" xfId="15601" xr:uid="{8BC94830-6E7D-4217-9972-B42E8A1D423D}"/>
    <cellStyle name="Currency 3 5 5" xfId="2471" xr:uid="{60F788D4-7477-4C60-8232-0404BA1AE941}"/>
    <cellStyle name="Currency 3 5 5 2" xfId="5204" xr:uid="{5D1CCAEA-E682-466B-8F88-8028C90BFD2F}"/>
    <cellStyle name="Currency 3 5 5 2 2" xfId="6072" xr:uid="{945286D3-E122-4894-915A-CE12713A84D7}"/>
    <cellStyle name="Currency 3 5 5 2 2 2" xfId="9544" xr:uid="{39527825-5378-4BE4-9366-B9FB31991D81}"/>
    <cellStyle name="Currency 3 5 5 2 2 2 2" xfId="23595" xr:uid="{405158D7-4E16-4B57-BDAF-128CEC1B418E}"/>
    <cellStyle name="Currency 3 5 5 2 2 3" xfId="12148" xr:uid="{FCE7F832-F208-48B0-893E-00E5287B2180}"/>
    <cellStyle name="Currency 3 5 5 2 2 3 2" xfId="26199" xr:uid="{2684859F-2055-4BF7-992F-25EF75E077BD}"/>
    <cellStyle name="Currency 3 5 5 2 2 4" xfId="20123" xr:uid="{48F58B2D-0908-4F2C-8BD1-AFC7AA3540B8}"/>
    <cellStyle name="Currency 3 5 5 2 3" xfId="6940" xr:uid="{0E845073-EC05-47A8-A821-8B9F3416F397}"/>
    <cellStyle name="Currency 3 5 5 2 3 2" xfId="10412" xr:uid="{D534DEDF-0C86-4F91-9199-45B97F8CD8BB}"/>
    <cellStyle name="Currency 3 5 5 2 3 2 2" xfId="24463" xr:uid="{95847552-9476-4C61-AF85-7D301DB19D07}"/>
    <cellStyle name="Currency 3 5 5 2 3 3" xfId="13016" xr:uid="{AE9D7C90-7BAB-4407-AE39-B200A1B47B73}"/>
    <cellStyle name="Currency 3 5 5 2 3 3 2" xfId="27067" xr:uid="{756B360D-3D46-48A0-B401-6EB1410C817A}"/>
    <cellStyle name="Currency 3 5 5 2 3 4" xfId="20991" xr:uid="{E6267B26-44FA-4731-8AD8-CD790FE2580F}"/>
    <cellStyle name="Currency 3 5 5 2 4" xfId="8676" xr:uid="{B0F50B80-30C1-48FF-BF4D-7D780F742239}"/>
    <cellStyle name="Currency 3 5 5 2 4 2" xfId="13884" xr:uid="{8A523666-A7A7-419F-9F62-D8F3410AC5C0}"/>
    <cellStyle name="Currency 3 5 5 2 4 2 2" xfId="27935" xr:uid="{77EC8407-6B4A-48EC-9A69-71FDF9548D8D}"/>
    <cellStyle name="Currency 3 5 5 2 4 3" xfId="22727" xr:uid="{77B97F5F-9E22-4A80-982D-879F913DC66B}"/>
    <cellStyle name="Currency 3 5 5 2 5" xfId="7808" xr:uid="{57C3F576-6A44-4CA8-B287-47C11ADD9631}"/>
    <cellStyle name="Currency 3 5 5 2 5 2" xfId="21859" xr:uid="{36FB5F5D-9690-498C-8703-018488A4284E}"/>
    <cellStyle name="Currency 3 5 5 2 6" xfId="11280" xr:uid="{E6044264-A05C-42D8-999E-6D02CE535A09}"/>
    <cellStyle name="Currency 3 5 5 2 6 2" xfId="25331" xr:uid="{B29AC529-3AD3-48E5-B0FD-3E1095AB925C}"/>
    <cellStyle name="Currency 3 5 5 2 7" xfId="19255" xr:uid="{7071A85B-06DB-484C-8686-10F3B5641026}"/>
    <cellStyle name="Currency 3 5 5 3" xfId="5638" xr:uid="{66DE4D9F-1D90-482F-977E-275C8B558B69}"/>
    <cellStyle name="Currency 3 5 5 3 2" xfId="9110" xr:uid="{C4FAABDE-DDBD-4314-856D-BE4200334D0D}"/>
    <cellStyle name="Currency 3 5 5 3 2 2" xfId="23161" xr:uid="{D280B350-3664-4EDB-9B42-7A5DC67C4A84}"/>
    <cellStyle name="Currency 3 5 5 3 3" xfId="11714" xr:uid="{28CD8FA2-785B-41D5-AD6E-D1AFA4CFA9C0}"/>
    <cellStyle name="Currency 3 5 5 3 3 2" xfId="25765" xr:uid="{0DB580DF-56BB-4375-A07B-9C01F5AD1360}"/>
    <cellStyle name="Currency 3 5 5 3 4" xfId="19689" xr:uid="{6F063BDE-ECF4-4D83-943F-5AEBA4B12C89}"/>
    <cellStyle name="Currency 3 5 5 4" xfId="6506" xr:uid="{CA4B88B4-8688-47E2-81D4-3C42F9593CA8}"/>
    <cellStyle name="Currency 3 5 5 4 2" xfId="9978" xr:uid="{DB0640B9-1BBC-4C88-9FB3-4A1F1E394659}"/>
    <cellStyle name="Currency 3 5 5 4 2 2" xfId="24029" xr:uid="{5BED35D4-FB84-49DB-B6E7-AA8F0A4EE7A1}"/>
    <cellStyle name="Currency 3 5 5 4 3" xfId="12582" xr:uid="{D55E8F04-B998-4E61-BC4D-686EB23042B0}"/>
    <cellStyle name="Currency 3 5 5 4 3 2" xfId="26633" xr:uid="{74103E3E-63D2-45EC-9112-81B88E0CE14D}"/>
    <cellStyle name="Currency 3 5 5 4 4" xfId="20557" xr:uid="{C2892396-0088-4AA5-A5A6-AF8664641108}"/>
    <cellStyle name="Currency 3 5 5 5" xfId="8242" xr:uid="{5BDE7D49-0DF7-43B3-9A96-E42042BAA93E}"/>
    <cellStyle name="Currency 3 5 5 5 2" xfId="13450" xr:uid="{5E2ACCB4-DBAA-47CC-90DF-E2A3CC86CC86}"/>
    <cellStyle name="Currency 3 5 5 5 2 2" xfId="27501" xr:uid="{F04776EB-1706-44D4-9099-083DD5B4DAF3}"/>
    <cellStyle name="Currency 3 5 5 5 3" xfId="22293" xr:uid="{A71BCF06-7C55-4106-90C7-F5AE320CCBE8}"/>
    <cellStyle name="Currency 3 5 5 6" xfId="7374" xr:uid="{FE1D6B62-119D-4200-85AC-1D1434A067CE}"/>
    <cellStyle name="Currency 3 5 5 6 2" xfId="21425" xr:uid="{E71E0331-7D3F-489D-BBD6-F8705F15CE4C}"/>
    <cellStyle name="Currency 3 5 5 7" xfId="10846" xr:uid="{913AC29E-4F7B-4EAC-BC08-D4E94B380958}"/>
    <cellStyle name="Currency 3 5 5 7 2" xfId="24897" xr:uid="{3392F42C-E6F7-454A-A74A-4FFF9BBA7887}"/>
    <cellStyle name="Currency 3 5 5 8" xfId="16522" xr:uid="{A68C0BDB-5A1F-4D71-84F6-CEA7B3099C74}"/>
    <cellStyle name="Currency 3 5 6" xfId="4837" xr:uid="{6BA715EA-D22B-4720-B160-90878C55F4BD}"/>
    <cellStyle name="Currency 3 5 6 2" xfId="5410" xr:uid="{667B4594-23F6-4EC3-9498-A2D19D933E54}"/>
    <cellStyle name="Currency 3 5 6 2 2" xfId="6278" xr:uid="{6E3C0B4B-891B-43A2-8976-20C5F43A9180}"/>
    <cellStyle name="Currency 3 5 6 2 2 2" xfId="9750" xr:uid="{69E3B2E1-4754-4EA1-8E06-206C7A6CB160}"/>
    <cellStyle name="Currency 3 5 6 2 2 2 2" xfId="23801" xr:uid="{C9DB6323-18C2-4B40-90CA-7B994F3892C2}"/>
    <cellStyle name="Currency 3 5 6 2 2 3" xfId="12354" xr:uid="{947F4B78-628B-443F-8CBD-9C3E01462C82}"/>
    <cellStyle name="Currency 3 5 6 2 2 3 2" xfId="26405" xr:uid="{6E4F4503-0EB9-412D-991D-74E7F67A2B46}"/>
    <cellStyle name="Currency 3 5 6 2 2 4" xfId="20329" xr:uid="{18C12BA2-747B-4FF2-B3B5-60377F3A5F1D}"/>
    <cellStyle name="Currency 3 5 6 2 3" xfId="7146" xr:uid="{806F9946-555D-4ADE-9573-8DE27A592582}"/>
    <cellStyle name="Currency 3 5 6 2 3 2" xfId="10618" xr:uid="{E0722EBB-CAB3-4976-B3CF-8C9E2A808170}"/>
    <cellStyle name="Currency 3 5 6 2 3 2 2" xfId="24669" xr:uid="{A23FE0A5-FD3E-48F8-8633-CB89A125B64B}"/>
    <cellStyle name="Currency 3 5 6 2 3 3" xfId="13222" xr:uid="{55CFB349-9C7E-4BF2-A102-87CA92E60FBA}"/>
    <cellStyle name="Currency 3 5 6 2 3 3 2" xfId="27273" xr:uid="{AFF7D454-A07C-48C8-9EE2-53E887A3C563}"/>
    <cellStyle name="Currency 3 5 6 2 3 4" xfId="21197" xr:uid="{ED271559-6426-42D2-9BBF-894918FD4927}"/>
    <cellStyle name="Currency 3 5 6 2 4" xfId="8882" xr:uid="{736221C2-34B6-4BB0-8D04-BA12109B4682}"/>
    <cellStyle name="Currency 3 5 6 2 4 2" xfId="14090" xr:uid="{28457B22-BDB8-4174-B36E-9456400F9D62}"/>
    <cellStyle name="Currency 3 5 6 2 4 2 2" xfId="28141" xr:uid="{B6A8DE29-BB0A-41F7-AAA0-CA0AC47571B5}"/>
    <cellStyle name="Currency 3 5 6 2 4 3" xfId="22933" xr:uid="{4F8C9F37-91EE-4363-85C2-C4002DF21596}"/>
    <cellStyle name="Currency 3 5 6 2 5" xfId="8014" xr:uid="{A58C913F-3299-4ED0-9E92-D5284F7F1FB0}"/>
    <cellStyle name="Currency 3 5 6 2 5 2" xfId="22065" xr:uid="{92F0CB40-1195-4236-89C3-E37D04AC23F7}"/>
    <cellStyle name="Currency 3 5 6 2 6" xfId="11486" xr:uid="{C55BC328-4F17-4A53-A131-28FA637CA785}"/>
    <cellStyle name="Currency 3 5 6 2 6 2" xfId="25537" xr:uid="{ADF2D0B7-1FAF-4AE8-AF1C-013F39E506E9}"/>
    <cellStyle name="Currency 3 5 6 2 7" xfId="19461" xr:uid="{B7615612-DA23-46C1-9048-8813D9398FC6}"/>
    <cellStyle name="Currency 3 5 6 3" xfId="5844" xr:uid="{9A2E3836-0DBA-4C13-9AA0-A982360784E4}"/>
    <cellStyle name="Currency 3 5 6 3 2" xfId="9316" xr:uid="{0E8E3FC5-BB7A-4A80-A393-FF48E1FA56B7}"/>
    <cellStyle name="Currency 3 5 6 3 2 2" xfId="23367" xr:uid="{740BD20E-7F50-4396-9705-ED75D582C621}"/>
    <cellStyle name="Currency 3 5 6 3 3" xfId="11920" xr:uid="{5823E735-5CE6-42FF-83BE-40A844D69A67}"/>
    <cellStyle name="Currency 3 5 6 3 3 2" xfId="25971" xr:uid="{B378763A-FB34-42EE-8AF6-41DB4E408CFA}"/>
    <cellStyle name="Currency 3 5 6 3 4" xfId="19895" xr:uid="{A730A4B7-EED4-461D-9577-189FFBEF43F2}"/>
    <cellStyle name="Currency 3 5 6 4" xfId="6712" xr:uid="{13C47844-889C-4580-BD04-C13031B488E3}"/>
    <cellStyle name="Currency 3 5 6 4 2" xfId="10184" xr:uid="{0F5CFC77-38EB-4EE0-9C7C-CF4879255644}"/>
    <cellStyle name="Currency 3 5 6 4 2 2" xfId="24235" xr:uid="{37087642-F10F-4772-B8C4-BB6DF30868CD}"/>
    <cellStyle name="Currency 3 5 6 4 3" xfId="12788" xr:uid="{FBC80F98-0420-4ADD-AC4A-0F3DAB32FD02}"/>
    <cellStyle name="Currency 3 5 6 4 3 2" xfId="26839" xr:uid="{D2BE9832-8DBF-4072-8CAD-F2A38A6A5855}"/>
    <cellStyle name="Currency 3 5 6 4 4" xfId="20763" xr:uid="{6966D2AD-81A7-4838-B774-C00A0526BAD8}"/>
    <cellStyle name="Currency 3 5 6 5" xfId="8448" xr:uid="{A6279373-D4FD-43B1-ADBE-C533AF16D889}"/>
    <cellStyle name="Currency 3 5 6 5 2" xfId="13656" xr:uid="{5718CCCD-96A3-4086-8B8E-A7737E929447}"/>
    <cellStyle name="Currency 3 5 6 5 2 2" xfId="27707" xr:uid="{A5C9AEA7-A7B7-48BF-A9F9-3A5E450EC9AA}"/>
    <cellStyle name="Currency 3 5 6 5 3" xfId="22499" xr:uid="{196826EB-8499-4DBA-A233-4797B11E5E2D}"/>
    <cellStyle name="Currency 3 5 6 6" xfId="7580" xr:uid="{4C27FC9C-9A15-484A-BC67-22EAD1EC7975}"/>
    <cellStyle name="Currency 3 5 6 6 2" xfId="21631" xr:uid="{16C108E6-1AD3-4AAD-9915-58981B4D4FC6}"/>
    <cellStyle name="Currency 3 5 6 7" xfId="11052" xr:uid="{1EDDA05E-6389-440C-8F65-5EFB0739C28E}"/>
    <cellStyle name="Currency 3 5 6 7 2" xfId="25103" xr:uid="{B472B063-EBE8-4D62-80FB-6D1F1547EB39}"/>
    <cellStyle name="Currency 3 5 6 8" xfId="18889" xr:uid="{EA0348E6-8182-41A4-934C-73370F3A3AEB}"/>
    <cellStyle name="Currency 3 5 7" xfId="5010" xr:uid="{59A3A20A-C796-4CFA-89E6-FDAAEC6BF036}"/>
    <cellStyle name="Currency 3 5 7 2" xfId="5878" xr:uid="{6DC70D7B-19B4-483B-8120-AF08539BD238}"/>
    <cellStyle name="Currency 3 5 7 2 2" xfId="9350" xr:uid="{2857D85D-9846-4F62-B3B2-C997FF893E40}"/>
    <cellStyle name="Currency 3 5 7 2 2 2" xfId="23401" xr:uid="{A8FFBCEA-79E2-440E-BE96-20B19FFB595F}"/>
    <cellStyle name="Currency 3 5 7 2 3" xfId="11954" xr:uid="{83F55977-3376-4F7C-8CCA-E6EF831418C1}"/>
    <cellStyle name="Currency 3 5 7 2 3 2" xfId="26005" xr:uid="{47F3BFF4-6980-488F-95A5-8D00D64F1B66}"/>
    <cellStyle name="Currency 3 5 7 2 4" xfId="19929" xr:uid="{949FE217-4223-473D-B448-676380329E25}"/>
    <cellStyle name="Currency 3 5 7 3" xfId="6746" xr:uid="{B9AAF033-A572-4AEC-AEBD-2D8504219742}"/>
    <cellStyle name="Currency 3 5 7 3 2" xfId="10218" xr:uid="{063CD899-A25E-4294-BF1A-609D9F8F930E}"/>
    <cellStyle name="Currency 3 5 7 3 2 2" xfId="24269" xr:uid="{AB17017F-561C-4327-A803-E074B9FC8955}"/>
    <cellStyle name="Currency 3 5 7 3 3" xfId="12822" xr:uid="{520F5610-F352-424F-BB00-4B37BE83BE70}"/>
    <cellStyle name="Currency 3 5 7 3 3 2" xfId="26873" xr:uid="{0950BAFA-1F91-4B5B-8F13-1E66C91C7B7A}"/>
    <cellStyle name="Currency 3 5 7 3 4" xfId="20797" xr:uid="{02041AF4-DBDD-4613-932E-75B51E3D6EBD}"/>
    <cellStyle name="Currency 3 5 7 4" xfId="8482" xr:uid="{0C12602E-DEF8-4A45-9371-4EADCF5714AF}"/>
    <cellStyle name="Currency 3 5 7 4 2" xfId="13690" xr:uid="{0B4742E1-A29C-4C0D-B73F-EC8BFA35F43E}"/>
    <cellStyle name="Currency 3 5 7 4 2 2" xfId="27741" xr:uid="{908BCABD-02F3-491D-A945-CB56C7423BF4}"/>
    <cellStyle name="Currency 3 5 7 4 3" xfId="22533" xr:uid="{B73F3BD8-A558-44AF-87A6-99E1AE98431E}"/>
    <cellStyle name="Currency 3 5 7 5" xfId="7614" xr:uid="{C78B25AC-DB84-47E5-8122-6B042B93772D}"/>
    <cellStyle name="Currency 3 5 7 5 2" xfId="21665" xr:uid="{B1E9148C-A3AB-4D9C-84CB-9E4F47A8C404}"/>
    <cellStyle name="Currency 3 5 7 6" xfId="11086" xr:uid="{6FFB8478-BC3B-4489-8AD1-BB6F0F9331E5}"/>
    <cellStyle name="Currency 3 5 7 6 2" xfId="25137" xr:uid="{160B5679-383F-469A-B9A6-75093DF3871C}"/>
    <cellStyle name="Currency 3 5 7 7" xfId="19061" xr:uid="{272B654C-61C4-4C28-A926-C1F4F4AEDF0F}"/>
    <cellStyle name="Currency 3 5 8" xfId="5444" xr:uid="{2C0CA8E0-5987-424A-AA16-65A9D5C49BF3}"/>
    <cellStyle name="Currency 3 5 8 2" xfId="8916" xr:uid="{CBC27D4F-2F6F-4984-B931-ACB18AA2E9FB}"/>
    <cellStyle name="Currency 3 5 8 2 2" xfId="22967" xr:uid="{61D8D2C5-0C02-4E36-B843-3DA83F5A56C4}"/>
    <cellStyle name="Currency 3 5 8 3" xfId="11520" xr:uid="{D758C6A9-AE2D-4E4A-81E2-2E14A8997D88}"/>
    <cellStyle name="Currency 3 5 8 3 2" xfId="25571" xr:uid="{ACB1B5E2-9B54-441F-B077-3599DF5F9B5F}"/>
    <cellStyle name="Currency 3 5 8 4" xfId="19495" xr:uid="{717903AF-3A09-4636-8200-24E2CAEF0CDA}"/>
    <cellStyle name="Currency 3 5 9" xfId="6312" xr:uid="{0E6D4094-4286-4502-9BD3-2EFABD083067}"/>
    <cellStyle name="Currency 3 5 9 2" xfId="9784" xr:uid="{6106333A-0979-4CB7-8D5B-78E49481CE9F}"/>
    <cellStyle name="Currency 3 5 9 2 2" xfId="23835" xr:uid="{DC3512B7-E9E7-4582-8D9E-2A2E5DC5B328}"/>
    <cellStyle name="Currency 3 5 9 3" xfId="12388" xr:uid="{9E84B339-FE9E-4575-99BA-5BF2541DCD40}"/>
    <cellStyle name="Currency 3 5 9 3 2" xfId="26439" xr:uid="{857E8D89-5267-4FA7-BDAC-DCEF0C6FEAEE}"/>
    <cellStyle name="Currency 3 5 9 4" xfId="20363" xr:uid="{F20D3E2A-5285-439E-BD16-ED460889F4F3}"/>
    <cellStyle name="Currency 3 6" xfId="445" xr:uid="{450A885A-A7AC-40C2-8517-EBB4D60B18B1}"/>
    <cellStyle name="Currency 3 6 10" xfId="10667" xr:uid="{9396C2BB-D624-40C0-9FBA-6ADEBBB1E8C9}"/>
    <cellStyle name="Currency 3 6 10 2" xfId="24718" xr:uid="{7D25E32B-F396-42EC-B398-F2714C449E59}"/>
    <cellStyle name="Currency 3 6 11" xfId="14500" xr:uid="{6EAD4E98-FB65-499A-9969-42B5E7D8D648}"/>
    <cellStyle name="Currency 3 6 2" xfId="1378" xr:uid="{9B285940-9C7E-4DBD-B944-D6AFB199AE21}"/>
    <cellStyle name="Currency 3 6 2 2" xfId="3568" xr:uid="{008CE549-120A-4B91-99D9-49CB4E4CD7EE}"/>
    <cellStyle name="Currency 3 6 2 2 2" xfId="5300" xr:uid="{7CFCE181-E79E-4656-B82F-83D7604328A0}"/>
    <cellStyle name="Currency 3 6 2 2 2 2" xfId="6168" xr:uid="{0FC81219-764C-4CD6-86E2-81E6C63A5A9C}"/>
    <cellStyle name="Currency 3 6 2 2 2 2 2" xfId="9640" xr:uid="{7A917364-D8DE-4ACE-A947-5C56F4E3EDC8}"/>
    <cellStyle name="Currency 3 6 2 2 2 2 2 2" xfId="23691" xr:uid="{009AEB0D-6830-4012-9A65-4B6602AE0B02}"/>
    <cellStyle name="Currency 3 6 2 2 2 2 3" xfId="12244" xr:uid="{220A3614-6E3E-491F-856B-FB9F84A7A0D9}"/>
    <cellStyle name="Currency 3 6 2 2 2 2 3 2" xfId="26295" xr:uid="{908F126E-17A6-4537-B2EC-DEF403119090}"/>
    <cellStyle name="Currency 3 6 2 2 2 2 4" xfId="20219" xr:uid="{DAE662E0-3C0B-4DA0-8C0A-7EAF44BB43B4}"/>
    <cellStyle name="Currency 3 6 2 2 2 3" xfId="7036" xr:uid="{653F8BC0-548D-44C9-A585-D57884F25F23}"/>
    <cellStyle name="Currency 3 6 2 2 2 3 2" xfId="10508" xr:uid="{6084EABC-4DFD-4F80-9A0E-84C46B9D15C7}"/>
    <cellStyle name="Currency 3 6 2 2 2 3 2 2" xfId="24559" xr:uid="{FB3D9C47-79EF-4396-946D-3DE8D51F5F4C}"/>
    <cellStyle name="Currency 3 6 2 2 2 3 3" xfId="13112" xr:uid="{97E57C45-4676-4516-A8FF-D0F90A462708}"/>
    <cellStyle name="Currency 3 6 2 2 2 3 3 2" xfId="27163" xr:uid="{7C920709-1B84-4F16-90DC-12DA606980FA}"/>
    <cellStyle name="Currency 3 6 2 2 2 3 4" xfId="21087" xr:uid="{67AD31D9-71D3-4516-9C78-C989DC5BD5CB}"/>
    <cellStyle name="Currency 3 6 2 2 2 4" xfId="8772" xr:uid="{5214B638-FE0D-4677-8481-96909587176B}"/>
    <cellStyle name="Currency 3 6 2 2 2 4 2" xfId="13980" xr:uid="{FF8003AD-08C6-4129-A031-FB78BA132655}"/>
    <cellStyle name="Currency 3 6 2 2 2 4 2 2" xfId="28031" xr:uid="{EE3E507E-BFA9-42B2-91AA-AFE13B892DAE}"/>
    <cellStyle name="Currency 3 6 2 2 2 4 3" xfId="22823" xr:uid="{809FCC1B-1311-4CFF-9C8E-595BEB46557B}"/>
    <cellStyle name="Currency 3 6 2 2 2 5" xfId="7904" xr:uid="{AA48D6AE-976C-4970-A829-98DB49D1D63B}"/>
    <cellStyle name="Currency 3 6 2 2 2 5 2" xfId="21955" xr:uid="{5AD93045-7475-4F48-BE6B-C734130840BE}"/>
    <cellStyle name="Currency 3 6 2 2 2 6" xfId="11376" xr:uid="{80C80B99-8712-43FD-9610-8477D7A8C233}"/>
    <cellStyle name="Currency 3 6 2 2 2 6 2" xfId="25427" xr:uid="{9E4EEF46-AEB1-4971-AC1C-7BB635362AFC}"/>
    <cellStyle name="Currency 3 6 2 2 2 7" xfId="19351" xr:uid="{5F57E85B-3BB1-4E0E-8F45-82EE668B5039}"/>
    <cellStyle name="Currency 3 6 2 2 3" xfId="5734" xr:uid="{5BB3A024-6EE3-49D9-AA3F-0B119F8CE9E3}"/>
    <cellStyle name="Currency 3 6 2 2 3 2" xfId="9206" xr:uid="{658D6B86-EE36-4835-9172-83B9F494202B}"/>
    <cellStyle name="Currency 3 6 2 2 3 2 2" xfId="23257" xr:uid="{2AE6A6F0-E9FF-46B7-BB3A-1A1A61FB16C2}"/>
    <cellStyle name="Currency 3 6 2 2 3 3" xfId="11810" xr:uid="{ECD63829-5728-4266-B169-8BA6D16D8955}"/>
    <cellStyle name="Currency 3 6 2 2 3 3 2" xfId="25861" xr:uid="{9D46A0DE-078B-4B0A-AAE1-F9A32B3011F9}"/>
    <cellStyle name="Currency 3 6 2 2 3 4" xfId="19785" xr:uid="{545F1495-90C6-4A23-9E1F-DD20915BF3BE}"/>
    <cellStyle name="Currency 3 6 2 2 4" xfId="6602" xr:uid="{2501ADE5-3929-4D8E-9D4A-DACDAA4AB680}"/>
    <cellStyle name="Currency 3 6 2 2 4 2" xfId="10074" xr:uid="{ED3533BD-FF13-4A0F-A5B7-AD4F021F2E22}"/>
    <cellStyle name="Currency 3 6 2 2 4 2 2" xfId="24125" xr:uid="{422317C1-FFEC-4101-A4AD-026CB605C284}"/>
    <cellStyle name="Currency 3 6 2 2 4 3" xfId="12678" xr:uid="{4254A47C-0FA6-411A-BAB1-BFF7AF7E5888}"/>
    <cellStyle name="Currency 3 6 2 2 4 3 2" xfId="26729" xr:uid="{6CCD31C9-CDE2-4378-BD67-3B796756C316}"/>
    <cellStyle name="Currency 3 6 2 2 4 4" xfId="20653" xr:uid="{D04E9057-5F2D-4766-A0AE-6D131C8EDEA4}"/>
    <cellStyle name="Currency 3 6 2 2 5" xfId="8338" xr:uid="{12C8D813-3BCF-41F2-9447-8CAD5E94A66F}"/>
    <cellStyle name="Currency 3 6 2 2 5 2" xfId="13546" xr:uid="{6A13B667-748F-47F7-B5C8-30766346BB2C}"/>
    <cellStyle name="Currency 3 6 2 2 5 2 2" xfId="27597" xr:uid="{E5D711E2-F255-4E91-9F9D-619BBF0EA6EC}"/>
    <cellStyle name="Currency 3 6 2 2 5 3" xfId="22389" xr:uid="{28A4CE5D-1B85-4276-A06F-A6D2E4B45A9F}"/>
    <cellStyle name="Currency 3 6 2 2 6" xfId="7470" xr:uid="{C8B52E03-2B93-499C-A2AA-E20F83DABA39}"/>
    <cellStyle name="Currency 3 6 2 2 6 2" xfId="21521" xr:uid="{56C01597-9A11-4B79-9452-6EE410C75024}"/>
    <cellStyle name="Currency 3 6 2 2 7" xfId="10942" xr:uid="{98CF145B-AC71-4D31-97CF-06F4667AB3A5}"/>
    <cellStyle name="Currency 3 6 2 2 7 2" xfId="24993" xr:uid="{63744EDE-58DB-46C0-95BE-1A66B2684AA1}"/>
    <cellStyle name="Currency 3 6 2 2 8" xfId="17621" xr:uid="{E6A375AC-72A3-4800-B229-FB801B8D9003}"/>
    <cellStyle name="Currency 3 6 2 3" xfId="5109" xr:uid="{518FCED9-FF6E-4271-BD8D-EABB4D9FA9DC}"/>
    <cellStyle name="Currency 3 6 2 3 2" xfId="5977" xr:uid="{5A9DB478-234A-459D-871C-188D81044052}"/>
    <cellStyle name="Currency 3 6 2 3 2 2" xfId="9449" xr:uid="{46A795EF-BA1E-4CAB-BEFE-60A2CE8AE9BF}"/>
    <cellStyle name="Currency 3 6 2 3 2 2 2" xfId="23500" xr:uid="{6C5107D7-217C-4383-8EEA-12CD40A5D154}"/>
    <cellStyle name="Currency 3 6 2 3 2 3" xfId="12053" xr:uid="{9C5B4DA4-33F0-4B4C-B998-D6A4B1066D84}"/>
    <cellStyle name="Currency 3 6 2 3 2 3 2" xfId="26104" xr:uid="{FA1F9EFD-2B21-480A-B2DF-53EE9BF3F3D7}"/>
    <cellStyle name="Currency 3 6 2 3 2 4" xfId="20028" xr:uid="{20D93BEE-3EDB-41E4-AE2A-EF185B4E23B5}"/>
    <cellStyle name="Currency 3 6 2 3 3" xfId="6845" xr:uid="{8AF27971-699E-4CAE-A9EE-34A4C3F24DF2}"/>
    <cellStyle name="Currency 3 6 2 3 3 2" xfId="10317" xr:uid="{8017A483-809B-462B-9377-84E01619139C}"/>
    <cellStyle name="Currency 3 6 2 3 3 2 2" xfId="24368" xr:uid="{2C4903C5-5A7D-458E-9381-417BAC8CE414}"/>
    <cellStyle name="Currency 3 6 2 3 3 3" xfId="12921" xr:uid="{6C75AFF8-30C9-4C55-9166-108967DDEEB3}"/>
    <cellStyle name="Currency 3 6 2 3 3 3 2" xfId="26972" xr:uid="{4E4A8CE4-1416-4C3C-84DB-633A3B949B3A}"/>
    <cellStyle name="Currency 3 6 2 3 3 4" xfId="20896" xr:uid="{F06F0138-F4AF-4D14-A532-0D9B9AF595EC}"/>
    <cellStyle name="Currency 3 6 2 3 4" xfId="8581" xr:uid="{50CDF6B0-608F-4E3A-A0EC-381B71A14412}"/>
    <cellStyle name="Currency 3 6 2 3 4 2" xfId="13789" xr:uid="{561B9E42-A9EA-46D6-B698-C635D996ACE7}"/>
    <cellStyle name="Currency 3 6 2 3 4 2 2" xfId="27840" xr:uid="{516B33D0-8545-4310-94AF-0BE7A8011F0E}"/>
    <cellStyle name="Currency 3 6 2 3 4 3" xfId="22632" xr:uid="{2EFBE4AC-192D-4CC2-96AA-9C2C090B609F}"/>
    <cellStyle name="Currency 3 6 2 3 5" xfId="7713" xr:uid="{3B17CB37-08BF-41AE-A485-372F74371518}"/>
    <cellStyle name="Currency 3 6 2 3 5 2" xfId="21764" xr:uid="{886B1AEB-6285-420A-B02F-A7858B1B9A59}"/>
    <cellStyle name="Currency 3 6 2 3 6" xfId="11185" xr:uid="{1E27F2DB-C341-4342-BC33-AB27F35E0F25}"/>
    <cellStyle name="Currency 3 6 2 3 6 2" xfId="25236" xr:uid="{B1651DC7-6906-47AE-AC6A-B22240D5738E}"/>
    <cellStyle name="Currency 3 6 2 3 7" xfId="19160" xr:uid="{ACB708A1-88F2-4644-84AA-B7463B2A59BC}"/>
    <cellStyle name="Currency 3 6 2 4" xfId="5543" xr:uid="{65F97EFC-ACDD-4525-9C54-025B2D0A5320}"/>
    <cellStyle name="Currency 3 6 2 4 2" xfId="9015" xr:uid="{A7918E7C-0DF9-4333-A742-66C1C588A0F5}"/>
    <cellStyle name="Currency 3 6 2 4 2 2" xfId="23066" xr:uid="{C12633B7-6854-48F8-8022-2A59465D39B9}"/>
    <cellStyle name="Currency 3 6 2 4 3" xfId="11619" xr:uid="{3E2ABD8D-3D04-4C50-AA4E-402FA2899412}"/>
    <cellStyle name="Currency 3 6 2 4 3 2" xfId="25670" xr:uid="{0811447A-9957-4C94-A2A8-E4DF7BC62162}"/>
    <cellStyle name="Currency 3 6 2 4 4" xfId="19594" xr:uid="{2742535D-8B31-4DE2-B2C1-12981667B683}"/>
    <cellStyle name="Currency 3 6 2 5" xfId="6411" xr:uid="{B5B322AB-FE57-4401-9CA3-9C6CD7C776AF}"/>
    <cellStyle name="Currency 3 6 2 5 2" xfId="9883" xr:uid="{E2F31D06-7DF4-4520-9AEC-158B2878F65B}"/>
    <cellStyle name="Currency 3 6 2 5 2 2" xfId="23934" xr:uid="{D38D5919-B355-444C-89EC-D66B59CF04D3}"/>
    <cellStyle name="Currency 3 6 2 5 3" xfId="12487" xr:uid="{3C290AEF-E28B-4870-8ECB-1413875280EA}"/>
    <cellStyle name="Currency 3 6 2 5 3 2" xfId="26538" xr:uid="{3EE39FFB-F34B-4207-A3D2-2630EF8ABD49}"/>
    <cellStyle name="Currency 3 6 2 5 4" xfId="20462" xr:uid="{CC597361-B3A4-4A1E-B648-57110015E989}"/>
    <cellStyle name="Currency 3 6 2 6" xfId="8147" xr:uid="{E18F3B75-C4D6-4E24-801A-34F21191F1C4}"/>
    <cellStyle name="Currency 3 6 2 6 2" xfId="13355" xr:uid="{4013CF4B-52D1-4F9D-A697-6F528F063E2B}"/>
    <cellStyle name="Currency 3 6 2 6 2 2" xfId="27406" xr:uid="{7FDB194D-9C43-4C1E-A402-E75A62B30779}"/>
    <cellStyle name="Currency 3 6 2 6 3" xfId="22198" xr:uid="{92E9CCA6-5080-49AD-B8AC-BDFDC216820C}"/>
    <cellStyle name="Currency 3 6 2 7" xfId="7279" xr:uid="{26ADE56E-9014-47E4-8CF8-9043F124974D}"/>
    <cellStyle name="Currency 3 6 2 7 2" xfId="21330" xr:uid="{8E0C090F-54E0-4263-8868-A728FE29BD12}"/>
    <cellStyle name="Currency 3 6 2 8" xfId="10751" xr:uid="{937C1674-9248-4BFD-9F87-033F0D7A15C1}"/>
    <cellStyle name="Currency 3 6 2 8 2" xfId="24802" xr:uid="{5B6E688F-1736-4A72-B179-31909F66E7D8}"/>
    <cellStyle name="Currency 3 6 2 9" xfId="15427" xr:uid="{F270882A-9E6F-466A-B268-94B151FC7BFA}"/>
    <cellStyle name="Currency 3 6 3" xfId="2644" xr:uid="{6B07FA87-1FC5-4C4A-B157-FE9F6FC9C76F}"/>
    <cellStyle name="Currency 3 6 3 2" xfId="5219" xr:uid="{12247513-50F8-42ED-A8C6-746A07AAF559}"/>
    <cellStyle name="Currency 3 6 3 2 2" xfId="6087" xr:uid="{1FFFDBB4-FC78-4715-923E-5C0ED3379620}"/>
    <cellStyle name="Currency 3 6 3 2 2 2" xfId="9559" xr:uid="{D67F2CF5-E57A-4BA2-A777-D0CFDD4E8A4E}"/>
    <cellStyle name="Currency 3 6 3 2 2 2 2" xfId="23610" xr:uid="{052840F3-09C3-44A6-9DE7-75C75CB2769F}"/>
    <cellStyle name="Currency 3 6 3 2 2 3" xfId="12163" xr:uid="{41B795F6-EADD-4142-BC2D-9F060A2DE19B}"/>
    <cellStyle name="Currency 3 6 3 2 2 3 2" xfId="26214" xr:uid="{CCC306B1-E43E-404A-B917-0B8F86EB96AF}"/>
    <cellStyle name="Currency 3 6 3 2 2 4" xfId="20138" xr:uid="{877E193D-844D-40B3-BB0C-2F5B14915FCC}"/>
    <cellStyle name="Currency 3 6 3 2 3" xfId="6955" xr:uid="{9DFC3209-C4A1-4F15-8D62-22AD33A2C6C5}"/>
    <cellStyle name="Currency 3 6 3 2 3 2" xfId="10427" xr:uid="{DC4F3360-9C40-476E-BA47-9D3182B045D1}"/>
    <cellStyle name="Currency 3 6 3 2 3 2 2" xfId="24478" xr:uid="{30CCDC9F-7106-4A50-AB63-21C7A60DF08E}"/>
    <cellStyle name="Currency 3 6 3 2 3 3" xfId="13031" xr:uid="{DD25B568-4C82-48AD-B917-BF2FB32143A7}"/>
    <cellStyle name="Currency 3 6 3 2 3 3 2" xfId="27082" xr:uid="{AAFB9992-8C9D-4527-9427-83A674A8B6D7}"/>
    <cellStyle name="Currency 3 6 3 2 3 4" xfId="21006" xr:uid="{1DC38468-041C-4667-858A-E3C5C2C6AE19}"/>
    <cellStyle name="Currency 3 6 3 2 4" xfId="8691" xr:uid="{13DBF729-79C6-4F34-A04E-B7B72CEB5C5A}"/>
    <cellStyle name="Currency 3 6 3 2 4 2" xfId="13899" xr:uid="{408419ED-CFB8-4E87-ABA1-9637F2ED8EFD}"/>
    <cellStyle name="Currency 3 6 3 2 4 2 2" xfId="27950" xr:uid="{C91368AD-AF44-44B8-B201-E9B20DD67A39}"/>
    <cellStyle name="Currency 3 6 3 2 4 3" xfId="22742" xr:uid="{865718FC-315A-4831-85F8-2F07E465B7BF}"/>
    <cellStyle name="Currency 3 6 3 2 5" xfId="7823" xr:uid="{65B2F3C4-C1D2-4080-899B-1B5A8A96F40D}"/>
    <cellStyle name="Currency 3 6 3 2 5 2" xfId="21874" xr:uid="{023D9B8A-530A-4A70-BB1B-6A7011551DAE}"/>
    <cellStyle name="Currency 3 6 3 2 6" xfId="11295" xr:uid="{E233323B-3ED6-4FB2-9763-6B5DDA5A7D39}"/>
    <cellStyle name="Currency 3 6 3 2 6 2" xfId="25346" xr:uid="{40EC4AB4-EDA2-4732-8F0F-326F8E2AE7DC}"/>
    <cellStyle name="Currency 3 6 3 2 7" xfId="19270" xr:uid="{DA39D0A7-542C-4BAC-93AF-CC994DFF32F3}"/>
    <cellStyle name="Currency 3 6 3 3" xfId="5653" xr:uid="{DCBFECB9-2823-4C42-A03D-41F6D57BBFF4}"/>
    <cellStyle name="Currency 3 6 3 3 2" xfId="9125" xr:uid="{2659DD62-1504-4607-AB7D-2F97D7A07EB6}"/>
    <cellStyle name="Currency 3 6 3 3 2 2" xfId="23176" xr:uid="{CA7BE90B-93B8-4CC3-800D-BB4D9BE457C8}"/>
    <cellStyle name="Currency 3 6 3 3 3" xfId="11729" xr:uid="{369EC57E-027D-40CE-940D-CC24D3D5077D}"/>
    <cellStyle name="Currency 3 6 3 3 3 2" xfId="25780" xr:uid="{93CEDDD6-2D6F-4B19-88BB-922FF43D825B}"/>
    <cellStyle name="Currency 3 6 3 3 4" xfId="19704" xr:uid="{D9ADF0C4-E67E-4671-940A-11B0FF2150AF}"/>
    <cellStyle name="Currency 3 6 3 4" xfId="6521" xr:uid="{675B23EC-4DEE-4DB2-A9B0-774B2E375963}"/>
    <cellStyle name="Currency 3 6 3 4 2" xfId="9993" xr:uid="{2F3ED429-C174-43C2-9F8C-F25FC96F72EB}"/>
    <cellStyle name="Currency 3 6 3 4 2 2" xfId="24044" xr:uid="{A0DA9E9D-32A2-4513-9292-F06496F21EF8}"/>
    <cellStyle name="Currency 3 6 3 4 3" xfId="12597" xr:uid="{DF25D6DC-2D5A-4205-883A-050DEE7AD15A}"/>
    <cellStyle name="Currency 3 6 3 4 3 2" xfId="26648" xr:uid="{EF90D54E-9CA1-47C4-8E7A-3313AE26B36A}"/>
    <cellStyle name="Currency 3 6 3 4 4" xfId="20572" xr:uid="{8ACAE432-DB39-4729-8D1F-BA04F46418A5}"/>
    <cellStyle name="Currency 3 6 3 5" xfId="8257" xr:uid="{F7A35752-2B0E-4ECA-86C1-6D57C7EAF64B}"/>
    <cellStyle name="Currency 3 6 3 5 2" xfId="13465" xr:uid="{777B27E9-0287-40F2-83CC-7FE6881410EA}"/>
    <cellStyle name="Currency 3 6 3 5 2 2" xfId="27516" xr:uid="{1B4243C4-729E-46CC-9FE0-B23CB61BFBAF}"/>
    <cellStyle name="Currency 3 6 3 5 3" xfId="22308" xr:uid="{A20738DC-C58D-496D-AF99-8E23051C568A}"/>
    <cellStyle name="Currency 3 6 3 6" xfId="7389" xr:uid="{0EC01C72-F866-4C85-8006-953C7A3E2EF4}"/>
    <cellStyle name="Currency 3 6 3 6 2" xfId="21440" xr:uid="{6DE3E7D5-FDD3-4AE3-9933-EEBE44360F86}"/>
    <cellStyle name="Currency 3 6 3 7" xfId="10861" xr:uid="{23DA98DC-73D3-4095-A33C-A46A2EAC29F7}"/>
    <cellStyle name="Currency 3 6 3 7 2" xfId="24912" xr:uid="{E8680BB0-D59A-45A8-83DD-E7547A2C0B65}"/>
    <cellStyle name="Currency 3 6 3 8" xfId="16695" xr:uid="{6172A04B-A63D-4642-8BE8-9D1D2353E181}"/>
    <cellStyle name="Currency 3 6 4" xfId="4663" xr:uid="{EE93FC06-E6DC-470A-9ECB-FE7C955B9394}"/>
    <cellStyle name="Currency 3 6 4 2" xfId="5395" xr:uid="{5431F87F-6566-4D58-9C76-44DB90441D4B}"/>
    <cellStyle name="Currency 3 6 4 2 2" xfId="6263" xr:uid="{C4AFCA45-5142-449E-A3D6-3D4DCFB5A044}"/>
    <cellStyle name="Currency 3 6 4 2 2 2" xfId="9735" xr:uid="{E11A8383-0974-4DD1-985F-7CC0E3FD15FE}"/>
    <cellStyle name="Currency 3 6 4 2 2 2 2" xfId="23786" xr:uid="{0D47F6B4-991C-4137-94ED-526F5B2DE80F}"/>
    <cellStyle name="Currency 3 6 4 2 2 3" xfId="12339" xr:uid="{0351B032-005B-4D1C-ACB4-B73DF8E4A241}"/>
    <cellStyle name="Currency 3 6 4 2 2 3 2" xfId="26390" xr:uid="{03FE7973-F2D0-48B6-97EC-35BE2A22D1F1}"/>
    <cellStyle name="Currency 3 6 4 2 2 4" xfId="20314" xr:uid="{40718581-3B04-4C5A-8D70-5926BBCBEB21}"/>
    <cellStyle name="Currency 3 6 4 2 3" xfId="7131" xr:uid="{CB4DE808-B08E-467F-95CC-145B0E89ECF0}"/>
    <cellStyle name="Currency 3 6 4 2 3 2" xfId="10603" xr:uid="{DC640683-BA50-44FE-BF8D-0BCDC6A981E9}"/>
    <cellStyle name="Currency 3 6 4 2 3 2 2" xfId="24654" xr:uid="{A0109F47-562D-446A-BDED-3F998DEADE56}"/>
    <cellStyle name="Currency 3 6 4 2 3 3" xfId="13207" xr:uid="{DAD53098-044E-4BB8-9B81-7CF824766F21}"/>
    <cellStyle name="Currency 3 6 4 2 3 3 2" xfId="27258" xr:uid="{0788EF93-FD74-42BF-B855-6187AECD0948}"/>
    <cellStyle name="Currency 3 6 4 2 3 4" xfId="21182" xr:uid="{55DE9D5D-9B72-4024-AEDE-635523E1E5BF}"/>
    <cellStyle name="Currency 3 6 4 2 4" xfId="8867" xr:uid="{7130313F-DC00-497B-B99D-2550CF92A5E1}"/>
    <cellStyle name="Currency 3 6 4 2 4 2" xfId="14075" xr:uid="{C36D5465-5B01-407C-9974-03768C6335E8}"/>
    <cellStyle name="Currency 3 6 4 2 4 2 2" xfId="28126" xr:uid="{3D72680D-BDB4-48C8-B224-6F3FF7E7D9A6}"/>
    <cellStyle name="Currency 3 6 4 2 4 3" xfId="22918" xr:uid="{EA521F18-DA3C-4F3F-9BB4-D81C22C0C4C4}"/>
    <cellStyle name="Currency 3 6 4 2 5" xfId="7999" xr:uid="{779515A8-1888-484D-8774-5D31E63BF276}"/>
    <cellStyle name="Currency 3 6 4 2 5 2" xfId="22050" xr:uid="{6F7085CD-816F-4720-9A7D-555F7D026AC0}"/>
    <cellStyle name="Currency 3 6 4 2 6" xfId="11471" xr:uid="{C5048109-47C1-4C4A-A8B2-1D063ACE4661}"/>
    <cellStyle name="Currency 3 6 4 2 6 2" xfId="25522" xr:uid="{C520A162-70BF-4662-9971-E74D5B1EBA09}"/>
    <cellStyle name="Currency 3 6 4 2 7" xfId="19446" xr:uid="{626F5636-05BD-4101-9E8A-B1AB3C27EEA5}"/>
    <cellStyle name="Currency 3 6 4 3" xfId="5829" xr:uid="{1168BFC7-4127-41D3-8EAA-198CE36595B1}"/>
    <cellStyle name="Currency 3 6 4 3 2" xfId="9301" xr:uid="{138DE76C-915E-4401-ACE4-8B6DDF4F1780}"/>
    <cellStyle name="Currency 3 6 4 3 2 2" xfId="23352" xr:uid="{14A10B74-4DF9-4493-95E5-546ABA4A31FA}"/>
    <cellStyle name="Currency 3 6 4 3 3" xfId="11905" xr:uid="{D5328AFF-FEF5-493B-8CC7-852CFC92A97F}"/>
    <cellStyle name="Currency 3 6 4 3 3 2" xfId="25956" xr:uid="{2FA41CC5-9918-4C89-AD52-5C4456AB753E}"/>
    <cellStyle name="Currency 3 6 4 3 4" xfId="19880" xr:uid="{8406F171-992A-41F6-A44B-5E4C4DDCD57E}"/>
    <cellStyle name="Currency 3 6 4 4" xfId="6697" xr:uid="{5F946EB4-D681-4048-93C7-DF097B368834}"/>
    <cellStyle name="Currency 3 6 4 4 2" xfId="10169" xr:uid="{FCF944E2-3744-46A6-BD90-CD1EA1D02B3B}"/>
    <cellStyle name="Currency 3 6 4 4 2 2" xfId="24220" xr:uid="{BFB6132B-BA6B-4D2C-AF74-1F04AA7D95AD}"/>
    <cellStyle name="Currency 3 6 4 4 3" xfId="12773" xr:uid="{D955773C-BD07-4706-AA82-A2547FA65383}"/>
    <cellStyle name="Currency 3 6 4 4 3 2" xfId="26824" xr:uid="{44B12C6E-F4A1-489B-AB40-82F391ABE42F}"/>
    <cellStyle name="Currency 3 6 4 4 4" xfId="20748" xr:uid="{7593CF4A-82A9-4F9B-9C76-BA5F1BB299B9}"/>
    <cellStyle name="Currency 3 6 4 5" xfId="8433" xr:uid="{FA2959A5-C9A9-42E5-9A21-0FE5AA28F2F6}"/>
    <cellStyle name="Currency 3 6 4 5 2" xfId="13641" xr:uid="{A5FEB778-7DD6-40B4-B7FA-2D7AE3272731}"/>
    <cellStyle name="Currency 3 6 4 5 2 2" xfId="27692" xr:uid="{162F9F33-7328-46B2-B55F-6AA82E926E34}"/>
    <cellStyle name="Currency 3 6 4 5 3" xfId="22484" xr:uid="{EBC1F611-5BA3-4AB5-95E9-D7579DB4A435}"/>
    <cellStyle name="Currency 3 6 4 6" xfId="7565" xr:uid="{BDC3F398-80EB-45BF-AE09-0F61A84DB929}"/>
    <cellStyle name="Currency 3 6 4 6 2" xfId="21616" xr:uid="{2F92E04D-4C2C-4B7E-A1BC-CB1244CFBE72}"/>
    <cellStyle name="Currency 3 6 4 7" xfId="11037" xr:uid="{01639B1E-EF23-4453-A6AF-F61B9070C821}"/>
    <cellStyle name="Currency 3 6 4 7 2" xfId="25088" xr:uid="{EC92C13D-65BC-4D17-B440-640919D8CC6C}"/>
    <cellStyle name="Currency 3 6 4 8" xfId="18715" xr:uid="{C2E00F38-2142-4A89-A5A2-7E6B133A418B}"/>
    <cellStyle name="Currency 3 6 5" xfId="5025" xr:uid="{20471811-C957-4A13-A2BF-B3F918758BBD}"/>
    <cellStyle name="Currency 3 6 5 2" xfId="5893" xr:uid="{89FB055D-1ADC-466F-ACF5-C999CF17ED0E}"/>
    <cellStyle name="Currency 3 6 5 2 2" xfId="9365" xr:uid="{5AEFDD73-5DEB-481F-B822-71CA1EB76E74}"/>
    <cellStyle name="Currency 3 6 5 2 2 2" xfId="23416" xr:uid="{ACD72AEF-AA41-4AEA-9CB8-D23188009A67}"/>
    <cellStyle name="Currency 3 6 5 2 3" xfId="11969" xr:uid="{025A8129-E00A-498C-A830-FEE4847E16E8}"/>
    <cellStyle name="Currency 3 6 5 2 3 2" xfId="26020" xr:uid="{62B61F29-8051-42CB-AA12-A23C7DA0A437}"/>
    <cellStyle name="Currency 3 6 5 2 4" xfId="19944" xr:uid="{CB767C3E-6F48-478D-85DF-40F679D57476}"/>
    <cellStyle name="Currency 3 6 5 3" xfId="6761" xr:uid="{0472B66A-95B9-4D07-BA8A-521A2CE8BFEB}"/>
    <cellStyle name="Currency 3 6 5 3 2" xfId="10233" xr:uid="{6704B19B-C8E4-4E92-9B35-EF14A644DE29}"/>
    <cellStyle name="Currency 3 6 5 3 2 2" xfId="24284" xr:uid="{DEE8A465-729C-40B5-A2D4-39E41E831234}"/>
    <cellStyle name="Currency 3 6 5 3 3" xfId="12837" xr:uid="{E2CB38AA-27FC-45D9-97B6-98FEB426F1B0}"/>
    <cellStyle name="Currency 3 6 5 3 3 2" xfId="26888" xr:uid="{36862B8C-5FCC-47D2-A7E9-6A5009930AA8}"/>
    <cellStyle name="Currency 3 6 5 3 4" xfId="20812" xr:uid="{390F23AF-88E0-4F5B-B9C8-032BCD664389}"/>
    <cellStyle name="Currency 3 6 5 4" xfId="8497" xr:uid="{4546C213-867D-47AC-8CB8-58916716FD0C}"/>
    <cellStyle name="Currency 3 6 5 4 2" xfId="13705" xr:uid="{D7E2BFE6-A960-4139-800F-80AE69B9D1D8}"/>
    <cellStyle name="Currency 3 6 5 4 2 2" xfId="27756" xr:uid="{732AFA1D-C3CE-4139-8634-B426EDC86A80}"/>
    <cellStyle name="Currency 3 6 5 4 3" xfId="22548" xr:uid="{7821C9E8-7C37-4B55-A986-02E6BD6C14D8}"/>
    <cellStyle name="Currency 3 6 5 5" xfId="7629" xr:uid="{61DF397F-220F-4C79-92EB-AA4BEE2806CA}"/>
    <cellStyle name="Currency 3 6 5 5 2" xfId="21680" xr:uid="{B73F7622-6D44-41BA-A917-30E7B655E4C6}"/>
    <cellStyle name="Currency 3 6 5 6" xfId="11101" xr:uid="{EFC9EBF1-5460-4B0B-92D6-397A34428302}"/>
    <cellStyle name="Currency 3 6 5 6 2" xfId="25152" xr:uid="{C9A8D213-E0FF-4F00-B20E-91FD9B4C4F58}"/>
    <cellStyle name="Currency 3 6 5 7" xfId="19076" xr:uid="{E069988A-2AC5-4F06-BDB7-4FA053D02887}"/>
    <cellStyle name="Currency 3 6 6" xfId="5459" xr:uid="{80C8542F-0905-42D4-9010-10DC3E8A5785}"/>
    <cellStyle name="Currency 3 6 6 2" xfId="8931" xr:uid="{D1EC68C2-6315-4734-ACF4-EDA2E875D257}"/>
    <cellStyle name="Currency 3 6 6 2 2" xfId="22982" xr:uid="{F0962CD2-BB7D-4788-812C-5C87346FF74B}"/>
    <cellStyle name="Currency 3 6 6 3" xfId="11535" xr:uid="{D9593408-7488-4DC2-AA3D-8658515D4C8E}"/>
    <cellStyle name="Currency 3 6 6 3 2" xfId="25586" xr:uid="{1214B14E-3209-42BD-8781-0A56281744C6}"/>
    <cellStyle name="Currency 3 6 6 4" xfId="19510" xr:uid="{DDDF8F39-1B03-4A77-84F7-1F1D6B91AFBA}"/>
    <cellStyle name="Currency 3 6 7" xfId="6327" xr:uid="{EEE059F5-70A3-4216-9101-767098BA9F5F}"/>
    <cellStyle name="Currency 3 6 7 2" xfId="9799" xr:uid="{C14211C6-F826-432B-A061-CA24AA49B020}"/>
    <cellStyle name="Currency 3 6 7 2 2" xfId="23850" xr:uid="{F4D14021-5CE1-4701-8E19-41EB521FB02A}"/>
    <cellStyle name="Currency 3 6 7 3" xfId="12403" xr:uid="{9A8ED259-777C-4554-87B2-5C9E738FD0AB}"/>
    <cellStyle name="Currency 3 6 7 3 2" xfId="26454" xr:uid="{C5D87311-FF43-4947-89E6-7B2BB1744285}"/>
    <cellStyle name="Currency 3 6 7 4" xfId="20378" xr:uid="{F8A89EFA-2A38-4E31-A876-EA4A6E77722B}"/>
    <cellStyle name="Currency 3 6 8" xfId="8063" xr:uid="{9A8617C7-C854-4D9F-9247-895914EDA506}"/>
    <cellStyle name="Currency 3 6 8 2" xfId="13271" xr:uid="{71A3F713-7CA1-4371-B55E-3F98C89DDE0F}"/>
    <cellStyle name="Currency 3 6 8 2 2" xfId="27322" xr:uid="{799F9C12-11DE-444B-A02B-1EE74BC3809C}"/>
    <cellStyle name="Currency 3 6 8 3" xfId="22114" xr:uid="{201CFFE5-F6E8-4EAD-B764-C2C6FB611F5F}"/>
    <cellStyle name="Currency 3 6 9" xfId="7195" xr:uid="{76CBDB2A-6F03-4233-BFF4-78AEBC43D8BF}"/>
    <cellStyle name="Currency 3 6 9 2" xfId="21246" xr:uid="{EC9036C2-9DE4-47A6-8874-FAE33E42432D}"/>
    <cellStyle name="Currency 3 7" xfId="798" xr:uid="{D19C9102-229F-4B05-84C3-6F6BCBC8FCAF}"/>
    <cellStyle name="Currency 3 7 10" xfId="14848" xr:uid="{D87F878E-5D5E-439D-9E6D-9E24F8EA3080}"/>
    <cellStyle name="Currency 3 7 2" xfId="1897" xr:uid="{47C37ABD-4833-4D39-AE26-0558A5E297FC}"/>
    <cellStyle name="Currency 3 7 2 2" xfId="4086" xr:uid="{959AF864-2CCE-405A-891C-50A1B65365EF}"/>
    <cellStyle name="Currency 3 7 2 2 2" xfId="5344" xr:uid="{5ECE1BE3-7AC6-4494-8A19-3FF0082B9B34}"/>
    <cellStyle name="Currency 3 7 2 2 2 2" xfId="6212" xr:uid="{072097FA-3217-4F03-9D15-829FC434BFC8}"/>
    <cellStyle name="Currency 3 7 2 2 2 2 2" xfId="9684" xr:uid="{5BB3D039-9109-4404-A9C6-85FA0563E59A}"/>
    <cellStyle name="Currency 3 7 2 2 2 2 2 2" xfId="23735" xr:uid="{A2ED11E8-9BBA-477F-801C-3DD822EEA473}"/>
    <cellStyle name="Currency 3 7 2 2 2 2 3" xfId="12288" xr:uid="{DB71C365-2DB8-4C5E-A42A-947B4C9E7E2C}"/>
    <cellStyle name="Currency 3 7 2 2 2 2 3 2" xfId="26339" xr:uid="{48E6ADF1-1FED-4A7D-90E5-810BE45F35E8}"/>
    <cellStyle name="Currency 3 7 2 2 2 2 4" xfId="20263" xr:uid="{5BD29BE0-27C5-4EB8-A1CB-8FE27467F01A}"/>
    <cellStyle name="Currency 3 7 2 2 2 3" xfId="7080" xr:uid="{28CA4E7B-7FA4-4ED5-9E24-C9A2E40CBE90}"/>
    <cellStyle name="Currency 3 7 2 2 2 3 2" xfId="10552" xr:uid="{055ACAE6-372C-443B-9BFA-A11286D9DE55}"/>
    <cellStyle name="Currency 3 7 2 2 2 3 2 2" xfId="24603" xr:uid="{BB20C451-0165-4379-8592-A355BFB42946}"/>
    <cellStyle name="Currency 3 7 2 2 2 3 3" xfId="13156" xr:uid="{BCAF3478-3CDC-4196-BC9D-F2976D9A9677}"/>
    <cellStyle name="Currency 3 7 2 2 2 3 3 2" xfId="27207" xr:uid="{5F0E0438-3F87-480B-8D34-9CB0408F1A85}"/>
    <cellStyle name="Currency 3 7 2 2 2 3 4" xfId="21131" xr:uid="{29D9E7EE-E9D7-4906-864A-5DFE6D81C210}"/>
    <cellStyle name="Currency 3 7 2 2 2 4" xfId="8816" xr:uid="{2D9B5C20-4789-48C5-83AF-934D3AB9E578}"/>
    <cellStyle name="Currency 3 7 2 2 2 4 2" xfId="14024" xr:uid="{E542CAC8-E930-436D-B372-15F60B2FDE82}"/>
    <cellStyle name="Currency 3 7 2 2 2 4 2 2" xfId="28075" xr:uid="{35574EF2-36A4-449B-B980-AED4C01547FA}"/>
    <cellStyle name="Currency 3 7 2 2 2 4 3" xfId="22867" xr:uid="{9E07AD47-1245-4BC5-9FC8-DDB871BAF882}"/>
    <cellStyle name="Currency 3 7 2 2 2 5" xfId="7948" xr:uid="{7B942064-60C1-47EA-A560-459ECB6DE21B}"/>
    <cellStyle name="Currency 3 7 2 2 2 5 2" xfId="21999" xr:uid="{6ED1FD96-1CD6-42D8-A472-7252C2078DA1}"/>
    <cellStyle name="Currency 3 7 2 2 2 6" xfId="11420" xr:uid="{57FBD1C8-C651-4599-B890-1551407C9292}"/>
    <cellStyle name="Currency 3 7 2 2 2 6 2" xfId="25471" xr:uid="{47E8FC7F-89BF-4BC9-9D7C-F41F0B8C6362}"/>
    <cellStyle name="Currency 3 7 2 2 2 7" xfId="19395" xr:uid="{DFEF2E03-CB51-4B8B-9E2A-771D6977FED2}"/>
    <cellStyle name="Currency 3 7 2 2 3" xfId="5778" xr:uid="{70D34B63-BB12-4D79-AEC1-240B44E58AEE}"/>
    <cellStyle name="Currency 3 7 2 2 3 2" xfId="9250" xr:uid="{21CCCB70-8073-4A48-BF89-238BEF5DE33C}"/>
    <cellStyle name="Currency 3 7 2 2 3 2 2" xfId="23301" xr:uid="{0FC0AF8A-73B3-44C9-9398-15DB0DB73062}"/>
    <cellStyle name="Currency 3 7 2 2 3 3" xfId="11854" xr:uid="{82A64A3D-DE64-48DA-AF60-44D65F488E1F}"/>
    <cellStyle name="Currency 3 7 2 2 3 3 2" xfId="25905" xr:uid="{94DD8D10-9028-4D65-BE98-562634B27AFE}"/>
    <cellStyle name="Currency 3 7 2 2 3 4" xfId="19829" xr:uid="{0C0230DE-7955-4EB6-8DC4-38C98A760A0B}"/>
    <cellStyle name="Currency 3 7 2 2 4" xfId="6646" xr:uid="{1AD58C75-0287-42F8-B2CB-F5567A38A67B}"/>
    <cellStyle name="Currency 3 7 2 2 4 2" xfId="10118" xr:uid="{672593A6-EE49-4875-B549-94F67BDAEB53}"/>
    <cellStyle name="Currency 3 7 2 2 4 2 2" xfId="24169" xr:uid="{DCF90177-E794-449E-8AE3-72258B44E953}"/>
    <cellStyle name="Currency 3 7 2 2 4 3" xfId="12722" xr:uid="{0D29892E-227D-4C33-82A1-7EEC9A233826}"/>
    <cellStyle name="Currency 3 7 2 2 4 3 2" xfId="26773" xr:uid="{CF9BEB0F-61DF-4887-B617-B7E4F344BF36}"/>
    <cellStyle name="Currency 3 7 2 2 4 4" xfId="20697" xr:uid="{2F25AC70-50CE-422B-9CEF-5A1BE13D9936}"/>
    <cellStyle name="Currency 3 7 2 2 5" xfId="8382" xr:uid="{37CA4816-19C2-4A94-9BA9-02EF95C994F7}"/>
    <cellStyle name="Currency 3 7 2 2 5 2" xfId="13590" xr:uid="{99448608-F5AD-4831-B2E1-81F95C737ED4}"/>
    <cellStyle name="Currency 3 7 2 2 5 2 2" xfId="27641" xr:uid="{A10C5188-E896-4EB7-BAAA-1A858D92DF4A}"/>
    <cellStyle name="Currency 3 7 2 2 5 3" xfId="22433" xr:uid="{A11352FC-5F85-47B5-828B-AEF8FA70B2C3}"/>
    <cellStyle name="Currency 3 7 2 2 6" xfId="7514" xr:uid="{D1EDF2DB-A908-450E-B7CF-3CB946C81FCA}"/>
    <cellStyle name="Currency 3 7 2 2 6 2" xfId="21565" xr:uid="{F7A8446F-4DFA-4D74-8288-92C74BEA5738}"/>
    <cellStyle name="Currency 3 7 2 2 7" xfId="10986" xr:uid="{A1B357E8-B98A-4C17-BC3A-47820E83B53D}"/>
    <cellStyle name="Currency 3 7 2 2 7 2" xfId="25037" xr:uid="{9FF9836D-E2D7-44C1-B749-7E730F379BDC}"/>
    <cellStyle name="Currency 3 7 2 2 8" xfId="18138" xr:uid="{253454A9-F90E-434B-9B8A-66F930EF75FC}"/>
    <cellStyle name="Currency 3 7 2 3" xfId="5154" xr:uid="{A9A6D412-A4BB-4976-B9A4-7414D520C9BF}"/>
    <cellStyle name="Currency 3 7 2 3 2" xfId="6022" xr:uid="{7BDEBFCD-5CE6-4A65-8C9B-CC91D68479BE}"/>
    <cellStyle name="Currency 3 7 2 3 2 2" xfId="9494" xr:uid="{F021326D-B64E-4407-9DEA-EB88B916F790}"/>
    <cellStyle name="Currency 3 7 2 3 2 2 2" xfId="23545" xr:uid="{0E9B395C-717F-4A01-A3BF-A5DD874A315C}"/>
    <cellStyle name="Currency 3 7 2 3 2 3" xfId="12098" xr:uid="{6393989F-3EEB-4396-ABBA-B75B4FAE2811}"/>
    <cellStyle name="Currency 3 7 2 3 2 3 2" xfId="26149" xr:uid="{6FC7B629-1074-4EAD-88CC-A0A6B3EB58D0}"/>
    <cellStyle name="Currency 3 7 2 3 2 4" xfId="20073" xr:uid="{B7687B18-358D-4ABD-8415-44831A9A2AA2}"/>
    <cellStyle name="Currency 3 7 2 3 3" xfId="6890" xr:uid="{F912B879-88EB-440D-81D6-2E1D426DABDC}"/>
    <cellStyle name="Currency 3 7 2 3 3 2" xfId="10362" xr:uid="{F2D6A975-CFFD-4683-8217-B1D8AA4A33D8}"/>
    <cellStyle name="Currency 3 7 2 3 3 2 2" xfId="24413" xr:uid="{2E2CCD6A-9A13-4D2F-BA7C-3CEDEB12FB78}"/>
    <cellStyle name="Currency 3 7 2 3 3 3" xfId="12966" xr:uid="{3583F314-599E-4162-A201-E14F738F9DEF}"/>
    <cellStyle name="Currency 3 7 2 3 3 3 2" xfId="27017" xr:uid="{524F047F-1944-46F7-B68D-6A37EC7E6CF5}"/>
    <cellStyle name="Currency 3 7 2 3 3 4" xfId="20941" xr:uid="{A6782D14-9904-463C-90B4-53DA6D14893B}"/>
    <cellStyle name="Currency 3 7 2 3 4" xfId="8626" xr:uid="{ECCF67E5-46AC-4D47-82F5-9A1BAA7932B1}"/>
    <cellStyle name="Currency 3 7 2 3 4 2" xfId="13834" xr:uid="{AE9FEEF9-DC2E-486B-B966-993239CA4A1D}"/>
    <cellStyle name="Currency 3 7 2 3 4 2 2" xfId="27885" xr:uid="{591077D9-F4D4-4A27-8244-7DD0F79C6514}"/>
    <cellStyle name="Currency 3 7 2 3 4 3" xfId="22677" xr:uid="{3A012F66-9909-4599-9691-A4D0787F5A95}"/>
    <cellStyle name="Currency 3 7 2 3 5" xfId="7758" xr:uid="{CD2877BE-D421-4BB0-9C71-A7099EF33E9F}"/>
    <cellStyle name="Currency 3 7 2 3 5 2" xfId="21809" xr:uid="{E2F82DE0-A24C-4277-A05C-0D8AC8EFE364}"/>
    <cellStyle name="Currency 3 7 2 3 6" xfId="11230" xr:uid="{1BF25E28-4CF3-4458-BCAD-9D17B72BD2CC}"/>
    <cellStyle name="Currency 3 7 2 3 6 2" xfId="25281" xr:uid="{5230D63F-2B78-40F3-9140-017BEC7741B8}"/>
    <cellStyle name="Currency 3 7 2 3 7" xfId="19205" xr:uid="{F3E4A7BA-8D93-4F01-9975-B9E87A100826}"/>
    <cellStyle name="Currency 3 7 2 4" xfId="5588" xr:uid="{03D7BA22-BBEB-4F1D-9227-75EF67C8ACC7}"/>
    <cellStyle name="Currency 3 7 2 4 2" xfId="9060" xr:uid="{F2E6A736-3A96-4ED3-A00F-294F69FEF1B4}"/>
    <cellStyle name="Currency 3 7 2 4 2 2" xfId="23111" xr:uid="{628ECA8F-CB5D-4933-82F1-4E7166AD4146}"/>
    <cellStyle name="Currency 3 7 2 4 3" xfId="11664" xr:uid="{604124A2-3FA5-4EC1-A041-4323D87959A2}"/>
    <cellStyle name="Currency 3 7 2 4 3 2" xfId="25715" xr:uid="{2AA54E89-B923-46D5-B5F9-E107E1CE8B5A}"/>
    <cellStyle name="Currency 3 7 2 4 4" xfId="19639" xr:uid="{0AB6ED11-B6EB-46F5-AC66-D2E14B3BC9B5}"/>
    <cellStyle name="Currency 3 7 2 5" xfId="6456" xr:uid="{A6851C0E-C63D-4536-8EF1-BBFEC7CA3FAA}"/>
    <cellStyle name="Currency 3 7 2 5 2" xfId="9928" xr:uid="{CB45D750-C7E8-411A-95DC-6B3FB32D8633}"/>
    <cellStyle name="Currency 3 7 2 5 2 2" xfId="23979" xr:uid="{E711A0EC-E938-414F-8C6F-09F45C94FDDD}"/>
    <cellStyle name="Currency 3 7 2 5 3" xfId="12532" xr:uid="{4572F9F6-A7FD-4485-A993-C1FAAC2648AD}"/>
    <cellStyle name="Currency 3 7 2 5 3 2" xfId="26583" xr:uid="{634D99A5-26FF-465A-A9A6-B8411E1E0929}"/>
    <cellStyle name="Currency 3 7 2 5 4" xfId="20507" xr:uid="{ADD56CF8-4374-4E66-9A7D-BB575B797AFB}"/>
    <cellStyle name="Currency 3 7 2 6" xfId="8192" xr:uid="{63D8EA9E-8989-4403-9C0A-2E9BD5FCF6B9}"/>
    <cellStyle name="Currency 3 7 2 6 2" xfId="13400" xr:uid="{832F619D-2322-4F8B-B1B6-8E01CA98BF49}"/>
    <cellStyle name="Currency 3 7 2 6 2 2" xfId="27451" xr:uid="{497179CF-182E-40BD-B8E7-DE8A8782F4B4}"/>
    <cellStyle name="Currency 3 7 2 6 3" xfId="22243" xr:uid="{F6580AE1-E501-4491-8B7A-DBF745B0BB5B}"/>
    <cellStyle name="Currency 3 7 2 7" xfId="7324" xr:uid="{079E8E29-4DA8-49A2-BA68-E37A052A9C1B}"/>
    <cellStyle name="Currency 3 7 2 7 2" xfId="21375" xr:uid="{0C86C2C5-867D-44FE-9F85-891172F49CDD}"/>
    <cellStyle name="Currency 3 7 2 8" xfId="10796" xr:uid="{33E07023-1435-4FAC-A8B5-C84DAEA0D6B6}"/>
    <cellStyle name="Currency 3 7 2 8 2" xfId="24847" xr:uid="{3AFE5B1B-17AA-440A-8DF0-43B9864B6053}"/>
    <cellStyle name="Currency 3 7 2 9" xfId="15946" xr:uid="{4F83A1A0-D295-4688-BEEE-E7853149182C}"/>
    <cellStyle name="Currency 3 7 3" xfId="2990" xr:uid="{0647D2D0-A00C-4C8E-8A06-CDB3975B94B1}"/>
    <cellStyle name="Currency 3 7 3 2" xfId="5249" xr:uid="{6F6CFE91-64FA-47BE-90F0-E1C74FDC47D1}"/>
    <cellStyle name="Currency 3 7 3 2 2" xfId="6117" xr:uid="{5556D9D9-E351-4CB5-A142-ED83917C376A}"/>
    <cellStyle name="Currency 3 7 3 2 2 2" xfId="9589" xr:uid="{A1EC3374-B145-439B-842A-5EBF63289B92}"/>
    <cellStyle name="Currency 3 7 3 2 2 2 2" xfId="23640" xr:uid="{5C4A287B-7A80-4BCF-AF70-B237AC3418CA}"/>
    <cellStyle name="Currency 3 7 3 2 2 3" xfId="12193" xr:uid="{67F7C25F-F7CA-46FD-9ABA-BCFC3EBF5B13}"/>
    <cellStyle name="Currency 3 7 3 2 2 3 2" xfId="26244" xr:uid="{C7146BA8-1FFD-484E-BC01-20945B91F66E}"/>
    <cellStyle name="Currency 3 7 3 2 2 4" xfId="20168" xr:uid="{2FB5EF23-5A6A-4E88-82A8-93EEB72C29AB}"/>
    <cellStyle name="Currency 3 7 3 2 3" xfId="6985" xr:uid="{EC02EC45-600B-4390-9412-916CD812F1F7}"/>
    <cellStyle name="Currency 3 7 3 2 3 2" xfId="10457" xr:uid="{3E63EEDA-2BA2-432D-8BFF-5E1B810C5955}"/>
    <cellStyle name="Currency 3 7 3 2 3 2 2" xfId="24508" xr:uid="{4C3D8082-D3C2-475F-8892-C6D4DB962857}"/>
    <cellStyle name="Currency 3 7 3 2 3 3" xfId="13061" xr:uid="{3FC2F497-B0C5-4E2A-84FB-49AE99A86548}"/>
    <cellStyle name="Currency 3 7 3 2 3 3 2" xfId="27112" xr:uid="{2C61B4B1-8F02-4A50-B747-F8F5B1772A6F}"/>
    <cellStyle name="Currency 3 7 3 2 3 4" xfId="21036" xr:uid="{768F8FE1-5361-4C89-AAA0-2C7020AE4FF7}"/>
    <cellStyle name="Currency 3 7 3 2 4" xfId="8721" xr:uid="{9DA47F57-786D-4CC5-A509-4DFD2B4A2FB4}"/>
    <cellStyle name="Currency 3 7 3 2 4 2" xfId="13929" xr:uid="{D60C540B-2B6D-43B1-96A1-C14D67C716DD}"/>
    <cellStyle name="Currency 3 7 3 2 4 2 2" xfId="27980" xr:uid="{A057C86C-33E4-44B5-BCBF-B13C337BA807}"/>
    <cellStyle name="Currency 3 7 3 2 4 3" xfId="22772" xr:uid="{29F06407-48A9-41C6-A850-D1C44310EDB2}"/>
    <cellStyle name="Currency 3 7 3 2 5" xfId="7853" xr:uid="{1A736B95-946B-4714-9BEF-FBE34D990939}"/>
    <cellStyle name="Currency 3 7 3 2 5 2" xfId="21904" xr:uid="{0AB459BF-AAB0-433B-AD62-2993683FF4CE}"/>
    <cellStyle name="Currency 3 7 3 2 6" xfId="11325" xr:uid="{B96B3E00-9263-462C-99E0-5AF63D2DB6DF}"/>
    <cellStyle name="Currency 3 7 3 2 6 2" xfId="25376" xr:uid="{1B3114FD-B358-407A-971E-F9BDA2B583CF}"/>
    <cellStyle name="Currency 3 7 3 2 7" xfId="19300" xr:uid="{63912E4E-C3A4-4041-8797-656DE81603F1}"/>
    <cellStyle name="Currency 3 7 3 3" xfId="5683" xr:uid="{EAE31DE4-6A4F-4CAC-8B01-554837772D97}"/>
    <cellStyle name="Currency 3 7 3 3 2" xfId="9155" xr:uid="{D360E83B-B2F2-4A4D-98B8-437088A3A93E}"/>
    <cellStyle name="Currency 3 7 3 3 2 2" xfId="23206" xr:uid="{2960B86B-6499-43F6-860F-A3670A5F638A}"/>
    <cellStyle name="Currency 3 7 3 3 3" xfId="11759" xr:uid="{CF860AE0-4440-4EA6-B87F-51677DB8D315}"/>
    <cellStyle name="Currency 3 7 3 3 3 2" xfId="25810" xr:uid="{770FDF69-17FA-4F66-B38C-E2F041F1032B}"/>
    <cellStyle name="Currency 3 7 3 3 4" xfId="19734" xr:uid="{C7040A48-02C5-416A-AC71-2F1123544C47}"/>
    <cellStyle name="Currency 3 7 3 4" xfId="6551" xr:uid="{CC06B731-67ED-4F30-9700-76931025FAE6}"/>
    <cellStyle name="Currency 3 7 3 4 2" xfId="10023" xr:uid="{5175CB7B-5DFB-45DD-9D02-472701FDB373}"/>
    <cellStyle name="Currency 3 7 3 4 2 2" xfId="24074" xr:uid="{EFC5F3D0-652F-4705-9F65-06533BDAA015}"/>
    <cellStyle name="Currency 3 7 3 4 3" xfId="12627" xr:uid="{28E4E451-9831-4465-8F50-BEF6F09F1223}"/>
    <cellStyle name="Currency 3 7 3 4 3 2" xfId="26678" xr:uid="{632EDFB5-DA2F-450A-9A6A-671A2FD1CCA9}"/>
    <cellStyle name="Currency 3 7 3 4 4" xfId="20602" xr:uid="{35BC519B-ECE1-4038-8E62-E84BD380823A}"/>
    <cellStyle name="Currency 3 7 3 5" xfId="8287" xr:uid="{9710D90A-12E9-4323-8B60-14A58C8A0789}"/>
    <cellStyle name="Currency 3 7 3 5 2" xfId="13495" xr:uid="{0BD79F0F-D80A-4D36-A44E-7DA674B1572E}"/>
    <cellStyle name="Currency 3 7 3 5 2 2" xfId="27546" xr:uid="{42D485C8-3D34-42D6-B414-F70D30A4A52D}"/>
    <cellStyle name="Currency 3 7 3 5 3" xfId="22338" xr:uid="{CC337A16-434A-4277-88B8-B3E70149B087}"/>
    <cellStyle name="Currency 3 7 3 6" xfId="7419" xr:uid="{B216972C-99A5-4AA8-8934-F05DEAFB9101}"/>
    <cellStyle name="Currency 3 7 3 6 2" xfId="21470" xr:uid="{758B323B-F240-4635-999C-048F601A9C2D}"/>
    <cellStyle name="Currency 3 7 3 7" xfId="10891" xr:uid="{2C957082-C574-43D8-B76F-167D5B75944D}"/>
    <cellStyle name="Currency 3 7 3 7 2" xfId="24942" xr:uid="{43E853AB-A5CB-4B4B-BFF8-B807280C75D2}"/>
    <cellStyle name="Currency 3 7 3 8" xfId="17042" xr:uid="{91FACBFC-0111-47E3-9920-63E35E469A58}"/>
    <cellStyle name="Currency 3 7 4" xfId="5057" xr:uid="{56C414DF-6B47-4EBE-BB85-4821732BA29A}"/>
    <cellStyle name="Currency 3 7 4 2" xfId="5925" xr:uid="{549B02A4-B95E-4EB6-829E-61CE0978E400}"/>
    <cellStyle name="Currency 3 7 4 2 2" xfId="9397" xr:uid="{632BD243-FF1A-4DD8-A73C-4A2D7F7D2B23}"/>
    <cellStyle name="Currency 3 7 4 2 2 2" xfId="23448" xr:uid="{4EDFF55B-0231-4473-964F-396D45C4D3BB}"/>
    <cellStyle name="Currency 3 7 4 2 3" xfId="12001" xr:uid="{F9628930-CD74-435E-8A4E-43B6CF7E42B6}"/>
    <cellStyle name="Currency 3 7 4 2 3 2" xfId="26052" xr:uid="{9A807AE1-39BE-4324-859E-8B9CEF082A87}"/>
    <cellStyle name="Currency 3 7 4 2 4" xfId="19976" xr:uid="{1A521D13-E7E7-4985-8C44-A0639B3F3ACE}"/>
    <cellStyle name="Currency 3 7 4 3" xfId="6793" xr:uid="{6CAFFC9C-C709-4094-B8AF-EC4C1EA40003}"/>
    <cellStyle name="Currency 3 7 4 3 2" xfId="10265" xr:uid="{B3632B90-404D-41A9-9FD0-060F46A46209}"/>
    <cellStyle name="Currency 3 7 4 3 2 2" xfId="24316" xr:uid="{4FAC4C1B-997F-435D-96DE-00BC433AF7DE}"/>
    <cellStyle name="Currency 3 7 4 3 3" xfId="12869" xr:uid="{8B1600D7-2431-4D45-AAC1-B12F0FB46487}"/>
    <cellStyle name="Currency 3 7 4 3 3 2" xfId="26920" xr:uid="{BB7BB7C2-BA82-430C-AFA1-3DAB7DB63EBF}"/>
    <cellStyle name="Currency 3 7 4 3 4" xfId="20844" xr:uid="{A3DC5654-EC7F-4DBB-90A0-E3D05D5C199F}"/>
    <cellStyle name="Currency 3 7 4 4" xfId="8529" xr:uid="{92892AEF-F4C6-42FE-A60C-6B0F7F84B68B}"/>
    <cellStyle name="Currency 3 7 4 4 2" xfId="13737" xr:uid="{B998208F-52E5-4122-A2D7-FF3487F41023}"/>
    <cellStyle name="Currency 3 7 4 4 2 2" xfId="27788" xr:uid="{121C6262-B886-49CA-B374-B375E0C9641A}"/>
    <cellStyle name="Currency 3 7 4 4 3" xfId="22580" xr:uid="{3ACB19A3-1BAA-45B0-9E6A-95EEF111C3E2}"/>
    <cellStyle name="Currency 3 7 4 5" xfId="7661" xr:uid="{E3637EB8-D4A7-4B92-9A8B-F401DB3CEE58}"/>
    <cellStyle name="Currency 3 7 4 5 2" xfId="21712" xr:uid="{3EAFC707-7229-4DD5-8E32-3FD6D63D1762}"/>
    <cellStyle name="Currency 3 7 4 6" xfId="11133" xr:uid="{626D6F33-7D22-4041-8B92-86E46FC341DD}"/>
    <cellStyle name="Currency 3 7 4 6 2" xfId="25184" xr:uid="{BF4AFFD3-78E2-4D39-95D7-5B34369C3202}"/>
    <cellStyle name="Currency 3 7 4 7" xfId="19108" xr:uid="{24133E05-CE0D-4535-A9A5-F3112908F88B}"/>
    <cellStyle name="Currency 3 7 5" xfId="5491" xr:uid="{B9316847-D249-48FE-91B3-13381C457C92}"/>
    <cellStyle name="Currency 3 7 5 2" xfId="8963" xr:uid="{5C5CFCCC-9493-49AD-BF69-7A3591DB5574}"/>
    <cellStyle name="Currency 3 7 5 2 2" xfId="23014" xr:uid="{DFEB6131-81B3-4C74-960A-56643ACA25F4}"/>
    <cellStyle name="Currency 3 7 5 3" xfId="11567" xr:uid="{B396FB8B-D0F5-4DAE-AFF5-0C7D641BDCDA}"/>
    <cellStyle name="Currency 3 7 5 3 2" xfId="25618" xr:uid="{FAC803DA-00A6-4C01-B558-4904D7EC50A3}"/>
    <cellStyle name="Currency 3 7 5 4" xfId="19542" xr:uid="{143E4BC6-45D7-4F93-B3D1-D3AF52BCD857}"/>
    <cellStyle name="Currency 3 7 6" xfId="6359" xr:uid="{CB780014-A827-4C5C-BC39-A56F03128B96}"/>
    <cellStyle name="Currency 3 7 6 2" xfId="9831" xr:uid="{544D8650-95E0-4BCE-9BED-3FC0648D83B5}"/>
    <cellStyle name="Currency 3 7 6 2 2" xfId="23882" xr:uid="{CD1E60F5-D48E-4513-9418-F296116D76EC}"/>
    <cellStyle name="Currency 3 7 6 3" xfId="12435" xr:uid="{50910A7F-C434-4CF9-A7EA-8C9BD590478A}"/>
    <cellStyle name="Currency 3 7 6 3 2" xfId="26486" xr:uid="{03CD3089-0A82-4362-B831-F35AC360F4E0}"/>
    <cellStyle name="Currency 3 7 6 4" xfId="20410" xr:uid="{868CA137-7FF1-4DB8-B84F-3C5C48EFF033}"/>
    <cellStyle name="Currency 3 7 7" xfId="8095" xr:uid="{B217B388-CC92-4579-85AC-43510FC90D4F}"/>
    <cellStyle name="Currency 3 7 7 2" xfId="13303" xr:uid="{2455AB14-8509-4A86-A1DA-ADB689CE4321}"/>
    <cellStyle name="Currency 3 7 7 2 2" xfId="27354" xr:uid="{BC59B092-9CF5-4AD9-A297-659966274DE0}"/>
    <cellStyle name="Currency 3 7 7 3" xfId="22146" xr:uid="{AC3736E4-3CC3-4A80-9A47-D2FAF623B887}"/>
    <cellStyle name="Currency 3 7 8" xfId="7227" xr:uid="{1D8B6015-5423-4BD8-8D36-38314663F9F8}"/>
    <cellStyle name="Currency 3 7 8 2" xfId="21278" xr:uid="{CE12A9A1-78C8-4231-AE0D-6DCBE5936B36}"/>
    <cellStyle name="Currency 3 7 9" xfId="10699" xr:uid="{91DAC3D7-A6B1-4383-8CDF-CFBF63386FF4}"/>
    <cellStyle name="Currency 3 7 9 2" xfId="24750" xr:uid="{EA69652B-7F80-404F-87FC-E5B0FFE8AEF8}"/>
    <cellStyle name="Currency 3 8" xfId="1142" xr:uid="{8E6408E7-68CA-461C-BD11-ECE78F803789}"/>
    <cellStyle name="Currency 3 8 10" xfId="15193" xr:uid="{0C790EF0-CC52-4A9A-8FA5-17C53226DF76}"/>
    <cellStyle name="Currency 3 8 2" xfId="2242" xr:uid="{0F8886FB-AA9A-42B9-B0A8-4CB17E22716D}"/>
    <cellStyle name="Currency 3 8 2 2" xfId="4431" xr:uid="{F7424D85-0550-4192-B64B-CB2DAECDDFEE}"/>
    <cellStyle name="Currency 3 8 2 2 2" xfId="5374" xr:uid="{272D448B-C2C7-4335-9FEE-06659241F6C4}"/>
    <cellStyle name="Currency 3 8 2 2 2 2" xfId="6242" xr:uid="{662FAB6B-3B9E-46BC-9644-9B5782C8BF8E}"/>
    <cellStyle name="Currency 3 8 2 2 2 2 2" xfId="9714" xr:uid="{4696BB18-A3E4-4A1B-BD8A-C13235E39819}"/>
    <cellStyle name="Currency 3 8 2 2 2 2 2 2" xfId="23765" xr:uid="{ADEF73C7-4682-4888-8B4A-0667727773E8}"/>
    <cellStyle name="Currency 3 8 2 2 2 2 3" xfId="12318" xr:uid="{E31B5DC2-BA4C-43BE-9EC8-C3617B8AE5C4}"/>
    <cellStyle name="Currency 3 8 2 2 2 2 3 2" xfId="26369" xr:uid="{9E096CCC-5501-4074-84F1-2EEE85A8A989}"/>
    <cellStyle name="Currency 3 8 2 2 2 2 4" xfId="20293" xr:uid="{48B0F867-E2FB-42BE-A82F-CFE4FF6C44B8}"/>
    <cellStyle name="Currency 3 8 2 2 2 3" xfId="7110" xr:uid="{4F84769A-AE18-49CA-A8B9-12EE589E6B72}"/>
    <cellStyle name="Currency 3 8 2 2 2 3 2" xfId="10582" xr:uid="{68E991C6-A7A7-4A2D-B5D1-D81CB2B96E8A}"/>
    <cellStyle name="Currency 3 8 2 2 2 3 2 2" xfId="24633" xr:uid="{8A9AEBE1-0CAB-4F75-89D3-37DFA694D333}"/>
    <cellStyle name="Currency 3 8 2 2 2 3 3" xfId="13186" xr:uid="{475FF00A-0D05-4ECA-ACDA-89640453F821}"/>
    <cellStyle name="Currency 3 8 2 2 2 3 3 2" xfId="27237" xr:uid="{FF3DF9BF-2CA5-4C3F-A4D9-88E2AE7E7893}"/>
    <cellStyle name="Currency 3 8 2 2 2 3 4" xfId="21161" xr:uid="{A8C740A7-38AF-4EC1-B037-428FBF167A7B}"/>
    <cellStyle name="Currency 3 8 2 2 2 4" xfId="8846" xr:uid="{CEAB2F67-09E9-43E7-8DA5-F655AA69EA61}"/>
    <cellStyle name="Currency 3 8 2 2 2 4 2" xfId="14054" xr:uid="{8CEE07CF-D30C-4AD0-B4A5-A443375676B1}"/>
    <cellStyle name="Currency 3 8 2 2 2 4 2 2" xfId="28105" xr:uid="{B98BDF9F-7F99-4AE1-A84B-D6FEE80514A7}"/>
    <cellStyle name="Currency 3 8 2 2 2 4 3" xfId="22897" xr:uid="{342227A0-FBD4-4088-85D5-36830ABABC18}"/>
    <cellStyle name="Currency 3 8 2 2 2 5" xfId="7978" xr:uid="{EA64598C-23D3-41B4-8EA4-6C4EACA9C3B4}"/>
    <cellStyle name="Currency 3 8 2 2 2 5 2" xfId="22029" xr:uid="{69A6813D-EF67-46DC-8F2A-432F2D50C654}"/>
    <cellStyle name="Currency 3 8 2 2 2 6" xfId="11450" xr:uid="{99E449B4-6A08-4782-B4FB-E06F649CA86A}"/>
    <cellStyle name="Currency 3 8 2 2 2 6 2" xfId="25501" xr:uid="{D4659942-D571-47B0-9ECD-92A70CFC4300}"/>
    <cellStyle name="Currency 3 8 2 2 2 7" xfId="19425" xr:uid="{CA3A09A1-0EE8-497D-AFDE-B707DFBB24BC}"/>
    <cellStyle name="Currency 3 8 2 2 3" xfId="5808" xr:uid="{BAE25D14-5A79-4C4A-A69B-215151A12171}"/>
    <cellStyle name="Currency 3 8 2 2 3 2" xfId="9280" xr:uid="{4405E6CB-4D0E-493E-B205-8FF8D30084CA}"/>
    <cellStyle name="Currency 3 8 2 2 3 2 2" xfId="23331" xr:uid="{B6A89436-4724-40B2-9396-3585C4DEA7D1}"/>
    <cellStyle name="Currency 3 8 2 2 3 3" xfId="11884" xr:uid="{1440EAD7-156C-4770-9C6B-E51B0424FC93}"/>
    <cellStyle name="Currency 3 8 2 2 3 3 2" xfId="25935" xr:uid="{E23C6C18-B414-4D67-BE26-5AB70A307940}"/>
    <cellStyle name="Currency 3 8 2 2 3 4" xfId="19859" xr:uid="{DC8030BB-702A-4CFB-A011-3C31BADDB7FA}"/>
    <cellStyle name="Currency 3 8 2 2 4" xfId="6676" xr:uid="{5E2E1465-5C49-4968-A615-A3BF309D073A}"/>
    <cellStyle name="Currency 3 8 2 2 4 2" xfId="10148" xr:uid="{9C683CA6-749D-47CF-8586-3F4E1CA4B2FD}"/>
    <cellStyle name="Currency 3 8 2 2 4 2 2" xfId="24199" xr:uid="{5482B302-F182-47D3-8F9F-C64BA625CE7E}"/>
    <cellStyle name="Currency 3 8 2 2 4 3" xfId="12752" xr:uid="{BF41CDB9-AAF4-45D9-B97F-5CDAD8DB4AB7}"/>
    <cellStyle name="Currency 3 8 2 2 4 3 2" xfId="26803" xr:uid="{FE5B5079-D547-4906-B8B7-07FB9C354466}"/>
    <cellStyle name="Currency 3 8 2 2 4 4" xfId="20727" xr:uid="{06B933B7-B373-4DEA-959B-BE13973B6EAA}"/>
    <cellStyle name="Currency 3 8 2 2 5" xfId="8412" xr:uid="{9370E58E-B31F-4F58-BBE0-800B1C5A64B7}"/>
    <cellStyle name="Currency 3 8 2 2 5 2" xfId="13620" xr:uid="{5B9D6F49-A8CF-469D-AF6B-F299EE6AE855}"/>
    <cellStyle name="Currency 3 8 2 2 5 2 2" xfId="27671" xr:uid="{574A80DB-CDAB-46A7-815A-5E8E08AF0736}"/>
    <cellStyle name="Currency 3 8 2 2 5 3" xfId="22463" xr:uid="{AD750627-27EF-4175-8150-684CB9227A19}"/>
    <cellStyle name="Currency 3 8 2 2 6" xfId="7544" xr:uid="{F50DF18C-3554-4E31-9FF1-508F6E816181}"/>
    <cellStyle name="Currency 3 8 2 2 6 2" xfId="21595" xr:uid="{E8056A22-B8AB-464D-86C3-75199B2E9437}"/>
    <cellStyle name="Currency 3 8 2 2 7" xfId="11016" xr:uid="{B8E1AE74-5A85-48BD-8A51-AFC0A79CC83C}"/>
    <cellStyle name="Currency 3 8 2 2 7 2" xfId="25067" xr:uid="{4374B990-CFC4-47FE-8B39-8F5B82EE6F55}"/>
    <cellStyle name="Currency 3 8 2 2 8" xfId="18481" xr:uid="{506332FA-7022-4505-9482-30EEAFC8ADCC}"/>
    <cellStyle name="Currency 3 8 2 3" xfId="5184" xr:uid="{DFD19B8A-6D69-43AA-BFC8-CC5DD40FAA9A}"/>
    <cellStyle name="Currency 3 8 2 3 2" xfId="6052" xr:uid="{BF44829B-1151-40A4-BD20-30C5C8E3D3A5}"/>
    <cellStyle name="Currency 3 8 2 3 2 2" xfId="9524" xr:uid="{114531AF-7553-49D6-BFFB-6E0EBA1BDCE6}"/>
    <cellStyle name="Currency 3 8 2 3 2 2 2" xfId="23575" xr:uid="{C2A6FBB1-82B3-4823-9ECB-B6C4B72A5E5C}"/>
    <cellStyle name="Currency 3 8 2 3 2 3" xfId="12128" xr:uid="{AF18238C-9C4B-4878-9920-EB331F10232C}"/>
    <cellStyle name="Currency 3 8 2 3 2 3 2" xfId="26179" xr:uid="{09264123-96DC-4DDF-9CC3-043C6DCEF1BE}"/>
    <cellStyle name="Currency 3 8 2 3 2 4" xfId="20103" xr:uid="{99576BA0-8E09-4DDD-B7DB-F438D7886ED3}"/>
    <cellStyle name="Currency 3 8 2 3 3" xfId="6920" xr:uid="{F284C360-9D58-4245-95E9-6D3F3FEF1459}"/>
    <cellStyle name="Currency 3 8 2 3 3 2" xfId="10392" xr:uid="{FD35AB11-561E-4AA7-9C13-1D6140D10C97}"/>
    <cellStyle name="Currency 3 8 2 3 3 2 2" xfId="24443" xr:uid="{F6581BFC-597E-4AE6-B263-6E09D498982A}"/>
    <cellStyle name="Currency 3 8 2 3 3 3" xfId="12996" xr:uid="{99779301-8BDC-4BE7-84F0-9D7734445A03}"/>
    <cellStyle name="Currency 3 8 2 3 3 3 2" xfId="27047" xr:uid="{48E06116-2166-41B6-8678-61C747A732CB}"/>
    <cellStyle name="Currency 3 8 2 3 3 4" xfId="20971" xr:uid="{679B5B3E-6E0D-475C-99D6-2135E2C0360B}"/>
    <cellStyle name="Currency 3 8 2 3 4" xfId="8656" xr:uid="{6A86FE4C-7FC4-4C03-82B6-2FF020B01E4F}"/>
    <cellStyle name="Currency 3 8 2 3 4 2" xfId="13864" xr:uid="{3F042F92-D270-458A-9DFB-D89990B08D5F}"/>
    <cellStyle name="Currency 3 8 2 3 4 2 2" xfId="27915" xr:uid="{1DCD9528-B1AF-4B3A-8F89-7A7180B5AFEA}"/>
    <cellStyle name="Currency 3 8 2 3 4 3" xfId="22707" xr:uid="{A39B63ED-0DF6-40CB-8935-932BEF243A0C}"/>
    <cellStyle name="Currency 3 8 2 3 5" xfId="7788" xr:uid="{CD46BF34-55C6-4241-9118-CEF18D88ED0E}"/>
    <cellStyle name="Currency 3 8 2 3 5 2" xfId="21839" xr:uid="{D6483462-9DED-4614-B96D-F496FD6C50C0}"/>
    <cellStyle name="Currency 3 8 2 3 6" xfId="11260" xr:uid="{45951BA8-30A9-4632-96E2-5D65F157F204}"/>
    <cellStyle name="Currency 3 8 2 3 6 2" xfId="25311" xr:uid="{E95D989A-8906-4084-9AE6-7CDE3BBD1125}"/>
    <cellStyle name="Currency 3 8 2 3 7" xfId="19235" xr:uid="{2716DFF6-C4AF-4E32-A0BE-BE3DDA39A92E}"/>
    <cellStyle name="Currency 3 8 2 4" xfId="5618" xr:uid="{9A9624AB-81D7-43A2-B1D9-99452BECF49F}"/>
    <cellStyle name="Currency 3 8 2 4 2" xfId="9090" xr:uid="{5E0272A1-C68F-453C-9EED-C7267359A1AA}"/>
    <cellStyle name="Currency 3 8 2 4 2 2" xfId="23141" xr:uid="{83449232-BBC3-472C-AC42-E87E8E20D7E4}"/>
    <cellStyle name="Currency 3 8 2 4 3" xfId="11694" xr:uid="{12DF6827-55E3-4869-B974-8E530996C9A3}"/>
    <cellStyle name="Currency 3 8 2 4 3 2" xfId="25745" xr:uid="{39190E62-5B2E-49E0-89A7-B82818282274}"/>
    <cellStyle name="Currency 3 8 2 4 4" xfId="19669" xr:uid="{514BAFF0-CCAE-46F4-A633-FD4AA02A5E02}"/>
    <cellStyle name="Currency 3 8 2 5" xfId="6486" xr:uid="{844E17E5-39D8-4369-835C-4DC73D8323F7}"/>
    <cellStyle name="Currency 3 8 2 5 2" xfId="9958" xr:uid="{9421F8D5-8F5C-4428-B2E1-F4AE31522BAB}"/>
    <cellStyle name="Currency 3 8 2 5 2 2" xfId="24009" xr:uid="{9163A5B8-B3DA-4CFF-8D16-71071B96594B}"/>
    <cellStyle name="Currency 3 8 2 5 3" xfId="12562" xr:uid="{D8E5907A-5E0F-487C-A822-DF96A268BF63}"/>
    <cellStyle name="Currency 3 8 2 5 3 2" xfId="26613" xr:uid="{767CD7D9-0E72-4E59-9D70-5E4CBFFF457D}"/>
    <cellStyle name="Currency 3 8 2 5 4" xfId="20537" xr:uid="{A2AF471F-5B95-4A69-9CB2-56D4F6713D95}"/>
    <cellStyle name="Currency 3 8 2 6" xfId="8222" xr:uid="{5DD65310-9392-442A-ABE0-7EB08E684C7B}"/>
    <cellStyle name="Currency 3 8 2 6 2" xfId="13430" xr:uid="{EE9CE5C5-F9EE-43BF-B346-E51B71B9FAC7}"/>
    <cellStyle name="Currency 3 8 2 6 2 2" xfId="27481" xr:uid="{7CD804ED-C420-445D-80E6-0E46CFFA0A7C}"/>
    <cellStyle name="Currency 3 8 2 6 3" xfId="22273" xr:uid="{7A9E46D0-B226-4222-906A-FA6145C7C751}"/>
    <cellStyle name="Currency 3 8 2 7" xfId="7354" xr:uid="{C87C5C46-74E1-46DE-90DC-B2DD8216A3C5}"/>
    <cellStyle name="Currency 3 8 2 7 2" xfId="21405" xr:uid="{C2D4FDCF-693B-48EF-BB53-FA8BC18CD1A5}"/>
    <cellStyle name="Currency 3 8 2 8" xfId="10826" xr:uid="{2694E1A5-DCB4-4BB8-934A-C606DB6F8901}"/>
    <cellStyle name="Currency 3 8 2 8 2" xfId="24877" xr:uid="{35FB95A9-3DC6-4581-A7C2-B94DD01FC38D}"/>
    <cellStyle name="Currency 3 8 2 9" xfId="16291" xr:uid="{F502C8EE-AC91-4AE0-BB7B-6532A0830FB0}"/>
    <cellStyle name="Currency 3 8 3" xfId="3335" xr:uid="{1BCA529D-9511-4D7A-9A69-A1035068ECFD}"/>
    <cellStyle name="Currency 3 8 3 2" xfId="5279" xr:uid="{8790D7CE-7905-4941-99C8-BBF2209096CB}"/>
    <cellStyle name="Currency 3 8 3 2 2" xfId="6147" xr:uid="{7FB97423-998B-415D-8BA9-4CCF91A66902}"/>
    <cellStyle name="Currency 3 8 3 2 2 2" xfId="9619" xr:uid="{0D824507-308D-4ED3-9198-DD0D375D4096}"/>
    <cellStyle name="Currency 3 8 3 2 2 2 2" xfId="23670" xr:uid="{FA4BDE52-E0AF-4898-9BE1-4BD70D68533A}"/>
    <cellStyle name="Currency 3 8 3 2 2 3" xfId="12223" xr:uid="{F8354F86-0E67-4E29-BB79-A402D66E68E1}"/>
    <cellStyle name="Currency 3 8 3 2 2 3 2" xfId="26274" xr:uid="{D1255014-094B-4318-96C0-EAD4AEFCF553}"/>
    <cellStyle name="Currency 3 8 3 2 2 4" xfId="20198" xr:uid="{ECBB448F-FFFD-4A33-AF83-6DE2F5B862B9}"/>
    <cellStyle name="Currency 3 8 3 2 3" xfId="7015" xr:uid="{CD4BB7AB-018E-4DE9-ABB7-2FF218306555}"/>
    <cellStyle name="Currency 3 8 3 2 3 2" xfId="10487" xr:uid="{E62B9F84-F04F-4E8C-8225-BAB93A9916B8}"/>
    <cellStyle name="Currency 3 8 3 2 3 2 2" xfId="24538" xr:uid="{0D241663-B309-48E2-8295-5AD893F0ACD4}"/>
    <cellStyle name="Currency 3 8 3 2 3 3" xfId="13091" xr:uid="{FCA1C2AB-C39D-47C7-A5C5-F08A5B9E59CE}"/>
    <cellStyle name="Currency 3 8 3 2 3 3 2" xfId="27142" xr:uid="{8125DF44-5FF0-49BD-91F2-1F9D626AB954}"/>
    <cellStyle name="Currency 3 8 3 2 3 4" xfId="21066" xr:uid="{1969D44A-49B3-4AEA-8943-61725D9A4BC8}"/>
    <cellStyle name="Currency 3 8 3 2 4" xfId="8751" xr:uid="{91ADA122-FF97-46C6-BC49-1E1901D9D97C}"/>
    <cellStyle name="Currency 3 8 3 2 4 2" xfId="13959" xr:uid="{6B635A9C-4890-4152-9279-1EF8E0DEC30B}"/>
    <cellStyle name="Currency 3 8 3 2 4 2 2" xfId="28010" xr:uid="{26212A31-E4A8-493D-95B8-6712CF8C4E3C}"/>
    <cellStyle name="Currency 3 8 3 2 4 3" xfId="22802" xr:uid="{37F908D3-B87B-4962-ACDC-5B635492CA5F}"/>
    <cellStyle name="Currency 3 8 3 2 5" xfId="7883" xr:uid="{5E871219-A5B1-48C2-B834-D257344222D0}"/>
    <cellStyle name="Currency 3 8 3 2 5 2" xfId="21934" xr:uid="{57191081-2009-4B39-AAF7-691F8FFE2058}"/>
    <cellStyle name="Currency 3 8 3 2 6" xfId="11355" xr:uid="{C21940AB-A585-4B48-9B59-D970245436AE}"/>
    <cellStyle name="Currency 3 8 3 2 6 2" xfId="25406" xr:uid="{CD70C1AA-9600-4489-935F-B7CE0194951F}"/>
    <cellStyle name="Currency 3 8 3 2 7" xfId="19330" xr:uid="{D43B19E2-9E20-47A3-B62A-ACEFAFEF5573}"/>
    <cellStyle name="Currency 3 8 3 3" xfId="5713" xr:uid="{2C52459A-3022-49B2-BA27-B3B8C1450AEE}"/>
    <cellStyle name="Currency 3 8 3 3 2" xfId="9185" xr:uid="{90220B92-954B-4A77-A57C-EB5499682D2A}"/>
    <cellStyle name="Currency 3 8 3 3 2 2" xfId="23236" xr:uid="{851BD5CB-78F9-4759-8A73-2478ECB89872}"/>
    <cellStyle name="Currency 3 8 3 3 3" xfId="11789" xr:uid="{1D5F1D35-D49A-48A3-B7B0-7A7CF0561DCF}"/>
    <cellStyle name="Currency 3 8 3 3 3 2" xfId="25840" xr:uid="{86E665E3-7748-47FE-BCE5-B86B6A127A7B}"/>
    <cellStyle name="Currency 3 8 3 3 4" xfId="19764" xr:uid="{306B9F46-EE0A-4058-8459-AC6E79DB79F4}"/>
    <cellStyle name="Currency 3 8 3 4" xfId="6581" xr:uid="{89254460-DA8D-471D-A2CB-D7B0C94E33AD}"/>
    <cellStyle name="Currency 3 8 3 4 2" xfId="10053" xr:uid="{8BE0EBDB-13EC-499A-A901-E9572959F1E1}"/>
    <cellStyle name="Currency 3 8 3 4 2 2" xfId="24104" xr:uid="{5CEB7989-013B-4682-80E5-748B2BD48DB8}"/>
    <cellStyle name="Currency 3 8 3 4 3" xfId="12657" xr:uid="{E9E45FC0-3329-40CF-9B04-EB344B9DC3D1}"/>
    <cellStyle name="Currency 3 8 3 4 3 2" xfId="26708" xr:uid="{4CC88721-082C-4AEC-8F05-F154FB260E1A}"/>
    <cellStyle name="Currency 3 8 3 4 4" xfId="20632" xr:uid="{F52C920F-75AF-45DE-BDD0-58256F8765BA}"/>
    <cellStyle name="Currency 3 8 3 5" xfId="8317" xr:uid="{FFDD8C8A-6D76-48A8-81B1-798953E5FF0F}"/>
    <cellStyle name="Currency 3 8 3 5 2" xfId="13525" xr:uid="{EB4EAD4D-6779-4A81-8E8F-C1B5B8C58EAB}"/>
    <cellStyle name="Currency 3 8 3 5 2 2" xfId="27576" xr:uid="{1C23CCB6-B786-4C0B-B4AE-03EC52041589}"/>
    <cellStyle name="Currency 3 8 3 5 3" xfId="22368" xr:uid="{05A586D3-02A0-4DAA-AECD-C1C53802071F}"/>
    <cellStyle name="Currency 3 8 3 6" xfId="7449" xr:uid="{F357EE47-554B-4F3A-8232-794033F186E2}"/>
    <cellStyle name="Currency 3 8 3 6 2" xfId="21500" xr:uid="{9856A5E6-665E-4D61-A5CE-5DB6A318DC68}"/>
    <cellStyle name="Currency 3 8 3 7" xfId="10921" xr:uid="{ACE8844B-A080-42F7-8A2F-5FDCA729AFFC}"/>
    <cellStyle name="Currency 3 8 3 7 2" xfId="24972" xr:uid="{295F493D-6E39-474E-A261-C8A67DC2F95D}"/>
    <cellStyle name="Currency 3 8 3 8" xfId="17387" xr:uid="{4AA691F2-643F-41C2-9C21-7D319CFFF6BA}"/>
    <cellStyle name="Currency 3 8 4" xfId="5087" xr:uid="{7DA4AE0D-44CC-4DCB-AC77-CF37F39B0187}"/>
    <cellStyle name="Currency 3 8 4 2" xfId="5955" xr:uid="{FD4938A1-A27B-4C08-9F73-3E737DE3EBE8}"/>
    <cellStyle name="Currency 3 8 4 2 2" xfId="9427" xr:uid="{0D0C75BD-7F3C-46DC-92E2-81D6D3B6F753}"/>
    <cellStyle name="Currency 3 8 4 2 2 2" xfId="23478" xr:uid="{DFC87EC5-D271-479F-813D-994E321E51B9}"/>
    <cellStyle name="Currency 3 8 4 2 3" xfId="12031" xr:uid="{9D505EC6-27AF-4C1F-B254-53435BB1133A}"/>
    <cellStyle name="Currency 3 8 4 2 3 2" xfId="26082" xr:uid="{4A0F4066-6427-477A-A3B5-79265E6F7ECD}"/>
    <cellStyle name="Currency 3 8 4 2 4" xfId="20006" xr:uid="{A80D144E-81AF-47A5-85DF-BB4DD01B7915}"/>
    <cellStyle name="Currency 3 8 4 3" xfId="6823" xr:uid="{B3B23C76-F506-40A1-AF0B-D04611BEE76F}"/>
    <cellStyle name="Currency 3 8 4 3 2" xfId="10295" xr:uid="{88B7FF9B-5C7C-49AB-9FE7-7563A4D03D20}"/>
    <cellStyle name="Currency 3 8 4 3 2 2" xfId="24346" xr:uid="{1B477165-3B42-4BF0-BA05-D9F5FB2E4474}"/>
    <cellStyle name="Currency 3 8 4 3 3" xfId="12899" xr:uid="{161EC68A-6617-4D1B-87E5-E985DA901081}"/>
    <cellStyle name="Currency 3 8 4 3 3 2" xfId="26950" xr:uid="{FEC72C66-CF91-42CF-9367-08EA63911F38}"/>
    <cellStyle name="Currency 3 8 4 3 4" xfId="20874" xr:uid="{B1544A48-0AF9-40F9-8F19-DD032955D06B}"/>
    <cellStyle name="Currency 3 8 4 4" xfId="8559" xr:uid="{803483FD-1461-4796-916E-5251EEDCB32B}"/>
    <cellStyle name="Currency 3 8 4 4 2" xfId="13767" xr:uid="{D38CA27D-CBFE-4E2D-A6DB-15251510A70E}"/>
    <cellStyle name="Currency 3 8 4 4 2 2" xfId="27818" xr:uid="{3F1D4C36-D598-46B0-8B75-CF3743C2E306}"/>
    <cellStyle name="Currency 3 8 4 4 3" xfId="22610" xr:uid="{197B08A4-4D3B-4202-BAF3-89C74A539B45}"/>
    <cellStyle name="Currency 3 8 4 5" xfId="7691" xr:uid="{256A1D10-D338-4484-8B08-9A0DCDAA9CC7}"/>
    <cellStyle name="Currency 3 8 4 5 2" xfId="21742" xr:uid="{D1619E6F-A1CA-4792-ADF4-0505F39B2F4D}"/>
    <cellStyle name="Currency 3 8 4 6" xfId="11163" xr:uid="{6E057744-1942-4C75-9667-4047C448A6B1}"/>
    <cellStyle name="Currency 3 8 4 6 2" xfId="25214" xr:uid="{CB3C80A2-3C17-47E0-B2E0-E9469D4C77A7}"/>
    <cellStyle name="Currency 3 8 4 7" xfId="19138" xr:uid="{219E17EE-3EC3-46FE-B6F5-3B1B4EE4FACA}"/>
    <cellStyle name="Currency 3 8 5" xfId="5521" xr:uid="{6724AB43-01F4-4489-8F40-335764F25FF8}"/>
    <cellStyle name="Currency 3 8 5 2" xfId="8993" xr:uid="{18D631F3-BD43-4D46-A23D-0F2939C590F5}"/>
    <cellStyle name="Currency 3 8 5 2 2" xfId="23044" xr:uid="{E74C0EA1-10D3-413F-AA3A-C8F2391469CF}"/>
    <cellStyle name="Currency 3 8 5 3" xfId="11597" xr:uid="{D2DEF3FB-4023-447A-AFE2-3ABD1A9C6F00}"/>
    <cellStyle name="Currency 3 8 5 3 2" xfId="25648" xr:uid="{6176C13D-D491-4B19-8DF8-D57327BB36DC}"/>
    <cellStyle name="Currency 3 8 5 4" xfId="19572" xr:uid="{568305CD-194D-4DD8-8292-403953EF6259}"/>
    <cellStyle name="Currency 3 8 6" xfId="6389" xr:uid="{03B58DD3-D260-4025-BD05-2D97310DB588}"/>
    <cellStyle name="Currency 3 8 6 2" xfId="9861" xr:uid="{8E0FFABC-2AED-47A8-B154-70BAD8087451}"/>
    <cellStyle name="Currency 3 8 6 2 2" xfId="23912" xr:uid="{4FCF23C5-112C-4EF9-BDC7-81ABAFAA5742}"/>
    <cellStyle name="Currency 3 8 6 3" xfId="12465" xr:uid="{88FD3F78-F570-4492-956C-A1049FB831B1}"/>
    <cellStyle name="Currency 3 8 6 3 2" xfId="26516" xr:uid="{04335D11-FB2B-472F-8CEC-7DDF534A82B3}"/>
    <cellStyle name="Currency 3 8 6 4" xfId="20440" xr:uid="{24D82152-EAD1-49C6-9228-8BDED276D9DF}"/>
    <cellStyle name="Currency 3 8 7" xfId="8125" xr:uid="{883B2EDE-069B-4A1A-A8A8-9DB3482A7C48}"/>
    <cellStyle name="Currency 3 8 7 2" xfId="13333" xr:uid="{7A2987F8-3026-446E-A56C-6CA65024DD98}"/>
    <cellStyle name="Currency 3 8 7 2 2" xfId="27384" xr:uid="{D013C31B-934A-47C2-8A67-37F8C9F2075A}"/>
    <cellStyle name="Currency 3 8 7 3" xfId="22176" xr:uid="{83D9AE93-F7D8-466D-AC7F-7A45315ECC63}"/>
    <cellStyle name="Currency 3 8 8" xfId="7257" xr:uid="{CCB4AEC4-0B27-4102-9FD3-BD403CF221DF}"/>
    <cellStyle name="Currency 3 8 8 2" xfId="21308" xr:uid="{42FCD3C4-A03C-4A76-8280-213E0EAE7BA9}"/>
    <cellStyle name="Currency 3 8 9" xfId="10729" xr:uid="{F5415601-4290-4FE3-99EA-7E87D585DA8B}"/>
    <cellStyle name="Currency 3 8 9 2" xfId="24780" xr:uid="{B22AB0D4-0110-45C0-813E-78E469D35032}"/>
    <cellStyle name="Currency 3 9" xfId="1206" xr:uid="{529A8840-F855-44E6-8EA4-E8C69DBE4276}"/>
    <cellStyle name="Currency 3 9 2" xfId="3396" xr:uid="{C361833F-1936-4C35-90FD-5704FA798148}"/>
    <cellStyle name="Currency 3 9 2 2" xfId="5285" xr:uid="{C322595C-6BBC-4F79-992E-4ED950001408}"/>
    <cellStyle name="Currency 3 9 2 2 2" xfId="6153" xr:uid="{6EB2BED6-82AD-4EC5-9FCD-53D6A1B09DD9}"/>
    <cellStyle name="Currency 3 9 2 2 2 2" xfId="9625" xr:uid="{C10CA3E3-11D2-45BC-A7FA-BD513C1AC98B}"/>
    <cellStyle name="Currency 3 9 2 2 2 2 2" xfId="23676" xr:uid="{86DC955C-A809-467D-AF61-77BB09DD675E}"/>
    <cellStyle name="Currency 3 9 2 2 2 3" xfId="12229" xr:uid="{BEEF262C-3673-4DE0-8AD1-6A295CCB5256}"/>
    <cellStyle name="Currency 3 9 2 2 2 3 2" xfId="26280" xr:uid="{A40660BD-E234-4EA9-A38B-5ED41F33F1D4}"/>
    <cellStyle name="Currency 3 9 2 2 2 4" xfId="20204" xr:uid="{237FA32E-D558-4EF2-9E36-3E85D357778F}"/>
    <cellStyle name="Currency 3 9 2 2 3" xfId="7021" xr:uid="{FC81126E-97AC-4351-8399-186A94293D88}"/>
    <cellStyle name="Currency 3 9 2 2 3 2" xfId="10493" xr:uid="{9662C3FB-E920-4DC1-B919-65B9064272BA}"/>
    <cellStyle name="Currency 3 9 2 2 3 2 2" xfId="24544" xr:uid="{5E888452-CECA-4AE1-9553-AC62248B37F0}"/>
    <cellStyle name="Currency 3 9 2 2 3 3" xfId="13097" xr:uid="{EF17C7B0-2A7E-484C-83C1-96EA4D4ACD49}"/>
    <cellStyle name="Currency 3 9 2 2 3 3 2" xfId="27148" xr:uid="{6708568A-B4AC-4CE0-A69D-3297FC00C61C}"/>
    <cellStyle name="Currency 3 9 2 2 3 4" xfId="21072" xr:uid="{6CE7E6A4-3A02-4C3E-9618-D835E2300585}"/>
    <cellStyle name="Currency 3 9 2 2 4" xfId="8757" xr:uid="{F4E00018-C354-4CFE-8818-016CBCC16024}"/>
    <cellStyle name="Currency 3 9 2 2 4 2" xfId="13965" xr:uid="{73B08902-C8AB-4D19-8C33-31F319AE3A17}"/>
    <cellStyle name="Currency 3 9 2 2 4 2 2" xfId="28016" xr:uid="{7CE15CA8-D515-42B3-919E-9AE507A6F6B9}"/>
    <cellStyle name="Currency 3 9 2 2 4 3" xfId="22808" xr:uid="{FE7E6D74-F77C-4031-BD7B-3D9CA69F8814}"/>
    <cellStyle name="Currency 3 9 2 2 5" xfId="7889" xr:uid="{2094E44F-2EEA-4410-B74B-ABF186E4E15C}"/>
    <cellStyle name="Currency 3 9 2 2 5 2" xfId="21940" xr:uid="{2A4D0BA3-F603-4FA2-90E2-D5702D19ED6D}"/>
    <cellStyle name="Currency 3 9 2 2 6" xfId="11361" xr:uid="{F9EBE402-8AF5-4A33-BF22-D35A502661AC}"/>
    <cellStyle name="Currency 3 9 2 2 6 2" xfId="25412" xr:uid="{8A03C858-71E6-49C7-9515-78FBFE29AB92}"/>
    <cellStyle name="Currency 3 9 2 2 7" xfId="19336" xr:uid="{72DDFA6F-0C02-4CEB-A7B0-F1ED2DBF4A85}"/>
    <cellStyle name="Currency 3 9 2 3" xfId="5719" xr:uid="{BE9D603E-40B1-48DF-910E-452BCF5F5CC3}"/>
    <cellStyle name="Currency 3 9 2 3 2" xfId="9191" xr:uid="{29BD8963-46AA-4055-B3AC-5EE529B72352}"/>
    <cellStyle name="Currency 3 9 2 3 2 2" xfId="23242" xr:uid="{D005AE3F-A732-49A0-8A20-EA1EC969C35A}"/>
    <cellStyle name="Currency 3 9 2 3 3" xfId="11795" xr:uid="{1AAD641E-81D0-4796-AF63-B3FDE30BC6D5}"/>
    <cellStyle name="Currency 3 9 2 3 3 2" xfId="25846" xr:uid="{B07F6168-CC27-4E93-9D6C-6BB48428835D}"/>
    <cellStyle name="Currency 3 9 2 3 4" xfId="19770" xr:uid="{D82CBC0F-C547-4781-9A8E-4470E0AAFF95}"/>
    <cellStyle name="Currency 3 9 2 4" xfId="6587" xr:uid="{37DBC8A2-134A-47B9-ADF9-8B6917C19E24}"/>
    <cellStyle name="Currency 3 9 2 4 2" xfId="10059" xr:uid="{BC67D882-1D27-457A-A725-38932203AFDC}"/>
    <cellStyle name="Currency 3 9 2 4 2 2" xfId="24110" xr:uid="{417EF15A-93FB-4FF0-BD27-F651C8EFA9AA}"/>
    <cellStyle name="Currency 3 9 2 4 3" xfId="12663" xr:uid="{77F1CFCD-039F-4101-B4A0-F693498D94E5}"/>
    <cellStyle name="Currency 3 9 2 4 3 2" xfId="26714" xr:uid="{28012CD7-58E7-4D66-A3C5-61B8C43D240B}"/>
    <cellStyle name="Currency 3 9 2 4 4" xfId="20638" xr:uid="{C66DD866-CDD6-422C-8282-51E3A5BCDB8E}"/>
    <cellStyle name="Currency 3 9 2 5" xfId="8323" xr:uid="{25CF694E-C838-4C34-ACC3-383294245583}"/>
    <cellStyle name="Currency 3 9 2 5 2" xfId="13531" xr:uid="{4A8CA5A9-699F-497D-B453-CE08CED85C33}"/>
    <cellStyle name="Currency 3 9 2 5 2 2" xfId="27582" xr:uid="{2E70AD6A-4DBE-428F-A735-4E7CCC39A6D3}"/>
    <cellStyle name="Currency 3 9 2 5 3" xfId="22374" xr:uid="{E20F1052-7F10-42DB-AB7D-31C254373887}"/>
    <cellStyle name="Currency 3 9 2 6" xfId="7455" xr:uid="{772E0B9C-2DCF-4DA0-A9E0-7669AAA16B51}"/>
    <cellStyle name="Currency 3 9 2 6 2" xfId="21506" xr:uid="{7390E13C-2D07-4CBF-942E-943C9F121103}"/>
    <cellStyle name="Currency 3 9 2 7" xfId="10927" xr:uid="{E0CA6E58-446A-42A0-B493-8E39951936EB}"/>
    <cellStyle name="Currency 3 9 2 7 2" xfId="24978" xr:uid="{874E9D00-9ED5-412E-BE08-85EDEDA3E971}"/>
    <cellStyle name="Currency 3 9 2 8" xfId="17448" xr:uid="{C758FB8E-C459-467F-BDE8-E5987F420163}"/>
    <cellStyle name="Currency 3 9 3" xfId="5094" xr:uid="{2C336C1E-A21A-4CBF-835A-EC1703243A6A}"/>
    <cellStyle name="Currency 3 9 3 2" xfId="5962" xr:uid="{00B2B8E9-3C5A-4096-8BEE-389144757DEC}"/>
    <cellStyle name="Currency 3 9 3 2 2" xfId="9434" xr:uid="{B848682D-60DF-4CF5-9D60-87EE182FE752}"/>
    <cellStyle name="Currency 3 9 3 2 2 2" xfId="23485" xr:uid="{8E30A458-FBA6-4057-84D3-1AA8F7B55862}"/>
    <cellStyle name="Currency 3 9 3 2 3" xfId="12038" xr:uid="{63590A7D-D7EC-4756-9DFF-640D09710CBD}"/>
    <cellStyle name="Currency 3 9 3 2 3 2" xfId="26089" xr:uid="{D4EA2AE6-1EA2-4A75-AD56-E610582FF1A4}"/>
    <cellStyle name="Currency 3 9 3 2 4" xfId="20013" xr:uid="{37D396FF-82DA-46E4-A5F6-C3568058D8D7}"/>
    <cellStyle name="Currency 3 9 3 3" xfId="6830" xr:uid="{56131972-7313-4FB0-9C78-544AF0C5C2C8}"/>
    <cellStyle name="Currency 3 9 3 3 2" xfId="10302" xr:uid="{35B15845-96F0-4810-870F-A933008A3169}"/>
    <cellStyle name="Currency 3 9 3 3 2 2" xfId="24353" xr:uid="{7AFBD5C6-8698-4690-B2C6-4EB4B632B5C8}"/>
    <cellStyle name="Currency 3 9 3 3 3" xfId="12906" xr:uid="{A6EBA726-4170-4AAE-81E2-13FC92F7F7C0}"/>
    <cellStyle name="Currency 3 9 3 3 3 2" xfId="26957" xr:uid="{EC8020E7-F168-4A88-B389-277A79353F67}"/>
    <cellStyle name="Currency 3 9 3 3 4" xfId="20881" xr:uid="{606EA7DF-2B0D-42B4-8939-48E2DD84433E}"/>
    <cellStyle name="Currency 3 9 3 4" xfId="8566" xr:uid="{3B8B2962-6173-4575-8D37-36CDB2F735BD}"/>
    <cellStyle name="Currency 3 9 3 4 2" xfId="13774" xr:uid="{06718DA8-6F2A-4364-910E-83B8059207DB}"/>
    <cellStyle name="Currency 3 9 3 4 2 2" xfId="27825" xr:uid="{DDD00DFD-1C06-46B8-B86E-24630DF763B5}"/>
    <cellStyle name="Currency 3 9 3 4 3" xfId="22617" xr:uid="{4B14ACF6-0331-4668-8DC6-7E5BD3DD4FE6}"/>
    <cellStyle name="Currency 3 9 3 5" xfId="7698" xr:uid="{D67A6648-87C0-44F0-9833-CE3692A29D2E}"/>
    <cellStyle name="Currency 3 9 3 5 2" xfId="21749" xr:uid="{B03F5145-0EC3-4DE9-A53E-AB8A55F625D8}"/>
    <cellStyle name="Currency 3 9 3 6" xfId="11170" xr:uid="{6800BFC7-2032-40AA-9872-F396352F3D0C}"/>
    <cellStyle name="Currency 3 9 3 6 2" xfId="25221" xr:uid="{C96D5F75-921A-4A1A-8FF2-D1095CB0FA6F}"/>
    <cellStyle name="Currency 3 9 3 7" xfId="19145" xr:uid="{E9286E46-CDBF-47A5-968C-7E739C1CE42C}"/>
    <cellStyle name="Currency 3 9 4" xfId="5528" xr:uid="{1724A649-0872-4CA0-8CE5-1492375A7FF3}"/>
    <cellStyle name="Currency 3 9 4 2" xfId="9000" xr:uid="{8F350D8D-C166-4C7B-8C04-CE2CC24B8B64}"/>
    <cellStyle name="Currency 3 9 4 2 2" xfId="23051" xr:uid="{E2A7C0F9-FC1A-4B1C-B590-612F257AC885}"/>
    <cellStyle name="Currency 3 9 4 3" xfId="11604" xr:uid="{65A5DBE2-ABDE-49F9-B8EB-B71B8B4D2D74}"/>
    <cellStyle name="Currency 3 9 4 3 2" xfId="25655" xr:uid="{3EF63747-A21C-437B-9F46-E603CE7EB8EA}"/>
    <cellStyle name="Currency 3 9 4 4" xfId="19579" xr:uid="{14899C0D-A361-46C0-9D3F-9A5605A584B9}"/>
    <cellStyle name="Currency 3 9 5" xfId="6396" xr:uid="{57510E1E-3396-4A1C-818D-AE759F60171E}"/>
    <cellStyle name="Currency 3 9 5 2" xfId="9868" xr:uid="{B0EC292C-4EA7-4946-B040-0C4847FF7FCF}"/>
    <cellStyle name="Currency 3 9 5 2 2" xfId="23919" xr:uid="{D8E1BB14-9994-4D74-83C2-59E74C3563E1}"/>
    <cellStyle name="Currency 3 9 5 3" xfId="12472" xr:uid="{74DBFB31-DBC2-4BE0-973D-315782F502E3}"/>
    <cellStyle name="Currency 3 9 5 3 2" xfId="26523" xr:uid="{8EBD07B3-9C3B-4D8E-B931-FCD6A23AA3D3}"/>
    <cellStyle name="Currency 3 9 5 4" xfId="20447" xr:uid="{0A645EE9-C93C-40D6-926F-181C7AFF4349}"/>
    <cellStyle name="Currency 3 9 6" xfId="8132" xr:uid="{C869FD99-5161-48AD-B852-8B71CBC52785}"/>
    <cellStyle name="Currency 3 9 6 2" xfId="13340" xr:uid="{5CFF966D-10EE-4AA6-89B3-D519028A46E5}"/>
    <cellStyle name="Currency 3 9 6 2 2" xfId="27391" xr:uid="{293B6240-A746-47CC-B9CC-0844EAE1BB8B}"/>
    <cellStyle name="Currency 3 9 6 3" xfId="22183" xr:uid="{D59B97EB-5451-4777-B83D-C6BA14530DDB}"/>
    <cellStyle name="Currency 3 9 7" xfId="7264" xr:uid="{672C9073-6710-4E6D-A1C6-3321B13DA735}"/>
    <cellStyle name="Currency 3 9 7 2" xfId="21315" xr:uid="{2FF3DF50-47A4-43B9-A743-0704873B8C50}"/>
    <cellStyle name="Currency 3 9 8" xfId="10736" xr:uid="{71D36038-256F-47BC-8DCB-412AA1812BCC}"/>
    <cellStyle name="Currency 3 9 8 2" xfId="24787" xr:uid="{04DC52DB-A039-4715-8685-27E83BE91564}"/>
    <cellStyle name="Currency 3 9 9" xfId="15254" xr:uid="{CA2E68EC-96E6-4820-9802-3B18CF7A7CDA}"/>
    <cellStyle name="Currency 4" xfId="116" xr:uid="{3868BE00-917E-410C-AC89-D71C16C549E8}"/>
    <cellStyle name="Currency 4 10" xfId="4514" xr:uid="{0DE6FD7C-BFD1-49D8-95AA-A0FFCC614A9D}"/>
    <cellStyle name="Currency 4 10 2" xfId="5383" xr:uid="{80B9F9B3-6455-4FB4-BAF1-D0A0441021AD}"/>
    <cellStyle name="Currency 4 10 2 2" xfId="6251" xr:uid="{48EC7D1D-BDED-4EDC-B403-0FC8188AA2AC}"/>
    <cellStyle name="Currency 4 10 2 2 2" xfId="9723" xr:uid="{41A0900E-0F6C-4114-8290-8A4679B87787}"/>
    <cellStyle name="Currency 4 10 2 2 2 2" xfId="23774" xr:uid="{FC02ACBF-FDD8-4D2A-A626-D5C8B6DB4603}"/>
    <cellStyle name="Currency 4 10 2 2 3" xfId="12327" xr:uid="{0ADD4548-4402-4D78-AEDB-2DF2ABB20C91}"/>
    <cellStyle name="Currency 4 10 2 2 3 2" xfId="26378" xr:uid="{BA5F3061-2114-4931-9336-259D3A5AA71B}"/>
    <cellStyle name="Currency 4 10 2 2 4" xfId="20302" xr:uid="{0FF699B1-EE6F-49DC-9079-DE2045FE7AD3}"/>
    <cellStyle name="Currency 4 10 2 3" xfId="7119" xr:uid="{86E87C77-C04C-4D23-A013-C013C4C0DC19}"/>
    <cellStyle name="Currency 4 10 2 3 2" xfId="10591" xr:uid="{6622ECD9-970F-43DF-9056-946F538AE07B}"/>
    <cellStyle name="Currency 4 10 2 3 2 2" xfId="24642" xr:uid="{3BBF60C0-0B52-4ADD-9755-A415AE3CC34F}"/>
    <cellStyle name="Currency 4 10 2 3 3" xfId="13195" xr:uid="{9DAF707F-201A-4459-BAE4-935FC0808CB1}"/>
    <cellStyle name="Currency 4 10 2 3 3 2" xfId="27246" xr:uid="{3A6B5ED0-8917-4526-881B-D0D2C1D1E589}"/>
    <cellStyle name="Currency 4 10 2 3 4" xfId="21170" xr:uid="{61F151C7-E506-44D2-825C-B2C1B765B2BE}"/>
    <cellStyle name="Currency 4 10 2 4" xfId="8855" xr:uid="{8C351743-8EC6-4F4B-AC56-7739A707C5DB}"/>
    <cellStyle name="Currency 4 10 2 4 2" xfId="14063" xr:uid="{EAB25A46-E837-474A-B4F4-98A7382FE2F0}"/>
    <cellStyle name="Currency 4 10 2 4 2 2" xfId="28114" xr:uid="{CF9ABB6D-1C3E-4BC1-897C-CAE2CFE70D81}"/>
    <cellStyle name="Currency 4 10 2 4 3" xfId="22906" xr:uid="{5B39CAB7-62A2-4642-8418-7A0BBECB4BEF}"/>
    <cellStyle name="Currency 4 10 2 5" xfId="7987" xr:uid="{CFAB067F-7786-40A4-8DC8-5A4E49E739AD}"/>
    <cellStyle name="Currency 4 10 2 5 2" xfId="22038" xr:uid="{17BE8C12-5720-4D15-94F5-D9B605127DE3}"/>
    <cellStyle name="Currency 4 10 2 6" xfId="11459" xr:uid="{BE8245B7-4F65-451A-B93E-2863FE931617}"/>
    <cellStyle name="Currency 4 10 2 6 2" xfId="25510" xr:uid="{CCEDCF87-65EF-4780-80B4-2BFE799C19E3}"/>
    <cellStyle name="Currency 4 10 2 7" xfId="19434" xr:uid="{61089410-141A-4D8A-8839-54F8F38CF802}"/>
    <cellStyle name="Currency 4 10 3" xfId="5817" xr:uid="{4A5E4C64-112B-4531-B369-61C6F50129CA}"/>
    <cellStyle name="Currency 4 10 3 2" xfId="9289" xr:uid="{B2967620-1806-400B-8477-4BC13B911D82}"/>
    <cellStyle name="Currency 4 10 3 2 2" xfId="23340" xr:uid="{DDCCF014-3F01-41BC-9D74-2E9BD15967BA}"/>
    <cellStyle name="Currency 4 10 3 3" xfId="11893" xr:uid="{D3B58C24-174A-41E9-9B72-C1A4C3185444}"/>
    <cellStyle name="Currency 4 10 3 3 2" xfId="25944" xr:uid="{9627F5C5-4E3D-4B9E-A0AB-57C76F01B14B}"/>
    <cellStyle name="Currency 4 10 3 4" xfId="19868" xr:uid="{43F8D667-D0BA-4DFA-8EA0-54E5389675E0}"/>
    <cellStyle name="Currency 4 10 4" xfId="6685" xr:uid="{C4035007-5652-4D73-8513-5FAE810FD462}"/>
    <cellStyle name="Currency 4 10 4 2" xfId="10157" xr:uid="{98A8B17E-4817-450D-94B8-90EF14C3D42F}"/>
    <cellStyle name="Currency 4 10 4 2 2" xfId="24208" xr:uid="{15D890A9-2358-45F0-A2DE-03778C59EB14}"/>
    <cellStyle name="Currency 4 10 4 3" xfId="12761" xr:uid="{E636C3DF-06AB-4F4D-9201-7A3D59801D02}"/>
    <cellStyle name="Currency 4 10 4 3 2" xfId="26812" xr:uid="{006C9B26-C760-4882-8DE3-91CE1BFD2389}"/>
    <cellStyle name="Currency 4 10 4 4" xfId="20736" xr:uid="{30D29F2D-3E2A-40DA-8F60-7C37BC8EA8AE}"/>
    <cellStyle name="Currency 4 10 5" xfId="8421" xr:uid="{A4584D43-3C85-4C6B-905C-A404BA991D2C}"/>
    <cellStyle name="Currency 4 10 5 2" xfId="13629" xr:uid="{4012C0FF-B808-4472-B8E6-345809484E5D}"/>
    <cellStyle name="Currency 4 10 5 2 2" xfId="27680" xr:uid="{43DB8D7A-C59F-4BD1-8880-948C465E9B1C}"/>
    <cellStyle name="Currency 4 10 5 3" xfId="22472" xr:uid="{EAF8DD85-047E-4254-BF05-6646C87E81B2}"/>
    <cellStyle name="Currency 4 10 6" xfId="7553" xr:uid="{C06B2AD4-7045-44CE-9718-788D0A6889E5}"/>
    <cellStyle name="Currency 4 10 6 2" xfId="21604" xr:uid="{41D099CE-C10D-43CE-87DF-F694DFF98320}"/>
    <cellStyle name="Currency 4 10 7" xfId="11025" xr:uid="{70ADF211-DBA6-4014-B9EA-2C43913A60DC}"/>
    <cellStyle name="Currency 4 10 7 2" xfId="25076" xr:uid="{2B95C729-A5C4-4600-8163-0AACF6326EA6}"/>
    <cellStyle name="Currency 4 10 8" xfId="18565" xr:uid="{529796F9-70B0-49A5-B334-481C000CCDCF}"/>
    <cellStyle name="Currency 4 11" xfId="4997" xr:uid="{C87B7DB5-89A4-4CC7-B9F7-148ACC907D00}"/>
    <cellStyle name="Currency 4 11 2" xfId="5865" xr:uid="{489FF64F-9A9F-4767-90CA-ABFEAF63FE8C}"/>
    <cellStyle name="Currency 4 11 2 2" xfId="9337" xr:uid="{73913E4D-7B6F-43AB-A32B-270FCADF9D90}"/>
    <cellStyle name="Currency 4 11 2 2 2" xfId="23388" xr:uid="{993FEF5C-B897-4B2B-8627-8CD9DD390D82}"/>
    <cellStyle name="Currency 4 11 2 3" xfId="11941" xr:uid="{6A3F321F-CD1A-46A7-9641-E4E2690F0C58}"/>
    <cellStyle name="Currency 4 11 2 3 2" xfId="25992" xr:uid="{5E93D492-3AF3-40C0-85C5-32D927B03765}"/>
    <cellStyle name="Currency 4 11 2 4" xfId="19916" xr:uid="{A8A7669E-2DB1-449E-BFEE-80FF8DC02D08}"/>
    <cellStyle name="Currency 4 11 3" xfId="6733" xr:uid="{0F4C495D-CAEA-4DD1-BC98-0D721DCE6D72}"/>
    <cellStyle name="Currency 4 11 3 2" xfId="10205" xr:uid="{1A316FC4-1302-48BE-8693-B39973D93FC2}"/>
    <cellStyle name="Currency 4 11 3 2 2" xfId="24256" xr:uid="{91F40147-A1E3-41E5-B160-722C2D3E5F75}"/>
    <cellStyle name="Currency 4 11 3 3" xfId="12809" xr:uid="{FAB90907-AF21-42BA-9E61-4047B2A4CD0D}"/>
    <cellStyle name="Currency 4 11 3 3 2" xfId="26860" xr:uid="{36A9E813-D51E-4D7E-BD99-A490F0056639}"/>
    <cellStyle name="Currency 4 11 3 4" xfId="20784" xr:uid="{1BD41477-B215-4916-9B8E-F81FF479837A}"/>
    <cellStyle name="Currency 4 11 4" xfId="8469" xr:uid="{DFF17A12-E900-43BA-A2F5-1E9CD2445F6F}"/>
    <cellStyle name="Currency 4 11 4 2" xfId="13677" xr:uid="{AF2AA95F-B616-45CB-BCC0-B7EB46E5F708}"/>
    <cellStyle name="Currency 4 11 4 2 2" xfId="27728" xr:uid="{81DF5FC0-F651-48A1-B1C5-62B973617F07}"/>
    <cellStyle name="Currency 4 11 4 3" xfId="22520" xr:uid="{D53EAD01-3B1F-4B03-8BA1-06D61778E53E}"/>
    <cellStyle name="Currency 4 11 5" xfId="7601" xr:uid="{B05356F6-00A0-413B-BCD3-CE4A7CD0F41A}"/>
    <cellStyle name="Currency 4 11 5 2" xfId="21652" xr:uid="{95A71491-2970-49B7-8A2B-63409D34C99D}"/>
    <cellStyle name="Currency 4 11 6" xfId="11073" xr:uid="{EC719B6C-AE27-4ACF-B5DB-43F715B4A0F2}"/>
    <cellStyle name="Currency 4 11 6 2" xfId="25124" xr:uid="{8F22E128-B232-4B6C-BA3E-0754E126943B}"/>
    <cellStyle name="Currency 4 11 7" xfId="19048" xr:uid="{DE08D47E-9971-4D75-831D-D8D911F91177}"/>
    <cellStyle name="Currency 4 12" xfId="5431" xr:uid="{73B91A08-8697-45CA-8E5A-D816295658B0}"/>
    <cellStyle name="Currency 4 12 2" xfId="8903" xr:uid="{7FC85532-4BE5-4936-B23D-2C0A5B7C3A9B}"/>
    <cellStyle name="Currency 4 12 2 2" xfId="22954" xr:uid="{DDC1602F-717C-440E-B69B-F36661118B2A}"/>
    <cellStyle name="Currency 4 12 3" xfId="11507" xr:uid="{55628888-0A23-4E1C-BC28-2CCC6D239C3D}"/>
    <cellStyle name="Currency 4 12 3 2" xfId="25558" xr:uid="{AF683FD8-1D51-426F-AF0A-269D6234BBD0}"/>
    <cellStyle name="Currency 4 12 4" xfId="19482" xr:uid="{B1F7DCDE-4F6F-49A4-8E7F-F3DF7BC593A0}"/>
    <cellStyle name="Currency 4 13" xfId="6299" xr:uid="{32B70C31-7BC2-40BA-B01D-44DEA04BF9DA}"/>
    <cellStyle name="Currency 4 13 2" xfId="9771" xr:uid="{4ECF2E87-52BB-4E31-933E-7F5ACE204245}"/>
    <cellStyle name="Currency 4 13 2 2" xfId="23822" xr:uid="{BF955BE4-0822-4C77-8D46-0F5D8D99D02B}"/>
    <cellStyle name="Currency 4 13 3" xfId="12375" xr:uid="{B0D0E96C-E82B-4BDD-8AAD-E79C695AE83B}"/>
    <cellStyle name="Currency 4 13 3 2" xfId="26426" xr:uid="{A162DE9B-8495-4015-9FEB-4C54C4A46E1D}"/>
    <cellStyle name="Currency 4 13 4" xfId="20350" xr:uid="{08E5FE05-6841-4347-B94B-8BD0F0279494}"/>
    <cellStyle name="Currency 4 14" xfId="8035" xr:uid="{CE8DC462-817A-449B-8C06-8AA7B2B4563A}"/>
    <cellStyle name="Currency 4 14 2" xfId="13243" xr:uid="{D9B952C4-AA47-473B-A926-54B4F7C2275D}"/>
    <cellStyle name="Currency 4 14 2 2" xfId="27294" xr:uid="{0E10D1A7-D572-4B20-A117-3FF956A8DB07}"/>
    <cellStyle name="Currency 4 14 3" xfId="22086" xr:uid="{69382BBB-3474-481E-AC27-C1C84D8DA195}"/>
    <cellStyle name="Currency 4 15" xfId="7167" xr:uid="{15646607-3905-4560-BE01-858273403699}"/>
    <cellStyle name="Currency 4 15 2" xfId="21218" xr:uid="{8D682EB7-9CB0-4A58-AFCF-62FDD342A190}"/>
    <cellStyle name="Currency 4 16" xfId="10639" xr:uid="{29F03C1E-67A9-407C-8146-B09FFDB9E57C}"/>
    <cellStyle name="Currency 4 16 2" xfId="24690" xr:uid="{DA25E3AD-C7B0-4D9F-918F-F79F543F90EB}"/>
    <cellStyle name="Currency 4 17" xfId="14176" xr:uid="{F53F63E4-3281-4F08-A7B2-F195409775E7}"/>
    <cellStyle name="Currency 4 2" xfId="231" xr:uid="{DCE09D8B-F503-417A-BD72-B7C689729F9C}"/>
    <cellStyle name="Currency 4 2 10" xfId="6309" xr:uid="{776BB589-B50D-46A6-BB93-18979551D96B}"/>
    <cellStyle name="Currency 4 2 10 2" xfId="9781" xr:uid="{0E00A0B8-6AB9-4F38-AB3F-E9D677719125}"/>
    <cellStyle name="Currency 4 2 10 2 2" xfId="23832" xr:uid="{61EE15CC-CE93-4401-A3E5-0B951BE5D8F9}"/>
    <cellStyle name="Currency 4 2 10 3" xfId="12385" xr:uid="{EC8E6871-82D0-4FBB-B0AA-2994E361C646}"/>
    <cellStyle name="Currency 4 2 10 3 2" xfId="26436" xr:uid="{FABAD7BD-8E39-4119-A719-CD199DE9A473}"/>
    <cellStyle name="Currency 4 2 10 4" xfId="20360" xr:uid="{3E251E12-E45A-4F98-98CE-1D8BBDE5F266}"/>
    <cellStyle name="Currency 4 2 11" xfId="8045" xr:uid="{E759E73A-FBA3-481E-A43F-A93F9E1F2EEE}"/>
    <cellStyle name="Currency 4 2 11 2" xfId="13253" xr:uid="{E7384C2A-34B6-48F6-AAC7-B5A45880FFE1}"/>
    <cellStyle name="Currency 4 2 11 2 2" xfId="27304" xr:uid="{0050130E-B68C-4EC5-917C-811E269F64CD}"/>
    <cellStyle name="Currency 4 2 11 3" xfId="22096" xr:uid="{098F0F6E-69A8-4111-9200-0C4EA354E610}"/>
    <cellStyle name="Currency 4 2 12" xfId="7177" xr:uid="{7237EB3A-E4D2-430F-927A-30765FF4456C}"/>
    <cellStyle name="Currency 4 2 12 2" xfId="21228" xr:uid="{5F9DA693-D8AE-4588-B624-FD69690149A6}"/>
    <cellStyle name="Currency 4 2 13" xfId="10649" xr:uid="{2F218AE4-B175-4150-A7E2-317F1601C8C4}"/>
    <cellStyle name="Currency 4 2 13 2" xfId="24700" xr:uid="{D31FB1D5-55DE-4FDF-AA7C-8BEEFD2BBBB4}"/>
    <cellStyle name="Currency 4 2 14" xfId="14290" xr:uid="{CE361C33-1307-421E-8714-3C158258770E}"/>
    <cellStyle name="Currency 4 2 2" xfId="408" xr:uid="{6C3F3C6A-9010-4273-88B5-F3374FA90DFF}"/>
    <cellStyle name="Currency 4 2 2 10" xfId="8061" xr:uid="{325B006A-DBFF-48D0-BEFF-590B2E72B2B2}"/>
    <cellStyle name="Currency 4 2 2 10 2" xfId="13269" xr:uid="{6386F2A2-8F38-4382-961E-96F3B0E58A77}"/>
    <cellStyle name="Currency 4 2 2 10 2 2" xfId="27320" xr:uid="{FFC11F7F-8C00-47DB-8B4A-322451374089}"/>
    <cellStyle name="Currency 4 2 2 10 3" xfId="22112" xr:uid="{56A17901-A6BC-492B-9DA2-A3E57DB736AB}"/>
    <cellStyle name="Currency 4 2 2 11" xfId="7193" xr:uid="{2AB1E65C-BDBE-4D78-A238-7FBFCFF9EA04}"/>
    <cellStyle name="Currency 4 2 2 11 2" xfId="21244" xr:uid="{218707CB-B0FB-42B9-BB6C-3017BE341E43}"/>
    <cellStyle name="Currency 4 2 2 12" xfId="10665" xr:uid="{ECDD1E91-5F91-4B1F-843B-F6D3208DAE9B}"/>
    <cellStyle name="Currency 4 2 2 12 2" xfId="24716" xr:uid="{701DFEC2-5568-4969-95CE-9CBE71577C98}"/>
    <cellStyle name="Currency 4 2 2 13" xfId="14465" xr:uid="{6D34BDCF-5D3C-4777-9105-547BA2D47097}"/>
    <cellStyle name="Currency 4 2 2 2" xfId="762" xr:uid="{66BCBC99-2216-4049-91E3-796724077F8B}"/>
    <cellStyle name="Currency 4 2 2 2 10" xfId="14813" xr:uid="{0A344EF2-B374-4ECB-A96B-742FF614915A}"/>
    <cellStyle name="Currency 4 2 2 2 2" xfId="1863" xr:uid="{5295D100-9EEC-43EB-8188-B31667662CE4}"/>
    <cellStyle name="Currency 4 2 2 2 2 2" xfId="4052" xr:uid="{7FB5E7C2-A164-4B5F-8A5A-B06EA4800295}"/>
    <cellStyle name="Currency 4 2 2 2 2 2 2" xfId="5343" xr:uid="{7B2E732F-3148-4538-A9A8-C535A5393034}"/>
    <cellStyle name="Currency 4 2 2 2 2 2 2 2" xfId="6211" xr:uid="{57D62E6C-7B31-499B-AA72-83FF18D355ED}"/>
    <cellStyle name="Currency 4 2 2 2 2 2 2 2 2" xfId="9683" xr:uid="{FCF463EA-4C24-4154-9A9B-3D86817D890D}"/>
    <cellStyle name="Currency 4 2 2 2 2 2 2 2 2 2" xfId="23734" xr:uid="{47452EC0-BD9F-4307-AF0E-6E2F3D1A8347}"/>
    <cellStyle name="Currency 4 2 2 2 2 2 2 2 3" xfId="12287" xr:uid="{8E162710-FF58-4EAC-B888-D2EA59D29F27}"/>
    <cellStyle name="Currency 4 2 2 2 2 2 2 2 3 2" xfId="26338" xr:uid="{9BC05AB3-64A2-4958-AF4F-B4B7A5B615BF}"/>
    <cellStyle name="Currency 4 2 2 2 2 2 2 2 4" xfId="20262" xr:uid="{0CB84A4B-B03E-4A8A-B7A9-63743AB52F33}"/>
    <cellStyle name="Currency 4 2 2 2 2 2 2 3" xfId="7079" xr:uid="{EF77A938-7435-45B1-9BA5-01B1808865FA}"/>
    <cellStyle name="Currency 4 2 2 2 2 2 2 3 2" xfId="10551" xr:uid="{606564D6-D729-425E-9792-6E3A7F452DCA}"/>
    <cellStyle name="Currency 4 2 2 2 2 2 2 3 2 2" xfId="24602" xr:uid="{61923260-EAFB-4FF1-8709-265ACCA3AF71}"/>
    <cellStyle name="Currency 4 2 2 2 2 2 2 3 3" xfId="13155" xr:uid="{24CE3072-1B92-422F-B27B-1B71F2781898}"/>
    <cellStyle name="Currency 4 2 2 2 2 2 2 3 3 2" xfId="27206" xr:uid="{21F5E75F-E591-4033-9AFF-AA430AC272E3}"/>
    <cellStyle name="Currency 4 2 2 2 2 2 2 3 4" xfId="21130" xr:uid="{2D4FA44D-E200-4EF2-838C-D13939808C05}"/>
    <cellStyle name="Currency 4 2 2 2 2 2 2 4" xfId="8815" xr:uid="{EA1DAB86-6533-45B1-BEA2-D893F13FA836}"/>
    <cellStyle name="Currency 4 2 2 2 2 2 2 4 2" xfId="14023" xr:uid="{78F22816-6633-4A52-B7D4-46642D5F74AF}"/>
    <cellStyle name="Currency 4 2 2 2 2 2 2 4 2 2" xfId="28074" xr:uid="{074DB88B-41B1-4346-8C1A-3ACFF17437A5}"/>
    <cellStyle name="Currency 4 2 2 2 2 2 2 4 3" xfId="22866" xr:uid="{0C011822-2436-458F-98E8-DEED85A681F7}"/>
    <cellStyle name="Currency 4 2 2 2 2 2 2 5" xfId="7947" xr:uid="{B93DE58F-C57A-4F11-A331-BF951F1A6FDF}"/>
    <cellStyle name="Currency 4 2 2 2 2 2 2 5 2" xfId="21998" xr:uid="{BF5C0DAD-670C-47BE-96EC-3AF2AC48E49B}"/>
    <cellStyle name="Currency 4 2 2 2 2 2 2 6" xfId="11419" xr:uid="{810C4143-8B14-43F0-A55C-54628C3A5DD1}"/>
    <cellStyle name="Currency 4 2 2 2 2 2 2 6 2" xfId="25470" xr:uid="{8D93EFAB-7165-450A-A573-A40E74A07D8D}"/>
    <cellStyle name="Currency 4 2 2 2 2 2 2 7" xfId="19394" xr:uid="{A1E0532D-83BA-4734-BCE4-21604D387B4E}"/>
    <cellStyle name="Currency 4 2 2 2 2 2 3" xfId="5777" xr:uid="{2A65646C-073B-4609-A8A5-E8AE9E9E3EE6}"/>
    <cellStyle name="Currency 4 2 2 2 2 2 3 2" xfId="9249" xr:uid="{AC6B7531-619E-4925-A1B5-84B729838EF3}"/>
    <cellStyle name="Currency 4 2 2 2 2 2 3 2 2" xfId="23300" xr:uid="{EC39AD42-EA45-4D39-860B-20596B7419A5}"/>
    <cellStyle name="Currency 4 2 2 2 2 2 3 3" xfId="11853" xr:uid="{0CC943C3-795C-4BC9-9628-A41ADE3D5B63}"/>
    <cellStyle name="Currency 4 2 2 2 2 2 3 3 2" xfId="25904" xr:uid="{5DC38FDD-885B-49BF-B1AB-A868B0CDE95B}"/>
    <cellStyle name="Currency 4 2 2 2 2 2 3 4" xfId="19828" xr:uid="{4328D6BA-A162-47A2-B31B-7DF59FF14C66}"/>
    <cellStyle name="Currency 4 2 2 2 2 2 4" xfId="6645" xr:uid="{2496508D-0962-4ED0-B30C-6369D9206531}"/>
    <cellStyle name="Currency 4 2 2 2 2 2 4 2" xfId="10117" xr:uid="{2F7285AA-2AB8-4952-94FA-1EDAAE50CA0A}"/>
    <cellStyle name="Currency 4 2 2 2 2 2 4 2 2" xfId="24168" xr:uid="{C0CEF96A-4873-40E5-B9BF-3482D141B6CC}"/>
    <cellStyle name="Currency 4 2 2 2 2 2 4 3" xfId="12721" xr:uid="{577C3C55-1D41-4E20-B3F1-E9FBEB7B8F43}"/>
    <cellStyle name="Currency 4 2 2 2 2 2 4 3 2" xfId="26772" xr:uid="{7B6758DD-F233-483E-A1D9-03092FA2F714}"/>
    <cellStyle name="Currency 4 2 2 2 2 2 4 4" xfId="20696" xr:uid="{752873D3-27A3-41DE-903A-34DE90483D7B}"/>
    <cellStyle name="Currency 4 2 2 2 2 2 5" xfId="8381" xr:uid="{37785CBA-6877-4E39-9EC1-68C357F9B8F8}"/>
    <cellStyle name="Currency 4 2 2 2 2 2 5 2" xfId="13589" xr:uid="{3796FF3B-89F4-4E2E-99AE-0C951F2DDE72}"/>
    <cellStyle name="Currency 4 2 2 2 2 2 5 2 2" xfId="27640" xr:uid="{9564401F-2947-4AD3-A11B-161465540B20}"/>
    <cellStyle name="Currency 4 2 2 2 2 2 5 3" xfId="22432" xr:uid="{1AD64F25-BFFC-475C-9551-CFB50FAF80AF}"/>
    <cellStyle name="Currency 4 2 2 2 2 2 6" xfId="7513" xr:uid="{4E3335D6-D88A-4F48-A4FB-3F0E3611E03D}"/>
    <cellStyle name="Currency 4 2 2 2 2 2 6 2" xfId="21564" xr:uid="{5B1F3B0D-A7A7-4250-84BF-4EBC8169F4C9}"/>
    <cellStyle name="Currency 4 2 2 2 2 2 7" xfId="10985" xr:uid="{A1ED74B8-F08C-4FAD-AADF-D5A8F535D44A}"/>
    <cellStyle name="Currency 4 2 2 2 2 2 7 2" xfId="25036" xr:uid="{CC6C7977-C440-42C9-A7BF-2B8EB5F6BD0A}"/>
    <cellStyle name="Currency 4 2 2 2 2 2 8" xfId="18104" xr:uid="{C21DC60C-94F4-41F8-B5D5-E896F17C4FD7}"/>
    <cellStyle name="Currency 4 2 2 2 2 3" xfId="5153" xr:uid="{A24F58F7-4F6A-49C0-A16E-9EC995261EE1}"/>
    <cellStyle name="Currency 4 2 2 2 2 3 2" xfId="6021" xr:uid="{05D8B8C0-5412-4710-9519-520AC9BE5A7B}"/>
    <cellStyle name="Currency 4 2 2 2 2 3 2 2" xfId="9493" xr:uid="{C361F28F-8CC3-4F18-9AD5-C2C892C9D619}"/>
    <cellStyle name="Currency 4 2 2 2 2 3 2 2 2" xfId="23544" xr:uid="{38171E3D-95B6-4584-ADFA-4360764C7952}"/>
    <cellStyle name="Currency 4 2 2 2 2 3 2 3" xfId="12097" xr:uid="{22A79D76-27EA-4EEB-B39D-73A081F0B3B6}"/>
    <cellStyle name="Currency 4 2 2 2 2 3 2 3 2" xfId="26148" xr:uid="{71FD364F-4D3B-4265-A8D0-3090E89C65B6}"/>
    <cellStyle name="Currency 4 2 2 2 2 3 2 4" xfId="20072" xr:uid="{63DD5ADD-0420-480E-A389-A72C971491C5}"/>
    <cellStyle name="Currency 4 2 2 2 2 3 3" xfId="6889" xr:uid="{4174E3EE-E771-4741-AB54-5CEA73E4C474}"/>
    <cellStyle name="Currency 4 2 2 2 2 3 3 2" xfId="10361" xr:uid="{650C1442-9B8A-481D-830D-C1020ABF7AFB}"/>
    <cellStyle name="Currency 4 2 2 2 2 3 3 2 2" xfId="24412" xr:uid="{2059561C-EEA5-44BB-B553-7E378FE7E911}"/>
    <cellStyle name="Currency 4 2 2 2 2 3 3 3" xfId="12965" xr:uid="{029DEE9F-0F43-46AF-AF81-E911298CB5C1}"/>
    <cellStyle name="Currency 4 2 2 2 2 3 3 3 2" xfId="27016" xr:uid="{82ACC788-86B3-4184-8681-7925BB39EFE9}"/>
    <cellStyle name="Currency 4 2 2 2 2 3 3 4" xfId="20940" xr:uid="{1E6BE814-79B6-4991-A32F-BED2F6911FCA}"/>
    <cellStyle name="Currency 4 2 2 2 2 3 4" xfId="8625" xr:uid="{0B903B95-62A9-4412-92BB-F3792D307D20}"/>
    <cellStyle name="Currency 4 2 2 2 2 3 4 2" xfId="13833" xr:uid="{D17E09FA-C624-46D1-B2E6-C2B0F966E9EB}"/>
    <cellStyle name="Currency 4 2 2 2 2 3 4 2 2" xfId="27884" xr:uid="{C49B82CC-F2FF-40F4-B546-52B8A2CA407C}"/>
    <cellStyle name="Currency 4 2 2 2 2 3 4 3" xfId="22676" xr:uid="{B84F30FD-9443-4D12-9CD7-9BBD2A45FE98}"/>
    <cellStyle name="Currency 4 2 2 2 2 3 5" xfId="7757" xr:uid="{C0BC0D77-2FC8-4DCD-8E55-B59383C8C1F9}"/>
    <cellStyle name="Currency 4 2 2 2 2 3 5 2" xfId="21808" xr:uid="{0222410E-F9B3-4155-9BEA-BE33A4E73EAE}"/>
    <cellStyle name="Currency 4 2 2 2 2 3 6" xfId="11229" xr:uid="{8D80F995-ADD3-4FAD-BD5F-61A7FC07625A}"/>
    <cellStyle name="Currency 4 2 2 2 2 3 6 2" xfId="25280" xr:uid="{75A3EAF1-527F-4EFB-9073-7DD62A945EDA}"/>
    <cellStyle name="Currency 4 2 2 2 2 3 7" xfId="19204" xr:uid="{311A40BB-DB8E-4CF3-93F4-11865068DBEA}"/>
    <cellStyle name="Currency 4 2 2 2 2 4" xfId="5587" xr:uid="{0BFBC1A1-51EA-4F7B-8D8A-C06F6459F35D}"/>
    <cellStyle name="Currency 4 2 2 2 2 4 2" xfId="9059" xr:uid="{BFDA0E92-F72D-4F32-9BE2-7531059FF244}"/>
    <cellStyle name="Currency 4 2 2 2 2 4 2 2" xfId="23110" xr:uid="{73A0E173-3619-4616-9B46-4FAA65C71667}"/>
    <cellStyle name="Currency 4 2 2 2 2 4 3" xfId="11663" xr:uid="{DEE84E40-B051-46B9-AE58-3E6194547DED}"/>
    <cellStyle name="Currency 4 2 2 2 2 4 3 2" xfId="25714" xr:uid="{1AFE6C94-9E47-4A01-B112-4AC3A7906C7B}"/>
    <cellStyle name="Currency 4 2 2 2 2 4 4" xfId="19638" xr:uid="{B2F5C52F-F308-4089-A7AA-5C0E3C687049}"/>
    <cellStyle name="Currency 4 2 2 2 2 5" xfId="6455" xr:uid="{9036FB62-B6A8-4DAB-BE6F-0096930D6521}"/>
    <cellStyle name="Currency 4 2 2 2 2 5 2" xfId="9927" xr:uid="{2FBD1F06-E96F-44A1-8ACA-E1D1022AAF85}"/>
    <cellStyle name="Currency 4 2 2 2 2 5 2 2" xfId="23978" xr:uid="{CFAAC1D3-9BC3-4314-87E6-832E6F004E31}"/>
    <cellStyle name="Currency 4 2 2 2 2 5 3" xfId="12531" xr:uid="{CCE6461D-F558-4D24-AF24-6B261441F5E4}"/>
    <cellStyle name="Currency 4 2 2 2 2 5 3 2" xfId="26582" xr:uid="{46B42824-4FB5-4589-8184-CFA2D8DFEC53}"/>
    <cellStyle name="Currency 4 2 2 2 2 5 4" xfId="20506" xr:uid="{16C664F3-8694-4FC1-A88A-A1AAEA82558F}"/>
    <cellStyle name="Currency 4 2 2 2 2 6" xfId="8191" xr:uid="{44B8BA97-9689-44FA-AEA3-62C318E55FDF}"/>
    <cellStyle name="Currency 4 2 2 2 2 6 2" xfId="13399" xr:uid="{B911EC2F-9555-4D5A-9427-217CEBA17092}"/>
    <cellStyle name="Currency 4 2 2 2 2 6 2 2" xfId="27450" xr:uid="{07B7942B-A070-460F-8EB8-B3735DFE4E50}"/>
    <cellStyle name="Currency 4 2 2 2 2 6 3" xfId="22242" xr:uid="{83CE11DB-8104-4A0D-84AD-F4461DCA8D85}"/>
    <cellStyle name="Currency 4 2 2 2 2 7" xfId="7323" xr:uid="{37171C4A-D9FA-43E6-BAE5-5817F89A8714}"/>
    <cellStyle name="Currency 4 2 2 2 2 7 2" xfId="21374" xr:uid="{3FCEA932-EFF6-4DE2-B255-1A5939FA5DEA}"/>
    <cellStyle name="Currency 4 2 2 2 2 8" xfId="10795" xr:uid="{BC21F49D-6A0A-43B0-8102-8331ABFDC34D}"/>
    <cellStyle name="Currency 4 2 2 2 2 8 2" xfId="24846" xr:uid="{11BB651A-3B60-443D-B76F-3CF4AA6A99AF}"/>
    <cellStyle name="Currency 4 2 2 2 2 9" xfId="15912" xr:uid="{593A98A1-F704-4543-87F5-6FDEA8541C7E}"/>
    <cellStyle name="Currency 4 2 2 2 3" xfId="2954" xr:uid="{1A4E6FAD-5703-4796-923F-E8C08F79B0D9}"/>
    <cellStyle name="Currency 4 2 2 2 3 2" xfId="5247" xr:uid="{83447E6F-28AC-4F0F-92F0-91FEC52E3203}"/>
    <cellStyle name="Currency 4 2 2 2 3 2 2" xfId="6115" xr:uid="{851D0319-E381-40F1-A50E-78B5192DDFE5}"/>
    <cellStyle name="Currency 4 2 2 2 3 2 2 2" xfId="9587" xr:uid="{DDF82444-3521-4214-99E4-847E8D7C7AB1}"/>
    <cellStyle name="Currency 4 2 2 2 3 2 2 2 2" xfId="23638" xr:uid="{62E9BF56-63BA-4BB2-8687-F0DBFAFFCDA1}"/>
    <cellStyle name="Currency 4 2 2 2 3 2 2 3" xfId="12191" xr:uid="{187A91CD-2919-4653-8E60-CD9AA2402A83}"/>
    <cellStyle name="Currency 4 2 2 2 3 2 2 3 2" xfId="26242" xr:uid="{7D352E2F-51B7-4402-8455-2437F6F9DA44}"/>
    <cellStyle name="Currency 4 2 2 2 3 2 2 4" xfId="20166" xr:uid="{B8811625-5270-448F-9686-A78E17EE8E71}"/>
    <cellStyle name="Currency 4 2 2 2 3 2 3" xfId="6983" xr:uid="{4B9E7FB6-8C8E-4C31-9C30-ED60E8C6F822}"/>
    <cellStyle name="Currency 4 2 2 2 3 2 3 2" xfId="10455" xr:uid="{4865D549-1A30-41BC-B19A-134A240FE70F}"/>
    <cellStyle name="Currency 4 2 2 2 3 2 3 2 2" xfId="24506" xr:uid="{F225E4F8-E5FE-438D-966C-1E142EA3123D}"/>
    <cellStyle name="Currency 4 2 2 2 3 2 3 3" xfId="13059" xr:uid="{8FD94A95-5FA5-4B02-B9C9-959A975127D1}"/>
    <cellStyle name="Currency 4 2 2 2 3 2 3 3 2" xfId="27110" xr:uid="{0FD7F7C0-3C30-4009-AF1F-BB6D7826BDB7}"/>
    <cellStyle name="Currency 4 2 2 2 3 2 3 4" xfId="21034" xr:uid="{01CB2CB9-2A64-4BE3-9C2D-57BE41234DEE}"/>
    <cellStyle name="Currency 4 2 2 2 3 2 4" xfId="8719" xr:uid="{F8527026-C5D2-4092-936C-700A05A57636}"/>
    <cellStyle name="Currency 4 2 2 2 3 2 4 2" xfId="13927" xr:uid="{1D88C1CD-FF74-4278-9681-094EE9534756}"/>
    <cellStyle name="Currency 4 2 2 2 3 2 4 2 2" xfId="27978" xr:uid="{6FD8D903-12B3-4467-B964-D2150BC1928F}"/>
    <cellStyle name="Currency 4 2 2 2 3 2 4 3" xfId="22770" xr:uid="{F54D1099-FE60-42EC-A42E-B3A4F749AD1B}"/>
    <cellStyle name="Currency 4 2 2 2 3 2 5" xfId="7851" xr:uid="{06803F52-8AEC-4CBA-AA82-F3530E20CF5A}"/>
    <cellStyle name="Currency 4 2 2 2 3 2 5 2" xfId="21902" xr:uid="{CBA02472-A48D-4315-A5E1-98A15BDD4408}"/>
    <cellStyle name="Currency 4 2 2 2 3 2 6" xfId="11323" xr:uid="{B18A616A-3D35-4F29-9CF2-53A9C4D34AED}"/>
    <cellStyle name="Currency 4 2 2 2 3 2 6 2" xfId="25374" xr:uid="{99D35CDC-7AD2-465B-BBAE-530FBC6C9CD3}"/>
    <cellStyle name="Currency 4 2 2 2 3 2 7" xfId="19298" xr:uid="{07322A20-5885-44C1-9E60-3FEA8D785941}"/>
    <cellStyle name="Currency 4 2 2 2 3 3" xfId="5681" xr:uid="{FC068C5C-FEB6-48AA-89B9-E75CA0984206}"/>
    <cellStyle name="Currency 4 2 2 2 3 3 2" xfId="9153" xr:uid="{A9E967F7-8E1C-4730-AED2-E5160C9F13EE}"/>
    <cellStyle name="Currency 4 2 2 2 3 3 2 2" xfId="23204" xr:uid="{CCE4C045-9418-4ADF-AAA3-34759B9A9EC7}"/>
    <cellStyle name="Currency 4 2 2 2 3 3 3" xfId="11757" xr:uid="{32065491-8FDA-47EF-84AC-5E28AF8F1336}"/>
    <cellStyle name="Currency 4 2 2 2 3 3 3 2" xfId="25808" xr:uid="{60A92FCD-28A0-460D-A529-A1BFD9A3E28B}"/>
    <cellStyle name="Currency 4 2 2 2 3 3 4" xfId="19732" xr:uid="{4BEB77DE-B7EA-446B-A61C-94BD387773AD}"/>
    <cellStyle name="Currency 4 2 2 2 3 4" xfId="6549" xr:uid="{5CFA9548-F6FD-469E-AFD1-0DD18EE1D430}"/>
    <cellStyle name="Currency 4 2 2 2 3 4 2" xfId="10021" xr:uid="{AA1D76C7-74E3-47B4-9B36-9005B08A07B4}"/>
    <cellStyle name="Currency 4 2 2 2 3 4 2 2" xfId="24072" xr:uid="{2AB1FCF1-D289-4DE8-AE97-9FD5B72F3E11}"/>
    <cellStyle name="Currency 4 2 2 2 3 4 3" xfId="12625" xr:uid="{1C872EDD-DD21-4429-9020-BBF6632AD5D0}"/>
    <cellStyle name="Currency 4 2 2 2 3 4 3 2" xfId="26676" xr:uid="{DE8F8B1F-6B8A-4EF6-B49C-7B6BF827E045}"/>
    <cellStyle name="Currency 4 2 2 2 3 4 4" xfId="20600" xr:uid="{B4804FA9-23C1-4398-B06D-17D059CB9D02}"/>
    <cellStyle name="Currency 4 2 2 2 3 5" xfId="8285" xr:uid="{7E7B48D2-8B2D-4FCD-8FD8-283514D78AC0}"/>
    <cellStyle name="Currency 4 2 2 2 3 5 2" xfId="13493" xr:uid="{993A0167-98C2-4BCC-B74E-A1869F51A2EC}"/>
    <cellStyle name="Currency 4 2 2 2 3 5 2 2" xfId="27544" xr:uid="{32712CC4-1AE5-479C-9DD4-7B1B7D515F42}"/>
    <cellStyle name="Currency 4 2 2 2 3 5 3" xfId="22336" xr:uid="{FB946498-B411-4129-A617-4D7F4937EE7E}"/>
    <cellStyle name="Currency 4 2 2 2 3 6" xfId="7417" xr:uid="{2BA53935-CC77-49E4-BE6F-E616256C7AE4}"/>
    <cellStyle name="Currency 4 2 2 2 3 6 2" xfId="21468" xr:uid="{AB924FC1-B561-4BDA-A12A-A8CCD7B60BC9}"/>
    <cellStyle name="Currency 4 2 2 2 3 7" xfId="10889" xr:uid="{9CEDF6D0-D8DC-4E7B-AAAA-34F1155FC765}"/>
    <cellStyle name="Currency 4 2 2 2 3 7 2" xfId="24940" xr:uid="{8A6BF44E-AE20-422B-9BC5-4A450C1423B3}"/>
    <cellStyle name="Currency 4 2 2 2 3 8" xfId="17006" xr:uid="{080DAE06-26DC-4B76-90F2-50164AD25F8A}"/>
    <cellStyle name="Currency 4 2 2 2 4" xfId="5055" xr:uid="{B22D770D-A2B1-40F9-AEA6-67029251AC83}"/>
    <cellStyle name="Currency 4 2 2 2 4 2" xfId="5923" xr:uid="{DBD2BE6B-9CF9-4E70-821F-804EA2E52895}"/>
    <cellStyle name="Currency 4 2 2 2 4 2 2" xfId="9395" xr:uid="{3E772D19-AE6C-4416-AE06-F3B913F1EBEA}"/>
    <cellStyle name="Currency 4 2 2 2 4 2 2 2" xfId="23446" xr:uid="{672AAEBB-D8D1-40AC-8EF8-2A21A6ADE263}"/>
    <cellStyle name="Currency 4 2 2 2 4 2 3" xfId="11999" xr:uid="{088F2EF5-2E3D-4A30-9BCA-437F32332199}"/>
    <cellStyle name="Currency 4 2 2 2 4 2 3 2" xfId="26050" xr:uid="{1C4C4ED3-A65A-4E4A-98BA-4A0550C5CD93}"/>
    <cellStyle name="Currency 4 2 2 2 4 2 4" xfId="19974" xr:uid="{FF9566BD-1969-4093-8E90-3B2F457B1CE8}"/>
    <cellStyle name="Currency 4 2 2 2 4 3" xfId="6791" xr:uid="{AA877A8A-3E68-4B6B-AE4F-E4BFC5396BCA}"/>
    <cellStyle name="Currency 4 2 2 2 4 3 2" xfId="10263" xr:uid="{A6A6BC59-4BAB-4289-A7D8-086077079EA0}"/>
    <cellStyle name="Currency 4 2 2 2 4 3 2 2" xfId="24314" xr:uid="{CFAAF05B-F1B0-426A-B6E5-8A814905D62D}"/>
    <cellStyle name="Currency 4 2 2 2 4 3 3" xfId="12867" xr:uid="{B89EFD1C-B811-4979-9608-852AAFFF8E5C}"/>
    <cellStyle name="Currency 4 2 2 2 4 3 3 2" xfId="26918" xr:uid="{EF6A3819-6664-4E07-9044-91DF9912ADF7}"/>
    <cellStyle name="Currency 4 2 2 2 4 3 4" xfId="20842" xr:uid="{8D263A35-9D53-4816-AF1D-99E6E0F26001}"/>
    <cellStyle name="Currency 4 2 2 2 4 4" xfId="8527" xr:uid="{F53A09DD-FD0F-480A-814A-6416F700503E}"/>
    <cellStyle name="Currency 4 2 2 2 4 4 2" xfId="13735" xr:uid="{6C8E06B7-CA71-4010-9602-60545209ABBE}"/>
    <cellStyle name="Currency 4 2 2 2 4 4 2 2" xfId="27786" xr:uid="{62DC5DFC-2746-495C-B18B-DE72C87366E0}"/>
    <cellStyle name="Currency 4 2 2 2 4 4 3" xfId="22578" xr:uid="{F2752081-AF14-41A2-AD6F-43A43B08A139}"/>
    <cellStyle name="Currency 4 2 2 2 4 5" xfId="7659" xr:uid="{50C6BBCB-90C4-49D6-BE57-DE0E58B232C3}"/>
    <cellStyle name="Currency 4 2 2 2 4 5 2" xfId="21710" xr:uid="{CEE869BB-F390-46C6-99B5-2A4AAAC53636}"/>
    <cellStyle name="Currency 4 2 2 2 4 6" xfId="11131" xr:uid="{44B09B21-9FA2-4706-A013-DF4937942A84}"/>
    <cellStyle name="Currency 4 2 2 2 4 6 2" xfId="25182" xr:uid="{8EEA02D7-315F-4837-B436-3889E80096A7}"/>
    <cellStyle name="Currency 4 2 2 2 4 7" xfId="19106" xr:uid="{658B68C1-D5C9-4389-B3B2-9F31EB80850B}"/>
    <cellStyle name="Currency 4 2 2 2 5" xfId="5489" xr:uid="{59EB4940-C668-465E-A7B9-9C745E7E4A7C}"/>
    <cellStyle name="Currency 4 2 2 2 5 2" xfId="8961" xr:uid="{43246979-0DBA-417C-9FE1-EFE9A78A729A}"/>
    <cellStyle name="Currency 4 2 2 2 5 2 2" xfId="23012" xr:uid="{4E3B04B9-EDF6-4878-9EF2-9263CB749911}"/>
    <cellStyle name="Currency 4 2 2 2 5 3" xfId="11565" xr:uid="{F096DF4A-226F-419E-BDFA-B58F27144BDD}"/>
    <cellStyle name="Currency 4 2 2 2 5 3 2" xfId="25616" xr:uid="{0AFB156A-B3F6-4A77-BD77-64B839258A0C}"/>
    <cellStyle name="Currency 4 2 2 2 5 4" xfId="19540" xr:uid="{74EE7800-9623-4C11-8FD9-BE40AE643B8A}"/>
    <cellStyle name="Currency 4 2 2 2 6" xfId="6357" xr:uid="{5E8F1AED-D457-4DE8-8185-5557ECA5EAB3}"/>
    <cellStyle name="Currency 4 2 2 2 6 2" xfId="9829" xr:uid="{154536EB-6774-448B-8C5C-415AC7929561}"/>
    <cellStyle name="Currency 4 2 2 2 6 2 2" xfId="23880" xr:uid="{49648F57-69C5-4DF8-B039-3EABF6609C6A}"/>
    <cellStyle name="Currency 4 2 2 2 6 3" xfId="12433" xr:uid="{37006C4E-9BAE-4662-A114-186B12352E2A}"/>
    <cellStyle name="Currency 4 2 2 2 6 3 2" xfId="26484" xr:uid="{FF672102-21B9-4C9C-8394-53EC672DD3B2}"/>
    <cellStyle name="Currency 4 2 2 2 6 4" xfId="20408" xr:uid="{D6DD3701-05A7-4970-AA7E-A6D0EA216097}"/>
    <cellStyle name="Currency 4 2 2 2 7" xfId="8093" xr:uid="{647FDB78-BD6B-4AEF-ACDF-5D9EBB2FA56D}"/>
    <cellStyle name="Currency 4 2 2 2 7 2" xfId="13301" xr:uid="{C5951C41-51CE-4E56-9794-79724CBD6ACC}"/>
    <cellStyle name="Currency 4 2 2 2 7 2 2" xfId="27352" xr:uid="{E0C5BD26-F4A5-4734-9B71-368ECFB7CD3C}"/>
    <cellStyle name="Currency 4 2 2 2 7 3" xfId="22144" xr:uid="{9B334690-0030-45B3-93B8-014DFF74B57F}"/>
    <cellStyle name="Currency 4 2 2 2 8" xfId="7225" xr:uid="{089D31CD-D1F2-4D0D-B3B2-FE76690E0966}"/>
    <cellStyle name="Currency 4 2 2 2 8 2" xfId="21276" xr:uid="{B4C292B6-00C8-4BE2-A417-6726B1ABC98E}"/>
    <cellStyle name="Currency 4 2 2 2 9" xfId="10697" xr:uid="{6D5DFD31-BD6E-44CE-95C4-BE44164AD6B1}"/>
    <cellStyle name="Currency 4 2 2 2 9 2" xfId="24748" xr:uid="{D807B0B1-5F99-49C6-BF02-14FFCD4AC24B}"/>
    <cellStyle name="Currency 4 2 2 3" xfId="1109" xr:uid="{4C4F52AE-3CDC-4CF6-9006-C928614F9672}"/>
    <cellStyle name="Currency 4 2 2 3 10" xfId="15159" xr:uid="{1B09D443-04F0-4703-A3EF-F8CED8870CAC}"/>
    <cellStyle name="Currency 4 2 2 3 2" xfId="2208" xr:uid="{143E8D8D-54DD-4122-A6B8-D5BBE4E801A3}"/>
    <cellStyle name="Currency 4 2 2 3 2 2" xfId="4397" xr:uid="{EBAD5320-D210-4491-96C5-14A45AD96E2B}"/>
    <cellStyle name="Currency 4 2 2 3 2 2 2" xfId="5372" xr:uid="{8CC41C22-2337-45CC-9BBD-DE4FB6565A39}"/>
    <cellStyle name="Currency 4 2 2 3 2 2 2 2" xfId="6240" xr:uid="{FA428272-5514-4380-B5B2-53845D2F3815}"/>
    <cellStyle name="Currency 4 2 2 3 2 2 2 2 2" xfId="9712" xr:uid="{CC10F475-C3DD-4667-856E-22D84334CB0E}"/>
    <cellStyle name="Currency 4 2 2 3 2 2 2 2 2 2" xfId="23763" xr:uid="{5DB9097A-36D1-4B56-BEF3-0185DEEE65BE}"/>
    <cellStyle name="Currency 4 2 2 3 2 2 2 2 3" xfId="12316" xr:uid="{5F98312E-99C3-4DFE-8CC6-EBDEB2F87431}"/>
    <cellStyle name="Currency 4 2 2 3 2 2 2 2 3 2" xfId="26367" xr:uid="{E6DE8DA5-1DA0-4E58-9C49-D51763C8AC13}"/>
    <cellStyle name="Currency 4 2 2 3 2 2 2 2 4" xfId="20291" xr:uid="{A786FCF1-DA7A-4E4D-99FD-9C7C05D32970}"/>
    <cellStyle name="Currency 4 2 2 3 2 2 2 3" xfId="7108" xr:uid="{A7412E54-0030-4EB0-A662-C2210C35FF60}"/>
    <cellStyle name="Currency 4 2 2 3 2 2 2 3 2" xfId="10580" xr:uid="{B4DF88CB-60FC-4008-B1A1-D40D7FE7EEEE}"/>
    <cellStyle name="Currency 4 2 2 3 2 2 2 3 2 2" xfId="24631" xr:uid="{53D4E99B-C3BA-4409-A399-98741FA8E14B}"/>
    <cellStyle name="Currency 4 2 2 3 2 2 2 3 3" xfId="13184" xr:uid="{D0E9A081-FEF2-4040-BBF6-D460F8CAE178}"/>
    <cellStyle name="Currency 4 2 2 3 2 2 2 3 3 2" xfId="27235" xr:uid="{B982DB38-CB74-47B0-A314-3A19D2DECD11}"/>
    <cellStyle name="Currency 4 2 2 3 2 2 2 3 4" xfId="21159" xr:uid="{D8B21115-7450-4711-9011-05F9BD0B1833}"/>
    <cellStyle name="Currency 4 2 2 3 2 2 2 4" xfId="8844" xr:uid="{9A2B29BC-954F-4CCC-9D15-CD4A694ED734}"/>
    <cellStyle name="Currency 4 2 2 3 2 2 2 4 2" xfId="14052" xr:uid="{05A6F266-0DEF-45FD-BDF3-09190E9E375F}"/>
    <cellStyle name="Currency 4 2 2 3 2 2 2 4 2 2" xfId="28103" xr:uid="{258FF636-3D91-4867-99ED-DDC2CCB10091}"/>
    <cellStyle name="Currency 4 2 2 3 2 2 2 4 3" xfId="22895" xr:uid="{A5BCEC35-C8D1-4420-9C94-14E3E211CB30}"/>
    <cellStyle name="Currency 4 2 2 3 2 2 2 5" xfId="7976" xr:uid="{B2080DC0-10AB-4E4A-9566-E515E5199083}"/>
    <cellStyle name="Currency 4 2 2 3 2 2 2 5 2" xfId="22027" xr:uid="{2FE36B89-64BF-4D46-9679-80FE04F0BC46}"/>
    <cellStyle name="Currency 4 2 2 3 2 2 2 6" xfId="11448" xr:uid="{D114C8E6-8AC8-4B4E-ADC8-1DFB0D2B605D}"/>
    <cellStyle name="Currency 4 2 2 3 2 2 2 6 2" xfId="25499" xr:uid="{08561B48-8C65-4346-AD23-1D7DFBC2880B}"/>
    <cellStyle name="Currency 4 2 2 3 2 2 2 7" xfId="19423" xr:uid="{9C5EB4F2-A45C-4F81-85FF-7E1F3BD753DA}"/>
    <cellStyle name="Currency 4 2 2 3 2 2 3" xfId="5806" xr:uid="{37E632CB-1129-4AAE-AA13-22D70A1B8E11}"/>
    <cellStyle name="Currency 4 2 2 3 2 2 3 2" xfId="9278" xr:uid="{12B62677-84B7-4250-9A6C-FCE01FB215D7}"/>
    <cellStyle name="Currency 4 2 2 3 2 2 3 2 2" xfId="23329" xr:uid="{9515FF11-320D-49A3-A0EC-C9A23B779E2D}"/>
    <cellStyle name="Currency 4 2 2 3 2 2 3 3" xfId="11882" xr:uid="{CE7DED49-FB71-471F-9BFC-119E03159A21}"/>
    <cellStyle name="Currency 4 2 2 3 2 2 3 3 2" xfId="25933" xr:uid="{9054B79A-2718-44D2-8BB2-73D7F0D04CF4}"/>
    <cellStyle name="Currency 4 2 2 3 2 2 3 4" xfId="19857" xr:uid="{A547482B-3DDE-4FFD-B710-71518B4277CD}"/>
    <cellStyle name="Currency 4 2 2 3 2 2 4" xfId="6674" xr:uid="{6E50B83C-7849-4523-9BBB-35169F0D1168}"/>
    <cellStyle name="Currency 4 2 2 3 2 2 4 2" xfId="10146" xr:uid="{ECFA0E3D-875D-4433-B83C-F218D9013CDC}"/>
    <cellStyle name="Currency 4 2 2 3 2 2 4 2 2" xfId="24197" xr:uid="{8BB9732B-2465-48E5-BEB8-DC0AEA7AC08A}"/>
    <cellStyle name="Currency 4 2 2 3 2 2 4 3" xfId="12750" xr:uid="{84BED0CE-E6A5-4270-8DFF-C745B92BEF47}"/>
    <cellStyle name="Currency 4 2 2 3 2 2 4 3 2" xfId="26801" xr:uid="{447A4EED-5418-483A-8212-9E4DEDD85431}"/>
    <cellStyle name="Currency 4 2 2 3 2 2 4 4" xfId="20725" xr:uid="{B0C0C9A3-A554-4AB5-AF47-89ADF6D8AB82}"/>
    <cellStyle name="Currency 4 2 2 3 2 2 5" xfId="8410" xr:uid="{13529BAB-83E6-423B-91D1-EA29FE6ACD0A}"/>
    <cellStyle name="Currency 4 2 2 3 2 2 5 2" xfId="13618" xr:uid="{F1CEBE76-D924-4D1A-96D9-CD074FC7032A}"/>
    <cellStyle name="Currency 4 2 2 3 2 2 5 2 2" xfId="27669" xr:uid="{F3B55047-5FDE-4784-90B3-7C5D87E406D7}"/>
    <cellStyle name="Currency 4 2 2 3 2 2 5 3" xfId="22461" xr:uid="{922FECA1-E276-4BF4-A09F-4787E853C4E3}"/>
    <cellStyle name="Currency 4 2 2 3 2 2 6" xfId="7542" xr:uid="{4518ADEB-903B-4091-B015-A046A98B984E}"/>
    <cellStyle name="Currency 4 2 2 3 2 2 6 2" xfId="21593" xr:uid="{3DAA22D0-563E-4B99-830E-754999E6203C}"/>
    <cellStyle name="Currency 4 2 2 3 2 2 7" xfId="11014" xr:uid="{B1BAB665-FCAB-489A-B934-17285A441811}"/>
    <cellStyle name="Currency 4 2 2 3 2 2 7 2" xfId="25065" xr:uid="{418B933E-D801-4FF4-85AB-837166A3DAFC}"/>
    <cellStyle name="Currency 4 2 2 3 2 2 8" xfId="18447" xr:uid="{5C5722E4-9980-422C-8662-6ABBAE9D1260}"/>
    <cellStyle name="Currency 4 2 2 3 2 3" xfId="5182" xr:uid="{6BB61967-91C8-457E-B84C-41ECA79FB51C}"/>
    <cellStyle name="Currency 4 2 2 3 2 3 2" xfId="6050" xr:uid="{B8DE76B8-A4A0-487E-BA6D-C46E8346044B}"/>
    <cellStyle name="Currency 4 2 2 3 2 3 2 2" xfId="9522" xr:uid="{F15EC90F-3F21-4FD7-A5C8-E97ACBE4B63B}"/>
    <cellStyle name="Currency 4 2 2 3 2 3 2 2 2" xfId="23573" xr:uid="{9A678AFD-9C9C-46B7-A03F-49EBA23D30EE}"/>
    <cellStyle name="Currency 4 2 2 3 2 3 2 3" xfId="12126" xr:uid="{46B2DD99-2CBE-4AB8-A2A7-DC63DA0A65DA}"/>
    <cellStyle name="Currency 4 2 2 3 2 3 2 3 2" xfId="26177" xr:uid="{5D13738F-9291-4B2F-A205-1530C906585B}"/>
    <cellStyle name="Currency 4 2 2 3 2 3 2 4" xfId="20101" xr:uid="{7D38D7B9-F109-4B26-AB24-78ABADB34F5C}"/>
    <cellStyle name="Currency 4 2 2 3 2 3 3" xfId="6918" xr:uid="{847BD876-56BF-417A-9C09-22D9552F33C4}"/>
    <cellStyle name="Currency 4 2 2 3 2 3 3 2" xfId="10390" xr:uid="{6FD167EC-F52E-4BFE-A513-48DDF1CA5874}"/>
    <cellStyle name="Currency 4 2 2 3 2 3 3 2 2" xfId="24441" xr:uid="{23BF5271-F290-4525-8047-8B096E95234C}"/>
    <cellStyle name="Currency 4 2 2 3 2 3 3 3" xfId="12994" xr:uid="{DCE83DBB-8C7D-4013-883A-D7255C37829C}"/>
    <cellStyle name="Currency 4 2 2 3 2 3 3 3 2" xfId="27045" xr:uid="{62FCAF77-E43C-4FB5-A3FE-926F2A57F8DE}"/>
    <cellStyle name="Currency 4 2 2 3 2 3 3 4" xfId="20969" xr:uid="{045E817C-0B7C-4DAE-9CEA-6307BD45D4F7}"/>
    <cellStyle name="Currency 4 2 2 3 2 3 4" xfId="8654" xr:uid="{C0E67ED3-CCD3-4FBE-8F02-9CFE273B73D8}"/>
    <cellStyle name="Currency 4 2 2 3 2 3 4 2" xfId="13862" xr:uid="{BEABF15E-F454-4AB5-8032-7448EBAC9005}"/>
    <cellStyle name="Currency 4 2 2 3 2 3 4 2 2" xfId="27913" xr:uid="{5A1A6411-CAB3-4EFD-BAE9-DEC759EA03FB}"/>
    <cellStyle name="Currency 4 2 2 3 2 3 4 3" xfId="22705" xr:uid="{BFAA98AB-B4C6-4AD7-818B-18E696FD663E}"/>
    <cellStyle name="Currency 4 2 2 3 2 3 5" xfId="7786" xr:uid="{99BB8019-0DEB-46BB-9D6A-A0B8B40D1946}"/>
    <cellStyle name="Currency 4 2 2 3 2 3 5 2" xfId="21837" xr:uid="{59474AE1-5353-4378-A83D-063AA3B2FFD7}"/>
    <cellStyle name="Currency 4 2 2 3 2 3 6" xfId="11258" xr:uid="{06743338-8FEE-4C29-B952-DEA514DB5DDF}"/>
    <cellStyle name="Currency 4 2 2 3 2 3 6 2" xfId="25309" xr:uid="{0D80480D-A831-40D0-A28D-9094F70DC6F9}"/>
    <cellStyle name="Currency 4 2 2 3 2 3 7" xfId="19233" xr:uid="{E8828A0A-41F5-408B-8708-B94E082AA4C1}"/>
    <cellStyle name="Currency 4 2 2 3 2 4" xfId="5616" xr:uid="{14C8135F-82F7-4772-8577-32AD4B320F3D}"/>
    <cellStyle name="Currency 4 2 2 3 2 4 2" xfId="9088" xr:uid="{4D04EEF0-CFE3-4F95-9AB0-1E9CEDD28E09}"/>
    <cellStyle name="Currency 4 2 2 3 2 4 2 2" xfId="23139" xr:uid="{355021B2-D941-483B-BA9C-2FF15D0B4D82}"/>
    <cellStyle name="Currency 4 2 2 3 2 4 3" xfId="11692" xr:uid="{ECC4F02D-4B29-4860-A4B6-464A182CFFD1}"/>
    <cellStyle name="Currency 4 2 2 3 2 4 3 2" xfId="25743" xr:uid="{00332565-93D4-4A7D-ADF7-304DF9AFA297}"/>
    <cellStyle name="Currency 4 2 2 3 2 4 4" xfId="19667" xr:uid="{4C50C315-2509-41F0-A655-5CAE33004298}"/>
    <cellStyle name="Currency 4 2 2 3 2 5" xfId="6484" xr:uid="{22949D6F-8E49-41FC-A75E-A6883BB4B247}"/>
    <cellStyle name="Currency 4 2 2 3 2 5 2" xfId="9956" xr:uid="{2CCB239B-A641-4428-BE85-FD916B6AF155}"/>
    <cellStyle name="Currency 4 2 2 3 2 5 2 2" xfId="24007" xr:uid="{F3F8275C-A7F6-450A-B618-41683DA77190}"/>
    <cellStyle name="Currency 4 2 2 3 2 5 3" xfId="12560" xr:uid="{2B196C6F-A223-4972-B4B6-41C677CECC09}"/>
    <cellStyle name="Currency 4 2 2 3 2 5 3 2" xfId="26611" xr:uid="{857AB81C-D388-49DC-BCA2-729D55B4D8DB}"/>
    <cellStyle name="Currency 4 2 2 3 2 5 4" xfId="20535" xr:uid="{011BE08D-5186-4487-9B97-0128F2FBB7DA}"/>
    <cellStyle name="Currency 4 2 2 3 2 6" xfId="8220" xr:uid="{B0122FE4-17A3-400E-BB07-D36D1A33B5E1}"/>
    <cellStyle name="Currency 4 2 2 3 2 6 2" xfId="13428" xr:uid="{27CC6F04-0A94-4C50-8DDC-C0AA0A67305A}"/>
    <cellStyle name="Currency 4 2 2 3 2 6 2 2" xfId="27479" xr:uid="{A49F07B2-25B5-4AF3-BD2F-CE53CF33F227}"/>
    <cellStyle name="Currency 4 2 2 3 2 6 3" xfId="22271" xr:uid="{E7913F63-9B75-4A19-BA2F-71596D10DF16}"/>
    <cellStyle name="Currency 4 2 2 3 2 7" xfId="7352" xr:uid="{58656429-CF5F-441A-8FD8-4162D16647FB}"/>
    <cellStyle name="Currency 4 2 2 3 2 7 2" xfId="21403" xr:uid="{E6B7EC98-DAB5-41E8-9947-D8767C86BC89}"/>
    <cellStyle name="Currency 4 2 2 3 2 8" xfId="10824" xr:uid="{69A6CC2F-43A9-4032-A8EC-08D369918201}"/>
    <cellStyle name="Currency 4 2 2 3 2 8 2" xfId="24875" xr:uid="{3AB9482A-01A0-42FF-9F20-F89A39C2432F}"/>
    <cellStyle name="Currency 4 2 2 3 2 9" xfId="16257" xr:uid="{9343273E-63A4-4527-A144-F08702DB1073}"/>
    <cellStyle name="Currency 4 2 2 3 3" xfId="3301" xr:uid="{E6F999ED-059E-403B-8233-6280D3C5C6E5}"/>
    <cellStyle name="Currency 4 2 2 3 3 2" xfId="5277" xr:uid="{B8EF1345-E6EA-47FD-AA9F-396B029B2C3E}"/>
    <cellStyle name="Currency 4 2 2 3 3 2 2" xfId="6145" xr:uid="{87181081-7AE7-46A7-889D-68BA9E369A66}"/>
    <cellStyle name="Currency 4 2 2 3 3 2 2 2" xfId="9617" xr:uid="{47B1AA4F-C324-42C6-A898-EA202766E824}"/>
    <cellStyle name="Currency 4 2 2 3 3 2 2 2 2" xfId="23668" xr:uid="{9DCA8FCC-E05A-4972-B3CF-A00897BC1B3C}"/>
    <cellStyle name="Currency 4 2 2 3 3 2 2 3" xfId="12221" xr:uid="{316B092D-60EE-4033-BC32-39FE18F0C02D}"/>
    <cellStyle name="Currency 4 2 2 3 3 2 2 3 2" xfId="26272" xr:uid="{D83DCA61-E0C1-49F2-A8BA-C14BFBAE2287}"/>
    <cellStyle name="Currency 4 2 2 3 3 2 2 4" xfId="20196" xr:uid="{1B489384-6C18-401E-BD86-C81ED941D6E8}"/>
    <cellStyle name="Currency 4 2 2 3 3 2 3" xfId="7013" xr:uid="{029B4D98-E0AC-45F4-B5CF-A57367D8B110}"/>
    <cellStyle name="Currency 4 2 2 3 3 2 3 2" xfId="10485" xr:uid="{9F63D6F9-23E8-42CC-9C77-B39092EED487}"/>
    <cellStyle name="Currency 4 2 2 3 3 2 3 2 2" xfId="24536" xr:uid="{65FABB2A-FFC6-45E2-9F97-6AB50C638E68}"/>
    <cellStyle name="Currency 4 2 2 3 3 2 3 3" xfId="13089" xr:uid="{8B1374C4-DE71-4F0F-9012-7542D0A31B4C}"/>
    <cellStyle name="Currency 4 2 2 3 3 2 3 3 2" xfId="27140" xr:uid="{8BDE2476-F988-4200-8917-A4E4DB573259}"/>
    <cellStyle name="Currency 4 2 2 3 3 2 3 4" xfId="21064" xr:uid="{46C8F6F5-06E4-443E-B426-85717D261F42}"/>
    <cellStyle name="Currency 4 2 2 3 3 2 4" xfId="8749" xr:uid="{B0701188-D09C-4381-AB01-8FB57DDC943D}"/>
    <cellStyle name="Currency 4 2 2 3 3 2 4 2" xfId="13957" xr:uid="{1B7622FD-7B04-4B63-B40F-9B913BD3F057}"/>
    <cellStyle name="Currency 4 2 2 3 3 2 4 2 2" xfId="28008" xr:uid="{9D3947CE-04A8-400B-BE4F-8D567DEE401F}"/>
    <cellStyle name="Currency 4 2 2 3 3 2 4 3" xfId="22800" xr:uid="{819DF508-3596-4AB3-87D5-7FDF198DCC43}"/>
    <cellStyle name="Currency 4 2 2 3 3 2 5" xfId="7881" xr:uid="{3194D51A-0AEB-4E0F-ABBA-0C9D5E205FB4}"/>
    <cellStyle name="Currency 4 2 2 3 3 2 5 2" xfId="21932" xr:uid="{A52E9BF6-4647-44B3-8A8D-A22042772F93}"/>
    <cellStyle name="Currency 4 2 2 3 3 2 6" xfId="11353" xr:uid="{69D61315-4E6A-43D4-BD55-0EB9407FE5E9}"/>
    <cellStyle name="Currency 4 2 2 3 3 2 6 2" xfId="25404" xr:uid="{2B630B5E-30E6-4331-B43C-16522FDC5AB4}"/>
    <cellStyle name="Currency 4 2 2 3 3 2 7" xfId="19328" xr:uid="{B6E2AE83-EE5E-4839-BA16-8A8E0D72FDF4}"/>
    <cellStyle name="Currency 4 2 2 3 3 3" xfId="5711" xr:uid="{D7EC67CA-8757-47F2-964E-0C1273021B17}"/>
    <cellStyle name="Currency 4 2 2 3 3 3 2" xfId="9183" xr:uid="{F5E74FF8-35DE-4B05-9892-8BCA1F692944}"/>
    <cellStyle name="Currency 4 2 2 3 3 3 2 2" xfId="23234" xr:uid="{3DA05E10-330E-4BA6-BACE-F4C846E01B1E}"/>
    <cellStyle name="Currency 4 2 2 3 3 3 3" xfId="11787" xr:uid="{96E51F94-5D59-4E54-B261-E3A84BD63799}"/>
    <cellStyle name="Currency 4 2 2 3 3 3 3 2" xfId="25838" xr:uid="{46C6B59A-CA4E-41B4-B858-A4004F3ADA0C}"/>
    <cellStyle name="Currency 4 2 2 3 3 3 4" xfId="19762" xr:uid="{1373238A-A233-4D5F-B86D-82E3B49D4A87}"/>
    <cellStyle name="Currency 4 2 2 3 3 4" xfId="6579" xr:uid="{CBB34750-5341-4E7C-A5B5-8D9A4273158C}"/>
    <cellStyle name="Currency 4 2 2 3 3 4 2" xfId="10051" xr:uid="{05060A3E-3C01-4C93-BFC5-10A1B72D4035}"/>
    <cellStyle name="Currency 4 2 2 3 3 4 2 2" xfId="24102" xr:uid="{EFA054EA-AE3B-4BE3-8CBF-409D8C37E2A2}"/>
    <cellStyle name="Currency 4 2 2 3 3 4 3" xfId="12655" xr:uid="{F7AACE82-49DB-4E90-AAAE-4FE0E8DF6F2D}"/>
    <cellStyle name="Currency 4 2 2 3 3 4 3 2" xfId="26706" xr:uid="{D7810D52-FC73-428F-8246-3E29E2AD975D}"/>
    <cellStyle name="Currency 4 2 2 3 3 4 4" xfId="20630" xr:uid="{4D33BE22-A28E-4C9E-80B6-EE2D68758C70}"/>
    <cellStyle name="Currency 4 2 2 3 3 5" xfId="8315" xr:uid="{28521435-3879-47A1-8803-7672DC95D2FE}"/>
    <cellStyle name="Currency 4 2 2 3 3 5 2" xfId="13523" xr:uid="{6C90D4AF-FD49-4086-A2B9-1BB91D45DD9F}"/>
    <cellStyle name="Currency 4 2 2 3 3 5 2 2" xfId="27574" xr:uid="{A4370C07-72D9-4FB6-8BAE-4411814131FE}"/>
    <cellStyle name="Currency 4 2 2 3 3 5 3" xfId="22366" xr:uid="{8D1389CE-9555-4566-A612-6A228853901E}"/>
    <cellStyle name="Currency 4 2 2 3 3 6" xfId="7447" xr:uid="{DC05E415-E1DA-43B4-81BA-B89E0077B446}"/>
    <cellStyle name="Currency 4 2 2 3 3 6 2" xfId="21498" xr:uid="{D0BF0440-A1C5-46E8-A3AC-D7535836E476}"/>
    <cellStyle name="Currency 4 2 2 3 3 7" xfId="10919" xr:uid="{21221348-360E-41FA-8798-2FC52EA0A48B}"/>
    <cellStyle name="Currency 4 2 2 3 3 7 2" xfId="24970" xr:uid="{D8AD3D0E-42D8-4ACB-BEC6-A8E5AB8F2D6C}"/>
    <cellStyle name="Currency 4 2 2 3 3 8" xfId="17353" xr:uid="{AAD5D0CE-9FA1-499F-9D20-F3FE5735B159}"/>
    <cellStyle name="Currency 4 2 2 3 4" xfId="5085" xr:uid="{05D02128-0616-4034-A0EE-E8151C5270D0}"/>
    <cellStyle name="Currency 4 2 2 3 4 2" xfId="5953" xr:uid="{51F952AC-9600-4637-B73E-B237EB52A73C}"/>
    <cellStyle name="Currency 4 2 2 3 4 2 2" xfId="9425" xr:uid="{2F9050ED-C7C6-46B4-A917-3D0273029C09}"/>
    <cellStyle name="Currency 4 2 2 3 4 2 2 2" xfId="23476" xr:uid="{5BD6CB2C-0A6C-48AE-88A4-D3EF161139F9}"/>
    <cellStyle name="Currency 4 2 2 3 4 2 3" xfId="12029" xr:uid="{9AE5466A-E08A-42E7-97EE-51EB8E07BE6C}"/>
    <cellStyle name="Currency 4 2 2 3 4 2 3 2" xfId="26080" xr:uid="{AF038A12-DC17-49BA-B5E1-EA2188083927}"/>
    <cellStyle name="Currency 4 2 2 3 4 2 4" xfId="20004" xr:uid="{17F706E5-1A2B-4FB1-84A1-29E28EFFF74D}"/>
    <cellStyle name="Currency 4 2 2 3 4 3" xfId="6821" xr:uid="{707CC6C5-BA16-40C6-BBEF-85807E7377E5}"/>
    <cellStyle name="Currency 4 2 2 3 4 3 2" xfId="10293" xr:uid="{A397B8A2-2EA6-4893-AFCE-7DBA49691D5F}"/>
    <cellStyle name="Currency 4 2 2 3 4 3 2 2" xfId="24344" xr:uid="{BFB5A4E9-95F0-45FD-AC5B-1EDBAABE8E6D}"/>
    <cellStyle name="Currency 4 2 2 3 4 3 3" xfId="12897" xr:uid="{BD067631-FE8C-4809-8464-DE41784CEB91}"/>
    <cellStyle name="Currency 4 2 2 3 4 3 3 2" xfId="26948" xr:uid="{A5E0FBED-702E-45BF-A7FE-0D6EE11EF3B0}"/>
    <cellStyle name="Currency 4 2 2 3 4 3 4" xfId="20872" xr:uid="{E06F3FB4-92BB-4269-9F9C-520BFAE0401A}"/>
    <cellStyle name="Currency 4 2 2 3 4 4" xfId="8557" xr:uid="{0F6FCEC5-4BDA-48F3-82C3-82B5EDDE086B}"/>
    <cellStyle name="Currency 4 2 2 3 4 4 2" xfId="13765" xr:uid="{FC9E891B-6D21-4F3A-AB98-34963ED5D1C4}"/>
    <cellStyle name="Currency 4 2 2 3 4 4 2 2" xfId="27816" xr:uid="{A1BF36A9-20B6-4BD0-8A6D-888F9FB63259}"/>
    <cellStyle name="Currency 4 2 2 3 4 4 3" xfId="22608" xr:uid="{47F05626-801A-4FE8-84E7-7E71925EC80E}"/>
    <cellStyle name="Currency 4 2 2 3 4 5" xfId="7689" xr:uid="{3D751695-E887-4B54-B59B-F20735946574}"/>
    <cellStyle name="Currency 4 2 2 3 4 5 2" xfId="21740" xr:uid="{A4FDB758-A189-47D2-8E74-6E794D2ECF6A}"/>
    <cellStyle name="Currency 4 2 2 3 4 6" xfId="11161" xr:uid="{4F643896-773E-4D90-967C-00C4D475FC3A}"/>
    <cellStyle name="Currency 4 2 2 3 4 6 2" xfId="25212" xr:uid="{A017F10E-7E20-4D56-BE38-4CB570292E48}"/>
    <cellStyle name="Currency 4 2 2 3 4 7" xfId="19136" xr:uid="{DAD60454-9148-4D24-BC23-C186AF7EFCFF}"/>
    <cellStyle name="Currency 4 2 2 3 5" xfId="5519" xr:uid="{80906E12-0C13-4119-94C6-A29CD13EA0DA}"/>
    <cellStyle name="Currency 4 2 2 3 5 2" xfId="8991" xr:uid="{CF4B792E-E99E-4D3B-81C2-AE8553951D69}"/>
    <cellStyle name="Currency 4 2 2 3 5 2 2" xfId="23042" xr:uid="{CB2D8D37-56F6-45D0-A533-C4566256065B}"/>
    <cellStyle name="Currency 4 2 2 3 5 3" xfId="11595" xr:uid="{84392BF1-FFFA-4684-A479-DA645E890B72}"/>
    <cellStyle name="Currency 4 2 2 3 5 3 2" xfId="25646" xr:uid="{AA3AFCFC-5C25-431B-8F1D-58DF7346AD36}"/>
    <cellStyle name="Currency 4 2 2 3 5 4" xfId="19570" xr:uid="{C3AD4F6F-2B63-459F-AE04-85327FC8CD49}"/>
    <cellStyle name="Currency 4 2 2 3 6" xfId="6387" xr:uid="{403670C0-BEBE-4E6D-B654-5D0784B0D22D}"/>
    <cellStyle name="Currency 4 2 2 3 6 2" xfId="9859" xr:uid="{DCD3462B-B6E9-471E-931F-C9EA1F6BCF20}"/>
    <cellStyle name="Currency 4 2 2 3 6 2 2" xfId="23910" xr:uid="{13D24346-E823-4E0D-84A4-41AB2A0B14C7}"/>
    <cellStyle name="Currency 4 2 2 3 6 3" xfId="12463" xr:uid="{2DDE0FFE-ECE7-4A1A-A9FA-E898343CCEB1}"/>
    <cellStyle name="Currency 4 2 2 3 6 3 2" xfId="26514" xr:uid="{FEE3ECAE-62E5-4C75-94CF-FE9F991A7996}"/>
    <cellStyle name="Currency 4 2 2 3 6 4" xfId="20438" xr:uid="{22BED777-6A73-444D-AB98-6EC98191770F}"/>
    <cellStyle name="Currency 4 2 2 3 7" xfId="8123" xr:uid="{4AE643B5-083D-4ADB-BF65-58678775B18D}"/>
    <cellStyle name="Currency 4 2 2 3 7 2" xfId="13331" xr:uid="{9F14AB5B-26C3-4C98-8C41-7A183786220A}"/>
    <cellStyle name="Currency 4 2 2 3 7 2 2" xfId="27382" xr:uid="{0E1FA207-CD35-428D-8075-00B4D62FB0D1}"/>
    <cellStyle name="Currency 4 2 2 3 7 3" xfId="22174" xr:uid="{AC9BAF04-C5B4-4477-A03F-AA44A6204F96}"/>
    <cellStyle name="Currency 4 2 2 3 8" xfId="7255" xr:uid="{16D81DE1-772E-455D-B370-F3D47344BCF2}"/>
    <cellStyle name="Currency 4 2 2 3 8 2" xfId="21306" xr:uid="{2E068229-33E4-4377-903D-F2E5C83ADCEB}"/>
    <cellStyle name="Currency 4 2 2 3 9" xfId="10727" xr:uid="{ECFF607B-E4C5-4795-BCBF-6F34AFA4419F}"/>
    <cellStyle name="Currency 4 2 2 3 9 2" xfId="24778" xr:uid="{553FC9F4-5C48-4A47-B886-2801B9ACCB2F}"/>
    <cellStyle name="Currency 4 2 2 4" xfId="1689" xr:uid="{8F12635F-0CC0-4EC6-A4DF-C78455032683}"/>
    <cellStyle name="Currency 4 2 2 4 2" xfId="3879" xr:uid="{2EB68361-A085-4E7C-8AED-BF1AA7629C4B}"/>
    <cellStyle name="Currency 4 2 2 4 2 2" xfId="5328" xr:uid="{411E18D9-FE97-493D-8976-6EE6E8435105}"/>
    <cellStyle name="Currency 4 2 2 4 2 2 2" xfId="6196" xr:uid="{A84202BA-72B2-4DF2-9E5D-07C77DBCF32A}"/>
    <cellStyle name="Currency 4 2 2 4 2 2 2 2" xfId="9668" xr:uid="{E05AEF1C-5243-4DA8-A404-EDB6F29A87F3}"/>
    <cellStyle name="Currency 4 2 2 4 2 2 2 2 2" xfId="23719" xr:uid="{BBF93E15-070E-405E-B0D3-EB5845475D3C}"/>
    <cellStyle name="Currency 4 2 2 4 2 2 2 3" xfId="12272" xr:uid="{D95D5A4C-6375-42C1-9A5C-1F8D49E015D2}"/>
    <cellStyle name="Currency 4 2 2 4 2 2 2 3 2" xfId="26323" xr:uid="{28BD1D5D-9D2B-41AE-A7A0-DD212AEEC20A}"/>
    <cellStyle name="Currency 4 2 2 4 2 2 2 4" xfId="20247" xr:uid="{04E06054-BEF7-4F21-B78B-EED140094631}"/>
    <cellStyle name="Currency 4 2 2 4 2 2 3" xfId="7064" xr:uid="{89470D64-A767-4D09-A864-61E77F33DB80}"/>
    <cellStyle name="Currency 4 2 2 4 2 2 3 2" xfId="10536" xr:uid="{0979F46A-9AD5-430D-8450-8621C91602F7}"/>
    <cellStyle name="Currency 4 2 2 4 2 2 3 2 2" xfId="24587" xr:uid="{3C8ED431-D335-4594-B90C-C8600EE39D32}"/>
    <cellStyle name="Currency 4 2 2 4 2 2 3 3" xfId="13140" xr:uid="{5656346C-F356-4148-9373-E71E02937707}"/>
    <cellStyle name="Currency 4 2 2 4 2 2 3 3 2" xfId="27191" xr:uid="{A7DC1877-DE8B-4E85-8F7F-C33FF561738B}"/>
    <cellStyle name="Currency 4 2 2 4 2 2 3 4" xfId="21115" xr:uid="{1441A745-0C49-49D7-BFF2-73ECD3580322}"/>
    <cellStyle name="Currency 4 2 2 4 2 2 4" xfId="8800" xr:uid="{907A7FA4-4F95-4ED0-90EA-1A491B4CD66F}"/>
    <cellStyle name="Currency 4 2 2 4 2 2 4 2" xfId="14008" xr:uid="{10D248C3-D6CE-4748-9FA5-C9C422BA6A90}"/>
    <cellStyle name="Currency 4 2 2 4 2 2 4 2 2" xfId="28059" xr:uid="{62500F0A-62CA-4D06-B378-0A8E6382071D}"/>
    <cellStyle name="Currency 4 2 2 4 2 2 4 3" xfId="22851" xr:uid="{354185D9-EEBE-4F96-95FE-8CC4E5424863}"/>
    <cellStyle name="Currency 4 2 2 4 2 2 5" xfId="7932" xr:uid="{B8D05D38-1440-45C8-820F-A1C5B8CC7275}"/>
    <cellStyle name="Currency 4 2 2 4 2 2 5 2" xfId="21983" xr:uid="{54CC3205-F14A-471E-BE25-5F8554A336A9}"/>
    <cellStyle name="Currency 4 2 2 4 2 2 6" xfId="11404" xr:uid="{7DEE115E-FD8B-44FA-885C-DBA595085A38}"/>
    <cellStyle name="Currency 4 2 2 4 2 2 6 2" xfId="25455" xr:uid="{B209CECF-BD1D-470A-974D-7ACF39CEAAA4}"/>
    <cellStyle name="Currency 4 2 2 4 2 2 7" xfId="19379" xr:uid="{465964D4-3E44-4A83-B317-D4943BCBA9F4}"/>
    <cellStyle name="Currency 4 2 2 4 2 3" xfId="5762" xr:uid="{03E5FDC6-A399-493C-9467-692ED268F563}"/>
    <cellStyle name="Currency 4 2 2 4 2 3 2" xfId="9234" xr:uid="{6CE1513F-296D-4553-91CD-355208152AF9}"/>
    <cellStyle name="Currency 4 2 2 4 2 3 2 2" xfId="23285" xr:uid="{9F70684D-044C-441D-B1C4-394F5B7B44CC}"/>
    <cellStyle name="Currency 4 2 2 4 2 3 3" xfId="11838" xr:uid="{81E1644A-0EAE-4959-847F-D429FF64C94E}"/>
    <cellStyle name="Currency 4 2 2 4 2 3 3 2" xfId="25889" xr:uid="{EA3964C3-9DA9-4CBA-9C52-B2BF21A830DD}"/>
    <cellStyle name="Currency 4 2 2 4 2 3 4" xfId="19813" xr:uid="{45BD1818-4010-443A-B9AA-5D82CB46D76F}"/>
    <cellStyle name="Currency 4 2 2 4 2 4" xfId="6630" xr:uid="{60F9BD8E-1C83-4A45-8871-0F58DD7EA055}"/>
    <cellStyle name="Currency 4 2 2 4 2 4 2" xfId="10102" xr:uid="{B597243B-99A3-4075-BCD7-8A9E7F56EB50}"/>
    <cellStyle name="Currency 4 2 2 4 2 4 2 2" xfId="24153" xr:uid="{B146DC27-8D3B-491E-B76F-5B11BA47E657}"/>
    <cellStyle name="Currency 4 2 2 4 2 4 3" xfId="12706" xr:uid="{99245AE4-C7E6-41C3-B882-5E353E6AE972}"/>
    <cellStyle name="Currency 4 2 2 4 2 4 3 2" xfId="26757" xr:uid="{2677E4CC-52C5-44CA-AC53-0EFF8F08453F}"/>
    <cellStyle name="Currency 4 2 2 4 2 4 4" xfId="20681" xr:uid="{2B5F9619-C1E0-4477-8EA5-792D6E997992}"/>
    <cellStyle name="Currency 4 2 2 4 2 5" xfId="8366" xr:uid="{9692226B-25F1-42EA-806D-3F2AE221B102}"/>
    <cellStyle name="Currency 4 2 2 4 2 5 2" xfId="13574" xr:uid="{02F90733-6755-44E9-AA3C-6CD7B174F307}"/>
    <cellStyle name="Currency 4 2 2 4 2 5 2 2" xfId="27625" xr:uid="{EF446D65-8173-4E30-8B1D-23E8E05DF4DA}"/>
    <cellStyle name="Currency 4 2 2 4 2 5 3" xfId="22417" xr:uid="{F8B59E26-E51B-4432-B795-CA438FC35DD1}"/>
    <cellStyle name="Currency 4 2 2 4 2 6" xfId="7498" xr:uid="{E7FCF586-D32B-4658-9A5D-7F31697FBECC}"/>
    <cellStyle name="Currency 4 2 2 4 2 6 2" xfId="21549" xr:uid="{BA2ED68B-D526-4490-92B8-0E7A0A923A9C}"/>
    <cellStyle name="Currency 4 2 2 4 2 7" xfId="10970" xr:uid="{A5F7AAA9-F661-456E-B035-7863DCA10214}"/>
    <cellStyle name="Currency 4 2 2 4 2 7 2" xfId="25021" xr:uid="{CA5104CE-D3E5-42BA-B203-1539B9AB3FFF}"/>
    <cellStyle name="Currency 4 2 2 4 2 8" xfId="17932" xr:uid="{088A90A1-8994-4DBC-88C7-E358D39D58F9}"/>
    <cellStyle name="Currency 4 2 2 4 3" xfId="5137" xr:uid="{A1083D3C-2AE4-4BFB-B15A-2D4663C93EDF}"/>
    <cellStyle name="Currency 4 2 2 4 3 2" xfId="6005" xr:uid="{D4B59024-32D1-44F3-AE13-63EA65D5607D}"/>
    <cellStyle name="Currency 4 2 2 4 3 2 2" xfId="9477" xr:uid="{3D52925A-1AE9-4E35-A1A2-A55AA1F08D43}"/>
    <cellStyle name="Currency 4 2 2 4 3 2 2 2" xfId="23528" xr:uid="{0A9B7EE7-566A-4EB2-9617-4586ECCE6DE5}"/>
    <cellStyle name="Currency 4 2 2 4 3 2 3" xfId="12081" xr:uid="{2114886C-B00F-48DE-A766-4B2FEE8313E9}"/>
    <cellStyle name="Currency 4 2 2 4 3 2 3 2" xfId="26132" xr:uid="{BC196516-1718-4361-B881-0A4A757B334D}"/>
    <cellStyle name="Currency 4 2 2 4 3 2 4" xfId="20056" xr:uid="{DA247A52-9C20-4F31-9476-6DCEE550574E}"/>
    <cellStyle name="Currency 4 2 2 4 3 3" xfId="6873" xr:uid="{0B0C70D6-465D-46FD-B847-B5D98193FCEE}"/>
    <cellStyle name="Currency 4 2 2 4 3 3 2" xfId="10345" xr:uid="{796C8CBA-171A-4CC9-A63C-74B5F34F4A11}"/>
    <cellStyle name="Currency 4 2 2 4 3 3 2 2" xfId="24396" xr:uid="{3C998168-5984-44A8-9AD6-16E5D73D800E}"/>
    <cellStyle name="Currency 4 2 2 4 3 3 3" xfId="12949" xr:uid="{CAC29DB3-1F5A-4949-8EA4-BFC6D358D8EC}"/>
    <cellStyle name="Currency 4 2 2 4 3 3 3 2" xfId="27000" xr:uid="{5B23E6EC-81FD-4E27-9A0D-BE894CB42422}"/>
    <cellStyle name="Currency 4 2 2 4 3 3 4" xfId="20924" xr:uid="{8224371A-AA23-4CB2-B8A7-CFE1E6DFDEE7}"/>
    <cellStyle name="Currency 4 2 2 4 3 4" xfId="8609" xr:uid="{4531BAAA-4ECF-4795-B27A-39FC78DCB764}"/>
    <cellStyle name="Currency 4 2 2 4 3 4 2" xfId="13817" xr:uid="{517CD429-A3E6-4D40-AE3A-4915F328C674}"/>
    <cellStyle name="Currency 4 2 2 4 3 4 2 2" xfId="27868" xr:uid="{3673F9BB-10EA-4854-97B8-BF97DEF92BB1}"/>
    <cellStyle name="Currency 4 2 2 4 3 4 3" xfId="22660" xr:uid="{7897C0B4-FE22-4834-A5AF-A480A51385FC}"/>
    <cellStyle name="Currency 4 2 2 4 3 5" xfId="7741" xr:uid="{D8D6C209-A146-4F1B-B8F0-C7DD2DFD483B}"/>
    <cellStyle name="Currency 4 2 2 4 3 5 2" xfId="21792" xr:uid="{E77469CA-BF71-440E-8EE9-AAFA32B9CEB5}"/>
    <cellStyle name="Currency 4 2 2 4 3 6" xfId="11213" xr:uid="{D8379087-7729-430E-8477-77DEC2EC75D0}"/>
    <cellStyle name="Currency 4 2 2 4 3 6 2" xfId="25264" xr:uid="{AA26723B-27A5-46C7-A972-211B19221EED}"/>
    <cellStyle name="Currency 4 2 2 4 3 7" xfId="19188" xr:uid="{51FD818B-8E81-472C-BAFC-470D9FC28742}"/>
    <cellStyle name="Currency 4 2 2 4 4" xfId="5571" xr:uid="{501CBDEA-0060-4178-93F8-E1340BDE9193}"/>
    <cellStyle name="Currency 4 2 2 4 4 2" xfId="9043" xr:uid="{F26B6C64-F373-41FB-97F7-5DC164CA7F3C}"/>
    <cellStyle name="Currency 4 2 2 4 4 2 2" xfId="23094" xr:uid="{789B6FF5-27DC-47A9-B90F-A6C80CA86096}"/>
    <cellStyle name="Currency 4 2 2 4 4 3" xfId="11647" xr:uid="{51958235-793B-428B-A2A2-56AD9AC6ABB9}"/>
    <cellStyle name="Currency 4 2 2 4 4 3 2" xfId="25698" xr:uid="{E4878258-3834-4278-BE8F-A4C352449D72}"/>
    <cellStyle name="Currency 4 2 2 4 4 4" xfId="19622" xr:uid="{0EB45B33-CA97-43C9-B67D-72EFC1084CE7}"/>
    <cellStyle name="Currency 4 2 2 4 5" xfId="6439" xr:uid="{ED270C89-13AC-4FDE-80A8-27D934281D06}"/>
    <cellStyle name="Currency 4 2 2 4 5 2" xfId="9911" xr:uid="{DE5BA937-9A7B-45DB-8A30-792D38778DBE}"/>
    <cellStyle name="Currency 4 2 2 4 5 2 2" xfId="23962" xr:uid="{F629226D-3EDD-4032-8836-00F070D4A05B}"/>
    <cellStyle name="Currency 4 2 2 4 5 3" xfId="12515" xr:uid="{11181DC5-9828-4F76-8702-6D88739D1522}"/>
    <cellStyle name="Currency 4 2 2 4 5 3 2" xfId="26566" xr:uid="{1B62A94F-D27E-472F-B96D-7533E5039704}"/>
    <cellStyle name="Currency 4 2 2 4 5 4" xfId="20490" xr:uid="{A26579D7-5321-4B2B-B26A-86A998B4D8F7}"/>
    <cellStyle name="Currency 4 2 2 4 6" xfId="8175" xr:uid="{6EBDB3F7-7578-48C7-A51E-47C885F2573A}"/>
    <cellStyle name="Currency 4 2 2 4 6 2" xfId="13383" xr:uid="{1E80F8CC-5FA6-4734-869D-46D933357E57}"/>
    <cellStyle name="Currency 4 2 2 4 6 2 2" xfId="27434" xr:uid="{1780542F-2D13-49F4-8511-28D8539439FB}"/>
    <cellStyle name="Currency 4 2 2 4 6 3" xfId="22226" xr:uid="{138DCD32-E8F7-4B2E-AF1B-08D7157EC4F0}"/>
    <cellStyle name="Currency 4 2 2 4 7" xfId="7307" xr:uid="{A8A05190-1D11-4708-932C-DD79798B87EC}"/>
    <cellStyle name="Currency 4 2 2 4 7 2" xfId="21358" xr:uid="{D6FFCCE0-718D-4845-98E5-5F6A54248DFB}"/>
    <cellStyle name="Currency 4 2 2 4 8" xfId="10779" xr:uid="{091B176F-EE3A-4426-A398-FAF21CF389E2}"/>
    <cellStyle name="Currency 4 2 2 4 8 2" xfId="24830" xr:uid="{BA0A9606-4D20-4CCE-B8F3-FBC685CA517A}"/>
    <cellStyle name="Currency 4 2 2 4 9" xfId="15738" xr:uid="{69411728-4EBB-469E-8EEE-9F27FB675221}"/>
    <cellStyle name="Currency 4 2 2 5" xfId="2608" xr:uid="{DA2957A9-5F1A-47A0-8212-9CD4DF5B60E2}"/>
    <cellStyle name="Currency 4 2 2 5 2" xfId="5217" xr:uid="{9156480F-624B-4AD5-8E9A-31DA5825A9CD}"/>
    <cellStyle name="Currency 4 2 2 5 2 2" xfId="6085" xr:uid="{3E80CBB9-3FD3-4DFD-9409-D54BCB999C0B}"/>
    <cellStyle name="Currency 4 2 2 5 2 2 2" xfId="9557" xr:uid="{D817CD71-169C-416D-BFFE-9B89D5A44F0E}"/>
    <cellStyle name="Currency 4 2 2 5 2 2 2 2" xfId="23608" xr:uid="{8AD102A1-25D8-47BC-B4A6-4943C894644E}"/>
    <cellStyle name="Currency 4 2 2 5 2 2 3" xfId="12161" xr:uid="{DDFDE9C4-76A7-44D0-8A6E-BF60F151930B}"/>
    <cellStyle name="Currency 4 2 2 5 2 2 3 2" xfId="26212" xr:uid="{543F677F-46A5-49E5-B530-9EB5B798D259}"/>
    <cellStyle name="Currency 4 2 2 5 2 2 4" xfId="20136" xr:uid="{163454AB-5734-409A-B785-0745D701BA3B}"/>
    <cellStyle name="Currency 4 2 2 5 2 3" xfId="6953" xr:uid="{87554494-0A75-4221-AD46-5D2649CE80B7}"/>
    <cellStyle name="Currency 4 2 2 5 2 3 2" xfId="10425" xr:uid="{C50ACEF6-78DC-4E54-A3BF-3BBDAFBFCBCA}"/>
    <cellStyle name="Currency 4 2 2 5 2 3 2 2" xfId="24476" xr:uid="{479A0AAE-850B-4457-8FD9-1A1953F7A301}"/>
    <cellStyle name="Currency 4 2 2 5 2 3 3" xfId="13029" xr:uid="{453F32B4-3378-4D14-9E8D-EF799E0F5292}"/>
    <cellStyle name="Currency 4 2 2 5 2 3 3 2" xfId="27080" xr:uid="{B61F32AD-D65B-423C-BC4F-51CA1C5F2551}"/>
    <cellStyle name="Currency 4 2 2 5 2 3 4" xfId="21004" xr:uid="{D27B4451-8F72-413D-B396-C264A2F218B4}"/>
    <cellStyle name="Currency 4 2 2 5 2 4" xfId="8689" xr:uid="{BAA27353-5114-4ECD-878B-DD5372879B57}"/>
    <cellStyle name="Currency 4 2 2 5 2 4 2" xfId="13897" xr:uid="{30F353C8-7E43-411B-9AE5-751D9B8418FC}"/>
    <cellStyle name="Currency 4 2 2 5 2 4 2 2" xfId="27948" xr:uid="{B7213B80-E8B1-4951-BCEF-32B9ED188DA4}"/>
    <cellStyle name="Currency 4 2 2 5 2 4 3" xfId="22740" xr:uid="{350C408F-CA70-4352-904D-CC3F18B65CFE}"/>
    <cellStyle name="Currency 4 2 2 5 2 5" xfId="7821" xr:uid="{80912B3E-55D7-41E5-8690-ECA687C17483}"/>
    <cellStyle name="Currency 4 2 2 5 2 5 2" xfId="21872" xr:uid="{F07BD30B-2587-467F-A182-FADB7AC1683E}"/>
    <cellStyle name="Currency 4 2 2 5 2 6" xfId="11293" xr:uid="{F03B77E8-000F-4B52-8E58-E8189BA5B2E5}"/>
    <cellStyle name="Currency 4 2 2 5 2 6 2" xfId="25344" xr:uid="{84CCA2DA-926E-40C7-B423-53357C98E355}"/>
    <cellStyle name="Currency 4 2 2 5 2 7" xfId="19268" xr:uid="{E2689023-4EC4-424A-B0A5-83A13B6AC152}"/>
    <cellStyle name="Currency 4 2 2 5 3" xfId="5651" xr:uid="{AD5607BD-8282-46A8-BBC1-0F157B9FC677}"/>
    <cellStyle name="Currency 4 2 2 5 3 2" xfId="9123" xr:uid="{2108438B-23FE-4B4D-8DAA-CF25316429AA}"/>
    <cellStyle name="Currency 4 2 2 5 3 2 2" xfId="23174" xr:uid="{DC460C09-8381-48F2-9774-69BAD6F85EDC}"/>
    <cellStyle name="Currency 4 2 2 5 3 3" xfId="11727" xr:uid="{E197449B-1BD9-401B-BE58-7EC61E668208}"/>
    <cellStyle name="Currency 4 2 2 5 3 3 2" xfId="25778" xr:uid="{E614AD56-FFE0-483F-922D-61986C620E13}"/>
    <cellStyle name="Currency 4 2 2 5 3 4" xfId="19702" xr:uid="{2DE2E486-E75B-4BF0-A7A8-0EA8DE64BD85}"/>
    <cellStyle name="Currency 4 2 2 5 4" xfId="6519" xr:uid="{32B8C346-27DA-4B38-8487-77A8A8F82154}"/>
    <cellStyle name="Currency 4 2 2 5 4 2" xfId="9991" xr:uid="{56426F45-DFCC-4E32-A8D1-66D9F9F47459}"/>
    <cellStyle name="Currency 4 2 2 5 4 2 2" xfId="24042" xr:uid="{1EF47897-D83F-4BD1-BF6E-AFB05D716918}"/>
    <cellStyle name="Currency 4 2 2 5 4 3" xfId="12595" xr:uid="{02140873-A237-4DC1-85CB-49D7FDFB5953}"/>
    <cellStyle name="Currency 4 2 2 5 4 3 2" xfId="26646" xr:uid="{5E226C91-E240-4B14-B4DB-3839F297B5E6}"/>
    <cellStyle name="Currency 4 2 2 5 4 4" xfId="20570" xr:uid="{3E615A78-8C58-41A0-9B72-A82C7E12ACB0}"/>
    <cellStyle name="Currency 4 2 2 5 5" xfId="8255" xr:uid="{6741C467-9D55-4336-938B-0C3F0B02439C}"/>
    <cellStyle name="Currency 4 2 2 5 5 2" xfId="13463" xr:uid="{CE5301FF-D5DA-4D4C-AE70-1E411CCF9728}"/>
    <cellStyle name="Currency 4 2 2 5 5 2 2" xfId="27514" xr:uid="{0421A068-3B0E-4485-8A10-0838D61F0EB3}"/>
    <cellStyle name="Currency 4 2 2 5 5 3" xfId="22306" xr:uid="{B107410D-1B4F-464C-9E34-1FE7CB593340}"/>
    <cellStyle name="Currency 4 2 2 5 6" xfId="7387" xr:uid="{48AAB240-B2CF-43EC-85DB-D9168ABD057A}"/>
    <cellStyle name="Currency 4 2 2 5 6 2" xfId="21438" xr:uid="{D0EBC9F6-9875-4716-87D6-065A50242BEC}"/>
    <cellStyle name="Currency 4 2 2 5 7" xfId="10859" xr:uid="{E09905C7-4E1A-4477-A672-BF8E76DABF01}"/>
    <cellStyle name="Currency 4 2 2 5 7 2" xfId="24910" xr:uid="{AD5C0BE4-7D56-4CC1-9AD4-165A2ED4B9C7}"/>
    <cellStyle name="Currency 4 2 2 5 8" xfId="16659" xr:uid="{F10004A3-9A4E-4825-A872-72AA4B538F6D}"/>
    <cellStyle name="Currency 4 2 2 6" xfId="4974" xr:uid="{74CACF0F-3890-44C6-AEC7-364A09BFAB38}"/>
    <cellStyle name="Currency 4 2 2 6 2" xfId="5423" xr:uid="{EF8F5F29-A7CB-476A-BEDB-05351968E33D}"/>
    <cellStyle name="Currency 4 2 2 6 2 2" xfId="6291" xr:uid="{0A9DCF36-6D34-4851-A98F-D93981A04296}"/>
    <cellStyle name="Currency 4 2 2 6 2 2 2" xfId="9763" xr:uid="{BC9E1E4D-4DF0-4871-AF9E-3D6332239095}"/>
    <cellStyle name="Currency 4 2 2 6 2 2 2 2" xfId="23814" xr:uid="{976ABBA9-CFC1-4255-8284-9115127EB249}"/>
    <cellStyle name="Currency 4 2 2 6 2 2 3" xfId="12367" xr:uid="{A340D749-EDC3-42B3-882E-931C3F8AEF4B}"/>
    <cellStyle name="Currency 4 2 2 6 2 2 3 2" xfId="26418" xr:uid="{6A93672B-6444-455C-BD2F-4664690DA966}"/>
    <cellStyle name="Currency 4 2 2 6 2 2 4" xfId="20342" xr:uid="{828C4367-F27C-4340-B497-81E012571BBA}"/>
    <cellStyle name="Currency 4 2 2 6 2 3" xfId="7159" xr:uid="{D26A2E2B-F584-4F0C-AFCF-4B69DDCF186B}"/>
    <cellStyle name="Currency 4 2 2 6 2 3 2" xfId="10631" xr:uid="{88D4BAB9-748D-425B-80FF-F1A4D411731F}"/>
    <cellStyle name="Currency 4 2 2 6 2 3 2 2" xfId="24682" xr:uid="{96E9803F-744C-46A0-87A6-ABE2711CB5FB}"/>
    <cellStyle name="Currency 4 2 2 6 2 3 3" xfId="13235" xr:uid="{C002A249-691C-43C9-B9FC-E0EEEF4FCB9B}"/>
    <cellStyle name="Currency 4 2 2 6 2 3 3 2" xfId="27286" xr:uid="{1150ED48-4634-4B5B-A201-5D60A4F59784}"/>
    <cellStyle name="Currency 4 2 2 6 2 3 4" xfId="21210" xr:uid="{32230876-80EB-45CC-BA78-AFC76EC9F18E}"/>
    <cellStyle name="Currency 4 2 2 6 2 4" xfId="8895" xr:uid="{D385066E-039B-40CF-A6DF-E03E90EB0FFE}"/>
    <cellStyle name="Currency 4 2 2 6 2 4 2" xfId="14103" xr:uid="{2BB5CD6C-027E-4117-B580-0CE12D9C445C}"/>
    <cellStyle name="Currency 4 2 2 6 2 4 2 2" xfId="28154" xr:uid="{5B4D25F7-EABA-469C-BDFC-E33C69993A14}"/>
    <cellStyle name="Currency 4 2 2 6 2 4 3" xfId="22946" xr:uid="{9215CFE4-DBF7-4F75-868B-3D7FC9D6A805}"/>
    <cellStyle name="Currency 4 2 2 6 2 5" xfId="8027" xr:uid="{861899FB-CAC5-45A5-9C04-A71CEF3FB8C0}"/>
    <cellStyle name="Currency 4 2 2 6 2 5 2" xfId="22078" xr:uid="{6C5EF749-C616-405B-BE07-EFFAA8ECCC35}"/>
    <cellStyle name="Currency 4 2 2 6 2 6" xfId="11499" xr:uid="{4CFBA9F1-5DE5-4C61-A108-CDE5DAE08961}"/>
    <cellStyle name="Currency 4 2 2 6 2 6 2" xfId="25550" xr:uid="{D32F5320-1BD5-4339-8F00-14BE4FB40CDE}"/>
    <cellStyle name="Currency 4 2 2 6 2 7" xfId="19474" xr:uid="{6DE9FAD2-744C-4138-9B6D-9066ABAE2A2D}"/>
    <cellStyle name="Currency 4 2 2 6 3" xfId="5857" xr:uid="{CA287962-B2D7-4465-9910-CE0765BC4CAC}"/>
    <cellStyle name="Currency 4 2 2 6 3 2" xfId="9329" xr:uid="{A83A1932-EE40-43F8-94F3-D67E6708E065}"/>
    <cellStyle name="Currency 4 2 2 6 3 2 2" xfId="23380" xr:uid="{4D8F5D5E-24A3-48FF-81D6-6D53EE19703F}"/>
    <cellStyle name="Currency 4 2 2 6 3 3" xfId="11933" xr:uid="{5FF32FAE-7B1C-4C60-A230-77EF97065D5A}"/>
    <cellStyle name="Currency 4 2 2 6 3 3 2" xfId="25984" xr:uid="{AA1B9248-4BA7-49CD-8C1F-5B9A154272AD}"/>
    <cellStyle name="Currency 4 2 2 6 3 4" xfId="19908" xr:uid="{6E099285-954E-4CA4-AFF7-5A4E8B66AEB7}"/>
    <cellStyle name="Currency 4 2 2 6 4" xfId="6725" xr:uid="{5455D511-17BE-47F3-BA0C-2ADE08966919}"/>
    <cellStyle name="Currency 4 2 2 6 4 2" xfId="10197" xr:uid="{A40C8586-D062-4302-9DA7-617ACC557C54}"/>
    <cellStyle name="Currency 4 2 2 6 4 2 2" xfId="24248" xr:uid="{F4ACB681-4519-4D97-87A9-D0A09C53D57E}"/>
    <cellStyle name="Currency 4 2 2 6 4 3" xfId="12801" xr:uid="{B03179D2-4153-4713-AF25-9A029114B5A8}"/>
    <cellStyle name="Currency 4 2 2 6 4 3 2" xfId="26852" xr:uid="{9EDD6C80-D1CE-4BCB-AD41-0B7A63D6E671}"/>
    <cellStyle name="Currency 4 2 2 6 4 4" xfId="20776" xr:uid="{54CF2584-AEC5-4AAB-8CD9-19879E322A25}"/>
    <cellStyle name="Currency 4 2 2 6 5" xfId="8461" xr:uid="{280E16D2-D2E8-406B-9EA1-87A234D84974}"/>
    <cellStyle name="Currency 4 2 2 6 5 2" xfId="13669" xr:uid="{9F0B859D-169B-4BC9-B0AA-1308A6BB1A8F}"/>
    <cellStyle name="Currency 4 2 2 6 5 2 2" xfId="27720" xr:uid="{C16562CE-F2FA-4943-BF14-8D28A2D71DC0}"/>
    <cellStyle name="Currency 4 2 2 6 5 3" xfId="22512" xr:uid="{930A6339-9DEE-4114-BCF6-6D4CC67AEDF3}"/>
    <cellStyle name="Currency 4 2 2 6 6" xfId="7593" xr:uid="{142D5B7D-5EA2-4C35-B38E-7934ED8FA337}"/>
    <cellStyle name="Currency 4 2 2 6 6 2" xfId="21644" xr:uid="{1B79D83E-8B93-4D1F-A750-C5D7F588D86B}"/>
    <cellStyle name="Currency 4 2 2 6 7" xfId="11065" xr:uid="{23D1B06C-7972-4C76-A94C-C4F6B9EDDFE0}"/>
    <cellStyle name="Currency 4 2 2 6 7 2" xfId="25116" xr:uid="{59CDA5E0-749C-41F9-A63C-1BDB095198E4}"/>
    <cellStyle name="Currency 4 2 2 6 8" xfId="19026" xr:uid="{2785B3CB-03AB-426E-87C5-D2D19718A3EA}"/>
    <cellStyle name="Currency 4 2 2 7" xfId="5023" xr:uid="{FAF19501-5D89-44DC-9EAB-85A0D8F8186B}"/>
    <cellStyle name="Currency 4 2 2 7 2" xfId="5891" xr:uid="{99619399-131F-4A2E-B00B-613684F7E25A}"/>
    <cellStyle name="Currency 4 2 2 7 2 2" xfId="9363" xr:uid="{2ECCBBDB-FDBB-44A0-81BE-137B80C0A85D}"/>
    <cellStyle name="Currency 4 2 2 7 2 2 2" xfId="23414" xr:uid="{5159768C-ADF9-4ECE-9228-D754A2443C1A}"/>
    <cellStyle name="Currency 4 2 2 7 2 3" xfId="11967" xr:uid="{14038CC4-7196-4332-B032-E076E53EE14F}"/>
    <cellStyle name="Currency 4 2 2 7 2 3 2" xfId="26018" xr:uid="{F5585573-125C-456B-9B3E-52F6D69398D3}"/>
    <cellStyle name="Currency 4 2 2 7 2 4" xfId="19942" xr:uid="{6CCEA188-2C42-4292-8A1B-CD7660C8B726}"/>
    <cellStyle name="Currency 4 2 2 7 3" xfId="6759" xr:uid="{4A36EF44-15D3-44E0-989A-E347C12AE0B6}"/>
    <cellStyle name="Currency 4 2 2 7 3 2" xfId="10231" xr:uid="{A502AB1A-9123-43FD-8927-9ED69B74F47E}"/>
    <cellStyle name="Currency 4 2 2 7 3 2 2" xfId="24282" xr:uid="{0E625476-C393-4A3E-B903-DE11948C5781}"/>
    <cellStyle name="Currency 4 2 2 7 3 3" xfId="12835" xr:uid="{BEFFBC69-3C02-43FC-88BC-C16F9EB616F9}"/>
    <cellStyle name="Currency 4 2 2 7 3 3 2" xfId="26886" xr:uid="{195569A3-5EEE-4C52-AA4C-EE3159FF236F}"/>
    <cellStyle name="Currency 4 2 2 7 3 4" xfId="20810" xr:uid="{F57E6524-2E58-4B95-8D9D-45F5C077EE9A}"/>
    <cellStyle name="Currency 4 2 2 7 4" xfId="8495" xr:uid="{58FC435A-831B-49CE-92DC-41EE7ED296CA}"/>
    <cellStyle name="Currency 4 2 2 7 4 2" xfId="13703" xr:uid="{8071F43D-D50E-443D-BC27-09BEB4C27CD1}"/>
    <cellStyle name="Currency 4 2 2 7 4 2 2" xfId="27754" xr:uid="{6FB698BD-4A6F-44AF-8E4F-1AADD06A8FBA}"/>
    <cellStyle name="Currency 4 2 2 7 4 3" xfId="22546" xr:uid="{7D09BB6B-3AC6-4253-A678-4C932D778933}"/>
    <cellStyle name="Currency 4 2 2 7 5" xfId="7627" xr:uid="{6A389886-DD0D-473F-A195-8A61933DA5EE}"/>
    <cellStyle name="Currency 4 2 2 7 5 2" xfId="21678" xr:uid="{78931067-392D-4145-ABB8-A40A74F8588F}"/>
    <cellStyle name="Currency 4 2 2 7 6" xfId="11099" xr:uid="{0965B07A-11EC-4BC6-BD61-C6EA526073DB}"/>
    <cellStyle name="Currency 4 2 2 7 6 2" xfId="25150" xr:uid="{5F6B50D2-99F6-4546-87AC-B446A3915726}"/>
    <cellStyle name="Currency 4 2 2 7 7" xfId="19074" xr:uid="{7123DBB4-9C64-4806-B1CC-3EC4EE594132}"/>
    <cellStyle name="Currency 4 2 2 8" xfId="5457" xr:uid="{490C4AB9-B2EC-417A-88EC-C6B449081C42}"/>
    <cellStyle name="Currency 4 2 2 8 2" xfId="8929" xr:uid="{F9CAF74B-EADC-4027-BC6B-CE15A5F62D13}"/>
    <cellStyle name="Currency 4 2 2 8 2 2" xfId="22980" xr:uid="{7FD42083-AAA9-43D0-A5C1-0625DD1D7683}"/>
    <cellStyle name="Currency 4 2 2 8 3" xfId="11533" xr:uid="{E544DB05-958C-408A-B2D8-28B785AB824A}"/>
    <cellStyle name="Currency 4 2 2 8 3 2" xfId="25584" xr:uid="{FD9A9350-8D95-40BC-BC1D-76ED9DBF08E4}"/>
    <cellStyle name="Currency 4 2 2 8 4" xfId="19508" xr:uid="{5418C876-F55D-4A8F-8C9C-0073C13E6321}"/>
    <cellStyle name="Currency 4 2 2 9" xfId="6325" xr:uid="{5BB72FC9-5CD6-4AF9-B82E-A05CFE4F2CB5}"/>
    <cellStyle name="Currency 4 2 2 9 2" xfId="9797" xr:uid="{8A345B1A-C6F7-4AF1-897C-01523C5CCE44}"/>
    <cellStyle name="Currency 4 2 2 9 2 2" xfId="23848" xr:uid="{F4BCB667-F759-49C5-B98C-7986C2A27C0D}"/>
    <cellStyle name="Currency 4 2 2 9 3" xfId="12401" xr:uid="{A2171437-CBB0-42AA-BEE7-976348DFA50B}"/>
    <cellStyle name="Currency 4 2 2 9 3 2" xfId="26452" xr:uid="{4F7E754B-A1D3-40B7-985B-56AFC7F15E3E}"/>
    <cellStyle name="Currency 4 2 2 9 4" xfId="20376" xr:uid="{804F4EE7-CF62-46EE-8089-CA18CB5C4EF9}"/>
    <cellStyle name="Currency 4 2 3" xfId="582" xr:uid="{17C7925A-6B37-4D6C-AE11-C4BFA0B43EF4}"/>
    <cellStyle name="Currency 4 2 3 10" xfId="10680" xr:uid="{29478AEF-A6E2-419C-BC30-BB03A1269A4E}"/>
    <cellStyle name="Currency 4 2 3 10 2" xfId="24731" xr:uid="{78B0334B-1A3E-4B70-AC03-DB7AFDF1D054}"/>
    <cellStyle name="Currency 4 2 3 11" xfId="14637" xr:uid="{10C5BE99-2089-4073-801A-FF0726290B3D}"/>
    <cellStyle name="Currency 4 2 3 2" xfId="1515" xr:uid="{E6310311-8E25-42E8-B20B-02EE54DA2FE3}"/>
    <cellStyle name="Currency 4 2 3 2 2" xfId="3705" xr:uid="{AC96B05D-141F-4011-80A6-BA9F8C33347D}"/>
    <cellStyle name="Currency 4 2 3 2 2 2" xfId="5313" xr:uid="{5752C27F-AD91-4EA4-A96A-51D37CECABA0}"/>
    <cellStyle name="Currency 4 2 3 2 2 2 2" xfId="6181" xr:uid="{CA8954CE-A5B0-494F-A99E-584D078DBDB8}"/>
    <cellStyle name="Currency 4 2 3 2 2 2 2 2" xfId="9653" xr:uid="{A4057A0A-7C9D-489C-9043-D83FD4C3813E}"/>
    <cellStyle name="Currency 4 2 3 2 2 2 2 2 2" xfId="23704" xr:uid="{2A59AC3C-6EBF-4147-BF00-4714FF43E193}"/>
    <cellStyle name="Currency 4 2 3 2 2 2 2 3" xfId="12257" xr:uid="{59345468-090D-4C4B-9A99-65EDDADD93BB}"/>
    <cellStyle name="Currency 4 2 3 2 2 2 2 3 2" xfId="26308" xr:uid="{E67FFFB6-129D-430B-B051-FCE5B1F592C1}"/>
    <cellStyle name="Currency 4 2 3 2 2 2 2 4" xfId="20232" xr:uid="{5BB88F15-9D43-487B-AFFF-C5D19FF79691}"/>
    <cellStyle name="Currency 4 2 3 2 2 2 3" xfId="7049" xr:uid="{E97F1E26-30A2-4DC4-A5F6-D0B26A87EA8D}"/>
    <cellStyle name="Currency 4 2 3 2 2 2 3 2" xfId="10521" xr:uid="{924C7F37-62F5-450C-8F94-98831125C166}"/>
    <cellStyle name="Currency 4 2 3 2 2 2 3 2 2" xfId="24572" xr:uid="{1CC931D0-293D-43A2-8517-DA76C146F4FA}"/>
    <cellStyle name="Currency 4 2 3 2 2 2 3 3" xfId="13125" xr:uid="{C74EC50F-177A-4261-82C9-576D3D990DB8}"/>
    <cellStyle name="Currency 4 2 3 2 2 2 3 3 2" xfId="27176" xr:uid="{6883B61F-5CE8-40AF-840E-1BD5561EFABE}"/>
    <cellStyle name="Currency 4 2 3 2 2 2 3 4" xfId="21100" xr:uid="{5FCA5A4B-A81B-48BF-B1E5-503C0D79AADB}"/>
    <cellStyle name="Currency 4 2 3 2 2 2 4" xfId="8785" xr:uid="{474AADD9-AC8C-4FF8-8D8A-BB31429B8F58}"/>
    <cellStyle name="Currency 4 2 3 2 2 2 4 2" xfId="13993" xr:uid="{1E0855A7-B842-4F1B-AC6F-E186B4BCDE03}"/>
    <cellStyle name="Currency 4 2 3 2 2 2 4 2 2" xfId="28044" xr:uid="{B8310ACD-0DBC-4444-A08C-1E067D3E967A}"/>
    <cellStyle name="Currency 4 2 3 2 2 2 4 3" xfId="22836" xr:uid="{A3422949-2770-4A5B-804C-2E8874A589A9}"/>
    <cellStyle name="Currency 4 2 3 2 2 2 5" xfId="7917" xr:uid="{CC6580C7-E176-4755-844A-5241F6FA4A87}"/>
    <cellStyle name="Currency 4 2 3 2 2 2 5 2" xfId="21968" xr:uid="{3735E506-A93F-4D99-82F3-8D37F9778428}"/>
    <cellStyle name="Currency 4 2 3 2 2 2 6" xfId="11389" xr:uid="{5AA49AF2-D461-4465-BA63-945E73585801}"/>
    <cellStyle name="Currency 4 2 3 2 2 2 6 2" xfId="25440" xr:uid="{4D79AE50-8388-47B7-AA79-87ED353111AD}"/>
    <cellStyle name="Currency 4 2 3 2 2 2 7" xfId="19364" xr:uid="{375301F0-C099-47A2-945D-CA056C77046F}"/>
    <cellStyle name="Currency 4 2 3 2 2 3" xfId="5747" xr:uid="{0BC29D8C-0F5E-4FB2-922B-C2E040C1CC30}"/>
    <cellStyle name="Currency 4 2 3 2 2 3 2" xfId="9219" xr:uid="{0C9E9A60-2C5D-46A3-B4A6-DE2F5D59B067}"/>
    <cellStyle name="Currency 4 2 3 2 2 3 2 2" xfId="23270" xr:uid="{B5D1D955-54DD-41A1-ABFC-6E919B94D888}"/>
    <cellStyle name="Currency 4 2 3 2 2 3 3" xfId="11823" xr:uid="{EE22DC78-C125-4749-976F-9DD303893F52}"/>
    <cellStyle name="Currency 4 2 3 2 2 3 3 2" xfId="25874" xr:uid="{DEB31025-CCC3-4097-B41F-709C0132CB1F}"/>
    <cellStyle name="Currency 4 2 3 2 2 3 4" xfId="19798" xr:uid="{266D2E47-201A-46C1-A4BC-A70D669DDBD3}"/>
    <cellStyle name="Currency 4 2 3 2 2 4" xfId="6615" xr:uid="{B6C9C65C-3649-4741-A1FC-D9CEDD514B9E}"/>
    <cellStyle name="Currency 4 2 3 2 2 4 2" xfId="10087" xr:uid="{A4DF553E-966D-4E9F-A1B6-3406D1D3D3A7}"/>
    <cellStyle name="Currency 4 2 3 2 2 4 2 2" xfId="24138" xr:uid="{35284998-E21E-4676-AF48-3E2DB4F4E2E1}"/>
    <cellStyle name="Currency 4 2 3 2 2 4 3" xfId="12691" xr:uid="{F4F07E06-F261-4494-A038-C9CD880B3AAD}"/>
    <cellStyle name="Currency 4 2 3 2 2 4 3 2" xfId="26742" xr:uid="{73EAA668-3219-4D87-9BCD-225D7D083BFB}"/>
    <cellStyle name="Currency 4 2 3 2 2 4 4" xfId="20666" xr:uid="{5D15A337-0F9D-4333-814E-D9E2C383F451}"/>
    <cellStyle name="Currency 4 2 3 2 2 5" xfId="8351" xr:uid="{795BEFA2-A170-4C3B-BCEC-8A8BB57C34A7}"/>
    <cellStyle name="Currency 4 2 3 2 2 5 2" xfId="13559" xr:uid="{C2B554AA-D9E1-45A1-8507-F36291F3F885}"/>
    <cellStyle name="Currency 4 2 3 2 2 5 2 2" xfId="27610" xr:uid="{D07C3C75-7107-4EC7-92D8-E43DAFE8816F}"/>
    <cellStyle name="Currency 4 2 3 2 2 5 3" xfId="22402" xr:uid="{14111D9A-C85F-4741-B21F-76A267F7748A}"/>
    <cellStyle name="Currency 4 2 3 2 2 6" xfId="7483" xr:uid="{9668CF89-B578-47FB-A0A2-C99C52E5C259}"/>
    <cellStyle name="Currency 4 2 3 2 2 6 2" xfId="21534" xr:uid="{C85EEA54-AD10-4F3A-B323-B9B5FBAE6839}"/>
    <cellStyle name="Currency 4 2 3 2 2 7" xfId="10955" xr:uid="{983AF6BB-CE14-4DB9-908B-166D31FFC9EC}"/>
    <cellStyle name="Currency 4 2 3 2 2 7 2" xfId="25006" xr:uid="{8AEF0A54-536C-4067-AD5E-664FDDC25006}"/>
    <cellStyle name="Currency 4 2 3 2 2 8" xfId="17758" xr:uid="{13626FC0-FAE9-4111-9B73-C11ABA093965}"/>
    <cellStyle name="Currency 4 2 3 2 3" xfId="5122" xr:uid="{2CF6AB46-58EC-4322-95F2-BA57A04B5548}"/>
    <cellStyle name="Currency 4 2 3 2 3 2" xfId="5990" xr:uid="{1A7691FA-3307-4B57-8BA4-B5CC55AA7A75}"/>
    <cellStyle name="Currency 4 2 3 2 3 2 2" xfId="9462" xr:uid="{55DA221F-12F8-4CD3-9B36-291C11A869D8}"/>
    <cellStyle name="Currency 4 2 3 2 3 2 2 2" xfId="23513" xr:uid="{3A544DF9-1A93-4A6A-86C4-9DE9418CD361}"/>
    <cellStyle name="Currency 4 2 3 2 3 2 3" xfId="12066" xr:uid="{8E60CB9F-8025-46F7-9CE7-B3C4AA7820C4}"/>
    <cellStyle name="Currency 4 2 3 2 3 2 3 2" xfId="26117" xr:uid="{D6525EC0-0A68-49B5-8F44-224066E9A1BD}"/>
    <cellStyle name="Currency 4 2 3 2 3 2 4" xfId="20041" xr:uid="{069E3755-72CE-40DF-8914-A37AADCD4329}"/>
    <cellStyle name="Currency 4 2 3 2 3 3" xfId="6858" xr:uid="{FE926D18-291C-4588-9AB9-D1AE2916CD06}"/>
    <cellStyle name="Currency 4 2 3 2 3 3 2" xfId="10330" xr:uid="{59215B23-A66D-4FDC-9A27-13CE10679DCA}"/>
    <cellStyle name="Currency 4 2 3 2 3 3 2 2" xfId="24381" xr:uid="{9420C32A-2619-4BA7-935D-769C60EB1E9B}"/>
    <cellStyle name="Currency 4 2 3 2 3 3 3" xfId="12934" xr:uid="{A73C94D9-014B-44DF-9839-BFDD6DD4D62C}"/>
    <cellStyle name="Currency 4 2 3 2 3 3 3 2" xfId="26985" xr:uid="{E9E5CF29-E753-4500-AA54-D30463EF53E1}"/>
    <cellStyle name="Currency 4 2 3 2 3 3 4" xfId="20909" xr:uid="{E56EAE1B-6882-45E1-B4A4-F934915FAD84}"/>
    <cellStyle name="Currency 4 2 3 2 3 4" xfId="8594" xr:uid="{675E1E85-9C9A-4FB6-B100-E9111DA4D2DD}"/>
    <cellStyle name="Currency 4 2 3 2 3 4 2" xfId="13802" xr:uid="{A43C991E-A2AF-4D75-9685-BC9625B6D534}"/>
    <cellStyle name="Currency 4 2 3 2 3 4 2 2" xfId="27853" xr:uid="{61B4DDD3-9BE8-4016-9046-85E710DE468B}"/>
    <cellStyle name="Currency 4 2 3 2 3 4 3" xfId="22645" xr:uid="{1611E28A-00DC-44C3-A08F-F8F89CE0AE70}"/>
    <cellStyle name="Currency 4 2 3 2 3 5" xfId="7726" xr:uid="{282168A0-2DE6-4DE9-B153-BC53E3E100A6}"/>
    <cellStyle name="Currency 4 2 3 2 3 5 2" xfId="21777" xr:uid="{2CE2D79F-7C71-4F73-95AB-062C5746BB37}"/>
    <cellStyle name="Currency 4 2 3 2 3 6" xfId="11198" xr:uid="{1DEF9245-3C24-4F45-BFE2-82D5745F20E2}"/>
    <cellStyle name="Currency 4 2 3 2 3 6 2" xfId="25249" xr:uid="{BBAEBC23-58DB-44B9-B744-EF2B8724E362}"/>
    <cellStyle name="Currency 4 2 3 2 3 7" xfId="19173" xr:uid="{968D4432-41E0-46A9-A2E0-F3B431F59641}"/>
    <cellStyle name="Currency 4 2 3 2 4" xfId="5556" xr:uid="{C1DA1FAF-24F7-407D-97DD-FCC399FE4A50}"/>
    <cellStyle name="Currency 4 2 3 2 4 2" xfId="9028" xr:uid="{909015C9-9422-4C1C-8A4B-CC931088BE18}"/>
    <cellStyle name="Currency 4 2 3 2 4 2 2" xfId="23079" xr:uid="{1D017F85-8B0C-4F31-99CA-5AD7E4800FDF}"/>
    <cellStyle name="Currency 4 2 3 2 4 3" xfId="11632" xr:uid="{D3868C81-2B0F-4A95-A047-CCEE0A366E4A}"/>
    <cellStyle name="Currency 4 2 3 2 4 3 2" xfId="25683" xr:uid="{DFDE99A6-B580-4AB4-91D9-D632F1DDF030}"/>
    <cellStyle name="Currency 4 2 3 2 4 4" xfId="19607" xr:uid="{5609A7DE-4014-4E3E-BF78-2DE4E4044708}"/>
    <cellStyle name="Currency 4 2 3 2 5" xfId="6424" xr:uid="{656C30D8-6293-4575-AFB1-C1F095A88037}"/>
    <cellStyle name="Currency 4 2 3 2 5 2" xfId="9896" xr:uid="{7DE9F5E4-D8BA-44FF-98D9-3308046EF51A}"/>
    <cellStyle name="Currency 4 2 3 2 5 2 2" xfId="23947" xr:uid="{1FEF6C4F-B612-4A4F-BAAB-3140E60A5796}"/>
    <cellStyle name="Currency 4 2 3 2 5 3" xfId="12500" xr:uid="{77EDAA36-C24F-407C-A139-B0BA3A886033}"/>
    <cellStyle name="Currency 4 2 3 2 5 3 2" xfId="26551" xr:uid="{D617C608-8FE7-4268-9C70-98247FDAA586}"/>
    <cellStyle name="Currency 4 2 3 2 5 4" xfId="20475" xr:uid="{281B2C4A-E74F-4DF7-9FFB-ED303A9BBEDE}"/>
    <cellStyle name="Currency 4 2 3 2 6" xfId="8160" xr:uid="{F3FA6616-5B50-4059-B558-41F31CB8A803}"/>
    <cellStyle name="Currency 4 2 3 2 6 2" xfId="13368" xr:uid="{E215E778-B41A-4DB5-BEA0-88E4FDE63209}"/>
    <cellStyle name="Currency 4 2 3 2 6 2 2" xfId="27419" xr:uid="{AA58EF9F-EA25-4D12-9D04-26ECE821A9AC}"/>
    <cellStyle name="Currency 4 2 3 2 6 3" xfId="22211" xr:uid="{3003D2E9-F177-4363-AEBA-027EB08C584C}"/>
    <cellStyle name="Currency 4 2 3 2 7" xfId="7292" xr:uid="{B0E7E7F3-BAB6-4AD9-BBB9-2E71E2646E78}"/>
    <cellStyle name="Currency 4 2 3 2 7 2" xfId="21343" xr:uid="{B47BDB4A-000B-477C-8C49-5E4D4C79BDAB}"/>
    <cellStyle name="Currency 4 2 3 2 8" xfId="10764" xr:uid="{4DF2A7DC-6479-4FB7-9794-58EC6F64F120}"/>
    <cellStyle name="Currency 4 2 3 2 8 2" xfId="24815" xr:uid="{83C0B5ED-CD66-4787-AC24-CCB8BBBB627E}"/>
    <cellStyle name="Currency 4 2 3 2 9" xfId="15564" xr:uid="{E6B28B1F-6C33-471B-8B24-44D9310F35B6}"/>
    <cellStyle name="Currency 4 2 3 3" xfId="2781" xr:uid="{BC28879E-F1F9-4412-94E8-6ADDD0E11E0F}"/>
    <cellStyle name="Currency 4 2 3 3 2" xfId="5232" xr:uid="{065D9F10-C163-4039-9F62-D4B08993CD4B}"/>
    <cellStyle name="Currency 4 2 3 3 2 2" xfId="6100" xr:uid="{AEB695C7-2267-4D92-88B8-47F440864732}"/>
    <cellStyle name="Currency 4 2 3 3 2 2 2" xfId="9572" xr:uid="{60DB8E1C-5A19-4E25-9987-2B55388E57DD}"/>
    <cellStyle name="Currency 4 2 3 3 2 2 2 2" xfId="23623" xr:uid="{1F876780-6F7A-4968-A46D-583C7A600328}"/>
    <cellStyle name="Currency 4 2 3 3 2 2 3" xfId="12176" xr:uid="{802EA9A0-97A9-4C8B-B0E5-B2C926DD34B1}"/>
    <cellStyle name="Currency 4 2 3 3 2 2 3 2" xfId="26227" xr:uid="{BA54CF15-D81B-43CD-8274-51F5A035ADCF}"/>
    <cellStyle name="Currency 4 2 3 3 2 2 4" xfId="20151" xr:uid="{7D0E3E1D-C34F-4258-A4EA-362935D72732}"/>
    <cellStyle name="Currency 4 2 3 3 2 3" xfId="6968" xr:uid="{ADB3C667-7345-408B-94C7-7A94EAA1CDAF}"/>
    <cellStyle name="Currency 4 2 3 3 2 3 2" xfId="10440" xr:uid="{F642D77E-7F1D-4CAF-ADE5-F1C39DA9916F}"/>
    <cellStyle name="Currency 4 2 3 3 2 3 2 2" xfId="24491" xr:uid="{0241BADC-374E-47DD-ACF2-711A9B4A9ED4}"/>
    <cellStyle name="Currency 4 2 3 3 2 3 3" xfId="13044" xr:uid="{D54F53F4-A9F7-413A-BD48-8D457939A3BC}"/>
    <cellStyle name="Currency 4 2 3 3 2 3 3 2" xfId="27095" xr:uid="{4A59D857-AF7A-45CF-81F0-844C95980C6E}"/>
    <cellStyle name="Currency 4 2 3 3 2 3 4" xfId="21019" xr:uid="{C6B6DE39-8B3E-479E-B9BF-2B2CACE5540E}"/>
    <cellStyle name="Currency 4 2 3 3 2 4" xfId="8704" xr:uid="{27DAB25A-DE4C-48FA-9601-7AA227DEE8FC}"/>
    <cellStyle name="Currency 4 2 3 3 2 4 2" xfId="13912" xr:uid="{D15152A4-D52C-4EFE-887D-AE8ACD27AA9D}"/>
    <cellStyle name="Currency 4 2 3 3 2 4 2 2" xfId="27963" xr:uid="{239E6550-E035-4B25-ADF8-9A1B42D3ADF0}"/>
    <cellStyle name="Currency 4 2 3 3 2 4 3" xfId="22755" xr:uid="{2CE931DE-2A4B-4438-AF92-FA2568348398}"/>
    <cellStyle name="Currency 4 2 3 3 2 5" xfId="7836" xr:uid="{0E2D8AA2-B6D4-4398-A560-19F1F59D2000}"/>
    <cellStyle name="Currency 4 2 3 3 2 5 2" xfId="21887" xr:uid="{0C730CFC-C57C-4ECA-B456-6B124D2DC1DD}"/>
    <cellStyle name="Currency 4 2 3 3 2 6" xfId="11308" xr:uid="{E379DA4F-944A-4E9E-A1E1-26A67625A6E2}"/>
    <cellStyle name="Currency 4 2 3 3 2 6 2" xfId="25359" xr:uid="{C0CE3674-69DA-40CD-95B4-12F6410EA301}"/>
    <cellStyle name="Currency 4 2 3 3 2 7" xfId="19283" xr:uid="{78B98042-5C6C-4CFB-9C8C-50551A6D01F8}"/>
    <cellStyle name="Currency 4 2 3 3 3" xfId="5666" xr:uid="{89D5CAC3-3888-41A2-ABEB-4F86A568984F}"/>
    <cellStyle name="Currency 4 2 3 3 3 2" xfId="9138" xr:uid="{7D2910D9-FC95-48F7-863E-E4A5364C6AE0}"/>
    <cellStyle name="Currency 4 2 3 3 3 2 2" xfId="23189" xr:uid="{EA511C49-B65F-4C83-94FE-34160A4AA281}"/>
    <cellStyle name="Currency 4 2 3 3 3 3" xfId="11742" xr:uid="{406BF12F-4EED-4844-88EE-D3628E4BFC64}"/>
    <cellStyle name="Currency 4 2 3 3 3 3 2" xfId="25793" xr:uid="{31F8DEA9-86CC-4251-9D4E-AEED0001298D}"/>
    <cellStyle name="Currency 4 2 3 3 3 4" xfId="19717" xr:uid="{12C4348F-B7D1-4F58-AA0D-E2406A6DB735}"/>
    <cellStyle name="Currency 4 2 3 3 4" xfId="6534" xr:uid="{AB456939-4221-4A41-BD27-8FB8809BFF47}"/>
    <cellStyle name="Currency 4 2 3 3 4 2" xfId="10006" xr:uid="{FC1111A1-EE05-43B3-BEF4-88D3D7B9D4FF}"/>
    <cellStyle name="Currency 4 2 3 3 4 2 2" xfId="24057" xr:uid="{C9CC04A6-D704-4795-811A-B3D1C40CD9C4}"/>
    <cellStyle name="Currency 4 2 3 3 4 3" xfId="12610" xr:uid="{EE908D2A-F28B-4FE4-B5F1-0D50054BF6C3}"/>
    <cellStyle name="Currency 4 2 3 3 4 3 2" xfId="26661" xr:uid="{4824CC5F-CADC-4359-896B-70B7B712BE98}"/>
    <cellStyle name="Currency 4 2 3 3 4 4" xfId="20585" xr:uid="{7826F441-1166-4359-8AF8-5EE59A4373E3}"/>
    <cellStyle name="Currency 4 2 3 3 5" xfId="8270" xr:uid="{CFD9A581-82E8-426F-AAEB-CE0355E3A92E}"/>
    <cellStyle name="Currency 4 2 3 3 5 2" xfId="13478" xr:uid="{D0FE56BA-9708-4BD0-8C7A-CD9F4A6E7E84}"/>
    <cellStyle name="Currency 4 2 3 3 5 2 2" xfId="27529" xr:uid="{76885DAA-64C9-4DC0-8EB0-515970A249CF}"/>
    <cellStyle name="Currency 4 2 3 3 5 3" xfId="22321" xr:uid="{160AE1CE-480F-491D-BA24-C363D0D09982}"/>
    <cellStyle name="Currency 4 2 3 3 6" xfId="7402" xr:uid="{F52AC57D-BF41-4EC4-9C53-3FD666468C1A}"/>
    <cellStyle name="Currency 4 2 3 3 6 2" xfId="21453" xr:uid="{BAAEBB87-3156-49E1-8F10-067DD80935F3}"/>
    <cellStyle name="Currency 4 2 3 3 7" xfId="10874" xr:uid="{DE592808-A11A-49CA-8CBA-E27C041A0DE6}"/>
    <cellStyle name="Currency 4 2 3 3 7 2" xfId="24925" xr:uid="{FCA4DBCF-042A-4649-BB7E-4E6B0DECA7EA}"/>
    <cellStyle name="Currency 4 2 3 3 8" xfId="16832" xr:uid="{414F062E-2733-4138-8FE0-37DAA28139AA}"/>
    <cellStyle name="Currency 4 2 3 4" xfId="4800" xr:uid="{25B8A22F-45A9-45F6-A821-071440B743FF}"/>
    <cellStyle name="Currency 4 2 3 4 2" xfId="5408" xr:uid="{A4164A2A-B2C0-4D45-AC84-54DB17158910}"/>
    <cellStyle name="Currency 4 2 3 4 2 2" xfId="6276" xr:uid="{19AE524C-4158-4115-8452-69769794A3E3}"/>
    <cellStyle name="Currency 4 2 3 4 2 2 2" xfId="9748" xr:uid="{9E9A7496-8288-49A1-9EC3-60D4383C2BB9}"/>
    <cellStyle name="Currency 4 2 3 4 2 2 2 2" xfId="23799" xr:uid="{CB2A7779-7E35-4CE8-A903-2E4536EBCF67}"/>
    <cellStyle name="Currency 4 2 3 4 2 2 3" xfId="12352" xr:uid="{C4E7E7BA-3C31-477E-BFC4-DA8739F48527}"/>
    <cellStyle name="Currency 4 2 3 4 2 2 3 2" xfId="26403" xr:uid="{322F7CEF-3174-415D-81CF-6C8888366A22}"/>
    <cellStyle name="Currency 4 2 3 4 2 2 4" xfId="20327" xr:uid="{921F2383-73F4-4440-8906-A4D419198984}"/>
    <cellStyle name="Currency 4 2 3 4 2 3" xfId="7144" xr:uid="{F91E5B8B-1C78-4EEF-8311-6E59EAB47782}"/>
    <cellStyle name="Currency 4 2 3 4 2 3 2" xfId="10616" xr:uid="{F92976DB-866C-41D4-BE70-EDF318CCA978}"/>
    <cellStyle name="Currency 4 2 3 4 2 3 2 2" xfId="24667" xr:uid="{78EA666D-905F-445F-9622-99266329C99F}"/>
    <cellStyle name="Currency 4 2 3 4 2 3 3" xfId="13220" xr:uid="{56511D9C-6B7B-4301-B413-CF7749A1F709}"/>
    <cellStyle name="Currency 4 2 3 4 2 3 3 2" xfId="27271" xr:uid="{E1EF8A31-77E4-40A3-8A49-B167967A3CEA}"/>
    <cellStyle name="Currency 4 2 3 4 2 3 4" xfId="21195" xr:uid="{49C3DBFE-FD27-4EA8-B579-3645E91BDB0A}"/>
    <cellStyle name="Currency 4 2 3 4 2 4" xfId="8880" xr:uid="{7538B4AC-DFF1-4788-94EF-707F83BA09D9}"/>
    <cellStyle name="Currency 4 2 3 4 2 4 2" xfId="14088" xr:uid="{06BFE7CD-C316-4FDC-9558-3769B01602B3}"/>
    <cellStyle name="Currency 4 2 3 4 2 4 2 2" xfId="28139" xr:uid="{FE6581F5-1EB5-4953-BA01-C5041EF5A31C}"/>
    <cellStyle name="Currency 4 2 3 4 2 4 3" xfId="22931" xr:uid="{3C58BC82-E5D2-4EF9-A39B-C3D968994628}"/>
    <cellStyle name="Currency 4 2 3 4 2 5" xfId="8012" xr:uid="{4945BB14-36BB-4A66-BF89-C0950E62BCDB}"/>
    <cellStyle name="Currency 4 2 3 4 2 5 2" xfId="22063" xr:uid="{89256E82-4AE9-4CCB-B306-5B2FC87A4E1F}"/>
    <cellStyle name="Currency 4 2 3 4 2 6" xfId="11484" xr:uid="{ED9F5A47-A294-4218-9D9F-BFC781659AB2}"/>
    <cellStyle name="Currency 4 2 3 4 2 6 2" xfId="25535" xr:uid="{8350E76C-FB51-4290-9D9E-B6E9E72ECF4B}"/>
    <cellStyle name="Currency 4 2 3 4 2 7" xfId="19459" xr:uid="{C9F22424-9A84-4051-86C3-7120C538E43F}"/>
    <cellStyle name="Currency 4 2 3 4 3" xfId="5842" xr:uid="{CC40E6E3-6327-4C38-BCB5-E829A83E4794}"/>
    <cellStyle name="Currency 4 2 3 4 3 2" xfId="9314" xr:uid="{F8A2B145-FA79-4E0E-9241-E3470662C840}"/>
    <cellStyle name="Currency 4 2 3 4 3 2 2" xfId="23365" xr:uid="{CB14C5BD-9580-4F0F-B0D1-91EE5D0C4485}"/>
    <cellStyle name="Currency 4 2 3 4 3 3" xfId="11918" xr:uid="{86D8F546-34FD-4DD0-94FE-DD4243B0C74A}"/>
    <cellStyle name="Currency 4 2 3 4 3 3 2" xfId="25969" xr:uid="{BC28DDA4-4E58-4D8D-9E84-90636003AA03}"/>
    <cellStyle name="Currency 4 2 3 4 3 4" xfId="19893" xr:uid="{1A26A626-7424-4194-B99B-0CCE1F2149D8}"/>
    <cellStyle name="Currency 4 2 3 4 4" xfId="6710" xr:uid="{34418B51-F0EC-4F88-9FE7-EBCBF19F1727}"/>
    <cellStyle name="Currency 4 2 3 4 4 2" xfId="10182" xr:uid="{5C65F73D-1E59-45DD-8344-C063ED9E5DB7}"/>
    <cellStyle name="Currency 4 2 3 4 4 2 2" xfId="24233" xr:uid="{46030496-5666-42EF-A658-32C6F10BE059}"/>
    <cellStyle name="Currency 4 2 3 4 4 3" xfId="12786" xr:uid="{47420BA6-EB76-4CAE-8E1F-6A3C747350A5}"/>
    <cellStyle name="Currency 4 2 3 4 4 3 2" xfId="26837" xr:uid="{4B1B5B64-FA34-4F12-959E-6E0C7A8B94CB}"/>
    <cellStyle name="Currency 4 2 3 4 4 4" xfId="20761" xr:uid="{586F3952-A4E5-4C9B-9F3C-9F5AAC6F6754}"/>
    <cellStyle name="Currency 4 2 3 4 5" xfId="8446" xr:uid="{FEF88039-DB46-4AEB-84F4-4D7203B7691D}"/>
    <cellStyle name="Currency 4 2 3 4 5 2" xfId="13654" xr:uid="{7FBF8540-019B-4635-95C5-D5F50EE246E9}"/>
    <cellStyle name="Currency 4 2 3 4 5 2 2" xfId="27705" xr:uid="{0317C540-42AA-4C36-897C-04536A4831BB}"/>
    <cellStyle name="Currency 4 2 3 4 5 3" xfId="22497" xr:uid="{E4347BB2-2353-4D17-A578-8BCFCD9068BD}"/>
    <cellStyle name="Currency 4 2 3 4 6" xfId="7578" xr:uid="{EFBE0C76-5AF3-410C-9AF3-4A8E65DFC2EE}"/>
    <cellStyle name="Currency 4 2 3 4 6 2" xfId="21629" xr:uid="{A797BA05-A659-4658-B678-69163847EC26}"/>
    <cellStyle name="Currency 4 2 3 4 7" xfId="11050" xr:uid="{1FBC20B4-E5D7-4313-A472-B5E9532E3E16}"/>
    <cellStyle name="Currency 4 2 3 4 7 2" xfId="25101" xr:uid="{C2B70EC0-B845-4EB8-A035-99DD15005B26}"/>
    <cellStyle name="Currency 4 2 3 4 8" xfId="18852" xr:uid="{D44FECD7-E35F-4FBF-9B4B-DB11CB6409AA}"/>
    <cellStyle name="Currency 4 2 3 5" xfId="5038" xr:uid="{26577F48-242C-4454-948A-089E51F4A146}"/>
    <cellStyle name="Currency 4 2 3 5 2" xfId="5906" xr:uid="{96DCBBC8-949B-449D-9196-CEE21DC4DEFE}"/>
    <cellStyle name="Currency 4 2 3 5 2 2" xfId="9378" xr:uid="{CA3F217C-B422-40F0-8C9F-C88037689549}"/>
    <cellStyle name="Currency 4 2 3 5 2 2 2" xfId="23429" xr:uid="{08237A84-4638-445A-B626-829B7851E4EB}"/>
    <cellStyle name="Currency 4 2 3 5 2 3" xfId="11982" xr:uid="{F9B7A3D7-8263-446D-9DF1-8A96D6F7B5C4}"/>
    <cellStyle name="Currency 4 2 3 5 2 3 2" xfId="26033" xr:uid="{D8E9C039-C677-4D01-AB3B-E0E20B0ED78A}"/>
    <cellStyle name="Currency 4 2 3 5 2 4" xfId="19957" xr:uid="{D897542A-C9E6-498A-9D5D-421BC4737843}"/>
    <cellStyle name="Currency 4 2 3 5 3" xfId="6774" xr:uid="{01256A80-0E30-4A07-B6F7-5A4FB66DF951}"/>
    <cellStyle name="Currency 4 2 3 5 3 2" xfId="10246" xr:uid="{C9F36236-615E-4906-BC8B-4E2C9469FCE1}"/>
    <cellStyle name="Currency 4 2 3 5 3 2 2" xfId="24297" xr:uid="{A71F2646-0CF6-4BA2-98DA-175E462D2FCA}"/>
    <cellStyle name="Currency 4 2 3 5 3 3" xfId="12850" xr:uid="{110843C5-BBC0-43B9-B79F-9B982BF35BAE}"/>
    <cellStyle name="Currency 4 2 3 5 3 3 2" xfId="26901" xr:uid="{40FB24B4-90C2-4C53-A530-AC9028BE88EC}"/>
    <cellStyle name="Currency 4 2 3 5 3 4" xfId="20825" xr:uid="{A796FB91-F97F-43EF-AA3B-A6AD1F5A6CE1}"/>
    <cellStyle name="Currency 4 2 3 5 4" xfId="8510" xr:uid="{788FACC6-CDC0-4225-BCB6-D45F99C15E36}"/>
    <cellStyle name="Currency 4 2 3 5 4 2" xfId="13718" xr:uid="{21C38760-D099-4443-BBB0-37C0BA27A539}"/>
    <cellStyle name="Currency 4 2 3 5 4 2 2" xfId="27769" xr:uid="{D60DEB5D-5D35-4B20-9A00-3AB8AD3573C6}"/>
    <cellStyle name="Currency 4 2 3 5 4 3" xfId="22561" xr:uid="{7FFD620A-DA63-445B-8EBD-FAAB5E0A0919}"/>
    <cellStyle name="Currency 4 2 3 5 5" xfId="7642" xr:uid="{BC3AAA9B-5AB7-456A-8240-C651110CE918}"/>
    <cellStyle name="Currency 4 2 3 5 5 2" xfId="21693" xr:uid="{C30CB3F5-2E32-44F4-9185-B1C26AEF36CE}"/>
    <cellStyle name="Currency 4 2 3 5 6" xfId="11114" xr:uid="{BD4BA8AA-0DAA-49D8-A222-E8345C67C657}"/>
    <cellStyle name="Currency 4 2 3 5 6 2" xfId="25165" xr:uid="{912D0E2F-E389-4AE5-B2C6-B5AEB0DFA631}"/>
    <cellStyle name="Currency 4 2 3 5 7" xfId="19089" xr:uid="{52040416-7F62-4FFB-89FA-C6704304E5F1}"/>
    <cellStyle name="Currency 4 2 3 6" xfId="5472" xr:uid="{FA93A99A-DC93-4603-BA34-5703C50EDF26}"/>
    <cellStyle name="Currency 4 2 3 6 2" xfId="8944" xr:uid="{CB6BA1D0-601E-4206-88F1-5D0D63BACF29}"/>
    <cellStyle name="Currency 4 2 3 6 2 2" xfId="22995" xr:uid="{6790F222-3FA0-4092-BCF2-F38F99026161}"/>
    <cellStyle name="Currency 4 2 3 6 3" xfId="11548" xr:uid="{40101469-956D-48BF-9C66-764A55C8FF40}"/>
    <cellStyle name="Currency 4 2 3 6 3 2" xfId="25599" xr:uid="{20FB129D-1795-4446-A6CC-4BB4BACFEDF7}"/>
    <cellStyle name="Currency 4 2 3 6 4" xfId="19523" xr:uid="{D7E69239-3426-4AA6-8D2A-F6A52C007CF0}"/>
    <cellStyle name="Currency 4 2 3 7" xfId="6340" xr:uid="{2BDFE9A3-A91A-4B24-8B48-972600158637}"/>
    <cellStyle name="Currency 4 2 3 7 2" xfId="9812" xr:uid="{1DEBDF6D-AA41-4CBB-91A3-E3185DBCE83C}"/>
    <cellStyle name="Currency 4 2 3 7 2 2" xfId="23863" xr:uid="{5B91F573-60EB-4F2E-9328-CC25E3DC9868}"/>
    <cellStyle name="Currency 4 2 3 7 3" xfId="12416" xr:uid="{6F2D47B6-ED04-4A75-8C72-1B05EF4F62BD}"/>
    <cellStyle name="Currency 4 2 3 7 3 2" xfId="26467" xr:uid="{27622DD3-1AE0-4BCF-9C20-6F04FE680887}"/>
    <cellStyle name="Currency 4 2 3 7 4" xfId="20391" xr:uid="{C2B3927C-AF39-4E11-9157-2A9EADE41003}"/>
    <cellStyle name="Currency 4 2 3 8" xfId="8076" xr:uid="{81E250B5-1E4E-4122-AD3F-A7D55B64A037}"/>
    <cellStyle name="Currency 4 2 3 8 2" xfId="13284" xr:uid="{723ABD84-0E17-4DF0-99D1-ECF23C298E38}"/>
    <cellStyle name="Currency 4 2 3 8 2 2" xfId="27335" xr:uid="{3FB9A24A-A569-4895-83EA-65ADB7B8326C}"/>
    <cellStyle name="Currency 4 2 3 8 3" xfId="22127" xr:uid="{59B80399-1209-48C6-9C08-D7CD9C59AA8A}"/>
    <cellStyle name="Currency 4 2 3 9" xfId="7208" xr:uid="{8B09D016-8831-42F5-817C-C76B5C1AE09F}"/>
    <cellStyle name="Currency 4 2 3 9 2" xfId="21259" xr:uid="{69C9C811-896C-478C-B750-E6FD4FFA13A3}"/>
    <cellStyle name="Currency 4 2 4" xfId="935" xr:uid="{321BFF7F-CFDE-46FF-A7E8-5A960ACD3A12}"/>
    <cellStyle name="Currency 4 2 4 10" xfId="14985" xr:uid="{8E98CB31-51C2-443B-BCF3-8DED8BC78454}"/>
    <cellStyle name="Currency 4 2 4 2" xfId="2034" xr:uid="{EEB36FBA-A52D-4B33-A058-1F39146F9D56}"/>
    <cellStyle name="Currency 4 2 4 2 2" xfId="4223" xr:uid="{6EA64A94-DF5A-478A-B9AD-78F72A2EEFF0}"/>
    <cellStyle name="Currency 4 2 4 2 2 2" xfId="5357" xr:uid="{085811E3-60B0-497D-BB2B-EC8A362EC6A7}"/>
    <cellStyle name="Currency 4 2 4 2 2 2 2" xfId="6225" xr:uid="{55257850-DEC5-4625-8545-BB29E94CC018}"/>
    <cellStyle name="Currency 4 2 4 2 2 2 2 2" xfId="9697" xr:uid="{FF2A3AAB-8C66-4E68-931E-7B1F230182DD}"/>
    <cellStyle name="Currency 4 2 4 2 2 2 2 2 2" xfId="23748" xr:uid="{6AE4E10B-B352-43CA-B5B3-9BC463F178FE}"/>
    <cellStyle name="Currency 4 2 4 2 2 2 2 3" xfId="12301" xr:uid="{D1B4E4DF-CD45-473F-8788-5EB3D34A12F8}"/>
    <cellStyle name="Currency 4 2 4 2 2 2 2 3 2" xfId="26352" xr:uid="{EE92CA8F-06D2-43D9-902A-F33E6F2BC628}"/>
    <cellStyle name="Currency 4 2 4 2 2 2 2 4" xfId="20276" xr:uid="{A4F34E4B-3F90-4602-B06F-5C86A7DF7C1A}"/>
    <cellStyle name="Currency 4 2 4 2 2 2 3" xfId="7093" xr:uid="{E903747C-3DF2-4627-931C-136ACD240371}"/>
    <cellStyle name="Currency 4 2 4 2 2 2 3 2" xfId="10565" xr:uid="{929DD089-F7D2-496C-BF85-70E8A5176359}"/>
    <cellStyle name="Currency 4 2 4 2 2 2 3 2 2" xfId="24616" xr:uid="{44C2BE3E-1BB1-4801-A578-684F57D4A82C}"/>
    <cellStyle name="Currency 4 2 4 2 2 2 3 3" xfId="13169" xr:uid="{98897173-0F3C-4A56-9031-ED77FFDCF6CC}"/>
    <cellStyle name="Currency 4 2 4 2 2 2 3 3 2" xfId="27220" xr:uid="{7164BAB6-6239-4BAF-AA26-87ACF1751EB8}"/>
    <cellStyle name="Currency 4 2 4 2 2 2 3 4" xfId="21144" xr:uid="{7BB620E0-1E5F-46C2-9D5A-91496DCB5E6A}"/>
    <cellStyle name="Currency 4 2 4 2 2 2 4" xfId="8829" xr:uid="{6B9E4F01-DD12-4DFD-A04D-D30CD2BC03BB}"/>
    <cellStyle name="Currency 4 2 4 2 2 2 4 2" xfId="14037" xr:uid="{4B994120-F195-4D6B-ACCB-42932C01E8E3}"/>
    <cellStyle name="Currency 4 2 4 2 2 2 4 2 2" xfId="28088" xr:uid="{4AAA8B4C-2C94-4033-BDDB-513FD63C0391}"/>
    <cellStyle name="Currency 4 2 4 2 2 2 4 3" xfId="22880" xr:uid="{0B24E9B7-75A3-44D7-91C4-FB042590B874}"/>
    <cellStyle name="Currency 4 2 4 2 2 2 5" xfId="7961" xr:uid="{674BF8C9-03B4-410F-B79B-ACE1ACD376E9}"/>
    <cellStyle name="Currency 4 2 4 2 2 2 5 2" xfId="22012" xr:uid="{8180774E-AFA4-4C74-B812-9BD7A304EBC8}"/>
    <cellStyle name="Currency 4 2 4 2 2 2 6" xfId="11433" xr:uid="{2DD4B4EC-61E1-4CE7-8241-CEFD76B927D4}"/>
    <cellStyle name="Currency 4 2 4 2 2 2 6 2" xfId="25484" xr:uid="{8363A0FA-B4A5-4BF6-87CD-D27308ADE78C}"/>
    <cellStyle name="Currency 4 2 4 2 2 2 7" xfId="19408" xr:uid="{2FEFB85D-5427-4388-8AE1-F705541EDF73}"/>
    <cellStyle name="Currency 4 2 4 2 2 3" xfId="5791" xr:uid="{554BE09E-D13E-419B-9F01-4FC03AA25C8A}"/>
    <cellStyle name="Currency 4 2 4 2 2 3 2" xfId="9263" xr:uid="{826E0A43-BC89-421F-994B-4F7356A1AC07}"/>
    <cellStyle name="Currency 4 2 4 2 2 3 2 2" xfId="23314" xr:uid="{63F0DEE7-136F-45C0-9B56-72B0FA30A030}"/>
    <cellStyle name="Currency 4 2 4 2 2 3 3" xfId="11867" xr:uid="{9B858C4C-0C4E-4445-B878-CA67DC59F799}"/>
    <cellStyle name="Currency 4 2 4 2 2 3 3 2" xfId="25918" xr:uid="{453E195D-1983-48F8-BFFD-E0FE9FC27BBE}"/>
    <cellStyle name="Currency 4 2 4 2 2 3 4" xfId="19842" xr:uid="{B18C8BBF-AE87-4F73-9F16-255DCEF34926}"/>
    <cellStyle name="Currency 4 2 4 2 2 4" xfId="6659" xr:uid="{1429B868-9ABD-4B97-A5EB-017C3DEBEDA9}"/>
    <cellStyle name="Currency 4 2 4 2 2 4 2" xfId="10131" xr:uid="{1F0CE3FD-CF51-443F-B9A8-FE46D455A37F}"/>
    <cellStyle name="Currency 4 2 4 2 2 4 2 2" xfId="24182" xr:uid="{63D7028C-EF41-45B8-915F-0B64825D6405}"/>
    <cellStyle name="Currency 4 2 4 2 2 4 3" xfId="12735" xr:uid="{F8742DF7-564F-4192-8204-5A5468AA2FFC}"/>
    <cellStyle name="Currency 4 2 4 2 2 4 3 2" xfId="26786" xr:uid="{62046C5E-C8C2-4D5D-AAE0-719C92D052FE}"/>
    <cellStyle name="Currency 4 2 4 2 2 4 4" xfId="20710" xr:uid="{98806F84-0EEF-49FA-8ECF-40397EB5E22C}"/>
    <cellStyle name="Currency 4 2 4 2 2 5" xfId="8395" xr:uid="{53FB6875-6C62-4766-BE2C-F37D13671F92}"/>
    <cellStyle name="Currency 4 2 4 2 2 5 2" xfId="13603" xr:uid="{07DD465E-8B9F-4D70-B41E-CF3AC5CBEF46}"/>
    <cellStyle name="Currency 4 2 4 2 2 5 2 2" xfId="27654" xr:uid="{B3DD27AE-89E4-47F0-AA5D-E434DE43ADD2}"/>
    <cellStyle name="Currency 4 2 4 2 2 5 3" xfId="22446" xr:uid="{DB2F1ED6-7754-4E07-977F-0F74EA410464}"/>
    <cellStyle name="Currency 4 2 4 2 2 6" xfId="7527" xr:uid="{8CF1A278-33B9-45C0-84D5-C76E95FE1A65}"/>
    <cellStyle name="Currency 4 2 4 2 2 6 2" xfId="21578" xr:uid="{5356B8BB-9B5B-4588-85A1-706D0DFD3350}"/>
    <cellStyle name="Currency 4 2 4 2 2 7" xfId="10999" xr:uid="{85638983-4C4E-4309-B85C-52C7F7538E61}"/>
    <cellStyle name="Currency 4 2 4 2 2 7 2" xfId="25050" xr:uid="{11B1FA1C-4F84-4818-B0CF-AFC9A65152F4}"/>
    <cellStyle name="Currency 4 2 4 2 2 8" xfId="18274" xr:uid="{53B9660A-3C5B-4257-80F0-FA1FC15033C6}"/>
    <cellStyle name="Currency 4 2 4 2 3" xfId="5167" xr:uid="{EE51D009-0387-491E-9F5E-51EDC031F663}"/>
    <cellStyle name="Currency 4 2 4 2 3 2" xfId="6035" xr:uid="{808D865A-79EE-49B9-A282-7EFC90861B7E}"/>
    <cellStyle name="Currency 4 2 4 2 3 2 2" xfId="9507" xr:uid="{7088B990-BAC8-4DAF-9351-5B37D549AC64}"/>
    <cellStyle name="Currency 4 2 4 2 3 2 2 2" xfId="23558" xr:uid="{8807BD3F-47CF-4231-A6BD-EC613812FF2C}"/>
    <cellStyle name="Currency 4 2 4 2 3 2 3" xfId="12111" xr:uid="{4EBA4ECD-22DA-4D78-BF68-36CEFC8EAFA1}"/>
    <cellStyle name="Currency 4 2 4 2 3 2 3 2" xfId="26162" xr:uid="{0AE5832C-85BD-4C33-B1C4-261FADA25477}"/>
    <cellStyle name="Currency 4 2 4 2 3 2 4" xfId="20086" xr:uid="{6B7DC041-3E2F-47CF-B856-9E620E719543}"/>
    <cellStyle name="Currency 4 2 4 2 3 3" xfId="6903" xr:uid="{509A0859-D4E6-49FF-B709-B4E126C6FDE0}"/>
    <cellStyle name="Currency 4 2 4 2 3 3 2" xfId="10375" xr:uid="{FFE07F67-A35E-4087-9CA2-C004215F9005}"/>
    <cellStyle name="Currency 4 2 4 2 3 3 2 2" xfId="24426" xr:uid="{1FC321CC-E195-45D4-A665-472BE6FCFBFF}"/>
    <cellStyle name="Currency 4 2 4 2 3 3 3" xfId="12979" xr:uid="{23F41EFB-AB22-4EAE-BC31-716141DD704B}"/>
    <cellStyle name="Currency 4 2 4 2 3 3 3 2" xfId="27030" xr:uid="{8C1C72CC-2F91-4E32-8639-EA28D8E072FE}"/>
    <cellStyle name="Currency 4 2 4 2 3 3 4" xfId="20954" xr:uid="{CC44019F-4B05-4D8E-BAF5-39B90E0F0F67}"/>
    <cellStyle name="Currency 4 2 4 2 3 4" xfId="8639" xr:uid="{79B7DF13-B3E1-4F79-A8EC-C1E56ED34739}"/>
    <cellStyle name="Currency 4 2 4 2 3 4 2" xfId="13847" xr:uid="{BAD6B7C2-68E1-46D2-9449-349758A2D2A6}"/>
    <cellStyle name="Currency 4 2 4 2 3 4 2 2" xfId="27898" xr:uid="{6B0930F0-3F50-4950-8A07-0360BF90F7A1}"/>
    <cellStyle name="Currency 4 2 4 2 3 4 3" xfId="22690" xr:uid="{B12FBAC1-E045-4F9B-9997-54FC7D2E4134}"/>
    <cellStyle name="Currency 4 2 4 2 3 5" xfId="7771" xr:uid="{E9D6B239-B6FB-44F6-84BD-B62564E40F8F}"/>
    <cellStyle name="Currency 4 2 4 2 3 5 2" xfId="21822" xr:uid="{B215A95E-CFA9-4C6C-A3D7-323474E78424}"/>
    <cellStyle name="Currency 4 2 4 2 3 6" xfId="11243" xr:uid="{EAAB2E84-D0E8-41CB-AB96-71A0316A3B85}"/>
    <cellStyle name="Currency 4 2 4 2 3 6 2" xfId="25294" xr:uid="{CAE3C488-4E09-4261-937D-0107731FD383}"/>
    <cellStyle name="Currency 4 2 4 2 3 7" xfId="19218" xr:uid="{B972E4BB-EE04-4187-AA30-435AFB0119D6}"/>
    <cellStyle name="Currency 4 2 4 2 4" xfId="5601" xr:uid="{0C57F8BF-EBA9-4DD9-8318-F1AE064BCB9B}"/>
    <cellStyle name="Currency 4 2 4 2 4 2" xfId="9073" xr:uid="{68192F67-6B3A-4372-951B-7925936E4C96}"/>
    <cellStyle name="Currency 4 2 4 2 4 2 2" xfId="23124" xr:uid="{E6522D3B-DE33-4EE1-913F-4129B07806D3}"/>
    <cellStyle name="Currency 4 2 4 2 4 3" xfId="11677" xr:uid="{83047F29-9B21-491A-B6E3-6F6C75BBAC1E}"/>
    <cellStyle name="Currency 4 2 4 2 4 3 2" xfId="25728" xr:uid="{356866A4-3578-48F1-8B19-5CA0C7615F59}"/>
    <cellStyle name="Currency 4 2 4 2 4 4" xfId="19652" xr:uid="{AA23152B-0E68-4831-ABE1-8530821C1690}"/>
    <cellStyle name="Currency 4 2 4 2 5" xfId="6469" xr:uid="{C931757B-2035-4855-BE03-8A8945023FCC}"/>
    <cellStyle name="Currency 4 2 4 2 5 2" xfId="9941" xr:uid="{918A8450-A587-4BC6-B83C-CFEADCBEE55E}"/>
    <cellStyle name="Currency 4 2 4 2 5 2 2" xfId="23992" xr:uid="{5EBE78AB-88E3-4D04-8015-A566282DE3EA}"/>
    <cellStyle name="Currency 4 2 4 2 5 3" xfId="12545" xr:uid="{C83BC38A-3858-4FCA-AA7B-5D412FF9340D}"/>
    <cellStyle name="Currency 4 2 4 2 5 3 2" xfId="26596" xr:uid="{C3441BD2-9F89-4C98-8075-D1569E648BE0}"/>
    <cellStyle name="Currency 4 2 4 2 5 4" xfId="20520" xr:uid="{4C0B7619-5EAA-4D7A-A369-7F74AE66B566}"/>
    <cellStyle name="Currency 4 2 4 2 6" xfId="8205" xr:uid="{40E77B44-9ACA-4D51-8E0E-4C501B95BC3B}"/>
    <cellStyle name="Currency 4 2 4 2 6 2" xfId="13413" xr:uid="{D8BBB9EB-C5B5-48FA-B40F-68F3F3B4C001}"/>
    <cellStyle name="Currency 4 2 4 2 6 2 2" xfId="27464" xr:uid="{0A9980F5-106D-4857-A0CA-90A3D827ABFC}"/>
    <cellStyle name="Currency 4 2 4 2 6 3" xfId="22256" xr:uid="{D24E638D-E808-42FD-8B3E-370F4DD68DFE}"/>
    <cellStyle name="Currency 4 2 4 2 7" xfId="7337" xr:uid="{F4004D3B-128B-477E-A1DB-C594241EAFC4}"/>
    <cellStyle name="Currency 4 2 4 2 7 2" xfId="21388" xr:uid="{26BB9457-ED1D-4BCA-A6DA-659E4C12413C}"/>
    <cellStyle name="Currency 4 2 4 2 8" xfId="10809" xr:uid="{28CC2382-C083-4810-AF04-71AC592E4CEE}"/>
    <cellStyle name="Currency 4 2 4 2 8 2" xfId="24860" xr:uid="{3E03CDE6-F33B-473B-8A6C-2543F5837F44}"/>
    <cellStyle name="Currency 4 2 4 2 9" xfId="16083" xr:uid="{7F6D6F08-C39C-4CF6-991D-8D7155EDFA3C}"/>
    <cellStyle name="Currency 4 2 4 3" xfId="3127" xr:uid="{DC12F7E1-D05A-41D8-A10F-DF04BF400A7C}"/>
    <cellStyle name="Currency 4 2 4 3 2" xfId="5262" xr:uid="{A96976CC-01A2-475B-ADB3-314BF471B05B}"/>
    <cellStyle name="Currency 4 2 4 3 2 2" xfId="6130" xr:uid="{6FBAC276-390E-4AC5-B9C3-FCE4C07B3462}"/>
    <cellStyle name="Currency 4 2 4 3 2 2 2" xfId="9602" xr:uid="{A6DCE1F9-9B97-4983-8DD6-B14D699C829B}"/>
    <cellStyle name="Currency 4 2 4 3 2 2 2 2" xfId="23653" xr:uid="{97761DF6-7A0A-4717-911C-9C27C5F45AA7}"/>
    <cellStyle name="Currency 4 2 4 3 2 2 3" xfId="12206" xr:uid="{83B62914-009C-4C1D-8C77-2B6E1B2BE93A}"/>
    <cellStyle name="Currency 4 2 4 3 2 2 3 2" xfId="26257" xr:uid="{1EEEC112-3E5B-4E1B-BFED-BB9A291288DA}"/>
    <cellStyle name="Currency 4 2 4 3 2 2 4" xfId="20181" xr:uid="{7458422C-E4A4-42B7-A0AD-AE568FFE7CF4}"/>
    <cellStyle name="Currency 4 2 4 3 2 3" xfId="6998" xr:uid="{86ADF379-86E7-4DD8-A95E-09EDD371E58A}"/>
    <cellStyle name="Currency 4 2 4 3 2 3 2" xfId="10470" xr:uid="{FDEBC2BA-1097-470A-8916-11A4F3B3BE12}"/>
    <cellStyle name="Currency 4 2 4 3 2 3 2 2" xfId="24521" xr:uid="{B094A161-9698-4249-97DC-1D33A4C4EE28}"/>
    <cellStyle name="Currency 4 2 4 3 2 3 3" xfId="13074" xr:uid="{F9455336-262B-4758-B799-119F6EDB8149}"/>
    <cellStyle name="Currency 4 2 4 3 2 3 3 2" xfId="27125" xr:uid="{EFCB8FBE-74F7-4BE3-9A0E-B0427166C655}"/>
    <cellStyle name="Currency 4 2 4 3 2 3 4" xfId="21049" xr:uid="{33546099-2D03-4F42-BAB5-B33E72C4A23D}"/>
    <cellStyle name="Currency 4 2 4 3 2 4" xfId="8734" xr:uid="{036ABAF6-04BC-48D0-8DE1-2792930239B7}"/>
    <cellStyle name="Currency 4 2 4 3 2 4 2" xfId="13942" xr:uid="{EFF19C6D-EA07-4CEE-B9C4-5D9B118B9F61}"/>
    <cellStyle name="Currency 4 2 4 3 2 4 2 2" xfId="27993" xr:uid="{335F9BAA-EAE8-47F7-9DE9-A8D9D3CCDF76}"/>
    <cellStyle name="Currency 4 2 4 3 2 4 3" xfId="22785" xr:uid="{FC18AF92-1EFD-4236-BC56-7881C8124DEA}"/>
    <cellStyle name="Currency 4 2 4 3 2 5" xfId="7866" xr:uid="{80E55E71-910B-44BF-98B5-D835DC0050FF}"/>
    <cellStyle name="Currency 4 2 4 3 2 5 2" xfId="21917" xr:uid="{68E18824-8728-4A31-A859-18B966CE4A02}"/>
    <cellStyle name="Currency 4 2 4 3 2 6" xfId="11338" xr:uid="{3FD4CCD9-FB90-4C5D-9A70-C361985E3903}"/>
    <cellStyle name="Currency 4 2 4 3 2 6 2" xfId="25389" xr:uid="{41E242B9-7000-4BDE-A027-9A603CB4FE3F}"/>
    <cellStyle name="Currency 4 2 4 3 2 7" xfId="19313" xr:uid="{F27D0950-D519-475F-9CBA-766757B3641F}"/>
    <cellStyle name="Currency 4 2 4 3 3" xfId="5696" xr:uid="{4979F858-5ECC-4870-BC12-EA90D5F7620D}"/>
    <cellStyle name="Currency 4 2 4 3 3 2" xfId="9168" xr:uid="{B28EB3D2-7B25-4584-B7E3-9E044DDFD793}"/>
    <cellStyle name="Currency 4 2 4 3 3 2 2" xfId="23219" xr:uid="{4B1AA9F2-4E0A-43C1-A439-5FA241BD7C47}"/>
    <cellStyle name="Currency 4 2 4 3 3 3" xfId="11772" xr:uid="{1BEFB96D-1E43-4BB5-87E4-A2A8600CF3D6}"/>
    <cellStyle name="Currency 4 2 4 3 3 3 2" xfId="25823" xr:uid="{3DB90224-3E23-4DC1-A375-4E8FEF2B33AE}"/>
    <cellStyle name="Currency 4 2 4 3 3 4" xfId="19747" xr:uid="{8F118CBE-A927-4899-BB11-68067220F703}"/>
    <cellStyle name="Currency 4 2 4 3 4" xfId="6564" xr:uid="{E74A66BF-8BD5-46C6-872D-3823B9577399}"/>
    <cellStyle name="Currency 4 2 4 3 4 2" xfId="10036" xr:uid="{0DD544CE-C6E5-4E16-A0DA-5731C234D834}"/>
    <cellStyle name="Currency 4 2 4 3 4 2 2" xfId="24087" xr:uid="{3C14DC22-02BB-423E-99A4-165BE0E2AFE4}"/>
    <cellStyle name="Currency 4 2 4 3 4 3" xfId="12640" xr:uid="{7FF5A6B7-0D10-4594-B37F-F4258DBA4885}"/>
    <cellStyle name="Currency 4 2 4 3 4 3 2" xfId="26691" xr:uid="{31E88794-53D7-41C0-9CC3-CAF3CF42C88D}"/>
    <cellStyle name="Currency 4 2 4 3 4 4" xfId="20615" xr:uid="{6D711B8D-EB0A-499C-B2C0-2DA655AEEA43}"/>
    <cellStyle name="Currency 4 2 4 3 5" xfId="8300" xr:uid="{5F66828C-4F8B-4387-A464-A4A609B70992}"/>
    <cellStyle name="Currency 4 2 4 3 5 2" xfId="13508" xr:uid="{60EAE0DD-F838-479A-9C54-CDE4534F7B7D}"/>
    <cellStyle name="Currency 4 2 4 3 5 2 2" xfId="27559" xr:uid="{EA3B7E1E-CBD8-471F-A5DF-0A8EBEBE9757}"/>
    <cellStyle name="Currency 4 2 4 3 5 3" xfId="22351" xr:uid="{29A1F826-4ABF-43D3-B926-3048A53AADE9}"/>
    <cellStyle name="Currency 4 2 4 3 6" xfId="7432" xr:uid="{77099C81-1FA3-4161-9DBF-17B46E80D317}"/>
    <cellStyle name="Currency 4 2 4 3 6 2" xfId="21483" xr:uid="{2BA64F52-44EC-4B86-BE60-68FB9B114DB5}"/>
    <cellStyle name="Currency 4 2 4 3 7" xfId="10904" xr:uid="{48E310D8-5D10-47FD-A408-4DB033DFC9A7}"/>
    <cellStyle name="Currency 4 2 4 3 7 2" xfId="24955" xr:uid="{1C725C74-79F9-4D5C-B201-C25DAF433E5F}"/>
    <cellStyle name="Currency 4 2 4 3 8" xfId="17179" xr:uid="{4CD2CFD0-2929-4BE8-894C-0C6C9ADA646C}"/>
    <cellStyle name="Currency 4 2 4 4" xfId="5070" xr:uid="{58009417-E514-420B-9A13-0281574172AC}"/>
    <cellStyle name="Currency 4 2 4 4 2" xfId="5938" xr:uid="{749B7B19-D8E5-4B5D-B94B-1789EDF21E9D}"/>
    <cellStyle name="Currency 4 2 4 4 2 2" xfId="9410" xr:uid="{8BA5C45F-79C1-4A03-ABD6-66ACF0430BEF}"/>
    <cellStyle name="Currency 4 2 4 4 2 2 2" xfId="23461" xr:uid="{979BE31D-9661-4534-935F-D5B9FAD76697}"/>
    <cellStyle name="Currency 4 2 4 4 2 3" xfId="12014" xr:uid="{A014BD12-A67F-403F-976C-4A8442F51135}"/>
    <cellStyle name="Currency 4 2 4 4 2 3 2" xfId="26065" xr:uid="{50409A5A-665A-4521-BBC1-12B584EF1427}"/>
    <cellStyle name="Currency 4 2 4 4 2 4" xfId="19989" xr:uid="{945F346A-303D-42F8-A242-7E3FF2994397}"/>
    <cellStyle name="Currency 4 2 4 4 3" xfId="6806" xr:uid="{FA529406-00A2-4760-A1A4-C74DD32B4A59}"/>
    <cellStyle name="Currency 4 2 4 4 3 2" xfId="10278" xr:uid="{59B2B193-B69D-4D25-9F43-E861B858ACF2}"/>
    <cellStyle name="Currency 4 2 4 4 3 2 2" xfId="24329" xr:uid="{68F3EEF7-D5E5-4E6F-A3BF-14D4718EE203}"/>
    <cellStyle name="Currency 4 2 4 4 3 3" xfId="12882" xr:uid="{6F9562B3-97EA-45B8-B1DA-554A79262743}"/>
    <cellStyle name="Currency 4 2 4 4 3 3 2" xfId="26933" xr:uid="{D7FCFF53-82F3-4F9D-ACC6-6F85417C4166}"/>
    <cellStyle name="Currency 4 2 4 4 3 4" xfId="20857" xr:uid="{EC2303B4-78D0-479E-8465-D69A8A2BE6BF}"/>
    <cellStyle name="Currency 4 2 4 4 4" xfId="8542" xr:uid="{673CFA73-D5BC-49FF-9B10-CD78155C967F}"/>
    <cellStyle name="Currency 4 2 4 4 4 2" xfId="13750" xr:uid="{841E4D67-C9D5-498D-AB67-1BA002548390}"/>
    <cellStyle name="Currency 4 2 4 4 4 2 2" xfId="27801" xr:uid="{A6680CDD-3417-4428-B8B1-28EDE45C932E}"/>
    <cellStyle name="Currency 4 2 4 4 4 3" xfId="22593" xr:uid="{95960D1E-6B6C-44D4-A574-01F61EC84C54}"/>
    <cellStyle name="Currency 4 2 4 4 5" xfId="7674" xr:uid="{5A7EE282-ECDA-44A2-BABF-9579171B330E}"/>
    <cellStyle name="Currency 4 2 4 4 5 2" xfId="21725" xr:uid="{0B99F3D4-4BD3-415A-A7DC-A985BFD9D1A6}"/>
    <cellStyle name="Currency 4 2 4 4 6" xfId="11146" xr:uid="{9CDB420C-786F-4D85-954C-E6FF6A30DE66}"/>
    <cellStyle name="Currency 4 2 4 4 6 2" xfId="25197" xr:uid="{78102973-81EA-4C30-BD60-AA90D573E703}"/>
    <cellStyle name="Currency 4 2 4 4 7" xfId="19121" xr:uid="{99FE7BF3-0F17-4EC9-AB29-11FA397C5F89}"/>
    <cellStyle name="Currency 4 2 4 5" xfId="5504" xr:uid="{76732FDC-E409-4402-8EC7-2D71FA5971DF}"/>
    <cellStyle name="Currency 4 2 4 5 2" xfId="8976" xr:uid="{79543573-055D-40EA-87D9-EA3EECA396EB}"/>
    <cellStyle name="Currency 4 2 4 5 2 2" xfId="23027" xr:uid="{5AF4BC38-EDE5-438C-A696-05AEC0B69671}"/>
    <cellStyle name="Currency 4 2 4 5 3" xfId="11580" xr:uid="{4E46F02D-4D29-4E8D-AA66-C081241ADDE8}"/>
    <cellStyle name="Currency 4 2 4 5 3 2" xfId="25631" xr:uid="{5969E1B4-6EEE-4F02-8467-38A03A7A5464}"/>
    <cellStyle name="Currency 4 2 4 5 4" xfId="19555" xr:uid="{704C1C49-ABF2-4165-817A-150799B394CA}"/>
    <cellStyle name="Currency 4 2 4 6" xfId="6372" xr:uid="{68B3929D-924B-4074-933D-1C579DF1A355}"/>
    <cellStyle name="Currency 4 2 4 6 2" xfId="9844" xr:uid="{FE0B4A02-7BA6-469C-82ED-C5FA8EAE8BA0}"/>
    <cellStyle name="Currency 4 2 4 6 2 2" xfId="23895" xr:uid="{A3036760-1F89-4CC8-A3C6-AF05A24CAB21}"/>
    <cellStyle name="Currency 4 2 4 6 3" xfId="12448" xr:uid="{4D3F2AC9-80E1-40BF-8B08-1D3607CF3044}"/>
    <cellStyle name="Currency 4 2 4 6 3 2" xfId="26499" xr:uid="{F3ECED6B-97AD-46F7-A7CA-CFDDED6269C2}"/>
    <cellStyle name="Currency 4 2 4 6 4" xfId="20423" xr:uid="{1EE5C175-C5F2-40E3-9951-F2A27D226618}"/>
    <cellStyle name="Currency 4 2 4 7" xfId="8108" xr:uid="{D72A62D7-1B6A-4437-BA13-8652494DDAC4}"/>
    <cellStyle name="Currency 4 2 4 7 2" xfId="13316" xr:uid="{11C19454-0A4B-47D3-A88B-CA20E228E513}"/>
    <cellStyle name="Currency 4 2 4 7 2 2" xfId="27367" xr:uid="{9E3BE35E-55EC-4121-A198-84366EA0A0C2}"/>
    <cellStyle name="Currency 4 2 4 7 3" xfId="22159" xr:uid="{285C4F04-C374-4568-AA41-3133043D6F9D}"/>
    <cellStyle name="Currency 4 2 4 8" xfId="7240" xr:uid="{AB022337-DF4F-4EB0-B587-7D1B409D8E86}"/>
    <cellStyle name="Currency 4 2 4 8 2" xfId="21291" xr:uid="{1B9FBFB9-2DB5-4E53-90F9-75F7E49E4834}"/>
    <cellStyle name="Currency 4 2 4 9" xfId="10712" xr:uid="{45BD9358-31AF-4E23-A9EA-D706E22F0110}"/>
    <cellStyle name="Currency 4 2 4 9 2" xfId="24763" xr:uid="{7DC0AC77-D32A-4ABB-9637-1EA4E8D9FBD6}"/>
    <cellStyle name="Currency 4 2 5" xfId="1342" xr:uid="{B5620700-45C9-4ECE-A40C-44E1215AB3B6}"/>
    <cellStyle name="Currency 4 2 5 2" xfId="3533" xr:uid="{C866895C-237A-4B3D-A05F-E1F523A8A8FA}"/>
    <cellStyle name="Currency 4 2 5 2 2" xfId="5298" xr:uid="{A1B401B6-06EA-41C8-A9A9-5B35078BBA64}"/>
    <cellStyle name="Currency 4 2 5 2 2 2" xfId="6166" xr:uid="{1A9DC952-0253-40A5-9FF9-2E4875118913}"/>
    <cellStyle name="Currency 4 2 5 2 2 2 2" xfId="9638" xr:uid="{C4D782EC-3840-4FC9-A101-609A75C989F1}"/>
    <cellStyle name="Currency 4 2 5 2 2 2 2 2" xfId="23689" xr:uid="{FDF55BD2-9C37-4CA5-9261-35620F98B553}"/>
    <cellStyle name="Currency 4 2 5 2 2 2 3" xfId="12242" xr:uid="{B61849D1-98EE-4539-87F2-E1BF927515B0}"/>
    <cellStyle name="Currency 4 2 5 2 2 2 3 2" xfId="26293" xr:uid="{CC8BAD90-1CED-4F74-8C26-C1A1EFCDF602}"/>
    <cellStyle name="Currency 4 2 5 2 2 2 4" xfId="20217" xr:uid="{DD79786F-660F-40B9-966E-2DCFC2B5F014}"/>
    <cellStyle name="Currency 4 2 5 2 2 3" xfId="7034" xr:uid="{6ADCFAE8-519D-4BAA-90F0-ED77F98C1887}"/>
    <cellStyle name="Currency 4 2 5 2 2 3 2" xfId="10506" xr:uid="{581B509C-3AD1-4E18-B7FE-BD742DB54D06}"/>
    <cellStyle name="Currency 4 2 5 2 2 3 2 2" xfId="24557" xr:uid="{AB990382-2D50-4581-A9F5-84CAAAAF937C}"/>
    <cellStyle name="Currency 4 2 5 2 2 3 3" xfId="13110" xr:uid="{A0FE0FF4-5203-4531-B90B-397E8237042C}"/>
    <cellStyle name="Currency 4 2 5 2 2 3 3 2" xfId="27161" xr:uid="{AAFBC463-FBF7-45B0-93C7-4E47BD870A56}"/>
    <cellStyle name="Currency 4 2 5 2 2 3 4" xfId="21085" xr:uid="{B026B761-ECFA-4019-A9D5-A2AFB55222F9}"/>
    <cellStyle name="Currency 4 2 5 2 2 4" xfId="8770" xr:uid="{46F97979-04DD-4806-B493-76AE7F4A912B}"/>
    <cellStyle name="Currency 4 2 5 2 2 4 2" xfId="13978" xr:uid="{A5FFE1AA-1687-4F53-B994-10B537A0652B}"/>
    <cellStyle name="Currency 4 2 5 2 2 4 2 2" xfId="28029" xr:uid="{04FE06AA-13CB-40FA-9627-7B8D5E5A949F}"/>
    <cellStyle name="Currency 4 2 5 2 2 4 3" xfId="22821" xr:uid="{601879D9-E429-4CEC-B33C-A910FC6D12EC}"/>
    <cellStyle name="Currency 4 2 5 2 2 5" xfId="7902" xr:uid="{46CC542F-D7D3-4DC2-8533-A7F92DEFEE41}"/>
    <cellStyle name="Currency 4 2 5 2 2 5 2" xfId="21953" xr:uid="{98EB6486-9028-48E5-A9B8-48AE7CB511E9}"/>
    <cellStyle name="Currency 4 2 5 2 2 6" xfId="11374" xr:uid="{62D7DE80-F400-4088-836B-84EA46F48661}"/>
    <cellStyle name="Currency 4 2 5 2 2 6 2" xfId="25425" xr:uid="{EB752D4D-1F27-458B-B9F4-14BECCBD4B9A}"/>
    <cellStyle name="Currency 4 2 5 2 2 7" xfId="19349" xr:uid="{DF6CCC69-49C2-437D-B5BD-3FD4F02EECAC}"/>
    <cellStyle name="Currency 4 2 5 2 3" xfId="5732" xr:uid="{F62EAA60-AD62-4595-A41D-4BC905E311BF}"/>
    <cellStyle name="Currency 4 2 5 2 3 2" xfId="9204" xr:uid="{81376087-7AF2-4035-BCD0-5BFD36E27849}"/>
    <cellStyle name="Currency 4 2 5 2 3 2 2" xfId="23255" xr:uid="{E8E7C002-0AF3-4D75-B91E-4B00BCFCB8AA}"/>
    <cellStyle name="Currency 4 2 5 2 3 3" xfId="11808" xr:uid="{80993033-755D-43BA-AA4C-6D00A78B29EA}"/>
    <cellStyle name="Currency 4 2 5 2 3 3 2" xfId="25859" xr:uid="{11D6275A-81FE-4C33-81A1-78070C64DEE0}"/>
    <cellStyle name="Currency 4 2 5 2 3 4" xfId="19783" xr:uid="{9F6A60E6-9B49-471B-BB48-2BDBE2DBA256}"/>
    <cellStyle name="Currency 4 2 5 2 4" xfId="6600" xr:uid="{6997B657-BAA3-48E0-B5B2-D54F4D686A3A}"/>
    <cellStyle name="Currency 4 2 5 2 4 2" xfId="10072" xr:uid="{01D76E7F-470B-4008-A5EE-E6BCF74AD1EA}"/>
    <cellStyle name="Currency 4 2 5 2 4 2 2" xfId="24123" xr:uid="{6051C836-6BB5-49BC-90E5-6F2ED1B6BBE6}"/>
    <cellStyle name="Currency 4 2 5 2 4 3" xfId="12676" xr:uid="{49BC9AA2-A8FD-408B-91E7-385FB0AE3487}"/>
    <cellStyle name="Currency 4 2 5 2 4 3 2" xfId="26727" xr:uid="{5EE46AD6-F340-4F62-A4D9-09459A8086F8}"/>
    <cellStyle name="Currency 4 2 5 2 4 4" xfId="20651" xr:uid="{B98AB04D-6A5A-4B39-AC6B-E9B6382F6240}"/>
    <cellStyle name="Currency 4 2 5 2 5" xfId="8336" xr:uid="{CE14CB49-0519-4AE5-8FD5-269FC2BE4605}"/>
    <cellStyle name="Currency 4 2 5 2 5 2" xfId="13544" xr:uid="{A1543143-8959-4D25-94B9-FCAD2FC10F52}"/>
    <cellStyle name="Currency 4 2 5 2 5 2 2" xfId="27595" xr:uid="{22633CDA-42F5-44AA-96CE-323EEC394EDE}"/>
    <cellStyle name="Currency 4 2 5 2 5 3" xfId="22387" xr:uid="{6034A984-69E3-440F-BA9D-167434AC85A7}"/>
    <cellStyle name="Currency 4 2 5 2 6" xfId="7468" xr:uid="{638ABD02-EF90-4751-B8DF-6D3B6C2BE0F4}"/>
    <cellStyle name="Currency 4 2 5 2 6 2" xfId="21519" xr:uid="{A32AA0D6-1693-43F8-A27B-ADBBA5216D1D}"/>
    <cellStyle name="Currency 4 2 5 2 7" xfId="10940" xr:uid="{8D85C7EC-632C-4A0C-A80B-7BE7A0229D71}"/>
    <cellStyle name="Currency 4 2 5 2 7 2" xfId="24991" xr:uid="{C359A870-026D-49E2-9066-D2739FF1550C}"/>
    <cellStyle name="Currency 4 2 5 2 8" xfId="17585" xr:uid="{2D025D56-79E4-43D0-9779-9777011CAF8D}"/>
    <cellStyle name="Currency 4 2 5 3" xfId="5107" xr:uid="{6A1C66F3-7FBF-4BD3-BB83-A7F57378467A}"/>
    <cellStyle name="Currency 4 2 5 3 2" xfId="5975" xr:uid="{530C29B1-0C57-440F-B923-D9941459AB74}"/>
    <cellStyle name="Currency 4 2 5 3 2 2" xfId="9447" xr:uid="{D7A0B421-A08F-41FC-BFA0-015527ABCCC3}"/>
    <cellStyle name="Currency 4 2 5 3 2 2 2" xfId="23498" xr:uid="{271ED5F3-55D9-4909-85DA-7AED80154E85}"/>
    <cellStyle name="Currency 4 2 5 3 2 3" xfId="12051" xr:uid="{7BBD1418-173F-41FA-89A7-FB676C5EABAD}"/>
    <cellStyle name="Currency 4 2 5 3 2 3 2" xfId="26102" xr:uid="{46BCF689-47F6-4090-A443-E57F99DC93F8}"/>
    <cellStyle name="Currency 4 2 5 3 2 4" xfId="20026" xr:uid="{E072F24F-4E12-4FD4-A110-5EF791BA5781}"/>
    <cellStyle name="Currency 4 2 5 3 3" xfId="6843" xr:uid="{AEE4F111-94C1-4D8D-8096-E7B95F6441B0}"/>
    <cellStyle name="Currency 4 2 5 3 3 2" xfId="10315" xr:uid="{53EEB80A-EC59-47F8-9676-58D49E82A645}"/>
    <cellStyle name="Currency 4 2 5 3 3 2 2" xfId="24366" xr:uid="{E9E8A0F4-6927-4DE6-BA49-763C784BF0AA}"/>
    <cellStyle name="Currency 4 2 5 3 3 3" xfId="12919" xr:uid="{5D98B024-6CD4-417D-BE45-A7F50A242775}"/>
    <cellStyle name="Currency 4 2 5 3 3 3 2" xfId="26970" xr:uid="{627AEB8C-D384-4298-804A-CF8273E239A3}"/>
    <cellStyle name="Currency 4 2 5 3 3 4" xfId="20894" xr:uid="{C6A57D3D-13B1-42EA-A0B2-D6786577047D}"/>
    <cellStyle name="Currency 4 2 5 3 4" xfId="8579" xr:uid="{51A4962D-4474-4BAD-A64B-2786DF811CBD}"/>
    <cellStyle name="Currency 4 2 5 3 4 2" xfId="13787" xr:uid="{BAAB305D-6EAC-4A6E-A3E1-91E40AF73E21}"/>
    <cellStyle name="Currency 4 2 5 3 4 2 2" xfId="27838" xr:uid="{0ABB0466-B816-42FA-BEA5-0D2E4E9C9CDA}"/>
    <cellStyle name="Currency 4 2 5 3 4 3" xfId="22630" xr:uid="{4F23032F-A648-4778-8367-25245CA4F5D6}"/>
    <cellStyle name="Currency 4 2 5 3 5" xfId="7711" xr:uid="{CF6F2128-98AB-4E14-AE5C-AF10041910AC}"/>
    <cellStyle name="Currency 4 2 5 3 5 2" xfId="21762" xr:uid="{71C5E35C-6DEB-4BD8-811A-96FFDF50DDE1}"/>
    <cellStyle name="Currency 4 2 5 3 6" xfId="11183" xr:uid="{EF7D5DC8-5AFA-4E78-B83C-6519BCCFABB3}"/>
    <cellStyle name="Currency 4 2 5 3 6 2" xfId="25234" xr:uid="{C341A5BE-B909-4AF6-8D0C-88C4DA613C0C}"/>
    <cellStyle name="Currency 4 2 5 3 7" xfId="19158" xr:uid="{9D6867E6-C639-40A1-84E7-A33B1A0F8BB3}"/>
    <cellStyle name="Currency 4 2 5 4" xfId="5541" xr:uid="{CE9CE231-35C0-4DE0-81FD-DC0B234AD8FB}"/>
    <cellStyle name="Currency 4 2 5 4 2" xfId="9013" xr:uid="{8787321C-3785-4D94-A1B8-ACFFA74B96E5}"/>
    <cellStyle name="Currency 4 2 5 4 2 2" xfId="23064" xr:uid="{2449597E-9047-4EE4-BFB8-5638292F4DDF}"/>
    <cellStyle name="Currency 4 2 5 4 3" xfId="11617" xr:uid="{2C9CFDE4-952E-4622-A891-FC0DF4F5463E}"/>
    <cellStyle name="Currency 4 2 5 4 3 2" xfId="25668" xr:uid="{79115290-5611-40BB-AB7A-CAE867955CA8}"/>
    <cellStyle name="Currency 4 2 5 4 4" xfId="19592" xr:uid="{1BA22584-B96D-47AB-84DA-56FF5F56F3D1}"/>
    <cellStyle name="Currency 4 2 5 5" xfId="6409" xr:uid="{7F293D40-BA92-45AF-93A2-55EBF76A65FD}"/>
    <cellStyle name="Currency 4 2 5 5 2" xfId="9881" xr:uid="{6C83A6EC-2D52-4B9C-BDA6-9C910365B209}"/>
    <cellStyle name="Currency 4 2 5 5 2 2" xfId="23932" xr:uid="{9629939B-BF57-4535-840D-BC9A2AE68436}"/>
    <cellStyle name="Currency 4 2 5 5 3" xfId="12485" xr:uid="{5EC00105-D2BE-49B4-9C47-2322AB94BA8A}"/>
    <cellStyle name="Currency 4 2 5 5 3 2" xfId="26536" xr:uid="{4D52A0B7-1D22-4C7D-BC68-3956BBAEE20E}"/>
    <cellStyle name="Currency 4 2 5 5 4" xfId="20460" xr:uid="{473C96E5-9E57-41CA-AC4C-DB5C1B9594C2}"/>
    <cellStyle name="Currency 4 2 5 6" xfId="8145" xr:uid="{9A8DA7AE-A73B-4CDF-BCB7-BE787A4DEAFA}"/>
    <cellStyle name="Currency 4 2 5 6 2" xfId="13353" xr:uid="{51836B7C-2D90-4481-AA8B-D155F0790CEA}"/>
    <cellStyle name="Currency 4 2 5 6 2 2" xfId="27404" xr:uid="{3D4E221E-8471-4E51-BC23-AE0A27BB3F9C}"/>
    <cellStyle name="Currency 4 2 5 6 3" xfId="22196" xr:uid="{F5847E55-90A3-4D4F-89D7-74E1B14784E3}"/>
    <cellStyle name="Currency 4 2 5 7" xfId="7277" xr:uid="{93E654B2-905D-4EA3-9123-012B3E854698}"/>
    <cellStyle name="Currency 4 2 5 7 2" xfId="21328" xr:uid="{C1C84D71-3E19-44F9-8714-D4CD822297FA}"/>
    <cellStyle name="Currency 4 2 5 8" xfId="10749" xr:uid="{C6835A26-138B-4688-8CAC-7763020AF765}"/>
    <cellStyle name="Currency 4 2 5 8 2" xfId="24800" xr:uid="{BF799374-E697-4F44-A679-0CC84471B080}"/>
    <cellStyle name="Currency 4 2 5 9" xfId="15391" xr:uid="{59222A2D-BB68-4E52-B5B8-D8D66DF47087}"/>
    <cellStyle name="Currency 4 2 6" xfId="2434" xr:uid="{82501011-490E-48C6-A7E7-A07AFD6379BB}"/>
    <cellStyle name="Currency 4 2 6 2" xfId="5202" xr:uid="{E6D0270A-776F-4CF1-83E9-FD2DAC5A9539}"/>
    <cellStyle name="Currency 4 2 6 2 2" xfId="6070" xr:uid="{AF7E5E3B-042D-41B8-96AC-A99D1C410D8A}"/>
    <cellStyle name="Currency 4 2 6 2 2 2" xfId="9542" xr:uid="{72B4718D-0456-454F-BC52-3DE3F2930A94}"/>
    <cellStyle name="Currency 4 2 6 2 2 2 2" xfId="23593" xr:uid="{3BF31000-6250-44FB-AE72-FB58EE738FB0}"/>
    <cellStyle name="Currency 4 2 6 2 2 3" xfId="12146" xr:uid="{03AED2C7-963F-4AF5-A768-F28FC2CCC648}"/>
    <cellStyle name="Currency 4 2 6 2 2 3 2" xfId="26197" xr:uid="{6AFE587C-0D0E-4B77-81DA-B862CEEFC080}"/>
    <cellStyle name="Currency 4 2 6 2 2 4" xfId="20121" xr:uid="{F74AF1B4-747F-4A1B-A917-AC1BA19F6B6F}"/>
    <cellStyle name="Currency 4 2 6 2 3" xfId="6938" xr:uid="{F08B6ED4-9E82-492E-B708-AA49C44CADE3}"/>
    <cellStyle name="Currency 4 2 6 2 3 2" xfId="10410" xr:uid="{F1DF6C01-F457-4398-9AA0-183C938EC5AE}"/>
    <cellStyle name="Currency 4 2 6 2 3 2 2" xfId="24461" xr:uid="{52A48272-2379-481D-9DFF-DA76EEB9E862}"/>
    <cellStyle name="Currency 4 2 6 2 3 3" xfId="13014" xr:uid="{15D01185-7AD2-4A81-AED7-F97143695684}"/>
    <cellStyle name="Currency 4 2 6 2 3 3 2" xfId="27065" xr:uid="{DC458F57-3145-4B6B-BA81-979344C290EB}"/>
    <cellStyle name="Currency 4 2 6 2 3 4" xfId="20989" xr:uid="{57B77645-3F8A-4658-B072-F3A3D7F0E666}"/>
    <cellStyle name="Currency 4 2 6 2 4" xfId="8674" xr:uid="{8161D1A4-A223-4A95-A16C-2FD288709BAE}"/>
    <cellStyle name="Currency 4 2 6 2 4 2" xfId="13882" xr:uid="{FBF7CA1E-BD29-4312-B3E2-ECC37C633A1F}"/>
    <cellStyle name="Currency 4 2 6 2 4 2 2" xfId="27933" xr:uid="{29E0CEAC-1BCF-46FF-BAE1-4058249B4CE4}"/>
    <cellStyle name="Currency 4 2 6 2 4 3" xfId="22725" xr:uid="{3659E656-4CAC-457C-9F14-043DBFA785AF}"/>
    <cellStyle name="Currency 4 2 6 2 5" xfId="7806" xr:uid="{10053432-FD77-41FD-B8F1-1F792C4969B3}"/>
    <cellStyle name="Currency 4 2 6 2 5 2" xfId="21857" xr:uid="{BB2B9CCC-D1AA-4560-A312-85049B9E07F2}"/>
    <cellStyle name="Currency 4 2 6 2 6" xfId="11278" xr:uid="{7858F93A-A3BE-4387-97E8-A6D5DD0533F6}"/>
    <cellStyle name="Currency 4 2 6 2 6 2" xfId="25329" xr:uid="{2C9C251E-DCE8-4F0A-97BE-7BB911D9B92F}"/>
    <cellStyle name="Currency 4 2 6 2 7" xfId="19253" xr:uid="{0892165B-DACD-48AF-8681-EC0DC9EAF531}"/>
    <cellStyle name="Currency 4 2 6 3" xfId="5636" xr:uid="{759F36CF-7DD6-46CA-86BC-0D0F28FD3F83}"/>
    <cellStyle name="Currency 4 2 6 3 2" xfId="9108" xr:uid="{1ECABF8B-2ED3-49A6-B407-4B939767CEBA}"/>
    <cellStyle name="Currency 4 2 6 3 2 2" xfId="23159" xr:uid="{B1F25B0A-EB4F-403E-807E-07525B4673C7}"/>
    <cellStyle name="Currency 4 2 6 3 3" xfId="11712" xr:uid="{DEE42FE1-9A13-434B-B16E-0DB266FD70C8}"/>
    <cellStyle name="Currency 4 2 6 3 3 2" xfId="25763" xr:uid="{4C9B1964-ABBE-4DF6-AC25-1225A1BCE0CE}"/>
    <cellStyle name="Currency 4 2 6 3 4" xfId="19687" xr:uid="{D60118FD-64DE-4643-AE45-BAE2FCAF6DEE}"/>
    <cellStyle name="Currency 4 2 6 4" xfId="6504" xr:uid="{5962E195-6687-4FA5-89C2-856D277C2E06}"/>
    <cellStyle name="Currency 4 2 6 4 2" xfId="9976" xr:uid="{416F0EC7-1D99-47C6-B70E-06CBE8494326}"/>
    <cellStyle name="Currency 4 2 6 4 2 2" xfId="24027" xr:uid="{36735DC7-29A0-43B4-B4C1-D8353819A3F3}"/>
    <cellStyle name="Currency 4 2 6 4 3" xfId="12580" xr:uid="{9AFF5812-7680-4CF9-831A-40ED6873841E}"/>
    <cellStyle name="Currency 4 2 6 4 3 2" xfId="26631" xr:uid="{312926AB-49BD-4470-98D9-833A0695C44B}"/>
    <cellStyle name="Currency 4 2 6 4 4" xfId="20555" xr:uid="{379D3F10-1473-4896-BB59-058A06482B1D}"/>
    <cellStyle name="Currency 4 2 6 5" xfId="8240" xr:uid="{024B895C-8EA0-4C51-8887-02F14ACE0D8B}"/>
    <cellStyle name="Currency 4 2 6 5 2" xfId="13448" xr:uid="{89064F7C-81AA-4514-B576-2900570F620F}"/>
    <cellStyle name="Currency 4 2 6 5 2 2" xfId="27499" xr:uid="{D6D550D4-8FB4-4972-A239-31AB8BAEB423}"/>
    <cellStyle name="Currency 4 2 6 5 3" xfId="22291" xr:uid="{FA0A8B6D-040E-4F4A-BB20-35FFF4C9E2C9}"/>
    <cellStyle name="Currency 4 2 6 6" xfId="7372" xr:uid="{117D705C-33D9-432B-8ADC-090D980FE19E}"/>
    <cellStyle name="Currency 4 2 6 6 2" xfId="21423" xr:uid="{60EB82FB-C5FB-4ACC-8598-7279A99C5FFE}"/>
    <cellStyle name="Currency 4 2 6 7" xfId="10844" xr:uid="{A82A4BD9-7373-4CF5-81D5-B4536E852671}"/>
    <cellStyle name="Currency 4 2 6 7 2" xfId="24895" xr:uid="{DF7653FB-B50F-4ACA-9DFC-51AEB93986B7}"/>
    <cellStyle name="Currency 4 2 6 8" xfId="16485" xr:uid="{7F78B857-78A9-48F6-A3A6-2BF158BD3D93}"/>
    <cellStyle name="Currency 4 2 7" xfId="4627" xr:uid="{88CFE205-5F6F-4819-BE3A-1ECB741C301E}"/>
    <cellStyle name="Currency 4 2 7 2" xfId="5393" xr:uid="{70079BA1-477D-4057-9FCD-D44793974711}"/>
    <cellStyle name="Currency 4 2 7 2 2" xfId="6261" xr:uid="{BF1B41A7-5B6D-40CD-8E88-B2AD636E65C1}"/>
    <cellStyle name="Currency 4 2 7 2 2 2" xfId="9733" xr:uid="{CEB457AD-1A72-4BB2-8459-C33A175B9D87}"/>
    <cellStyle name="Currency 4 2 7 2 2 2 2" xfId="23784" xr:uid="{D1DCDC6D-F1BA-4D80-BFB6-92541E1F8534}"/>
    <cellStyle name="Currency 4 2 7 2 2 3" xfId="12337" xr:uid="{9BC559B8-DE27-4646-B5DC-87A92ADA36D7}"/>
    <cellStyle name="Currency 4 2 7 2 2 3 2" xfId="26388" xr:uid="{0D67AE5E-3909-449E-A1C4-92C0E1C28CE5}"/>
    <cellStyle name="Currency 4 2 7 2 2 4" xfId="20312" xr:uid="{79DA793E-DA21-4B05-8A9C-62AEC247BD72}"/>
    <cellStyle name="Currency 4 2 7 2 3" xfId="7129" xr:uid="{19F3477B-68D7-4390-B76F-4CB3C7D1D998}"/>
    <cellStyle name="Currency 4 2 7 2 3 2" xfId="10601" xr:uid="{ABBBB688-F7AF-4371-A2FD-A4B764F2ADAA}"/>
    <cellStyle name="Currency 4 2 7 2 3 2 2" xfId="24652" xr:uid="{BDBAB078-9BB7-4927-80C4-1A931F376E29}"/>
    <cellStyle name="Currency 4 2 7 2 3 3" xfId="13205" xr:uid="{E7084419-475F-48C7-8D0F-C778AF5A0994}"/>
    <cellStyle name="Currency 4 2 7 2 3 3 2" xfId="27256" xr:uid="{28BE017A-11A7-4E14-A32D-D259408B94C9}"/>
    <cellStyle name="Currency 4 2 7 2 3 4" xfId="21180" xr:uid="{C030CB8C-711D-4348-A365-29940FF32BA2}"/>
    <cellStyle name="Currency 4 2 7 2 4" xfId="8865" xr:uid="{411A03C3-DB17-47D1-A6F1-634B899BCDD2}"/>
    <cellStyle name="Currency 4 2 7 2 4 2" xfId="14073" xr:uid="{AF9E5F97-C568-44C6-B728-6F47058E6C1D}"/>
    <cellStyle name="Currency 4 2 7 2 4 2 2" xfId="28124" xr:uid="{C48B2C37-E3E9-41C3-8888-049A28907366}"/>
    <cellStyle name="Currency 4 2 7 2 4 3" xfId="22916" xr:uid="{448A5540-E29E-41AA-9B56-ADF3F00F7183}"/>
    <cellStyle name="Currency 4 2 7 2 5" xfId="7997" xr:uid="{89E781E1-D8A1-4893-A92D-3A27F85A128C}"/>
    <cellStyle name="Currency 4 2 7 2 5 2" xfId="22048" xr:uid="{19CD37F2-C798-47C6-9427-2EF3613413D2}"/>
    <cellStyle name="Currency 4 2 7 2 6" xfId="11469" xr:uid="{DFFAA0E6-9AC9-41A2-9C8A-71A98F171FB4}"/>
    <cellStyle name="Currency 4 2 7 2 6 2" xfId="25520" xr:uid="{E453691A-05BA-4021-ACE6-7F9213D69D5E}"/>
    <cellStyle name="Currency 4 2 7 2 7" xfId="19444" xr:uid="{F3E4B997-E9E7-46F3-88E9-55CBAC874711}"/>
    <cellStyle name="Currency 4 2 7 3" xfId="5827" xr:uid="{E3F243EA-0223-44EB-AC9C-FB3FAC6658BB}"/>
    <cellStyle name="Currency 4 2 7 3 2" xfId="9299" xr:uid="{87622C82-D426-4021-9ABF-88F5006FB546}"/>
    <cellStyle name="Currency 4 2 7 3 2 2" xfId="23350" xr:uid="{3CC7EA9D-5422-41EC-8F8C-E3BDE1D3AAC6}"/>
    <cellStyle name="Currency 4 2 7 3 3" xfId="11903" xr:uid="{7C2EC80C-C284-4F08-B5CE-13D79E516C63}"/>
    <cellStyle name="Currency 4 2 7 3 3 2" xfId="25954" xr:uid="{5AACF8A9-B3D8-4B92-BC33-C98A1A312B53}"/>
    <cellStyle name="Currency 4 2 7 3 4" xfId="19878" xr:uid="{2D7E49CE-BF94-4902-9512-0C14E9F73B01}"/>
    <cellStyle name="Currency 4 2 7 4" xfId="6695" xr:uid="{B3B750F1-FE61-4CEB-8C64-F3A5E5904B1D}"/>
    <cellStyle name="Currency 4 2 7 4 2" xfId="10167" xr:uid="{EBD3D3E0-4D90-4E7E-BB48-58A52FE3E6CF}"/>
    <cellStyle name="Currency 4 2 7 4 2 2" xfId="24218" xr:uid="{6BEF3EBE-4749-40A4-AECD-3666C4B60C24}"/>
    <cellStyle name="Currency 4 2 7 4 3" xfId="12771" xr:uid="{D7A6B98F-3D29-4685-BD27-D5A00B1A2AE3}"/>
    <cellStyle name="Currency 4 2 7 4 3 2" xfId="26822" xr:uid="{BD7B2A97-676A-448F-8BE7-AC00C173835C}"/>
    <cellStyle name="Currency 4 2 7 4 4" xfId="20746" xr:uid="{0ACF899C-F52E-4114-B1EB-F7147D0A0E78}"/>
    <cellStyle name="Currency 4 2 7 5" xfId="8431" xr:uid="{FECB91E0-9EB0-42C5-AC01-E5C587215BBE}"/>
    <cellStyle name="Currency 4 2 7 5 2" xfId="13639" xr:uid="{E722B9FB-A5E0-49E7-9D87-3A40911DC286}"/>
    <cellStyle name="Currency 4 2 7 5 2 2" xfId="27690" xr:uid="{B5E1D87D-710A-4487-A896-C2E553610749}"/>
    <cellStyle name="Currency 4 2 7 5 3" xfId="22482" xr:uid="{49790368-C24C-457A-9972-F945DFB6FAF1}"/>
    <cellStyle name="Currency 4 2 7 6" xfId="7563" xr:uid="{0D2EF138-9BEA-4887-B3A0-7D11464883D2}"/>
    <cellStyle name="Currency 4 2 7 6 2" xfId="21614" xr:uid="{EECF7B18-EF23-4882-AFE1-5473E0184540}"/>
    <cellStyle name="Currency 4 2 7 7" xfId="11035" xr:uid="{44FD823B-3C03-468C-BA8E-276437627519}"/>
    <cellStyle name="Currency 4 2 7 7 2" xfId="25086" xr:uid="{076EF136-2891-4F31-BB6A-A56FD960BF71}"/>
    <cellStyle name="Currency 4 2 7 8" xfId="18679" xr:uid="{EC14D465-489A-4534-8C04-343E694FBA0E}"/>
    <cellStyle name="Currency 4 2 8" xfId="5007" xr:uid="{693319AD-A2F6-425C-B97B-89C6C2D5CBA0}"/>
    <cellStyle name="Currency 4 2 8 2" xfId="5875" xr:uid="{D63FA80C-48A2-4B20-ABE8-62D872C15338}"/>
    <cellStyle name="Currency 4 2 8 2 2" xfId="9347" xr:uid="{9DE4E82F-9B4C-4369-9E97-2601151CA0AA}"/>
    <cellStyle name="Currency 4 2 8 2 2 2" xfId="23398" xr:uid="{2CBBF1E1-DCC6-4D74-8117-807C2337F21B}"/>
    <cellStyle name="Currency 4 2 8 2 3" xfId="11951" xr:uid="{FFCEC674-F8D1-41DD-AED6-F1BCEE54E377}"/>
    <cellStyle name="Currency 4 2 8 2 3 2" xfId="26002" xr:uid="{CE648CA0-4BA4-483F-B81F-C368B965B42C}"/>
    <cellStyle name="Currency 4 2 8 2 4" xfId="19926" xr:uid="{8E7C8E9D-3812-4BDA-808B-C5854059AFD1}"/>
    <cellStyle name="Currency 4 2 8 3" xfId="6743" xr:uid="{5ECA1C77-C6B5-4A4B-B871-109321923FBD}"/>
    <cellStyle name="Currency 4 2 8 3 2" xfId="10215" xr:uid="{62511C8C-D6E4-4394-9DC5-CD530E427407}"/>
    <cellStyle name="Currency 4 2 8 3 2 2" xfId="24266" xr:uid="{000A54B8-DA17-4EA2-B750-80C5C521BBD7}"/>
    <cellStyle name="Currency 4 2 8 3 3" xfId="12819" xr:uid="{00A6E279-1870-4509-9030-EBD4FD41505E}"/>
    <cellStyle name="Currency 4 2 8 3 3 2" xfId="26870" xr:uid="{2B2D7D54-D32B-466B-92FA-FDF09EAFE22E}"/>
    <cellStyle name="Currency 4 2 8 3 4" xfId="20794" xr:uid="{25F72878-9A79-4544-9941-A3AFC2139D9C}"/>
    <cellStyle name="Currency 4 2 8 4" xfId="8479" xr:uid="{A08FA947-CCD1-4ABF-81DB-0A1FFD764D8D}"/>
    <cellStyle name="Currency 4 2 8 4 2" xfId="13687" xr:uid="{85BFA219-B519-42AD-A94C-FD76AA372B08}"/>
    <cellStyle name="Currency 4 2 8 4 2 2" xfId="27738" xr:uid="{72AE6598-7E79-44B8-B96E-16CDC7192BE4}"/>
    <cellStyle name="Currency 4 2 8 4 3" xfId="22530" xr:uid="{5876ABE9-E63E-49DD-8EDA-C6F26BA3E955}"/>
    <cellStyle name="Currency 4 2 8 5" xfId="7611" xr:uid="{21D4B948-3D4B-45F2-B5FE-E526437EA7AF}"/>
    <cellStyle name="Currency 4 2 8 5 2" xfId="21662" xr:uid="{FC9D2FFA-19A3-4143-BF11-39BD3787B818}"/>
    <cellStyle name="Currency 4 2 8 6" xfId="11083" xr:uid="{55032F61-DE4D-4732-9ECD-D2EB9DF6C1EE}"/>
    <cellStyle name="Currency 4 2 8 6 2" xfId="25134" xr:uid="{5C3F1869-7454-46F3-9F47-92D2F314822A}"/>
    <cellStyle name="Currency 4 2 8 7" xfId="19058" xr:uid="{EBF2F7A8-76F1-4317-AF79-9A1BA9CAC29B}"/>
    <cellStyle name="Currency 4 2 9" xfId="5441" xr:uid="{ADB1BA6D-E22A-4626-B476-D4A92867E254}"/>
    <cellStyle name="Currency 4 2 9 2" xfId="8913" xr:uid="{5593544D-ED32-45C8-87C0-1686A4CA82AC}"/>
    <cellStyle name="Currency 4 2 9 2 2" xfId="22964" xr:uid="{0D7FEA3E-AF69-4ED8-A06C-B86BF57973DC}"/>
    <cellStyle name="Currency 4 2 9 3" xfId="11517" xr:uid="{566490E3-EBAE-4D96-B0C5-42206BD37B00}"/>
    <cellStyle name="Currency 4 2 9 3 2" xfId="25568" xr:uid="{6E2A4CC6-029E-44EF-ACF4-38438B18A76F}"/>
    <cellStyle name="Currency 4 2 9 4" xfId="19492" xr:uid="{A1B59BFD-26E2-41EB-BBA1-BD6B8597D23B}"/>
    <cellStyle name="Currency 4 3" xfId="174" xr:uid="{7906293A-78B8-436F-9BE6-2A446B0D4962}"/>
    <cellStyle name="Currency 4 3 10" xfId="6304" xr:uid="{1FABDDC7-27F8-4817-B046-FF8F1E1A45DF}"/>
    <cellStyle name="Currency 4 3 10 2" xfId="9776" xr:uid="{12BA136A-BFED-42AC-84ED-1CA0393D6984}"/>
    <cellStyle name="Currency 4 3 10 2 2" xfId="23827" xr:uid="{93BA3EF7-2D41-4AD1-A9BB-F5CB7A3363DE}"/>
    <cellStyle name="Currency 4 3 10 3" xfId="12380" xr:uid="{B8F4202B-D110-47C6-B1F6-A41126208A2F}"/>
    <cellStyle name="Currency 4 3 10 3 2" xfId="26431" xr:uid="{A86F6E2B-BC89-4BD0-8F78-177B1511C4AC}"/>
    <cellStyle name="Currency 4 3 10 4" xfId="20355" xr:uid="{748BD7E7-AF4D-4EAC-B12D-84F26DF24573}"/>
    <cellStyle name="Currency 4 3 11" xfId="8040" xr:uid="{7BF9F8AC-7829-4568-B2E5-AFDE02924063}"/>
    <cellStyle name="Currency 4 3 11 2" xfId="13248" xr:uid="{459D7364-313A-43E2-9168-73EDDB21381B}"/>
    <cellStyle name="Currency 4 3 11 2 2" xfId="27299" xr:uid="{90ACB41A-71D4-4B47-AAC2-16C89FAFB32F}"/>
    <cellStyle name="Currency 4 3 11 3" xfId="22091" xr:uid="{12CF85A5-C305-4BD6-8245-27FDD59AFD46}"/>
    <cellStyle name="Currency 4 3 12" xfId="7172" xr:uid="{4927F7D2-6391-4CFB-AA59-53A2011B0300}"/>
    <cellStyle name="Currency 4 3 12 2" xfId="21223" xr:uid="{5B89911B-CA83-4266-93F3-3C5A84FFFE8F}"/>
    <cellStyle name="Currency 4 3 13" xfId="10644" xr:uid="{5F26EC66-DE23-465A-9237-FD1B1361076E}"/>
    <cellStyle name="Currency 4 3 13 2" xfId="24695" xr:uid="{56C32698-17F8-4873-B3B6-8564EA407E6C}"/>
    <cellStyle name="Currency 4 3 14" xfId="14233" xr:uid="{9BA3F8F9-D6A7-475F-BF00-6FF0E5BEBDB9}"/>
    <cellStyle name="Currency 4 3 2" xfId="351" xr:uid="{F5C41ADC-B8EA-45F2-B123-BCEE3CD3F594}"/>
    <cellStyle name="Currency 4 3 2 10" xfId="8056" xr:uid="{C253AC41-CAF4-443A-B1B5-DF3ABB1FA07A}"/>
    <cellStyle name="Currency 4 3 2 10 2" xfId="13264" xr:uid="{8C2C76BF-E68C-40FD-9224-CB57BFA4ABF9}"/>
    <cellStyle name="Currency 4 3 2 10 2 2" xfId="27315" xr:uid="{49B07475-5911-4637-B3A0-DA9C4C8B7001}"/>
    <cellStyle name="Currency 4 3 2 10 3" xfId="22107" xr:uid="{D3A5ABB7-12C1-4FB2-AA07-D979E2C69501}"/>
    <cellStyle name="Currency 4 3 2 11" xfId="7188" xr:uid="{0B6017C9-FE10-4D09-A5B9-2A3B44C084D3}"/>
    <cellStyle name="Currency 4 3 2 11 2" xfId="21239" xr:uid="{80582ADE-CF44-4CF4-962B-A9EEF39F8ED8}"/>
    <cellStyle name="Currency 4 3 2 12" xfId="10660" xr:uid="{E3ADEB32-2A89-4B3E-AB9F-A0305D00AD29}"/>
    <cellStyle name="Currency 4 3 2 12 2" xfId="24711" xr:uid="{550F90E4-92CA-48BD-AD32-2768DC232568}"/>
    <cellStyle name="Currency 4 3 2 13" xfId="14408" xr:uid="{2A47EAE8-9FC1-4D15-B895-0DF1F95CFE5A}"/>
    <cellStyle name="Currency 4 3 2 2" xfId="705" xr:uid="{FF0C2C2D-9943-420C-B227-2A2075E19559}"/>
    <cellStyle name="Currency 4 3 2 2 10" xfId="14756" xr:uid="{744E2433-CF2C-4DFB-9DEF-58FDB9FFD421}"/>
    <cellStyle name="Currency 4 3 2 2 2" xfId="1806" xr:uid="{9FD3C4FD-34E8-46F5-B943-5E280E6F1191}"/>
    <cellStyle name="Currency 4 3 2 2 2 2" xfId="3995" xr:uid="{BCB51339-B233-465C-85D0-0E71CD181B19}"/>
    <cellStyle name="Currency 4 3 2 2 2 2 2" xfId="5338" xr:uid="{400587C8-001C-46DD-9A7C-61508B50E75A}"/>
    <cellStyle name="Currency 4 3 2 2 2 2 2 2" xfId="6206" xr:uid="{95BECA59-F1C9-4AC7-BC05-870E66E814AA}"/>
    <cellStyle name="Currency 4 3 2 2 2 2 2 2 2" xfId="9678" xr:uid="{1E229899-B783-41A5-8F95-CC6CAAA6B0A7}"/>
    <cellStyle name="Currency 4 3 2 2 2 2 2 2 2 2" xfId="23729" xr:uid="{371CADF8-E750-4523-BD5F-A57ABEB6511F}"/>
    <cellStyle name="Currency 4 3 2 2 2 2 2 2 3" xfId="12282" xr:uid="{56F731AF-6BF2-417F-8927-771513F845C1}"/>
    <cellStyle name="Currency 4 3 2 2 2 2 2 2 3 2" xfId="26333" xr:uid="{3693F521-7A20-49A7-A45F-8204EA472EC3}"/>
    <cellStyle name="Currency 4 3 2 2 2 2 2 2 4" xfId="20257" xr:uid="{749EF029-172C-46EA-AB40-6BFE2BD13EF9}"/>
    <cellStyle name="Currency 4 3 2 2 2 2 2 3" xfId="7074" xr:uid="{6DF52332-60CB-4103-B5D5-838494C05AAC}"/>
    <cellStyle name="Currency 4 3 2 2 2 2 2 3 2" xfId="10546" xr:uid="{F1965DB7-39B7-43D9-B3CC-CE4CBF0D98D1}"/>
    <cellStyle name="Currency 4 3 2 2 2 2 2 3 2 2" xfId="24597" xr:uid="{82AB615A-D0CE-4B9A-86A7-BFA80E99F392}"/>
    <cellStyle name="Currency 4 3 2 2 2 2 2 3 3" xfId="13150" xr:uid="{158863AA-472C-4F44-B998-492D3E892A4A}"/>
    <cellStyle name="Currency 4 3 2 2 2 2 2 3 3 2" xfId="27201" xr:uid="{7B79610D-2E22-4BCE-9B19-A4843FBCE0C9}"/>
    <cellStyle name="Currency 4 3 2 2 2 2 2 3 4" xfId="21125" xr:uid="{1476B684-D8EA-4C4E-8149-426B3470A7B1}"/>
    <cellStyle name="Currency 4 3 2 2 2 2 2 4" xfId="8810" xr:uid="{4838BD27-4832-4879-809C-4C4BBAE54F24}"/>
    <cellStyle name="Currency 4 3 2 2 2 2 2 4 2" xfId="14018" xr:uid="{2D80E615-2B8F-4C54-91F7-9EF3E9A4EF79}"/>
    <cellStyle name="Currency 4 3 2 2 2 2 2 4 2 2" xfId="28069" xr:uid="{31BC9921-ADCF-468B-8AC0-ED9A971C79B7}"/>
    <cellStyle name="Currency 4 3 2 2 2 2 2 4 3" xfId="22861" xr:uid="{24A6D18B-880D-41E5-9356-B07300199376}"/>
    <cellStyle name="Currency 4 3 2 2 2 2 2 5" xfId="7942" xr:uid="{24A87608-B94E-4A48-BA76-ECE247E9B4B3}"/>
    <cellStyle name="Currency 4 3 2 2 2 2 2 5 2" xfId="21993" xr:uid="{7ED7B786-2699-4259-A0E1-9D74F74F2681}"/>
    <cellStyle name="Currency 4 3 2 2 2 2 2 6" xfId="11414" xr:uid="{710E0401-298D-4EE4-94DA-640C5AB200FB}"/>
    <cellStyle name="Currency 4 3 2 2 2 2 2 6 2" xfId="25465" xr:uid="{16F986B8-5947-4C04-9668-9FA51C5E8AFF}"/>
    <cellStyle name="Currency 4 3 2 2 2 2 2 7" xfId="19389" xr:uid="{90F56141-BDE7-4EA3-97BE-63AF8B070855}"/>
    <cellStyle name="Currency 4 3 2 2 2 2 3" xfId="5772" xr:uid="{ADBF385C-284D-4B46-8DAE-3B80BA86BBEC}"/>
    <cellStyle name="Currency 4 3 2 2 2 2 3 2" xfId="9244" xr:uid="{5A2FE7A4-6009-4EB0-BA94-F0E6A9DBF513}"/>
    <cellStyle name="Currency 4 3 2 2 2 2 3 2 2" xfId="23295" xr:uid="{09B24624-0103-495E-8AC8-8BC87601AAA4}"/>
    <cellStyle name="Currency 4 3 2 2 2 2 3 3" xfId="11848" xr:uid="{6DBB0B2B-3F6C-4519-B217-D6FC4651E0A1}"/>
    <cellStyle name="Currency 4 3 2 2 2 2 3 3 2" xfId="25899" xr:uid="{A5993CF9-FAE4-41FA-926A-3972146DE054}"/>
    <cellStyle name="Currency 4 3 2 2 2 2 3 4" xfId="19823" xr:uid="{BAD3E1E9-8ADA-4E1C-937C-A52EF0475F4F}"/>
    <cellStyle name="Currency 4 3 2 2 2 2 4" xfId="6640" xr:uid="{845CE390-341E-4B64-AD02-42FDC96136EC}"/>
    <cellStyle name="Currency 4 3 2 2 2 2 4 2" xfId="10112" xr:uid="{BF9A857A-5ED1-4D1C-8FD0-146440D9E607}"/>
    <cellStyle name="Currency 4 3 2 2 2 2 4 2 2" xfId="24163" xr:uid="{D1491885-5CA9-4A1E-B8B2-C667E8B75640}"/>
    <cellStyle name="Currency 4 3 2 2 2 2 4 3" xfId="12716" xr:uid="{0542CDEE-7411-4F8C-99B2-6AE4CDD85D37}"/>
    <cellStyle name="Currency 4 3 2 2 2 2 4 3 2" xfId="26767" xr:uid="{D1E07012-6A19-44C6-8624-E2B58F193A65}"/>
    <cellStyle name="Currency 4 3 2 2 2 2 4 4" xfId="20691" xr:uid="{74EB7F50-0287-45A5-80D1-290B96537CC1}"/>
    <cellStyle name="Currency 4 3 2 2 2 2 5" xfId="8376" xr:uid="{7F7B6E7D-178A-4578-B14D-0FB34BBF0211}"/>
    <cellStyle name="Currency 4 3 2 2 2 2 5 2" xfId="13584" xr:uid="{4ED01375-DDAF-447C-8129-66A055C8AC70}"/>
    <cellStyle name="Currency 4 3 2 2 2 2 5 2 2" xfId="27635" xr:uid="{D85586B4-CD0C-493C-88B5-B56E23F0939A}"/>
    <cellStyle name="Currency 4 3 2 2 2 2 5 3" xfId="22427" xr:uid="{A7C8F32E-F0E2-4019-AC9F-AEE57EB06C5B}"/>
    <cellStyle name="Currency 4 3 2 2 2 2 6" xfId="7508" xr:uid="{3E3B147A-5022-448B-BE55-BA5131882E5C}"/>
    <cellStyle name="Currency 4 3 2 2 2 2 6 2" xfId="21559" xr:uid="{3A992F91-4F1A-4C82-9DDF-C3AFEB2E3B89}"/>
    <cellStyle name="Currency 4 3 2 2 2 2 7" xfId="10980" xr:uid="{5F089D66-D4E4-46B2-AF48-F098A02BF8C2}"/>
    <cellStyle name="Currency 4 3 2 2 2 2 7 2" xfId="25031" xr:uid="{54CF11D8-55CB-4B19-BF13-81E07049BC00}"/>
    <cellStyle name="Currency 4 3 2 2 2 2 8" xfId="18047" xr:uid="{16B0D680-8E3C-405C-A65A-48587CFC5F0C}"/>
    <cellStyle name="Currency 4 3 2 2 2 3" xfId="5148" xr:uid="{A1F0A0AC-6D90-43A9-968D-7BE63BE359E3}"/>
    <cellStyle name="Currency 4 3 2 2 2 3 2" xfId="6016" xr:uid="{98D288C6-9E76-402E-8043-32A84CF08E90}"/>
    <cellStyle name="Currency 4 3 2 2 2 3 2 2" xfId="9488" xr:uid="{D0E1389B-BCD2-40A1-81D9-19E994BF360F}"/>
    <cellStyle name="Currency 4 3 2 2 2 3 2 2 2" xfId="23539" xr:uid="{9B644458-F9FA-48E5-B740-CB46AF727FA7}"/>
    <cellStyle name="Currency 4 3 2 2 2 3 2 3" xfId="12092" xr:uid="{4CECF894-AF3C-4407-9B8D-A8B1CAF9B8E8}"/>
    <cellStyle name="Currency 4 3 2 2 2 3 2 3 2" xfId="26143" xr:uid="{51C9B36C-F3DC-4DF8-9CEE-5B95390BD1AE}"/>
    <cellStyle name="Currency 4 3 2 2 2 3 2 4" xfId="20067" xr:uid="{21EB9BBD-89A0-4A2B-8351-CC9AF4B749AB}"/>
    <cellStyle name="Currency 4 3 2 2 2 3 3" xfId="6884" xr:uid="{2BF756CC-F537-48E9-8326-1535F6BA158B}"/>
    <cellStyle name="Currency 4 3 2 2 2 3 3 2" xfId="10356" xr:uid="{48030E35-2FC2-479C-9DEA-603B5635CFE6}"/>
    <cellStyle name="Currency 4 3 2 2 2 3 3 2 2" xfId="24407" xr:uid="{EAE3791E-AB3C-4A0F-8466-552D6F90D0CC}"/>
    <cellStyle name="Currency 4 3 2 2 2 3 3 3" xfId="12960" xr:uid="{23B50443-078D-4F07-BB36-C93222A73238}"/>
    <cellStyle name="Currency 4 3 2 2 2 3 3 3 2" xfId="27011" xr:uid="{D36D45A5-38CE-4533-9E70-CE2F1D993558}"/>
    <cellStyle name="Currency 4 3 2 2 2 3 3 4" xfId="20935" xr:uid="{42066D53-1359-4695-81F6-BE38C5769FC6}"/>
    <cellStyle name="Currency 4 3 2 2 2 3 4" xfId="8620" xr:uid="{F54DAFE0-DC75-4875-98A6-3B10DB4D94DF}"/>
    <cellStyle name="Currency 4 3 2 2 2 3 4 2" xfId="13828" xr:uid="{5797CD56-7F2A-4D6F-9D66-229C54FF4787}"/>
    <cellStyle name="Currency 4 3 2 2 2 3 4 2 2" xfId="27879" xr:uid="{11FEC734-20F7-4646-81F7-1727AD5B5E2A}"/>
    <cellStyle name="Currency 4 3 2 2 2 3 4 3" xfId="22671" xr:uid="{8B25DBCF-3FD6-4D09-AE91-E72FD28D5ED5}"/>
    <cellStyle name="Currency 4 3 2 2 2 3 5" xfId="7752" xr:uid="{03EAF35B-E201-4EB3-813D-1F5485FB4384}"/>
    <cellStyle name="Currency 4 3 2 2 2 3 5 2" xfId="21803" xr:uid="{04DFF2FE-5488-4A3B-B0C6-80569733C6AB}"/>
    <cellStyle name="Currency 4 3 2 2 2 3 6" xfId="11224" xr:uid="{FE749588-A0D8-4764-9C8A-83B15D7CCA48}"/>
    <cellStyle name="Currency 4 3 2 2 2 3 6 2" xfId="25275" xr:uid="{F2C2C1B3-277B-45E7-BE0D-523C15E40793}"/>
    <cellStyle name="Currency 4 3 2 2 2 3 7" xfId="19199" xr:uid="{D14E5AFB-631F-4B1F-AAA2-458309EA1AD9}"/>
    <cellStyle name="Currency 4 3 2 2 2 4" xfId="5582" xr:uid="{3EC171EB-17A7-4C55-A705-6D18FBC83186}"/>
    <cellStyle name="Currency 4 3 2 2 2 4 2" xfId="9054" xr:uid="{8EFACA50-285A-497C-A1AE-1C74796150FB}"/>
    <cellStyle name="Currency 4 3 2 2 2 4 2 2" xfId="23105" xr:uid="{94584C52-B126-4DC4-AC1B-6C3243EF7DB1}"/>
    <cellStyle name="Currency 4 3 2 2 2 4 3" xfId="11658" xr:uid="{044AD953-3AEF-4EB7-834B-12316C2D28CC}"/>
    <cellStyle name="Currency 4 3 2 2 2 4 3 2" xfId="25709" xr:uid="{3193A067-EC49-4E3F-AC38-1ACFD72AE0B9}"/>
    <cellStyle name="Currency 4 3 2 2 2 4 4" xfId="19633" xr:uid="{FD888079-DB10-4AC1-A886-3A0FDFAC7410}"/>
    <cellStyle name="Currency 4 3 2 2 2 5" xfId="6450" xr:uid="{F005BEB7-B42D-4264-AB37-BD4E0F086BFF}"/>
    <cellStyle name="Currency 4 3 2 2 2 5 2" xfId="9922" xr:uid="{03E4BB14-7BB5-4C6C-AE3D-A7B16C5BB80C}"/>
    <cellStyle name="Currency 4 3 2 2 2 5 2 2" xfId="23973" xr:uid="{05884CC0-42FC-4D10-9211-593EDCC212D3}"/>
    <cellStyle name="Currency 4 3 2 2 2 5 3" xfId="12526" xr:uid="{E6AB98A6-1D10-4F61-A9E7-42BF69215A33}"/>
    <cellStyle name="Currency 4 3 2 2 2 5 3 2" xfId="26577" xr:uid="{DE6BF65B-8BF0-4CCA-9494-1C59DF29A00A}"/>
    <cellStyle name="Currency 4 3 2 2 2 5 4" xfId="20501" xr:uid="{489AEFE6-65E3-4668-9EB2-DFA01A4F1453}"/>
    <cellStyle name="Currency 4 3 2 2 2 6" xfId="8186" xr:uid="{A5017B22-E293-4E9C-B980-D38D5733B733}"/>
    <cellStyle name="Currency 4 3 2 2 2 6 2" xfId="13394" xr:uid="{1075EB6F-D0F9-47CE-841B-53B173778B24}"/>
    <cellStyle name="Currency 4 3 2 2 2 6 2 2" xfId="27445" xr:uid="{3EFBD14D-91F3-41CD-816A-2EA5E3E90307}"/>
    <cellStyle name="Currency 4 3 2 2 2 6 3" xfId="22237" xr:uid="{33C566B8-F263-42F7-96D1-0995071FBF20}"/>
    <cellStyle name="Currency 4 3 2 2 2 7" xfId="7318" xr:uid="{6ED011C1-2E7A-49CD-9E1F-74AAD2274B67}"/>
    <cellStyle name="Currency 4 3 2 2 2 7 2" xfId="21369" xr:uid="{C82D023C-BD0F-4F65-ADB6-B085A6C240ED}"/>
    <cellStyle name="Currency 4 3 2 2 2 8" xfId="10790" xr:uid="{E8D1B97F-2B47-427C-A293-08DC849D7BCE}"/>
    <cellStyle name="Currency 4 3 2 2 2 8 2" xfId="24841" xr:uid="{60D7C039-C4E6-4861-A483-670E01F357EB}"/>
    <cellStyle name="Currency 4 3 2 2 2 9" xfId="15855" xr:uid="{D400638F-1F18-432A-83F3-6D2A402B978C}"/>
    <cellStyle name="Currency 4 3 2 2 3" xfId="2897" xr:uid="{9BE3C1B3-B685-44EE-B34D-2FB631B5F8DC}"/>
    <cellStyle name="Currency 4 3 2 2 3 2" xfId="5242" xr:uid="{48B0C2C8-98E5-4ABD-BA2D-097BAC2452B1}"/>
    <cellStyle name="Currency 4 3 2 2 3 2 2" xfId="6110" xr:uid="{DCEA2D93-3064-470C-8C5A-EE30248BC127}"/>
    <cellStyle name="Currency 4 3 2 2 3 2 2 2" xfId="9582" xr:uid="{AB25C212-AC41-4B89-A93E-F19FB3385164}"/>
    <cellStyle name="Currency 4 3 2 2 3 2 2 2 2" xfId="23633" xr:uid="{8AF431A3-B2AB-42A4-9304-8D76EFE030F2}"/>
    <cellStyle name="Currency 4 3 2 2 3 2 2 3" xfId="12186" xr:uid="{6FE1A3E2-0AA2-40F4-8594-AC5CCEBD39F2}"/>
    <cellStyle name="Currency 4 3 2 2 3 2 2 3 2" xfId="26237" xr:uid="{B18CE2EE-1B74-4BB0-9A47-8377791330F9}"/>
    <cellStyle name="Currency 4 3 2 2 3 2 2 4" xfId="20161" xr:uid="{51A0E17B-7705-4359-A485-C1A72A595572}"/>
    <cellStyle name="Currency 4 3 2 2 3 2 3" xfId="6978" xr:uid="{3880112D-969E-4741-9DE1-4D23C6E3D987}"/>
    <cellStyle name="Currency 4 3 2 2 3 2 3 2" xfId="10450" xr:uid="{DE3C5B6D-A549-4939-9959-5BB121A110DF}"/>
    <cellStyle name="Currency 4 3 2 2 3 2 3 2 2" xfId="24501" xr:uid="{C608DA9A-955A-4168-8FDC-23424E91C1AF}"/>
    <cellStyle name="Currency 4 3 2 2 3 2 3 3" xfId="13054" xr:uid="{6295A729-8C37-4E51-9E02-8C3BBCDDC324}"/>
    <cellStyle name="Currency 4 3 2 2 3 2 3 3 2" xfId="27105" xr:uid="{1DB2FBF1-A86F-458A-A6BC-EF2407B5421F}"/>
    <cellStyle name="Currency 4 3 2 2 3 2 3 4" xfId="21029" xr:uid="{117270BB-D764-4A68-BE70-E0545CF0656E}"/>
    <cellStyle name="Currency 4 3 2 2 3 2 4" xfId="8714" xr:uid="{ABB31DFC-6264-4697-8361-884E14B0D01F}"/>
    <cellStyle name="Currency 4 3 2 2 3 2 4 2" xfId="13922" xr:uid="{0588C21B-46C6-482B-9A8C-12DC2F105F25}"/>
    <cellStyle name="Currency 4 3 2 2 3 2 4 2 2" xfId="27973" xr:uid="{A75F4378-BC90-4A0E-905F-78AB9A561A21}"/>
    <cellStyle name="Currency 4 3 2 2 3 2 4 3" xfId="22765" xr:uid="{50F58A91-03FE-4819-990B-A517CF7116F0}"/>
    <cellStyle name="Currency 4 3 2 2 3 2 5" xfId="7846" xr:uid="{09CA7356-A71E-4BD1-8C32-55D18EB931E5}"/>
    <cellStyle name="Currency 4 3 2 2 3 2 5 2" xfId="21897" xr:uid="{3E50DB81-3FEE-40EA-A13B-515E87DBDD69}"/>
    <cellStyle name="Currency 4 3 2 2 3 2 6" xfId="11318" xr:uid="{8D680D2F-E3EA-4055-B71B-855408A4C308}"/>
    <cellStyle name="Currency 4 3 2 2 3 2 6 2" xfId="25369" xr:uid="{24BEAF3F-144B-4375-83D5-2A39777CAE90}"/>
    <cellStyle name="Currency 4 3 2 2 3 2 7" xfId="19293" xr:uid="{A1154314-5BCB-42F5-869E-C3D934756917}"/>
    <cellStyle name="Currency 4 3 2 2 3 3" xfId="5676" xr:uid="{DDE92C75-1AF6-4D8A-B47F-D527CA4E52B2}"/>
    <cellStyle name="Currency 4 3 2 2 3 3 2" xfId="9148" xr:uid="{B13C68D1-AC17-4090-A22B-4A62B396613A}"/>
    <cellStyle name="Currency 4 3 2 2 3 3 2 2" xfId="23199" xr:uid="{51C36868-05E6-43EC-99C8-354458E1FE0F}"/>
    <cellStyle name="Currency 4 3 2 2 3 3 3" xfId="11752" xr:uid="{BA76A68E-4AB1-4B18-A381-700F33F02CA4}"/>
    <cellStyle name="Currency 4 3 2 2 3 3 3 2" xfId="25803" xr:uid="{2CE86BE9-2883-45F7-937E-8CD06A050AC1}"/>
    <cellStyle name="Currency 4 3 2 2 3 3 4" xfId="19727" xr:uid="{006F7C52-6CEA-434F-8A91-4ED158839062}"/>
    <cellStyle name="Currency 4 3 2 2 3 4" xfId="6544" xr:uid="{7893B97D-CE27-4F42-94D9-51E04104F1FE}"/>
    <cellStyle name="Currency 4 3 2 2 3 4 2" xfId="10016" xr:uid="{4F10E67E-9D04-44DD-8804-6B01CD3B7C85}"/>
    <cellStyle name="Currency 4 3 2 2 3 4 2 2" xfId="24067" xr:uid="{B272C380-C7DC-48E6-9F04-3AAAA3FA10DF}"/>
    <cellStyle name="Currency 4 3 2 2 3 4 3" xfId="12620" xr:uid="{A8F1613D-66B4-482A-9921-AF10E3CE5475}"/>
    <cellStyle name="Currency 4 3 2 2 3 4 3 2" xfId="26671" xr:uid="{91747728-F478-46B5-BB05-65F564B96D44}"/>
    <cellStyle name="Currency 4 3 2 2 3 4 4" xfId="20595" xr:uid="{475587EA-BA14-438F-A892-ABD7977903FB}"/>
    <cellStyle name="Currency 4 3 2 2 3 5" xfId="8280" xr:uid="{9F71DBC7-2E89-4FD2-AC3F-4F20885AE17F}"/>
    <cellStyle name="Currency 4 3 2 2 3 5 2" xfId="13488" xr:uid="{B59985BA-B633-40E2-A638-2603846B1397}"/>
    <cellStyle name="Currency 4 3 2 2 3 5 2 2" xfId="27539" xr:uid="{4A2FCB7D-7F47-46AA-AD21-7B3B7DDF9E05}"/>
    <cellStyle name="Currency 4 3 2 2 3 5 3" xfId="22331" xr:uid="{AF0D2FE6-1348-4548-819C-A2C6816ADF85}"/>
    <cellStyle name="Currency 4 3 2 2 3 6" xfId="7412" xr:uid="{D74166E3-8763-492B-8532-C266464081FB}"/>
    <cellStyle name="Currency 4 3 2 2 3 6 2" xfId="21463" xr:uid="{11EB9200-3DE6-4FE4-9325-E3967B746B24}"/>
    <cellStyle name="Currency 4 3 2 2 3 7" xfId="10884" xr:uid="{5F10DD36-E611-4FA3-811C-37E0E0EA3B8A}"/>
    <cellStyle name="Currency 4 3 2 2 3 7 2" xfId="24935" xr:uid="{FBDD6BE8-D3A7-41E7-BD7E-E72ABA5A6A75}"/>
    <cellStyle name="Currency 4 3 2 2 3 8" xfId="16949" xr:uid="{AF6FE1AC-9FD7-4871-A140-7BE2741BA162}"/>
    <cellStyle name="Currency 4 3 2 2 4" xfId="5050" xr:uid="{59EF9C52-3C46-4AE3-95E3-4549D52FB967}"/>
    <cellStyle name="Currency 4 3 2 2 4 2" xfId="5918" xr:uid="{C44EE04E-DA7F-47AF-86FE-8ED27721E6E6}"/>
    <cellStyle name="Currency 4 3 2 2 4 2 2" xfId="9390" xr:uid="{39D88613-FF2A-4FF3-8D17-0B4DFA9158C1}"/>
    <cellStyle name="Currency 4 3 2 2 4 2 2 2" xfId="23441" xr:uid="{6517E1B6-CA18-47CE-A919-31C90F2132CB}"/>
    <cellStyle name="Currency 4 3 2 2 4 2 3" xfId="11994" xr:uid="{93503542-6FDB-48A8-9AA8-5E0F9D350F0B}"/>
    <cellStyle name="Currency 4 3 2 2 4 2 3 2" xfId="26045" xr:uid="{E525BD7A-066D-48D8-B62C-E8899F6DBAB8}"/>
    <cellStyle name="Currency 4 3 2 2 4 2 4" xfId="19969" xr:uid="{4B82A2C7-23C6-41D2-8750-B7AB0F8633CD}"/>
    <cellStyle name="Currency 4 3 2 2 4 3" xfId="6786" xr:uid="{759998C2-101B-4B8A-920E-DE4B55041A92}"/>
    <cellStyle name="Currency 4 3 2 2 4 3 2" xfId="10258" xr:uid="{681E6C05-8230-4BF3-9464-99478AB1FFFD}"/>
    <cellStyle name="Currency 4 3 2 2 4 3 2 2" xfId="24309" xr:uid="{CCCD9174-CF37-4E1B-8391-FE52677FFFE1}"/>
    <cellStyle name="Currency 4 3 2 2 4 3 3" xfId="12862" xr:uid="{D35E666E-BF4D-4FFA-99DA-BB567E489CDA}"/>
    <cellStyle name="Currency 4 3 2 2 4 3 3 2" xfId="26913" xr:uid="{FFBDB8F2-4AB2-4911-88AD-6C29089C37F1}"/>
    <cellStyle name="Currency 4 3 2 2 4 3 4" xfId="20837" xr:uid="{2FC017AF-A79A-4C0B-B49A-1AEC74E71D6A}"/>
    <cellStyle name="Currency 4 3 2 2 4 4" xfId="8522" xr:uid="{8F9E21DD-E685-4BF7-9731-76F1AAC6552C}"/>
    <cellStyle name="Currency 4 3 2 2 4 4 2" xfId="13730" xr:uid="{D5BD9822-2105-4116-B0CB-5FC2C50E90ED}"/>
    <cellStyle name="Currency 4 3 2 2 4 4 2 2" xfId="27781" xr:uid="{568C60A9-A287-4403-B333-760B800B3D96}"/>
    <cellStyle name="Currency 4 3 2 2 4 4 3" xfId="22573" xr:uid="{F7C391B3-DB58-4736-B333-747E7B8A8C6A}"/>
    <cellStyle name="Currency 4 3 2 2 4 5" xfId="7654" xr:uid="{6793E3E7-D486-4950-B348-710D88F71B8C}"/>
    <cellStyle name="Currency 4 3 2 2 4 5 2" xfId="21705" xr:uid="{068C8A9D-D595-477E-821F-B76259FC66D8}"/>
    <cellStyle name="Currency 4 3 2 2 4 6" xfId="11126" xr:uid="{0F8D8C3F-8357-42A2-B41E-A80505240F28}"/>
    <cellStyle name="Currency 4 3 2 2 4 6 2" xfId="25177" xr:uid="{4110F42E-7F16-4B39-8413-8723AC3EAC6B}"/>
    <cellStyle name="Currency 4 3 2 2 4 7" xfId="19101" xr:uid="{BBE156C0-5336-4990-837E-2BA2D068047E}"/>
    <cellStyle name="Currency 4 3 2 2 5" xfId="5484" xr:uid="{804520F9-E54D-4A04-B3F3-FC6ACB3EED14}"/>
    <cellStyle name="Currency 4 3 2 2 5 2" xfId="8956" xr:uid="{FEF3299E-66E0-4234-B672-EFA5B1B6BDE9}"/>
    <cellStyle name="Currency 4 3 2 2 5 2 2" xfId="23007" xr:uid="{2CB533B2-8932-453B-8A5C-06E634387218}"/>
    <cellStyle name="Currency 4 3 2 2 5 3" xfId="11560" xr:uid="{D33494B3-9D5E-4866-9271-B7CF75D7FBFD}"/>
    <cellStyle name="Currency 4 3 2 2 5 3 2" xfId="25611" xr:uid="{76F6E8AE-9D18-4850-9AA0-9C070E403057}"/>
    <cellStyle name="Currency 4 3 2 2 5 4" xfId="19535" xr:uid="{34CAE02E-24B6-4329-89D4-C570D5131B5D}"/>
    <cellStyle name="Currency 4 3 2 2 6" xfId="6352" xr:uid="{12B0732A-25F2-48AC-9825-7D2082948241}"/>
    <cellStyle name="Currency 4 3 2 2 6 2" xfId="9824" xr:uid="{6F7D997B-D2C3-4028-B4B7-280875FD2F6B}"/>
    <cellStyle name="Currency 4 3 2 2 6 2 2" xfId="23875" xr:uid="{10828B6C-0E7A-4CFC-9DD6-40741B51C865}"/>
    <cellStyle name="Currency 4 3 2 2 6 3" xfId="12428" xr:uid="{9479F600-B8CC-4AD6-827B-3F1CBDEEBF62}"/>
    <cellStyle name="Currency 4 3 2 2 6 3 2" xfId="26479" xr:uid="{21A4679D-A120-4934-85F6-276C2389686F}"/>
    <cellStyle name="Currency 4 3 2 2 6 4" xfId="20403" xr:uid="{33D17A22-A796-4E3B-AAF6-E4F006DB322B}"/>
    <cellStyle name="Currency 4 3 2 2 7" xfId="8088" xr:uid="{E7AFA68E-A1D1-412C-B6DB-CC56F1F752CB}"/>
    <cellStyle name="Currency 4 3 2 2 7 2" xfId="13296" xr:uid="{3EBA106B-36F2-407D-923C-204F71EAF15D}"/>
    <cellStyle name="Currency 4 3 2 2 7 2 2" xfId="27347" xr:uid="{24BC9B1F-848B-4EA8-930F-31BB82BA4D33}"/>
    <cellStyle name="Currency 4 3 2 2 7 3" xfId="22139" xr:uid="{2460BA1E-AE99-43B7-80B4-34E5303F9501}"/>
    <cellStyle name="Currency 4 3 2 2 8" xfId="7220" xr:uid="{5F7AE425-AC60-41B8-B20C-4148B9175E30}"/>
    <cellStyle name="Currency 4 3 2 2 8 2" xfId="21271" xr:uid="{C697E129-4807-45DB-9875-F7B410A56B47}"/>
    <cellStyle name="Currency 4 3 2 2 9" xfId="10692" xr:uid="{09CFF8E0-E3AD-4D6B-8E8A-B5A24C86BB58}"/>
    <cellStyle name="Currency 4 3 2 2 9 2" xfId="24743" xr:uid="{0D1CD2EC-F037-4C60-B00E-90C589028D8D}"/>
    <cellStyle name="Currency 4 3 2 3" xfId="1052" xr:uid="{624C1808-F083-4792-992A-8347D7EE1776}"/>
    <cellStyle name="Currency 4 3 2 3 10" xfId="15102" xr:uid="{277D6776-5AB3-41C3-A2A4-A8408D06FCE6}"/>
    <cellStyle name="Currency 4 3 2 3 2" xfId="2151" xr:uid="{0D435491-DF21-44C7-8785-5EF6AFBC64FD}"/>
    <cellStyle name="Currency 4 3 2 3 2 2" xfId="4340" xr:uid="{E912033E-1DC4-4876-AE12-51B7F51689FA}"/>
    <cellStyle name="Currency 4 3 2 3 2 2 2" xfId="5367" xr:uid="{DBFEDC73-FCBB-4A2D-B9DB-B303DC01CE9B}"/>
    <cellStyle name="Currency 4 3 2 3 2 2 2 2" xfId="6235" xr:uid="{E4C75912-3D7B-4DA8-B7EF-53512C955A0E}"/>
    <cellStyle name="Currency 4 3 2 3 2 2 2 2 2" xfId="9707" xr:uid="{35DB5064-8F73-4CA6-85BD-9E7A4772DF83}"/>
    <cellStyle name="Currency 4 3 2 3 2 2 2 2 2 2" xfId="23758" xr:uid="{0414EBB8-3E5C-403E-8078-C77DB9FEC29B}"/>
    <cellStyle name="Currency 4 3 2 3 2 2 2 2 3" xfId="12311" xr:uid="{E897A17A-8743-48B7-B58F-F7D80514E0C4}"/>
    <cellStyle name="Currency 4 3 2 3 2 2 2 2 3 2" xfId="26362" xr:uid="{71D1D927-8D80-4AE3-B2B8-AA7750B19FC0}"/>
    <cellStyle name="Currency 4 3 2 3 2 2 2 2 4" xfId="20286" xr:uid="{3DA25D40-E8F2-4BC0-87E0-9661D4407E5B}"/>
    <cellStyle name="Currency 4 3 2 3 2 2 2 3" xfId="7103" xr:uid="{FDC29380-0F25-4F51-AA49-960FEEE43219}"/>
    <cellStyle name="Currency 4 3 2 3 2 2 2 3 2" xfId="10575" xr:uid="{1503FFE3-7894-4B49-8900-9A2062128BE4}"/>
    <cellStyle name="Currency 4 3 2 3 2 2 2 3 2 2" xfId="24626" xr:uid="{EB87D7C4-21B0-4B2C-9516-4D45BC35D373}"/>
    <cellStyle name="Currency 4 3 2 3 2 2 2 3 3" xfId="13179" xr:uid="{04EB80CA-3C4C-438F-A0F8-C7A17A7A896A}"/>
    <cellStyle name="Currency 4 3 2 3 2 2 2 3 3 2" xfId="27230" xr:uid="{D8767DEB-CE15-400C-9D43-152E3F9D2FEB}"/>
    <cellStyle name="Currency 4 3 2 3 2 2 2 3 4" xfId="21154" xr:uid="{416E0CFE-7290-4659-B3CF-ABE9C81808F4}"/>
    <cellStyle name="Currency 4 3 2 3 2 2 2 4" xfId="8839" xr:uid="{F3C6A383-44CC-45EA-9790-8E48D8AB8E0E}"/>
    <cellStyle name="Currency 4 3 2 3 2 2 2 4 2" xfId="14047" xr:uid="{7BCDAC70-A121-41E6-89D9-FE0AA9451D06}"/>
    <cellStyle name="Currency 4 3 2 3 2 2 2 4 2 2" xfId="28098" xr:uid="{A6957B73-5366-4258-A0AC-6299E1205F01}"/>
    <cellStyle name="Currency 4 3 2 3 2 2 2 4 3" xfId="22890" xr:uid="{913433FC-A541-4378-B52C-8793D51AA9D8}"/>
    <cellStyle name="Currency 4 3 2 3 2 2 2 5" xfId="7971" xr:uid="{A4659B84-26B6-4E39-A032-53E4FD1DC281}"/>
    <cellStyle name="Currency 4 3 2 3 2 2 2 5 2" xfId="22022" xr:uid="{821DDA75-7695-49F9-B308-DECDF394E148}"/>
    <cellStyle name="Currency 4 3 2 3 2 2 2 6" xfId="11443" xr:uid="{C2F5A924-DBC5-4043-AEB5-99883994B312}"/>
    <cellStyle name="Currency 4 3 2 3 2 2 2 6 2" xfId="25494" xr:uid="{C9ECC738-0237-4D6A-8EEE-07B86FF36512}"/>
    <cellStyle name="Currency 4 3 2 3 2 2 2 7" xfId="19418" xr:uid="{AEFC79AE-7B2C-47BF-B98D-2B2E4C77D546}"/>
    <cellStyle name="Currency 4 3 2 3 2 2 3" xfId="5801" xr:uid="{0C72AEE4-ECEF-4999-A15F-539348E4FD0A}"/>
    <cellStyle name="Currency 4 3 2 3 2 2 3 2" xfId="9273" xr:uid="{79C6F11D-E7D2-4639-B248-18A03EA3C61B}"/>
    <cellStyle name="Currency 4 3 2 3 2 2 3 2 2" xfId="23324" xr:uid="{890A1665-C2D2-4735-A949-C324282C1307}"/>
    <cellStyle name="Currency 4 3 2 3 2 2 3 3" xfId="11877" xr:uid="{DD5A156B-7E21-454E-9CC9-6C20D305C9D9}"/>
    <cellStyle name="Currency 4 3 2 3 2 2 3 3 2" xfId="25928" xr:uid="{8F365937-7062-4FAB-9C1B-D59DD0778D29}"/>
    <cellStyle name="Currency 4 3 2 3 2 2 3 4" xfId="19852" xr:uid="{B59A8BAC-788F-4F58-ADBC-B466DDF6D116}"/>
    <cellStyle name="Currency 4 3 2 3 2 2 4" xfId="6669" xr:uid="{88F3DEB3-0CD5-4F83-93F0-7D8CC5C4F57C}"/>
    <cellStyle name="Currency 4 3 2 3 2 2 4 2" xfId="10141" xr:uid="{7D861F71-AADD-4CC0-A4C8-57B79B62E48D}"/>
    <cellStyle name="Currency 4 3 2 3 2 2 4 2 2" xfId="24192" xr:uid="{87523D87-9334-4E96-A7FA-AC9441A77925}"/>
    <cellStyle name="Currency 4 3 2 3 2 2 4 3" xfId="12745" xr:uid="{7A1567E9-A4F5-4B6A-BDCF-7FE30B2F838C}"/>
    <cellStyle name="Currency 4 3 2 3 2 2 4 3 2" xfId="26796" xr:uid="{FF72E16E-690E-452B-BCCB-78ED8AD77957}"/>
    <cellStyle name="Currency 4 3 2 3 2 2 4 4" xfId="20720" xr:uid="{D2E095D3-0551-48A2-86B7-31F04587D2A6}"/>
    <cellStyle name="Currency 4 3 2 3 2 2 5" xfId="8405" xr:uid="{4D2FB67E-3697-4231-B548-36206B2C8829}"/>
    <cellStyle name="Currency 4 3 2 3 2 2 5 2" xfId="13613" xr:uid="{AC8DD25A-A094-4A09-A44F-E95EA54AF545}"/>
    <cellStyle name="Currency 4 3 2 3 2 2 5 2 2" xfId="27664" xr:uid="{2CBE9D45-E700-42B5-AF8B-2FF21ED1111F}"/>
    <cellStyle name="Currency 4 3 2 3 2 2 5 3" xfId="22456" xr:uid="{DFCD6725-F875-4399-B59C-0350B9BB4205}"/>
    <cellStyle name="Currency 4 3 2 3 2 2 6" xfId="7537" xr:uid="{2F2C157E-45CC-4AEB-A346-D898A2665CA4}"/>
    <cellStyle name="Currency 4 3 2 3 2 2 6 2" xfId="21588" xr:uid="{97C711E2-5AE3-4A70-97C1-1FA45D0D2BC0}"/>
    <cellStyle name="Currency 4 3 2 3 2 2 7" xfId="11009" xr:uid="{587B1F19-025F-4875-88B8-97E7E4C75362}"/>
    <cellStyle name="Currency 4 3 2 3 2 2 7 2" xfId="25060" xr:uid="{2299C805-5447-4724-AE77-1E90F8BECF51}"/>
    <cellStyle name="Currency 4 3 2 3 2 2 8" xfId="18390" xr:uid="{D5F88CC8-B0B4-4C53-9076-AC2480413C1C}"/>
    <cellStyle name="Currency 4 3 2 3 2 3" xfId="5177" xr:uid="{07B911FE-2245-46F7-A497-F48A9BC8F780}"/>
    <cellStyle name="Currency 4 3 2 3 2 3 2" xfId="6045" xr:uid="{693A881F-16A5-421D-865E-4A4C486E8521}"/>
    <cellStyle name="Currency 4 3 2 3 2 3 2 2" xfId="9517" xr:uid="{7C8F8D4E-E523-4379-B88C-59809ECE023F}"/>
    <cellStyle name="Currency 4 3 2 3 2 3 2 2 2" xfId="23568" xr:uid="{57C4E36E-C1F2-49DC-A0CD-55945CBCC53E}"/>
    <cellStyle name="Currency 4 3 2 3 2 3 2 3" xfId="12121" xr:uid="{880C4333-5799-4B7F-9EB0-2A0C2DE4B69A}"/>
    <cellStyle name="Currency 4 3 2 3 2 3 2 3 2" xfId="26172" xr:uid="{5DFBE27A-BA9A-456E-B203-B0D096A12BE9}"/>
    <cellStyle name="Currency 4 3 2 3 2 3 2 4" xfId="20096" xr:uid="{2189868B-C81D-4BE1-AC33-74C3CC4DBDF9}"/>
    <cellStyle name="Currency 4 3 2 3 2 3 3" xfId="6913" xr:uid="{CA34C40B-8CB8-4EB4-96DF-8B942C74F026}"/>
    <cellStyle name="Currency 4 3 2 3 2 3 3 2" xfId="10385" xr:uid="{1ED95511-FE79-4592-89EC-DC09A0FD21DE}"/>
    <cellStyle name="Currency 4 3 2 3 2 3 3 2 2" xfId="24436" xr:uid="{B3DE7CB8-12E1-4A7F-8588-D35C88CB0A5A}"/>
    <cellStyle name="Currency 4 3 2 3 2 3 3 3" xfId="12989" xr:uid="{3CAFB7F6-C5AC-4CD0-B48C-09A8AFE6E2DF}"/>
    <cellStyle name="Currency 4 3 2 3 2 3 3 3 2" xfId="27040" xr:uid="{9BDF094A-DB8E-4B75-BA97-4E1B003DB89B}"/>
    <cellStyle name="Currency 4 3 2 3 2 3 3 4" xfId="20964" xr:uid="{AAF69F37-37A7-4F86-B1A7-BD603251AF61}"/>
    <cellStyle name="Currency 4 3 2 3 2 3 4" xfId="8649" xr:uid="{665C2BB6-5963-4995-8155-C94FF5320EF0}"/>
    <cellStyle name="Currency 4 3 2 3 2 3 4 2" xfId="13857" xr:uid="{86842B4B-4D27-4A7C-8210-6F9790E6C9AF}"/>
    <cellStyle name="Currency 4 3 2 3 2 3 4 2 2" xfId="27908" xr:uid="{1DB0B0AA-B11D-477B-839E-DC498B7B25F6}"/>
    <cellStyle name="Currency 4 3 2 3 2 3 4 3" xfId="22700" xr:uid="{BE0C9969-9068-4D83-87A4-4615FFB8D7AE}"/>
    <cellStyle name="Currency 4 3 2 3 2 3 5" xfId="7781" xr:uid="{EC77FD3F-A64D-4B26-9EA8-F5D22DD8A137}"/>
    <cellStyle name="Currency 4 3 2 3 2 3 5 2" xfId="21832" xr:uid="{63804E87-9964-4D81-9983-8AB8B7ECFD49}"/>
    <cellStyle name="Currency 4 3 2 3 2 3 6" xfId="11253" xr:uid="{CD3158B3-F3FD-4AF3-BA0A-2DE7211825D5}"/>
    <cellStyle name="Currency 4 3 2 3 2 3 6 2" xfId="25304" xr:uid="{04370FA6-37F4-4D0F-81AC-71E43DBCA200}"/>
    <cellStyle name="Currency 4 3 2 3 2 3 7" xfId="19228" xr:uid="{DC26BC31-7750-420F-9FB9-89B96F339A32}"/>
    <cellStyle name="Currency 4 3 2 3 2 4" xfId="5611" xr:uid="{815B0B7C-8C60-40B1-B3BD-3C0A130DD6D7}"/>
    <cellStyle name="Currency 4 3 2 3 2 4 2" xfId="9083" xr:uid="{76CAEB88-4494-4EFA-9EA0-AD800715A98B}"/>
    <cellStyle name="Currency 4 3 2 3 2 4 2 2" xfId="23134" xr:uid="{DC87170A-35D7-4C5A-8345-2DAFA1650332}"/>
    <cellStyle name="Currency 4 3 2 3 2 4 3" xfId="11687" xr:uid="{569F3CDF-F43C-4D3C-832C-6CFA6836680B}"/>
    <cellStyle name="Currency 4 3 2 3 2 4 3 2" xfId="25738" xr:uid="{7B9726A6-39E4-44C0-9496-ED20BB067F3E}"/>
    <cellStyle name="Currency 4 3 2 3 2 4 4" xfId="19662" xr:uid="{43616A3C-5859-48D2-AF55-F11690B91780}"/>
    <cellStyle name="Currency 4 3 2 3 2 5" xfId="6479" xr:uid="{B13B284B-DEE5-47A4-9616-54169548A053}"/>
    <cellStyle name="Currency 4 3 2 3 2 5 2" xfId="9951" xr:uid="{1EB6F035-93C0-4FFF-B932-29AEF11508B7}"/>
    <cellStyle name="Currency 4 3 2 3 2 5 2 2" xfId="24002" xr:uid="{12995FA1-DBD7-43E1-B84F-9AD1BB56C54A}"/>
    <cellStyle name="Currency 4 3 2 3 2 5 3" xfId="12555" xr:uid="{DA4FB71C-3402-45C7-A38E-2EE83BD607BE}"/>
    <cellStyle name="Currency 4 3 2 3 2 5 3 2" xfId="26606" xr:uid="{D12ADDD9-4BBF-44A1-961D-B50354DF2B60}"/>
    <cellStyle name="Currency 4 3 2 3 2 5 4" xfId="20530" xr:uid="{53428CC5-81B9-4DCC-83A8-F8329E6E2278}"/>
    <cellStyle name="Currency 4 3 2 3 2 6" xfId="8215" xr:uid="{BDFF44CB-18AB-4D5B-AB43-71207441E9BB}"/>
    <cellStyle name="Currency 4 3 2 3 2 6 2" xfId="13423" xr:uid="{6E3BDD22-D09A-4CC7-966F-A1A436408A91}"/>
    <cellStyle name="Currency 4 3 2 3 2 6 2 2" xfId="27474" xr:uid="{DBBB93C8-07D9-429E-8076-35422B3979F8}"/>
    <cellStyle name="Currency 4 3 2 3 2 6 3" xfId="22266" xr:uid="{771721FD-861A-4E6E-82CF-8EBA84D4149B}"/>
    <cellStyle name="Currency 4 3 2 3 2 7" xfId="7347" xr:uid="{44B0BF81-0B65-44AD-9B86-AC3BD1CA327A}"/>
    <cellStyle name="Currency 4 3 2 3 2 7 2" xfId="21398" xr:uid="{4DE07787-CB46-46D6-BBEF-FEA992DE59D2}"/>
    <cellStyle name="Currency 4 3 2 3 2 8" xfId="10819" xr:uid="{C626216A-3964-4E76-8FC6-DD79000FFCD6}"/>
    <cellStyle name="Currency 4 3 2 3 2 8 2" xfId="24870" xr:uid="{0C465BEB-4CB4-4C96-A4D8-C024ED718630}"/>
    <cellStyle name="Currency 4 3 2 3 2 9" xfId="16200" xr:uid="{263C5C52-60E6-4E51-B8C6-FCC4E4CCCD64}"/>
    <cellStyle name="Currency 4 3 2 3 3" xfId="3244" xr:uid="{2FDFABAA-CED7-4634-BE9D-E308A714E181}"/>
    <cellStyle name="Currency 4 3 2 3 3 2" xfId="5272" xr:uid="{588FBF52-F6D5-4A90-BD71-6A828B72C000}"/>
    <cellStyle name="Currency 4 3 2 3 3 2 2" xfId="6140" xr:uid="{249875A0-7F0A-4714-853C-46C3DBD2275E}"/>
    <cellStyle name="Currency 4 3 2 3 3 2 2 2" xfId="9612" xr:uid="{EAF6DECA-5862-4B04-9596-4EABD337114B}"/>
    <cellStyle name="Currency 4 3 2 3 3 2 2 2 2" xfId="23663" xr:uid="{E267EFDC-CFFE-4E2E-9718-BB30906636C0}"/>
    <cellStyle name="Currency 4 3 2 3 3 2 2 3" xfId="12216" xr:uid="{2CDCC1F7-205E-498A-A658-884210DC688D}"/>
    <cellStyle name="Currency 4 3 2 3 3 2 2 3 2" xfId="26267" xr:uid="{6256CDA6-6355-41B9-8666-D846E37107E6}"/>
    <cellStyle name="Currency 4 3 2 3 3 2 2 4" xfId="20191" xr:uid="{37561BF6-93FB-485A-8175-50B1B345BC7D}"/>
    <cellStyle name="Currency 4 3 2 3 3 2 3" xfId="7008" xr:uid="{8D765852-F05D-45A1-82FB-EA4995A7DC85}"/>
    <cellStyle name="Currency 4 3 2 3 3 2 3 2" xfId="10480" xr:uid="{44CC102C-A352-4B3A-AFA2-256320860D75}"/>
    <cellStyle name="Currency 4 3 2 3 3 2 3 2 2" xfId="24531" xr:uid="{BE1AA5E6-D031-4DBA-B3D9-50BB1BACB1FB}"/>
    <cellStyle name="Currency 4 3 2 3 3 2 3 3" xfId="13084" xr:uid="{5D220BFD-CB2C-4182-9BA1-7EAAEA99D598}"/>
    <cellStyle name="Currency 4 3 2 3 3 2 3 3 2" xfId="27135" xr:uid="{437DD9D7-122D-47D8-A770-3D1E68D3BF19}"/>
    <cellStyle name="Currency 4 3 2 3 3 2 3 4" xfId="21059" xr:uid="{7AF20A82-E379-48B8-8D67-F3796BCADF5A}"/>
    <cellStyle name="Currency 4 3 2 3 3 2 4" xfId="8744" xr:uid="{A038EB43-919C-4FF7-8ACC-CCA9C867F128}"/>
    <cellStyle name="Currency 4 3 2 3 3 2 4 2" xfId="13952" xr:uid="{9E0A9BA6-DE50-449A-A75D-3E72CE5C4950}"/>
    <cellStyle name="Currency 4 3 2 3 3 2 4 2 2" xfId="28003" xr:uid="{4CBE6490-5FE0-4B87-8846-A95ED7A081AE}"/>
    <cellStyle name="Currency 4 3 2 3 3 2 4 3" xfId="22795" xr:uid="{6A851077-8B02-4C94-BD8E-4C4C24801F1E}"/>
    <cellStyle name="Currency 4 3 2 3 3 2 5" xfId="7876" xr:uid="{019B9D08-8686-46E1-A781-AE49DF4D44EE}"/>
    <cellStyle name="Currency 4 3 2 3 3 2 5 2" xfId="21927" xr:uid="{A25477FA-9BF3-4776-B7D2-995063391D86}"/>
    <cellStyle name="Currency 4 3 2 3 3 2 6" xfId="11348" xr:uid="{E90AEE66-2E99-46D9-9E2E-8EB9F78210E5}"/>
    <cellStyle name="Currency 4 3 2 3 3 2 6 2" xfId="25399" xr:uid="{0F1043B2-9C81-4419-8B2E-87AC8290D378}"/>
    <cellStyle name="Currency 4 3 2 3 3 2 7" xfId="19323" xr:uid="{20BD3E8C-B4E1-4E39-B497-C5C836AC9215}"/>
    <cellStyle name="Currency 4 3 2 3 3 3" xfId="5706" xr:uid="{70F6DB43-DC4F-41DF-BC83-23126BE22680}"/>
    <cellStyle name="Currency 4 3 2 3 3 3 2" xfId="9178" xr:uid="{C4B33BDD-8DD4-4607-BBC1-B46B522A5345}"/>
    <cellStyle name="Currency 4 3 2 3 3 3 2 2" xfId="23229" xr:uid="{3032A5A7-4AC3-4C9B-92A9-10ADCF26D7CE}"/>
    <cellStyle name="Currency 4 3 2 3 3 3 3" xfId="11782" xr:uid="{229C110C-61B2-4B13-AB04-FBF9AEF394B4}"/>
    <cellStyle name="Currency 4 3 2 3 3 3 3 2" xfId="25833" xr:uid="{15EAC857-BCE5-48DE-9474-4B91DBFF0DDB}"/>
    <cellStyle name="Currency 4 3 2 3 3 3 4" xfId="19757" xr:uid="{B245B94E-CE8E-4F41-B773-08919E999CF9}"/>
    <cellStyle name="Currency 4 3 2 3 3 4" xfId="6574" xr:uid="{39EDD527-00BE-4F42-BEE7-D8B07CA033F6}"/>
    <cellStyle name="Currency 4 3 2 3 3 4 2" xfId="10046" xr:uid="{192BE94B-1D66-449D-904B-804C63A269FB}"/>
    <cellStyle name="Currency 4 3 2 3 3 4 2 2" xfId="24097" xr:uid="{F61E55B8-EEA7-4B16-8E41-5F2573DED99F}"/>
    <cellStyle name="Currency 4 3 2 3 3 4 3" xfId="12650" xr:uid="{05618AD2-539E-4A82-A4C1-9F52B81EF2EE}"/>
    <cellStyle name="Currency 4 3 2 3 3 4 3 2" xfId="26701" xr:uid="{2B433EA6-90CD-4104-B934-736F34F6FAC6}"/>
    <cellStyle name="Currency 4 3 2 3 3 4 4" xfId="20625" xr:uid="{6A02BC68-05F8-4C0B-8BB6-52D4112D6FB6}"/>
    <cellStyle name="Currency 4 3 2 3 3 5" xfId="8310" xr:uid="{D191C0DA-1238-4964-8B55-5607C563C264}"/>
    <cellStyle name="Currency 4 3 2 3 3 5 2" xfId="13518" xr:uid="{5617B77C-55D5-4642-AC7E-F7B18C77FC73}"/>
    <cellStyle name="Currency 4 3 2 3 3 5 2 2" xfId="27569" xr:uid="{D6669191-58DD-4761-8670-4B64520AF778}"/>
    <cellStyle name="Currency 4 3 2 3 3 5 3" xfId="22361" xr:uid="{C1DEEB9A-E3C7-4A6A-B422-79D840EC9543}"/>
    <cellStyle name="Currency 4 3 2 3 3 6" xfId="7442" xr:uid="{19318B21-3554-4433-81CB-8C950816CAF4}"/>
    <cellStyle name="Currency 4 3 2 3 3 6 2" xfId="21493" xr:uid="{59C75CA2-AC66-4BA9-BC08-8A7D2C44469B}"/>
    <cellStyle name="Currency 4 3 2 3 3 7" xfId="10914" xr:uid="{2445112A-EEEC-4290-A6D4-731FA9379308}"/>
    <cellStyle name="Currency 4 3 2 3 3 7 2" xfId="24965" xr:uid="{EDAAAE43-2F27-4A0A-9D61-1F20E52B3399}"/>
    <cellStyle name="Currency 4 3 2 3 3 8" xfId="17296" xr:uid="{CF086AC6-BB58-4B98-A6B6-6310F6312AF6}"/>
    <cellStyle name="Currency 4 3 2 3 4" xfId="5080" xr:uid="{65AFFD7D-96E9-45E1-8A1C-9ECCF4439D2F}"/>
    <cellStyle name="Currency 4 3 2 3 4 2" xfId="5948" xr:uid="{621176B4-05BD-4017-BD9A-6E68C91E8488}"/>
    <cellStyle name="Currency 4 3 2 3 4 2 2" xfId="9420" xr:uid="{3996D4C0-6D70-4870-A5FF-54668D4F2EF1}"/>
    <cellStyle name="Currency 4 3 2 3 4 2 2 2" xfId="23471" xr:uid="{87AB4A61-D315-4A59-B385-ECB272F67A44}"/>
    <cellStyle name="Currency 4 3 2 3 4 2 3" xfId="12024" xr:uid="{5192357D-8ACB-4427-9BE3-43F879FC55D7}"/>
    <cellStyle name="Currency 4 3 2 3 4 2 3 2" xfId="26075" xr:uid="{67DE1A58-FF41-4F99-A344-44845B3925E3}"/>
    <cellStyle name="Currency 4 3 2 3 4 2 4" xfId="19999" xr:uid="{14F3494F-373C-4BBC-88CF-83E8E1D6C26E}"/>
    <cellStyle name="Currency 4 3 2 3 4 3" xfId="6816" xr:uid="{C07E7CED-5B7B-4F53-920A-96CBE0647FAD}"/>
    <cellStyle name="Currency 4 3 2 3 4 3 2" xfId="10288" xr:uid="{C4DFA9E5-EFF1-485F-A155-3B5EC38CBDD4}"/>
    <cellStyle name="Currency 4 3 2 3 4 3 2 2" xfId="24339" xr:uid="{6439F654-E3AB-48F6-8BF8-98181EED72F3}"/>
    <cellStyle name="Currency 4 3 2 3 4 3 3" xfId="12892" xr:uid="{3B6DF083-D4CA-499B-B4DF-B7F46F880925}"/>
    <cellStyle name="Currency 4 3 2 3 4 3 3 2" xfId="26943" xr:uid="{6791A2C7-1203-4D56-83AD-148FA1C74024}"/>
    <cellStyle name="Currency 4 3 2 3 4 3 4" xfId="20867" xr:uid="{AFC5B10B-85E1-4565-8C73-E87BACDEAB80}"/>
    <cellStyle name="Currency 4 3 2 3 4 4" xfId="8552" xr:uid="{60C33018-FCAF-4CEA-BD6C-2F9D329DD625}"/>
    <cellStyle name="Currency 4 3 2 3 4 4 2" xfId="13760" xr:uid="{02CD98BE-A1F4-465F-A987-E8705C32FE3A}"/>
    <cellStyle name="Currency 4 3 2 3 4 4 2 2" xfId="27811" xr:uid="{10E1F70F-17C1-4F7E-8450-0B0A308A0F1E}"/>
    <cellStyle name="Currency 4 3 2 3 4 4 3" xfId="22603" xr:uid="{01839366-4E22-4CCB-A7A2-70DE646714D2}"/>
    <cellStyle name="Currency 4 3 2 3 4 5" xfId="7684" xr:uid="{FDED4A4E-84F9-44BD-B381-F0D4BC37313F}"/>
    <cellStyle name="Currency 4 3 2 3 4 5 2" xfId="21735" xr:uid="{6E91BB1B-6356-4502-B23F-7493393F068D}"/>
    <cellStyle name="Currency 4 3 2 3 4 6" xfId="11156" xr:uid="{1997A171-1E08-494B-9CAE-CB57DDF8635B}"/>
    <cellStyle name="Currency 4 3 2 3 4 6 2" xfId="25207" xr:uid="{5F4975CC-D04F-44D8-B9AD-1EB0E31C7511}"/>
    <cellStyle name="Currency 4 3 2 3 4 7" xfId="19131" xr:uid="{17FDEF9A-AEBA-4B8A-963A-5E2EE1BD9B9A}"/>
    <cellStyle name="Currency 4 3 2 3 5" xfId="5514" xr:uid="{5A6CEAFC-1173-4D98-BDA3-816A3FEED30C}"/>
    <cellStyle name="Currency 4 3 2 3 5 2" xfId="8986" xr:uid="{6D13B3EB-3704-4DB6-8564-6F6C2665EE11}"/>
    <cellStyle name="Currency 4 3 2 3 5 2 2" xfId="23037" xr:uid="{7506AED0-A77E-4632-B49F-C6D4295D3689}"/>
    <cellStyle name="Currency 4 3 2 3 5 3" xfId="11590" xr:uid="{A29F1BF9-A171-416F-905D-4E60DC6AC676}"/>
    <cellStyle name="Currency 4 3 2 3 5 3 2" xfId="25641" xr:uid="{04956986-8E0E-4DB6-AECE-60375716B7D1}"/>
    <cellStyle name="Currency 4 3 2 3 5 4" xfId="19565" xr:uid="{FE7ABE86-C0A7-46B5-92B7-6FDF32B036D0}"/>
    <cellStyle name="Currency 4 3 2 3 6" xfId="6382" xr:uid="{02D5D0BA-CEAC-4E16-83FB-6CCBA7D76756}"/>
    <cellStyle name="Currency 4 3 2 3 6 2" xfId="9854" xr:uid="{26AAB170-C6F8-4258-BC21-9414BC0ABA34}"/>
    <cellStyle name="Currency 4 3 2 3 6 2 2" xfId="23905" xr:uid="{B0BFE363-6D6F-422F-BB19-BE1FAD893BC0}"/>
    <cellStyle name="Currency 4 3 2 3 6 3" xfId="12458" xr:uid="{64189C49-FBE9-4615-BA52-654855851CCB}"/>
    <cellStyle name="Currency 4 3 2 3 6 3 2" xfId="26509" xr:uid="{9F4ADD36-19FB-496A-8AD7-7EA7F7DC2D74}"/>
    <cellStyle name="Currency 4 3 2 3 6 4" xfId="20433" xr:uid="{53CF5A0D-D5BD-450D-BAA2-FFE465F92EB5}"/>
    <cellStyle name="Currency 4 3 2 3 7" xfId="8118" xr:uid="{ACCB25F7-4B08-486B-B606-5F47BD550D80}"/>
    <cellStyle name="Currency 4 3 2 3 7 2" xfId="13326" xr:uid="{84346E4E-239E-43AA-B3CA-31F6BBE0C848}"/>
    <cellStyle name="Currency 4 3 2 3 7 2 2" xfId="27377" xr:uid="{D8F974C3-187D-4AD5-B8F9-6245D71F2734}"/>
    <cellStyle name="Currency 4 3 2 3 7 3" xfId="22169" xr:uid="{809DCD32-33C2-4318-AAF0-C47E524C2AB4}"/>
    <cellStyle name="Currency 4 3 2 3 8" xfId="7250" xr:uid="{08EDD378-1634-41F3-A4C7-FDE933AA6707}"/>
    <cellStyle name="Currency 4 3 2 3 8 2" xfId="21301" xr:uid="{4EFAFA0F-117D-4A82-8F16-50985DE621AB}"/>
    <cellStyle name="Currency 4 3 2 3 9" xfId="10722" xr:uid="{8002042F-8AAD-45FF-8CC4-85C775E4C95B}"/>
    <cellStyle name="Currency 4 3 2 3 9 2" xfId="24773" xr:uid="{548F10B3-EBAC-44A0-85AC-EF9CE7AEFBD6}"/>
    <cellStyle name="Currency 4 3 2 4" xfId="1632" xr:uid="{5080FD3E-7103-46B7-BD84-9CB2F58B66EC}"/>
    <cellStyle name="Currency 4 3 2 4 2" xfId="3822" xr:uid="{4D999668-DD26-4053-8C5C-9E56793384DD}"/>
    <cellStyle name="Currency 4 3 2 4 2 2" xfId="5323" xr:uid="{D4763F2D-A2D9-4E6F-8D50-246D3B43687B}"/>
    <cellStyle name="Currency 4 3 2 4 2 2 2" xfId="6191" xr:uid="{375BEEB2-FFD0-4B03-9303-F04E38FDB673}"/>
    <cellStyle name="Currency 4 3 2 4 2 2 2 2" xfId="9663" xr:uid="{9C668FF7-C403-43F7-83BD-3DC0EA9EAD09}"/>
    <cellStyle name="Currency 4 3 2 4 2 2 2 2 2" xfId="23714" xr:uid="{D6835A4D-6DE1-45D7-BF3A-57C0A65FD3DE}"/>
    <cellStyle name="Currency 4 3 2 4 2 2 2 3" xfId="12267" xr:uid="{F6950CAF-6221-438B-9A2F-C9BB8D90E902}"/>
    <cellStyle name="Currency 4 3 2 4 2 2 2 3 2" xfId="26318" xr:uid="{786409DB-4BE7-4EA6-BE97-C7A07CFD0BAD}"/>
    <cellStyle name="Currency 4 3 2 4 2 2 2 4" xfId="20242" xr:uid="{C86E87BA-A733-4B64-80AE-4CAAFACAD74A}"/>
    <cellStyle name="Currency 4 3 2 4 2 2 3" xfId="7059" xr:uid="{C5CD5BEE-DB9F-4AB9-B173-60DFCF234283}"/>
    <cellStyle name="Currency 4 3 2 4 2 2 3 2" xfId="10531" xr:uid="{CE7EF10E-3D1A-4A72-A2A8-BBB0D684241F}"/>
    <cellStyle name="Currency 4 3 2 4 2 2 3 2 2" xfId="24582" xr:uid="{E7317E63-814E-4F61-86A9-21386A9A0C99}"/>
    <cellStyle name="Currency 4 3 2 4 2 2 3 3" xfId="13135" xr:uid="{0F4AD644-3769-4DC3-994A-7836C7270689}"/>
    <cellStyle name="Currency 4 3 2 4 2 2 3 3 2" xfId="27186" xr:uid="{E54663CD-FDF3-4A9E-B231-D6D37096CEEF}"/>
    <cellStyle name="Currency 4 3 2 4 2 2 3 4" xfId="21110" xr:uid="{305292B4-32DC-46BE-9CC1-871C7C3329B8}"/>
    <cellStyle name="Currency 4 3 2 4 2 2 4" xfId="8795" xr:uid="{4C1C1B7F-52B1-480B-85F5-583A20471D9C}"/>
    <cellStyle name="Currency 4 3 2 4 2 2 4 2" xfId="14003" xr:uid="{7934EA1F-AE81-4BD5-9F9E-3B459354581B}"/>
    <cellStyle name="Currency 4 3 2 4 2 2 4 2 2" xfId="28054" xr:uid="{50986B60-E93D-4C85-B7BF-54AD2DE34339}"/>
    <cellStyle name="Currency 4 3 2 4 2 2 4 3" xfId="22846" xr:uid="{40A3AC80-17B3-49D4-AB8A-1C4F4DC41BAC}"/>
    <cellStyle name="Currency 4 3 2 4 2 2 5" xfId="7927" xr:uid="{3D2DEF06-7FD6-405F-9418-95C5DBF0D324}"/>
    <cellStyle name="Currency 4 3 2 4 2 2 5 2" xfId="21978" xr:uid="{A708DA2C-C1ED-4C1A-86C9-DA16B5F9EC27}"/>
    <cellStyle name="Currency 4 3 2 4 2 2 6" xfId="11399" xr:uid="{FBE51BBB-68B2-4D42-A64D-581D628F54AE}"/>
    <cellStyle name="Currency 4 3 2 4 2 2 6 2" xfId="25450" xr:uid="{CCD494FF-ACEF-4AEB-847A-015E49C6898B}"/>
    <cellStyle name="Currency 4 3 2 4 2 2 7" xfId="19374" xr:uid="{1DF08709-72BE-4EAE-957D-934B57C063C4}"/>
    <cellStyle name="Currency 4 3 2 4 2 3" xfId="5757" xr:uid="{FE87662B-7143-4721-AE53-B2DBD9A5D3FC}"/>
    <cellStyle name="Currency 4 3 2 4 2 3 2" xfId="9229" xr:uid="{68E177B8-0DCA-4DF8-B079-0857B95541C6}"/>
    <cellStyle name="Currency 4 3 2 4 2 3 2 2" xfId="23280" xr:uid="{62454A8C-A49F-40B4-B169-A28AE67225F8}"/>
    <cellStyle name="Currency 4 3 2 4 2 3 3" xfId="11833" xr:uid="{99B822B9-A869-4670-8B89-AD107D12D36C}"/>
    <cellStyle name="Currency 4 3 2 4 2 3 3 2" xfId="25884" xr:uid="{85370491-EA20-4FE8-B53A-AE7D53A5A362}"/>
    <cellStyle name="Currency 4 3 2 4 2 3 4" xfId="19808" xr:uid="{408A41A8-398D-40F3-A35D-B1A9B9AEF8B5}"/>
    <cellStyle name="Currency 4 3 2 4 2 4" xfId="6625" xr:uid="{102CD7CD-CB11-404C-B7F5-04FDB43841FC}"/>
    <cellStyle name="Currency 4 3 2 4 2 4 2" xfId="10097" xr:uid="{8EBB3D64-61D6-4DD7-A51A-EA52B45F7FBC}"/>
    <cellStyle name="Currency 4 3 2 4 2 4 2 2" xfId="24148" xr:uid="{B96E3A75-E5CB-4312-A5DB-A7E74D375467}"/>
    <cellStyle name="Currency 4 3 2 4 2 4 3" xfId="12701" xr:uid="{34219780-CCC6-4BC1-BBE8-4A248C46B29C}"/>
    <cellStyle name="Currency 4 3 2 4 2 4 3 2" xfId="26752" xr:uid="{E02B0FEA-42CE-4F07-8630-6B02A4BCD4AD}"/>
    <cellStyle name="Currency 4 3 2 4 2 4 4" xfId="20676" xr:uid="{8CDFA7BD-2875-4696-A31D-BE8ADAD96AAE}"/>
    <cellStyle name="Currency 4 3 2 4 2 5" xfId="8361" xr:uid="{11A1E62E-EAF7-47FB-97F2-C0FFF3417437}"/>
    <cellStyle name="Currency 4 3 2 4 2 5 2" xfId="13569" xr:uid="{1F246B66-E736-482F-B309-6161B1EAFC1D}"/>
    <cellStyle name="Currency 4 3 2 4 2 5 2 2" xfId="27620" xr:uid="{6594F043-E875-42C1-A68D-B4AC12BEB688}"/>
    <cellStyle name="Currency 4 3 2 4 2 5 3" xfId="22412" xr:uid="{759A77AA-BECD-4874-A6C5-B2AA732303AC}"/>
    <cellStyle name="Currency 4 3 2 4 2 6" xfId="7493" xr:uid="{83E6EC52-B031-4544-8498-9A046EDD6153}"/>
    <cellStyle name="Currency 4 3 2 4 2 6 2" xfId="21544" xr:uid="{7908EF4B-443B-449F-995C-2341E143BC0C}"/>
    <cellStyle name="Currency 4 3 2 4 2 7" xfId="10965" xr:uid="{DDDFBE0E-17EB-4602-AF4E-33F23AD45C65}"/>
    <cellStyle name="Currency 4 3 2 4 2 7 2" xfId="25016" xr:uid="{575B5053-EE10-474F-BFAA-207271B73B69}"/>
    <cellStyle name="Currency 4 3 2 4 2 8" xfId="17875" xr:uid="{69ACF1F0-6E48-4D47-9132-BA2D108B61BB}"/>
    <cellStyle name="Currency 4 3 2 4 3" xfId="5132" xr:uid="{8DC4D441-390C-4D6C-AEBE-44B374239A14}"/>
    <cellStyle name="Currency 4 3 2 4 3 2" xfId="6000" xr:uid="{D153C6D4-057C-4CF3-81CD-F8C62B137BFC}"/>
    <cellStyle name="Currency 4 3 2 4 3 2 2" xfId="9472" xr:uid="{CB7A1E8B-9D72-4C60-8496-75D62D053F12}"/>
    <cellStyle name="Currency 4 3 2 4 3 2 2 2" xfId="23523" xr:uid="{91FB6655-AC46-4D2B-A72A-9A59052BF1B8}"/>
    <cellStyle name="Currency 4 3 2 4 3 2 3" xfId="12076" xr:uid="{57DB500D-1058-4CD4-841F-0A7DB6565B0A}"/>
    <cellStyle name="Currency 4 3 2 4 3 2 3 2" xfId="26127" xr:uid="{EDF6BD60-70CF-4783-82F2-9192A5106E73}"/>
    <cellStyle name="Currency 4 3 2 4 3 2 4" xfId="20051" xr:uid="{732A41A2-0145-476D-8D25-D7FA398A1322}"/>
    <cellStyle name="Currency 4 3 2 4 3 3" xfId="6868" xr:uid="{3EAD730E-5CC5-4079-9316-9A612DB64BB7}"/>
    <cellStyle name="Currency 4 3 2 4 3 3 2" xfId="10340" xr:uid="{9DF8B446-29E9-4F22-A5F5-2F66177B88C3}"/>
    <cellStyle name="Currency 4 3 2 4 3 3 2 2" xfId="24391" xr:uid="{20182999-8402-4F40-AC33-DC04B80F41C2}"/>
    <cellStyle name="Currency 4 3 2 4 3 3 3" xfId="12944" xr:uid="{514E52B1-AB13-40BA-B13D-22014136DBDF}"/>
    <cellStyle name="Currency 4 3 2 4 3 3 3 2" xfId="26995" xr:uid="{E7CA51DA-BDC3-4CF6-8D35-502969BFD5BB}"/>
    <cellStyle name="Currency 4 3 2 4 3 3 4" xfId="20919" xr:uid="{1FBDDE1A-48D8-432E-A9E6-F55CE3EE881D}"/>
    <cellStyle name="Currency 4 3 2 4 3 4" xfId="8604" xr:uid="{6538D44F-68EF-4674-8848-1A0C6785BF3B}"/>
    <cellStyle name="Currency 4 3 2 4 3 4 2" xfId="13812" xr:uid="{BD1F7B43-34FD-4909-AAD9-EB580FDACC39}"/>
    <cellStyle name="Currency 4 3 2 4 3 4 2 2" xfId="27863" xr:uid="{30692163-426A-42FD-B6D3-90BF8F8AA152}"/>
    <cellStyle name="Currency 4 3 2 4 3 4 3" xfId="22655" xr:uid="{4272A888-AFB0-4923-A7E6-8E3C07B29C0C}"/>
    <cellStyle name="Currency 4 3 2 4 3 5" xfId="7736" xr:uid="{08E5923B-1D88-426C-B403-BFF25272C910}"/>
    <cellStyle name="Currency 4 3 2 4 3 5 2" xfId="21787" xr:uid="{6037A153-AF13-42D7-8F95-6116F1C6C94B}"/>
    <cellStyle name="Currency 4 3 2 4 3 6" xfId="11208" xr:uid="{79130607-56B3-457A-B0F9-7D99AD67CB66}"/>
    <cellStyle name="Currency 4 3 2 4 3 6 2" xfId="25259" xr:uid="{D3624870-17C1-43D1-810C-FB303CE457AD}"/>
    <cellStyle name="Currency 4 3 2 4 3 7" xfId="19183" xr:uid="{994822DC-7DE9-4ED8-AF8C-323A451721DC}"/>
    <cellStyle name="Currency 4 3 2 4 4" xfId="5566" xr:uid="{ABD26929-A376-4E31-89BA-6E61678C018B}"/>
    <cellStyle name="Currency 4 3 2 4 4 2" xfId="9038" xr:uid="{C84A7DEA-5ECD-4F3F-8354-B054BF6AE185}"/>
    <cellStyle name="Currency 4 3 2 4 4 2 2" xfId="23089" xr:uid="{53446681-A19B-48D9-9A5F-0EE2AD911907}"/>
    <cellStyle name="Currency 4 3 2 4 4 3" xfId="11642" xr:uid="{F5B9EE3B-1848-4EFF-9363-A97654872206}"/>
    <cellStyle name="Currency 4 3 2 4 4 3 2" xfId="25693" xr:uid="{6560B929-7410-44AD-A4A4-B5EAE7E9CED8}"/>
    <cellStyle name="Currency 4 3 2 4 4 4" xfId="19617" xr:uid="{2FB98FFA-C3DF-4A30-ABAB-480D3048FD60}"/>
    <cellStyle name="Currency 4 3 2 4 5" xfId="6434" xr:uid="{5B4323EF-CD07-4FBD-85F9-25F69DBB58E7}"/>
    <cellStyle name="Currency 4 3 2 4 5 2" xfId="9906" xr:uid="{DADAF274-073C-44AF-A641-B2C2BB42C9C2}"/>
    <cellStyle name="Currency 4 3 2 4 5 2 2" xfId="23957" xr:uid="{49C7187C-423E-44D5-BB95-BDF88A70616B}"/>
    <cellStyle name="Currency 4 3 2 4 5 3" xfId="12510" xr:uid="{59358D12-62FA-4466-9879-18B17DB2EB74}"/>
    <cellStyle name="Currency 4 3 2 4 5 3 2" xfId="26561" xr:uid="{B0B8DDF5-923A-44F4-83B0-6096249F597D}"/>
    <cellStyle name="Currency 4 3 2 4 5 4" xfId="20485" xr:uid="{277B59F7-9F43-4734-AA3B-C8B74A7242DD}"/>
    <cellStyle name="Currency 4 3 2 4 6" xfId="8170" xr:uid="{BDD6D518-B905-4F9C-B7BB-371B3EA92B13}"/>
    <cellStyle name="Currency 4 3 2 4 6 2" xfId="13378" xr:uid="{6EB17D61-74B0-45DC-A3FD-1A131AC15B14}"/>
    <cellStyle name="Currency 4 3 2 4 6 2 2" xfId="27429" xr:uid="{A907F206-D9A0-45D1-AFA5-CB0E30F484B7}"/>
    <cellStyle name="Currency 4 3 2 4 6 3" xfId="22221" xr:uid="{332A118F-8AB3-4F3B-8C66-E5A1E8221A46}"/>
    <cellStyle name="Currency 4 3 2 4 7" xfId="7302" xr:uid="{7352EABD-2CDF-4E76-B0DF-98F00F082E3E}"/>
    <cellStyle name="Currency 4 3 2 4 7 2" xfId="21353" xr:uid="{9F874761-E336-41B8-9FC9-B1F337D38203}"/>
    <cellStyle name="Currency 4 3 2 4 8" xfId="10774" xr:uid="{BEDB4F4D-7E1F-4B0D-980F-EC3DBE87CF4A}"/>
    <cellStyle name="Currency 4 3 2 4 8 2" xfId="24825" xr:uid="{303E937D-E549-49A8-855C-5F3645D7860E}"/>
    <cellStyle name="Currency 4 3 2 4 9" xfId="15681" xr:uid="{2535C403-ED22-4430-8761-4D0980A88451}"/>
    <cellStyle name="Currency 4 3 2 5" xfId="2551" xr:uid="{C142AA08-D5C8-4FCD-A5A1-488D41E1B8E5}"/>
    <cellStyle name="Currency 4 3 2 5 2" xfId="5212" xr:uid="{5A9869F4-27E8-4E12-A176-2C472F177083}"/>
    <cellStyle name="Currency 4 3 2 5 2 2" xfId="6080" xr:uid="{7A07C36B-7FED-4999-9A8D-B8FB65DE4260}"/>
    <cellStyle name="Currency 4 3 2 5 2 2 2" xfId="9552" xr:uid="{35B61680-3541-46A2-B8D8-30BEEE685CF9}"/>
    <cellStyle name="Currency 4 3 2 5 2 2 2 2" xfId="23603" xr:uid="{77CC38F9-5105-4441-920A-9024540AEAD3}"/>
    <cellStyle name="Currency 4 3 2 5 2 2 3" xfId="12156" xr:uid="{EDE4C9E5-6419-48D7-A6E4-6E97B6EB7DDA}"/>
    <cellStyle name="Currency 4 3 2 5 2 2 3 2" xfId="26207" xr:uid="{043F0571-ADE0-49EF-A23F-705F488DB09D}"/>
    <cellStyle name="Currency 4 3 2 5 2 2 4" xfId="20131" xr:uid="{4B852EE2-6E8B-44BE-8737-33AADB8C5CB4}"/>
    <cellStyle name="Currency 4 3 2 5 2 3" xfId="6948" xr:uid="{1470B030-45FF-46ED-990A-A1D4F023F735}"/>
    <cellStyle name="Currency 4 3 2 5 2 3 2" xfId="10420" xr:uid="{3B6BD0BD-A892-4CF9-B93D-DBABA5526C29}"/>
    <cellStyle name="Currency 4 3 2 5 2 3 2 2" xfId="24471" xr:uid="{CB1545F9-2154-4E56-8167-354FBA8E1DD8}"/>
    <cellStyle name="Currency 4 3 2 5 2 3 3" xfId="13024" xr:uid="{0831A452-9955-4486-90BD-9ADA0F06B1C2}"/>
    <cellStyle name="Currency 4 3 2 5 2 3 3 2" xfId="27075" xr:uid="{4D0D8929-77AF-4938-B636-4B327B829E3B}"/>
    <cellStyle name="Currency 4 3 2 5 2 3 4" xfId="20999" xr:uid="{9F56A242-DA51-450E-A195-BB1C898190D9}"/>
    <cellStyle name="Currency 4 3 2 5 2 4" xfId="8684" xr:uid="{B55CA7A0-23C8-4345-A806-F13C03F2A7A5}"/>
    <cellStyle name="Currency 4 3 2 5 2 4 2" xfId="13892" xr:uid="{B49B6D99-F8AC-47FF-85B1-D7364C52E1B2}"/>
    <cellStyle name="Currency 4 3 2 5 2 4 2 2" xfId="27943" xr:uid="{BAAA7020-EEFC-4D5E-BCB6-A2E277F43C6C}"/>
    <cellStyle name="Currency 4 3 2 5 2 4 3" xfId="22735" xr:uid="{99CDAC23-D95D-4713-8FCB-29A808A1D710}"/>
    <cellStyle name="Currency 4 3 2 5 2 5" xfId="7816" xr:uid="{B11616A5-C2E0-42AC-8D1A-97581C79FE70}"/>
    <cellStyle name="Currency 4 3 2 5 2 5 2" xfId="21867" xr:uid="{6B915CD0-D919-4481-BA92-DD897B3BD1D0}"/>
    <cellStyle name="Currency 4 3 2 5 2 6" xfId="11288" xr:uid="{14E9BEAB-46B0-4165-BF4F-356D89CBBDF4}"/>
    <cellStyle name="Currency 4 3 2 5 2 6 2" xfId="25339" xr:uid="{CB675448-8AC1-4B3A-A350-77D72FB81768}"/>
    <cellStyle name="Currency 4 3 2 5 2 7" xfId="19263" xr:uid="{CC939E32-65D6-42B5-851A-D876D37AC209}"/>
    <cellStyle name="Currency 4 3 2 5 3" xfId="5646" xr:uid="{D7683BC0-6D1B-41BA-995D-0BA612C6A8C0}"/>
    <cellStyle name="Currency 4 3 2 5 3 2" xfId="9118" xr:uid="{A7F3A2A5-7E94-4ED4-9760-AB8820136523}"/>
    <cellStyle name="Currency 4 3 2 5 3 2 2" xfId="23169" xr:uid="{06E51067-4DEC-484A-BF8F-389A5BE4D940}"/>
    <cellStyle name="Currency 4 3 2 5 3 3" xfId="11722" xr:uid="{C1D7478D-5597-4875-BEB9-97801619B7AF}"/>
    <cellStyle name="Currency 4 3 2 5 3 3 2" xfId="25773" xr:uid="{16B4606C-D732-4FC6-B281-4AECBE8D4EC1}"/>
    <cellStyle name="Currency 4 3 2 5 3 4" xfId="19697" xr:uid="{568C04CE-E145-4328-AEAA-5C039AB8B069}"/>
    <cellStyle name="Currency 4 3 2 5 4" xfId="6514" xr:uid="{A468AB93-A6CD-46C2-ABB4-15A4AD68B4F5}"/>
    <cellStyle name="Currency 4 3 2 5 4 2" xfId="9986" xr:uid="{BEBAB5BD-4829-48E0-9D4C-9D10C0E5769C}"/>
    <cellStyle name="Currency 4 3 2 5 4 2 2" xfId="24037" xr:uid="{FC3F4B75-FA28-46DF-B595-2CBA5035608F}"/>
    <cellStyle name="Currency 4 3 2 5 4 3" xfId="12590" xr:uid="{E6C20D0F-6170-45DB-9F32-C0BB03F8243B}"/>
    <cellStyle name="Currency 4 3 2 5 4 3 2" xfId="26641" xr:uid="{7533E639-06C2-43E7-91B1-3F3DBB7F44FF}"/>
    <cellStyle name="Currency 4 3 2 5 4 4" xfId="20565" xr:uid="{551442B8-9F43-4D3E-8FB6-F44D82FDCB9F}"/>
    <cellStyle name="Currency 4 3 2 5 5" xfId="8250" xr:uid="{0519DF40-43DD-414E-8129-5BDD58936ACF}"/>
    <cellStyle name="Currency 4 3 2 5 5 2" xfId="13458" xr:uid="{A609D072-D996-4B4C-8964-D3D3B297D485}"/>
    <cellStyle name="Currency 4 3 2 5 5 2 2" xfId="27509" xr:uid="{91412D07-E84C-4898-B9DC-3CCE23F8C24F}"/>
    <cellStyle name="Currency 4 3 2 5 5 3" xfId="22301" xr:uid="{C125061F-12E5-42BC-8895-D0011DE007C7}"/>
    <cellStyle name="Currency 4 3 2 5 6" xfId="7382" xr:uid="{AECBC3BA-B772-468B-AAFD-0FDFD650E34A}"/>
    <cellStyle name="Currency 4 3 2 5 6 2" xfId="21433" xr:uid="{F91E0A27-E19F-46AF-B5DD-C544C0E096D8}"/>
    <cellStyle name="Currency 4 3 2 5 7" xfId="10854" xr:uid="{5D4A8FBA-FDA4-4BE8-B090-6CABF67F5DAC}"/>
    <cellStyle name="Currency 4 3 2 5 7 2" xfId="24905" xr:uid="{A6D8813E-E8A6-4327-83DF-6EF454455808}"/>
    <cellStyle name="Currency 4 3 2 5 8" xfId="16602" xr:uid="{FF592B2B-3DC5-4604-A8E6-3C8643F1428B}"/>
    <cellStyle name="Currency 4 3 2 6" xfId="4917" xr:uid="{387FCBB5-C18D-411F-B493-309C39D81ADA}"/>
    <cellStyle name="Currency 4 3 2 6 2" xfId="5418" xr:uid="{4F8790C8-EBF7-40C4-87EE-84DC97F21962}"/>
    <cellStyle name="Currency 4 3 2 6 2 2" xfId="6286" xr:uid="{C300229A-CC9B-491A-89E6-DEA69D52DDC3}"/>
    <cellStyle name="Currency 4 3 2 6 2 2 2" xfId="9758" xr:uid="{28E029F1-3BED-4E78-941D-A6D48326F8E2}"/>
    <cellStyle name="Currency 4 3 2 6 2 2 2 2" xfId="23809" xr:uid="{09EF8546-8A81-4616-A8BB-A5A9A92E4142}"/>
    <cellStyle name="Currency 4 3 2 6 2 2 3" xfId="12362" xr:uid="{4FF80F4B-A500-4DD0-AB76-4951D1E74933}"/>
    <cellStyle name="Currency 4 3 2 6 2 2 3 2" xfId="26413" xr:uid="{C8287E40-B91A-477B-9007-332E7F813F9A}"/>
    <cellStyle name="Currency 4 3 2 6 2 2 4" xfId="20337" xr:uid="{4C55CA77-2F1B-44A5-8E87-75003316ACDA}"/>
    <cellStyle name="Currency 4 3 2 6 2 3" xfId="7154" xr:uid="{8B21CD13-08BA-4AE5-96E8-5E7F45B16E84}"/>
    <cellStyle name="Currency 4 3 2 6 2 3 2" xfId="10626" xr:uid="{462AB634-B78C-4EE9-8D04-3C9805BE9F3B}"/>
    <cellStyle name="Currency 4 3 2 6 2 3 2 2" xfId="24677" xr:uid="{FB5ED7AB-E18F-4970-AB4C-47C9AD94A48C}"/>
    <cellStyle name="Currency 4 3 2 6 2 3 3" xfId="13230" xr:uid="{60983CBF-3DA0-4E86-AAE4-42497525B99E}"/>
    <cellStyle name="Currency 4 3 2 6 2 3 3 2" xfId="27281" xr:uid="{79843A28-BAF7-4C92-8D24-D8C52A3CBB5E}"/>
    <cellStyle name="Currency 4 3 2 6 2 3 4" xfId="21205" xr:uid="{3B786699-ECFE-441F-AA74-C6C8095C9E18}"/>
    <cellStyle name="Currency 4 3 2 6 2 4" xfId="8890" xr:uid="{47160AD3-4DEE-4AFB-B964-351D61B5FCD3}"/>
    <cellStyle name="Currency 4 3 2 6 2 4 2" xfId="14098" xr:uid="{3A260421-D124-4D8B-A86E-8D753B6329A3}"/>
    <cellStyle name="Currency 4 3 2 6 2 4 2 2" xfId="28149" xr:uid="{B69C567B-19E7-4A46-8531-3F5B3C1E4E47}"/>
    <cellStyle name="Currency 4 3 2 6 2 4 3" xfId="22941" xr:uid="{FDB5C5A5-AD62-4C68-B895-4DA8C94B26BC}"/>
    <cellStyle name="Currency 4 3 2 6 2 5" xfId="8022" xr:uid="{83606FA7-41B9-4E60-AAC1-A3CE90042F90}"/>
    <cellStyle name="Currency 4 3 2 6 2 5 2" xfId="22073" xr:uid="{F79D5B51-B5FF-4023-8A2F-FC838548AF15}"/>
    <cellStyle name="Currency 4 3 2 6 2 6" xfId="11494" xr:uid="{E08B2F30-31EA-4596-860C-26CAAC226DA8}"/>
    <cellStyle name="Currency 4 3 2 6 2 6 2" xfId="25545" xr:uid="{88C58BDB-5F77-49E4-9741-1976A4BC54DB}"/>
    <cellStyle name="Currency 4 3 2 6 2 7" xfId="19469" xr:uid="{EEB06C88-427E-42FE-AE8A-F3E7A063E7D5}"/>
    <cellStyle name="Currency 4 3 2 6 3" xfId="5852" xr:uid="{B0E7918B-4555-4C70-AAC3-799494C1B008}"/>
    <cellStyle name="Currency 4 3 2 6 3 2" xfId="9324" xr:uid="{FBBFA9F6-66D5-4336-BE0B-2D211D697359}"/>
    <cellStyle name="Currency 4 3 2 6 3 2 2" xfId="23375" xr:uid="{52CFB211-1E6C-47B3-A212-20F187C7D1B5}"/>
    <cellStyle name="Currency 4 3 2 6 3 3" xfId="11928" xr:uid="{D623F8FB-36F3-4CC5-87A9-7E64515FBE59}"/>
    <cellStyle name="Currency 4 3 2 6 3 3 2" xfId="25979" xr:uid="{CBC54EE2-FCD9-4D82-A985-F2E7F0B05123}"/>
    <cellStyle name="Currency 4 3 2 6 3 4" xfId="19903" xr:uid="{F69D322C-6259-48D3-99D7-742EB7DC8097}"/>
    <cellStyle name="Currency 4 3 2 6 4" xfId="6720" xr:uid="{149FB69E-121E-436F-BCF7-359196DAEFAA}"/>
    <cellStyle name="Currency 4 3 2 6 4 2" xfId="10192" xr:uid="{205327DB-2E99-4C92-AF0D-8B8EF198B019}"/>
    <cellStyle name="Currency 4 3 2 6 4 2 2" xfId="24243" xr:uid="{AF48289F-8AA8-4FC1-8943-C292D86EACA8}"/>
    <cellStyle name="Currency 4 3 2 6 4 3" xfId="12796" xr:uid="{84D4F8BD-F7C9-495C-A675-CF6FC2DC5859}"/>
    <cellStyle name="Currency 4 3 2 6 4 3 2" xfId="26847" xr:uid="{B3788F83-5C8E-48A5-80E0-936EDE0E6462}"/>
    <cellStyle name="Currency 4 3 2 6 4 4" xfId="20771" xr:uid="{9135C275-7B64-4D39-ADA1-F68A92929A14}"/>
    <cellStyle name="Currency 4 3 2 6 5" xfId="8456" xr:uid="{93E4A8CC-C9DB-4B6C-833D-66944A1D969C}"/>
    <cellStyle name="Currency 4 3 2 6 5 2" xfId="13664" xr:uid="{9E45644C-8B52-4526-847B-C00D543F8FCB}"/>
    <cellStyle name="Currency 4 3 2 6 5 2 2" xfId="27715" xr:uid="{5927D71F-21BD-4488-ABFF-04C36214E83E}"/>
    <cellStyle name="Currency 4 3 2 6 5 3" xfId="22507" xr:uid="{B8B133F6-6C7C-44EF-9BA4-D41C84CBF1E3}"/>
    <cellStyle name="Currency 4 3 2 6 6" xfId="7588" xr:uid="{CA3965F3-5E1B-4BBE-BFD2-6D54D91E0287}"/>
    <cellStyle name="Currency 4 3 2 6 6 2" xfId="21639" xr:uid="{004CBAD8-2A88-4CD3-833C-343C95AF55BC}"/>
    <cellStyle name="Currency 4 3 2 6 7" xfId="11060" xr:uid="{3835FEA0-9E54-4112-8183-B5CA3A0FBF1B}"/>
    <cellStyle name="Currency 4 3 2 6 7 2" xfId="25111" xr:uid="{D669AA7B-6780-44BE-A303-5EE9C0A8477F}"/>
    <cellStyle name="Currency 4 3 2 6 8" xfId="18969" xr:uid="{5F105B37-57AD-44D7-A311-DD8B822FF926}"/>
    <cellStyle name="Currency 4 3 2 7" xfId="5018" xr:uid="{9173BFBC-442D-4534-B265-31476EAA999E}"/>
    <cellStyle name="Currency 4 3 2 7 2" xfId="5886" xr:uid="{F71CE55F-03E1-42B2-9A99-67071CF37AF0}"/>
    <cellStyle name="Currency 4 3 2 7 2 2" xfId="9358" xr:uid="{55E844AA-0A77-4FEA-8D9D-9870591BC4C0}"/>
    <cellStyle name="Currency 4 3 2 7 2 2 2" xfId="23409" xr:uid="{3EB07CD0-5DFD-4E5E-A39A-817026FE8036}"/>
    <cellStyle name="Currency 4 3 2 7 2 3" xfId="11962" xr:uid="{9123732F-5CC9-4AEB-BAF8-D6C657419E1E}"/>
    <cellStyle name="Currency 4 3 2 7 2 3 2" xfId="26013" xr:uid="{526BFBB8-C986-4622-8F28-6B68425FFE97}"/>
    <cellStyle name="Currency 4 3 2 7 2 4" xfId="19937" xr:uid="{F655CC03-1785-40CF-B77D-629F378E9CE6}"/>
    <cellStyle name="Currency 4 3 2 7 3" xfId="6754" xr:uid="{C851E04D-4F07-4AB9-9EAA-486FAB3CE822}"/>
    <cellStyle name="Currency 4 3 2 7 3 2" xfId="10226" xr:uid="{7CB1CFBD-99A2-4D6A-99AC-A599B67DB84C}"/>
    <cellStyle name="Currency 4 3 2 7 3 2 2" xfId="24277" xr:uid="{989FE3AA-8648-46BE-AEA7-3DC68CB20976}"/>
    <cellStyle name="Currency 4 3 2 7 3 3" xfId="12830" xr:uid="{E939C7F2-8234-4467-8908-CD9B5B78F231}"/>
    <cellStyle name="Currency 4 3 2 7 3 3 2" xfId="26881" xr:uid="{3A8D678A-9CB4-4742-A67F-1D78A58B4549}"/>
    <cellStyle name="Currency 4 3 2 7 3 4" xfId="20805" xr:uid="{12F043D5-6E1E-473C-AA4B-0956713A3568}"/>
    <cellStyle name="Currency 4 3 2 7 4" xfId="8490" xr:uid="{233A5170-463A-4078-88BC-C8E4B462BD68}"/>
    <cellStyle name="Currency 4 3 2 7 4 2" xfId="13698" xr:uid="{43F64FCA-943D-414A-9E14-E9A2BA9731D4}"/>
    <cellStyle name="Currency 4 3 2 7 4 2 2" xfId="27749" xr:uid="{DC4223B3-E7FA-4B2E-8963-85E20FA7DC3C}"/>
    <cellStyle name="Currency 4 3 2 7 4 3" xfId="22541" xr:uid="{FED58E7B-7C1B-473A-94CE-A8ED15098E44}"/>
    <cellStyle name="Currency 4 3 2 7 5" xfId="7622" xr:uid="{91D7B25A-F1B9-41C4-BFF2-B4499DB6D5D1}"/>
    <cellStyle name="Currency 4 3 2 7 5 2" xfId="21673" xr:uid="{A3526187-9243-466D-A900-BCCE4634A631}"/>
    <cellStyle name="Currency 4 3 2 7 6" xfId="11094" xr:uid="{A3849CA0-5709-4FE5-9CDF-2AB4AB051C52}"/>
    <cellStyle name="Currency 4 3 2 7 6 2" xfId="25145" xr:uid="{A154B94B-B852-4FF6-880C-521806DC532A}"/>
    <cellStyle name="Currency 4 3 2 7 7" xfId="19069" xr:uid="{56F7B120-E0E6-4FD7-8567-4B46C129B263}"/>
    <cellStyle name="Currency 4 3 2 8" xfId="5452" xr:uid="{63463282-AC4F-4C43-8866-2F7454DD2DC4}"/>
    <cellStyle name="Currency 4 3 2 8 2" xfId="8924" xr:uid="{B2FCB117-6F1B-41DC-9DEA-0A79DC0913D3}"/>
    <cellStyle name="Currency 4 3 2 8 2 2" xfId="22975" xr:uid="{24197494-9853-4853-BEDB-14A611A22BA7}"/>
    <cellStyle name="Currency 4 3 2 8 3" xfId="11528" xr:uid="{DD25FBD0-9208-46DF-8728-99ABEA2E3CFA}"/>
    <cellStyle name="Currency 4 3 2 8 3 2" xfId="25579" xr:uid="{16952CE9-0E9F-4B00-9333-76223C1C9C02}"/>
    <cellStyle name="Currency 4 3 2 8 4" xfId="19503" xr:uid="{5D32F747-242E-4E1B-9029-552F23DEFA2B}"/>
    <cellStyle name="Currency 4 3 2 9" xfId="6320" xr:uid="{72A5806D-AA2D-4A9F-A865-7D9AF4DF3EF3}"/>
    <cellStyle name="Currency 4 3 2 9 2" xfId="9792" xr:uid="{B21CDB06-B962-4827-86DE-D9AA1D953056}"/>
    <cellStyle name="Currency 4 3 2 9 2 2" xfId="23843" xr:uid="{76134CD8-F63D-48A9-B925-9A4AAD1A88FD}"/>
    <cellStyle name="Currency 4 3 2 9 3" xfId="12396" xr:uid="{C1A972F3-2FFF-4B6D-A365-3C78D8D5614C}"/>
    <cellStyle name="Currency 4 3 2 9 3 2" xfId="26447" xr:uid="{12FBF7C2-8D07-4075-812B-91F7B41AB490}"/>
    <cellStyle name="Currency 4 3 2 9 4" xfId="20371" xr:uid="{F5688688-A2BB-4C0B-ACA6-BC570C093149}"/>
    <cellStyle name="Currency 4 3 3" xfId="525" xr:uid="{6C7EF9C3-5392-4529-8252-C4484F71655E}"/>
    <cellStyle name="Currency 4 3 3 10" xfId="10675" xr:uid="{C7D57626-1097-4526-821E-717DA628A23D}"/>
    <cellStyle name="Currency 4 3 3 10 2" xfId="24726" xr:uid="{B4FEBB76-8104-43E9-8E1D-189DBE86F09D}"/>
    <cellStyle name="Currency 4 3 3 11" xfId="14580" xr:uid="{1FDCC530-55EC-4378-BBE9-460A9002AE38}"/>
    <cellStyle name="Currency 4 3 3 2" xfId="1458" xr:uid="{B06E2626-9517-4F56-AE51-483C14FF0163}"/>
    <cellStyle name="Currency 4 3 3 2 2" xfId="3648" xr:uid="{86124B3E-B876-4F92-8870-8B219632FCD2}"/>
    <cellStyle name="Currency 4 3 3 2 2 2" xfId="5308" xr:uid="{7E02AB28-92D7-4BFF-B208-F5B7104C65A9}"/>
    <cellStyle name="Currency 4 3 3 2 2 2 2" xfId="6176" xr:uid="{60D074DF-D42F-4EF3-A368-1F918600E34E}"/>
    <cellStyle name="Currency 4 3 3 2 2 2 2 2" xfId="9648" xr:uid="{CD45D201-4A77-4B18-A833-1A28B25CD095}"/>
    <cellStyle name="Currency 4 3 3 2 2 2 2 2 2" xfId="23699" xr:uid="{91C488AF-AA21-44A8-8DF6-CAA469F89F10}"/>
    <cellStyle name="Currency 4 3 3 2 2 2 2 3" xfId="12252" xr:uid="{913B7AF3-6C6D-4B30-8653-861873F079D2}"/>
    <cellStyle name="Currency 4 3 3 2 2 2 2 3 2" xfId="26303" xr:uid="{4FF2AC38-CB24-4C92-A9FE-245857B23EB1}"/>
    <cellStyle name="Currency 4 3 3 2 2 2 2 4" xfId="20227" xr:uid="{6BE8BCC6-CBCC-460F-878F-8781E5A55813}"/>
    <cellStyle name="Currency 4 3 3 2 2 2 3" xfId="7044" xr:uid="{121D9937-DE90-435B-9363-15AA90972E20}"/>
    <cellStyle name="Currency 4 3 3 2 2 2 3 2" xfId="10516" xr:uid="{9186D96C-104A-4722-B70E-AC8A89BF588E}"/>
    <cellStyle name="Currency 4 3 3 2 2 2 3 2 2" xfId="24567" xr:uid="{3579A2BC-B444-4A24-B293-606B970F8689}"/>
    <cellStyle name="Currency 4 3 3 2 2 2 3 3" xfId="13120" xr:uid="{3F71B400-F9B8-4829-838F-E81FFA93DEAD}"/>
    <cellStyle name="Currency 4 3 3 2 2 2 3 3 2" xfId="27171" xr:uid="{D2F38F1C-3947-4702-A577-4562C1F06933}"/>
    <cellStyle name="Currency 4 3 3 2 2 2 3 4" xfId="21095" xr:uid="{110C83A6-C735-4E24-BEED-A1CB0982B3DA}"/>
    <cellStyle name="Currency 4 3 3 2 2 2 4" xfId="8780" xr:uid="{A4C048C8-5407-4535-AE89-EDF15A2D2808}"/>
    <cellStyle name="Currency 4 3 3 2 2 2 4 2" xfId="13988" xr:uid="{F2253D38-8B97-42F5-9388-BB93879E9730}"/>
    <cellStyle name="Currency 4 3 3 2 2 2 4 2 2" xfId="28039" xr:uid="{BB81FA50-6DF1-4524-9969-ADC9798B3C87}"/>
    <cellStyle name="Currency 4 3 3 2 2 2 4 3" xfId="22831" xr:uid="{13406639-A4FB-42C7-9C63-45F585D7EAE3}"/>
    <cellStyle name="Currency 4 3 3 2 2 2 5" xfId="7912" xr:uid="{B5D1E271-6397-491E-81A1-3DE4AF860BE5}"/>
    <cellStyle name="Currency 4 3 3 2 2 2 5 2" xfId="21963" xr:uid="{ACDD669A-D82B-40A0-80EA-1E081C516420}"/>
    <cellStyle name="Currency 4 3 3 2 2 2 6" xfId="11384" xr:uid="{13DB5FB1-9408-46AB-9BE0-0054D17880E0}"/>
    <cellStyle name="Currency 4 3 3 2 2 2 6 2" xfId="25435" xr:uid="{45FA8AA4-2410-44F0-8386-7A90C23F7D8E}"/>
    <cellStyle name="Currency 4 3 3 2 2 2 7" xfId="19359" xr:uid="{6CA0AF4A-16AC-49AC-8DE5-B2AFE5F990B7}"/>
    <cellStyle name="Currency 4 3 3 2 2 3" xfId="5742" xr:uid="{06246936-DFEF-4027-B397-5C10858356B2}"/>
    <cellStyle name="Currency 4 3 3 2 2 3 2" xfId="9214" xr:uid="{D0EFB11A-D00E-4259-A562-F0691437D616}"/>
    <cellStyle name="Currency 4 3 3 2 2 3 2 2" xfId="23265" xr:uid="{BBEA88F2-F895-4B14-8D6A-F9DF32BF178A}"/>
    <cellStyle name="Currency 4 3 3 2 2 3 3" xfId="11818" xr:uid="{E313C4E0-2FE7-4BAB-A4F3-3059FC544CC6}"/>
    <cellStyle name="Currency 4 3 3 2 2 3 3 2" xfId="25869" xr:uid="{4A4EED79-2DBB-4510-B1AD-DEFFF9F5C06C}"/>
    <cellStyle name="Currency 4 3 3 2 2 3 4" xfId="19793" xr:uid="{B7E0F756-96EC-4904-90FC-CF3ADCF77847}"/>
    <cellStyle name="Currency 4 3 3 2 2 4" xfId="6610" xr:uid="{F61492A3-4F05-47EB-8F63-92ED5B4D746E}"/>
    <cellStyle name="Currency 4 3 3 2 2 4 2" xfId="10082" xr:uid="{5E525448-B378-45C4-BA76-10963566C420}"/>
    <cellStyle name="Currency 4 3 3 2 2 4 2 2" xfId="24133" xr:uid="{42EBEE33-C9DA-4576-8ADF-C0A3ADC62039}"/>
    <cellStyle name="Currency 4 3 3 2 2 4 3" xfId="12686" xr:uid="{D1B65B1E-1D34-4837-915F-A7EA5396E774}"/>
    <cellStyle name="Currency 4 3 3 2 2 4 3 2" xfId="26737" xr:uid="{62D39F00-D4A6-4B37-8772-5D8DD91FAFA4}"/>
    <cellStyle name="Currency 4 3 3 2 2 4 4" xfId="20661" xr:uid="{F222A8F1-AD73-48B8-AD8E-7B8FA6286701}"/>
    <cellStyle name="Currency 4 3 3 2 2 5" xfId="8346" xr:uid="{34D692A0-504F-41D6-AF16-0D01B8AE2A4D}"/>
    <cellStyle name="Currency 4 3 3 2 2 5 2" xfId="13554" xr:uid="{E6EC9BD7-FD2A-439A-8574-91B227D85520}"/>
    <cellStyle name="Currency 4 3 3 2 2 5 2 2" xfId="27605" xr:uid="{45031977-D572-403D-8104-ECCF48FCCB88}"/>
    <cellStyle name="Currency 4 3 3 2 2 5 3" xfId="22397" xr:uid="{1B777179-A533-4962-AEC3-7FC3E9052B6D}"/>
    <cellStyle name="Currency 4 3 3 2 2 6" xfId="7478" xr:uid="{D8111E86-031E-44F5-83A8-32D1E195FFD9}"/>
    <cellStyle name="Currency 4 3 3 2 2 6 2" xfId="21529" xr:uid="{A208C975-5910-446B-A960-7B02F8847B2C}"/>
    <cellStyle name="Currency 4 3 3 2 2 7" xfId="10950" xr:uid="{9F246908-BC02-4A4B-A831-C562D0B6761C}"/>
    <cellStyle name="Currency 4 3 3 2 2 7 2" xfId="25001" xr:uid="{C22B276D-42A1-4D16-B374-903BE28F9E5C}"/>
    <cellStyle name="Currency 4 3 3 2 2 8" xfId="17701" xr:uid="{6E587774-F472-40A3-A5E6-6E711450D9B8}"/>
    <cellStyle name="Currency 4 3 3 2 3" xfId="5117" xr:uid="{DBD58F8D-BBC0-43AB-8E0F-EFB3C11C7FA1}"/>
    <cellStyle name="Currency 4 3 3 2 3 2" xfId="5985" xr:uid="{93380607-A86C-4971-A381-456A1C9F2E78}"/>
    <cellStyle name="Currency 4 3 3 2 3 2 2" xfId="9457" xr:uid="{E2A77768-0E75-4670-87C2-2D27871D49D7}"/>
    <cellStyle name="Currency 4 3 3 2 3 2 2 2" xfId="23508" xr:uid="{CEAE1FA0-4078-4C2A-8D9D-EBB8BC6228F3}"/>
    <cellStyle name="Currency 4 3 3 2 3 2 3" xfId="12061" xr:uid="{ABC747BA-FCD9-4548-BD02-EBE5AE075215}"/>
    <cellStyle name="Currency 4 3 3 2 3 2 3 2" xfId="26112" xr:uid="{A8D78A9A-AD01-426A-8734-B07088FFEFD8}"/>
    <cellStyle name="Currency 4 3 3 2 3 2 4" xfId="20036" xr:uid="{DECCC4B3-F454-4BB2-8588-C198C1F9AD74}"/>
    <cellStyle name="Currency 4 3 3 2 3 3" xfId="6853" xr:uid="{BABE09A7-0198-4AE8-AC16-3B60930377E6}"/>
    <cellStyle name="Currency 4 3 3 2 3 3 2" xfId="10325" xr:uid="{94BF304A-94AF-4B28-9C5B-7688E145B1C7}"/>
    <cellStyle name="Currency 4 3 3 2 3 3 2 2" xfId="24376" xr:uid="{ADE0590A-D454-4727-A912-0BCC7EE7EDF2}"/>
    <cellStyle name="Currency 4 3 3 2 3 3 3" xfId="12929" xr:uid="{DBC43838-03AB-413F-B3F3-2DC2C48A28EB}"/>
    <cellStyle name="Currency 4 3 3 2 3 3 3 2" xfId="26980" xr:uid="{3EF8FDFB-F83E-4E20-85EA-1703FAE1B8A9}"/>
    <cellStyle name="Currency 4 3 3 2 3 3 4" xfId="20904" xr:uid="{2D157A8A-429D-4D36-949E-10F31D26D789}"/>
    <cellStyle name="Currency 4 3 3 2 3 4" xfId="8589" xr:uid="{661122FA-27A8-473A-869F-D63E02DD4305}"/>
    <cellStyle name="Currency 4 3 3 2 3 4 2" xfId="13797" xr:uid="{385DD54D-8648-49B3-8BB3-FCCA9DE600A6}"/>
    <cellStyle name="Currency 4 3 3 2 3 4 2 2" xfId="27848" xr:uid="{3483A48A-D0B0-4286-968A-9F9342192E44}"/>
    <cellStyle name="Currency 4 3 3 2 3 4 3" xfId="22640" xr:uid="{68DB5DDE-9236-426D-986B-4150A1CB0891}"/>
    <cellStyle name="Currency 4 3 3 2 3 5" xfId="7721" xr:uid="{7A116F35-1093-4795-96B8-DF29FB468DA5}"/>
    <cellStyle name="Currency 4 3 3 2 3 5 2" xfId="21772" xr:uid="{80FF13B7-D04E-4DA0-BA79-47E05565FA27}"/>
    <cellStyle name="Currency 4 3 3 2 3 6" xfId="11193" xr:uid="{334DABB3-791E-4F26-B048-E57061DF38D6}"/>
    <cellStyle name="Currency 4 3 3 2 3 6 2" xfId="25244" xr:uid="{E1F6ED97-5661-4315-AFB8-28019A55BB76}"/>
    <cellStyle name="Currency 4 3 3 2 3 7" xfId="19168" xr:uid="{F8599B7A-A900-4572-8F42-A459168C3586}"/>
    <cellStyle name="Currency 4 3 3 2 4" xfId="5551" xr:uid="{6D25B3AB-ABED-4707-A847-E2802D3EBEBF}"/>
    <cellStyle name="Currency 4 3 3 2 4 2" xfId="9023" xr:uid="{992C9410-CB9C-4553-AACF-EA1F19002F4F}"/>
    <cellStyle name="Currency 4 3 3 2 4 2 2" xfId="23074" xr:uid="{DD7C9A15-E07C-42B0-924F-A26E74E11B4D}"/>
    <cellStyle name="Currency 4 3 3 2 4 3" xfId="11627" xr:uid="{1B99617E-151C-497D-9213-C01A2D8DBCB9}"/>
    <cellStyle name="Currency 4 3 3 2 4 3 2" xfId="25678" xr:uid="{049DB7F4-9D0B-4094-90AF-475496C779EF}"/>
    <cellStyle name="Currency 4 3 3 2 4 4" xfId="19602" xr:uid="{DB819619-D305-4250-9C88-4FF873204BDD}"/>
    <cellStyle name="Currency 4 3 3 2 5" xfId="6419" xr:uid="{4A50B5AD-A8F9-4F38-AE64-9E1E61C190FA}"/>
    <cellStyle name="Currency 4 3 3 2 5 2" xfId="9891" xr:uid="{9AC2EC1C-6C97-4FA1-B00D-86F017C2DAF7}"/>
    <cellStyle name="Currency 4 3 3 2 5 2 2" xfId="23942" xr:uid="{CF2A054E-4752-408E-9CEF-7444C715F169}"/>
    <cellStyle name="Currency 4 3 3 2 5 3" xfId="12495" xr:uid="{A8374C79-DAFB-4C8E-B10D-931404FBC217}"/>
    <cellStyle name="Currency 4 3 3 2 5 3 2" xfId="26546" xr:uid="{8A0DB606-0A3A-434D-A1D0-F2DFC93E4422}"/>
    <cellStyle name="Currency 4 3 3 2 5 4" xfId="20470" xr:uid="{AD5F12F7-A774-43BC-AB42-526E57225CF3}"/>
    <cellStyle name="Currency 4 3 3 2 6" xfId="8155" xr:uid="{B98EA559-99AA-413D-9068-6F23A6BD18A8}"/>
    <cellStyle name="Currency 4 3 3 2 6 2" xfId="13363" xr:uid="{1D600645-3CC5-475A-B497-EDA75E3764EA}"/>
    <cellStyle name="Currency 4 3 3 2 6 2 2" xfId="27414" xr:uid="{32E262DD-ACEC-41DC-A5FB-4E4B2D24E49D}"/>
    <cellStyle name="Currency 4 3 3 2 6 3" xfId="22206" xr:uid="{57E4DFD4-8EC4-46AD-A2FC-D26DA9D66EB9}"/>
    <cellStyle name="Currency 4 3 3 2 7" xfId="7287" xr:uid="{40068270-0C39-4992-891F-5071C5DDED7D}"/>
    <cellStyle name="Currency 4 3 3 2 7 2" xfId="21338" xr:uid="{6B8018EC-B9AF-4F03-9FA7-4D12A26C167B}"/>
    <cellStyle name="Currency 4 3 3 2 8" xfId="10759" xr:uid="{2FABA6E0-E0A3-4C90-B2FC-9E66B360300B}"/>
    <cellStyle name="Currency 4 3 3 2 8 2" xfId="24810" xr:uid="{56D3C447-862E-4C0E-BB24-7BA972916928}"/>
    <cellStyle name="Currency 4 3 3 2 9" xfId="15507" xr:uid="{4B0636B7-C929-451B-AE82-B65EF62D0E38}"/>
    <cellStyle name="Currency 4 3 3 3" xfId="2724" xr:uid="{57222E8D-E19F-4608-88D8-DF8E77000E4F}"/>
    <cellStyle name="Currency 4 3 3 3 2" xfId="5227" xr:uid="{3EFF9AE7-4E8F-443A-9827-EB72D54D2333}"/>
    <cellStyle name="Currency 4 3 3 3 2 2" xfId="6095" xr:uid="{ACCCBA97-A36C-45CA-897D-960D1BC136F8}"/>
    <cellStyle name="Currency 4 3 3 3 2 2 2" xfId="9567" xr:uid="{4205EC98-0BFC-43EB-BCC3-2009D247218E}"/>
    <cellStyle name="Currency 4 3 3 3 2 2 2 2" xfId="23618" xr:uid="{273AC7E3-8307-4F3A-968B-03B3A8B6C73F}"/>
    <cellStyle name="Currency 4 3 3 3 2 2 3" xfId="12171" xr:uid="{066CD7DC-783E-4F63-B987-5446C9AC0B66}"/>
    <cellStyle name="Currency 4 3 3 3 2 2 3 2" xfId="26222" xr:uid="{C2422353-0BEA-436E-BE9C-2890A498CBC8}"/>
    <cellStyle name="Currency 4 3 3 3 2 2 4" xfId="20146" xr:uid="{CB07279C-84B4-4387-BD89-ED21C084CB80}"/>
    <cellStyle name="Currency 4 3 3 3 2 3" xfId="6963" xr:uid="{C57841D9-B206-4AF6-B40D-683F47CCCB7D}"/>
    <cellStyle name="Currency 4 3 3 3 2 3 2" xfId="10435" xr:uid="{AE8F5B19-A5FE-4970-AD8B-67369904C6F7}"/>
    <cellStyle name="Currency 4 3 3 3 2 3 2 2" xfId="24486" xr:uid="{96AC4E32-1D4A-46B3-9158-BB7A3DAB1386}"/>
    <cellStyle name="Currency 4 3 3 3 2 3 3" xfId="13039" xr:uid="{D0DB60B9-647A-4219-BD1E-BCCD1E706E26}"/>
    <cellStyle name="Currency 4 3 3 3 2 3 3 2" xfId="27090" xr:uid="{C079E021-2B69-4893-893C-95227A551C20}"/>
    <cellStyle name="Currency 4 3 3 3 2 3 4" xfId="21014" xr:uid="{16E2DA0E-665A-4029-9E44-88F9DD386A0A}"/>
    <cellStyle name="Currency 4 3 3 3 2 4" xfId="8699" xr:uid="{AF8EB8EE-BDE1-49B0-AB85-67B1459E0413}"/>
    <cellStyle name="Currency 4 3 3 3 2 4 2" xfId="13907" xr:uid="{DB178B69-5DE5-4BE2-A182-ED76DF565098}"/>
    <cellStyle name="Currency 4 3 3 3 2 4 2 2" xfId="27958" xr:uid="{764851E6-165F-4368-98DE-D9D7D3F4F9EC}"/>
    <cellStyle name="Currency 4 3 3 3 2 4 3" xfId="22750" xr:uid="{5269DC1A-A05C-4495-86F9-F8A4E7FA1E0F}"/>
    <cellStyle name="Currency 4 3 3 3 2 5" xfId="7831" xr:uid="{7AC60981-D276-492B-BDB6-F13B10D5533C}"/>
    <cellStyle name="Currency 4 3 3 3 2 5 2" xfId="21882" xr:uid="{903F6680-C3EB-4C27-B84E-47B336CD455C}"/>
    <cellStyle name="Currency 4 3 3 3 2 6" xfId="11303" xr:uid="{D74883D2-A3CE-4E8C-A0A4-D90F8F6C074C}"/>
    <cellStyle name="Currency 4 3 3 3 2 6 2" xfId="25354" xr:uid="{0D1D623E-9172-4375-BC0C-949218F803E8}"/>
    <cellStyle name="Currency 4 3 3 3 2 7" xfId="19278" xr:uid="{EA54C90A-772E-4C80-8927-1C924C1FF5E9}"/>
    <cellStyle name="Currency 4 3 3 3 3" xfId="5661" xr:uid="{88B8EAEF-0C4C-430E-9C7E-27CEEA48B288}"/>
    <cellStyle name="Currency 4 3 3 3 3 2" xfId="9133" xr:uid="{A5D459A8-DD69-4DA4-BF63-E136FE6E9621}"/>
    <cellStyle name="Currency 4 3 3 3 3 2 2" xfId="23184" xr:uid="{14887D04-DA44-47E8-9324-DD65F54658AB}"/>
    <cellStyle name="Currency 4 3 3 3 3 3" xfId="11737" xr:uid="{C38FE6F2-3569-45B4-A9C4-68FBD6939578}"/>
    <cellStyle name="Currency 4 3 3 3 3 3 2" xfId="25788" xr:uid="{2E40E250-45E0-4742-8B4B-6121AA37C9B8}"/>
    <cellStyle name="Currency 4 3 3 3 3 4" xfId="19712" xr:uid="{A363F8B9-175B-4A94-99E4-741B26B5893C}"/>
    <cellStyle name="Currency 4 3 3 3 4" xfId="6529" xr:uid="{345925FE-EE8B-45AD-AFBF-BD2B5CDE7043}"/>
    <cellStyle name="Currency 4 3 3 3 4 2" xfId="10001" xr:uid="{C2D3EBA7-222A-48D3-BD7C-622FA65B282D}"/>
    <cellStyle name="Currency 4 3 3 3 4 2 2" xfId="24052" xr:uid="{3784319A-0EC7-4605-914B-6498838CBE5C}"/>
    <cellStyle name="Currency 4 3 3 3 4 3" xfId="12605" xr:uid="{1E423E71-1C0B-4D7F-80E7-A92BD2121FE5}"/>
    <cellStyle name="Currency 4 3 3 3 4 3 2" xfId="26656" xr:uid="{DB2FBA04-F33F-465C-9000-029D9D9EABA1}"/>
    <cellStyle name="Currency 4 3 3 3 4 4" xfId="20580" xr:uid="{EB8365B5-4F62-4D19-AB0B-48F3A1962CCA}"/>
    <cellStyle name="Currency 4 3 3 3 5" xfId="8265" xr:uid="{212B436C-CD9E-4A35-A705-E0F3B23FB412}"/>
    <cellStyle name="Currency 4 3 3 3 5 2" xfId="13473" xr:uid="{1F474A29-5715-4945-A337-4205BE317F84}"/>
    <cellStyle name="Currency 4 3 3 3 5 2 2" xfId="27524" xr:uid="{A9A286F3-1942-49CD-874D-D962A2926A40}"/>
    <cellStyle name="Currency 4 3 3 3 5 3" xfId="22316" xr:uid="{4A8F487E-AF1E-4736-9C83-AA076D84B2CC}"/>
    <cellStyle name="Currency 4 3 3 3 6" xfId="7397" xr:uid="{B0AE898C-874F-420A-88D9-917C40D9F000}"/>
    <cellStyle name="Currency 4 3 3 3 6 2" xfId="21448" xr:uid="{D12CADD2-FE45-4F04-AFA2-D6E97F4A8B1C}"/>
    <cellStyle name="Currency 4 3 3 3 7" xfId="10869" xr:uid="{6994641E-24BA-4E29-8261-D337E2FF2F69}"/>
    <cellStyle name="Currency 4 3 3 3 7 2" xfId="24920" xr:uid="{3BB1BC84-A1BD-477E-9BB3-FCE2CCAD8FCD}"/>
    <cellStyle name="Currency 4 3 3 3 8" xfId="16775" xr:uid="{227B7CA4-85B0-42CD-A47F-D31A22BD4916}"/>
    <cellStyle name="Currency 4 3 3 4" xfId="4743" xr:uid="{A065B5BC-D116-4665-B357-CC4E9E961FFF}"/>
    <cellStyle name="Currency 4 3 3 4 2" xfId="5403" xr:uid="{B7EE4CC9-B176-477D-A2F0-DD17B5290976}"/>
    <cellStyle name="Currency 4 3 3 4 2 2" xfId="6271" xr:uid="{D5EED1C8-EF2A-4366-BA31-1625E18681B4}"/>
    <cellStyle name="Currency 4 3 3 4 2 2 2" xfId="9743" xr:uid="{A2913BDB-96A6-447A-AFC6-BF3F0E3A3BFB}"/>
    <cellStyle name="Currency 4 3 3 4 2 2 2 2" xfId="23794" xr:uid="{BE70CFA4-6580-486D-8D92-DB044BF1CFDC}"/>
    <cellStyle name="Currency 4 3 3 4 2 2 3" xfId="12347" xr:uid="{62F40A6E-551B-49D5-84BE-2B9703ACF227}"/>
    <cellStyle name="Currency 4 3 3 4 2 2 3 2" xfId="26398" xr:uid="{040F8B10-0482-4E67-9B3B-36FE767157DF}"/>
    <cellStyle name="Currency 4 3 3 4 2 2 4" xfId="20322" xr:uid="{099B44B7-92A2-4DF8-A7BC-E6EA28A82613}"/>
    <cellStyle name="Currency 4 3 3 4 2 3" xfId="7139" xr:uid="{2465B9B0-0820-42E7-9EA6-86F7A2F96DFE}"/>
    <cellStyle name="Currency 4 3 3 4 2 3 2" xfId="10611" xr:uid="{67CF82D3-1C51-42F0-825E-0D1E4E584969}"/>
    <cellStyle name="Currency 4 3 3 4 2 3 2 2" xfId="24662" xr:uid="{1FE31BCE-BE77-4D8C-BFB6-2BA36B33FA31}"/>
    <cellStyle name="Currency 4 3 3 4 2 3 3" xfId="13215" xr:uid="{E2BA7AF0-0A18-44CB-9367-4582D68E4E52}"/>
    <cellStyle name="Currency 4 3 3 4 2 3 3 2" xfId="27266" xr:uid="{E00B0E05-B8D2-40B8-8D25-CF3EE9731D98}"/>
    <cellStyle name="Currency 4 3 3 4 2 3 4" xfId="21190" xr:uid="{43747DCF-0D59-4A78-AF49-FB5A79158E01}"/>
    <cellStyle name="Currency 4 3 3 4 2 4" xfId="8875" xr:uid="{F2D43668-31FE-420A-A704-F863142D3840}"/>
    <cellStyle name="Currency 4 3 3 4 2 4 2" xfId="14083" xr:uid="{58E9D381-6B40-4F06-B997-732889A5BD88}"/>
    <cellStyle name="Currency 4 3 3 4 2 4 2 2" xfId="28134" xr:uid="{AC26A816-3F53-4194-9DED-0D2FD30EC39D}"/>
    <cellStyle name="Currency 4 3 3 4 2 4 3" xfId="22926" xr:uid="{64519161-4E7D-4F58-9377-FC1EA1543F82}"/>
    <cellStyle name="Currency 4 3 3 4 2 5" xfId="8007" xr:uid="{E2F002F3-D59A-4877-B051-5A0EB461EC8D}"/>
    <cellStyle name="Currency 4 3 3 4 2 5 2" xfId="22058" xr:uid="{5F8DE536-7CF3-45AE-B705-3CE7062B47EF}"/>
    <cellStyle name="Currency 4 3 3 4 2 6" xfId="11479" xr:uid="{E5367873-934E-43C8-97D6-97814AC2616F}"/>
    <cellStyle name="Currency 4 3 3 4 2 6 2" xfId="25530" xr:uid="{264E5F88-A0A2-4CCB-99F0-D7CB711AFDFA}"/>
    <cellStyle name="Currency 4 3 3 4 2 7" xfId="19454" xr:uid="{A02875A5-1EC1-4DFC-9716-465DA235A78A}"/>
    <cellStyle name="Currency 4 3 3 4 3" xfId="5837" xr:uid="{F0CAC004-ADB9-4855-8576-3910F96C5A6C}"/>
    <cellStyle name="Currency 4 3 3 4 3 2" xfId="9309" xr:uid="{D1387A47-5270-4BCC-9EC4-480A44EDE4DF}"/>
    <cellStyle name="Currency 4 3 3 4 3 2 2" xfId="23360" xr:uid="{01C5F1A7-A249-44EF-8F8D-43F0EB8B1BDD}"/>
    <cellStyle name="Currency 4 3 3 4 3 3" xfId="11913" xr:uid="{4F3E3006-99FA-4A64-A3E3-526B97EDB92E}"/>
    <cellStyle name="Currency 4 3 3 4 3 3 2" xfId="25964" xr:uid="{94B32051-88BB-41CF-BB02-B88667C08A69}"/>
    <cellStyle name="Currency 4 3 3 4 3 4" xfId="19888" xr:uid="{0D499970-C147-47DB-9189-2ECDFDF50A3C}"/>
    <cellStyle name="Currency 4 3 3 4 4" xfId="6705" xr:uid="{6496D43F-79F2-4BEF-BAE0-936A13358B97}"/>
    <cellStyle name="Currency 4 3 3 4 4 2" xfId="10177" xr:uid="{DB969D6D-057C-42C4-8328-ECCC167E26C7}"/>
    <cellStyle name="Currency 4 3 3 4 4 2 2" xfId="24228" xr:uid="{7616292A-0CE8-43F6-AE5A-797AF0336C36}"/>
    <cellStyle name="Currency 4 3 3 4 4 3" xfId="12781" xr:uid="{282626CC-23FF-419D-A664-38D92BCD1CB8}"/>
    <cellStyle name="Currency 4 3 3 4 4 3 2" xfId="26832" xr:uid="{3323969E-3D52-4C63-B63B-9D92FC91603E}"/>
    <cellStyle name="Currency 4 3 3 4 4 4" xfId="20756" xr:uid="{EE7B2443-0978-4FA2-85EC-73FB7CF9CA8B}"/>
    <cellStyle name="Currency 4 3 3 4 5" xfId="8441" xr:uid="{45E97267-DB48-4681-9E8A-2E0C7B2541C7}"/>
    <cellStyle name="Currency 4 3 3 4 5 2" xfId="13649" xr:uid="{0B9C2B59-1885-49EE-BCCB-3CB584B99570}"/>
    <cellStyle name="Currency 4 3 3 4 5 2 2" xfId="27700" xr:uid="{AB01277B-F32B-4100-A849-144C91063E2E}"/>
    <cellStyle name="Currency 4 3 3 4 5 3" xfId="22492" xr:uid="{FE6F91FC-45B7-4A02-8579-D65BF7EFB888}"/>
    <cellStyle name="Currency 4 3 3 4 6" xfId="7573" xr:uid="{6ABA648B-49C2-4AEE-B443-FA09F1972F60}"/>
    <cellStyle name="Currency 4 3 3 4 6 2" xfId="21624" xr:uid="{0B7DF64B-95E8-482B-8D86-B62E85D90473}"/>
    <cellStyle name="Currency 4 3 3 4 7" xfId="11045" xr:uid="{7F11AF81-36E0-46B1-8D59-605EEB9C133A}"/>
    <cellStyle name="Currency 4 3 3 4 7 2" xfId="25096" xr:uid="{897129A4-E4F2-45A8-AC81-11A822055F0D}"/>
    <cellStyle name="Currency 4 3 3 4 8" xfId="18795" xr:uid="{90425D3E-1F6F-432C-8872-05059448D2B9}"/>
    <cellStyle name="Currency 4 3 3 5" xfId="5033" xr:uid="{67A8FA9F-03F2-47D1-AD18-BA3127FDD77B}"/>
    <cellStyle name="Currency 4 3 3 5 2" xfId="5901" xr:uid="{33D00DE1-4917-49F2-B4CE-B84CE2D46072}"/>
    <cellStyle name="Currency 4 3 3 5 2 2" xfId="9373" xr:uid="{A1EBF191-F71B-452B-B459-5EE1E36DD4A1}"/>
    <cellStyle name="Currency 4 3 3 5 2 2 2" xfId="23424" xr:uid="{A4B76A5A-C1EC-48A6-84DF-E6570736B270}"/>
    <cellStyle name="Currency 4 3 3 5 2 3" xfId="11977" xr:uid="{D57B27DC-143B-4A9B-A191-D8F3A62C9045}"/>
    <cellStyle name="Currency 4 3 3 5 2 3 2" xfId="26028" xr:uid="{CF31D212-A7C0-40AB-B5FB-E0C1B8110DCD}"/>
    <cellStyle name="Currency 4 3 3 5 2 4" xfId="19952" xr:uid="{C2A72CF6-1069-4D38-BB00-18D17C85BD0F}"/>
    <cellStyle name="Currency 4 3 3 5 3" xfId="6769" xr:uid="{8CBC3EF7-EBB5-4D90-8A71-B7CA26547AE5}"/>
    <cellStyle name="Currency 4 3 3 5 3 2" xfId="10241" xr:uid="{E8C64DEC-D784-4F56-819E-147B3A8031BA}"/>
    <cellStyle name="Currency 4 3 3 5 3 2 2" xfId="24292" xr:uid="{26BC9D50-06F8-46B8-B74E-CA1AB739B310}"/>
    <cellStyle name="Currency 4 3 3 5 3 3" xfId="12845" xr:uid="{B9F83593-7D46-4341-A5EF-3D3B3109AD96}"/>
    <cellStyle name="Currency 4 3 3 5 3 3 2" xfId="26896" xr:uid="{3DAE614A-6007-4245-BBAE-A7F760D3A9E4}"/>
    <cellStyle name="Currency 4 3 3 5 3 4" xfId="20820" xr:uid="{508F58BC-2F68-4414-8909-33B74D690503}"/>
    <cellStyle name="Currency 4 3 3 5 4" xfId="8505" xr:uid="{00AAF661-6926-4509-AA63-8AC63ECDFEBC}"/>
    <cellStyle name="Currency 4 3 3 5 4 2" xfId="13713" xr:uid="{29B76E46-DF8D-4873-8AF9-6C3502A553EB}"/>
    <cellStyle name="Currency 4 3 3 5 4 2 2" xfId="27764" xr:uid="{7831E255-13AB-4906-94D9-7757A0A94CC0}"/>
    <cellStyle name="Currency 4 3 3 5 4 3" xfId="22556" xr:uid="{8F4230FD-2DE7-4526-ADFF-280D9F0852AF}"/>
    <cellStyle name="Currency 4 3 3 5 5" xfId="7637" xr:uid="{D90B4D2F-3985-4B5A-93FF-E567DFC19407}"/>
    <cellStyle name="Currency 4 3 3 5 5 2" xfId="21688" xr:uid="{BB590C0E-B72F-4CBE-97AE-4BAC0FFDDC1C}"/>
    <cellStyle name="Currency 4 3 3 5 6" xfId="11109" xr:uid="{D7325EF6-1BAA-4453-902D-16088E035993}"/>
    <cellStyle name="Currency 4 3 3 5 6 2" xfId="25160" xr:uid="{51686BB4-B8A7-4964-A0ED-46466A857F19}"/>
    <cellStyle name="Currency 4 3 3 5 7" xfId="19084" xr:uid="{2F707C68-1078-4D35-9801-AEE7BE667A0D}"/>
    <cellStyle name="Currency 4 3 3 6" xfId="5467" xr:uid="{C35E5CDB-E9C8-4379-8F45-459668509749}"/>
    <cellStyle name="Currency 4 3 3 6 2" xfId="8939" xr:uid="{43E6EE30-FA26-40F1-BC5F-E39BF5C78C91}"/>
    <cellStyle name="Currency 4 3 3 6 2 2" xfId="22990" xr:uid="{AC5BE48B-3616-412A-A2AB-FB9DE83A847A}"/>
    <cellStyle name="Currency 4 3 3 6 3" xfId="11543" xr:uid="{9F31AC67-AF01-4901-BD69-22DC0185E01B}"/>
    <cellStyle name="Currency 4 3 3 6 3 2" xfId="25594" xr:uid="{38616944-3F04-404A-817A-E7D7585D5E8B}"/>
    <cellStyle name="Currency 4 3 3 6 4" xfId="19518" xr:uid="{BD250337-BC02-4500-BA10-87F7AE7DC1F8}"/>
    <cellStyle name="Currency 4 3 3 7" xfId="6335" xr:uid="{D8E15225-3C0B-4CD6-9BA6-7DE092CA2CF0}"/>
    <cellStyle name="Currency 4 3 3 7 2" xfId="9807" xr:uid="{555BDF61-761B-4CEF-B46E-DD7B96662FC6}"/>
    <cellStyle name="Currency 4 3 3 7 2 2" xfId="23858" xr:uid="{9B54543F-5DD1-4426-81BE-01804BD356CD}"/>
    <cellStyle name="Currency 4 3 3 7 3" xfId="12411" xr:uid="{79F407A5-B022-4398-86F9-BB00CF68848F}"/>
    <cellStyle name="Currency 4 3 3 7 3 2" xfId="26462" xr:uid="{F0DFA7D2-761A-41A7-8A29-5FB5016A2AC3}"/>
    <cellStyle name="Currency 4 3 3 7 4" xfId="20386" xr:uid="{61EBAF7E-F8E5-4E20-BCE2-89A9BED2A19D}"/>
    <cellStyle name="Currency 4 3 3 8" xfId="8071" xr:uid="{A99E29AE-A7A6-4232-A7E9-21811D58E2EC}"/>
    <cellStyle name="Currency 4 3 3 8 2" xfId="13279" xr:uid="{38A03ED9-3F39-4005-81C7-5794486504E1}"/>
    <cellStyle name="Currency 4 3 3 8 2 2" xfId="27330" xr:uid="{11742FE1-76C9-430D-8C30-0F21E78F3CA3}"/>
    <cellStyle name="Currency 4 3 3 8 3" xfId="22122" xr:uid="{8D66A6BB-8964-4990-A3E2-9BBCC2950485}"/>
    <cellStyle name="Currency 4 3 3 9" xfId="7203" xr:uid="{8F3EFA97-3E73-4634-9B58-F141241A9ADC}"/>
    <cellStyle name="Currency 4 3 3 9 2" xfId="21254" xr:uid="{1697BE0D-8857-43D3-B460-19F6A1B55BEC}"/>
    <cellStyle name="Currency 4 3 4" xfId="878" xr:uid="{BB9D3AF1-A137-4199-8B6A-3C54C5C4155F}"/>
    <cellStyle name="Currency 4 3 4 10" xfId="14928" xr:uid="{FDE80934-7389-4108-9466-FD92100031EF}"/>
    <cellStyle name="Currency 4 3 4 2" xfId="1977" xr:uid="{B097FD36-52C6-4A69-806F-C07D70E30E0F}"/>
    <cellStyle name="Currency 4 3 4 2 2" xfId="4166" xr:uid="{E8E6282E-EF77-4D74-912B-D42F2C595067}"/>
    <cellStyle name="Currency 4 3 4 2 2 2" xfId="5352" xr:uid="{60C747E3-0959-4ABB-A04B-FEFB7C22EF88}"/>
    <cellStyle name="Currency 4 3 4 2 2 2 2" xfId="6220" xr:uid="{478137CA-8D78-4F08-8480-38C87C02F609}"/>
    <cellStyle name="Currency 4 3 4 2 2 2 2 2" xfId="9692" xr:uid="{5B218992-ADE6-454D-B2F8-57763A67AE4F}"/>
    <cellStyle name="Currency 4 3 4 2 2 2 2 2 2" xfId="23743" xr:uid="{2E2D43A5-A237-4DC9-A051-1B51BD4ED70A}"/>
    <cellStyle name="Currency 4 3 4 2 2 2 2 3" xfId="12296" xr:uid="{97711094-C615-4C73-A200-61BA96581284}"/>
    <cellStyle name="Currency 4 3 4 2 2 2 2 3 2" xfId="26347" xr:uid="{16001FBD-A866-4F06-9664-0CFEB400C2BA}"/>
    <cellStyle name="Currency 4 3 4 2 2 2 2 4" xfId="20271" xr:uid="{852CD6B7-6D54-4A10-9A64-4776679E5B28}"/>
    <cellStyle name="Currency 4 3 4 2 2 2 3" xfId="7088" xr:uid="{474B6AD5-09B2-4B0E-AB1C-75AF4980BB8F}"/>
    <cellStyle name="Currency 4 3 4 2 2 2 3 2" xfId="10560" xr:uid="{C5314BA4-2979-48DE-9507-75DA46DE0BC1}"/>
    <cellStyle name="Currency 4 3 4 2 2 2 3 2 2" xfId="24611" xr:uid="{1514B22F-6065-43CB-BE35-3D8487C13CC9}"/>
    <cellStyle name="Currency 4 3 4 2 2 2 3 3" xfId="13164" xr:uid="{98DD2186-88FC-439A-8220-8E30876E2EAA}"/>
    <cellStyle name="Currency 4 3 4 2 2 2 3 3 2" xfId="27215" xr:uid="{628D7E5C-9A47-4E6C-9391-6100B75B2340}"/>
    <cellStyle name="Currency 4 3 4 2 2 2 3 4" xfId="21139" xr:uid="{D45E39ED-0C9F-4A15-ABE3-5A0BC5F0DE18}"/>
    <cellStyle name="Currency 4 3 4 2 2 2 4" xfId="8824" xr:uid="{E1584D5D-A19C-44D9-9501-AB903E328F33}"/>
    <cellStyle name="Currency 4 3 4 2 2 2 4 2" xfId="14032" xr:uid="{FB319250-13F1-40C6-9ECC-7DD072710C0B}"/>
    <cellStyle name="Currency 4 3 4 2 2 2 4 2 2" xfId="28083" xr:uid="{820C6BAD-AB9A-41CA-BE1E-955139017BE8}"/>
    <cellStyle name="Currency 4 3 4 2 2 2 4 3" xfId="22875" xr:uid="{74AE8012-6D47-447E-BFB2-3F26FA12141A}"/>
    <cellStyle name="Currency 4 3 4 2 2 2 5" xfId="7956" xr:uid="{641BE97C-3EBD-4E30-8203-AAC446311795}"/>
    <cellStyle name="Currency 4 3 4 2 2 2 5 2" xfId="22007" xr:uid="{D0F649D6-09C7-444B-A695-68C913ED8997}"/>
    <cellStyle name="Currency 4 3 4 2 2 2 6" xfId="11428" xr:uid="{BCDBB0BD-8F7D-4B5D-A1C3-E85BCCE4F53D}"/>
    <cellStyle name="Currency 4 3 4 2 2 2 6 2" xfId="25479" xr:uid="{5274AB86-479D-4FF8-B80A-C1DC73425D01}"/>
    <cellStyle name="Currency 4 3 4 2 2 2 7" xfId="19403" xr:uid="{E0A1407E-AC42-4097-B394-A9068354E3AB}"/>
    <cellStyle name="Currency 4 3 4 2 2 3" xfId="5786" xr:uid="{3E868CB2-29F0-4948-A307-A16667E8C912}"/>
    <cellStyle name="Currency 4 3 4 2 2 3 2" xfId="9258" xr:uid="{B6013C0A-DE9A-47B9-B6A8-1439CB5ED5FD}"/>
    <cellStyle name="Currency 4 3 4 2 2 3 2 2" xfId="23309" xr:uid="{F9061293-8D6E-4820-ACB8-B564F86D8A18}"/>
    <cellStyle name="Currency 4 3 4 2 2 3 3" xfId="11862" xr:uid="{BCA56D31-8EA2-4A42-9AC8-CA6EAA39A7D1}"/>
    <cellStyle name="Currency 4 3 4 2 2 3 3 2" xfId="25913" xr:uid="{2582ED9B-C0E4-4E62-84AA-A70E9F25C205}"/>
    <cellStyle name="Currency 4 3 4 2 2 3 4" xfId="19837" xr:uid="{94CF006C-3346-4835-B6EA-224854D5BEC6}"/>
    <cellStyle name="Currency 4 3 4 2 2 4" xfId="6654" xr:uid="{699F82A5-8047-461B-9BEB-04CB016A73FE}"/>
    <cellStyle name="Currency 4 3 4 2 2 4 2" xfId="10126" xr:uid="{287F7989-9BBF-4269-A535-C78744625852}"/>
    <cellStyle name="Currency 4 3 4 2 2 4 2 2" xfId="24177" xr:uid="{7EF7A2D0-1502-473C-8BA9-0A94932AE55E}"/>
    <cellStyle name="Currency 4 3 4 2 2 4 3" xfId="12730" xr:uid="{3EA99DB4-A9E1-4611-AA05-85CB68A6EFCD}"/>
    <cellStyle name="Currency 4 3 4 2 2 4 3 2" xfId="26781" xr:uid="{A4B16108-31A3-4F46-9AD3-92FC2DCBCC7A}"/>
    <cellStyle name="Currency 4 3 4 2 2 4 4" xfId="20705" xr:uid="{D5BF6935-F4C1-40C9-8929-4076D1B3F637}"/>
    <cellStyle name="Currency 4 3 4 2 2 5" xfId="8390" xr:uid="{CDB3C0A1-525C-47C8-8F94-C00DCAB80AFA}"/>
    <cellStyle name="Currency 4 3 4 2 2 5 2" xfId="13598" xr:uid="{6E7F50AF-41C0-4591-955E-34DDB7582624}"/>
    <cellStyle name="Currency 4 3 4 2 2 5 2 2" xfId="27649" xr:uid="{BE8D7BD4-55AD-4106-863F-9865CE5568DE}"/>
    <cellStyle name="Currency 4 3 4 2 2 5 3" xfId="22441" xr:uid="{8F9BEB53-3EB7-4E58-B1D8-37F02C0B51CE}"/>
    <cellStyle name="Currency 4 3 4 2 2 6" xfId="7522" xr:uid="{88EE107F-22BF-4F8B-A538-08DD1B6E68D5}"/>
    <cellStyle name="Currency 4 3 4 2 2 6 2" xfId="21573" xr:uid="{FDE36008-4721-4DCC-BD2A-EA41430D05B4}"/>
    <cellStyle name="Currency 4 3 4 2 2 7" xfId="10994" xr:uid="{9A8A3B3F-6F1B-44E2-9BC0-9501556571DF}"/>
    <cellStyle name="Currency 4 3 4 2 2 7 2" xfId="25045" xr:uid="{00A7F805-B605-4EAE-AA67-4CF863806273}"/>
    <cellStyle name="Currency 4 3 4 2 2 8" xfId="18217" xr:uid="{B0C59336-2C2C-4844-930B-5D1AF7F79DE6}"/>
    <cellStyle name="Currency 4 3 4 2 3" xfId="5162" xr:uid="{5406EB12-F0AD-4C72-A25D-F3BDCF78CB73}"/>
    <cellStyle name="Currency 4 3 4 2 3 2" xfId="6030" xr:uid="{E2189C51-0553-4773-9428-53D898BD9F26}"/>
    <cellStyle name="Currency 4 3 4 2 3 2 2" xfId="9502" xr:uid="{3EF4A005-DC2B-4318-B9CD-DA980C41BD49}"/>
    <cellStyle name="Currency 4 3 4 2 3 2 2 2" xfId="23553" xr:uid="{8787147D-D972-4961-A525-FD3E16090BE3}"/>
    <cellStyle name="Currency 4 3 4 2 3 2 3" xfId="12106" xr:uid="{3D58EB2D-897B-41B1-ABED-73993AD08973}"/>
    <cellStyle name="Currency 4 3 4 2 3 2 3 2" xfId="26157" xr:uid="{D972AC72-D473-4DAD-B9D1-F104F74334A5}"/>
    <cellStyle name="Currency 4 3 4 2 3 2 4" xfId="20081" xr:uid="{123CB2AB-0EE8-461C-90FF-3BDC92E443DA}"/>
    <cellStyle name="Currency 4 3 4 2 3 3" xfId="6898" xr:uid="{0A1F46D6-2733-4799-8A45-09FD899C7654}"/>
    <cellStyle name="Currency 4 3 4 2 3 3 2" xfId="10370" xr:uid="{17E3F55A-97EB-484A-8EA6-C568CDF1E1B6}"/>
    <cellStyle name="Currency 4 3 4 2 3 3 2 2" xfId="24421" xr:uid="{A7D74271-9F5B-4996-9F7A-71ED6DB00F5E}"/>
    <cellStyle name="Currency 4 3 4 2 3 3 3" xfId="12974" xr:uid="{126D57C6-D1D0-4CEA-8DF5-1D96125309CB}"/>
    <cellStyle name="Currency 4 3 4 2 3 3 3 2" xfId="27025" xr:uid="{D536B1FD-AA08-476D-81F9-E1AC888FA272}"/>
    <cellStyle name="Currency 4 3 4 2 3 3 4" xfId="20949" xr:uid="{EFE93D8E-27D7-4D8B-8712-AA4172019F9D}"/>
    <cellStyle name="Currency 4 3 4 2 3 4" xfId="8634" xr:uid="{D266C439-5BE3-4865-AACD-03F8C2F48C89}"/>
    <cellStyle name="Currency 4 3 4 2 3 4 2" xfId="13842" xr:uid="{5BE9C86B-2078-4024-BD48-282610583A3F}"/>
    <cellStyle name="Currency 4 3 4 2 3 4 2 2" xfId="27893" xr:uid="{2A73F153-3044-4657-AD83-DC71084CF4CD}"/>
    <cellStyle name="Currency 4 3 4 2 3 4 3" xfId="22685" xr:uid="{B8185F9C-DBA1-4743-B1C6-6B6CFC6D5DBD}"/>
    <cellStyle name="Currency 4 3 4 2 3 5" xfId="7766" xr:uid="{CF9BC75A-6FD9-47BE-9FE2-0966BF24B5F8}"/>
    <cellStyle name="Currency 4 3 4 2 3 5 2" xfId="21817" xr:uid="{327C7023-B234-47B8-A8F4-E71BE5E24EF2}"/>
    <cellStyle name="Currency 4 3 4 2 3 6" xfId="11238" xr:uid="{CA6B96CA-784B-43BA-9C9E-4439F6147D9D}"/>
    <cellStyle name="Currency 4 3 4 2 3 6 2" xfId="25289" xr:uid="{5E9C7FEA-F00C-4B87-83A1-0AEFC949C8AD}"/>
    <cellStyle name="Currency 4 3 4 2 3 7" xfId="19213" xr:uid="{C579BED0-1CB8-48AA-922F-04D190704983}"/>
    <cellStyle name="Currency 4 3 4 2 4" xfId="5596" xr:uid="{E7417F47-2E70-43C3-BB3E-03C42F6B716B}"/>
    <cellStyle name="Currency 4 3 4 2 4 2" xfId="9068" xr:uid="{6928F975-B2E6-40BD-831E-E5A619D1775D}"/>
    <cellStyle name="Currency 4 3 4 2 4 2 2" xfId="23119" xr:uid="{DC2D7F63-CF9B-4D51-96E8-449BB1F185C2}"/>
    <cellStyle name="Currency 4 3 4 2 4 3" xfId="11672" xr:uid="{1C9297F8-E9D4-43A0-99B3-EF6AE3107993}"/>
    <cellStyle name="Currency 4 3 4 2 4 3 2" xfId="25723" xr:uid="{93C64AF5-574E-46A1-AFA4-1E5A6A6B92BD}"/>
    <cellStyle name="Currency 4 3 4 2 4 4" xfId="19647" xr:uid="{31E6016A-CA84-48EA-9C9A-412491B90C9B}"/>
    <cellStyle name="Currency 4 3 4 2 5" xfId="6464" xr:uid="{4A0B547D-E0E0-43CC-8C44-1B54AEF28D60}"/>
    <cellStyle name="Currency 4 3 4 2 5 2" xfId="9936" xr:uid="{5BD92840-494D-4B38-B94F-046C6D836AAC}"/>
    <cellStyle name="Currency 4 3 4 2 5 2 2" xfId="23987" xr:uid="{935A8371-A40E-4148-BDB2-ADE315E26D0C}"/>
    <cellStyle name="Currency 4 3 4 2 5 3" xfId="12540" xr:uid="{4905B4D3-50BF-485B-855F-6C64AA84AEE9}"/>
    <cellStyle name="Currency 4 3 4 2 5 3 2" xfId="26591" xr:uid="{4683D79F-A48D-4500-BA6D-16E6D1488472}"/>
    <cellStyle name="Currency 4 3 4 2 5 4" xfId="20515" xr:uid="{34F47AA6-EDD2-4A07-9F48-62691724D34C}"/>
    <cellStyle name="Currency 4 3 4 2 6" xfId="8200" xr:uid="{DF4648D5-136B-4547-883B-6FA5CF096EE4}"/>
    <cellStyle name="Currency 4 3 4 2 6 2" xfId="13408" xr:uid="{D3196EBD-3B07-420E-BB34-95B084400E18}"/>
    <cellStyle name="Currency 4 3 4 2 6 2 2" xfId="27459" xr:uid="{136B13C9-1750-4F2B-A754-BC619300FDE9}"/>
    <cellStyle name="Currency 4 3 4 2 6 3" xfId="22251" xr:uid="{14409C06-0710-481C-9113-54337821E707}"/>
    <cellStyle name="Currency 4 3 4 2 7" xfId="7332" xr:uid="{565CE890-2DC2-40D4-8918-E5980E974093}"/>
    <cellStyle name="Currency 4 3 4 2 7 2" xfId="21383" xr:uid="{D3D11419-D24B-4643-8E9A-A30F6AC08792}"/>
    <cellStyle name="Currency 4 3 4 2 8" xfId="10804" xr:uid="{2CD7911D-9649-463F-80BF-F4EDF32598FF}"/>
    <cellStyle name="Currency 4 3 4 2 8 2" xfId="24855" xr:uid="{D1DD6873-3B50-4800-8EBE-3C10B7265C35}"/>
    <cellStyle name="Currency 4 3 4 2 9" xfId="16026" xr:uid="{3E5BF3F3-FA2A-4DB0-8806-00BA773AC26D}"/>
    <cellStyle name="Currency 4 3 4 3" xfId="3070" xr:uid="{2341FB3E-C7C6-43C9-A75A-A2C0B82FED3D}"/>
    <cellStyle name="Currency 4 3 4 3 2" xfId="5257" xr:uid="{FC26B3A6-AF9B-4AF0-B6C9-B59ED1D89D6A}"/>
    <cellStyle name="Currency 4 3 4 3 2 2" xfId="6125" xr:uid="{13DE76E0-E8EA-445E-BF03-7577DBCDDADA}"/>
    <cellStyle name="Currency 4 3 4 3 2 2 2" xfId="9597" xr:uid="{97AC4406-2C05-42FD-9244-FD2C692CE3CC}"/>
    <cellStyle name="Currency 4 3 4 3 2 2 2 2" xfId="23648" xr:uid="{EAF4377B-7D16-486C-8E5D-8C79156ADCBC}"/>
    <cellStyle name="Currency 4 3 4 3 2 2 3" xfId="12201" xr:uid="{AE61CB29-FBC0-40FF-9EF7-CF37CDD1D389}"/>
    <cellStyle name="Currency 4 3 4 3 2 2 3 2" xfId="26252" xr:uid="{522ED4DA-7EFD-4241-9E76-DCD6993C49CB}"/>
    <cellStyle name="Currency 4 3 4 3 2 2 4" xfId="20176" xr:uid="{F7849DBA-7C6D-4077-A173-D2AB968BECDB}"/>
    <cellStyle name="Currency 4 3 4 3 2 3" xfId="6993" xr:uid="{E64E4ACE-10B9-468B-9324-FB216442415D}"/>
    <cellStyle name="Currency 4 3 4 3 2 3 2" xfId="10465" xr:uid="{BBCAEDBE-37DD-4316-9117-6F74F4C2B9A0}"/>
    <cellStyle name="Currency 4 3 4 3 2 3 2 2" xfId="24516" xr:uid="{4FCD3A3D-549D-4BA1-8D61-409646ED8C9E}"/>
    <cellStyle name="Currency 4 3 4 3 2 3 3" xfId="13069" xr:uid="{EADE65FF-0DB7-4D55-8EC6-A7DE15A56EB3}"/>
    <cellStyle name="Currency 4 3 4 3 2 3 3 2" xfId="27120" xr:uid="{295E37FF-71E2-4022-9442-8C3A974330A3}"/>
    <cellStyle name="Currency 4 3 4 3 2 3 4" xfId="21044" xr:uid="{FFF76303-D084-4CF3-A355-E9F0D170776B}"/>
    <cellStyle name="Currency 4 3 4 3 2 4" xfId="8729" xr:uid="{365FEC1B-31EF-4A27-B92B-494B4643F89C}"/>
    <cellStyle name="Currency 4 3 4 3 2 4 2" xfId="13937" xr:uid="{F8C8C272-63F9-4735-A327-59DE238F6B57}"/>
    <cellStyle name="Currency 4 3 4 3 2 4 2 2" xfId="27988" xr:uid="{03C16263-1E48-4E5F-BF38-7DDBB7F9492A}"/>
    <cellStyle name="Currency 4 3 4 3 2 4 3" xfId="22780" xr:uid="{7200026C-4CA6-4DFD-9688-D566495D3BCC}"/>
    <cellStyle name="Currency 4 3 4 3 2 5" xfId="7861" xr:uid="{156DF356-8DB5-4BAB-9334-6FA06FE9141B}"/>
    <cellStyle name="Currency 4 3 4 3 2 5 2" xfId="21912" xr:uid="{17494B9C-AACB-46AC-9127-CA9CDCB805CB}"/>
    <cellStyle name="Currency 4 3 4 3 2 6" xfId="11333" xr:uid="{3FAF0BAC-8ADD-44FA-8D14-D5B6938B10EB}"/>
    <cellStyle name="Currency 4 3 4 3 2 6 2" xfId="25384" xr:uid="{A0EEFC65-FC27-475E-96A2-D69FFA890367}"/>
    <cellStyle name="Currency 4 3 4 3 2 7" xfId="19308" xr:uid="{5B57A743-F2BF-46AA-8926-75A2F20C9F9D}"/>
    <cellStyle name="Currency 4 3 4 3 3" xfId="5691" xr:uid="{35FBCD5E-3395-4BE6-BE61-E48B8C1EA983}"/>
    <cellStyle name="Currency 4 3 4 3 3 2" xfId="9163" xr:uid="{6DA1BF4B-E093-4610-8835-3269AF765E7C}"/>
    <cellStyle name="Currency 4 3 4 3 3 2 2" xfId="23214" xr:uid="{43FCC2DD-E44E-49BD-AC40-1A235D42130A}"/>
    <cellStyle name="Currency 4 3 4 3 3 3" xfId="11767" xr:uid="{06DDB631-96E3-4CBD-B13B-45F667733A9A}"/>
    <cellStyle name="Currency 4 3 4 3 3 3 2" xfId="25818" xr:uid="{CA1108F2-A3C3-4117-8D40-A0B87E5BE9BF}"/>
    <cellStyle name="Currency 4 3 4 3 3 4" xfId="19742" xr:uid="{D670F3F7-CE25-4373-8B51-5405B4BD2CD7}"/>
    <cellStyle name="Currency 4 3 4 3 4" xfId="6559" xr:uid="{AAC6F99F-8C69-40CE-A081-7EA9627726FF}"/>
    <cellStyle name="Currency 4 3 4 3 4 2" xfId="10031" xr:uid="{F4196626-9456-4FCB-91E1-9BEB1520E25F}"/>
    <cellStyle name="Currency 4 3 4 3 4 2 2" xfId="24082" xr:uid="{257D03C1-394B-429D-9B0D-D85182492C8C}"/>
    <cellStyle name="Currency 4 3 4 3 4 3" xfId="12635" xr:uid="{5F5898CF-A2F8-4EC4-877E-AEC89C918842}"/>
    <cellStyle name="Currency 4 3 4 3 4 3 2" xfId="26686" xr:uid="{33B2F193-91B0-4C24-80FA-90C9FEF35F51}"/>
    <cellStyle name="Currency 4 3 4 3 4 4" xfId="20610" xr:uid="{40C731FD-859D-41CE-920A-823646378C3A}"/>
    <cellStyle name="Currency 4 3 4 3 5" xfId="8295" xr:uid="{B6281F90-3838-49AF-9C5B-500A3ED046CD}"/>
    <cellStyle name="Currency 4 3 4 3 5 2" xfId="13503" xr:uid="{8A28B3DD-4849-48D6-8F9A-F8F38CA74761}"/>
    <cellStyle name="Currency 4 3 4 3 5 2 2" xfId="27554" xr:uid="{F9742D61-9EAD-4730-83DE-00170E1A1E51}"/>
    <cellStyle name="Currency 4 3 4 3 5 3" xfId="22346" xr:uid="{23134C8C-CC22-4DC9-ABE8-3A0F00BF0498}"/>
    <cellStyle name="Currency 4 3 4 3 6" xfId="7427" xr:uid="{66E60DE8-C2FF-4A7E-BF45-F90E161F5072}"/>
    <cellStyle name="Currency 4 3 4 3 6 2" xfId="21478" xr:uid="{97C16068-E2CD-49CE-B964-CDD68C846FDE}"/>
    <cellStyle name="Currency 4 3 4 3 7" xfId="10899" xr:uid="{65E44971-0EE5-4FA8-9490-924C84AC7294}"/>
    <cellStyle name="Currency 4 3 4 3 7 2" xfId="24950" xr:uid="{E808C4AD-7046-405C-B09D-D340BA1161AF}"/>
    <cellStyle name="Currency 4 3 4 3 8" xfId="17122" xr:uid="{73098DD9-6CBE-4898-9CE4-D653DAA4ACC1}"/>
    <cellStyle name="Currency 4 3 4 4" xfId="5065" xr:uid="{27E0D8FC-E60B-4E58-914D-6C12BCFBABBE}"/>
    <cellStyle name="Currency 4 3 4 4 2" xfId="5933" xr:uid="{81D3BE6C-FE69-4DF0-93CE-E54B74989842}"/>
    <cellStyle name="Currency 4 3 4 4 2 2" xfId="9405" xr:uid="{B0708CF3-99AB-4DB9-A559-003D48A41FEB}"/>
    <cellStyle name="Currency 4 3 4 4 2 2 2" xfId="23456" xr:uid="{22BDCDBE-2641-47CA-892C-ADAF596880E1}"/>
    <cellStyle name="Currency 4 3 4 4 2 3" xfId="12009" xr:uid="{9999E0EB-75E4-4D02-8E50-30E0C3D54A05}"/>
    <cellStyle name="Currency 4 3 4 4 2 3 2" xfId="26060" xr:uid="{1CAC1D13-E8E5-4426-B157-1E04154DE971}"/>
    <cellStyle name="Currency 4 3 4 4 2 4" xfId="19984" xr:uid="{19E3FF59-A10D-4F6B-9A71-FCDEC86AFBF2}"/>
    <cellStyle name="Currency 4 3 4 4 3" xfId="6801" xr:uid="{E0EF2CEB-440B-4CDD-81BE-3A34C83F68AB}"/>
    <cellStyle name="Currency 4 3 4 4 3 2" xfId="10273" xr:uid="{A174EF99-FC27-465E-90F2-539CCDC4B62D}"/>
    <cellStyle name="Currency 4 3 4 4 3 2 2" xfId="24324" xr:uid="{6D6FB7C2-26D3-43E7-AF81-D587B6D03D65}"/>
    <cellStyle name="Currency 4 3 4 4 3 3" xfId="12877" xr:uid="{543B8770-DE5F-4E92-B35A-58C636E3C5C9}"/>
    <cellStyle name="Currency 4 3 4 4 3 3 2" xfId="26928" xr:uid="{23B2BFF5-95A6-4AB4-BDA4-AD93265E2EBC}"/>
    <cellStyle name="Currency 4 3 4 4 3 4" xfId="20852" xr:uid="{DBEA6DA9-6C35-417B-BE17-9C7EF9E74FEC}"/>
    <cellStyle name="Currency 4 3 4 4 4" xfId="8537" xr:uid="{FE93F40D-664F-4127-B317-71BE4AA83F53}"/>
    <cellStyle name="Currency 4 3 4 4 4 2" xfId="13745" xr:uid="{A09C6EE3-D1C6-4F45-9A7A-06F7D8F10AC8}"/>
    <cellStyle name="Currency 4 3 4 4 4 2 2" xfId="27796" xr:uid="{7B7AF01B-4E51-4434-AF59-E87811B76211}"/>
    <cellStyle name="Currency 4 3 4 4 4 3" xfId="22588" xr:uid="{C76A988C-8137-47EE-AE3F-D21EFCACC80D}"/>
    <cellStyle name="Currency 4 3 4 4 5" xfId="7669" xr:uid="{78B5E7E0-EFF4-4808-AE06-E8EB7F923AB3}"/>
    <cellStyle name="Currency 4 3 4 4 5 2" xfId="21720" xr:uid="{FEFC34CA-2EDC-417E-8B91-9E40E47B707D}"/>
    <cellStyle name="Currency 4 3 4 4 6" xfId="11141" xr:uid="{016ADA2C-8547-4984-8A90-54D86E2A0AF2}"/>
    <cellStyle name="Currency 4 3 4 4 6 2" xfId="25192" xr:uid="{4C02EAFB-A9FD-4ECE-82C8-98D4B1B0CE19}"/>
    <cellStyle name="Currency 4 3 4 4 7" xfId="19116" xr:uid="{912773CC-E77C-414A-BDAF-527AF7284DBD}"/>
    <cellStyle name="Currency 4 3 4 5" xfId="5499" xr:uid="{05E0D644-D836-407B-86C7-16A67AF539FA}"/>
    <cellStyle name="Currency 4 3 4 5 2" xfId="8971" xr:uid="{55B3CAF5-6EE8-4B4B-9BA7-909CDA74DBD4}"/>
    <cellStyle name="Currency 4 3 4 5 2 2" xfId="23022" xr:uid="{18B6EDF9-D67E-46A5-844F-C295801B73C1}"/>
    <cellStyle name="Currency 4 3 4 5 3" xfId="11575" xr:uid="{4BFBC2E3-50BF-4B2A-B931-D332D185A4A1}"/>
    <cellStyle name="Currency 4 3 4 5 3 2" xfId="25626" xr:uid="{4465BF5B-DC0A-41BB-B6AA-7B877BF3691D}"/>
    <cellStyle name="Currency 4 3 4 5 4" xfId="19550" xr:uid="{0F7B7C84-9337-4EE2-8156-0CD40B6FA280}"/>
    <cellStyle name="Currency 4 3 4 6" xfId="6367" xr:uid="{BE17AEFC-98FA-48B6-B07B-6C70BBFAEB08}"/>
    <cellStyle name="Currency 4 3 4 6 2" xfId="9839" xr:uid="{575DB219-40B2-485A-8C25-BD67117DAB0D}"/>
    <cellStyle name="Currency 4 3 4 6 2 2" xfId="23890" xr:uid="{42355515-4702-4883-844F-07283A14529B}"/>
    <cellStyle name="Currency 4 3 4 6 3" xfId="12443" xr:uid="{E9176C4B-038F-40A0-95D5-1E2D041C3067}"/>
    <cellStyle name="Currency 4 3 4 6 3 2" xfId="26494" xr:uid="{72079612-CBA8-4066-9CEB-8E758F8E6D9D}"/>
    <cellStyle name="Currency 4 3 4 6 4" xfId="20418" xr:uid="{B74DF32F-BD65-4854-BBB3-34584D1F4005}"/>
    <cellStyle name="Currency 4 3 4 7" xfId="8103" xr:uid="{C1BC5B72-0993-46C9-9FDB-ADB0CE5F79EB}"/>
    <cellStyle name="Currency 4 3 4 7 2" xfId="13311" xr:uid="{80958FC7-D614-4839-B4DC-B04DF628E1FF}"/>
    <cellStyle name="Currency 4 3 4 7 2 2" xfId="27362" xr:uid="{BD5A2677-28CE-4600-BAC2-0EA03BD23616}"/>
    <cellStyle name="Currency 4 3 4 7 3" xfId="22154" xr:uid="{794F21C8-E227-4DDD-9CF7-0DE7395B5EF1}"/>
    <cellStyle name="Currency 4 3 4 8" xfId="7235" xr:uid="{8D700476-FA7C-4388-99AA-E2C9E089AF08}"/>
    <cellStyle name="Currency 4 3 4 8 2" xfId="21286" xr:uid="{F0066F45-C265-42BB-BB22-D24ED9634E4B}"/>
    <cellStyle name="Currency 4 3 4 9" xfId="10707" xr:uid="{01053B5E-787C-4712-B71F-2E1CFAD5409B}"/>
    <cellStyle name="Currency 4 3 4 9 2" xfId="24758" xr:uid="{F38D9EC3-95BF-48B3-A3FE-28C1DC180554}"/>
    <cellStyle name="Currency 4 3 5" xfId="1286" xr:uid="{70313031-FA9C-44D9-A141-14CC9BB2C0A1}"/>
    <cellStyle name="Currency 4 3 5 2" xfId="3476" xr:uid="{BAAFE167-844A-482B-B664-B08C53F74B05}"/>
    <cellStyle name="Currency 4 3 5 2 2" xfId="5293" xr:uid="{953865FE-88B6-4FE4-968E-7856D4F79446}"/>
    <cellStyle name="Currency 4 3 5 2 2 2" xfId="6161" xr:uid="{5ED80107-36DF-4161-B41D-BC8BEF2242C4}"/>
    <cellStyle name="Currency 4 3 5 2 2 2 2" xfId="9633" xr:uid="{C13C8AB5-C830-45DC-9307-8A4C0D131DE5}"/>
    <cellStyle name="Currency 4 3 5 2 2 2 2 2" xfId="23684" xr:uid="{9BD7A7A9-1C02-45AF-85DC-DBE68C6D3FB1}"/>
    <cellStyle name="Currency 4 3 5 2 2 2 3" xfId="12237" xr:uid="{2B3290B7-C8CE-4C76-BCFB-FD77D841EF64}"/>
    <cellStyle name="Currency 4 3 5 2 2 2 3 2" xfId="26288" xr:uid="{059008DC-30C5-47FA-BED1-57E029AE4EE1}"/>
    <cellStyle name="Currency 4 3 5 2 2 2 4" xfId="20212" xr:uid="{B4B9B1B1-3145-4792-A8C3-818A64F16B7E}"/>
    <cellStyle name="Currency 4 3 5 2 2 3" xfId="7029" xr:uid="{B04051DF-3A7B-410F-BC65-7B644892B267}"/>
    <cellStyle name="Currency 4 3 5 2 2 3 2" xfId="10501" xr:uid="{4FC7A934-2944-4A42-9526-8386BD915D0F}"/>
    <cellStyle name="Currency 4 3 5 2 2 3 2 2" xfId="24552" xr:uid="{2EF3618E-57F3-4CA0-BA0E-03042D8C496D}"/>
    <cellStyle name="Currency 4 3 5 2 2 3 3" xfId="13105" xr:uid="{394158F0-3DA6-46E8-AF04-DCF5C46DECA7}"/>
    <cellStyle name="Currency 4 3 5 2 2 3 3 2" xfId="27156" xr:uid="{1DAFEF46-1AF3-4683-9E20-65EC2AA39E91}"/>
    <cellStyle name="Currency 4 3 5 2 2 3 4" xfId="21080" xr:uid="{3787E77F-69FD-4511-B417-EF4F5AAD8288}"/>
    <cellStyle name="Currency 4 3 5 2 2 4" xfId="8765" xr:uid="{70C47F6A-70E3-444A-8FC5-0D5EB931CD91}"/>
    <cellStyle name="Currency 4 3 5 2 2 4 2" xfId="13973" xr:uid="{259638C7-76C5-4C2D-B0D5-F54F22275B69}"/>
    <cellStyle name="Currency 4 3 5 2 2 4 2 2" xfId="28024" xr:uid="{B0306454-970F-40CF-88E8-343640646583}"/>
    <cellStyle name="Currency 4 3 5 2 2 4 3" xfId="22816" xr:uid="{C70D9FFC-74B2-4C72-BA72-7D1E1BBA8791}"/>
    <cellStyle name="Currency 4 3 5 2 2 5" xfId="7897" xr:uid="{B8823CEA-2D54-48EC-83B2-8178FC0DEFDB}"/>
    <cellStyle name="Currency 4 3 5 2 2 5 2" xfId="21948" xr:uid="{5F35D436-9E60-49CF-87AC-28010FF4649F}"/>
    <cellStyle name="Currency 4 3 5 2 2 6" xfId="11369" xr:uid="{A85D03B8-D27D-491C-8754-2123EB2968E4}"/>
    <cellStyle name="Currency 4 3 5 2 2 6 2" xfId="25420" xr:uid="{CF4CA75C-300A-46EA-8DB5-3EDC66FC8870}"/>
    <cellStyle name="Currency 4 3 5 2 2 7" xfId="19344" xr:uid="{A5D2CE23-CD8E-4D48-BA56-34EDEB936414}"/>
    <cellStyle name="Currency 4 3 5 2 3" xfId="5727" xr:uid="{E2CE8263-B834-4B65-8083-391F8C715EAA}"/>
    <cellStyle name="Currency 4 3 5 2 3 2" xfId="9199" xr:uid="{0A922A2D-BA86-4FF6-A095-81A6C5CAFCD1}"/>
    <cellStyle name="Currency 4 3 5 2 3 2 2" xfId="23250" xr:uid="{DEF44635-0607-4A71-ABE6-D691E56F9A90}"/>
    <cellStyle name="Currency 4 3 5 2 3 3" xfId="11803" xr:uid="{252B4374-73F8-4899-9173-FEB1D3C0639F}"/>
    <cellStyle name="Currency 4 3 5 2 3 3 2" xfId="25854" xr:uid="{38B08BD8-0571-48A2-A89C-F757AFCC48F8}"/>
    <cellStyle name="Currency 4 3 5 2 3 4" xfId="19778" xr:uid="{1FE351FF-538C-4451-A69F-D8863A18A2A9}"/>
    <cellStyle name="Currency 4 3 5 2 4" xfId="6595" xr:uid="{627F74B0-2285-4880-BE33-36CB475010AE}"/>
    <cellStyle name="Currency 4 3 5 2 4 2" xfId="10067" xr:uid="{987D107A-D3F3-4023-94E1-BBA8C122E5F7}"/>
    <cellStyle name="Currency 4 3 5 2 4 2 2" xfId="24118" xr:uid="{C7C9DFA7-BB60-4355-9625-6B7B9D38BE43}"/>
    <cellStyle name="Currency 4 3 5 2 4 3" xfId="12671" xr:uid="{6DEE8B99-AC68-4F9F-B7C9-A5BF2A70A768}"/>
    <cellStyle name="Currency 4 3 5 2 4 3 2" xfId="26722" xr:uid="{07D473AA-B0AE-4950-971A-6F833AE37754}"/>
    <cellStyle name="Currency 4 3 5 2 4 4" xfId="20646" xr:uid="{92627D2C-3FD8-49C4-A031-12EBA1E3C7E9}"/>
    <cellStyle name="Currency 4 3 5 2 5" xfId="8331" xr:uid="{EA84997F-C4D9-4DF9-A569-00FB86731D79}"/>
    <cellStyle name="Currency 4 3 5 2 5 2" xfId="13539" xr:uid="{8EDE6E00-08D9-41E0-ACB0-D1CEF6B09AD6}"/>
    <cellStyle name="Currency 4 3 5 2 5 2 2" xfId="27590" xr:uid="{778F6F32-F0B0-4C6F-B0A7-C0F0FD607853}"/>
    <cellStyle name="Currency 4 3 5 2 5 3" xfId="22382" xr:uid="{1D4FF6B6-0223-465B-A6CC-A2E5D777EABE}"/>
    <cellStyle name="Currency 4 3 5 2 6" xfId="7463" xr:uid="{B75B2E91-813F-4AB4-B386-36DC3F4D8464}"/>
    <cellStyle name="Currency 4 3 5 2 6 2" xfId="21514" xr:uid="{81B1BF83-1AB3-4BFB-8D41-B7B13F985B75}"/>
    <cellStyle name="Currency 4 3 5 2 7" xfId="10935" xr:uid="{990B0665-ED87-4727-918B-2FC6F5E5F622}"/>
    <cellStyle name="Currency 4 3 5 2 7 2" xfId="24986" xr:uid="{1A0FD884-449A-43D1-A6C6-444D2EE2B34E}"/>
    <cellStyle name="Currency 4 3 5 2 8" xfId="17528" xr:uid="{DC8EE93F-29CF-404B-A0B9-9480C0D4AC4A}"/>
    <cellStyle name="Currency 4 3 5 3" xfId="5102" xr:uid="{E173881A-876B-480D-95F3-98205DB7839A}"/>
    <cellStyle name="Currency 4 3 5 3 2" xfId="5970" xr:uid="{9569DD41-A61C-4877-88DA-970606330718}"/>
    <cellStyle name="Currency 4 3 5 3 2 2" xfId="9442" xr:uid="{F2BFE508-4FEE-4277-88EE-9F1A9382E221}"/>
    <cellStyle name="Currency 4 3 5 3 2 2 2" xfId="23493" xr:uid="{52CC9836-4A4E-4156-99D5-A0C89502BD8E}"/>
    <cellStyle name="Currency 4 3 5 3 2 3" xfId="12046" xr:uid="{0CFCD527-140D-4096-B098-587B17769053}"/>
    <cellStyle name="Currency 4 3 5 3 2 3 2" xfId="26097" xr:uid="{8B68DB17-D52B-4A1C-8D0A-8E937505036B}"/>
    <cellStyle name="Currency 4 3 5 3 2 4" xfId="20021" xr:uid="{468E5A27-ABE6-4AD7-B16F-1517C9EAC87E}"/>
    <cellStyle name="Currency 4 3 5 3 3" xfId="6838" xr:uid="{0693EB5C-EFF0-47DC-ABAA-915CC01946FA}"/>
    <cellStyle name="Currency 4 3 5 3 3 2" xfId="10310" xr:uid="{A9F22E66-819B-4F96-B758-583838F226C3}"/>
    <cellStyle name="Currency 4 3 5 3 3 2 2" xfId="24361" xr:uid="{09358466-C229-4998-8652-85C0CC6F6F28}"/>
    <cellStyle name="Currency 4 3 5 3 3 3" xfId="12914" xr:uid="{6F85240E-2192-4E14-ADFB-B9484020202D}"/>
    <cellStyle name="Currency 4 3 5 3 3 3 2" xfId="26965" xr:uid="{E0D76361-A31C-4E91-B02F-8AB877033C07}"/>
    <cellStyle name="Currency 4 3 5 3 3 4" xfId="20889" xr:uid="{0175E761-5911-4255-AD07-766948FCC7B3}"/>
    <cellStyle name="Currency 4 3 5 3 4" xfId="8574" xr:uid="{1DA8E1C5-0FC1-4D60-929D-0A536697C289}"/>
    <cellStyle name="Currency 4 3 5 3 4 2" xfId="13782" xr:uid="{2328EE49-C956-4556-985C-A83F48C3774B}"/>
    <cellStyle name="Currency 4 3 5 3 4 2 2" xfId="27833" xr:uid="{D76BAE17-54B8-497A-8FD6-DBAF7BC2884D}"/>
    <cellStyle name="Currency 4 3 5 3 4 3" xfId="22625" xr:uid="{84A10035-513B-4A48-AEEB-2682AB883717}"/>
    <cellStyle name="Currency 4 3 5 3 5" xfId="7706" xr:uid="{9B135846-59F8-4567-AF5E-784D85B260D8}"/>
    <cellStyle name="Currency 4 3 5 3 5 2" xfId="21757" xr:uid="{02572253-A568-4CF1-BC4E-7DB3EBD247D2}"/>
    <cellStyle name="Currency 4 3 5 3 6" xfId="11178" xr:uid="{0E9F593C-5EC5-412A-8084-CCB7F27BFD56}"/>
    <cellStyle name="Currency 4 3 5 3 6 2" xfId="25229" xr:uid="{809CBEDE-708E-4495-A0FF-2B4400082086}"/>
    <cellStyle name="Currency 4 3 5 3 7" xfId="19153" xr:uid="{68202416-1BA4-4D40-AFCC-4EE10F9B6758}"/>
    <cellStyle name="Currency 4 3 5 4" xfId="5536" xr:uid="{C66ADC52-254A-49F5-A634-632D4A402020}"/>
    <cellStyle name="Currency 4 3 5 4 2" xfId="9008" xr:uid="{90E6F1F7-D49A-44A6-8AF0-068CEA2154FF}"/>
    <cellStyle name="Currency 4 3 5 4 2 2" xfId="23059" xr:uid="{4277471D-4547-49C5-88F6-4E08E3DA2E19}"/>
    <cellStyle name="Currency 4 3 5 4 3" xfId="11612" xr:uid="{B63F2625-471F-44C1-8A8E-92A202B666D8}"/>
    <cellStyle name="Currency 4 3 5 4 3 2" xfId="25663" xr:uid="{7EC7B20B-BCF1-4972-8CD3-62D619C35A30}"/>
    <cellStyle name="Currency 4 3 5 4 4" xfId="19587" xr:uid="{28ABE111-987F-43D9-820C-636BAE1D53E4}"/>
    <cellStyle name="Currency 4 3 5 5" xfId="6404" xr:uid="{93A9C4AE-C8F2-4859-BCFD-66724B073C8D}"/>
    <cellStyle name="Currency 4 3 5 5 2" xfId="9876" xr:uid="{4CA329E7-6AD7-4F5A-B799-2CCDC89A2385}"/>
    <cellStyle name="Currency 4 3 5 5 2 2" xfId="23927" xr:uid="{8A6A03CB-33A1-48E6-8F9C-4D86A1A0DFF7}"/>
    <cellStyle name="Currency 4 3 5 5 3" xfId="12480" xr:uid="{83C5A230-7A5D-4403-941E-A2087B09D022}"/>
    <cellStyle name="Currency 4 3 5 5 3 2" xfId="26531" xr:uid="{87DE898C-79DE-4A97-9772-29B84A05740B}"/>
    <cellStyle name="Currency 4 3 5 5 4" xfId="20455" xr:uid="{5A6BAD6F-2C62-4393-B11A-C9FE3E808D8D}"/>
    <cellStyle name="Currency 4 3 5 6" xfId="8140" xr:uid="{7F93482B-2538-4BB1-A339-7474D8114C27}"/>
    <cellStyle name="Currency 4 3 5 6 2" xfId="13348" xr:uid="{EAF77BAD-8D1C-46DC-8146-AB356E1930C9}"/>
    <cellStyle name="Currency 4 3 5 6 2 2" xfId="27399" xr:uid="{6C4CD292-0DBE-494E-8DE9-E23092EDFE4C}"/>
    <cellStyle name="Currency 4 3 5 6 3" xfId="22191" xr:uid="{973CFDE1-471F-405B-B466-1EED3BE6F561}"/>
    <cellStyle name="Currency 4 3 5 7" xfId="7272" xr:uid="{149E0FFA-2185-402D-9B95-E044AC3C5658}"/>
    <cellStyle name="Currency 4 3 5 7 2" xfId="21323" xr:uid="{2EE8791A-CADA-4D7F-AD3C-0059CAF041E1}"/>
    <cellStyle name="Currency 4 3 5 8" xfId="10744" xr:uid="{23E23843-D019-46AF-B519-E8EFD3982887}"/>
    <cellStyle name="Currency 4 3 5 8 2" xfId="24795" xr:uid="{2849DD03-7F02-44AC-AC83-DFE69AEA77DD}"/>
    <cellStyle name="Currency 4 3 5 9" xfId="15334" xr:uid="{716AD32A-FE19-466F-BE7B-ACDE5477C4C0}"/>
    <cellStyle name="Currency 4 3 6" xfId="2377" xr:uid="{79F9D700-BAE3-4971-B213-432C858CBBE6}"/>
    <cellStyle name="Currency 4 3 6 2" xfId="5197" xr:uid="{8796227B-03E2-4013-A3F4-8F746C5A51A6}"/>
    <cellStyle name="Currency 4 3 6 2 2" xfId="6065" xr:uid="{86AECB50-7959-44CB-A718-373FD9E0F5A6}"/>
    <cellStyle name="Currency 4 3 6 2 2 2" xfId="9537" xr:uid="{5DE2CB3F-8B62-42EC-B143-8B0111010A46}"/>
    <cellStyle name="Currency 4 3 6 2 2 2 2" xfId="23588" xr:uid="{48D35D7E-DB79-4170-9BD4-EF064CC8E75D}"/>
    <cellStyle name="Currency 4 3 6 2 2 3" xfId="12141" xr:uid="{C5C930D9-EE04-4F8E-9DC8-EBA7C9665870}"/>
    <cellStyle name="Currency 4 3 6 2 2 3 2" xfId="26192" xr:uid="{2B16F458-40CC-4D35-B075-405B3BF4DCDA}"/>
    <cellStyle name="Currency 4 3 6 2 2 4" xfId="20116" xr:uid="{F32960BF-E803-4404-8BAF-4BD8D9C2BE41}"/>
    <cellStyle name="Currency 4 3 6 2 3" xfId="6933" xr:uid="{A62D083A-F6E4-433B-A191-D833E10684B2}"/>
    <cellStyle name="Currency 4 3 6 2 3 2" xfId="10405" xr:uid="{A53A2E1B-B0DA-4B2B-B7FB-68BD778889F0}"/>
    <cellStyle name="Currency 4 3 6 2 3 2 2" xfId="24456" xr:uid="{6F4B09C4-C92D-4687-BE7F-5B465D88D8D9}"/>
    <cellStyle name="Currency 4 3 6 2 3 3" xfId="13009" xr:uid="{7E24E7F1-2F74-4112-A746-0B8B9DB39A84}"/>
    <cellStyle name="Currency 4 3 6 2 3 3 2" xfId="27060" xr:uid="{02CBC6F2-D099-4B8D-A8F4-0B637F48DBC3}"/>
    <cellStyle name="Currency 4 3 6 2 3 4" xfId="20984" xr:uid="{C0A3381F-9B46-4B43-8CA5-1CD3B58C490A}"/>
    <cellStyle name="Currency 4 3 6 2 4" xfId="8669" xr:uid="{7B5042C1-37DD-44D2-9841-9325E8C4DC91}"/>
    <cellStyle name="Currency 4 3 6 2 4 2" xfId="13877" xr:uid="{F271ED4F-B451-49AD-9C5A-C0FC02374853}"/>
    <cellStyle name="Currency 4 3 6 2 4 2 2" xfId="27928" xr:uid="{7999FB05-CD42-4A57-839D-E4BCD76A8935}"/>
    <cellStyle name="Currency 4 3 6 2 4 3" xfId="22720" xr:uid="{36642E3C-886A-4E84-8F16-46BA55DC4A03}"/>
    <cellStyle name="Currency 4 3 6 2 5" xfId="7801" xr:uid="{6783A149-B1A7-4D5F-9143-6B24E896F6F5}"/>
    <cellStyle name="Currency 4 3 6 2 5 2" xfId="21852" xr:uid="{2AFD1DF0-A0E6-4EE1-B02B-4F5FA18A3189}"/>
    <cellStyle name="Currency 4 3 6 2 6" xfId="11273" xr:uid="{3DFA1272-D026-4406-9D3A-27AD9346C8BD}"/>
    <cellStyle name="Currency 4 3 6 2 6 2" xfId="25324" xr:uid="{34D417D6-7F1F-44FF-B79D-772930848631}"/>
    <cellStyle name="Currency 4 3 6 2 7" xfId="19248" xr:uid="{F60D0351-51BC-4584-82F8-E50A144CF7E5}"/>
    <cellStyle name="Currency 4 3 6 3" xfId="5631" xr:uid="{A483544E-750B-4F12-A554-BC19FF103D0E}"/>
    <cellStyle name="Currency 4 3 6 3 2" xfId="9103" xr:uid="{9A684323-0F0E-4B23-A4D2-D2B8B96C3233}"/>
    <cellStyle name="Currency 4 3 6 3 2 2" xfId="23154" xr:uid="{154965E1-0335-4884-9300-A9D13457B960}"/>
    <cellStyle name="Currency 4 3 6 3 3" xfId="11707" xr:uid="{313A401F-63F0-49D4-B10D-7EBEEA608EB2}"/>
    <cellStyle name="Currency 4 3 6 3 3 2" xfId="25758" xr:uid="{31C2F1A8-5A03-41CD-9B34-15F2B4EFE4F0}"/>
    <cellStyle name="Currency 4 3 6 3 4" xfId="19682" xr:uid="{E811195E-D9F3-47A0-A93A-BF18B19DCF48}"/>
    <cellStyle name="Currency 4 3 6 4" xfId="6499" xr:uid="{51596A4C-250E-4484-9933-17AADCDEC9DB}"/>
    <cellStyle name="Currency 4 3 6 4 2" xfId="9971" xr:uid="{DF00B945-8CB9-481A-A762-30037589D3CC}"/>
    <cellStyle name="Currency 4 3 6 4 2 2" xfId="24022" xr:uid="{8A1A3CC1-E30B-4F44-A7EB-42B6CE6BD161}"/>
    <cellStyle name="Currency 4 3 6 4 3" xfId="12575" xr:uid="{F6B138DC-A238-4A1A-AF33-816EFF5536A1}"/>
    <cellStyle name="Currency 4 3 6 4 3 2" xfId="26626" xr:uid="{F39AB1CB-D96D-48DD-A7CC-2714E851C3B6}"/>
    <cellStyle name="Currency 4 3 6 4 4" xfId="20550" xr:uid="{CDDB15C2-1B73-4C80-BC3B-726C52AC5B63}"/>
    <cellStyle name="Currency 4 3 6 5" xfId="8235" xr:uid="{DFE393BD-680F-4D0E-89B1-64BE04EF82C6}"/>
    <cellStyle name="Currency 4 3 6 5 2" xfId="13443" xr:uid="{44167BDF-9027-425A-B8CA-C6C306E45F2F}"/>
    <cellStyle name="Currency 4 3 6 5 2 2" xfId="27494" xr:uid="{DD312709-D295-4936-AC34-E1B250AB672F}"/>
    <cellStyle name="Currency 4 3 6 5 3" xfId="22286" xr:uid="{20949215-05BC-4137-A1A2-B16661C78CC5}"/>
    <cellStyle name="Currency 4 3 6 6" xfId="7367" xr:uid="{185678B5-F4CC-4FEC-A9E5-D77366283BFE}"/>
    <cellStyle name="Currency 4 3 6 6 2" xfId="21418" xr:uid="{B6761950-7CF3-43B7-94B2-840B96413D30}"/>
    <cellStyle name="Currency 4 3 6 7" xfId="10839" xr:uid="{542196D3-AA8A-47B8-8140-B39DAD957909}"/>
    <cellStyle name="Currency 4 3 6 7 2" xfId="24890" xr:uid="{9BA575AA-4EF1-427F-97B3-84409B55DA50}"/>
    <cellStyle name="Currency 4 3 6 8" xfId="16428" xr:uid="{82B17C4D-897E-4930-8532-C5D629A7A1FB}"/>
    <cellStyle name="Currency 4 3 7" xfId="4570" xr:uid="{734D277C-4FC8-4BDC-9D7A-0CCFA1E37895}"/>
    <cellStyle name="Currency 4 3 7 2" xfId="5388" xr:uid="{08339723-17D3-4B6B-BC91-C9FF21EA649A}"/>
    <cellStyle name="Currency 4 3 7 2 2" xfId="6256" xr:uid="{A7019C44-5150-413C-8B51-BEE0E0879965}"/>
    <cellStyle name="Currency 4 3 7 2 2 2" xfId="9728" xr:uid="{1CEC92F7-40F6-45D6-9303-7BD582806DC5}"/>
    <cellStyle name="Currency 4 3 7 2 2 2 2" xfId="23779" xr:uid="{D16BC620-F639-4706-862F-B84E445D7F03}"/>
    <cellStyle name="Currency 4 3 7 2 2 3" xfId="12332" xr:uid="{AB59A633-0C7E-420C-923C-024DF8E780E2}"/>
    <cellStyle name="Currency 4 3 7 2 2 3 2" xfId="26383" xr:uid="{56EE6093-87DA-4C2A-A6A4-EAB2D668D393}"/>
    <cellStyle name="Currency 4 3 7 2 2 4" xfId="20307" xr:uid="{75FE4B6D-2D8D-445A-A9F9-FB53A61EE95D}"/>
    <cellStyle name="Currency 4 3 7 2 3" xfId="7124" xr:uid="{F782B601-9191-4B0A-9326-247FFEDAB08B}"/>
    <cellStyle name="Currency 4 3 7 2 3 2" xfId="10596" xr:uid="{9A2F6AAE-9A32-4EE4-AB4D-542ABA4A55CF}"/>
    <cellStyle name="Currency 4 3 7 2 3 2 2" xfId="24647" xr:uid="{1FB7DAB6-425B-4565-A254-3C37137FCCFE}"/>
    <cellStyle name="Currency 4 3 7 2 3 3" xfId="13200" xr:uid="{48D89CB0-F61F-4ADB-AA13-5D6AAB7C2683}"/>
    <cellStyle name="Currency 4 3 7 2 3 3 2" xfId="27251" xr:uid="{0AC41281-F406-4755-8145-78F2EC0D28CB}"/>
    <cellStyle name="Currency 4 3 7 2 3 4" xfId="21175" xr:uid="{16AD22F4-DA5B-49C3-AA06-6B6B4AC81420}"/>
    <cellStyle name="Currency 4 3 7 2 4" xfId="8860" xr:uid="{0214B850-DE6B-4511-8457-4800B21D53B5}"/>
    <cellStyle name="Currency 4 3 7 2 4 2" xfId="14068" xr:uid="{644F2117-8440-49C8-83DE-C1E97DC9A507}"/>
    <cellStyle name="Currency 4 3 7 2 4 2 2" xfId="28119" xr:uid="{569AF43B-0030-46C0-9EA8-846CEC55E371}"/>
    <cellStyle name="Currency 4 3 7 2 4 3" xfId="22911" xr:uid="{9E3A9B8D-88A1-4E5E-A08D-DBA81F15D39B}"/>
    <cellStyle name="Currency 4 3 7 2 5" xfId="7992" xr:uid="{541BA3D2-CD7E-4D9A-9D83-ED315174A316}"/>
    <cellStyle name="Currency 4 3 7 2 5 2" xfId="22043" xr:uid="{82F33C9C-503F-4241-A9C2-F09ECB238CCB}"/>
    <cellStyle name="Currency 4 3 7 2 6" xfId="11464" xr:uid="{D0E8F2B8-FF5B-4123-B8D0-2CA1D605AE62}"/>
    <cellStyle name="Currency 4 3 7 2 6 2" xfId="25515" xr:uid="{8B4F0D6E-8253-45C4-A39C-7BCE37B54BC1}"/>
    <cellStyle name="Currency 4 3 7 2 7" xfId="19439" xr:uid="{FF2AE07F-528C-45ED-89AF-09F4368F41BF}"/>
    <cellStyle name="Currency 4 3 7 3" xfId="5822" xr:uid="{19234D73-3351-4289-BBDD-DB2AC04714F9}"/>
    <cellStyle name="Currency 4 3 7 3 2" xfId="9294" xr:uid="{55917CF1-9668-49CD-A42C-6FA15ACB3031}"/>
    <cellStyle name="Currency 4 3 7 3 2 2" xfId="23345" xr:uid="{6DE6DFF2-239A-4DDB-B23F-D713C1B193BF}"/>
    <cellStyle name="Currency 4 3 7 3 3" xfId="11898" xr:uid="{35D76FAD-E51C-4FFE-9279-832DAD136DDF}"/>
    <cellStyle name="Currency 4 3 7 3 3 2" xfId="25949" xr:uid="{8E5AB244-B87A-4BBA-8B9B-ED8F31D51978}"/>
    <cellStyle name="Currency 4 3 7 3 4" xfId="19873" xr:uid="{93CEAF9A-1F7B-48E0-87C8-D6E3C8FF6552}"/>
    <cellStyle name="Currency 4 3 7 4" xfId="6690" xr:uid="{C41A0B55-526B-40D4-8998-25F5A653B0B3}"/>
    <cellStyle name="Currency 4 3 7 4 2" xfId="10162" xr:uid="{ED9842F9-93F6-4273-9EA2-A1E47C40E885}"/>
    <cellStyle name="Currency 4 3 7 4 2 2" xfId="24213" xr:uid="{FD9D7A4C-94DD-44B6-8661-821DB5D6A702}"/>
    <cellStyle name="Currency 4 3 7 4 3" xfId="12766" xr:uid="{2EB6323F-EB8C-489C-A8EC-726DD2B84137}"/>
    <cellStyle name="Currency 4 3 7 4 3 2" xfId="26817" xr:uid="{526CE4BE-F784-466D-BE1B-7DA1CACBCA6F}"/>
    <cellStyle name="Currency 4 3 7 4 4" xfId="20741" xr:uid="{688626F3-0534-4C7E-B626-534F1AEC00B0}"/>
    <cellStyle name="Currency 4 3 7 5" xfId="8426" xr:uid="{88C610D9-082D-4A63-8C5B-80D198577FE8}"/>
    <cellStyle name="Currency 4 3 7 5 2" xfId="13634" xr:uid="{F80F6E56-AE76-4ABE-B02B-05C02CD6B05A}"/>
    <cellStyle name="Currency 4 3 7 5 2 2" xfId="27685" xr:uid="{ABD2A55A-11B6-42D5-925D-9DF3DC06A9FA}"/>
    <cellStyle name="Currency 4 3 7 5 3" xfId="22477" xr:uid="{2C0C8789-FC6E-4CC9-B1D6-2DD0203E9FF5}"/>
    <cellStyle name="Currency 4 3 7 6" xfId="7558" xr:uid="{1C795DB8-7FF2-43EE-A90F-6E863375F048}"/>
    <cellStyle name="Currency 4 3 7 6 2" xfId="21609" xr:uid="{41475235-1029-4EFA-B876-A2C0C20F3500}"/>
    <cellStyle name="Currency 4 3 7 7" xfId="11030" xr:uid="{7EE8E572-C9BB-4B02-9B79-71D610C48933}"/>
    <cellStyle name="Currency 4 3 7 7 2" xfId="25081" xr:uid="{FEBB1AFE-88C8-4192-96DE-85670DE23862}"/>
    <cellStyle name="Currency 4 3 7 8" xfId="18622" xr:uid="{1DD44B5A-BC01-4786-B878-5719E3DB0630}"/>
    <cellStyle name="Currency 4 3 8" xfId="5002" xr:uid="{68A9CA41-E4FF-417A-81C1-00A1CF61E411}"/>
    <cellStyle name="Currency 4 3 8 2" xfId="5870" xr:uid="{A57BA788-0A94-48BF-9242-E80D286427EC}"/>
    <cellStyle name="Currency 4 3 8 2 2" xfId="9342" xr:uid="{1CFB9819-FF4C-40DB-8690-03D968626A4D}"/>
    <cellStyle name="Currency 4 3 8 2 2 2" xfId="23393" xr:uid="{5B0185DF-577A-4D6D-AD35-F11F3B389539}"/>
    <cellStyle name="Currency 4 3 8 2 3" xfId="11946" xr:uid="{F7F51448-4BC0-471A-9AB5-E02CAC6BC6AA}"/>
    <cellStyle name="Currency 4 3 8 2 3 2" xfId="25997" xr:uid="{0FC407F5-0589-4F73-9C0F-C0891BB30DB4}"/>
    <cellStyle name="Currency 4 3 8 2 4" xfId="19921" xr:uid="{D0D8D166-8A84-410C-BE20-BAA5EDEC52B2}"/>
    <cellStyle name="Currency 4 3 8 3" xfId="6738" xr:uid="{158FAE4C-9592-44D9-A9B5-753934C02689}"/>
    <cellStyle name="Currency 4 3 8 3 2" xfId="10210" xr:uid="{DDA2A7CA-8BE9-4EE0-9C7D-BD22319BDDCC}"/>
    <cellStyle name="Currency 4 3 8 3 2 2" xfId="24261" xr:uid="{CB0FED5C-1487-4E1C-8CAB-FB853C9A86DB}"/>
    <cellStyle name="Currency 4 3 8 3 3" xfId="12814" xr:uid="{F75CD676-05BC-4892-B835-10ECCB84239C}"/>
    <cellStyle name="Currency 4 3 8 3 3 2" xfId="26865" xr:uid="{9548FDD8-B49D-4482-9162-A1C815B63326}"/>
    <cellStyle name="Currency 4 3 8 3 4" xfId="20789" xr:uid="{F7728EE7-C7F2-4B2B-9365-D297150E61C8}"/>
    <cellStyle name="Currency 4 3 8 4" xfId="8474" xr:uid="{FB54DC52-1CB3-4015-9A47-808B24D9F148}"/>
    <cellStyle name="Currency 4 3 8 4 2" xfId="13682" xr:uid="{50EA2AEA-5ACB-4FEA-81CB-C136FA663BD8}"/>
    <cellStyle name="Currency 4 3 8 4 2 2" xfId="27733" xr:uid="{FE7868AB-0C93-4235-AF32-95F43FE3D893}"/>
    <cellStyle name="Currency 4 3 8 4 3" xfId="22525" xr:uid="{D56A7403-3549-4BCB-B74A-947D4D2B0FEB}"/>
    <cellStyle name="Currency 4 3 8 5" xfId="7606" xr:uid="{B29DA795-5F26-46FB-91CF-7DBEF6E34983}"/>
    <cellStyle name="Currency 4 3 8 5 2" xfId="21657" xr:uid="{8B1859AC-7B50-4468-90B1-3E6D0C48A8E0}"/>
    <cellStyle name="Currency 4 3 8 6" xfId="11078" xr:uid="{19B27A3D-407E-4CA0-B21E-F76440A2EBF8}"/>
    <cellStyle name="Currency 4 3 8 6 2" xfId="25129" xr:uid="{6290F5D2-3FDB-4268-95A5-23F0C8071FE4}"/>
    <cellStyle name="Currency 4 3 8 7" xfId="19053" xr:uid="{13182E1A-66A0-4620-860D-D1899F12E28B}"/>
    <cellStyle name="Currency 4 3 9" xfId="5436" xr:uid="{2CD75F6D-20EA-404D-80AD-D3B0EFBEB16E}"/>
    <cellStyle name="Currency 4 3 9 2" xfId="8908" xr:uid="{DB5130CF-9907-4C21-AD6A-FE8775E26DCE}"/>
    <cellStyle name="Currency 4 3 9 2 2" xfId="22959" xr:uid="{A3890E05-6DD2-45EE-9195-18BE558D54BD}"/>
    <cellStyle name="Currency 4 3 9 3" xfId="11512" xr:uid="{084B2F85-A63A-4C8A-9EF8-D2C49037145A}"/>
    <cellStyle name="Currency 4 3 9 3 2" xfId="25563" xr:uid="{DF1965DB-EA51-456D-86E3-D744D3645DB6}"/>
    <cellStyle name="Currency 4 3 9 4" xfId="19487" xr:uid="{A413FEF2-B59F-412B-AD27-8F260119E1F5}"/>
    <cellStyle name="Currency 4 4" xfId="294" xr:uid="{8218C371-2562-43D6-BA6C-C46F437AE732}"/>
    <cellStyle name="Currency 4 4 10" xfId="8051" xr:uid="{880F1D80-5FCA-497E-ABB9-DCBC867ADEFE}"/>
    <cellStyle name="Currency 4 4 10 2" xfId="13259" xr:uid="{3B1C3E2C-1D19-4DC7-AACC-816531536C51}"/>
    <cellStyle name="Currency 4 4 10 2 2" xfId="27310" xr:uid="{0C1590BF-6840-4398-BBAD-DD7F3D490FDC}"/>
    <cellStyle name="Currency 4 4 10 3" xfId="22102" xr:uid="{57837316-85DE-4216-8E36-D01543645246}"/>
    <cellStyle name="Currency 4 4 11" xfId="7183" xr:uid="{6C3DA2A5-ADC3-4634-88A6-B9B0EA5A0371}"/>
    <cellStyle name="Currency 4 4 11 2" xfId="21234" xr:uid="{00039598-8187-4E73-83BF-32B51FAD3702}"/>
    <cellStyle name="Currency 4 4 12" xfId="10655" xr:uid="{2EF71017-710F-4AC3-B46A-BCD5C0A29C36}"/>
    <cellStyle name="Currency 4 4 12 2" xfId="24706" xr:uid="{79648364-0DE5-4C43-8D7C-251721B275D3}"/>
    <cellStyle name="Currency 4 4 13" xfId="14351" xr:uid="{A3B843B3-C53B-40CD-83AB-4C0FB4B83EA4}"/>
    <cellStyle name="Currency 4 4 2" xfId="648" xr:uid="{C03A84E6-A99D-4024-883E-2F867ACA823F}"/>
    <cellStyle name="Currency 4 4 2 10" xfId="14699" xr:uid="{97A5C2D7-5390-4573-9D2B-A7AFABD0DC8C}"/>
    <cellStyle name="Currency 4 4 2 2" xfId="1750" xr:uid="{BED5ADE9-95DB-451D-9EB9-6C484C8C3E94}"/>
    <cellStyle name="Currency 4 4 2 2 2" xfId="3938" xr:uid="{15235150-25A9-43D5-A1CF-C9904B9B2620}"/>
    <cellStyle name="Currency 4 4 2 2 2 2" xfId="5333" xr:uid="{8ACD7A82-6CC7-411E-BABE-6B3C1807DD57}"/>
    <cellStyle name="Currency 4 4 2 2 2 2 2" xfId="6201" xr:uid="{CAE4EBEA-53BF-4EFB-BEA6-848B23C702D1}"/>
    <cellStyle name="Currency 4 4 2 2 2 2 2 2" xfId="9673" xr:uid="{3202E41A-41D8-4808-8E4B-C2F00B49C36A}"/>
    <cellStyle name="Currency 4 4 2 2 2 2 2 2 2" xfId="23724" xr:uid="{DE675AC1-2507-4107-B0BB-C0EE0507C63B}"/>
    <cellStyle name="Currency 4 4 2 2 2 2 2 3" xfId="12277" xr:uid="{C78F87C9-D4A5-4F36-8825-00D094453667}"/>
    <cellStyle name="Currency 4 4 2 2 2 2 2 3 2" xfId="26328" xr:uid="{73C24978-5D2D-4091-BAF4-4B74644BE517}"/>
    <cellStyle name="Currency 4 4 2 2 2 2 2 4" xfId="20252" xr:uid="{BDE94307-B932-4AF2-963C-BEC3AA70D9B6}"/>
    <cellStyle name="Currency 4 4 2 2 2 2 3" xfId="7069" xr:uid="{D603FD2D-93AC-48E0-847D-1A053FC13E2C}"/>
    <cellStyle name="Currency 4 4 2 2 2 2 3 2" xfId="10541" xr:uid="{BDE96925-8BC6-42AA-88DF-AA8299B637D9}"/>
    <cellStyle name="Currency 4 4 2 2 2 2 3 2 2" xfId="24592" xr:uid="{CDC0E2D2-69D0-4A85-BE81-AB59998BDC6F}"/>
    <cellStyle name="Currency 4 4 2 2 2 2 3 3" xfId="13145" xr:uid="{A32A6ED1-F710-46A7-9AF5-E33BF50C203A}"/>
    <cellStyle name="Currency 4 4 2 2 2 2 3 3 2" xfId="27196" xr:uid="{7227FA6A-46B3-4C8C-831A-558E48330A66}"/>
    <cellStyle name="Currency 4 4 2 2 2 2 3 4" xfId="21120" xr:uid="{ED135A88-61F2-4B22-8444-40FAC279FF1A}"/>
    <cellStyle name="Currency 4 4 2 2 2 2 4" xfId="8805" xr:uid="{CE544936-F01A-4D05-8AA6-B804C785C47E}"/>
    <cellStyle name="Currency 4 4 2 2 2 2 4 2" xfId="14013" xr:uid="{5367C155-B665-416F-9607-9FD2C42D5223}"/>
    <cellStyle name="Currency 4 4 2 2 2 2 4 2 2" xfId="28064" xr:uid="{B9AB6B06-DD6E-4AF6-88CE-C427661C4D30}"/>
    <cellStyle name="Currency 4 4 2 2 2 2 4 3" xfId="22856" xr:uid="{4426A7FB-64A6-4A45-809D-6C1A3F88B96F}"/>
    <cellStyle name="Currency 4 4 2 2 2 2 5" xfId="7937" xr:uid="{DDBC7CEF-1C8D-4AB3-AD94-A419E0ECE806}"/>
    <cellStyle name="Currency 4 4 2 2 2 2 5 2" xfId="21988" xr:uid="{D695EC3D-0A4F-4671-B2B7-24011B98B096}"/>
    <cellStyle name="Currency 4 4 2 2 2 2 6" xfId="11409" xr:uid="{1B0B7AF8-F8E5-4734-A4B9-FD27A6DE0154}"/>
    <cellStyle name="Currency 4 4 2 2 2 2 6 2" xfId="25460" xr:uid="{61F15AE3-4FAE-49E0-9AF8-DCFEF4954A7E}"/>
    <cellStyle name="Currency 4 4 2 2 2 2 7" xfId="19384" xr:uid="{EF715162-C62C-414B-AE7E-3A469BCE66B8}"/>
    <cellStyle name="Currency 4 4 2 2 2 3" xfId="5767" xr:uid="{CF6E9E86-B19B-4F71-92AF-98625CC22B28}"/>
    <cellStyle name="Currency 4 4 2 2 2 3 2" xfId="9239" xr:uid="{B149A07D-2427-497A-968E-CD026B867960}"/>
    <cellStyle name="Currency 4 4 2 2 2 3 2 2" xfId="23290" xr:uid="{40BA47A4-70F6-40DA-AE38-7284249E5EC4}"/>
    <cellStyle name="Currency 4 4 2 2 2 3 3" xfId="11843" xr:uid="{920FD1F9-34BE-4C05-86E2-BBAAFCB489A2}"/>
    <cellStyle name="Currency 4 4 2 2 2 3 3 2" xfId="25894" xr:uid="{3FE55685-8599-4DDB-BABD-290F601118A2}"/>
    <cellStyle name="Currency 4 4 2 2 2 3 4" xfId="19818" xr:uid="{AE334FC5-802F-4C74-8D57-EDC2264595F9}"/>
    <cellStyle name="Currency 4 4 2 2 2 4" xfId="6635" xr:uid="{063C1E43-DEDB-4F4A-990B-8F80B348BE72}"/>
    <cellStyle name="Currency 4 4 2 2 2 4 2" xfId="10107" xr:uid="{2C674887-CFC1-4EB0-BCBE-5C1DE18C5A75}"/>
    <cellStyle name="Currency 4 4 2 2 2 4 2 2" xfId="24158" xr:uid="{56B13423-8A11-4B57-8DC2-092A28926488}"/>
    <cellStyle name="Currency 4 4 2 2 2 4 3" xfId="12711" xr:uid="{5C5AA4A3-1BAE-4338-BE93-4453E851BEE3}"/>
    <cellStyle name="Currency 4 4 2 2 2 4 3 2" xfId="26762" xr:uid="{DFC582DA-26FE-4D53-89D0-61A95BB04340}"/>
    <cellStyle name="Currency 4 4 2 2 2 4 4" xfId="20686" xr:uid="{D992CBA8-DEB2-419C-B291-5AC57672634E}"/>
    <cellStyle name="Currency 4 4 2 2 2 5" xfId="8371" xr:uid="{D9039747-0316-49B8-BB5B-684C1D1C99B7}"/>
    <cellStyle name="Currency 4 4 2 2 2 5 2" xfId="13579" xr:uid="{E446F681-106D-4B68-8FCF-46C0624F4D67}"/>
    <cellStyle name="Currency 4 4 2 2 2 5 2 2" xfId="27630" xr:uid="{C915B6C8-848F-4280-A68F-073664739183}"/>
    <cellStyle name="Currency 4 4 2 2 2 5 3" xfId="22422" xr:uid="{F8EA7890-27F9-440A-A67A-AF9C3620A272}"/>
    <cellStyle name="Currency 4 4 2 2 2 6" xfId="7503" xr:uid="{4907BEF2-3720-4271-8A0A-27740412891F}"/>
    <cellStyle name="Currency 4 4 2 2 2 6 2" xfId="21554" xr:uid="{F7DA423C-C5A9-4A64-99B4-9267E756F0A8}"/>
    <cellStyle name="Currency 4 4 2 2 2 7" xfId="10975" xr:uid="{C1462A2B-6E04-45BB-B8AF-C8D80E14859E}"/>
    <cellStyle name="Currency 4 4 2 2 2 7 2" xfId="25026" xr:uid="{C4603CC4-890D-45CC-B282-D71D86F75FE1}"/>
    <cellStyle name="Currency 4 4 2 2 2 8" xfId="17990" xr:uid="{2A2D9D3C-3A22-4615-B77E-A2075CA296DD}"/>
    <cellStyle name="Currency 4 4 2 2 3" xfId="5143" xr:uid="{3D965478-2AD3-4D21-97CB-55920D276566}"/>
    <cellStyle name="Currency 4 4 2 2 3 2" xfId="6011" xr:uid="{C62FD0E2-9219-4B6B-8B4F-FC58FA02E13B}"/>
    <cellStyle name="Currency 4 4 2 2 3 2 2" xfId="9483" xr:uid="{33977B45-68B6-417A-9CF6-D01CCD7F470A}"/>
    <cellStyle name="Currency 4 4 2 2 3 2 2 2" xfId="23534" xr:uid="{892AB839-E4AD-44D7-AD43-AAC925A6A793}"/>
    <cellStyle name="Currency 4 4 2 2 3 2 3" xfId="12087" xr:uid="{12EC8283-07BD-4B62-9EEE-CEC065268FC9}"/>
    <cellStyle name="Currency 4 4 2 2 3 2 3 2" xfId="26138" xr:uid="{3257ADA9-7B71-456A-A8EB-ECA2A75C4542}"/>
    <cellStyle name="Currency 4 4 2 2 3 2 4" xfId="20062" xr:uid="{F9F6D36C-12FB-4499-96C5-46562BA06ABF}"/>
    <cellStyle name="Currency 4 4 2 2 3 3" xfId="6879" xr:uid="{888E21F9-C126-4FDC-AA5E-C94CFF79E78D}"/>
    <cellStyle name="Currency 4 4 2 2 3 3 2" xfId="10351" xr:uid="{545BE296-5BE1-4033-AEB8-F46EFF8BA59D}"/>
    <cellStyle name="Currency 4 4 2 2 3 3 2 2" xfId="24402" xr:uid="{A822D30B-6FCB-4DAE-A9BD-90B1CD367340}"/>
    <cellStyle name="Currency 4 4 2 2 3 3 3" xfId="12955" xr:uid="{B8C68FF0-3654-40D4-BF88-76FBD1DFF122}"/>
    <cellStyle name="Currency 4 4 2 2 3 3 3 2" xfId="27006" xr:uid="{49EF948A-75CC-4722-B6B6-3A2EEC4CF1A8}"/>
    <cellStyle name="Currency 4 4 2 2 3 3 4" xfId="20930" xr:uid="{4ADB1155-102E-41D2-A7B9-200901DD19E9}"/>
    <cellStyle name="Currency 4 4 2 2 3 4" xfId="8615" xr:uid="{EFD93F8F-483D-4171-ADBD-5B0B090B5736}"/>
    <cellStyle name="Currency 4 4 2 2 3 4 2" xfId="13823" xr:uid="{875FDAE2-514E-49DC-9159-656C0EFAEF28}"/>
    <cellStyle name="Currency 4 4 2 2 3 4 2 2" xfId="27874" xr:uid="{F8B23F63-F818-4B02-82FC-06C816AB2FC7}"/>
    <cellStyle name="Currency 4 4 2 2 3 4 3" xfId="22666" xr:uid="{EBA22DCC-2517-4FCF-AF3B-98896493E74B}"/>
    <cellStyle name="Currency 4 4 2 2 3 5" xfId="7747" xr:uid="{8ED9326B-75D3-4972-8D48-68E68505F39A}"/>
    <cellStyle name="Currency 4 4 2 2 3 5 2" xfId="21798" xr:uid="{E78D201B-041B-444A-890F-0D071D20784D}"/>
    <cellStyle name="Currency 4 4 2 2 3 6" xfId="11219" xr:uid="{2D51B2C4-F025-492B-9921-6C258BB0F4DA}"/>
    <cellStyle name="Currency 4 4 2 2 3 6 2" xfId="25270" xr:uid="{CF0D2FF2-E4E5-4DFA-8D49-3514FC7B1612}"/>
    <cellStyle name="Currency 4 4 2 2 3 7" xfId="19194" xr:uid="{E6955F78-9C87-495C-9EA3-5B875BA2193C}"/>
    <cellStyle name="Currency 4 4 2 2 4" xfId="5577" xr:uid="{1A0D4C80-375A-4C78-B66D-090832A7D78D}"/>
    <cellStyle name="Currency 4 4 2 2 4 2" xfId="9049" xr:uid="{BCC91AD1-AB5B-422A-B024-4918BA6BAA43}"/>
    <cellStyle name="Currency 4 4 2 2 4 2 2" xfId="23100" xr:uid="{5AA72F98-5725-4D48-9FAC-C2A52914621B}"/>
    <cellStyle name="Currency 4 4 2 2 4 3" xfId="11653" xr:uid="{766A94F9-A390-4983-8591-887B98A2894A}"/>
    <cellStyle name="Currency 4 4 2 2 4 3 2" xfId="25704" xr:uid="{842EE713-A10B-4989-8280-6A91CBE28429}"/>
    <cellStyle name="Currency 4 4 2 2 4 4" xfId="19628" xr:uid="{7D936E74-8CDE-411F-A4B4-908A1BADC0C1}"/>
    <cellStyle name="Currency 4 4 2 2 5" xfId="6445" xr:uid="{609D2790-C4FE-4CAE-9254-DA52296E6B39}"/>
    <cellStyle name="Currency 4 4 2 2 5 2" xfId="9917" xr:uid="{4752DD07-E56B-4E35-94D7-F28B75A62D12}"/>
    <cellStyle name="Currency 4 4 2 2 5 2 2" xfId="23968" xr:uid="{867E1D90-F9EF-45B7-9368-E46EF0C85526}"/>
    <cellStyle name="Currency 4 4 2 2 5 3" xfId="12521" xr:uid="{39C18988-48A9-4E46-87B6-6E2B86176829}"/>
    <cellStyle name="Currency 4 4 2 2 5 3 2" xfId="26572" xr:uid="{EF560444-C954-4070-A1EE-FCEF7A6CBC9A}"/>
    <cellStyle name="Currency 4 4 2 2 5 4" xfId="20496" xr:uid="{5153B817-1562-4B89-9F4C-88224638156B}"/>
    <cellStyle name="Currency 4 4 2 2 6" xfId="8181" xr:uid="{FC36E90E-6F3C-438B-827B-44D71489B56B}"/>
    <cellStyle name="Currency 4 4 2 2 6 2" xfId="13389" xr:uid="{0F070302-5342-4D5A-A43E-A0C8C7AA0994}"/>
    <cellStyle name="Currency 4 4 2 2 6 2 2" xfId="27440" xr:uid="{C3CCDF6F-AF24-424F-A880-B0F5CDD37EAE}"/>
    <cellStyle name="Currency 4 4 2 2 6 3" xfId="22232" xr:uid="{C3CF0CB1-316A-4AEB-83EC-C604A1948809}"/>
    <cellStyle name="Currency 4 4 2 2 7" xfId="7313" xr:uid="{F88FB923-329A-431D-B893-30FFBDEFFCF6}"/>
    <cellStyle name="Currency 4 4 2 2 7 2" xfId="21364" xr:uid="{6E78F824-D89D-43A8-91FB-A1C93EEF99DA}"/>
    <cellStyle name="Currency 4 4 2 2 8" xfId="10785" xr:uid="{1173DDAE-183D-430F-BDEA-E90C1E3E2CA7}"/>
    <cellStyle name="Currency 4 4 2 2 8 2" xfId="24836" xr:uid="{3304E971-22B3-4CC2-BD40-E551476C43F4}"/>
    <cellStyle name="Currency 4 4 2 2 9" xfId="15798" xr:uid="{0D95499B-E48B-4DB1-922F-D6973209A8A8}"/>
    <cellStyle name="Currency 4 4 2 3" xfId="2841" xr:uid="{EF17AA26-2E6B-4D40-90C0-6FCBE4D67CFA}"/>
    <cellStyle name="Currency 4 4 2 3 2" xfId="5237" xr:uid="{1A555285-487E-4191-B98E-CC4ACD44A9A9}"/>
    <cellStyle name="Currency 4 4 2 3 2 2" xfId="6105" xr:uid="{551EA3A3-449B-45E1-8820-67C1F41CCE6F}"/>
    <cellStyle name="Currency 4 4 2 3 2 2 2" xfId="9577" xr:uid="{53E6B12D-F867-4155-AED2-9F33B983E7B6}"/>
    <cellStyle name="Currency 4 4 2 3 2 2 2 2" xfId="23628" xr:uid="{78A23AE6-BC9B-4B3E-8AF0-47564FBF5901}"/>
    <cellStyle name="Currency 4 4 2 3 2 2 3" xfId="12181" xr:uid="{6C641469-00F4-4D39-A741-F830AE729B90}"/>
    <cellStyle name="Currency 4 4 2 3 2 2 3 2" xfId="26232" xr:uid="{38E9B5C2-F188-469C-82C8-4AE9F8DE7899}"/>
    <cellStyle name="Currency 4 4 2 3 2 2 4" xfId="20156" xr:uid="{3EE2F943-062F-4C8E-87D7-53E3595DE877}"/>
    <cellStyle name="Currency 4 4 2 3 2 3" xfId="6973" xr:uid="{82F20C53-D333-4594-AC54-00DF2B32E1BD}"/>
    <cellStyle name="Currency 4 4 2 3 2 3 2" xfId="10445" xr:uid="{EBFC0BD7-0D12-45C0-A979-39DF1665C0FA}"/>
    <cellStyle name="Currency 4 4 2 3 2 3 2 2" xfId="24496" xr:uid="{893EE7E8-2459-45E2-9236-1B9647E15943}"/>
    <cellStyle name="Currency 4 4 2 3 2 3 3" xfId="13049" xr:uid="{E4282270-F5D0-4185-8F4C-ED6925337D7B}"/>
    <cellStyle name="Currency 4 4 2 3 2 3 3 2" xfId="27100" xr:uid="{4D3B4AF1-B639-4256-8BAA-F6CAB2A59F50}"/>
    <cellStyle name="Currency 4 4 2 3 2 3 4" xfId="21024" xr:uid="{47614BAB-20C3-497C-A868-E25E5935A40F}"/>
    <cellStyle name="Currency 4 4 2 3 2 4" xfId="8709" xr:uid="{B341C621-09D3-4501-B0AF-257753FBB58F}"/>
    <cellStyle name="Currency 4 4 2 3 2 4 2" xfId="13917" xr:uid="{ADB5A1F1-388C-43D7-BAB7-09941C504B7C}"/>
    <cellStyle name="Currency 4 4 2 3 2 4 2 2" xfId="27968" xr:uid="{938C4DC3-BF76-436A-89EA-4A18CE591548}"/>
    <cellStyle name="Currency 4 4 2 3 2 4 3" xfId="22760" xr:uid="{9C67EAF0-DAD3-43D3-9E43-10590F768197}"/>
    <cellStyle name="Currency 4 4 2 3 2 5" xfId="7841" xr:uid="{954CBCF1-4028-43BF-9919-9597C47FC601}"/>
    <cellStyle name="Currency 4 4 2 3 2 5 2" xfId="21892" xr:uid="{52A3BA9D-ACDA-46F3-87C6-E604C295D235}"/>
    <cellStyle name="Currency 4 4 2 3 2 6" xfId="11313" xr:uid="{9562DDF0-263C-4487-8B2F-F7E153F71A33}"/>
    <cellStyle name="Currency 4 4 2 3 2 6 2" xfId="25364" xr:uid="{EF3630E7-EC4F-4A51-B30E-8CA23C8AE16F}"/>
    <cellStyle name="Currency 4 4 2 3 2 7" xfId="19288" xr:uid="{9EE8D25B-0146-4401-86A4-6535BD58E3DC}"/>
    <cellStyle name="Currency 4 4 2 3 3" xfId="5671" xr:uid="{29A11CEF-9316-4DDA-B13D-FC5EAF0D6B28}"/>
    <cellStyle name="Currency 4 4 2 3 3 2" xfId="9143" xr:uid="{F3C7CD2D-6591-41D5-B9CF-242CA12BEAEE}"/>
    <cellStyle name="Currency 4 4 2 3 3 2 2" xfId="23194" xr:uid="{3FEFD266-14F8-41AC-A781-76CDA4167162}"/>
    <cellStyle name="Currency 4 4 2 3 3 3" xfId="11747" xr:uid="{12B931CE-CD30-4D18-9FE3-711B82D5A7CB}"/>
    <cellStyle name="Currency 4 4 2 3 3 3 2" xfId="25798" xr:uid="{164782D0-E071-4552-822D-2FE394E94860}"/>
    <cellStyle name="Currency 4 4 2 3 3 4" xfId="19722" xr:uid="{EBEA1BFD-ECC6-45B1-B429-E738B15C9B70}"/>
    <cellStyle name="Currency 4 4 2 3 4" xfId="6539" xr:uid="{0DF47477-9BA5-45A8-BDFB-B89582A81098}"/>
    <cellStyle name="Currency 4 4 2 3 4 2" xfId="10011" xr:uid="{FDBFA810-7505-4DE8-84E6-FF7A65D1EDDE}"/>
    <cellStyle name="Currency 4 4 2 3 4 2 2" xfId="24062" xr:uid="{CE69903E-D268-4638-9C18-D91901A42319}"/>
    <cellStyle name="Currency 4 4 2 3 4 3" xfId="12615" xr:uid="{7E27E778-CD84-462C-91DD-DFA3919D6489}"/>
    <cellStyle name="Currency 4 4 2 3 4 3 2" xfId="26666" xr:uid="{0F161366-9221-4DE6-9E33-C396767BB50C}"/>
    <cellStyle name="Currency 4 4 2 3 4 4" xfId="20590" xr:uid="{D9A961AF-E44E-4212-A832-F37F1604F348}"/>
    <cellStyle name="Currency 4 4 2 3 5" xfId="8275" xr:uid="{49AB1B65-B8F1-4810-81AC-B85E711D0397}"/>
    <cellStyle name="Currency 4 4 2 3 5 2" xfId="13483" xr:uid="{24685590-4475-4431-8074-07FE704C032C}"/>
    <cellStyle name="Currency 4 4 2 3 5 2 2" xfId="27534" xr:uid="{10E5DB89-2DDD-4425-B3C3-F640CDF08122}"/>
    <cellStyle name="Currency 4 4 2 3 5 3" xfId="22326" xr:uid="{6B4583E6-9A6B-497C-8DBD-340ABB4DBDF2}"/>
    <cellStyle name="Currency 4 4 2 3 6" xfId="7407" xr:uid="{5F56847F-9A94-4722-88F5-9AE4F471692F}"/>
    <cellStyle name="Currency 4 4 2 3 6 2" xfId="21458" xr:uid="{D6AC5CB5-7BC8-48C3-89E8-DED04B4FD2F8}"/>
    <cellStyle name="Currency 4 4 2 3 7" xfId="10879" xr:uid="{4FCB2EAB-B632-46FA-8A86-DD3FD24505AA}"/>
    <cellStyle name="Currency 4 4 2 3 7 2" xfId="24930" xr:uid="{F5063135-CBB2-4C0B-B098-E74CFDD9D30C}"/>
    <cellStyle name="Currency 4 4 2 3 8" xfId="16892" xr:uid="{9BF48249-2B7E-4934-9C83-193461A375AA}"/>
    <cellStyle name="Currency 4 4 2 4" xfId="5045" xr:uid="{09E4C193-2126-4983-A356-AECBC0C52320}"/>
    <cellStyle name="Currency 4 4 2 4 2" xfId="5913" xr:uid="{B7F77530-19D6-4E29-8325-9597AC3E4A4B}"/>
    <cellStyle name="Currency 4 4 2 4 2 2" xfId="9385" xr:uid="{FF3F01EF-B702-4849-962B-88A159681B88}"/>
    <cellStyle name="Currency 4 4 2 4 2 2 2" xfId="23436" xr:uid="{5C0336B2-1E56-4173-828E-6A770F8D1728}"/>
    <cellStyle name="Currency 4 4 2 4 2 3" xfId="11989" xr:uid="{06960019-49E1-4D11-91EA-21C1C6126276}"/>
    <cellStyle name="Currency 4 4 2 4 2 3 2" xfId="26040" xr:uid="{A53393BD-DBC0-4121-9FDE-E96E0FA0EF6D}"/>
    <cellStyle name="Currency 4 4 2 4 2 4" xfId="19964" xr:uid="{004ED333-3A14-40BC-85E5-D625329E283A}"/>
    <cellStyle name="Currency 4 4 2 4 3" xfId="6781" xr:uid="{C57E0E9A-54C1-4576-8EFF-B34470CA5A93}"/>
    <cellStyle name="Currency 4 4 2 4 3 2" xfId="10253" xr:uid="{EEF5F234-ABD1-4B55-ACB4-DDD7432E3BE7}"/>
    <cellStyle name="Currency 4 4 2 4 3 2 2" xfId="24304" xr:uid="{703300FB-04FC-456B-A06D-ED47DE2A98F5}"/>
    <cellStyle name="Currency 4 4 2 4 3 3" xfId="12857" xr:uid="{57DB42AF-D78A-4A48-9D66-FFAC49D1C8E9}"/>
    <cellStyle name="Currency 4 4 2 4 3 3 2" xfId="26908" xr:uid="{E676CF80-C3D2-4B0D-9EBD-89CC5B4B33B9}"/>
    <cellStyle name="Currency 4 4 2 4 3 4" xfId="20832" xr:uid="{11BF68D0-1B7A-4CB3-B2E6-421EB2CA78C5}"/>
    <cellStyle name="Currency 4 4 2 4 4" xfId="8517" xr:uid="{405BCB5F-E31F-4F1D-B174-169C5274E874}"/>
    <cellStyle name="Currency 4 4 2 4 4 2" xfId="13725" xr:uid="{2B1B9E13-AAD0-4EF9-8316-41391480CB84}"/>
    <cellStyle name="Currency 4 4 2 4 4 2 2" xfId="27776" xr:uid="{A2A62793-DC13-4744-AC4B-A499FC8B4FC0}"/>
    <cellStyle name="Currency 4 4 2 4 4 3" xfId="22568" xr:uid="{EA2138AD-7698-4779-A0AB-BC969145B312}"/>
    <cellStyle name="Currency 4 4 2 4 5" xfId="7649" xr:uid="{19016975-1D68-4786-A5EE-AF6516C72633}"/>
    <cellStyle name="Currency 4 4 2 4 5 2" xfId="21700" xr:uid="{20C503DA-D5A3-44DE-8373-A1A0A3875881}"/>
    <cellStyle name="Currency 4 4 2 4 6" xfId="11121" xr:uid="{52BC7089-E454-43FA-9BA8-302DAAFB55AB}"/>
    <cellStyle name="Currency 4 4 2 4 6 2" xfId="25172" xr:uid="{7CE85155-0602-4541-80C8-EA521A59D3F4}"/>
    <cellStyle name="Currency 4 4 2 4 7" xfId="19096" xr:uid="{900CD54E-FB49-4658-919E-0F1701905385}"/>
    <cellStyle name="Currency 4 4 2 5" xfId="5479" xr:uid="{7F5E6FC4-6069-4761-A14C-C48E096B3DC2}"/>
    <cellStyle name="Currency 4 4 2 5 2" xfId="8951" xr:uid="{ED02B82D-EDD7-48CA-860C-99D50C6CDD35}"/>
    <cellStyle name="Currency 4 4 2 5 2 2" xfId="23002" xr:uid="{9B4FA90B-DC55-40AD-8F31-F5B6D42C7DED}"/>
    <cellStyle name="Currency 4 4 2 5 3" xfId="11555" xr:uid="{AE47678A-DBD3-4540-9365-0CCCF78B6C90}"/>
    <cellStyle name="Currency 4 4 2 5 3 2" xfId="25606" xr:uid="{3134DF2A-F252-4317-9283-19C242AFCB62}"/>
    <cellStyle name="Currency 4 4 2 5 4" xfId="19530" xr:uid="{367E2FD9-7305-460C-8E19-9AF74BA66E82}"/>
    <cellStyle name="Currency 4 4 2 6" xfId="6347" xr:uid="{603EC57D-BE69-4417-A69F-9CEA317A50D0}"/>
    <cellStyle name="Currency 4 4 2 6 2" xfId="9819" xr:uid="{DBD9DA10-93CE-4968-B670-E85A13DF8C5E}"/>
    <cellStyle name="Currency 4 4 2 6 2 2" xfId="23870" xr:uid="{38E0C643-F300-4324-847F-7C7245C7F7FF}"/>
    <cellStyle name="Currency 4 4 2 6 3" xfId="12423" xr:uid="{79FDA986-D838-43C3-A0F2-1D56732383F7}"/>
    <cellStyle name="Currency 4 4 2 6 3 2" xfId="26474" xr:uid="{3C1C525E-9E69-48E9-87FC-DDA80A383B96}"/>
    <cellStyle name="Currency 4 4 2 6 4" xfId="20398" xr:uid="{BA69568F-B694-445D-86D8-1255C36C4DEC}"/>
    <cellStyle name="Currency 4 4 2 7" xfId="8083" xr:uid="{E6D1E86D-42F6-472A-B468-525714280031}"/>
    <cellStyle name="Currency 4 4 2 7 2" xfId="13291" xr:uid="{6515A7EB-F705-4A32-8C0F-62100907CF31}"/>
    <cellStyle name="Currency 4 4 2 7 2 2" xfId="27342" xr:uid="{BE9358B9-28E7-4E04-A202-7AD04093DD69}"/>
    <cellStyle name="Currency 4 4 2 7 3" xfId="22134" xr:uid="{2DFF5C83-229A-46F6-9351-2445EBEF13D5}"/>
    <cellStyle name="Currency 4 4 2 8" xfId="7215" xr:uid="{068BE901-9DE4-46BC-87CF-FF6CB2A79D69}"/>
    <cellStyle name="Currency 4 4 2 8 2" xfId="21266" xr:uid="{7A3FA5A2-04EA-426B-8ED0-345BE643745A}"/>
    <cellStyle name="Currency 4 4 2 9" xfId="10687" xr:uid="{5DEF86DE-0D29-4F3F-8EC4-665812D32376}"/>
    <cellStyle name="Currency 4 4 2 9 2" xfId="24738" xr:uid="{2C77FB52-68F2-4476-AFAE-EF1B381EB76E}"/>
    <cellStyle name="Currency 4 4 3" xfId="995" xr:uid="{802C14D0-17F0-47BF-92F7-2699F60CF6D2}"/>
    <cellStyle name="Currency 4 4 3 10" xfId="15045" xr:uid="{ED7A4067-F85E-4092-AC5A-53289E6E456E}"/>
    <cellStyle name="Currency 4 4 3 2" xfId="2094" xr:uid="{329933EE-08FF-4231-8FCF-FB6B34FA6F9F}"/>
    <cellStyle name="Currency 4 4 3 2 2" xfId="4283" xr:uid="{39CB8689-8A41-471D-ACFF-D1236FD9A690}"/>
    <cellStyle name="Currency 4 4 3 2 2 2" xfId="5362" xr:uid="{725EE8D2-DFB4-4A54-AC9D-2136FC99C60E}"/>
    <cellStyle name="Currency 4 4 3 2 2 2 2" xfId="6230" xr:uid="{F8B56539-E876-4766-965A-FED874FA41E6}"/>
    <cellStyle name="Currency 4 4 3 2 2 2 2 2" xfId="9702" xr:uid="{3BB850A2-F04E-4E24-AF88-8B6214E1C8E2}"/>
    <cellStyle name="Currency 4 4 3 2 2 2 2 2 2" xfId="23753" xr:uid="{ABDA6D35-2248-4D16-82C8-2B6786042250}"/>
    <cellStyle name="Currency 4 4 3 2 2 2 2 3" xfId="12306" xr:uid="{9C8B77AB-4B8F-4594-BE0F-CF90ADEA4F12}"/>
    <cellStyle name="Currency 4 4 3 2 2 2 2 3 2" xfId="26357" xr:uid="{AF848CB8-5B39-4FFC-9B98-93FB31375F29}"/>
    <cellStyle name="Currency 4 4 3 2 2 2 2 4" xfId="20281" xr:uid="{4C3D5739-F326-48BF-AE7F-FBAD4F89C3D0}"/>
    <cellStyle name="Currency 4 4 3 2 2 2 3" xfId="7098" xr:uid="{D92E3D63-DC10-4817-964E-CB9D123D10A4}"/>
    <cellStyle name="Currency 4 4 3 2 2 2 3 2" xfId="10570" xr:uid="{6194A786-1123-494B-882B-78785649D331}"/>
    <cellStyle name="Currency 4 4 3 2 2 2 3 2 2" xfId="24621" xr:uid="{FFC2E42F-8ADE-49E8-8833-5893653D032D}"/>
    <cellStyle name="Currency 4 4 3 2 2 2 3 3" xfId="13174" xr:uid="{09D5552C-0857-4EC5-8475-8B093FAF873C}"/>
    <cellStyle name="Currency 4 4 3 2 2 2 3 3 2" xfId="27225" xr:uid="{7EB045CE-A8D8-4062-BF48-FA272C8B9D17}"/>
    <cellStyle name="Currency 4 4 3 2 2 2 3 4" xfId="21149" xr:uid="{F7EBF48C-245D-4845-83D2-2CC092321940}"/>
    <cellStyle name="Currency 4 4 3 2 2 2 4" xfId="8834" xr:uid="{17042EB6-9D89-4D97-A8F6-38183095FAAC}"/>
    <cellStyle name="Currency 4 4 3 2 2 2 4 2" xfId="14042" xr:uid="{007E5C52-5A2B-4A3C-82A5-306563E288CE}"/>
    <cellStyle name="Currency 4 4 3 2 2 2 4 2 2" xfId="28093" xr:uid="{E6DD3628-B915-43F1-82EF-749F4C047958}"/>
    <cellStyle name="Currency 4 4 3 2 2 2 4 3" xfId="22885" xr:uid="{514AD022-D37B-43D6-9058-EF29A657E291}"/>
    <cellStyle name="Currency 4 4 3 2 2 2 5" xfId="7966" xr:uid="{23D4A952-D891-4852-B130-C0059DAA40FA}"/>
    <cellStyle name="Currency 4 4 3 2 2 2 5 2" xfId="22017" xr:uid="{3B594812-8E92-457B-B2E4-A34B30006F93}"/>
    <cellStyle name="Currency 4 4 3 2 2 2 6" xfId="11438" xr:uid="{452C0E22-7FD5-4CF4-841D-20C68ACFC606}"/>
    <cellStyle name="Currency 4 4 3 2 2 2 6 2" xfId="25489" xr:uid="{EFA54D7D-BD4D-4A10-943E-13E94AF3CEAC}"/>
    <cellStyle name="Currency 4 4 3 2 2 2 7" xfId="19413" xr:uid="{A9577AC9-2558-4240-88FD-CCCB82907FE1}"/>
    <cellStyle name="Currency 4 4 3 2 2 3" xfId="5796" xr:uid="{BAB05656-C921-43CC-A12A-B927ADE8DF28}"/>
    <cellStyle name="Currency 4 4 3 2 2 3 2" xfId="9268" xr:uid="{2E02A326-B4DC-482E-B9CA-21304DBD6974}"/>
    <cellStyle name="Currency 4 4 3 2 2 3 2 2" xfId="23319" xr:uid="{F75186BE-363A-49CB-9CD8-B53804D42301}"/>
    <cellStyle name="Currency 4 4 3 2 2 3 3" xfId="11872" xr:uid="{1C84690A-7122-49E7-9CBF-61C4E46FAF9D}"/>
    <cellStyle name="Currency 4 4 3 2 2 3 3 2" xfId="25923" xr:uid="{7740819D-105F-4E40-8633-1B8F1D251136}"/>
    <cellStyle name="Currency 4 4 3 2 2 3 4" xfId="19847" xr:uid="{F3370195-4702-4C29-AC6F-64635CB03B1A}"/>
    <cellStyle name="Currency 4 4 3 2 2 4" xfId="6664" xr:uid="{A35FB128-3B49-4A1A-837E-C4CBA8BF3777}"/>
    <cellStyle name="Currency 4 4 3 2 2 4 2" xfId="10136" xr:uid="{A4D62F59-487A-4FB7-93BE-000A89E8A4BE}"/>
    <cellStyle name="Currency 4 4 3 2 2 4 2 2" xfId="24187" xr:uid="{FC5E29AD-A47D-4A8D-8D68-D608B6E35523}"/>
    <cellStyle name="Currency 4 4 3 2 2 4 3" xfId="12740" xr:uid="{94F78C5D-4AE3-466F-BF81-C2FEC5605F83}"/>
    <cellStyle name="Currency 4 4 3 2 2 4 3 2" xfId="26791" xr:uid="{9725C0FA-F6F8-4C41-AE1A-CAB03BAE9195}"/>
    <cellStyle name="Currency 4 4 3 2 2 4 4" xfId="20715" xr:uid="{6A59C20A-5EFE-40DC-BC7B-0CA3A4A17E6C}"/>
    <cellStyle name="Currency 4 4 3 2 2 5" xfId="8400" xr:uid="{54B22F68-D04F-41F4-8BF5-DC02C96F0AFB}"/>
    <cellStyle name="Currency 4 4 3 2 2 5 2" xfId="13608" xr:uid="{6BC0BBF4-8FAC-4C13-A57F-CC97A2C86598}"/>
    <cellStyle name="Currency 4 4 3 2 2 5 2 2" xfId="27659" xr:uid="{E4650271-5723-4906-B47D-E4776B6DD059}"/>
    <cellStyle name="Currency 4 4 3 2 2 5 3" xfId="22451" xr:uid="{414F9B86-7812-4B5A-8E89-FC33AB0F6723}"/>
    <cellStyle name="Currency 4 4 3 2 2 6" xfId="7532" xr:uid="{253AB300-560B-4D56-B512-2CD9F30D5A1D}"/>
    <cellStyle name="Currency 4 4 3 2 2 6 2" xfId="21583" xr:uid="{4718414A-95E1-4E42-8F3C-1B105F494E98}"/>
    <cellStyle name="Currency 4 4 3 2 2 7" xfId="11004" xr:uid="{9F4A3BFC-C249-44DE-8045-9D928E3DDF64}"/>
    <cellStyle name="Currency 4 4 3 2 2 7 2" xfId="25055" xr:uid="{668AC1E8-243B-4840-AA2B-1A1C7A51C793}"/>
    <cellStyle name="Currency 4 4 3 2 2 8" xfId="18334" xr:uid="{D23C68CD-7C11-492E-8F86-47FAEE43AFE5}"/>
    <cellStyle name="Currency 4 4 3 2 3" xfId="5172" xr:uid="{F471C3FE-02AF-46CE-86CE-DFF965333690}"/>
    <cellStyle name="Currency 4 4 3 2 3 2" xfId="6040" xr:uid="{44ECAAA3-9B87-410C-A536-4567328BF0B8}"/>
    <cellStyle name="Currency 4 4 3 2 3 2 2" xfId="9512" xr:uid="{AA055DAA-891D-47D1-8FAC-16C65191838A}"/>
    <cellStyle name="Currency 4 4 3 2 3 2 2 2" xfId="23563" xr:uid="{C2EEEED0-2216-4285-BC89-24E7F917089C}"/>
    <cellStyle name="Currency 4 4 3 2 3 2 3" xfId="12116" xr:uid="{C316D156-7892-49E9-A4D4-30E360874049}"/>
    <cellStyle name="Currency 4 4 3 2 3 2 3 2" xfId="26167" xr:uid="{20E08BCC-82E4-4855-9FA1-CA4EAEB62B82}"/>
    <cellStyle name="Currency 4 4 3 2 3 2 4" xfId="20091" xr:uid="{F508D194-5653-41F7-A4A7-95F9E9B7A42E}"/>
    <cellStyle name="Currency 4 4 3 2 3 3" xfId="6908" xr:uid="{CF03B56F-E480-4322-9183-57335031C683}"/>
    <cellStyle name="Currency 4 4 3 2 3 3 2" xfId="10380" xr:uid="{4D4D419C-1697-4760-B291-AD0032B9B641}"/>
    <cellStyle name="Currency 4 4 3 2 3 3 2 2" xfId="24431" xr:uid="{CFA9B912-82FB-44C3-BC4C-72452D4BEB8F}"/>
    <cellStyle name="Currency 4 4 3 2 3 3 3" xfId="12984" xr:uid="{091AE1BD-E4F5-4AF2-AD4F-944CE04EDB1D}"/>
    <cellStyle name="Currency 4 4 3 2 3 3 3 2" xfId="27035" xr:uid="{E0C70DB2-EE0B-4683-90B7-DE4200E1B293}"/>
    <cellStyle name="Currency 4 4 3 2 3 3 4" xfId="20959" xr:uid="{797F35FC-A3F9-4953-BDA5-E56DE8009A87}"/>
    <cellStyle name="Currency 4 4 3 2 3 4" xfId="8644" xr:uid="{5439E17C-712C-4E9E-85C8-3479BFD28A6A}"/>
    <cellStyle name="Currency 4 4 3 2 3 4 2" xfId="13852" xr:uid="{19F0CFB0-7383-432E-B22E-9CCB2FB27E4E}"/>
    <cellStyle name="Currency 4 4 3 2 3 4 2 2" xfId="27903" xr:uid="{5C18D2C8-1693-40D1-8E57-D47BFBE4DA14}"/>
    <cellStyle name="Currency 4 4 3 2 3 4 3" xfId="22695" xr:uid="{7227BCB8-30F4-44F8-BC9F-4D09624B6FE5}"/>
    <cellStyle name="Currency 4 4 3 2 3 5" xfId="7776" xr:uid="{3B11F27F-5BED-4408-9130-A73C4162EDDD}"/>
    <cellStyle name="Currency 4 4 3 2 3 5 2" xfId="21827" xr:uid="{65C6FD39-DB3C-43E5-80A3-55A16A377345}"/>
    <cellStyle name="Currency 4 4 3 2 3 6" xfId="11248" xr:uid="{7D5473D0-DB4D-43E4-A9CD-C7815BF1EA94}"/>
    <cellStyle name="Currency 4 4 3 2 3 6 2" xfId="25299" xr:uid="{836D41B9-1815-4C4A-8A60-D4471CCC406E}"/>
    <cellStyle name="Currency 4 4 3 2 3 7" xfId="19223" xr:uid="{E5D96FEC-188E-4628-89A8-3BE251E9536A}"/>
    <cellStyle name="Currency 4 4 3 2 4" xfId="5606" xr:uid="{69E0BEB9-F7C8-4D38-B059-02C61242A0FC}"/>
    <cellStyle name="Currency 4 4 3 2 4 2" xfId="9078" xr:uid="{39D33FFC-6751-4C56-ADF9-170BB58B5417}"/>
    <cellStyle name="Currency 4 4 3 2 4 2 2" xfId="23129" xr:uid="{DD068E0C-0B1E-47C1-9F7E-1E17490C411E}"/>
    <cellStyle name="Currency 4 4 3 2 4 3" xfId="11682" xr:uid="{77D279DB-F4E9-437E-8437-F8DDAE1C13B2}"/>
    <cellStyle name="Currency 4 4 3 2 4 3 2" xfId="25733" xr:uid="{FBF5C132-954B-45FF-A4A1-78FEF0E25FC7}"/>
    <cellStyle name="Currency 4 4 3 2 4 4" xfId="19657" xr:uid="{985DB20E-AACB-4B4A-9C23-335DA705C248}"/>
    <cellStyle name="Currency 4 4 3 2 5" xfId="6474" xr:uid="{CDBBED3A-FD0B-4CAB-B553-BD7314E84855}"/>
    <cellStyle name="Currency 4 4 3 2 5 2" xfId="9946" xr:uid="{5D2F9194-C94D-4871-8B36-4C00D74E3422}"/>
    <cellStyle name="Currency 4 4 3 2 5 2 2" xfId="23997" xr:uid="{E752A4C8-4C18-468E-A157-C29B904F98E4}"/>
    <cellStyle name="Currency 4 4 3 2 5 3" xfId="12550" xr:uid="{79F7D746-7CBE-405A-BAA0-6950989A7392}"/>
    <cellStyle name="Currency 4 4 3 2 5 3 2" xfId="26601" xr:uid="{51FF42C0-3DF0-4FB0-9759-A1DDA3F0EDEA}"/>
    <cellStyle name="Currency 4 4 3 2 5 4" xfId="20525" xr:uid="{D16E7E2D-AA92-449E-B0CE-1EC8EE74E055}"/>
    <cellStyle name="Currency 4 4 3 2 6" xfId="8210" xr:uid="{EB390408-127A-43D0-8355-A7E34EC333C1}"/>
    <cellStyle name="Currency 4 4 3 2 6 2" xfId="13418" xr:uid="{6AA0846B-D2C4-465C-A96E-442E3BC2E1DC}"/>
    <cellStyle name="Currency 4 4 3 2 6 2 2" xfId="27469" xr:uid="{CD5E3202-903D-4DF0-B0F2-2CEDAB3005C6}"/>
    <cellStyle name="Currency 4 4 3 2 6 3" xfId="22261" xr:uid="{0800A4F6-3134-448E-A43B-DA83C8C851CA}"/>
    <cellStyle name="Currency 4 4 3 2 7" xfId="7342" xr:uid="{C7733279-8027-4A86-A496-03A0066A8CB0}"/>
    <cellStyle name="Currency 4 4 3 2 7 2" xfId="21393" xr:uid="{A4238365-A1CB-405A-881E-7461E8175BAF}"/>
    <cellStyle name="Currency 4 4 3 2 8" xfId="10814" xr:uid="{E83FD235-31D1-4336-AE13-1209ADFF0821}"/>
    <cellStyle name="Currency 4 4 3 2 8 2" xfId="24865" xr:uid="{8CB49DA6-0CDA-4CCB-A438-5E87D3C37E42}"/>
    <cellStyle name="Currency 4 4 3 2 9" xfId="16143" xr:uid="{83E191EF-A018-48E2-B3A8-242D3F541892}"/>
    <cellStyle name="Currency 4 4 3 3" xfId="3187" xr:uid="{1EFDF386-EE84-4CBF-86DC-A2B22F996FA7}"/>
    <cellStyle name="Currency 4 4 3 3 2" xfId="5267" xr:uid="{67B7E9C1-7BD6-4D39-A45D-2D3852F92589}"/>
    <cellStyle name="Currency 4 4 3 3 2 2" xfId="6135" xr:uid="{04CD47CC-E19D-43D3-AE75-907C0C81DABC}"/>
    <cellStyle name="Currency 4 4 3 3 2 2 2" xfId="9607" xr:uid="{7300607C-0EBA-4BDA-88B5-885971B80F10}"/>
    <cellStyle name="Currency 4 4 3 3 2 2 2 2" xfId="23658" xr:uid="{1DB4E6F5-3665-41C0-954F-240D0B2025F0}"/>
    <cellStyle name="Currency 4 4 3 3 2 2 3" xfId="12211" xr:uid="{83683110-23BB-4222-8C9E-C0B23010EA77}"/>
    <cellStyle name="Currency 4 4 3 3 2 2 3 2" xfId="26262" xr:uid="{8EFE1F40-2648-47EC-A553-D569098D1D0D}"/>
    <cellStyle name="Currency 4 4 3 3 2 2 4" xfId="20186" xr:uid="{578637AE-AB61-4CB4-97D4-6A16BC091A5B}"/>
    <cellStyle name="Currency 4 4 3 3 2 3" xfId="7003" xr:uid="{F7EDDEAE-9104-49E1-884C-8A048952EE5C}"/>
    <cellStyle name="Currency 4 4 3 3 2 3 2" xfId="10475" xr:uid="{70B0A114-7AE2-49AD-8BB2-2BE12F4EA490}"/>
    <cellStyle name="Currency 4 4 3 3 2 3 2 2" xfId="24526" xr:uid="{57DA38EC-02E1-4D70-B4FD-4975CB154DF9}"/>
    <cellStyle name="Currency 4 4 3 3 2 3 3" xfId="13079" xr:uid="{7B08DFC1-3038-4A80-AD87-7B38386DDF22}"/>
    <cellStyle name="Currency 4 4 3 3 2 3 3 2" xfId="27130" xr:uid="{E4B54648-7470-487C-A480-4703DCFE6501}"/>
    <cellStyle name="Currency 4 4 3 3 2 3 4" xfId="21054" xr:uid="{8160740E-9C3D-4E57-8EC6-D4606DAED47D}"/>
    <cellStyle name="Currency 4 4 3 3 2 4" xfId="8739" xr:uid="{E85007FC-6CA2-403C-BCB4-4EEC75A0918F}"/>
    <cellStyle name="Currency 4 4 3 3 2 4 2" xfId="13947" xr:uid="{E90238D5-3141-4A11-93FC-15227F920114}"/>
    <cellStyle name="Currency 4 4 3 3 2 4 2 2" xfId="27998" xr:uid="{EE238F4C-A6A1-4AD5-B2AC-61B5AD5C846E}"/>
    <cellStyle name="Currency 4 4 3 3 2 4 3" xfId="22790" xr:uid="{8A03A1EF-2C98-4E2A-B6B5-D739FA9510E5}"/>
    <cellStyle name="Currency 4 4 3 3 2 5" xfId="7871" xr:uid="{BDF57EBD-53BE-453C-9C5F-B18DCD5338AA}"/>
    <cellStyle name="Currency 4 4 3 3 2 5 2" xfId="21922" xr:uid="{57B5B9EB-7965-45E3-A532-94A5FA2C5012}"/>
    <cellStyle name="Currency 4 4 3 3 2 6" xfId="11343" xr:uid="{7F38F026-1852-4286-B744-6846DF40AD61}"/>
    <cellStyle name="Currency 4 4 3 3 2 6 2" xfId="25394" xr:uid="{0E1ABC0C-17D7-410B-AFF9-6E91507ACAF6}"/>
    <cellStyle name="Currency 4 4 3 3 2 7" xfId="19318" xr:uid="{0163AAC5-82DE-454B-AB3E-C1AE412850F4}"/>
    <cellStyle name="Currency 4 4 3 3 3" xfId="5701" xr:uid="{6A147BEF-401B-47BE-8A82-04E09C96E0D1}"/>
    <cellStyle name="Currency 4 4 3 3 3 2" xfId="9173" xr:uid="{1BF32A10-3C07-4B21-BC3C-3E0640DB3B8D}"/>
    <cellStyle name="Currency 4 4 3 3 3 2 2" xfId="23224" xr:uid="{5E85C753-3E03-4AB4-A5F2-A9E807EAF7EC}"/>
    <cellStyle name="Currency 4 4 3 3 3 3" xfId="11777" xr:uid="{C4AD4ED4-9AF7-4F58-9099-0ECD2E465F0D}"/>
    <cellStyle name="Currency 4 4 3 3 3 3 2" xfId="25828" xr:uid="{F5775050-4007-4B9A-A3C7-C2E082B5443C}"/>
    <cellStyle name="Currency 4 4 3 3 3 4" xfId="19752" xr:uid="{67DBF01D-CA7A-4D37-B02A-91B4C0705BDF}"/>
    <cellStyle name="Currency 4 4 3 3 4" xfId="6569" xr:uid="{31BACE16-FECA-4A3D-8E53-6D85079E13A0}"/>
    <cellStyle name="Currency 4 4 3 3 4 2" xfId="10041" xr:uid="{699442BB-8751-4D20-BE26-0D1FACD38256}"/>
    <cellStyle name="Currency 4 4 3 3 4 2 2" xfId="24092" xr:uid="{613029AA-0E4D-4283-8C10-2FCF3BF5BE80}"/>
    <cellStyle name="Currency 4 4 3 3 4 3" xfId="12645" xr:uid="{AA00D43E-8BBF-42FD-8DA7-70E0AEE08861}"/>
    <cellStyle name="Currency 4 4 3 3 4 3 2" xfId="26696" xr:uid="{2A39C46A-93CC-43CA-B917-96A5ACC266C3}"/>
    <cellStyle name="Currency 4 4 3 3 4 4" xfId="20620" xr:uid="{D492219E-2856-48CE-A119-22E2697C16D1}"/>
    <cellStyle name="Currency 4 4 3 3 5" xfId="8305" xr:uid="{D75D782D-9C31-4535-9103-0C33B01B5304}"/>
    <cellStyle name="Currency 4 4 3 3 5 2" xfId="13513" xr:uid="{2F2AA529-0DA5-4BEC-A360-BAE8F5FC142D}"/>
    <cellStyle name="Currency 4 4 3 3 5 2 2" xfId="27564" xr:uid="{1092A934-C440-4C86-A263-AA311B43ABD9}"/>
    <cellStyle name="Currency 4 4 3 3 5 3" xfId="22356" xr:uid="{0F004DB5-25FF-478D-8665-4BA4D2D4E78D}"/>
    <cellStyle name="Currency 4 4 3 3 6" xfId="7437" xr:uid="{C5FDBD3E-F149-49E5-AC87-DB9E6D828D42}"/>
    <cellStyle name="Currency 4 4 3 3 6 2" xfId="21488" xr:uid="{BA62CD40-640F-4652-A776-E257C55A66EF}"/>
    <cellStyle name="Currency 4 4 3 3 7" xfId="10909" xr:uid="{475B1D5A-50C6-49FE-A507-F7003A2A1265}"/>
    <cellStyle name="Currency 4 4 3 3 7 2" xfId="24960" xr:uid="{64D38D3D-399F-43B1-A848-8DC7C2670A14}"/>
    <cellStyle name="Currency 4 4 3 3 8" xfId="17239" xr:uid="{27A2F243-212C-4F57-BE21-200715B0C743}"/>
    <cellStyle name="Currency 4 4 3 4" xfId="5075" xr:uid="{B4F7EF89-1AF1-40C3-B57A-F288618588D7}"/>
    <cellStyle name="Currency 4 4 3 4 2" xfId="5943" xr:uid="{4A9A4C56-8795-42A1-AE96-0AA6CE8CBBE1}"/>
    <cellStyle name="Currency 4 4 3 4 2 2" xfId="9415" xr:uid="{5EC97425-18AB-4473-A516-42D86BD4C2BB}"/>
    <cellStyle name="Currency 4 4 3 4 2 2 2" xfId="23466" xr:uid="{2BC5757A-DBF5-42C8-A5F3-9827220D8063}"/>
    <cellStyle name="Currency 4 4 3 4 2 3" xfId="12019" xr:uid="{63F3A83F-71A4-4E18-B464-4AD19C5B80E3}"/>
    <cellStyle name="Currency 4 4 3 4 2 3 2" xfId="26070" xr:uid="{4E0848A3-7940-41CB-B3F7-E3F02D65A439}"/>
    <cellStyle name="Currency 4 4 3 4 2 4" xfId="19994" xr:uid="{A3B348EF-CA67-4902-8705-069B1A795AD0}"/>
    <cellStyle name="Currency 4 4 3 4 3" xfId="6811" xr:uid="{D59AEBCA-448D-421C-B90E-17F9772F4B02}"/>
    <cellStyle name="Currency 4 4 3 4 3 2" xfId="10283" xr:uid="{F50781EF-3ADE-4B0D-96A9-942A4A62D1BE}"/>
    <cellStyle name="Currency 4 4 3 4 3 2 2" xfId="24334" xr:uid="{D6BFA7D3-355D-4536-B1B1-62547B1667F1}"/>
    <cellStyle name="Currency 4 4 3 4 3 3" xfId="12887" xr:uid="{BACA84E3-09CE-4975-9CCA-599676CAC220}"/>
    <cellStyle name="Currency 4 4 3 4 3 3 2" xfId="26938" xr:uid="{891C2EA4-BAAE-4242-9B20-FAB1F17E8C0F}"/>
    <cellStyle name="Currency 4 4 3 4 3 4" xfId="20862" xr:uid="{71318D8F-4070-482F-97E0-C0ACA07DDA64}"/>
    <cellStyle name="Currency 4 4 3 4 4" xfId="8547" xr:uid="{2A1CDD7A-4539-4962-8413-FF6210361939}"/>
    <cellStyle name="Currency 4 4 3 4 4 2" xfId="13755" xr:uid="{5E67E663-6BAD-40AF-A40B-13FE93967855}"/>
    <cellStyle name="Currency 4 4 3 4 4 2 2" xfId="27806" xr:uid="{207009AE-401D-4B8B-9938-204C0995A760}"/>
    <cellStyle name="Currency 4 4 3 4 4 3" xfId="22598" xr:uid="{A9533988-C1B0-482A-BB98-1EF980532786}"/>
    <cellStyle name="Currency 4 4 3 4 5" xfId="7679" xr:uid="{1D3903A1-A5D9-414A-8AC1-0E5409320E83}"/>
    <cellStyle name="Currency 4 4 3 4 5 2" xfId="21730" xr:uid="{4DFEFF7C-23C4-4258-B17C-E063F984D583}"/>
    <cellStyle name="Currency 4 4 3 4 6" xfId="11151" xr:uid="{F2160CD3-9493-4624-BD5F-105614380421}"/>
    <cellStyle name="Currency 4 4 3 4 6 2" xfId="25202" xr:uid="{C14CB800-8477-438E-BB6A-1218DA091764}"/>
    <cellStyle name="Currency 4 4 3 4 7" xfId="19126" xr:uid="{0CB99B82-8802-408B-A8C8-74151DE66A3F}"/>
    <cellStyle name="Currency 4 4 3 5" xfId="5509" xr:uid="{38EFB502-B394-4AAA-8C4A-739EEC524339}"/>
    <cellStyle name="Currency 4 4 3 5 2" xfId="8981" xr:uid="{08280E71-8FC5-48AA-BB1D-FA9E7F201BB0}"/>
    <cellStyle name="Currency 4 4 3 5 2 2" xfId="23032" xr:uid="{B11677BA-69B2-4F26-A652-B50FF53F84C1}"/>
    <cellStyle name="Currency 4 4 3 5 3" xfId="11585" xr:uid="{DA335125-3E39-4D02-BBE9-E2F310EE0293}"/>
    <cellStyle name="Currency 4 4 3 5 3 2" xfId="25636" xr:uid="{34D5F386-2FC4-44C4-A5E1-4AAED89A5D44}"/>
    <cellStyle name="Currency 4 4 3 5 4" xfId="19560" xr:uid="{450E679C-B097-47AE-94D5-A520E494DB73}"/>
    <cellStyle name="Currency 4 4 3 6" xfId="6377" xr:uid="{4A5B6ADD-C15C-4D73-884B-6FF840CFED48}"/>
    <cellStyle name="Currency 4 4 3 6 2" xfId="9849" xr:uid="{AAA13ABC-5555-4349-B55A-8C662999FD83}"/>
    <cellStyle name="Currency 4 4 3 6 2 2" xfId="23900" xr:uid="{DD50913A-D159-4CF5-B63A-771A0D57FB10}"/>
    <cellStyle name="Currency 4 4 3 6 3" xfId="12453" xr:uid="{450BE367-6AC9-4E0D-8942-418D2ACAEF8A}"/>
    <cellStyle name="Currency 4 4 3 6 3 2" xfId="26504" xr:uid="{DB067FFA-A459-4D27-AF53-529580785B17}"/>
    <cellStyle name="Currency 4 4 3 6 4" xfId="20428" xr:uid="{BD3B5167-99D9-40CE-AC0D-CD7F9EBD1C67}"/>
    <cellStyle name="Currency 4 4 3 7" xfId="8113" xr:uid="{41838C35-7E77-4422-99A9-6662A1F57AFF}"/>
    <cellStyle name="Currency 4 4 3 7 2" xfId="13321" xr:uid="{B12CDC36-EE32-479B-B1D7-EED4CCB93CBF}"/>
    <cellStyle name="Currency 4 4 3 7 2 2" xfId="27372" xr:uid="{5EE5639D-EA2B-4CF6-9EEB-9341E06145B2}"/>
    <cellStyle name="Currency 4 4 3 7 3" xfId="22164" xr:uid="{762F9122-BBE0-4D9C-82AB-68304C1B2313}"/>
    <cellStyle name="Currency 4 4 3 8" xfId="7245" xr:uid="{E5E05E74-FC50-443B-85E3-3A7132E643DB}"/>
    <cellStyle name="Currency 4 4 3 8 2" xfId="21296" xr:uid="{0761B6BE-44A0-4DA7-842E-5B5CAF34B813}"/>
    <cellStyle name="Currency 4 4 3 9" xfId="10717" xr:uid="{8F9CECDA-97D6-4F38-B9D4-3686C142CE54}"/>
    <cellStyle name="Currency 4 4 3 9 2" xfId="24768" xr:uid="{90D7788D-2CBA-418C-9B89-52EC1E78A146}"/>
    <cellStyle name="Currency 4 4 4" xfId="1575" xr:uid="{73E8EF0C-F2F7-4752-8248-3647B19C13DC}"/>
    <cellStyle name="Currency 4 4 4 2" xfId="3765" xr:uid="{B187069E-2C83-41A4-9848-3C8807DE62F0}"/>
    <cellStyle name="Currency 4 4 4 2 2" xfId="5318" xr:uid="{A90DA9B5-1E9B-4778-8382-B47612A2824B}"/>
    <cellStyle name="Currency 4 4 4 2 2 2" xfId="6186" xr:uid="{EBE1E01F-8C0B-471D-BE2F-0276A3A9CA3A}"/>
    <cellStyle name="Currency 4 4 4 2 2 2 2" xfId="9658" xr:uid="{48493C35-3E75-45A3-9410-61B16FE26274}"/>
    <cellStyle name="Currency 4 4 4 2 2 2 2 2" xfId="23709" xr:uid="{E4B27A79-61A6-4927-8AE7-7D9DB2D392C9}"/>
    <cellStyle name="Currency 4 4 4 2 2 2 3" xfId="12262" xr:uid="{DB007AC5-3F1A-4811-B5D3-C47D4E04297E}"/>
    <cellStyle name="Currency 4 4 4 2 2 2 3 2" xfId="26313" xr:uid="{3224C152-0DD7-448E-BC31-665FD37CC6CD}"/>
    <cellStyle name="Currency 4 4 4 2 2 2 4" xfId="20237" xr:uid="{B641BB71-8BF7-4319-8440-297008164D75}"/>
    <cellStyle name="Currency 4 4 4 2 2 3" xfId="7054" xr:uid="{2F7E3DBD-D047-4824-B473-94AE07BE35FF}"/>
    <cellStyle name="Currency 4 4 4 2 2 3 2" xfId="10526" xr:uid="{14B30AC6-DD3A-4E6E-832A-DC581B5A9948}"/>
    <cellStyle name="Currency 4 4 4 2 2 3 2 2" xfId="24577" xr:uid="{EDBABFBF-16CD-4B11-A68D-D27FD413CE54}"/>
    <cellStyle name="Currency 4 4 4 2 2 3 3" xfId="13130" xr:uid="{2389787B-9F7C-4975-8ADD-1EFDF6BD27D1}"/>
    <cellStyle name="Currency 4 4 4 2 2 3 3 2" xfId="27181" xr:uid="{EC7496CF-CEF4-4ECB-989C-AED2D71B24E6}"/>
    <cellStyle name="Currency 4 4 4 2 2 3 4" xfId="21105" xr:uid="{E421975C-644E-4969-8916-4BEBB04894D9}"/>
    <cellStyle name="Currency 4 4 4 2 2 4" xfId="8790" xr:uid="{C0E4FDCF-1ECB-4B74-B530-BCDD40B3A01D}"/>
    <cellStyle name="Currency 4 4 4 2 2 4 2" xfId="13998" xr:uid="{4BE2F3CD-F400-42EF-89D6-6E74DC0CFD0D}"/>
    <cellStyle name="Currency 4 4 4 2 2 4 2 2" xfId="28049" xr:uid="{9F34CD10-651A-4796-998E-0BC5F4E42FBC}"/>
    <cellStyle name="Currency 4 4 4 2 2 4 3" xfId="22841" xr:uid="{D8C0059E-8223-4FAB-B763-008078FAB384}"/>
    <cellStyle name="Currency 4 4 4 2 2 5" xfId="7922" xr:uid="{16FA95B0-84F3-43D5-8CD2-4831F605AE21}"/>
    <cellStyle name="Currency 4 4 4 2 2 5 2" xfId="21973" xr:uid="{0488C369-72E8-4800-B244-5C8C5F7FCFB6}"/>
    <cellStyle name="Currency 4 4 4 2 2 6" xfId="11394" xr:uid="{051B0543-1B8D-4F26-933A-B5FC2926D27C}"/>
    <cellStyle name="Currency 4 4 4 2 2 6 2" xfId="25445" xr:uid="{0442AD41-EE97-42F0-9EC3-3A416D4A9461}"/>
    <cellStyle name="Currency 4 4 4 2 2 7" xfId="19369" xr:uid="{EB338182-BE8E-42A1-AC17-F1AF2FB72FB7}"/>
    <cellStyle name="Currency 4 4 4 2 3" xfId="5752" xr:uid="{BD713286-5FB1-4CE3-AF46-381424B8994D}"/>
    <cellStyle name="Currency 4 4 4 2 3 2" xfId="9224" xr:uid="{B015707C-481C-47F3-ACD5-02A5FE2494BA}"/>
    <cellStyle name="Currency 4 4 4 2 3 2 2" xfId="23275" xr:uid="{3BCDC72E-616E-417F-B1EE-D07BFA5DF1EB}"/>
    <cellStyle name="Currency 4 4 4 2 3 3" xfId="11828" xr:uid="{AFBF83CA-7CB7-4255-974F-62CDD38B9ED3}"/>
    <cellStyle name="Currency 4 4 4 2 3 3 2" xfId="25879" xr:uid="{4F543AF8-5092-423A-9ECD-1B0818D18895}"/>
    <cellStyle name="Currency 4 4 4 2 3 4" xfId="19803" xr:uid="{97C3B58B-FAD4-41AE-BF83-3F4C43F8FB30}"/>
    <cellStyle name="Currency 4 4 4 2 4" xfId="6620" xr:uid="{0A9E8CFC-8166-4114-9A79-D40B7FE74962}"/>
    <cellStyle name="Currency 4 4 4 2 4 2" xfId="10092" xr:uid="{2AC6AAE3-94B9-4797-B806-A84D5E979323}"/>
    <cellStyle name="Currency 4 4 4 2 4 2 2" xfId="24143" xr:uid="{DE36BC7A-8AAC-4C85-BD31-E448DBCAD63C}"/>
    <cellStyle name="Currency 4 4 4 2 4 3" xfId="12696" xr:uid="{E350613C-5CD1-449E-ADBB-0F473812D17D}"/>
    <cellStyle name="Currency 4 4 4 2 4 3 2" xfId="26747" xr:uid="{D7CAFBCF-B1A0-4937-9C6D-AC3745895765}"/>
    <cellStyle name="Currency 4 4 4 2 4 4" xfId="20671" xr:uid="{DD4995D9-6142-49E2-AF99-105A6D7B8DEE}"/>
    <cellStyle name="Currency 4 4 4 2 5" xfId="8356" xr:uid="{98B55062-3F6F-435E-9FB6-448D0DD599B3}"/>
    <cellStyle name="Currency 4 4 4 2 5 2" xfId="13564" xr:uid="{7E70A4F4-6222-4064-9DD9-BB73B3F24C51}"/>
    <cellStyle name="Currency 4 4 4 2 5 2 2" xfId="27615" xr:uid="{3E800D81-31B1-4BC7-ACCC-BCEFA105F041}"/>
    <cellStyle name="Currency 4 4 4 2 5 3" xfId="22407" xr:uid="{439063B7-69F8-4555-9CF9-00D900667027}"/>
    <cellStyle name="Currency 4 4 4 2 6" xfId="7488" xr:uid="{180C08D3-6493-43EC-A964-94D26853A2E9}"/>
    <cellStyle name="Currency 4 4 4 2 6 2" xfId="21539" xr:uid="{CC9E7A5A-BDFA-4CFC-9822-E3EBA44EE470}"/>
    <cellStyle name="Currency 4 4 4 2 7" xfId="10960" xr:uid="{1D244E83-6FBD-48A0-9295-C71FA55A5C0D}"/>
    <cellStyle name="Currency 4 4 4 2 7 2" xfId="25011" xr:uid="{F3988F4D-7D13-459D-A781-B0791A5743B9}"/>
    <cellStyle name="Currency 4 4 4 2 8" xfId="17818" xr:uid="{EDD86F01-2F59-4918-8155-B5DD83AEEA51}"/>
    <cellStyle name="Currency 4 4 4 3" xfId="5127" xr:uid="{701D7588-B912-4B18-9F6D-AC8FB81EC0A8}"/>
    <cellStyle name="Currency 4 4 4 3 2" xfId="5995" xr:uid="{56D3A508-689A-421B-BA41-B0EDC5C55EF5}"/>
    <cellStyle name="Currency 4 4 4 3 2 2" xfId="9467" xr:uid="{30FFC143-5D06-4E39-B16C-550622D6EE14}"/>
    <cellStyle name="Currency 4 4 4 3 2 2 2" xfId="23518" xr:uid="{01175663-2E42-4658-8C1A-1A8F185EB423}"/>
    <cellStyle name="Currency 4 4 4 3 2 3" xfId="12071" xr:uid="{8B632579-09C0-4997-A5E5-0EA9502EE76F}"/>
    <cellStyle name="Currency 4 4 4 3 2 3 2" xfId="26122" xr:uid="{B8571CCC-0989-4E45-8CBE-E35D6FF2088F}"/>
    <cellStyle name="Currency 4 4 4 3 2 4" xfId="20046" xr:uid="{230C8609-0244-49F4-B058-171A1F34E298}"/>
    <cellStyle name="Currency 4 4 4 3 3" xfId="6863" xr:uid="{7FC59E95-2EA2-4ACC-AFC9-3E0D3167D972}"/>
    <cellStyle name="Currency 4 4 4 3 3 2" xfId="10335" xr:uid="{402121C6-7642-4690-9E76-6C522B577823}"/>
    <cellStyle name="Currency 4 4 4 3 3 2 2" xfId="24386" xr:uid="{2EC46A36-7683-4514-96FD-23D6990A501B}"/>
    <cellStyle name="Currency 4 4 4 3 3 3" xfId="12939" xr:uid="{6EE49550-6BBC-447F-B415-A8CC985C9D67}"/>
    <cellStyle name="Currency 4 4 4 3 3 3 2" xfId="26990" xr:uid="{A16925E0-E944-4878-BCEE-9FF031EBF709}"/>
    <cellStyle name="Currency 4 4 4 3 3 4" xfId="20914" xr:uid="{D5823409-220A-479E-85B8-2162FF0472C1}"/>
    <cellStyle name="Currency 4 4 4 3 4" xfId="8599" xr:uid="{13FD8A14-94A9-4783-B228-83FB24D72F90}"/>
    <cellStyle name="Currency 4 4 4 3 4 2" xfId="13807" xr:uid="{951BEE90-0021-4966-8246-66D4568CCFDD}"/>
    <cellStyle name="Currency 4 4 4 3 4 2 2" xfId="27858" xr:uid="{FC133D62-883C-4694-B85C-B21E8904CA56}"/>
    <cellStyle name="Currency 4 4 4 3 4 3" xfId="22650" xr:uid="{594610E1-5BBC-4382-835F-9CFDB58C8E5A}"/>
    <cellStyle name="Currency 4 4 4 3 5" xfId="7731" xr:uid="{F042B1EF-719D-4296-8D58-4554FEA6B4A9}"/>
    <cellStyle name="Currency 4 4 4 3 5 2" xfId="21782" xr:uid="{D21BCC84-5E8C-47C6-B163-B5328FC00145}"/>
    <cellStyle name="Currency 4 4 4 3 6" xfId="11203" xr:uid="{5B30B9BB-7B6B-4D63-9218-C2068BF6D94A}"/>
    <cellStyle name="Currency 4 4 4 3 6 2" xfId="25254" xr:uid="{01A1AB39-D63D-4254-8662-42C8AC8A8762}"/>
    <cellStyle name="Currency 4 4 4 3 7" xfId="19178" xr:uid="{B12C01BD-354C-4146-AC9C-AFF89E5F697C}"/>
    <cellStyle name="Currency 4 4 4 4" xfId="5561" xr:uid="{1FC27E2D-8BFC-4223-8879-89A8610F3D0B}"/>
    <cellStyle name="Currency 4 4 4 4 2" xfId="9033" xr:uid="{79927E36-E371-406F-B6CE-54B86666D027}"/>
    <cellStyle name="Currency 4 4 4 4 2 2" xfId="23084" xr:uid="{DD822153-4C4A-473B-B90A-7116BAF17308}"/>
    <cellStyle name="Currency 4 4 4 4 3" xfId="11637" xr:uid="{FDFB65E3-301E-404C-B983-6AA7AE3DC1FC}"/>
    <cellStyle name="Currency 4 4 4 4 3 2" xfId="25688" xr:uid="{D597AD2C-54E5-49A1-90D9-EBBACA420E0A}"/>
    <cellStyle name="Currency 4 4 4 4 4" xfId="19612" xr:uid="{BC6C4F17-0CBD-4E11-82BA-C91E80F90878}"/>
    <cellStyle name="Currency 4 4 4 5" xfId="6429" xr:uid="{D3028A8E-A517-4555-B9B7-FF738E062DE6}"/>
    <cellStyle name="Currency 4 4 4 5 2" xfId="9901" xr:uid="{E115D546-8785-40BF-8F43-62A92E4B455F}"/>
    <cellStyle name="Currency 4 4 4 5 2 2" xfId="23952" xr:uid="{F24F6102-7AD6-43A6-AAFE-EF305737ECA6}"/>
    <cellStyle name="Currency 4 4 4 5 3" xfId="12505" xr:uid="{1BFBB0E4-744C-4AFE-9F1C-F2F2E0955B2E}"/>
    <cellStyle name="Currency 4 4 4 5 3 2" xfId="26556" xr:uid="{7BB1E631-E6F1-41B2-937C-9E27377D9CFC}"/>
    <cellStyle name="Currency 4 4 4 5 4" xfId="20480" xr:uid="{1768909E-61D2-42F8-A385-2C84FC37A048}"/>
    <cellStyle name="Currency 4 4 4 6" xfId="8165" xr:uid="{6DCC6172-948F-4759-87B2-4D344B681869}"/>
    <cellStyle name="Currency 4 4 4 6 2" xfId="13373" xr:uid="{EBA1284E-BD3C-4829-A88B-660AFA7D3B65}"/>
    <cellStyle name="Currency 4 4 4 6 2 2" xfId="27424" xr:uid="{CBBC2861-AF03-458E-BAC7-73EB132EB8C5}"/>
    <cellStyle name="Currency 4 4 4 6 3" xfId="22216" xr:uid="{6E30A0C4-EE0F-47C8-AAF9-6D444FA7B78E}"/>
    <cellStyle name="Currency 4 4 4 7" xfId="7297" xr:uid="{AFBEF655-0738-4E2A-A4E1-012C08E9D5F9}"/>
    <cellStyle name="Currency 4 4 4 7 2" xfId="21348" xr:uid="{94F13DB0-F62B-404F-8F72-3BF8ECF391C5}"/>
    <cellStyle name="Currency 4 4 4 8" xfId="10769" xr:uid="{4F64D1F9-AFDD-4DB8-9A74-5EE28170ED11}"/>
    <cellStyle name="Currency 4 4 4 8 2" xfId="24820" xr:uid="{D9C0EDD6-7B3D-4109-98CD-C3F3C09A32DF}"/>
    <cellStyle name="Currency 4 4 4 9" xfId="15624" xr:uid="{0F9A5DCA-BC31-4689-B85D-D86874A06BB6}"/>
    <cellStyle name="Currency 4 4 5" xfId="2494" xr:uid="{DDF5E057-3498-48BB-AB7C-B48D9465E982}"/>
    <cellStyle name="Currency 4 4 5 2" xfId="5207" xr:uid="{54DE63DB-9DB7-4C6C-9177-2C7FD94C039D}"/>
    <cellStyle name="Currency 4 4 5 2 2" xfId="6075" xr:uid="{BE3EFA1B-9BC5-4144-A847-E0A20EA5FE44}"/>
    <cellStyle name="Currency 4 4 5 2 2 2" xfId="9547" xr:uid="{CE6E1207-57B9-4CFC-AEEF-5D4B6A52DEBA}"/>
    <cellStyle name="Currency 4 4 5 2 2 2 2" xfId="23598" xr:uid="{2EBAD62C-2F61-4ED9-ADFC-596F01396F84}"/>
    <cellStyle name="Currency 4 4 5 2 2 3" xfId="12151" xr:uid="{828F6D5E-61D6-4AE7-97FE-58A608B09162}"/>
    <cellStyle name="Currency 4 4 5 2 2 3 2" xfId="26202" xr:uid="{213F01E0-0706-4D81-A612-C0C0F927E463}"/>
    <cellStyle name="Currency 4 4 5 2 2 4" xfId="20126" xr:uid="{1DE00A28-F278-48A7-9F0E-27991F192F36}"/>
    <cellStyle name="Currency 4 4 5 2 3" xfId="6943" xr:uid="{FD67A45C-6EB9-4D0A-9A6F-00B148048308}"/>
    <cellStyle name="Currency 4 4 5 2 3 2" xfId="10415" xr:uid="{8C627AAD-5F23-4E52-99D3-B35AB760AFBE}"/>
    <cellStyle name="Currency 4 4 5 2 3 2 2" xfId="24466" xr:uid="{28B84A36-0057-47ED-86D0-BFECED7F0316}"/>
    <cellStyle name="Currency 4 4 5 2 3 3" xfId="13019" xr:uid="{C1797261-B495-42A0-B86C-12B672D0B69A}"/>
    <cellStyle name="Currency 4 4 5 2 3 3 2" xfId="27070" xr:uid="{711A1421-9D99-48CB-94D1-A8B1AAB4B44C}"/>
    <cellStyle name="Currency 4 4 5 2 3 4" xfId="20994" xr:uid="{69657CC4-CE83-4995-B0A1-23DADAC5DEC2}"/>
    <cellStyle name="Currency 4 4 5 2 4" xfId="8679" xr:uid="{672F4A8C-A499-45D5-8F7A-6C33062BE8A2}"/>
    <cellStyle name="Currency 4 4 5 2 4 2" xfId="13887" xr:uid="{72159492-A927-419E-9B32-4094232CF384}"/>
    <cellStyle name="Currency 4 4 5 2 4 2 2" xfId="27938" xr:uid="{56AB8018-9DBF-406B-B5CF-4B5F636668F5}"/>
    <cellStyle name="Currency 4 4 5 2 4 3" xfId="22730" xr:uid="{99669AEC-60FA-4211-A683-7E55CC3EC543}"/>
    <cellStyle name="Currency 4 4 5 2 5" xfId="7811" xr:uid="{F71EA8F6-BBBB-492B-BD2F-C5F64046AEE1}"/>
    <cellStyle name="Currency 4 4 5 2 5 2" xfId="21862" xr:uid="{C3E274E7-06C1-4B57-8862-14C5EA8F575E}"/>
    <cellStyle name="Currency 4 4 5 2 6" xfId="11283" xr:uid="{287D59E8-AF9D-4E6C-86FB-A7C84992B050}"/>
    <cellStyle name="Currency 4 4 5 2 6 2" xfId="25334" xr:uid="{84E58DA7-DCC2-4063-B11D-C5F37E1046D1}"/>
    <cellStyle name="Currency 4 4 5 2 7" xfId="19258" xr:uid="{B359A90C-AB69-493D-A9BC-CD313D6E6A7E}"/>
    <cellStyle name="Currency 4 4 5 3" xfId="5641" xr:uid="{00325471-2C0E-4673-8709-B79374BA7566}"/>
    <cellStyle name="Currency 4 4 5 3 2" xfId="9113" xr:uid="{DE4C6361-FBC6-4C57-A394-DEA3062CAACB}"/>
    <cellStyle name="Currency 4 4 5 3 2 2" xfId="23164" xr:uid="{BE5CEF2E-6A90-460A-BAA7-4AC733545B8B}"/>
    <cellStyle name="Currency 4 4 5 3 3" xfId="11717" xr:uid="{99CA66E3-FFEB-4D0A-9625-1378F4CAC394}"/>
    <cellStyle name="Currency 4 4 5 3 3 2" xfId="25768" xr:uid="{30A9D2AE-8C26-40CF-8A0F-9B2E9EDDF486}"/>
    <cellStyle name="Currency 4 4 5 3 4" xfId="19692" xr:uid="{AA7BAC42-3962-4471-B889-F1C079817121}"/>
    <cellStyle name="Currency 4 4 5 4" xfId="6509" xr:uid="{91C614BE-5408-4703-847F-C2C7ADFB2C2E}"/>
    <cellStyle name="Currency 4 4 5 4 2" xfId="9981" xr:uid="{140C05A8-D4F2-4FCF-9926-7CCF756FCFC3}"/>
    <cellStyle name="Currency 4 4 5 4 2 2" xfId="24032" xr:uid="{7FFF6363-A731-442C-BF71-186BFFA44DC5}"/>
    <cellStyle name="Currency 4 4 5 4 3" xfId="12585" xr:uid="{7243A306-58B9-4038-95C4-C521C6E3CCFE}"/>
    <cellStyle name="Currency 4 4 5 4 3 2" xfId="26636" xr:uid="{9BDCB734-E68E-403B-91AA-7C54802296ED}"/>
    <cellStyle name="Currency 4 4 5 4 4" xfId="20560" xr:uid="{6AE63D4D-D3BC-4374-AA4F-7A0E97C15326}"/>
    <cellStyle name="Currency 4 4 5 5" xfId="8245" xr:uid="{D673D151-982D-45A9-B176-07AA3CDFA482}"/>
    <cellStyle name="Currency 4 4 5 5 2" xfId="13453" xr:uid="{0B9979FD-1B65-4F84-A0EC-87F2F155E504}"/>
    <cellStyle name="Currency 4 4 5 5 2 2" xfId="27504" xr:uid="{A0C7AD51-0514-433B-B086-15EAD8AB8E29}"/>
    <cellStyle name="Currency 4 4 5 5 3" xfId="22296" xr:uid="{C79A61F7-E2B9-4B8D-B2B6-9B085F46358C}"/>
    <cellStyle name="Currency 4 4 5 6" xfId="7377" xr:uid="{4E361BDE-7904-4649-8EF8-3648443D8376}"/>
    <cellStyle name="Currency 4 4 5 6 2" xfId="21428" xr:uid="{9BC3828F-4FF4-4B7B-8303-5C0E9D05E956}"/>
    <cellStyle name="Currency 4 4 5 7" xfId="10849" xr:uid="{4704A9B6-150B-4D4C-8A51-B46808DDCB3D}"/>
    <cellStyle name="Currency 4 4 5 7 2" xfId="24900" xr:uid="{1A6854D0-DC10-4DCA-9E22-AF13BA351DFC}"/>
    <cellStyle name="Currency 4 4 5 8" xfId="16545" xr:uid="{DE8927C9-76BD-46CF-B2FE-2B4828BE72C3}"/>
    <cellStyle name="Currency 4 4 6" xfId="4860" xr:uid="{FE3AB771-15E3-4193-827A-EDAC2E39BF36}"/>
    <cellStyle name="Currency 4 4 6 2" xfId="5413" xr:uid="{2F40447A-CBD6-4AA0-93FD-5F242065EE62}"/>
    <cellStyle name="Currency 4 4 6 2 2" xfId="6281" xr:uid="{06E64A1B-C86E-44DC-9D5B-53C6EFDD3AC6}"/>
    <cellStyle name="Currency 4 4 6 2 2 2" xfId="9753" xr:uid="{0A6843AD-3548-42F6-B6C8-E13196E6A5FF}"/>
    <cellStyle name="Currency 4 4 6 2 2 2 2" xfId="23804" xr:uid="{08EA9163-922C-4392-A081-32FE71254B54}"/>
    <cellStyle name="Currency 4 4 6 2 2 3" xfId="12357" xr:uid="{A0AA321E-AA87-49AE-99C0-F7C90C5402E3}"/>
    <cellStyle name="Currency 4 4 6 2 2 3 2" xfId="26408" xr:uid="{4996521F-42AB-4349-87A7-5596D9B449D7}"/>
    <cellStyle name="Currency 4 4 6 2 2 4" xfId="20332" xr:uid="{04EF165C-E2BB-4763-8868-F9EAC4E79081}"/>
    <cellStyle name="Currency 4 4 6 2 3" xfId="7149" xr:uid="{AF7F046E-75D4-42DB-AD52-EB910C7DE0C7}"/>
    <cellStyle name="Currency 4 4 6 2 3 2" xfId="10621" xr:uid="{EADE384B-ACB2-415F-94C7-4C81F663AE0F}"/>
    <cellStyle name="Currency 4 4 6 2 3 2 2" xfId="24672" xr:uid="{0B972762-6724-4E7F-B9CB-ECA504A16908}"/>
    <cellStyle name="Currency 4 4 6 2 3 3" xfId="13225" xr:uid="{B3A6DB83-B369-4E47-9B47-3023891B7BDF}"/>
    <cellStyle name="Currency 4 4 6 2 3 3 2" xfId="27276" xr:uid="{88DF47D2-73EA-4A56-B2F7-A3C1F1EE73EC}"/>
    <cellStyle name="Currency 4 4 6 2 3 4" xfId="21200" xr:uid="{17BFA501-6D09-4D49-8E2D-B1458FE9E917}"/>
    <cellStyle name="Currency 4 4 6 2 4" xfId="8885" xr:uid="{1D4B9D23-7824-46DA-8641-FDAE2798E74E}"/>
    <cellStyle name="Currency 4 4 6 2 4 2" xfId="14093" xr:uid="{CCAD8F35-4A28-4EAE-8A05-69E295E3A7AD}"/>
    <cellStyle name="Currency 4 4 6 2 4 2 2" xfId="28144" xr:uid="{7F845EB0-C48A-45A1-BDDB-F8027E3404AE}"/>
    <cellStyle name="Currency 4 4 6 2 4 3" xfId="22936" xr:uid="{7A574A91-58F8-416E-AD47-E51A87ADDE16}"/>
    <cellStyle name="Currency 4 4 6 2 5" xfId="8017" xr:uid="{7DDF6624-4EB9-4157-AA9D-A044494116B5}"/>
    <cellStyle name="Currency 4 4 6 2 5 2" xfId="22068" xr:uid="{B1DFE54C-92B9-4291-AE07-5E1B0F2CF4D2}"/>
    <cellStyle name="Currency 4 4 6 2 6" xfId="11489" xr:uid="{908250EB-E234-48DF-904A-AF2F622DEB7A}"/>
    <cellStyle name="Currency 4 4 6 2 6 2" xfId="25540" xr:uid="{F913474C-3F98-4F76-9A4F-0D5B3734DEE2}"/>
    <cellStyle name="Currency 4 4 6 2 7" xfId="19464" xr:uid="{4BC23A8D-B86F-42F0-B4A5-45545A86BBFD}"/>
    <cellStyle name="Currency 4 4 6 3" xfId="5847" xr:uid="{F60325E6-92AC-4285-91B8-FE621406672B}"/>
    <cellStyle name="Currency 4 4 6 3 2" xfId="9319" xr:uid="{A49C4053-858A-41B4-931C-9182010B94BC}"/>
    <cellStyle name="Currency 4 4 6 3 2 2" xfId="23370" xr:uid="{FE5DF109-084B-4EEA-9543-1A034C68038F}"/>
    <cellStyle name="Currency 4 4 6 3 3" xfId="11923" xr:uid="{C4DEE277-1046-4C1E-8324-0442E121E86A}"/>
    <cellStyle name="Currency 4 4 6 3 3 2" xfId="25974" xr:uid="{B36EA93A-7932-4025-9890-74E2EF6FCFB7}"/>
    <cellStyle name="Currency 4 4 6 3 4" xfId="19898" xr:uid="{1600487E-A283-4817-B354-F7A278AB22F4}"/>
    <cellStyle name="Currency 4 4 6 4" xfId="6715" xr:uid="{E53949F1-7ABE-4FCB-B584-B37782ADCFF8}"/>
    <cellStyle name="Currency 4 4 6 4 2" xfId="10187" xr:uid="{4A5D8053-3A8E-477B-9ED1-A3B1DE947EF0}"/>
    <cellStyle name="Currency 4 4 6 4 2 2" xfId="24238" xr:uid="{E29D8740-1468-4E82-8D1F-EEE74BE03FAB}"/>
    <cellStyle name="Currency 4 4 6 4 3" xfId="12791" xr:uid="{4E017840-7929-49BF-A0AF-E3E6686183F9}"/>
    <cellStyle name="Currency 4 4 6 4 3 2" xfId="26842" xr:uid="{6FD6865F-6EA8-4D8C-B63F-60937F80666F}"/>
    <cellStyle name="Currency 4 4 6 4 4" xfId="20766" xr:uid="{83A97CA1-8D57-4A98-933A-21AA56B7BA5B}"/>
    <cellStyle name="Currency 4 4 6 5" xfId="8451" xr:uid="{E7BB18B0-09E3-412E-9B00-B28A946DA851}"/>
    <cellStyle name="Currency 4 4 6 5 2" xfId="13659" xr:uid="{BFE942A2-7148-4865-A342-FCC02C863FA2}"/>
    <cellStyle name="Currency 4 4 6 5 2 2" xfId="27710" xr:uid="{14868BD0-969B-4732-903A-64C174C0E159}"/>
    <cellStyle name="Currency 4 4 6 5 3" xfId="22502" xr:uid="{14E6781E-279D-444F-AB8D-2882E634524B}"/>
    <cellStyle name="Currency 4 4 6 6" xfId="7583" xr:uid="{A4631906-6E2F-46E5-9B20-6EB0BB573CE2}"/>
    <cellStyle name="Currency 4 4 6 6 2" xfId="21634" xr:uid="{1AFAD9FD-7CB1-4C87-98B7-FD2AFD6DC3E8}"/>
    <cellStyle name="Currency 4 4 6 7" xfId="11055" xr:uid="{28FE3BF4-266D-4F0B-B1E3-FE4F10B1A7A3}"/>
    <cellStyle name="Currency 4 4 6 7 2" xfId="25106" xr:uid="{A77628BC-31EC-4A58-8242-262122FDC7E2}"/>
    <cellStyle name="Currency 4 4 6 8" xfId="18912" xr:uid="{39802ABD-517F-49FD-A833-95FDD59454D8}"/>
    <cellStyle name="Currency 4 4 7" xfId="5013" xr:uid="{E17FD558-A590-451C-9AF1-C71485F85FE6}"/>
    <cellStyle name="Currency 4 4 7 2" xfId="5881" xr:uid="{90306BA9-AAEE-43E5-976C-61E28660A8F8}"/>
    <cellStyle name="Currency 4 4 7 2 2" xfId="9353" xr:uid="{7B9586BC-DF6B-4780-94D1-448548D9207F}"/>
    <cellStyle name="Currency 4 4 7 2 2 2" xfId="23404" xr:uid="{30C65E45-BE04-477A-BF36-7A23A9B57FE9}"/>
    <cellStyle name="Currency 4 4 7 2 3" xfId="11957" xr:uid="{70EBF1A2-9517-4E2B-B29D-FA1061D6D782}"/>
    <cellStyle name="Currency 4 4 7 2 3 2" xfId="26008" xr:uid="{23F168AA-E3A3-4120-AB9D-B701B00F9CF1}"/>
    <cellStyle name="Currency 4 4 7 2 4" xfId="19932" xr:uid="{499E03AA-BFF4-43E9-999C-C75D3DBFF8D9}"/>
    <cellStyle name="Currency 4 4 7 3" xfId="6749" xr:uid="{74B776B9-D269-42A3-A4EC-8AD08AC97C2C}"/>
    <cellStyle name="Currency 4 4 7 3 2" xfId="10221" xr:uid="{0966012F-D717-4D4E-AC36-0437D52CDA81}"/>
    <cellStyle name="Currency 4 4 7 3 2 2" xfId="24272" xr:uid="{FEC72286-9AC9-4E10-90F8-06EDD794A02A}"/>
    <cellStyle name="Currency 4 4 7 3 3" xfId="12825" xr:uid="{8501B4F0-BF36-4023-87DB-DA5623C8407B}"/>
    <cellStyle name="Currency 4 4 7 3 3 2" xfId="26876" xr:uid="{4BD66FFA-4CFB-49BF-BE05-68768FA9E6A9}"/>
    <cellStyle name="Currency 4 4 7 3 4" xfId="20800" xr:uid="{FC71C3FF-E433-473D-963C-EB2A5B612124}"/>
    <cellStyle name="Currency 4 4 7 4" xfId="8485" xr:uid="{831F0CCB-27F4-47D5-A185-F7B016C61B0C}"/>
    <cellStyle name="Currency 4 4 7 4 2" xfId="13693" xr:uid="{4B3A8BB8-5633-4E55-B4D4-A794A7012052}"/>
    <cellStyle name="Currency 4 4 7 4 2 2" xfId="27744" xr:uid="{205F9F63-85EA-4D66-BBDB-84FFDF18010C}"/>
    <cellStyle name="Currency 4 4 7 4 3" xfId="22536" xr:uid="{556C4340-83E5-46F2-A59A-B11AE00B4C73}"/>
    <cellStyle name="Currency 4 4 7 5" xfId="7617" xr:uid="{7F4B3913-4C3A-413A-B415-B141F4D504D5}"/>
    <cellStyle name="Currency 4 4 7 5 2" xfId="21668" xr:uid="{D22032C3-4BB9-4FF7-8E4A-0941F65CBD71}"/>
    <cellStyle name="Currency 4 4 7 6" xfId="11089" xr:uid="{0C840611-DAEF-478A-9366-1EFECA487E61}"/>
    <cellStyle name="Currency 4 4 7 6 2" xfId="25140" xr:uid="{598AAE2B-DD78-4869-B6A1-D11C6B9460E0}"/>
    <cellStyle name="Currency 4 4 7 7" xfId="19064" xr:uid="{8E00D9E6-F630-447A-867E-2820CEE9021F}"/>
    <cellStyle name="Currency 4 4 8" xfId="5447" xr:uid="{F5C5DAC8-6FA8-402F-8EC5-54A8A143CF32}"/>
    <cellStyle name="Currency 4 4 8 2" xfId="8919" xr:uid="{DF23654B-DC07-4E64-AE5B-2094F3FDFF4B}"/>
    <cellStyle name="Currency 4 4 8 2 2" xfId="22970" xr:uid="{44322123-A467-487F-B8FD-C167625FFC21}"/>
    <cellStyle name="Currency 4 4 8 3" xfId="11523" xr:uid="{90417D2A-44C2-4196-87D6-170331E5DC65}"/>
    <cellStyle name="Currency 4 4 8 3 2" xfId="25574" xr:uid="{11C90891-1D8B-45D2-A0FE-89DBF54EE9DD}"/>
    <cellStyle name="Currency 4 4 8 4" xfId="19498" xr:uid="{AF61D5E8-F4D3-40D1-9A59-B06084DA45F7}"/>
    <cellStyle name="Currency 4 4 9" xfId="6315" xr:uid="{10E7ADBC-93AD-4BC3-B90B-36A1EF516D56}"/>
    <cellStyle name="Currency 4 4 9 2" xfId="9787" xr:uid="{6237CD81-3BD1-4EA2-B942-D5773921C4C2}"/>
    <cellStyle name="Currency 4 4 9 2 2" xfId="23838" xr:uid="{428C16C4-9D90-413B-AB7C-416535307F5B}"/>
    <cellStyle name="Currency 4 4 9 3" xfId="12391" xr:uid="{1D28E225-2106-4279-80F4-D7392513A8C0}"/>
    <cellStyle name="Currency 4 4 9 3 2" xfId="26442" xr:uid="{1DF72B78-366A-4C42-8DF0-EE2F80055E0C}"/>
    <cellStyle name="Currency 4 4 9 4" xfId="20366" xr:uid="{C85098EF-8942-4EFD-9F7F-A3555FC46D75}"/>
    <cellStyle name="Currency 4 5" xfId="468" xr:uid="{4E97C757-FCD0-47A9-ADAC-97BEB87AD81C}"/>
    <cellStyle name="Currency 4 5 10" xfId="10670" xr:uid="{CFC3563E-FBF6-4DF2-82DF-3A87203C3710}"/>
    <cellStyle name="Currency 4 5 10 2" xfId="24721" xr:uid="{1A220216-BEDA-461D-9510-44880F5393E5}"/>
    <cellStyle name="Currency 4 5 11" xfId="14523" xr:uid="{ECEC3D7B-C1C9-4B53-B3DC-3A317439CC40}"/>
    <cellStyle name="Currency 4 5 2" xfId="1401" xr:uid="{F80B637A-741D-4542-A7B7-E7B46FAE2E3E}"/>
    <cellStyle name="Currency 4 5 2 2" xfId="3591" xr:uid="{C9B18733-FCCB-4B1A-8596-4B1BD1971ABA}"/>
    <cellStyle name="Currency 4 5 2 2 2" xfId="5303" xr:uid="{B363FA74-3386-4AA4-8C91-B7441D9E65F7}"/>
    <cellStyle name="Currency 4 5 2 2 2 2" xfId="6171" xr:uid="{33840EA9-E2D5-4FB4-870A-9441E2C7AEC7}"/>
    <cellStyle name="Currency 4 5 2 2 2 2 2" xfId="9643" xr:uid="{253BA4ED-2FBA-4904-B63E-466C99E46FD9}"/>
    <cellStyle name="Currency 4 5 2 2 2 2 2 2" xfId="23694" xr:uid="{D41F3FB1-AD85-4DBF-A03A-CB3E3C3D9699}"/>
    <cellStyle name="Currency 4 5 2 2 2 2 3" xfId="12247" xr:uid="{DF357FA4-C81D-4D63-AE1F-606090BFEC11}"/>
    <cellStyle name="Currency 4 5 2 2 2 2 3 2" xfId="26298" xr:uid="{68D9E77E-CBEA-4B67-BB4A-A31B366B86D6}"/>
    <cellStyle name="Currency 4 5 2 2 2 2 4" xfId="20222" xr:uid="{F73757AD-45FA-4E58-95E1-B7C5E159B094}"/>
    <cellStyle name="Currency 4 5 2 2 2 3" xfId="7039" xr:uid="{8DFEE19C-66E5-401C-A555-462E9C62E453}"/>
    <cellStyle name="Currency 4 5 2 2 2 3 2" xfId="10511" xr:uid="{25719D5C-A415-4BE4-840B-B5D5BA961C00}"/>
    <cellStyle name="Currency 4 5 2 2 2 3 2 2" xfId="24562" xr:uid="{781EF1B2-4202-4DA2-9F00-9EDE36529534}"/>
    <cellStyle name="Currency 4 5 2 2 2 3 3" xfId="13115" xr:uid="{349A563A-92A6-4131-8740-20B43A9F1ED2}"/>
    <cellStyle name="Currency 4 5 2 2 2 3 3 2" xfId="27166" xr:uid="{809CFA79-22AD-481F-A4EF-8B7C87C5E9F2}"/>
    <cellStyle name="Currency 4 5 2 2 2 3 4" xfId="21090" xr:uid="{6D4F0631-7B4A-4B81-8258-8C62F2BC1BFE}"/>
    <cellStyle name="Currency 4 5 2 2 2 4" xfId="8775" xr:uid="{59EE9EBD-1F50-4304-A207-7D849501B29A}"/>
    <cellStyle name="Currency 4 5 2 2 2 4 2" xfId="13983" xr:uid="{871EF426-211C-4576-8579-43FB4054B318}"/>
    <cellStyle name="Currency 4 5 2 2 2 4 2 2" xfId="28034" xr:uid="{6370564F-D194-4AFB-9FD8-E22C4BF1CC75}"/>
    <cellStyle name="Currency 4 5 2 2 2 4 3" xfId="22826" xr:uid="{9C84074C-21DF-43CC-B08B-8B278EB92606}"/>
    <cellStyle name="Currency 4 5 2 2 2 5" xfId="7907" xr:uid="{21CEF2A8-C76E-40C8-92CA-D537AD71B8C2}"/>
    <cellStyle name="Currency 4 5 2 2 2 5 2" xfId="21958" xr:uid="{59CBA369-1FBF-4648-A8D5-4161B855A4A8}"/>
    <cellStyle name="Currency 4 5 2 2 2 6" xfId="11379" xr:uid="{153D2721-80C4-4CC9-A9E1-4A63FAA05C70}"/>
    <cellStyle name="Currency 4 5 2 2 2 6 2" xfId="25430" xr:uid="{C4B221C5-AB7A-4963-B357-60CBF1D492A9}"/>
    <cellStyle name="Currency 4 5 2 2 2 7" xfId="19354" xr:uid="{32685306-A510-439E-A97B-6FB522E2C965}"/>
    <cellStyle name="Currency 4 5 2 2 3" xfId="5737" xr:uid="{8BA8F4A1-1808-4F34-851E-0034FAB72294}"/>
    <cellStyle name="Currency 4 5 2 2 3 2" xfId="9209" xr:uid="{2F0B5FE8-5428-4894-B7C8-20B08A36CFDE}"/>
    <cellStyle name="Currency 4 5 2 2 3 2 2" xfId="23260" xr:uid="{569B99C6-5F17-4EBC-B3AD-ADE71BD8485F}"/>
    <cellStyle name="Currency 4 5 2 2 3 3" xfId="11813" xr:uid="{4667DB6E-E3D9-427D-950B-01ED866025D9}"/>
    <cellStyle name="Currency 4 5 2 2 3 3 2" xfId="25864" xr:uid="{A79A1339-9758-4D71-A4B1-D627B408B0C7}"/>
    <cellStyle name="Currency 4 5 2 2 3 4" xfId="19788" xr:uid="{DED24251-8F88-4891-B69B-EDE7A9F9FD15}"/>
    <cellStyle name="Currency 4 5 2 2 4" xfId="6605" xr:uid="{BFDE60F9-87B5-430F-B486-06F019F1C333}"/>
    <cellStyle name="Currency 4 5 2 2 4 2" xfId="10077" xr:uid="{1E284441-1D62-4DD1-AEBE-5A24AD7A4A39}"/>
    <cellStyle name="Currency 4 5 2 2 4 2 2" xfId="24128" xr:uid="{56068118-8A36-4DB0-8FB5-76C8B92C4E5E}"/>
    <cellStyle name="Currency 4 5 2 2 4 3" xfId="12681" xr:uid="{3CFBCDB7-DFDC-4A4E-B663-14573517D0DC}"/>
    <cellStyle name="Currency 4 5 2 2 4 3 2" xfId="26732" xr:uid="{9F67A8D8-5A30-45FE-8B6D-F2D9CD5CDCF4}"/>
    <cellStyle name="Currency 4 5 2 2 4 4" xfId="20656" xr:uid="{7B378087-5106-48BD-AB90-8EAEF844B1C0}"/>
    <cellStyle name="Currency 4 5 2 2 5" xfId="8341" xr:uid="{EF05D770-F935-4B4E-9770-171632E9E19C}"/>
    <cellStyle name="Currency 4 5 2 2 5 2" xfId="13549" xr:uid="{BBEBC0C7-C66A-410A-9AAE-081EF318EFC3}"/>
    <cellStyle name="Currency 4 5 2 2 5 2 2" xfId="27600" xr:uid="{DF0D04F8-DEDD-47B4-82E9-3434C9DCF2E6}"/>
    <cellStyle name="Currency 4 5 2 2 5 3" xfId="22392" xr:uid="{77A7E3AA-67A6-4C7F-BEA2-D059F9A6C77D}"/>
    <cellStyle name="Currency 4 5 2 2 6" xfId="7473" xr:uid="{7028D640-CE77-475A-91EB-85AEFC9C0FF9}"/>
    <cellStyle name="Currency 4 5 2 2 6 2" xfId="21524" xr:uid="{3D9D9148-6E52-4CEE-88C2-5F529A54FE01}"/>
    <cellStyle name="Currency 4 5 2 2 7" xfId="10945" xr:uid="{7D4D5ACA-F860-4ACA-AC31-DBD29072CBFE}"/>
    <cellStyle name="Currency 4 5 2 2 7 2" xfId="24996" xr:uid="{5884312D-13DF-4BA9-9099-4060826801F6}"/>
    <cellStyle name="Currency 4 5 2 2 8" xfId="17644" xr:uid="{7FCB113D-8979-47DB-981E-EC4E4C7E65B4}"/>
    <cellStyle name="Currency 4 5 2 3" xfId="5112" xr:uid="{0315C209-2157-4295-B194-C4B892408305}"/>
    <cellStyle name="Currency 4 5 2 3 2" xfId="5980" xr:uid="{22D1146B-E706-4440-913F-17EBF0E933C5}"/>
    <cellStyle name="Currency 4 5 2 3 2 2" xfId="9452" xr:uid="{D550E22B-1A62-409C-BD31-3EC3E5740FF7}"/>
    <cellStyle name="Currency 4 5 2 3 2 2 2" xfId="23503" xr:uid="{24D03F1A-6FBA-47F5-B3E3-A5E3CE0C1433}"/>
    <cellStyle name="Currency 4 5 2 3 2 3" xfId="12056" xr:uid="{806F0057-CB04-4BA3-96EA-892B0746529D}"/>
    <cellStyle name="Currency 4 5 2 3 2 3 2" xfId="26107" xr:uid="{4DE17D0C-8858-445D-9890-FCF7644CE285}"/>
    <cellStyle name="Currency 4 5 2 3 2 4" xfId="20031" xr:uid="{39487AC5-1DF4-4067-BD1A-26A37767FA8D}"/>
    <cellStyle name="Currency 4 5 2 3 3" xfId="6848" xr:uid="{4EA14C87-5C92-4076-8A4C-C288689C8C43}"/>
    <cellStyle name="Currency 4 5 2 3 3 2" xfId="10320" xr:uid="{E5524324-CD60-49B2-85A7-FA1A255953AC}"/>
    <cellStyle name="Currency 4 5 2 3 3 2 2" xfId="24371" xr:uid="{A8FB7189-2152-40F0-9363-CFD0D56826B3}"/>
    <cellStyle name="Currency 4 5 2 3 3 3" xfId="12924" xr:uid="{4C983CBD-8D76-46F3-9AE2-1E0FCEEB8136}"/>
    <cellStyle name="Currency 4 5 2 3 3 3 2" xfId="26975" xr:uid="{D4E57E31-7C72-4E9C-A2C5-02B2BCCCEE82}"/>
    <cellStyle name="Currency 4 5 2 3 3 4" xfId="20899" xr:uid="{9B21353A-AAE8-41FD-841B-78A8118EDA13}"/>
    <cellStyle name="Currency 4 5 2 3 4" xfId="8584" xr:uid="{8C39E439-BE8F-4FF8-A3D3-AA676D7D4907}"/>
    <cellStyle name="Currency 4 5 2 3 4 2" xfId="13792" xr:uid="{E3C960FB-7C0C-4767-B4C0-44B51DF56977}"/>
    <cellStyle name="Currency 4 5 2 3 4 2 2" xfId="27843" xr:uid="{596F082C-58B5-4EE7-BFFE-41AC21E5FC92}"/>
    <cellStyle name="Currency 4 5 2 3 4 3" xfId="22635" xr:uid="{1E22253F-DACB-44C1-B818-F9CEB0947A1C}"/>
    <cellStyle name="Currency 4 5 2 3 5" xfId="7716" xr:uid="{53A6B21E-BEF0-4780-8FFE-C422777629D1}"/>
    <cellStyle name="Currency 4 5 2 3 5 2" xfId="21767" xr:uid="{62F01FD1-ED06-41A2-969E-21B1640D334B}"/>
    <cellStyle name="Currency 4 5 2 3 6" xfId="11188" xr:uid="{BCAC0AA5-1E39-44FC-BF53-4E5D2AC0EEA1}"/>
    <cellStyle name="Currency 4 5 2 3 6 2" xfId="25239" xr:uid="{56D81F85-0242-4409-8DDF-6AA23DC3C382}"/>
    <cellStyle name="Currency 4 5 2 3 7" xfId="19163" xr:uid="{EB80FEA8-013A-450A-ACBE-53AE54CA997F}"/>
    <cellStyle name="Currency 4 5 2 4" xfId="5546" xr:uid="{2E187782-2CD6-4562-AB6E-AC2C65FE7083}"/>
    <cellStyle name="Currency 4 5 2 4 2" xfId="9018" xr:uid="{2D3D0F40-DB5C-4CE6-8EE1-E9A0D0B94C9B}"/>
    <cellStyle name="Currency 4 5 2 4 2 2" xfId="23069" xr:uid="{A176B6A9-039D-4E5F-93AD-F85D36E8BE85}"/>
    <cellStyle name="Currency 4 5 2 4 3" xfId="11622" xr:uid="{6B0ACA13-0C17-4A73-8CE1-1717733B4C2A}"/>
    <cellStyle name="Currency 4 5 2 4 3 2" xfId="25673" xr:uid="{AE707520-A5AA-462D-99C5-0C3F592152B9}"/>
    <cellStyle name="Currency 4 5 2 4 4" xfId="19597" xr:uid="{6C2F130D-795F-419A-889C-875C0AEB5ACB}"/>
    <cellStyle name="Currency 4 5 2 5" xfId="6414" xr:uid="{6785FCFE-245B-4A3D-B86A-7336C7DCDCBD}"/>
    <cellStyle name="Currency 4 5 2 5 2" xfId="9886" xr:uid="{32587822-0389-4FD2-B836-1459610DC49A}"/>
    <cellStyle name="Currency 4 5 2 5 2 2" xfId="23937" xr:uid="{277D8C1D-6E96-4015-9275-76A28E750EEB}"/>
    <cellStyle name="Currency 4 5 2 5 3" xfId="12490" xr:uid="{B2658215-7B3A-49FA-B8CB-6A561A098F3F}"/>
    <cellStyle name="Currency 4 5 2 5 3 2" xfId="26541" xr:uid="{704D8E90-6E07-4A7D-A1D0-6A49079AE902}"/>
    <cellStyle name="Currency 4 5 2 5 4" xfId="20465" xr:uid="{50528240-7017-4B3B-BCFB-2F2919CFDF5E}"/>
    <cellStyle name="Currency 4 5 2 6" xfId="8150" xr:uid="{50BBE9B2-24D4-4043-A15D-BD293019F831}"/>
    <cellStyle name="Currency 4 5 2 6 2" xfId="13358" xr:uid="{7EFE3D56-0D9D-419F-8932-384B350B80C7}"/>
    <cellStyle name="Currency 4 5 2 6 2 2" xfId="27409" xr:uid="{3666A040-19FA-49EC-8688-AFDCE549C75D}"/>
    <cellStyle name="Currency 4 5 2 6 3" xfId="22201" xr:uid="{28E45BEA-3DD9-41C9-A565-87E3580B32A6}"/>
    <cellStyle name="Currency 4 5 2 7" xfId="7282" xr:uid="{719182AE-3CC3-454E-BE6A-8AE1B53F5DD5}"/>
    <cellStyle name="Currency 4 5 2 7 2" xfId="21333" xr:uid="{BF969FED-7966-4EDB-98C4-C01F77E85F39}"/>
    <cellStyle name="Currency 4 5 2 8" xfId="10754" xr:uid="{2CE02763-61C7-4E8A-9C53-17FB31A70E73}"/>
    <cellStyle name="Currency 4 5 2 8 2" xfId="24805" xr:uid="{D4F7475A-81CC-4593-B3E7-9D384547E943}"/>
    <cellStyle name="Currency 4 5 2 9" xfId="15450" xr:uid="{0516359E-CEF4-4E18-B6BB-E9B9C0AE9191}"/>
    <cellStyle name="Currency 4 5 3" xfId="2667" xr:uid="{9556CEEB-80B6-4C58-88AD-DD25795AE569}"/>
    <cellStyle name="Currency 4 5 3 2" xfId="5222" xr:uid="{C96F42E6-792E-468E-967E-CA51F7FBE2F1}"/>
    <cellStyle name="Currency 4 5 3 2 2" xfId="6090" xr:uid="{6AB1B9D2-BE97-4677-93D6-3E7FD75FB336}"/>
    <cellStyle name="Currency 4 5 3 2 2 2" xfId="9562" xr:uid="{394B8E7A-DCB1-4010-8821-6E67F4EE0C62}"/>
    <cellStyle name="Currency 4 5 3 2 2 2 2" xfId="23613" xr:uid="{300CCF88-650B-4395-9374-03D3336858CC}"/>
    <cellStyle name="Currency 4 5 3 2 2 3" xfId="12166" xr:uid="{2E2F4E33-278E-4162-9E26-95342836CFE2}"/>
    <cellStyle name="Currency 4 5 3 2 2 3 2" xfId="26217" xr:uid="{B3120646-29CC-4430-9ADC-F954D54BD2F3}"/>
    <cellStyle name="Currency 4 5 3 2 2 4" xfId="20141" xr:uid="{CCA3C389-75FA-41F8-BDB7-2BBE8DF6A993}"/>
    <cellStyle name="Currency 4 5 3 2 3" xfId="6958" xr:uid="{1A98C5F1-60B0-4F50-9811-C97B0CFB195F}"/>
    <cellStyle name="Currency 4 5 3 2 3 2" xfId="10430" xr:uid="{109E1D30-612C-4C23-8B53-9B5C92E7D629}"/>
    <cellStyle name="Currency 4 5 3 2 3 2 2" xfId="24481" xr:uid="{7F421492-81CE-458F-ABB1-5AF293CB5C6D}"/>
    <cellStyle name="Currency 4 5 3 2 3 3" xfId="13034" xr:uid="{6A09DE78-7055-4DA5-8BC4-1A01F2728444}"/>
    <cellStyle name="Currency 4 5 3 2 3 3 2" xfId="27085" xr:uid="{0B38DC16-1798-4665-93AC-E20F808B8775}"/>
    <cellStyle name="Currency 4 5 3 2 3 4" xfId="21009" xr:uid="{1F257D8F-43B8-4AF1-AC22-310CC7F42316}"/>
    <cellStyle name="Currency 4 5 3 2 4" xfId="8694" xr:uid="{84534959-57B5-43B6-9253-F96565414F82}"/>
    <cellStyle name="Currency 4 5 3 2 4 2" xfId="13902" xr:uid="{D6E4DC89-0C9A-460A-9BC9-D034AAD15CF4}"/>
    <cellStyle name="Currency 4 5 3 2 4 2 2" xfId="27953" xr:uid="{726B0458-129D-49DF-BD68-0F06EFC8447C}"/>
    <cellStyle name="Currency 4 5 3 2 4 3" xfId="22745" xr:uid="{99CA952F-9762-43FC-A5F8-F58F48610EEC}"/>
    <cellStyle name="Currency 4 5 3 2 5" xfId="7826" xr:uid="{5F7E412F-CE64-46E5-B0AC-8A36B00B61C3}"/>
    <cellStyle name="Currency 4 5 3 2 5 2" xfId="21877" xr:uid="{7DB1C89A-9D22-43EB-8FF5-2341E1E141EC}"/>
    <cellStyle name="Currency 4 5 3 2 6" xfId="11298" xr:uid="{8D6E70DA-0BA7-4A61-8049-7BE6BB48C7BF}"/>
    <cellStyle name="Currency 4 5 3 2 6 2" xfId="25349" xr:uid="{544C3195-5238-4D6A-B957-E9941D793C71}"/>
    <cellStyle name="Currency 4 5 3 2 7" xfId="19273" xr:uid="{541C42F1-3034-404A-9C35-6F80DCFFFD78}"/>
    <cellStyle name="Currency 4 5 3 3" xfId="5656" xr:uid="{AB7D8A3B-8FC8-49A5-BC5C-9D07C85361B8}"/>
    <cellStyle name="Currency 4 5 3 3 2" xfId="9128" xr:uid="{EE44B05D-3760-4436-B48A-0AB4D964A4D3}"/>
    <cellStyle name="Currency 4 5 3 3 2 2" xfId="23179" xr:uid="{59D1612D-B918-4C31-B649-CB0E7C11CD53}"/>
    <cellStyle name="Currency 4 5 3 3 3" xfId="11732" xr:uid="{B561045B-A414-49FA-9F25-8CDFDB5B292B}"/>
    <cellStyle name="Currency 4 5 3 3 3 2" xfId="25783" xr:uid="{7D62AD58-8EDB-4578-9A4E-56B9B5717A57}"/>
    <cellStyle name="Currency 4 5 3 3 4" xfId="19707" xr:uid="{BDAC2947-ECC8-4F60-BA22-819C692B31EB}"/>
    <cellStyle name="Currency 4 5 3 4" xfId="6524" xr:uid="{88D7D014-3AC1-4D8F-A1CD-2DED1EAF115E}"/>
    <cellStyle name="Currency 4 5 3 4 2" xfId="9996" xr:uid="{DF42C230-C6DC-4593-8FA3-9F9EAB8A3BE1}"/>
    <cellStyle name="Currency 4 5 3 4 2 2" xfId="24047" xr:uid="{ABC8D592-7507-4737-A239-A02894E9DF46}"/>
    <cellStyle name="Currency 4 5 3 4 3" xfId="12600" xr:uid="{FF0E6A0A-7E5F-47CE-A6D7-02FC9DAF5A68}"/>
    <cellStyle name="Currency 4 5 3 4 3 2" xfId="26651" xr:uid="{168AAEB1-B2AA-4E8A-8F9B-37FD344816B3}"/>
    <cellStyle name="Currency 4 5 3 4 4" xfId="20575" xr:uid="{16720DB6-007D-4D6C-96F8-1D465E6AC52D}"/>
    <cellStyle name="Currency 4 5 3 5" xfId="8260" xr:uid="{BBC4165C-03F9-460E-9BDB-2FD8D2A1336E}"/>
    <cellStyle name="Currency 4 5 3 5 2" xfId="13468" xr:uid="{6EDE5E22-E656-4D14-B8D3-A5102D79CB72}"/>
    <cellStyle name="Currency 4 5 3 5 2 2" xfId="27519" xr:uid="{75496315-5679-41B0-80A1-55F5A83FB8C6}"/>
    <cellStyle name="Currency 4 5 3 5 3" xfId="22311" xr:uid="{7D2AEC0F-A142-4519-A47C-538D6CF4A3B8}"/>
    <cellStyle name="Currency 4 5 3 6" xfId="7392" xr:uid="{98752BB6-B450-4516-A77A-4598EEECA204}"/>
    <cellStyle name="Currency 4 5 3 6 2" xfId="21443" xr:uid="{638358F5-19E6-4010-81AB-7D81405AED34}"/>
    <cellStyle name="Currency 4 5 3 7" xfId="10864" xr:uid="{2778600D-52E8-48B4-A230-68B74C34F938}"/>
    <cellStyle name="Currency 4 5 3 7 2" xfId="24915" xr:uid="{A3FF4ADC-5CFD-403C-8FDC-00113DB785C7}"/>
    <cellStyle name="Currency 4 5 3 8" xfId="16718" xr:uid="{59EE1FBF-1C40-413A-858E-7578A7F71320}"/>
    <cellStyle name="Currency 4 5 4" xfId="4686" xr:uid="{EFBCD6EF-2610-4955-92B1-26C829FA804E}"/>
    <cellStyle name="Currency 4 5 4 2" xfId="5398" xr:uid="{301FA8B9-655A-406B-A2B2-3F9AFE72389E}"/>
    <cellStyle name="Currency 4 5 4 2 2" xfId="6266" xr:uid="{CE756E2D-3BF3-459B-9B8C-F46250E8E36D}"/>
    <cellStyle name="Currency 4 5 4 2 2 2" xfId="9738" xr:uid="{50C620AD-CBEE-4C6D-AADD-7BE7BE870689}"/>
    <cellStyle name="Currency 4 5 4 2 2 2 2" xfId="23789" xr:uid="{EE0918B2-8CD8-49F1-864A-E70FAB257BCC}"/>
    <cellStyle name="Currency 4 5 4 2 2 3" xfId="12342" xr:uid="{08A510E0-2D56-46F6-B892-3C2DBB771F47}"/>
    <cellStyle name="Currency 4 5 4 2 2 3 2" xfId="26393" xr:uid="{745F5F2E-8985-473C-BC5C-547B5B54709C}"/>
    <cellStyle name="Currency 4 5 4 2 2 4" xfId="20317" xr:uid="{3399A37F-EBAC-46D5-BF53-9623B91E4DFD}"/>
    <cellStyle name="Currency 4 5 4 2 3" xfId="7134" xr:uid="{ACF3A3ED-A8BF-4209-81CC-7382A03AA34D}"/>
    <cellStyle name="Currency 4 5 4 2 3 2" xfId="10606" xr:uid="{D793093B-AC95-48E6-A9C1-CC3DAA5C9432}"/>
    <cellStyle name="Currency 4 5 4 2 3 2 2" xfId="24657" xr:uid="{920A1BB1-F67F-4B4F-9D9C-D0D9633E9571}"/>
    <cellStyle name="Currency 4 5 4 2 3 3" xfId="13210" xr:uid="{A537FCC0-56AE-41CE-B544-F207487B17D8}"/>
    <cellStyle name="Currency 4 5 4 2 3 3 2" xfId="27261" xr:uid="{5C70D1F0-FEE4-4315-9695-FACB39A38428}"/>
    <cellStyle name="Currency 4 5 4 2 3 4" xfId="21185" xr:uid="{927027D9-4659-443A-B82B-DCB02AB414DB}"/>
    <cellStyle name="Currency 4 5 4 2 4" xfId="8870" xr:uid="{714598A4-B1EF-49AA-A173-B0961F65947D}"/>
    <cellStyle name="Currency 4 5 4 2 4 2" xfId="14078" xr:uid="{5923B1D5-7B85-4A8C-AD60-D06CE0FB45DE}"/>
    <cellStyle name="Currency 4 5 4 2 4 2 2" xfId="28129" xr:uid="{7D6037ED-6DED-42BA-82C8-ED9EBA321C00}"/>
    <cellStyle name="Currency 4 5 4 2 4 3" xfId="22921" xr:uid="{EC8BAEEA-BEDE-4D43-962E-611DE7BEF3D8}"/>
    <cellStyle name="Currency 4 5 4 2 5" xfId="8002" xr:uid="{32159526-6F5C-4629-B457-933F9824E2B7}"/>
    <cellStyle name="Currency 4 5 4 2 5 2" xfId="22053" xr:uid="{06AE3941-2285-4677-B530-CB696226DF72}"/>
    <cellStyle name="Currency 4 5 4 2 6" xfId="11474" xr:uid="{EEACD8DF-C87E-4C2E-BE97-C4494AFE4FF9}"/>
    <cellStyle name="Currency 4 5 4 2 6 2" xfId="25525" xr:uid="{B174007A-E6FA-4C9D-A1EF-6A85BF1B2C4B}"/>
    <cellStyle name="Currency 4 5 4 2 7" xfId="19449" xr:uid="{1B6D75E4-9B9F-4BFC-8F29-806EA47D3351}"/>
    <cellStyle name="Currency 4 5 4 3" xfId="5832" xr:uid="{E348170E-A282-485A-AEF9-83A245F64A6F}"/>
    <cellStyle name="Currency 4 5 4 3 2" xfId="9304" xr:uid="{8845631B-E754-4F70-9586-C85914F61B46}"/>
    <cellStyle name="Currency 4 5 4 3 2 2" xfId="23355" xr:uid="{6E930173-C205-4277-9299-36BA1BBA9FB0}"/>
    <cellStyle name="Currency 4 5 4 3 3" xfId="11908" xr:uid="{8C86B74A-9712-4DAB-92E4-CEB439F3F5C3}"/>
    <cellStyle name="Currency 4 5 4 3 3 2" xfId="25959" xr:uid="{785F148C-E062-4A21-84A6-899420B4B13D}"/>
    <cellStyle name="Currency 4 5 4 3 4" xfId="19883" xr:uid="{23BC7F31-0093-43C9-BC5F-452DBEB7A484}"/>
    <cellStyle name="Currency 4 5 4 4" xfId="6700" xr:uid="{60FD8CD4-8994-4B91-B04A-AE61AABA4D91}"/>
    <cellStyle name="Currency 4 5 4 4 2" xfId="10172" xr:uid="{540EB356-2D4F-4D26-AF28-53246409333F}"/>
    <cellStyle name="Currency 4 5 4 4 2 2" xfId="24223" xr:uid="{CB4A7B0D-47EE-4FD0-A8A0-7617DD4734F9}"/>
    <cellStyle name="Currency 4 5 4 4 3" xfId="12776" xr:uid="{AFB57440-AA78-4C57-9122-938F35A976BB}"/>
    <cellStyle name="Currency 4 5 4 4 3 2" xfId="26827" xr:uid="{2A5E6A44-DC89-403D-B56E-DC78CE9F45AE}"/>
    <cellStyle name="Currency 4 5 4 4 4" xfId="20751" xr:uid="{D389BD9E-3705-421E-BB6B-7C9BAC9D3382}"/>
    <cellStyle name="Currency 4 5 4 5" xfId="8436" xr:uid="{212EA5F4-60F9-4DED-8298-E52C8A339393}"/>
    <cellStyle name="Currency 4 5 4 5 2" xfId="13644" xr:uid="{9FB40958-0999-4FAA-B490-79308985B1B4}"/>
    <cellStyle name="Currency 4 5 4 5 2 2" xfId="27695" xr:uid="{1EEA7222-0B9C-4D55-B190-85CABBB31B09}"/>
    <cellStyle name="Currency 4 5 4 5 3" xfId="22487" xr:uid="{B297AC4F-51B5-4583-922E-9432914C5B5C}"/>
    <cellStyle name="Currency 4 5 4 6" xfId="7568" xr:uid="{27626763-F4C0-467E-94F5-FF21F33460E9}"/>
    <cellStyle name="Currency 4 5 4 6 2" xfId="21619" xr:uid="{094CA343-8BC3-4F74-BA28-8BFCB612F814}"/>
    <cellStyle name="Currency 4 5 4 7" xfId="11040" xr:uid="{DEDDF397-6053-4B65-A9E2-5D58ED16D5F8}"/>
    <cellStyle name="Currency 4 5 4 7 2" xfId="25091" xr:uid="{8DE7A89E-B744-4FBF-9F02-BF0E53BFF273}"/>
    <cellStyle name="Currency 4 5 4 8" xfId="18738" xr:uid="{F6FFC0C7-8096-49F4-BF49-8BC8ACC2DCF4}"/>
    <cellStyle name="Currency 4 5 5" xfId="5028" xr:uid="{91BEE330-144A-46E3-BD5F-9CBE10D1A95E}"/>
    <cellStyle name="Currency 4 5 5 2" xfId="5896" xr:uid="{96708583-EDC0-4E84-AB74-E81B1740BFBD}"/>
    <cellStyle name="Currency 4 5 5 2 2" xfId="9368" xr:uid="{7E769802-3502-4684-83DF-59EC5A734769}"/>
    <cellStyle name="Currency 4 5 5 2 2 2" xfId="23419" xr:uid="{1BFD85A8-E968-48AC-9C2E-01927E1424CC}"/>
    <cellStyle name="Currency 4 5 5 2 3" xfId="11972" xr:uid="{182C2DD5-904B-472A-AC91-F3125FAB5A20}"/>
    <cellStyle name="Currency 4 5 5 2 3 2" xfId="26023" xr:uid="{2E9D8846-69D3-42DF-A468-59039B6887DD}"/>
    <cellStyle name="Currency 4 5 5 2 4" xfId="19947" xr:uid="{57D805BA-CAE7-4355-903D-720F0FA18D26}"/>
    <cellStyle name="Currency 4 5 5 3" xfId="6764" xr:uid="{18FD00C4-4798-44C3-8DBE-EB82FBF4D406}"/>
    <cellStyle name="Currency 4 5 5 3 2" xfId="10236" xr:uid="{5FA96795-FC68-4726-A52D-68009F62EE2D}"/>
    <cellStyle name="Currency 4 5 5 3 2 2" xfId="24287" xr:uid="{E576ACBF-2052-4D57-9FAC-64AB74672A63}"/>
    <cellStyle name="Currency 4 5 5 3 3" xfId="12840" xr:uid="{CF769BCB-BD67-4574-82CA-186217BC0C20}"/>
    <cellStyle name="Currency 4 5 5 3 3 2" xfId="26891" xr:uid="{9D929B50-2AAA-4E24-826F-D753AADF836D}"/>
    <cellStyle name="Currency 4 5 5 3 4" xfId="20815" xr:uid="{788F58A8-5751-4C7B-B6BC-AC0C5468BC95}"/>
    <cellStyle name="Currency 4 5 5 4" xfId="8500" xr:uid="{7A50E5E3-3A9F-4FB7-936B-723F77A467E1}"/>
    <cellStyle name="Currency 4 5 5 4 2" xfId="13708" xr:uid="{0FCB9385-43A7-4F7D-A561-A0F66151480A}"/>
    <cellStyle name="Currency 4 5 5 4 2 2" xfId="27759" xr:uid="{F33AA118-10C1-4EEC-9A81-945169D56392}"/>
    <cellStyle name="Currency 4 5 5 4 3" xfId="22551" xr:uid="{0D840DF1-E1A6-44BA-AF31-2A763397C487}"/>
    <cellStyle name="Currency 4 5 5 5" xfId="7632" xr:uid="{6A4C1FFB-5D90-4DB5-9C37-437908191C20}"/>
    <cellStyle name="Currency 4 5 5 5 2" xfId="21683" xr:uid="{F8CF05D8-01CA-49D2-A10B-426B9D154C88}"/>
    <cellStyle name="Currency 4 5 5 6" xfId="11104" xr:uid="{07885D40-17B7-4B4A-9BF5-364C47E0743C}"/>
    <cellStyle name="Currency 4 5 5 6 2" xfId="25155" xr:uid="{8E884863-406E-4EE5-A8D3-B0847A03DB9B}"/>
    <cellStyle name="Currency 4 5 5 7" xfId="19079" xr:uid="{49B718DF-1AA4-4A0F-8C53-78766D693AAD}"/>
    <cellStyle name="Currency 4 5 6" xfId="5462" xr:uid="{779838E0-BA71-4A21-80F0-7C2DA27B7FBD}"/>
    <cellStyle name="Currency 4 5 6 2" xfId="8934" xr:uid="{F5777AE3-33C9-4D36-83F9-C34FF9607451}"/>
    <cellStyle name="Currency 4 5 6 2 2" xfId="22985" xr:uid="{4A909ED7-CB8F-42BE-B714-DA38D91FF6CC}"/>
    <cellStyle name="Currency 4 5 6 3" xfId="11538" xr:uid="{D9E61985-54DE-421F-A778-D6EE6B61EBB0}"/>
    <cellStyle name="Currency 4 5 6 3 2" xfId="25589" xr:uid="{06B2FF73-4798-49BB-8702-7BB69BAFA222}"/>
    <cellStyle name="Currency 4 5 6 4" xfId="19513" xr:uid="{D8155DDA-7FDE-4363-8EA9-221099D4F06A}"/>
    <cellStyle name="Currency 4 5 7" xfId="6330" xr:uid="{410B66FF-380F-4278-A15E-D19971CCA85E}"/>
    <cellStyle name="Currency 4 5 7 2" xfId="9802" xr:uid="{2CC62327-3276-413E-8364-6C8E1D525703}"/>
    <cellStyle name="Currency 4 5 7 2 2" xfId="23853" xr:uid="{9F84D0A9-FD58-49A1-BEB1-B4CBA827193D}"/>
    <cellStyle name="Currency 4 5 7 3" xfId="12406" xr:uid="{6B86B5FD-246F-40A4-B027-EED7187C65AD}"/>
    <cellStyle name="Currency 4 5 7 3 2" xfId="26457" xr:uid="{F3375C1A-5383-4F72-AF02-AE3D259214BD}"/>
    <cellStyle name="Currency 4 5 7 4" xfId="20381" xr:uid="{BFBF41B9-4137-484A-8DA7-ECC3B61A5E3B}"/>
    <cellStyle name="Currency 4 5 8" xfId="8066" xr:uid="{141F9918-36E1-48B6-A4DF-5E1D653A15E8}"/>
    <cellStyle name="Currency 4 5 8 2" xfId="13274" xr:uid="{5F48C5BE-6444-4121-9F16-45DEDDB53E3A}"/>
    <cellStyle name="Currency 4 5 8 2 2" xfId="27325" xr:uid="{A92EF757-E344-428C-BDEF-0C8A97BBA708}"/>
    <cellStyle name="Currency 4 5 8 3" xfId="22117" xr:uid="{B328A824-F0C7-4C26-AB2B-F6C0B9B4B202}"/>
    <cellStyle name="Currency 4 5 9" xfId="7198" xr:uid="{E18C0B89-AA52-4683-A0A2-34E5B5CC53BB}"/>
    <cellStyle name="Currency 4 5 9 2" xfId="21249" xr:uid="{2FDBD0F0-E654-47E9-B5E2-BD76E29E3C0D}"/>
    <cellStyle name="Currency 4 6" xfId="821" xr:uid="{10DF53AE-F458-47C3-9B55-6EE9A288D412}"/>
    <cellStyle name="Currency 4 6 10" xfId="14871" xr:uid="{6AD824B4-EA19-4F89-A88E-A71A665F1A9E}"/>
    <cellStyle name="Currency 4 6 2" xfId="1920" xr:uid="{6867E443-8DDE-4D69-9385-9AAA0B0F91F3}"/>
    <cellStyle name="Currency 4 6 2 2" xfId="4109" xr:uid="{E00E305D-731C-4B69-9D84-D12D72881B49}"/>
    <cellStyle name="Currency 4 6 2 2 2" xfId="5347" xr:uid="{A61930A9-E50F-4E7C-BBB6-CB63604A5C50}"/>
    <cellStyle name="Currency 4 6 2 2 2 2" xfId="6215" xr:uid="{6C3FBED4-953C-45F8-B9DD-07B17E72CF93}"/>
    <cellStyle name="Currency 4 6 2 2 2 2 2" xfId="9687" xr:uid="{AC607D13-1E3C-4E3C-B56E-35D021F0A7D6}"/>
    <cellStyle name="Currency 4 6 2 2 2 2 2 2" xfId="23738" xr:uid="{3A59DA36-31AF-4714-B5D1-A9C1D670329F}"/>
    <cellStyle name="Currency 4 6 2 2 2 2 3" xfId="12291" xr:uid="{3F58D8A4-6F83-40A8-B3CE-E68748966935}"/>
    <cellStyle name="Currency 4 6 2 2 2 2 3 2" xfId="26342" xr:uid="{A5EF1050-1874-4236-BA54-E25D5638C7DA}"/>
    <cellStyle name="Currency 4 6 2 2 2 2 4" xfId="20266" xr:uid="{C7A3BC7E-7AD1-4057-A4DC-38AABF3436D6}"/>
    <cellStyle name="Currency 4 6 2 2 2 3" xfId="7083" xr:uid="{E3ED0F9E-2689-40F5-A1E8-B28A518CCAC7}"/>
    <cellStyle name="Currency 4 6 2 2 2 3 2" xfId="10555" xr:uid="{BFDCDDB2-3572-4222-8D7E-29864D744F71}"/>
    <cellStyle name="Currency 4 6 2 2 2 3 2 2" xfId="24606" xr:uid="{11B40AF1-0DF1-42A2-8D31-76C2601D75B7}"/>
    <cellStyle name="Currency 4 6 2 2 2 3 3" xfId="13159" xr:uid="{E3A9AA3A-ECA8-4E15-9CF7-5416E048A7FB}"/>
    <cellStyle name="Currency 4 6 2 2 2 3 3 2" xfId="27210" xr:uid="{8352C73B-A4C8-4BD1-A6EC-0106D641CDDD}"/>
    <cellStyle name="Currency 4 6 2 2 2 3 4" xfId="21134" xr:uid="{DC99C7A1-6D08-4A09-A1EC-D71D5104A713}"/>
    <cellStyle name="Currency 4 6 2 2 2 4" xfId="8819" xr:uid="{00B5B12F-280B-49C8-901D-E7949963D959}"/>
    <cellStyle name="Currency 4 6 2 2 2 4 2" xfId="14027" xr:uid="{7A67B23A-CAF4-4BD9-887A-6BE1EF7099C9}"/>
    <cellStyle name="Currency 4 6 2 2 2 4 2 2" xfId="28078" xr:uid="{F73AA693-5C07-4970-B1C1-B59FAFFC7400}"/>
    <cellStyle name="Currency 4 6 2 2 2 4 3" xfId="22870" xr:uid="{5B9EF0B0-DDC9-41C7-A6EA-F1C09E519CA1}"/>
    <cellStyle name="Currency 4 6 2 2 2 5" xfId="7951" xr:uid="{FD7832DE-37C7-4C46-807F-E47DD017C866}"/>
    <cellStyle name="Currency 4 6 2 2 2 5 2" xfId="22002" xr:uid="{B902E7E4-7C92-4212-A89F-E62D6BE25E15}"/>
    <cellStyle name="Currency 4 6 2 2 2 6" xfId="11423" xr:uid="{FFD8BFE1-CA6E-40E1-B1FC-10C20ABB38E3}"/>
    <cellStyle name="Currency 4 6 2 2 2 6 2" xfId="25474" xr:uid="{828A419B-1573-4231-AE61-776F07B04A7A}"/>
    <cellStyle name="Currency 4 6 2 2 2 7" xfId="19398" xr:uid="{C59398E1-66AE-47C0-AEC3-90B08D0CE33F}"/>
    <cellStyle name="Currency 4 6 2 2 3" xfId="5781" xr:uid="{47B97058-6348-45E0-9481-6786F3E6099A}"/>
    <cellStyle name="Currency 4 6 2 2 3 2" xfId="9253" xr:uid="{6C0356F1-82C2-4969-8A10-3461C18384FA}"/>
    <cellStyle name="Currency 4 6 2 2 3 2 2" xfId="23304" xr:uid="{24F21218-6DDB-4084-9D99-0F335382A161}"/>
    <cellStyle name="Currency 4 6 2 2 3 3" xfId="11857" xr:uid="{418BD8F7-776C-49CE-8F80-3107EC0365D6}"/>
    <cellStyle name="Currency 4 6 2 2 3 3 2" xfId="25908" xr:uid="{E9C327EB-B786-4842-8F99-580BC3657165}"/>
    <cellStyle name="Currency 4 6 2 2 3 4" xfId="19832" xr:uid="{00E1B92D-1496-4A66-8B24-6D07B16CF267}"/>
    <cellStyle name="Currency 4 6 2 2 4" xfId="6649" xr:uid="{F3A273EC-6A39-4814-ADAC-4D660746626B}"/>
    <cellStyle name="Currency 4 6 2 2 4 2" xfId="10121" xr:uid="{DF29907A-19CD-4AA3-86C9-3E7C5C51C7BB}"/>
    <cellStyle name="Currency 4 6 2 2 4 2 2" xfId="24172" xr:uid="{8E6E0446-BE47-45A5-8D4C-C1C587BF87D5}"/>
    <cellStyle name="Currency 4 6 2 2 4 3" xfId="12725" xr:uid="{A7DEC2C1-BF2C-49D3-9727-890BE6572E5B}"/>
    <cellStyle name="Currency 4 6 2 2 4 3 2" xfId="26776" xr:uid="{561AF5BB-1B07-45E6-A2C7-FD64C555D38B}"/>
    <cellStyle name="Currency 4 6 2 2 4 4" xfId="20700" xr:uid="{60306107-35D9-4100-B212-5E3FCE284630}"/>
    <cellStyle name="Currency 4 6 2 2 5" xfId="8385" xr:uid="{32AF5B67-7F16-4F21-BBC0-37544A280F4C}"/>
    <cellStyle name="Currency 4 6 2 2 5 2" xfId="13593" xr:uid="{8EF3D9A8-79A5-4A89-BBCC-5DA8DD0D2EB3}"/>
    <cellStyle name="Currency 4 6 2 2 5 2 2" xfId="27644" xr:uid="{348BD1E3-421E-4B5B-80BD-EF7E405ABE55}"/>
    <cellStyle name="Currency 4 6 2 2 5 3" xfId="22436" xr:uid="{E4E572ED-768D-4475-BA30-BE3B73D05D3F}"/>
    <cellStyle name="Currency 4 6 2 2 6" xfId="7517" xr:uid="{2FAAB72F-6854-49A4-8576-2321FFDE8C91}"/>
    <cellStyle name="Currency 4 6 2 2 6 2" xfId="21568" xr:uid="{9CAC20B7-E598-40F5-A5F2-9A770C5AAF0D}"/>
    <cellStyle name="Currency 4 6 2 2 7" xfId="10989" xr:uid="{4F13C234-7A80-47CE-A17A-23504F703C56}"/>
    <cellStyle name="Currency 4 6 2 2 7 2" xfId="25040" xr:uid="{87F33BC2-5672-439D-86BB-C2AC0574AEB7}"/>
    <cellStyle name="Currency 4 6 2 2 8" xfId="18161" xr:uid="{74EC5A1F-EF1D-4763-8355-495137CCB8E1}"/>
    <cellStyle name="Currency 4 6 2 3" xfId="5157" xr:uid="{7F686921-38DF-487D-AF6D-227F528F55FA}"/>
    <cellStyle name="Currency 4 6 2 3 2" xfId="6025" xr:uid="{DE66CB6E-CCF5-47F2-9FF8-8942719A6C05}"/>
    <cellStyle name="Currency 4 6 2 3 2 2" xfId="9497" xr:uid="{8228D4A6-C87B-414B-B3DC-DD2223484536}"/>
    <cellStyle name="Currency 4 6 2 3 2 2 2" xfId="23548" xr:uid="{932BC868-16E1-4DD1-BA12-B0397B0CDFF0}"/>
    <cellStyle name="Currency 4 6 2 3 2 3" xfId="12101" xr:uid="{F37D9AE9-EECC-449C-BDD3-362C1280D0D8}"/>
    <cellStyle name="Currency 4 6 2 3 2 3 2" xfId="26152" xr:uid="{F7489885-20D5-4EF2-A336-576D5F101EFB}"/>
    <cellStyle name="Currency 4 6 2 3 2 4" xfId="20076" xr:uid="{D5013377-D5DD-42C3-9603-514642F8925D}"/>
    <cellStyle name="Currency 4 6 2 3 3" xfId="6893" xr:uid="{94FDFD2A-B0F1-40C1-B600-1B741DA8F77B}"/>
    <cellStyle name="Currency 4 6 2 3 3 2" xfId="10365" xr:uid="{840203EB-2E31-4546-B25A-39541DF0FB22}"/>
    <cellStyle name="Currency 4 6 2 3 3 2 2" xfId="24416" xr:uid="{000A71BC-CB23-4F25-B6F9-2338C14F9A50}"/>
    <cellStyle name="Currency 4 6 2 3 3 3" xfId="12969" xr:uid="{8D2A9D1B-8C76-458D-B22F-5C3E3CDD6076}"/>
    <cellStyle name="Currency 4 6 2 3 3 3 2" xfId="27020" xr:uid="{4C007F21-5EBE-483A-9C3A-54FE37450C12}"/>
    <cellStyle name="Currency 4 6 2 3 3 4" xfId="20944" xr:uid="{CBB09E9F-19AD-4A1F-B989-CF891681160B}"/>
    <cellStyle name="Currency 4 6 2 3 4" xfId="8629" xr:uid="{7DBAD088-5014-44CE-A29E-CCF2097ED7B5}"/>
    <cellStyle name="Currency 4 6 2 3 4 2" xfId="13837" xr:uid="{BE23C86F-DA10-4662-95A8-AB5E70FE7DA5}"/>
    <cellStyle name="Currency 4 6 2 3 4 2 2" xfId="27888" xr:uid="{AF0FC1EF-7CE0-42F0-A556-CA29C1856677}"/>
    <cellStyle name="Currency 4 6 2 3 4 3" xfId="22680" xr:uid="{F044A3EC-7CCA-47FE-BA5A-FCFA149CBA02}"/>
    <cellStyle name="Currency 4 6 2 3 5" xfId="7761" xr:uid="{0FF41964-D7A7-4507-9392-0D2DBC6A28F7}"/>
    <cellStyle name="Currency 4 6 2 3 5 2" xfId="21812" xr:uid="{81F19631-1226-4AF2-8D50-1938A99CFF1F}"/>
    <cellStyle name="Currency 4 6 2 3 6" xfId="11233" xr:uid="{68221092-E69A-4290-AE58-DB42FB554D75}"/>
    <cellStyle name="Currency 4 6 2 3 6 2" xfId="25284" xr:uid="{AAF2A60B-4C28-4ECE-80A5-22F23F5FACC1}"/>
    <cellStyle name="Currency 4 6 2 3 7" xfId="19208" xr:uid="{849F9BFB-764F-4003-956B-AD0CBBF84BA8}"/>
    <cellStyle name="Currency 4 6 2 4" xfId="5591" xr:uid="{78E3C0C0-3727-450B-8555-EC71757B9693}"/>
    <cellStyle name="Currency 4 6 2 4 2" xfId="9063" xr:uid="{6D3A010A-D951-4FC7-8F66-52800F091984}"/>
    <cellStyle name="Currency 4 6 2 4 2 2" xfId="23114" xr:uid="{F90C08B9-7F9D-4871-A3E1-88AFFA344EC6}"/>
    <cellStyle name="Currency 4 6 2 4 3" xfId="11667" xr:uid="{4B41C0E3-EAA0-42C9-9FCA-0E0989B1EF9A}"/>
    <cellStyle name="Currency 4 6 2 4 3 2" xfId="25718" xr:uid="{D6733C65-1658-43AE-8BEE-961D0436B382}"/>
    <cellStyle name="Currency 4 6 2 4 4" xfId="19642" xr:uid="{0A2981CC-4C0D-43D1-9E6F-11A2F90F7D82}"/>
    <cellStyle name="Currency 4 6 2 5" xfId="6459" xr:uid="{C55A70CE-2E74-4673-BCA5-DA4FC4292033}"/>
    <cellStyle name="Currency 4 6 2 5 2" xfId="9931" xr:uid="{0014FBB0-F447-45C7-83AB-91C5D8D52DD0}"/>
    <cellStyle name="Currency 4 6 2 5 2 2" xfId="23982" xr:uid="{E11E27BB-1E10-43FC-8A68-0E16CC77D62A}"/>
    <cellStyle name="Currency 4 6 2 5 3" xfId="12535" xr:uid="{637EA13A-B362-4FD3-A0DC-10877F47C2DE}"/>
    <cellStyle name="Currency 4 6 2 5 3 2" xfId="26586" xr:uid="{4A71C397-17E1-4DB3-98DD-F53E22E95514}"/>
    <cellStyle name="Currency 4 6 2 5 4" xfId="20510" xr:uid="{7DC3B5A8-4A49-4228-98C1-E6549A3797F7}"/>
    <cellStyle name="Currency 4 6 2 6" xfId="8195" xr:uid="{2C69C27B-8FBC-4350-A81B-0E2CF6071BD6}"/>
    <cellStyle name="Currency 4 6 2 6 2" xfId="13403" xr:uid="{9C9AE4FB-275F-41E4-9F23-A80FC259F3E1}"/>
    <cellStyle name="Currency 4 6 2 6 2 2" xfId="27454" xr:uid="{EC700CCC-9F23-499D-A40C-29C795165CD8}"/>
    <cellStyle name="Currency 4 6 2 6 3" xfId="22246" xr:uid="{10CDAE2A-F221-4D6D-BF57-8B6D543ED80D}"/>
    <cellStyle name="Currency 4 6 2 7" xfId="7327" xr:uid="{B31BAACB-0CA0-4ADE-89C3-29784428ACE7}"/>
    <cellStyle name="Currency 4 6 2 7 2" xfId="21378" xr:uid="{C3C808F8-F573-477F-B6CE-2C60DBF4E821}"/>
    <cellStyle name="Currency 4 6 2 8" xfId="10799" xr:uid="{7E7E0DAB-CB03-406C-8B1F-55E496E25BAB}"/>
    <cellStyle name="Currency 4 6 2 8 2" xfId="24850" xr:uid="{812A712A-1E09-4EE9-8B34-9092D2F6DC20}"/>
    <cellStyle name="Currency 4 6 2 9" xfId="15969" xr:uid="{FDABEE31-B730-4283-84AA-F63E53341314}"/>
    <cellStyle name="Currency 4 6 3" xfId="3013" xr:uid="{49581D9F-44CE-4246-A2CD-A6FF6E913363}"/>
    <cellStyle name="Currency 4 6 3 2" xfId="5252" xr:uid="{7FD17F85-0D77-4FCA-86D2-95BDA2773AF3}"/>
    <cellStyle name="Currency 4 6 3 2 2" xfId="6120" xr:uid="{B3BFD4E3-FD4A-4939-8139-1BD27D61D22F}"/>
    <cellStyle name="Currency 4 6 3 2 2 2" xfId="9592" xr:uid="{96B007F1-13B4-460F-8501-843DFCF67184}"/>
    <cellStyle name="Currency 4 6 3 2 2 2 2" xfId="23643" xr:uid="{4DEFD218-76A4-440E-BFA4-6778A056802C}"/>
    <cellStyle name="Currency 4 6 3 2 2 3" xfId="12196" xr:uid="{AD1BD665-7125-4195-8BC7-CF0EC7489B8D}"/>
    <cellStyle name="Currency 4 6 3 2 2 3 2" xfId="26247" xr:uid="{B44787B6-A9BF-4573-A574-5B5C16E49EF2}"/>
    <cellStyle name="Currency 4 6 3 2 2 4" xfId="20171" xr:uid="{8C95FE6B-4082-4C3D-927B-D351FCAF690E}"/>
    <cellStyle name="Currency 4 6 3 2 3" xfId="6988" xr:uid="{A080F6CE-A8F3-4654-8062-7965B70063F8}"/>
    <cellStyle name="Currency 4 6 3 2 3 2" xfId="10460" xr:uid="{185D8165-0C6B-4826-B9E9-FD3B5316E4D8}"/>
    <cellStyle name="Currency 4 6 3 2 3 2 2" xfId="24511" xr:uid="{967E9F1E-77AF-4CEE-857B-B3669CF4228B}"/>
    <cellStyle name="Currency 4 6 3 2 3 3" xfId="13064" xr:uid="{D73FE627-E1D5-4FE4-97AC-61CF152944AA}"/>
    <cellStyle name="Currency 4 6 3 2 3 3 2" xfId="27115" xr:uid="{B784D8E2-0320-48EB-BD92-B69D3B312590}"/>
    <cellStyle name="Currency 4 6 3 2 3 4" xfId="21039" xr:uid="{E87C3132-FFC7-4BF9-8903-29A1303547AD}"/>
    <cellStyle name="Currency 4 6 3 2 4" xfId="8724" xr:uid="{BDEDDC0E-6F35-422F-82BD-57C7A24C2AC8}"/>
    <cellStyle name="Currency 4 6 3 2 4 2" xfId="13932" xr:uid="{C8749368-A097-43EB-BBC2-23248F11C2CD}"/>
    <cellStyle name="Currency 4 6 3 2 4 2 2" xfId="27983" xr:uid="{EFAF2544-6A98-484F-8CC7-D1DB767F7AEE}"/>
    <cellStyle name="Currency 4 6 3 2 4 3" xfId="22775" xr:uid="{1DF17D21-51CC-450F-AFA1-DE0333BC1584}"/>
    <cellStyle name="Currency 4 6 3 2 5" xfId="7856" xr:uid="{039E68C7-092D-44A8-A859-BAC46731CD9F}"/>
    <cellStyle name="Currency 4 6 3 2 5 2" xfId="21907" xr:uid="{53C9469E-5209-437E-9128-11DFAD15C0FC}"/>
    <cellStyle name="Currency 4 6 3 2 6" xfId="11328" xr:uid="{F693CAC4-ABC0-4C7B-8BB3-58AC565711AB}"/>
    <cellStyle name="Currency 4 6 3 2 6 2" xfId="25379" xr:uid="{E56FA886-BFC4-4060-8FAF-C2677DC150D8}"/>
    <cellStyle name="Currency 4 6 3 2 7" xfId="19303" xr:uid="{35986934-B69F-4C05-BAD7-1E33D2D18C4A}"/>
    <cellStyle name="Currency 4 6 3 3" xfId="5686" xr:uid="{2EF89CEC-28C8-427C-A839-F76409454520}"/>
    <cellStyle name="Currency 4 6 3 3 2" xfId="9158" xr:uid="{F7D3E527-96F5-418B-81B6-9A844AB769DC}"/>
    <cellStyle name="Currency 4 6 3 3 2 2" xfId="23209" xr:uid="{D6819ECA-1135-432A-98E7-E094867F5587}"/>
    <cellStyle name="Currency 4 6 3 3 3" xfId="11762" xr:uid="{06B17D4C-22DF-497A-A520-8424E2B6C67A}"/>
    <cellStyle name="Currency 4 6 3 3 3 2" xfId="25813" xr:uid="{AEF78592-C3D2-4F2E-A20F-5940538A7D2C}"/>
    <cellStyle name="Currency 4 6 3 3 4" xfId="19737" xr:uid="{AD6D140A-CF03-44BA-A4D1-9CA005289400}"/>
    <cellStyle name="Currency 4 6 3 4" xfId="6554" xr:uid="{794DD0BB-556F-4764-A04D-CA47DD9AD40C}"/>
    <cellStyle name="Currency 4 6 3 4 2" xfId="10026" xr:uid="{A5B182E4-B08C-49DF-AA39-557E70128439}"/>
    <cellStyle name="Currency 4 6 3 4 2 2" xfId="24077" xr:uid="{7908811C-0C22-415B-80D8-B335CCEC8859}"/>
    <cellStyle name="Currency 4 6 3 4 3" xfId="12630" xr:uid="{D3AB4473-E7C2-41AA-A5D3-604CF2DCE2E4}"/>
    <cellStyle name="Currency 4 6 3 4 3 2" xfId="26681" xr:uid="{FB7320E7-83D2-48E3-8C0E-BFFEFDCA6958}"/>
    <cellStyle name="Currency 4 6 3 4 4" xfId="20605" xr:uid="{EB39EC66-B177-486D-AB2C-6BE0AF8EE193}"/>
    <cellStyle name="Currency 4 6 3 5" xfId="8290" xr:uid="{E7C3624F-9CEF-4E99-9A77-0F49A0FB0565}"/>
    <cellStyle name="Currency 4 6 3 5 2" xfId="13498" xr:uid="{12E7DB9D-327E-408F-870B-07B29889B181}"/>
    <cellStyle name="Currency 4 6 3 5 2 2" xfId="27549" xr:uid="{B36C0832-E5EB-4CDA-BD5A-83DDB4706984}"/>
    <cellStyle name="Currency 4 6 3 5 3" xfId="22341" xr:uid="{24448571-41A5-4A9F-9595-36F31515D96A}"/>
    <cellStyle name="Currency 4 6 3 6" xfId="7422" xr:uid="{A1E4F407-098F-4202-BDE7-AB7D39AE527D}"/>
    <cellStyle name="Currency 4 6 3 6 2" xfId="21473" xr:uid="{C0D2F2BC-041C-41D6-97CE-E19E43438518}"/>
    <cellStyle name="Currency 4 6 3 7" xfId="10894" xr:uid="{B1A3E425-D27F-407F-92F1-5552D29FF50A}"/>
    <cellStyle name="Currency 4 6 3 7 2" xfId="24945" xr:uid="{DDF8FAA8-CD11-445A-8559-5DB50B5D8CD3}"/>
    <cellStyle name="Currency 4 6 3 8" xfId="17065" xr:uid="{21C8FDA7-360B-49B6-B737-E0A4E27534BD}"/>
    <cellStyle name="Currency 4 6 4" xfId="5060" xr:uid="{8A7E0976-9D95-4029-87D5-60A66373794D}"/>
    <cellStyle name="Currency 4 6 4 2" xfId="5928" xr:uid="{2E5A4064-70A1-498C-90CB-3A2A6EAA8F22}"/>
    <cellStyle name="Currency 4 6 4 2 2" xfId="9400" xr:uid="{89E67295-FA19-45AA-A97C-51C759828BA9}"/>
    <cellStyle name="Currency 4 6 4 2 2 2" xfId="23451" xr:uid="{0127CC13-BC38-4B22-B8CA-E56D6CDD2512}"/>
    <cellStyle name="Currency 4 6 4 2 3" xfId="12004" xr:uid="{2C00BA9B-DEB0-4071-86FE-555058BA380A}"/>
    <cellStyle name="Currency 4 6 4 2 3 2" xfId="26055" xr:uid="{EA63C2F1-BF80-4094-9A5E-028FC1772072}"/>
    <cellStyle name="Currency 4 6 4 2 4" xfId="19979" xr:uid="{E2818738-0E2E-4C21-8777-082E4291A7E4}"/>
    <cellStyle name="Currency 4 6 4 3" xfId="6796" xr:uid="{68A22B76-AF2B-4D83-B364-2EA8DBCDB410}"/>
    <cellStyle name="Currency 4 6 4 3 2" xfId="10268" xr:uid="{C1C697EA-5CF2-40D1-BE83-624B7386F964}"/>
    <cellStyle name="Currency 4 6 4 3 2 2" xfId="24319" xr:uid="{0E6CCC06-A02D-4897-BC60-9FBF366B2878}"/>
    <cellStyle name="Currency 4 6 4 3 3" xfId="12872" xr:uid="{C66063B3-D80B-4CE1-9C7D-3788ED4F8D7C}"/>
    <cellStyle name="Currency 4 6 4 3 3 2" xfId="26923" xr:uid="{09C73C62-7469-4074-8625-9A0A3FEB4B16}"/>
    <cellStyle name="Currency 4 6 4 3 4" xfId="20847" xr:uid="{E278BDEC-8320-44D2-AD42-79D7CA4768E3}"/>
    <cellStyle name="Currency 4 6 4 4" xfId="8532" xr:uid="{3F14BCB6-2A12-435E-BD1E-B3856A54CEA9}"/>
    <cellStyle name="Currency 4 6 4 4 2" xfId="13740" xr:uid="{BC6DE253-4CF8-44C6-BB79-71C3D2E25E96}"/>
    <cellStyle name="Currency 4 6 4 4 2 2" xfId="27791" xr:uid="{751712FD-1AC2-46BA-BAA7-F87D82ECF2BC}"/>
    <cellStyle name="Currency 4 6 4 4 3" xfId="22583" xr:uid="{28888BE6-EAA9-4F9F-ACDD-6CA49F47FD89}"/>
    <cellStyle name="Currency 4 6 4 5" xfId="7664" xr:uid="{0A5FD56A-5110-4FDE-93DD-89B679047897}"/>
    <cellStyle name="Currency 4 6 4 5 2" xfId="21715" xr:uid="{ADD3F823-20CA-4A98-AEE2-BA7CEEE42DB9}"/>
    <cellStyle name="Currency 4 6 4 6" xfId="11136" xr:uid="{30F569D1-4D55-4E23-AF4D-904A0A2CE1E5}"/>
    <cellStyle name="Currency 4 6 4 6 2" xfId="25187" xr:uid="{E112D2E0-8C1E-4059-BC8A-F04A43569F9D}"/>
    <cellStyle name="Currency 4 6 4 7" xfId="19111" xr:uid="{1EF79C3F-53D2-45EA-84DD-ADE85470371F}"/>
    <cellStyle name="Currency 4 6 5" xfId="5494" xr:uid="{2D313086-7901-4FB2-AA89-F5F7A7204224}"/>
    <cellStyle name="Currency 4 6 5 2" xfId="8966" xr:uid="{49803955-338C-4D20-AECB-86286F29B43C}"/>
    <cellStyle name="Currency 4 6 5 2 2" xfId="23017" xr:uid="{EE70B461-6497-48DA-B4FA-70AAD690AB7D}"/>
    <cellStyle name="Currency 4 6 5 3" xfId="11570" xr:uid="{E1E71F4F-6E45-463A-A774-B52C7D6A2463}"/>
    <cellStyle name="Currency 4 6 5 3 2" xfId="25621" xr:uid="{5C1164DE-9E27-40B8-81F7-A1BC4065BE60}"/>
    <cellStyle name="Currency 4 6 5 4" xfId="19545" xr:uid="{FCD10645-5515-468D-B995-3736CE32333C}"/>
    <cellStyle name="Currency 4 6 6" xfId="6362" xr:uid="{789CA5CD-68AB-41DC-A375-071C8A6286E5}"/>
    <cellStyle name="Currency 4 6 6 2" xfId="9834" xr:uid="{802C8300-3638-4C67-92E4-4C99B43D1D42}"/>
    <cellStyle name="Currency 4 6 6 2 2" xfId="23885" xr:uid="{339A42FD-EB02-4B2E-9402-04D80128A742}"/>
    <cellStyle name="Currency 4 6 6 3" xfId="12438" xr:uid="{34888CE2-A712-4700-8325-976637A522E0}"/>
    <cellStyle name="Currency 4 6 6 3 2" xfId="26489" xr:uid="{513603F0-91BC-4B4D-B334-84AD1C9336B1}"/>
    <cellStyle name="Currency 4 6 6 4" xfId="20413" xr:uid="{A617E10B-6654-4E1B-969C-A58260BB447D}"/>
    <cellStyle name="Currency 4 6 7" xfId="8098" xr:uid="{F89CCB27-84F7-4245-BFE0-A5750F2BE451}"/>
    <cellStyle name="Currency 4 6 7 2" xfId="13306" xr:uid="{39B0D5D0-FAE8-4215-96BC-8FCE8E4B597F}"/>
    <cellStyle name="Currency 4 6 7 2 2" xfId="27357" xr:uid="{0686DA7C-A074-4BAA-B2EE-FF32DE415D80}"/>
    <cellStyle name="Currency 4 6 7 3" xfId="22149" xr:uid="{9A79533B-0AA7-4518-A00C-9832CFDD3F44}"/>
    <cellStyle name="Currency 4 6 8" xfId="7230" xr:uid="{3F353C85-9537-4202-B243-9194BA7A5B36}"/>
    <cellStyle name="Currency 4 6 8 2" xfId="21281" xr:uid="{BEE3C0EB-A16E-463C-946F-C36B9399853B}"/>
    <cellStyle name="Currency 4 6 9" xfId="10702" xr:uid="{1E75FE3F-6F77-4232-8F1E-E7F2EDA67A96}"/>
    <cellStyle name="Currency 4 6 9 2" xfId="24753" xr:uid="{73C20A46-F6C8-4973-AC23-0164E70795D0}"/>
    <cellStyle name="Currency 4 7" xfId="1165" xr:uid="{CA416844-8048-4C9D-A48E-ED6C34C3B34A}"/>
    <cellStyle name="Currency 4 7 10" xfId="15216" xr:uid="{9D081FF5-0B92-49DF-8CC8-DCF5E28D5B04}"/>
    <cellStyle name="Currency 4 7 2" xfId="2264" xr:uid="{76232EFC-B4DC-4617-8B76-46DC8F7F79D1}"/>
    <cellStyle name="Currency 4 7 2 2" xfId="4453" xr:uid="{E364F542-549F-41BB-94FB-940C55CC1FCE}"/>
    <cellStyle name="Currency 4 7 2 2 2" xfId="5377" xr:uid="{0DE9C652-196A-4214-8BF1-02ADC439A943}"/>
    <cellStyle name="Currency 4 7 2 2 2 2" xfId="6245" xr:uid="{938CA055-1C1E-4D5D-8960-88BCF94653E6}"/>
    <cellStyle name="Currency 4 7 2 2 2 2 2" xfId="9717" xr:uid="{24DB724B-17A8-4806-954A-9179C376C8D4}"/>
    <cellStyle name="Currency 4 7 2 2 2 2 2 2" xfId="23768" xr:uid="{D27A18FD-6E74-435B-8A9B-1896B4EA595A}"/>
    <cellStyle name="Currency 4 7 2 2 2 2 3" xfId="12321" xr:uid="{A5914B75-BF5D-402F-B1C6-812A94569061}"/>
    <cellStyle name="Currency 4 7 2 2 2 2 3 2" xfId="26372" xr:uid="{942310B0-ABF9-4A78-84E6-148AC4384485}"/>
    <cellStyle name="Currency 4 7 2 2 2 2 4" xfId="20296" xr:uid="{8EB384C3-1D29-4671-8C0B-B13B81010E1E}"/>
    <cellStyle name="Currency 4 7 2 2 2 3" xfId="7113" xr:uid="{6DB4346D-BBA1-48B8-8A2E-951FED93FEEE}"/>
    <cellStyle name="Currency 4 7 2 2 2 3 2" xfId="10585" xr:uid="{2BAF989A-7B07-4B81-966A-A1332B2C67E6}"/>
    <cellStyle name="Currency 4 7 2 2 2 3 2 2" xfId="24636" xr:uid="{888D8FD6-D959-4ADC-BBFB-7E3EB3322BE0}"/>
    <cellStyle name="Currency 4 7 2 2 2 3 3" xfId="13189" xr:uid="{DD360499-1C22-4730-A059-5F4AB22794C9}"/>
    <cellStyle name="Currency 4 7 2 2 2 3 3 2" xfId="27240" xr:uid="{8757375C-B232-4DC3-B509-E1D307C9DCBA}"/>
    <cellStyle name="Currency 4 7 2 2 2 3 4" xfId="21164" xr:uid="{B0C2A032-4E23-4E48-8121-8E8C8CE8B32B}"/>
    <cellStyle name="Currency 4 7 2 2 2 4" xfId="8849" xr:uid="{29555AF1-6F92-426A-9FC6-C07B3957CEED}"/>
    <cellStyle name="Currency 4 7 2 2 2 4 2" xfId="14057" xr:uid="{83362270-CEFA-47A5-9AF7-6307F39FBA9F}"/>
    <cellStyle name="Currency 4 7 2 2 2 4 2 2" xfId="28108" xr:uid="{73A2879E-7CB8-4389-902E-724514F82546}"/>
    <cellStyle name="Currency 4 7 2 2 2 4 3" xfId="22900" xr:uid="{73164CBE-5853-4D50-9683-A3D5F16D55F9}"/>
    <cellStyle name="Currency 4 7 2 2 2 5" xfId="7981" xr:uid="{2634DEAB-4870-4ABE-85A9-A8ACBA3C10E2}"/>
    <cellStyle name="Currency 4 7 2 2 2 5 2" xfId="22032" xr:uid="{51313C6D-1EB3-4A82-8EFC-CF7C903BEB71}"/>
    <cellStyle name="Currency 4 7 2 2 2 6" xfId="11453" xr:uid="{173DC9B7-5992-49F4-955E-3C6172F6CDBC}"/>
    <cellStyle name="Currency 4 7 2 2 2 6 2" xfId="25504" xr:uid="{49F74270-0DD2-483C-A497-3E5ACA66F054}"/>
    <cellStyle name="Currency 4 7 2 2 2 7" xfId="19428" xr:uid="{0DFF3656-8C4B-4F98-B5FE-FEC0352C935A}"/>
    <cellStyle name="Currency 4 7 2 2 3" xfId="5811" xr:uid="{70DB8335-84D5-4AE8-AC8F-D1CB416A5889}"/>
    <cellStyle name="Currency 4 7 2 2 3 2" xfId="9283" xr:uid="{7FB33BED-01A2-4767-B44A-2B5CF93188E4}"/>
    <cellStyle name="Currency 4 7 2 2 3 2 2" xfId="23334" xr:uid="{C32FAB38-00B0-4690-9BEE-CB420734FE97}"/>
    <cellStyle name="Currency 4 7 2 2 3 3" xfId="11887" xr:uid="{E1774BBC-73F3-47CF-8BFA-6DE2B665CEC2}"/>
    <cellStyle name="Currency 4 7 2 2 3 3 2" xfId="25938" xr:uid="{15AFD272-303B-4619-BB9D-6564A6832F09}"/>
    <cellStyle name="Currency 4 7 2 2 3 4" xfId="19862" xr:uid="{9AC9C787-D881-4B80-9ABF-027E427EF0C0}"/>
    <cellStyle name="Currency 4 7 2 2 4" xfId="6679" xr:uid="{27EAB017-72F5-4BB9-8D9F-0395FA63E6CF}"/>
    <cellStyle name="Currency 4 7 2 2 4 2" xfId="10151" xr:uid="{F61AD400-92A8-4879-BF08-A14CB96991E6}"/>
    <cellStyle name="Currency 4 7 2 2 4 2 2" xfId="24202" xr:uid="{F939EAE3-28B8-4107-90F0-2080014D9B17}"/>
    <cellStyle name="Currency 4 7 2 2 4 3" xfId="12755" xr:uid="{ED609307-3C66-4B35-8019-73BE01AB7900}"/>
    <cellStyle name="Currency 4 7 2 2 4 3 2" xfId="26806" xr:uid="{4A97E555-F2B2-42EF-8C57-2DFDB504EBA7}"/>
    <cellStyle name="Currency 4 7 2 2 4 4" xfId="20730" xr:uid="{D095EF3C-438D-41AF-A10A-E9960574B6F3}"/>
    <cellStyle name="Currency 4 7 2 2 5" xfId="8415" xr:uid="{751704E9-E8E8-4F35-94FA-BC4B92E6908C}"/>
    <cellStyle name="Currency 4 7 2 2 5 2" xfId="13623" xr:uid="{CB0FE17F-6075-4774-A9E6-1A79D8F2C84D}"/>
    <cellStyle name="Currency 4 7 2 2 5 2 2" xfId="27674" xr:uid="{5AF906F9-9FCC-46D9-993A-46011A2C5EC9}"/>
    <cellStyle name="Currency 4 7 2 2 5 3" xfId="22466" xr:uid="{BC69E310-5D36-44DF-A9A1-E46A77638DEE}"/>
    <cellStyle name="Currency 4 7 2 2 6" xfId="7547" xr:uid="{4C8EB781-3045-4B69-A6AF-BE47AE7B06B8}"/>
    <cellStyle name="Currency 4 7 2 2 6 2" xfId="21598" xr:uid="{C1C3304F-4FBB-460C-A62C-793068EC9D76}"/>
    <cellStyle name="Currency 4 7 2 2 7" xfId="11019" xr:uid="{D717DE81-E024-4C6A-A2ED-55DAC161E5A1}"/>
    <cellStyle name="Currency 4 7 2 2 7 2" xfId="25070" xr:uid="{84E15D64-B0C6-4960-BB44-7A0325D6AD86}"/>
    <cellStyle name="Currency 4 7 2 2 8" xfId="18504" xr:uid="{6E7D5DDB-1E07-4517-8B9B-E14371AF7547}"/>
    <cellStyle name="Currency 4 7 2 3" xfId="5187" xr:uid="{10CBE190-FC32-4936-9A42-CB4AB40E953E}"/>
    <cellStyle name="Currency 4 7 2 3 2" xfId="6055" xr:uid="{270BB2FA-6A43-47C1-A429-2727C58BB4CC}"/>
    <cellStyle name="Currency 4 7 2 3 2 2" xfId="9527" xr:uid="{653BD4B4-FC29-48F1-A6F5-89F3D4F6F4AA}"/>
    <cellStyle name="Currency 4 7 2 3 2 2 2" xfId="23578" xr:uid="{A0872DCE-28FF-43F1-94C3-CEE9FDB8954B}"/>
    <cellStyle name="Currency 4 7 2 3 2 3" xfId="12131" xr:uid="{09EDA9AB-6C9A-462F-8768-C451C4A98B75}"/>
    <cellStyle name="Currency 4 7 2 3 2 3 2" xfId="26182" xr:uid="{304E1E00-BD40-4666-BECA-F4EDAD25300C}"/>
    <cellStyle name="Currency 4 7 2 3 2 4" xfId="20106" xr:uid="{D33735DE-DBA0-458B-B3F7-52E73FC360AB}"/>
    <cellStyle name="Currency 4 7 2 3 3" xfId="6923" xr:uid="{127EB6CA-56F1-44B9-81F4-77E7C86F5384}"/>
    <cellStyle name="Currency 4 7 2 3 3 2" xfId="10395" xr:uid="{694EA6BD-C7E2-4E48-AC67-87EB1985B2DF}"/>
    <cellStyle name="Currency 4 7 2 3 3 2 2" xfId="24446" xr:uid="{F63B0F6C-0E55-4D8A-9ED0-EC5D82DDDB33}"/>
    <cellStyle name="Currency 4 7 2 3 3 3" xfId="12999" xr:uid="{FEF7FF01-D741-49F6-8A50-323A3B42A123}"/>
    <cellStyle name="Currency 4 7 2 3 3 3 2" xfId="27050" xr:uid="{BB7E601A-4F42-47BC-8DAE-CF5BA4E062A4}"/>
    <cellStyle name="Currency 4 7 2 3 3 4" xfId="20974" xr:uid="{7E919587-0BA1-4854-BAD4-CFFBADC6DA06}"/>
    <cellStyle name="Currency 4 7 2 3 4" xfId="8659" xr:uid="{BB2D5B8F-2745-42FE-B743-20014FCFEA99}"/>
    <cellStyle name="Currency 4 7 2 3 4 2" xfId="13867" xr:uid="{040CF32E-9E23-44BF-8109-531955BBC612}"/>
    <cellStyle name="Currency 4 7 2 3 4 2 2" xfId="27918" xr:uid="{4B3AFBAD-79A9-43C7-AD95-6CE3CFE6AFFA}"/>
    <cellStyle name="Currency 4 7 2 3 4 3" xfId="22710" xr:uid="{78FF415F-821E-469A-BE02-59A507338052}"/>
    <cellStyle name="Currency 4 7 2 3 5" xfId="7791" xr:uid="{49D88AA5-BDA8-4055-8C11-8FDB4071C67E}"/>
    <cellStyle name="Currency 4 7 2 3 5 2" xfId="21842" xr:uid="{0BDF95C5-4034-4B30-94E7-BF1F3F6078C6}"/>
    <cellStyle name="Currency 4 7 2 3 6" xfId="11263" xr:uid="{606DBE97-5EDB-4FD4-A5F8-8768F106BF14}"/>
    <cellStyle name="Currency 4 7 2 3 6 2" xfId="25314" xr:uid="{AC4BECFB-4E15-4735-AF5A-C008E7ED4410}"/>
    <cellStyle name="Currency 4 7 2 3 7" xfId="19238" xr:uid="{F9B45D80-2D8A-41C0-BC65-700B250659D2}"/>
    <cellStyle name="Currency 4 7 2 4" xfId="5621" xr:uid="{FD5471D1-6D54-4DF5-A5D4-10E63BA424AB}"/>
    <cellStyle name="Currency 4 7 2 4 2" xfId="9093" xr:uid="{1E701E85-0DEC-429C-ACEC-3BCCED9585EE}"/>
    <cellStyle name="Currency 4 7 2 4 2 2" xfId="23144" xr:uid="{BF4BB885-FDF1-4786-86DD-3B7791AA560C}"/>
    <cellStyle name="Currency 4 7 2 4 3" xfId="11697" xr:uid="{0F8FFC6E-5910-4589-A37C-9E97DD9DCD16}"/>
    <cellStyle name="Currency 4 7 2 4 3 2" xfId="25748" xr:uid="{B9FDA93F-092A-4442-9B2A-414557824739}"/>
    <cellStyle name="Currency 4 7 2 4 4" xfId="19672" xr:uid="{D35BD788-132E-4DC8-8662-DE1D86D69051}"/>
    <cellStyle name="Currency 4 7 2 5" xfId="6489" xr:uid="{4DFF8AA0-DBE7-4A23-9E65-946DF5581F7A}"/>
    <cellStyle name="Currency 4 7 2 5 2" xfId="9961" xr:uid="{561E60AD-110E-44A2-99C0-044295386551}"/>
    <cellStyle name="Currency 4 7 2 5 2 2" xfId="24012" xr:uid="{111A0D60-EB75-4DDC-A075-CF080BA99183}"/>
    <cellStyle name="Currency 4 7 2 5 3" xfId="12565" xr:uid="{17F3E9E5-A8A6-4CB9-B69C-23FDDD9901F6}"/>
    <cellStyle name="Currency 4 7 2 5 3 2" xfId="26616" xr:uid="{9D1A88A1-A6D2-4C72-B490-33D101832053}"/>
    <cellStyle name="Currency 4 7 2 5 4" xfId="20540" xr:uid="{0D59FCFC-2B97-4389-BA84-7BF5612E80AF}"/>
    <cellStyle name="Currency 4 7 2 6" xfId="8225" xr:uid="{7E17257B-7ACC-4C37-BCCF-3892D147D481}"/>
    <cellStyle name="Currency 4 7 2 6 2" xfId="13433" xr:uid="{81AF27FB-2664-409E-BB7C-6719B1CF05F5}"/>
    <cellStyle name="Currency 4 7 2 6 2 2" xfId="27484" xr:uid="{B4F0C257-30EC-4546-A1EA-07C5C8406917}"/>
    <cellStyle name="Currency 4 7 2 6 3" xfId="22276" xr:uid="{77BD29FE-91AA-4DD4-AEE2-2AB2A1259BBF}"/>
    <cellStyle name="Currency 4 7 2 7" xfId="7357" xr:uid="{0088B2AE-3396-434F-92F8-BA0EDF63A4AB}"/>
    <cellStyle name="Currency 4 7 2 7 2" xfId="21408" xr:uid="{B8149A33-E64E-458C-A040-1D74DAEAEB17}"/>
    <cellStyle name="Currency 4 7 2 8" xfId="10829" xr:uid="{BA72A784-1600-4BA9-B632-1D8CF46A4BDC}"/>
    <cellStyle name="Currency 4 7 2 8 2" xfId="24880" xr:uid="{007D07B6-EC67-4FFA-AABD-3D69ECF0AA7B}"/>
    <cellStyle name="Currency 4 7 2 9" xfId="16314" xr:uid="{A5D49186-2DDD-4179-8F32-A0BED14FF315}"/>
    <cellStyle name="Currency 4 7 3" xfId="3358" xr:uid="{4FF6E764-D3E7-4616-951A-BEE50C1F618C}"/>
    <cellStyle name="Currency 4 7 3 2" xfId="5282" xr:uid="{68B3E4A4-0444-43A2-98B3-90E357DC181E}"/>
    <cellStyle name="Currency 4 7 3 2 2" xfId="6150" xr:uid="{A276C631-5281-4702-A7A1-697DEC0CD5B5}"/>
    <cellStyle name="Currency 4 7 3 2 2 2" xfId="9622" xr:uid="{327F9474-3655-4095-976A-D76FACF0B48A}"/>
    <cellStyle name="Currency 4 7 3 2 2 2 2" xfId="23673" xr:uid="{7EBD3A5A-A130-4569-B3F9-65242C8DB367}"/>
    <cellStyle name="Currency 4 7 3 2 2 3" xfId="12226" xr:uid="{E5CA145B-DEF6-4D24-9D44-06E1DC82779A}"/>
    <cellStyle name="Currency 4 7 3 2 2 3 2" xfId="26277" xr:uid="{C8D0CCC9-7EA2-4BFC-B728-FB110300CB5F}"/>
    <cellStyle name="Currency 4 7 3 2 2 4" xfId="20201" xr:uid="{7EF7BF1F-2A89-4F7A-824B-A2FF4E4DC7F4}"/>
    <cellStyle name="Currency 4 7 3 2 3" xfId="7018" xr:uid="{4CBA66C8-61CF-4689-9791-5151656FD105}"/>
    <cellStyle name="Currency 4 7 3 2 3 2" xfId="10490" xr:uid="{04BC081C-7A48-444D-8AF1-2A3FC6CA1398}"/>
    <cellStyle name="Currency 4 7 3 2 3 2 2" xfId="24541" xr:uid="{D6E565B6-A6A8-4EFD-A5AF-3008DD5A5CB6}"/>
    <cellStyle name="Currency 4 7 3 2 3 3" xfId="13094" xr:uid="{11ED8D07-4969-40C7-AAE7-6F880D465F5E}"/>
    <cellStyle name="Currency 4 7 3 2 3 3 2" xfId="27145" xr:uid="{14131234-5AEF-45B8-9913-D1FF4DF81017}"/>
    <cellStyle name="Currency 4 7 3 2 3 4" xfId="21069" xr:uid="{9FD5C270-928F-41A4-8A28-2093774F3616}"/>
    <cellStyle name="Currency 4 7 3 2 4" xfId="8754" xr:uid="{A86E41C0-A47E-43C9-9F62-EA709E732B4A}"/>
    <cellStyle name="Currency 4 7 3 2 4 2" xfId="13962" xr:uid="{CE854861-F10B-43A2-95C3-D43CE69AEBE5}"/>
    <cellStyle name="Currency 4 7 3 2 4 2 2" xfId="28013" xr:uid="{CDD2C63E-C0A6-481E-9F03-95FF29F9B715}"/>
    <cellStyle name="Currency 4 7 3 2 4 3" xfId="22805" xr:uid="{05EE1F14-2FA1-4C6B-929D-BA1D061F2444}"/>
    <cellStyle name="Currency 4 7 3 2 5" xfId="7886" xr:uid="{3ECABF95-6ACA-4221-BF1E-6CEB53F1735F}"/>
    <cellStyle name="Currency 4 7 3 2 5 2" xfId="21937" xr:uid="{140BEBC9-5EF7-40CF-BDF1-210957E69DD9}"/>
    <cellStyle name="Currency 4 7 3 2 6" xfId="11358" xr:uid="{021F76AD-FD0F-4194-9262-C4972F418DBB}"/>
    <cellStyle name="Currency 4 7 3 2 6 2" xfId="25409" xr:uid="{7D4B30FD-F0BF-4209-BCB0-34D946E2915E}"/>
    <cellStyle name="Currency 4 7 3 2 7" xfId="19333" xr:uid="{9448F65B-FA47-47B1-81AA-3F4B53B62867}"/>
    <cellStyle name="Currency 4 7 3 3" xfId="5716" xr:uid="{2AFC307F-26E4-4469-BE56-07D18E4EFB4B}"/>
    <cellStyle name="Currency 4 7 3 3 2" xfId="9188" xr:uid="{8956DFF6-2439-4AD7-A0FD-A5B2D2073DF9}"/>
    <cellStyle name="Currency 4 7 3 3 2 2" xfId="23239" xr:uid="{55ADC525-813A-4A94-AAD6-885CFDDFE6FF}"/>
    <cellStyle name="Currency 4 7 3 3 3" xfId="11792" xr:uid="{E64C4FD8-06BA-45CE-9DFC-D5E1555DBF64}"/>
    <cellStyle name="Currency 4 7 3 3 3 2" xfId="25843" xr:uid="{97F4E8B1-90B3-44A2-804B-0E81CA899B86}"/>
    <cellStyle name="Currency 4 7 3 3 4" xfId="19767" xr:uid="{EF5C5FB6-8EE7-4B0C-8877-0EA5AE3C9134}"/>
    <cellStyle name="Currency 4 7 3 4" xfId="6584" xr:uid="{E246F6A0-41DA-44E9-A026-F04C1E70AFF7}"/>
    <cellStyle name="Currency 4 7 3 4 2" xfId="10056" xr:uid="{EEA4AE0A-A293-47B0-A2FC-AB74072A7D9D}"/>
    <cellStyle name="Currency 4 7 3 4 2 2" xfId="24107" xr:uid="{BA34C750-CA45-4612-A81C-AFC989FC4263}"/>
    <cellStyle name="Currency 4 7 3 4 3" xfId="12660" xr:uid="{85917FE1-6E1D-413C-BE7A-091E15BCE2E3}"/>
    <cellStyle name="Currency 4 7 3 4 3 2" xfId="26711" xr:uid="{BFEBF0DF-A669-44CD-8FFB-35B56B569054}"/>
    <cellStyle name="Currency 4 7 3 4 4" xfId="20635" xr:uid="{9C081568-4312-44E8-AC6F-20DA281B0CDB}"/>
    <cellStyle name="Currency 4 7 3 5" xfId="8320" xr:uid="{18201289-79C5-4A82-822E-56650CBB298A}"/>
    <cellStyle name="Currency 4 7 3 5 2" xfId="13528" xr:uid="{68E026C7-EE28-4F78-877C-077F5E0EEEAE}"/>
    <cellStyle name="Currency 4 7 3 5 2 2" xfId="27579" xr:uid="{97BE0FB2-4CAD-4CDD-97A1-22BBBB1E330E}"/>
    <cellStyle name="Currency 4 7 3 5 3" xfId="22371" xr:uid="{421A23BF-998A-43B1-AB73-44E1700402EB}"/>
    <cellStyle name="Currency 4 7 3 6" xfId="7452" xr:uid="{48DEE128-8B6C-499F-A7A2-C344C523D394}"/>
    <cellStyle name="Currency 4 7 3 6 2" xfId="21503" xr:uid="{89174159-D349-4383-BD7B-B63CC98E49CB}"/>
    <cellStyle name="Currency 4 7 3 7" xfId="10924" xr:uid="{B77FCAD0-07D9-4284-BD98-A50471F060B5}"/>
    <cellStyle name="Currency 4 7 3 7 2" xfId="24975" xr:uid="{36B3BF9B-10BB-4E24-81F2-9AACB3B6879C}"/>
    <cellStyle name="Currency 4 7 3 8" xfId="17410" xr:uid="{150104A7-B2AC-411C-8D5F-8B89DE01D216}"/>
    <cellStyle name="Currency 4 7 4" xfId="5090" xr:uid="{5BFD2432-5097-4699-BCA9-197D798B7643}"/>
    <cellStyle name="Currency 4 7 4 2" xfId="5958" xr:uid="{E2DECFEE-D5C7-4EAE-80C3-EB8574613E7B}"/>
    <cellStyle name="Currency 4 7 4 2 2" xfId="9430" xr:uid="{8EE7DAA2-859E-4F67-A263-9541FE0CBEEE}"/>
    <cellStyle name="Currency 4 7 4 2 2 2" xfId="23481" xr:uid="{A06DC64D-C177-4291-82EE-011DED778382}"/>
    <cellStyle name="Currency 4 7 4 2 3" xfId="12034" xr:uid="{FC2718CF-10A0-44C8-914D-BAA07AA61FF9}"/>
    <cellStyle name="Currency 4 7 4 2 3 2" xfId="26085" xr:uid="{CC5EF150-64EB-4EBF-A310-4D24453A412A}"/>
    <cellStyle name="Currency 4 7 4 2 4" xfId="20009" xr:uid="{70F401A3-33BF-4B30-895B-086A7CADBDB4}"/>
    <cellStyle name="Currency 4 7 4 3" xfId="6826" xr:uid="{B139DECB-8EAE-4E97-8CA2-846FDC0AAC12}"/>
    <cellStyle name="Currency 4 7 4 3 2" xfId="10298" xr:uid="{AC0A844E-7EEF-49D2-A447-D9DFABB86DB8}"/>
    <cellStyle name="Currency 4 7 4 3 2 2" xfId="24349" xr:uid="{9CC166EE-FF68-4283-B9F9-3CD433C22A62}"/>
    <cellStyle name="Currency 4 7 4 3 3" xfId="12902" xr:uid="{C7F8FA95-61AB-413A-934D-E361C1D0B916}"/>
    <cellStyle name="Currency 4 7 4 3 3 2" xfId="26953" xr:uid="{FE40D806-0E68-42AD-B646-B6A81800CB02}"/>
    <cellStyle name="Currency 4 7 4 3 4" xfId="20877" xr:uid="{8BA1B911-1873-49EA-B1F1-A1E8864B8623}"/>
    <cellStyle name="Currency 4 7 4 4" xfId="8562" xr:uid="{35DF11D7-5F27-47A2-99C1-D5D5BB1DA48C}"/>
    <cellStyle name="Currency 4 7 4 4 2" xfId="13770" xr:uid="{E6E755CA-5B41-4DB3-A4B2-7F3CA19D0B62}"/>
    <cellStyle name="Currency 4 7 4 4 2 2" xfId="27821" xr:uid="{F6D24337-E0F6-4FA0-AE59-86A81D84CDFD}"/>
    <cellStyle name="Currency 4 7 4 4 3" xfId="22613" xr:uid="{0C139A92-F8F6-4927-AD75-1C2B37324311}"/>
    <cellStyle name="Currency 4 7 4 5" xfId="7694" xr:uid="{FE2B9ECE-AF4D-4ACC-97CC-2721C7019115}"/>
    <cellStyle name="Currency 4 7 4 5 2" xfId="21745" xr:uid="{D3AE32E6-636D-4860-A9F8-8BA69663BE4F}"/>
    <cellStyle name="Currency 4 7 4 6" xfId="11166" xr:uid="{3C4603C7-15BA-42CB-A84B-DD1BCC3910D1}"/>
    <cellStyle name="Currency 4 7 4 6 2" xfId="25217" xr:uid="{4C31CD0C-54B4-4FC6-A8A9-73DA3AECCB80}"/>
    <cellStyle name="Currency 4 7 4 7" xfId="19141" xr:uid="{A4FA2B01-4FBE-498B-AFB1-07136C949D37}"/>
    <cellStyle name="Currency 4 7 5" xfId="5524" xr:uid="{218D950B-E71B-4ADB-ACEA-5F1F7EDC8FB2}"/>
    <cellStyle name="Currency 4 7 5 2" xfId="8996" xr:uid="{2EBCCC6F-3F0F-46F9-8C9C-E16DC91890FE}"/>
    <cellStyle name="Currency 4 7 5 2 2" xfId="23047" xr:uid="{142F47E9-E22A-436B-931E-92D2A4131825}"/>
    <cellStyle name="Currency 4 7 5 3" xfId="11600" xr:uid="{C8FD0EC6-97D3-4B84-89E3-40CB210144BF}"/>
    <cellStyle name="Currency 4 7 5 3 2" xfId="25651" xr:uid="{B6C74247-19F8-4007-8145-C854EBC18FCA}"/>
    <cellStyle name="Currency 4 7 5 4" xfId="19575" xr:uid="{FA052963-93CE-46B5-90C9-F6321E3C8588}"/>
    <cellStyle name="Currency 4 7 6" xfId="6392" xr:uid="{70CFA524-8E84-4B1C-9A7D-78D6973817B5}"/>
    <cellStyle name="Currency 4 7 6 2" xfId="9864" xr:uid="{630019A7-C3FB-41B7-ABB0-ACA14D7FC605}"/>
    <cellStyle name="Currency 4 7 6 2 2" xfId="23915" xr:uid="{44D8652A-2301-45F4-B9AF-EFF412AA8EE6}"/>
    <cellStyle name="Currency 4 7 6 3" xfId="12468" xr:uid="{7F9DC689-38A9-4CFE-80F1-F2053ACDE0D6}"/>
    <cellStyle name="Currency 4 7 6 3 2" xfId="26519" xr:uid="{D2670BAC-3257-424A-A01C-A81BCE65BF32}"/>
    <cellStyle name="Currency 4 7 6 4" xfId="20443" xr:uid="{BA0F0107-47B5-44E8-A3C1-E29CB17F2EF6}"/>
    <cellStyle name="Currency 4 7 7" xfId="8128" xr:uid="{67544FCE-65BC-4802-B44F-F0E7887E5EFD}"/>
    <cellStyle name="Currency 4 7 7 2" xfId="13336" xr:uid="{745F5FFF-D14D-423F-924A-5E30006863B5}"/>
    <cellStyle name="Currency 4 7 7 2 2" xfId="27387" xr:uid="{7BE91A33-CC31-4156-8116-A17A7D45A528}"/>
    <cellStyle name="Currency 4 7 7 3" xfId="22179" xr:uid="{21D65CF0-4ED7-44AE-AC2B-6845D08CDA78}"/>
    <cellStyle name="Currency 4 7 8" xfId="7260" xr:uid="{7DF07BC6-FC5F-4237-A965-FED5988A0A37}"/>
    <cellStyle name="Currency 4 7 8 2" xfId="21311" xr:uid="{696A6F85-5E2F-4F0C-91BE-3ACE89D031D5}"/>
    <cellStyle name="Currency 4 7 9" xfId="10732" xr:uid="{D8C441DB-3405-4C75-BFF4-3A2AA57CBEA7}"/>
    <cellStyle name="Currency 4 7 9 2" xfId="24783" xr:uid="{66CC4217-105C-4A72-91D5-9920C7EB8733}"/>
    <cellStyle name="Currency 4 8" xfId="1229" xr:uid="{ED42E799-550B-43C2-914D-A826114671A4}"/>
    <cellStyle name="Currency 4 8 2" xfId="3419" xr:uid="{2F5818A9-64F4-4477-970E-6F45D13D4936}"/>
    <cellStyle name="Currency 4 8 2 2" xfId="5288" xr:uid="{6A36FD0E-82BC-4830-82F4-4F2B84C0DD01}"/>
    <cellStyle name="Currency 4 8 2 2 2" xfId="6156" xr:uid="{BDD4DF9D-C588-4292-8AD4-080F70137BEE}"/>
    <cellStyle name="Currency 4 8 2 2 2 2" xfId="9628" xr:uid="{4E22F7FE-FDE9-4937-A541-A3FD037F9BE2}"/>
    <cellStyle name="Currency 4 8 2 2 2 2 2" xfId="23679" xr:uid="{04F1FF20-5283-458A-81D2-1B94E678B2E5}"/>
    <cellStyle name="Currency 4 8 2 2 2 3" xfId="12232" xr:uid="{10F4A1B3-1856-48E3-AD02-B0931589CE95}"/>
    <cellStyle name="Currency 4 8 2 2 2 3 2" xfId="26283" xr:uid="{BB158DFF-3901-4E2A-9C98-523759D50587}"/>
    <cellStyle name="Currency 4 8 2 2 2 4" xfId="20207" xr:uid="{50E28418-AC68-4AAE-914A-CF9628125C75}"/>
    <cellStyle name="Currency 4 8 2 2 3" xfId="7024" xr:uid="{0B01E973-1539-4478-9FE9-6E261F07DC28}"/>
    <cellStyle name="Currency 4 8 2 2 3 2" xfId="10496" xr:uid="{FAC17942-B67E-4661-BDDD-35AB94258159}"/>
    <cellStyle name="Currency 4 8 2 2 3 2 2" xfId="24547" xr:uid="{9A7EDD4F-A226-483D-B7B3-41D50D5957B6}"/>
    <cellStyle name="Currency 4 8 2 2 3 3" xfId="13100" xr:uid="{33C86D6D-D4CD-4FD6-B886-622B1A472152}"/>
    <cellStyle name="Currency 4 8 2 2 3 3 2" xfId="27151" xr:uid="{3405FF97-F642-4446-8583-BFC93F1DD293}"/>
    <cellStyle name="Currency 4 8 2 2 3 4" xfId="21075" xr:uid="{8A9A6F89-CFF0-4426-A529-264581BFFBD5}"/>
    <cellStyle name="Currency 4 8 2 2 4" xfId="8760" xr:uid="{EA98EE7E-0295-4797-9D23-A57D99C3F227}"/>
    <cellStyle name="Currency 4 8 2 2 4 2" xfId="13968" xr:uid="{015BFD55-C19D-435E-803F-87AAF724D99F}"/>
    <cellStyle name="Currency 4 8 2 2 4 2 2" xfId="28019" xr:uid="{0816672A-AF92-4033-90D9-41ABBF10E566}"/>
    <cellStyle name="Currency 4 8 2 2 4 3" xfId="22811" xr:uid="{DEF34FCE-52A1-4606-8E8C-2147E7E7ED5C}"/>
    <cellStyle name="Currency 4 8 2 2 5" xfId="7892" xr:uid="{F8791486-22A2-4BFE-BC0C-1FE43E16674A}"/>
    <cellStyle name="Currency 4 8 2 2 5 2" xfId="21943" xr:uid="{9C94915A-6007-4573-8DE7-941AC9D94387}"/>
    <cellStyle name="Currency 4 8 2 2 6" xfId="11364" xr:uid="{EF3D455A-4068-4246-BF26-4425F3483A46}"/>
    <cellStyle name="Currency 4 8 2 2 6 2" xfId="25415" xr:uid="{73745FB7-6738-416C-B5B8-BB4819472291}"/>
    <cellStyle name="Currency 4 8 2 2 7" xfId="19339" xr:uid="{75ED405D-5E61-4933-8220-D79A60E55FBD}"/>
    <cellStyle name="Currency 4 8 2 3" xfId="5722" xr:uid="{D16921F2-9EBB-4071-BD7C-C8B7F2F8001B}"/>
    <cellStyle name="Currency 4 8 2 3 2" xfId="9194" xr:uid="{6024B72B-68AA-4573-AFDA-14E2F2EF96A9}"/>
    <cellStyle name="Currency 4 8 2 3 2 2" xfId="23245" xr:uid="{BBCAFA06-4BF2-44EF-A1A5-750704DAA9C0}"/>
    <cellStyle name="Currency 4 8 2 3 3" xfId="11798" xr:uid="{A43F7632-CD5E-4D10-95C9-DA2B61226665}"/>
    <cellStyle name="Currency 4 8 2 3 3 2" xfId="25849" xr:uid="{99339ACA-1A8A-4085-B0A3-089220FC0574}"/>
    <cellStyle name="Currency 4 8 2 3 4" xfId="19773" xr:uid="{6CA6A40C-05B1-4255-BA83-202FDDBF9DB3}"/>
    <cellStyle name="Currency 4 8 2 4" xfId="6590" xr:uid="{9AC01F64-7BED-4C4B-8A4C-AED25004EB75}"/>
    <cellStyle name="Currency 4 8 2 4 2" xfId="10062" xr:uid="{6F81A35F-743C-425B-9AF6-EC272FBFA90B}"/>
    <cellStyle name="Currency 4 8 2 4 2 2" xfId="24113" xr:uid="{2B0FD342-61D3-4D3C-A28D-8A106B548F2A}"/>
    <cellStyle name="Currency 4 8 2 4 3" xfId="12666" xr:uid="{B7D5B9CE-F42D-4BA1-925F-8BDEA6A1ED7F}"/>
    <cellStyle name="Currency 4 8 2 4 3 2" xfId="26717" xr:uid="{224B5207-C1A0-4E5C-842D-0F34067A6466}"/>
    <cellStyle name="Currency 4 8 2 4 4" xfId="20641" xr:uid="{40899224-FDAE-4385-AA96-D1B42602C4AB}"/>
    <cellStyle name="Currency 4 8 2 5" xfId="8326" xr:uid="{D010CB3A-D669-4CA1-ACB1-6B17EB370A38}"/>
    <cellStyle name="Currency 4 8 2 5 2" xfId="13534" xr:uid="{E2F8D8A2-BD49-41E9-B18E-A8172FD31EEE}"/>
    <cellStyle name="Currency 4 8 2 5 2 2" xfId="27585" xr:uid="{E98BF183-3F6D-43C0-8C19-1907C435AE36}"/>
    <cellStyle name="Currency 4 8 2 5 3" xfId="22377" xr:uid="{AE4FDFCA-5C51-4A56-B1D8-2C5A2C315D3D}"/>
    <cellStyle name="Currency 4 8 2 6" xfId="7458" xr:uid="{FA717251-6371-4719-9438-4CFCF578A204}"/>
    <cellStyle name="Currency 4 8 2 6 2" xfId="21509" xr:uid="{6A3446E6-92D7-4307-AAC3-6AA36BCD462E}"/>
    <cellStyle name="Currency 4 8 2 7" xfId="10930" xr:uid="{96A1FDBF-6731-4990-9896-A4FAA0F1831D}"/>
    <cellStyle name="Currency 4 8 2 7 2" xfId="24981" xr:uid="{4DBD0FCA-D133-46DB-9037-B90A2AB534F2}"/>
    <cellStyle name="Currency 4 8 2 8" xfId="17471" xr:uid="{BDD38825-F06D-4F0A-9F91-D2E41D9CE81B}"/>
    <cellStyle name="Currency 4 8 3" xfId="5097" xr:uid="{C105CAFF-F3CF-492D-98FB-0454E6392D1D}"/>
    <cellStyle name="Currency 4 8 3 2" xfId="5965" xr:uid="{0D06023E-CAB7-4C09-A0F1-BE28B9CB90FC}"/>
    <cellStyle name="Currency 4 8 3 2 2" xfId="9437" xr:uid="{554571AC-21A8-49B7-8A8B-B485149852D8}"/>
    <cellStyle name="Currency 4 8 3 2 2 2" xfId="23488" xr:uid="{113305A0-90D4-4662-8AB4-0E24489B45D9}"/>
    <cellStyle name="Currency 4 8 3 2 3" xfId="12041" xr:uid="{3B53D7DC-AC0D-471A-9441-A41D4B615D9B}"/>
    <cellStyle name="Currency 4 8 3 2 3 2" xfId="26092" xr:uid="{ECBE9074-EFC7-49D4-91F6-C07B7B6B74ED}"/>
    <cellStyle name="Currency 4 8 3 2 4" xfId="20016" xr:uid="{CF24E23D-9FBF-4D06-9A8B-F0215558E464}"/>
    <cellStyle name="Currency 4 8 3 3" xfId="6833" xr:uid="{8C1B0987-4CCE-4DAE-869C-CE6084D59012}"/>
    <cellStyle name="Currency 4 8 3 3 2" xfId="10305" xr:uid="{5ECC7631-86BF-4275-B503-0E82DDF07719}"/>
    <cellStyle name="Currency 4 8 3 3 2 2" xfId="24356" xr:uid="{A7A85594-5BA3-49DC-BCC0-6204FA8A4D16}"/>
    <cellStyle name="Currency 4 8 3 3 3" xfId="12909" xr:uid="{F2784A26-74EC-4BDB-84DA-EC6262B52555}"/>
    <cellStyle name="Currency 4 8 3 3 3 2" xfId="26960" xr:uid="{EEEE7D71-1B5A-491C-8D44-72BD1C2B740A}"/>
    <cellStyle name="Currency 4 8 3 3 4" xfId="20884" xr:uid="{8187EE4F-2076-44F7-84EC-CBE657F15D80}"/>
    <cellStyle name="Currency 4 8 3 4" xfId="8569" xr:uid="{06C63D24-3ED4-4074-AD34-614666771933}"/>
    <cellStyle name="Currency 4 8 3 4 2" xfId="13777" xr:uid="{2C4B6900-88E4-42C3-8CCF-696DFDE2D090}"/>
    <cellStyle name="Currency 4 8 3 4 2 2" xfId="27828" xr:uid="{98F38CAE-8FAB-4262-947F-953EE71E770A}"/>
    <cellStyle name="Currency 4 8 3 4 3" xfId="22620" xr:uid="{DCA63B53-78B8-4FCD-B1A9-BDD2679BD704}"/>
    <cellStyle name="Currency 4 8 3 5" xfId="7701" xr:uid="{EB907997-C0AD-4FE8-BBAC-E260F8A53C64}"/>
    <cellStyle name="Currency 4 8 3 5 2" xfId="21752" xr:uid="{2A911155-33D2-4A50-8A69-9D9B70FFAA66}"/>
    <cellStyle name="Currency 4 8 3 6" xfId="11173" xr:uid="{FE7244D6-80F3-41B0-8F5B-F1CBB37FDFD6}"/>
    <cellStyle name="Currency 4 8 3 6 2" xfId="25224" xr:uid="{4BBF093D-9525-4BB9-AA41-E3C34202D39F}"/>
    <cellStyle name="Currency 4 8 3 7" xfId="19148" xr:uid="{58C5FE7D-F645-498A-9639-D9AB4803A52A}"/>
    <cellStyle name="Currency 4 8 4" xfId="5531" xr:uid="{737D79DF-6211-4E3C-BE72-CDB9C724A1CE}"/>
    <cellStyle name="Currency 4 8 4 2" xfId="9003" xr:uid="{2F2BBF30-9FC1-484B-B598-8E6AE5A5D3E9}"/>
    <cellStyle name="Currency 4 8 4 2 2" xfId="23054" xr:uid="{35125D9E-725F-41ED-A16B-4AC24F18F607}"/>
    <cellStyle name="Currency 4 8 4 3" xfId="11607" xr:uid="{1B9E52E0-FD8E-41A6-8F20-694F4048FB67}"/>
    <cellStyle name="Currency 4 8 4 3 2" xfId="25658" xr:uid="{8310FBC4-57E0-4203-A382-B43443281D58}"/>
    <cellStyle name="Currency 4 8 4 4" xfId="19582" xr:uid="{4BCF0FAD-411D-42B6-B552-1E2B82DB3BA4}"/>
    <cellStyle name="Currency 4 8 5" xfId="6399" xr:uid="{A14D2C9C-07C5-4292-AD98-A47DADB1CA3E}"/>
    <cellStyle name="Currency 4 8 5 2" xfId="9871" xr:uid="{8F76CBBD-B47C-42A2-87FD-ED3457E1701E}"/>
    <cellStyle name="Currency 4 8 5 2 2" xfId="23922" xr:uid="{04B684D8-162D-4A78-A673-4F42C374B014}"/>
    <cellStyle name="Currency 4 8 5 3" xfId="12475" xr:uid="{79F000DF-0348-4CE7-B864-D8337FE660C2}"/>
    <cellStyle name="Currency 4 8 5 3 2" xfId="26526" xr:uid="{2C49CFC6-F2C1-4F11-8D52-1FA483431EB9}"/>
    <cellStyle name="Currency 4 8 5 4" xfId="20450" xr:uid="{200A0F28-A796-4DD7-820E-83CDC60D594F}"/>
    <cellStyle name="Currency 4 8 6" xfId="8135" xr:uid="{B85F1FBD-4D80-4ECA-B5EC-70EFB4547FF3}"/>
    <cellStyle name="Currency 4 8 6 2" xfId="13343" xr:uid="{60C16444-1CD9-440E-AB90-635FFC92756F}"/>
    <cellStyle name="Currency 4 8 6 2 2" xfId="27394" xr:uid="{F4384B62-EDD3-4142-8A66-C4DE4C526B0E}"/>
    <cellStyle name="Currency 4 8 6 3" xfId="22186" xr:uid="{85A10D3A-4637-4B39-9A8C-2D5F16932378}"/>
    <cellStyle name="Currency 4 8 7" xfId="7267" xr:uid="{28ADE232-EBB3-4A3A-8039-57CF7395CCF9}"/>
    <cellStyle name="Currency 4 8 7 2" xfId="21318" xr:uid="{CADF0DFF-A872-48C9-B8E0-80D89BB0A8DD}"/>
    <cellStyle name="Currency 4 8 8" xfId="10739" xr:uid="{077BB57D-4F43-41FD-9642-213B9554126E}"/>
    <cellStyle name="Currency 4 8 8 2" xfId="24790" xr:uid="{71A9E7B1-6D6E-4DAB-AD63-5BDAD5810DDF}"/>
    <cellStyle name="Currency 4 8 9" xfId="15277" xr:uid="{3C083F2E-7BB6-4F1C-B08E-653EB16BA354}"/>
    <cellStyle name="Currency 4 9" xfId="2320" xr:uid="{D5047B5C-6781-4DA2-8B3B-24581ACB5B05}"/>
    <cellStyle name="Currency 4 9 2" xfId="5192" xr:uid="{D2497B74-DAAB-4995-8079-64418480385E}"/>
    <cellStyle name="Currency 4 9 2 2" xfId="6060" xr:uid="{80DA545E-4518-4DE8-A05B-658632EB715C}"/>
    <cellStyle name="Currency 4 9 2 2 2" xfId="9532" xr:uid="{2D7E1EA9-518F-4552-85BF-9A1320CDFBD7}"/>
    <cellStyle name="Currency 4 9 2 2 2 2" xfId="23583" xr:uid="{5EB57311-D0F7-42FA-99E4-C596E7A27D18}"/>
    <cellStyle name="Currency 4 9 2 2 3" xfId="12136" xr:uid="{F8D157B1-F665-40F3-8C77-5EAD397243A2}"/>
    <cellStyle name="Currency 4 9 2 2 3 2" xfId="26187" xr:uid="{772A1A7A-0E94-4F49-A147-F38C3315BCFB}"/>
    <cellStyle name="Currency 4 9 2 2 4" xfId="20111" xr:uid="{CCFB23B2-75D9-4C2D-B4F3-BC4AFC081A8E}"/>
    <cellStyle name="Currency 4 9 2 3" xfId="6928" xr:uid="{86C28844-9C5A-4321-83B8-B09E17A6FB6D}"/>
    <cellStyle name="Currency 4 9 2 3 2" xfId="10400" xr:uid="{E5367F52-D9D8-49D1-A8C6-601906FE6BFE}"/>
    <cellStyle name="Currency 4 9 2 3 2 2" xfId="24451" xr:uid="{3BA8912C-1390-4A8C-A2E4-1662F5395214}"/>
    <cellStyle name="Currency 4 9 2 3 3" xfId="13004" xr:uid="{1970EAC7-CE8F-4524-B71B-923D218DCEB2}"/>
    <cellStyle name="Currency 4 9 2 3 3 2" xfId="27055" xr:uid="{6EECE725-3A9D-4A11-8282-CEB4ABD967E8}"/>
    <cellStyle name="Currency 4 9 2 3 4" xfId="20979" xr:uid="{A0DC958B-6DC8-4B99-A841-D28A680B581C}"/>
    <cellStyle name="Currency 4 9 2 4" xfId="8664" xr:uid="{0C45F6A7-5514-419D-85CA-D7937A13D385}"/>
    <cellStyle name="Currency 4 9 2 4 2" xfId="13872" xr:uid="{F25983EF-AB31-4C06-B39E-D82004754A19}"/>
    <cellStyle name="Currency 4 9 2 4 2 2" xfId="27923" xr:uid="{E969B7BC-72E4-4F19-B328-1C25C0CA89E0}"/>
    <cellStyle name="Currency 4 9 2 4 3" xfId="22715" xr:uid="{935B0715-A058-4702-902C-E46A34DE10C0}"/>
    <cellStyle name="Currency 4 9 2 5" xfId="7796" xr:uid="{267515EB-8632-4BEA-812F-68B53620B877}"/>
    <cellStyle name="Currency 4 9 2 5 2" xfId="21847" xr:uid="{D503FD8F-AEDB-4E5A-B54D-BC528174D6DA}"/>
    <cellStyle name="Currency 4 9 2 6" xfId="11268" xr:uid="{BC44A2B7-0BBF-49E4-B216-FBFAE319C613}"/>
    <cellStyle name="Currency 4 9 2 6 2" xfId="25319" xr:uid="{AE92AFBE-6483-4AC5-BD41-F16E5850AE3F}"/>
    <cellStyle name="Currency 4 9 2 7" xfId="19243" xr:uid="{08B7F5A2-30A7-489F-A857-FD21FBD89B8B}"/>
    <cellStyle name="Currency 4 9 3" xfId="5626" xr:uid="{48BA9E5B-1328-4607-8A2D-E0F770940562}"/>
    <cellStyle name="Currency 4 9 3 2" xfId="9098" xr:uid="{85E09BB0-36D0-4464-849D-FA3EC09548F9}"/>
    <cellStyle name="Currency 4 9 3 2 2" xfId="23149" xr:uid="{7BB13B73-AA14-4FCB-B845-D1E286D08632}"/>
    <cellStyle name="Currency 4 9 3 3" xfId="11702" xr:uid="{5232B3F4-9E62-4415-A096-4F53BA77033B}"/>
    <cellStyle name="Currency 4 9 3 3 2" xfId="25753" xr:uid="{C410439D-1B8A-461C-835B-35D0014B4753}"/>
    <cellStyle name="Currency 4 9 3 4" xfId="19677" xr:uid="{C2739B40-FEB2-4476-A653-AF7ECC4D5BD0}"/>
    <cellStyle name="Currency 4 9 4" xfId="6494" xr:uid="{1360850A-6893-4DB4-98D3-C0A9E6185D10}"/>
    <cellStyle name="Currency 4 9 4 2" xfId="9966" xr:uid="{9BD6502E-525F-45D4-A1F6-CDBC52EB3A48}"/>
    <cellStyle name="Currency 4 9 4 2 2" xfId="24017" xr:uid="{BAAF93D3-76F2-4EF4-9DB5-BF15A16CD72A}"/>
    <cellStyle name="Currency 4 9 4 3" xfId="12570" xr:uid="{2920790E-753D-4598-918B-B74DD44BBD4E}"/>
    <cellStyle name="Currency 4 9 4 3 2" xfId="26621" xr:uid="{C9560C85-A6D4-419A-B494-11CE1481D3F8}"/>
    <cellStyle name="Currency 4 9 4 4" xfId="20545" xr:uid="{74DC308A-BB91-4BAF-823C-EC453031FF60}"/>
    <cellStyle name="Currency 4 9 5" xfId="8230" xr:uid="{F118C9DF-B00E-4328-AF6C-342F846D8425}"/>
    <cellStyle name="Currency 4 9 5 2" xfId="13438" xr:uid="{0EF39704-6772-4008-99AE-6D792C59301B}"/>
    <cellStyle name="Currency 4 9 5 2 2" xfId="27489" xr:uid="{475CA1E5-57C0-40F9-A69C-FB8AAF9E46BD}"/>
    <cellStyle name="Currency 4 9 5 3" xfId="22281" xr:uid="{0EFF29BC-136E-4DC2-8E24-51B713D49C3D}"/>
    <cellStyle name="Currency 4 9 6" xfId="7362" xr:uid="{40566364-8D0A-467A-8568-F46ED43C0137}"/>
    <cellStyle name="Currency 4 9 6 2" xfId="21413" xr:uid="{11B9F22B-ADC4-4D3B-BBDD-44A1DD7B3184}"/>
    <cellStyle name="Currency 4 9 7" xfId="10834" xr:uid="{62FB4E3B-96B9-4898-AD21-B4B866CBF77B}"/>
    <cellStyle name="Currency 4 9 7 2" xfId="24885" xr:uid="{78B9A398-9F2C-4FA3-928A-DF9B4FBB9BB6}"/>
    <cellStyle name="Currency 4 9 8" xfId="16371" xr:uid="{5A70EC2E-3F7E-4717-9135-36C864E18ECB}"/>
    <cellStyle name="Currency 5" xfId="267" xr:uid="{765389DE-A3AA-4912-91DA-5EF8037B7014}"/>
    <cellStyle name="Currency 5 2" xfId="621" xr:uid="{4F778EDA-919E-49A1-BB0D-63D819AC55F1}"/>
    <cellStyle name="Currency 5 2 2" xfId="5041" xr:uid="{9B6E710C-CD57-4467-8CCC-2F45B3DAA56D}"/>
    <cellStyle name="Currency 5 2 2 2" xfId="5909" xr:uid="{3734B058-56B9-4FCE-B471-02D5EC4A4C9E}"/>
    <cellStyle name="Currency 5 2 2 2 2" xfId="9381" xr:uid="{D9502A9A-FA1A-4A58-A4F0-F9572337169D}"/>
    <cellStyle name="Currency 5 2 2 2 2 2" xfId="23432" xr:uid="{6174376B-568E-4DB9-AF5F-D73D41426B04}"/>
    <cellStyle name="Currency 5 2 2 2 3" xfId="11985" xr:uid="{72807BBC-9C86-467A-8F0B-18508334687D}"/>
    <cellStyle name="Currency 5 2 2 2 3 2" xfId="26036" xr:uid="{664AA106-0C39-444A-9BAA-ACE5013B645C}"/>
    <cellStyle name="Currency 5 2 2 2 4" xfId="19960" xr:uid="{6B5A70AE-61A2-4598-9B31-6A28E4B9E605}"/>
    <cellStyle name="Currency 5 2 2 3" xfId="6777" xr:uid="{02282180-41AA-4B0D-A9D4-41004295A22A}"/>
    <cellStyle name="Currency 5 2 2 3 2" xfId="10249" xr:uid="{8559BA51-3DBA-4E99-8C9B-00A5AF074C55}"/>
    <cellStyle name="Currency 5 2 2 3 2 2" xfId="24300" xr:uid="{457881D7-4A92-48EB-A571-B4B140A5F575}"/>
    <cellStyle name="Currency 5 2 2 3 3" xfId="12853" xr:uid="{23D4227A-0997-437A-B5FE-0E85CD051186}"/>
    <cellStyle name="Currency 5 2 2 3 3 2" xfId="26904" xr:uid="{65950BFB-EF08-4512-80DE-6A8405430F01}"/>
    <cellStyle name="Currency 5 2 2 3 4" xfId="20828" xr:uid="{357B1C81-1C8C-4B70-AA38-795138D70E96}"/>
    <cellStyle name="Currency 5 2 2 4" xfId="8513" xr:uid="{629A616B-147F-4554-9881-D4FE8B304928}"/>
    <cellStyle name="Currency 5 2 2 4 2" xfId="13721" xr:uid="{799338AC-E86B-4105-B772-36A06E6F4988}"/>
    <cellStyle name="Currency 5 2 2 4 2 2" xfId="27772" xr:uid="{888FDE8D-BF45-499E-9BAB-B959D6310A78}"/>
    <cellStyle name="Currency 5 2 2 4 3" xfId="22564" xr:uid="{873CB36A-36D1-4CDE-8A8E-30A4BD58464A}"/>
    <cellStyle name="Currency 5 2 2 5" xfId="7645" xr:uid="{C1D2942B-EDAE-4237-9A69-E57BE0882C28}"/>
    <cellStyle name="Currency 5 2 2 5 2" xfId="21696" xr:uid="{3149EA46-00EC-484A-9FA6-05CB6CF5183B}"/>
    <cellStyle name="Currency 5 2 2 6" xfId="11117" xr:uid="{D81B1038-AA66-4161-A4E6-AA07AB943933}"/>
    <cellStyle name="Currency 5 2 2 6 2" xfId="25168" xr:uid="{59861B9D-17FE-4695-BC07-7C6B9EF531C4}"/>
    <cellStyle name="Currency 5 2 2 7" xfId="19092" xr:uid="{CD3AD2F8-6344-453B-AB7F-C92BA4879A71}"/>
    <cellStyle name="Currency 5 2 3" xfId="5475" xr:uid="{AF6F5CBC-5DE7-41DE-A849-85FBAC6C7E2D}"/>
    <cellStyle name="Currency 5 2 3 2" xfId="8947" xr:uid="{CC3F3475-75AA-44BC-B976-4A092CD78A39}"/>
    <cellStyle name="Currency 5 2 3 2 2" xfId="22998" xr:uid="{FF5BC78D-7DCB-4136-98FD-9C0BCF0B5F39}"/>
    <cellStyle name="Currency 5 2 3 3" xfId="11551" xr:uid="{610324A4-582B-4FB6-8E4E-7ABAF00ECA4C}"/>
    <cellStyle name="Currency 5 2 3 3 2" xfId="25602" xr:uid="{59157F8A-A444-4D16-8D61-8CB64B43F892}"/>
    <cellStyle name="Currency 5 2 3 4" xfId="19526" xr:uid="{41E250CC-4A56-415C-8D22-D73853FA15F4}"/>
    <cellStyle name="Currency 5 2 4" xfId="6343" xr:uid="{C9A70683-2DE1-4889-8124-36F705664039}"/>
    <cellStyle name="Currency 5 2 4 2" xfId="9815" xr:uid="{0D5E95D6-DB88-4A82-8FD4-BE4CB3F222EB}"/>
    <cellStyle name="Currency 5 2 4 2 2" xfId="23866" xr:uid="{8B6BE7FB-C84F-4BD8-84AA-35B20ECE93BA}"/>
    <cellStyle name="Currency 5 2 4 3" xfId="12419" xr:uid="{FCA8AD1F-FD13-41A3-806F-630E413C497A}"/>
    <cellStyle name="Currency 5 2 4 3 2" xfId="26470" xr:uid="{A69C4D2D-44B6-45EC-9961-320A3B9F160A}"/>
    <cellStyle name="Currency 5 2 4 4" xfId="20394" xr:uid="{A50769B9-777D-4E9D-BF27-1B2EC4A7BBC8}"/>
    <cellStyle name="Currency 5 2 5" xfId="8079" xr:uid="{5F51356E-DB9D-4AD5-A9A6-850E48172E7F}"/>
    <cellStyle name="Currency 5 2 5 2" xfId="13287" xr:uid="{165AD8BC-A9BC-45F1-81E0-06EB9AEA4CD6}"/>
    <cellStyle name="Currency 5 2 5 2 2" xfId="27338" xr:uid="{39E4C9D5-08C8-460E-ABE1-BD5A592D5898}"/>
    <cellStyle name="Currency 5 2 5 3" xfId="22130" xr:uid="{1F39FD93-11D5-4AF0-AE5F-F2E91AE6E83A}"/>
    <cellStyle name="Currency 5 2 6" xfId="7211" xr:uid="{5BECDF5F-3A32-4B29-A8B4-FE89B9CAE6D9}"/>
    <cellStyle name="Currency 5 2 6 2" xfId="21262" xr:uid="{1E49E98E-E815-440F-8E31-C576E1F35DD6}"/>
    <cellStyle name="Currency 5 2 7" xfId="10683" xr:uid="{D4F03E70-57A9-4874-9D0B-E4BD43AABF47}"/>
    <cellStyle name="Currency 5 2 7 2" xfId="24734" xr:uid="{CF62F8B8-CAE2-4550-AAC9-8656EC02A2F1}"/>
    <cellStyle name="Currency 5 2 8" xfId="14672" xr:uid="{E56B9B4A-68DC-4E72-A130-3C5AB59BFF1A}"/>
    <cellStyle name="Currency 5 3" xfId="5009" xr:uid="{207CDDD9-D720-431D-9BA4-D1FC07D6E0F9}"/>
    <cellStyle name="Currency 5 3 2" xfId="5877" xr:uid="{51346627-AEB9-4678-A19A-7CF1C5CD114C}"/>
    <cellStyle name="Currency 5 3 2 2" xfId="9349" xr:uid="{4D1331AD-75AD-452A-B954-A61C26EEB755}"/>
    <cellStyle name="Currency 5 3 2 2 2" xfId="23400" xr:uid="{747B5594-25F5-405E-9388-C577C0BFC9E8}"/>
    <cellStyle name="Currency 5 3 2 3" xfId="11953" xr:uid="{A529A0D8-A61D-447F-8E18-4358462DD96D}"/>
    <cellStyle name="Currency 5 3 2 3 2" xfId="26004" xr:uid="{3301A270-1CA2-42BE-AA85-39599B3E6BD9}"/>
    <cellStyle name="Currency 5 3 2 4" xfId="19928" xr:uid="{3C3279B0-BC81-40CE-B11F-F836C7F9DD39}"/>
    <cellStyle name="Currency 5 3 3" xfId="6745" xr:uid="{B8CC2586-DB74-43FC-BC85-72DDFB868D1A}"/>
    <cellStyle name="Currency 5 3 3 2" xfId="10217" xr:uid="{038D0274-2461-4821-B68F-3E12670C852A}"/>
    <cellStyle name="Currency 5 3 3 2 2" xfId="24268" xr:uid="{B4C42F49-8EC0-4823-9B2B-6434DFE6923C}"/>
    <cellStyle name="Currency 5 3 3 3" xfId="12821" xr:uid="{1131BADE-5760-4517-9C6A-707C54A50654}"/>
    <cellStyle name="Currency 5 3 3 3 2" xfId="26872" xr:uid="{80189AF2-E0A0-4365-9E89-99B4927AA282}"/>
    <cellStyle name="Currency 5 3 3 4" xfId="20796" xr:uid="{3EEF9E01-562F-445C-9432-F01546F1A972}"/>
    <cellStyle name="Currency 5 3 4" xfId="8481" xr:uid="{CB765C7A-2E8A-45D1-9424-A8A16285459B}"/>
    <cellStyle name="Currency 5 3 4 2" xfId="13689" xr:uid="{2F4A1651-BB49-4C2E-9D8C-E5F9C736200D}"/>
    <cellStyle name="Currency 5 3 4 2 2" xfId="27740" xr:uid="{6A4B8E54-A68A-46D9-AED1-44B08C537A56}"/>
    <cellStyle name="Currency 5 3 4 3" xfId="22532" xr:uid="{95CA7F7A-7BCC-40A4-8A42-63FA2CCB0BB0}"/>
    <cellStyle name="Currency 5 3 5" xfId="7613" xr:uid="{4024E38A-8E6C-4C77-938B-8593B49E997D}"/>
    <cellStyle name="Currency 5 3 5 2" xfId="21664" xr:uid="{E9A524E3-DB1E-4D1E-BB85-6424961531DD}"/>
    <cellStyle name="Currency 5 3 6" xfId="11085" xr:uid="{033CD820-0ACD-4843-A7FF-4F8E456125A3}"/>
    <cellStyle name="Currency 5 3 6 2" xfId="25136" xr:uid="{12502F97-1CAD-4518-B668-07D708E5BCC8}"/>
    <cellStyle name="Currency 5 3 7" xfId="19060" xr:uid="{91BA35A1-AAA2-4D65-BA08-2A9CC54FD580}"/>
    <cellStyle name="Currency 5 4" xfId="5443" xr:uid="{9FDB033D-CBB0-4505-A499-458E77E76ACC}"/>
    <cellStyle name="Currency 5 4 2" xfId="8915" xr:uid="{F81418B3-64C6-46B4-93BF-CA4F06383133}"/>
    <cellStyle name="Currency 5 4 2 2" xfId="22966" xr:uid="{6137A4A3-F129-45CB-B879-B561B036ADB9}"/>
    <cellStyle name="Currency 5 4 3" xfId="11519" xr:uid="{F44F84B6-1A65-41BD-A40B-DC0C9D5DBE65}"/>
    <cellStyle name="Currency 5 4 3 2" xfId="25570" xr:uid="{C9449C3D-A831-44AD-AC33-060665AEEDD9}"/>
    <cellStyle name="Currency 5 4 4" xfId="19494" xr:uid="{DC7BB12F-8A35-44F3-90EF-E601823DC355}"/>
    <cellStyle name="Currency 5 5" xfId="6311" xr:uid="{04195DDF-5516-4ECD-B8DF-45695C8A6139}"/>
    <cellStyle name="Currency 5 5 2" xfId="9783" xr:uid="{CEC5A056-E6FB-4E52-8A24-9DF00A35214D}"/>
    <cellStyle name="Currency 5 5 2 2" xfId="23834" xr:uid="{2F381EE3-BD1D-42BA-B8DF-A4248B4F6C2F}"/>
    <cellStyle name="Currency 5 5 3" xfId="12387" xr:uid="{00C93D26-5365-40D0-B409-93EB15D39F4E}"/>
    <cellStyle name="Currency 5 5 3 2" xfId="26438" xr:uid="{1CE073E4-0D02-451B-BBEE-778D74636D6D}"/>
    <cellStyle name="Currency 5 5 4" xfId="20362" xr:uid="{2A229109-8CA6-4FC4-B438-E662C0DC4500}"/>
    <cellStyle name="Currency 5 6" xfId="8047" xr:uid="{EFB21E4F-5356-4F60-80F3-37016BCA7F64}"/>
    <cellStyle name="Currency 5 6 2" xfId="13255" xr:uid="{06634E5A-81D7-4813-92A9-BE14639BA715}"/>
    <cellStyle name="Currency 5 6 2 2" xfId="27306" xr:uid="{9454FB0F-6240-4589-AC28-0C156DF95523}"/>
    <cellStyle name="Currency 5 6 3" xfId="22098" xr:uid="{45DC53EA-7236-4405-A28F-35E2726B41CC}"/>
    <cellStyle name="Currency 5 7" xfId="7179" xr:uid="{555759F8-A305-4413-82F3-45998DAF9DC5}"/>
    <cellStyle name="Currency 5 7 2" xfId="21230" xr:uid="{60718404-A203-461C-8E97-9FFF032828B5}"/>
    <cellStyle name="Currency 5 8" xfId="10651" xr:uid="{AA7DEF02-8F2A-42ED-898D-23214F88169F}"/>
    <cellStyle name="Currency 5 8 2" xfId="24702" xr:uid="{87E4F578-7948-4158-9487-070733E984E3}"/>
    <cellStyle name="Currency 5 9" xfId="14324" xr:uid="{E5E74FFF-0008-4A48-82E6-D93D035487AA}"/>
    <cellStyle name="Currency 6" xfId="598" xr:uid="{23C176FF-6860-42AB-AEE2-4B93984761EA}"/>
    <cellStyle name="Currency 6 2" xfId="5039" xr:uid="{F5FA4E5E-A701-4A00-94BB-2007D3725ADE}"/>
    <cellStyle name="Currency 6 2 2" xfId="5907" xr:uid="{91B3055D-7480-41C6-8C31-42677CB60070}"/>
    <cellStyle name="Currency 6 2 2 2" xfId="9379" xr:uid="{4AC00F07-70FC-4A29-85DC-45589BFFD10D}"/>
    <cellStyle name="Currency 6 2 2 2 2" xfId="23430" xr:uid="{F4805965-E0A5-4C77-9481-377EE3A8C44B}"/>
    <cellStyle name="Currency 6 2 2 3" xfId="11983" xr:uid="{CAED5CBD-6F31-4F4E-9692-B14333677D25}"/>
    <cellStyle name="Currency 6 2 2 3 2" xfId="26034" xr:uid="{3441BF89-7127-41AE-92C7-EBF9E5354974}"/>
    <cellStyle name="Currency 6 2 2 4" xfId="19958" xr:uid="{BA37420C-6C53-4843-9FDD-1712340DE4C1}"/>
    <cellStyle name="Currency 6 2 3" xfId="6775" xr:uid="{E13C9324-6CAB-49EA-AD9D-5EC3573881AC}"/>
    <cellStyle name="Currency 6 2 3 2" xfId="10247" xr:uid="{62EE8854-DECB-4C22-AD2D-D77DD3B7C017}"/>
    <cellStyle name="Currency 6 2 3 2 2" xfId="24298" xr:uid="{09483A7C-0FE4-4496-A703-2D2AEA0D9BC7}"/>
    <cellStyle name="Currency 6 2 3 3" xfId="12851" xr:uid="{4B77BAD7-F9C9-44F9-84EF-6411A8D6F2A2}"/>
    <cellStyle name="Currency 6 2 3 3 2" xfId="26902" xr:uid="{6563CCFE-1302-4F8A-AA1F-82064B9795DC}"/>
    <cellStyle name="Currency 6 2 3 4" xfId="20826" xr:uid="{EFF1488D-263D-463C-9945-BF7A4A42BC26}"/>
    <cellStyle name="Currency 6 2 4" xfId="8511" xr:uid="{3D0CB397-AA60-4615-8EA8-24B468E49B4B}"/>
    <cellStyle name="Currency 6 2 4 2" xfId="13719" xr:uid="{515EBEC4-B076-4B9F-89AD-C9714C9B70C2}"/>
    <cellStyle name="Currency 6 2 4 2 2" xfId="27770" xr:uid="{216E634E-8D5D-4C6D-9E21-50340E379E65}"/>
    <cellStyle name="Currency 6 2 4 3" xfId="22562" xr:uid="{10D58CAC-A74E-484D-8CA5-288AED8F7F86}"/>
    <cellStyle name="Currency 6 2 5" xfId="7643" xr:uid="{C1EFDC18-A9B9-4587-9A9B-58981B1C0F83}"/>
    <cellStyle name="Currency 6 2 5 2" xfId="21694" xr:uid="{AED8BF9B-7515-4F15-B7BC-17DDE63648B3}"/>
    <cellStyle name="Currency 6 2 6" xfId="11115" xr:uid="{7BEC88C7-0B1F-4984-B103-75581D752247}"/>
    <cellStyle name="Currency 6 2 6 2" xfId="25166" xr:uid="{AF601662-C19E-42B3-93EA-9DCD0232710F}"/>
    <cellStyle name="Currency 6 2 7" xfId="19090" xr:uid="{94B3AC55-B5EA-4091-B2F6-6FCB3297AD8A}"/>
    <cellStyle name="Currency 6 3" xfId="5473" xr:uid="{16931E74-009C-47C9-9969-E0848CFDDA19}"/>
    <cellStyle name="Currency 6 3 2" xfId="8945" xr:uid="{ADD02C72-143F-4F3D-9D36-55FF9B0176CF}"/>
    <cellStyle name="Currency 6 3 2 2" xfId="22996" xr:uid="{DACF8DB7-C417-417F-B660-AC8894A381B2}"/>
    <cellStyle name="Currency 6 3 3" xfId="11549" xr:uid="{7FA76220-2CD2-4872-A58F-BA51CD68E01C}"/>
    <cellStyle name="Currency 6 3 3 2" xfId="25600" xr:uid="{CD7056BE-FAB0-4683-A15C-720939DC6BF5}"/>
    <cellStyle name="Currency 6 3 4" xfId="19524" xr:uid="{BFFEE2C8-220D-4110-BB43-FA87D33824B3}"/>
    <cellStyle name="Currency 6 4" xfId="6341" xr:uid="{B8A39037-035A-4D05-AA66-FFC5C50351F5}"/>
    <cellStyle name="Currency 6 4 2" xfId="9813" xr:uid="{9FAF1630-FFB7-40C1-AAC4-1254B1750655}"/>
    <cellStyle name="Currency 6 4 2 2" xfId="23864" xr:uid="{6CACF1AC-ADF2-4A0E-904F-0FB9F656C90E}"/>
    <cellStyle name="Currency 6 4 3" xfId="12417" xr:uid="{CB4996B8-ECBB-4B37-92CF-BE503C592AED}"/>
    <cellStyle name="Currency 6 4 3 2" xfId="26468" xr:uid="{B0530822-52E8-490D-82D0-1BC2BAC411F0}"/>
    <cellStyle name="Currency 6 4 4" xfId="20392" xr:uid="{08856628-C154-4833-B787-DE0C5C7A6104}"/>
    <cellStyle name="Currency 6 5" xfId="8077" xr:uid="{3F4F3EFB-12DD-4669-AC20-E9F3D51936A0}"/>
    <cellStyle name="Currency 6 5 2" xfId="13285" xr:uid="{80725A32-A072-4F0D-9B42-F77E93144DDC}"/>
    <cellStyle name="Currency 6 5 2 2" xfId="27336" xr:uid="{80EC3EFB-4AF2-4222-A26D-549EBF0F1BEF}"/>
    <cellStyle name="Currency 6 5 3" xfId="22128" xr:uid="{B5CE000B-2E46-4AE2-8E67-85B530496DB4}"/>
    <cellStyle name="Currency 6 6" xfId="7209" xr:uid="{EB456DA0-BD12-4469-8E57-3372065B5F45}"/>
    <cellStyle name="Currency 6 6 2" xfId="21260" xr:uid="{4E408457-4000-4C82-B330-4F7A8C6C9B8E}"/>
    <cellStyle name="Currency 6 7" xfId="10681" xr:uid="{EB2CD094-04A6-4A33-A0E7-D3AF6B61585C}"/>
    <cellStyle name="Currency 6 7 2" xfId="24732" xr:uid="{C462B550-94D3-4083-A3F2-96CFA6F1DEB2}"/>
    <cellStyle name="Currency 6 8" xfId="14652" xr:uid="{7E919F9C-3FF5-4FFD-AC4D-B8A3BC8DF8AA}"/>
    <cellStyle name="Currency 7" xfId="1182" xr:uid="{057EDF09-B4FE-4E19-9E89-EA9DA48418A0}"/>
    <cellStyle name="Currency 7 2" xfId="3376" xr:uid="{EB5EF2B1-EA55-4976-809A-07D65BA1BF54}"/>
    <cellStyle name="Currency 7 2 2" xfId="5283" xr:uid="{2B7EA5BE-E4B4-43FF-A277-49FC34E49787}"/>
    <cellStyle name="Currency 7 2 2 2" xfId="6151" xr:uid="{621BD16A-97B5-4B4A-B278-4BCA25455B64}"/>
    <cellStyle name="Currency 7 2 2 2 2" xfId="9623" xr:uid="{20272512-5AF3-4D6E-8938-E3CC4920598C}"/>
    <cellStyle name="Currency 7 2 2 2 2 2" xfId="23674" xr:uid="{26784445-9C1B-43A8-A9E2-301C7943C1A2}"/>
    <cellStyle name="Currency 7 2 2 2 3" xfId="12227" xr:uid="{0E94CCEE-6BFD-40AD-84DB-CA53F352B1CD}"/>
    <cellStyle name="Currency 7 2 2 2 3 2" xfId="26278" xr:uid="{7787CA36-1B43-440A-8000-2CEF3814FDD4}"/>
    <cellStyle name="Currency 7 2 2 2 4" xfId="20202" xr:uid="{1684A997-E829-4A26-A533-4884737293A5}"/>
    <cellStyle name="Currency 7 2 2 3" xfId="7019" xr:uid="{55062179-CA75-4A6D-B403-BE45034BA015}"/>
    <cellStyle name="Currency 7 2 2 3 2" xfId="10491" xr:uid="{9690A369-A753-4DC7-8830-F97192BEE3F8}"/>
    <cellStyle name="Currency 7 2 2 3 2 2" xfId="24542" xr:uid="{9593329D-AD60-4BC0-824A-37A236B271EA}"/>
    <cellStyle name="Currency 7 2 2 3 3" xfId="13095" xr:uid="{AA8635DF-2685-4C1D-99FA-0EF170931F1B}"/>
    <cellStyle name="Currency 7 2 2 3 3 2" xfId="27146" xr:uid="{EC370FC8-DEBE-4560-85FF-EA81949376CE}"/>
    <cellStyle name="Currency 7 2 2 3 4" xfId="21070" xr:uid="{C67DA780-B772-4C70-B4DC-D5AEAA91E0C0}"/>
    <cellStyle name="Currency 7 2 2 4" xfId="8755" xr:uid="{0876010A-3BD0-4176-8F26-FE0489800871}"/>
    <cellStyle name="Currency 7 2 2 4 2" xfId="13963" xr:uid="{B6047B6D-286B-4E6C-8898-1A07EFEAA528}"/>
    <cellStyle name="Currency 7 2 2 4 2 2" xfId="28014" xr:uid="{EA65C5C0-DF1F-4A4D-AF7F-3B608362B5D7}"/>
    <cellStyle name="Currency 7 2 2 4 3" xfId="22806" xr:uid="{EC7C15F3-3BF9-496A-8E20-C299F5B975BE}"/>
    <cellStyle name="Currency 7 2 2 5" xfId="7887" xr:uid="{C0A1518B-E3FB-4B93-B2AB-614B93BA0B2C}"/>
    <cellStyle name="Currency 7 2 2 5 2" xfId="21938" xr:uid="{B1B74BAC-1E3A-4957-A0AF-5ED497063C17}"/>
    <cellStyle name="Currency 7 2 2 6" xfId="11359" xr:uid="{E1AED31E-9D4F-4530-B8E0-93B472B282BB}"/>
    <cellStyle name="Currency 7 2 2 6 2" xfId="25410" xr:uid="{7B4AF4A7-4F18-4020-B10D-D20AF0B609E1}"/>
    <cellStyle name="Currency 7 2 2 7" xfId="19334" xr:uid="{2EC119E7-6199-4697-B94A-2FFAF0B7AAA4}"/>
    <cellStyle name="Currency 7 2 3" xfId="5717" xr:uid="{BAAE5894-A575-4F42-8A75-B96385BE22C1}"/>
    <cellStyle name="Currency 7 2 3 2" xfId="9189" xr:uid="{EDBE1B30-222C-4AF6-AA07-4A5E87372007}"/>
    <cellStyle name="Currency 7 2 3 2 2" xfId="23240" xr:uid="{9AAB06E1-D5B2-4A71-AEF9-7BBA0594F0E7}"/>
    <cellStyle name="Currency 7 2 3 3" xfId="11793" xr:uid="{DE361C92-FF3E-48D7-8F0E-BD414569DBE4}"/>
    <cellStyle name="Currency 7 2 3 3 2" xfId="25844" xr:uid="{A0451C30-866B-4EC6-8F6F-EDAD06FE13E4}"/>
    <cellStyle name="Currency 7 2 3 4" xfId="19768" xr:uid="{CD46D711-8282-4407-804B-E060B9210D32}"/>
    <cellStyle name="Currency 7 2 4" xfId="6585" xr:uid="{CF61D166-2B63-4B34-BF86-B2F43BA3C629}"/>
    <cellStyle name="Currency 7 2 4 2" xfId="10057" xr:uid="{E7866690-7F56-4EE9-A303-C063EAF0B849}"/>
    <cellStyle name="Currency 7 2 4 2 2" xfId="24108" xr:uid="{CE6EAB3C-BDEB-47CC-BE21-0C94F3483D57}"/>
    <cellStyle name="Currency 7 2 4 3" xfId="12661" xr:uid="{C11ED8C3-906C-4305-A401-468EB779AA40}"/>
    <cellStyle name="Currency 7 2 4 3 2" xfId="26712" xr:uid="{593CF6F7-F6BC-40A6-9169-35C03E881A6A}"/>
    <cellStyle name="Currency 7 2 4 4" xfId="20636" xr:uid="{20158B70-B6CA-45CB-AF6A-2246F476F595}"/>
    <cellStyle name="Currency 7 2 5" xfId="8321" xr:uid="{CBCC6A95-8D7D-4C8C-AF5E-D1C9D761C91C}"/>
    <cellStyle name="Currency 7 2 5 2" xfId="13529" xr:uid="{356F94C8-9075-488A-987D-302D479667D6}"/>
    <cellStyle name="Currency 7 2 5 2 2" xfId="27580" xr:uid="{76DECD2B-B302-426C-BA57-F3568BBB8147}"/>
    <cellStyle name="Currency 7 2 5 3" xfId="22372" xr:uid="{94B75A13-8869-46C2-BF6B-CA010269F3DE}"/>
    <cellStyle name="Currency 7 2 6" xfId="7453" xr:uid="{982299DE-6F78-408B-88D1-F1733FB7E16F}"/>
    <cellStyle name="Currency 7 2 6 2" xfId="21504" xr:uid="{CE4FDC14-1706-4FBB-938F-63E069EA622E}"/>
    <cellStyle name="Currency 7 2 7" xfId="10925" xr:uid="{96C8FB84-598F-49A4-BC26-45D3E47290D3}"/>
    <cellStyle name="Currency 7 2 7 2" xfId="24976" xr:uid="{9286B26B-AFA9-4693-87CF-F39CF5C0C1B2}"/>
    <cellStyle name="Currency 7 2 8" xfId="17428" xr:uid="{BAFC9766-E007-45DA-BA4D-B706FBF13D5B}"/>
    <cellStyle name="Currency 7 3" xfId="5091" xr:uid="{C0A6EC2E-075A-4713-812B-155CE4E42E52}"/>
    <cellStyle name="Currency 7 3 2" xfId="5959" xr:uid="{A9496465-BCA3-4A39-9457-429AC7B79794}"/>
    <cellStyle name="Currency 7 3 2 2" xfId="9431" xr:uid="{CCC0AA8C-9973-4224-BBF8-88487CE5C560}"/>
    <cellStyle name="Currency 7 3 2 2 2" xfId="23482" xr:uid="{B5146099-A642-4362-8FC0-663AB417FE9F}"/>
    <cellStyle name="Currency 7 3 2 3" xfId="12035" xr:uid="{0E6C5843-49E4-4BB4-BC2D-3AA4AE092C8A}"/>
    <cellStyle name="Currency 7 3 2 3 2" xfId="26086" xr:uid="{ECDCE6E4-0BF5-4939-B242-C470D62EFA81}"/>
    <cellStyle name="Currency 7 3 2 4" xfId="20010" xr:uid="{E281DEA9-B6E9-4E9F-B4FF-DFDE517AE1E4}"/>
    <cellStyle name="Currency 7 3 3" xfId="6827" xr:uid="{15226005-083F-4CCA-8606-8F2DFBFA2295}"/>
    <cellStyle name="Currency 7 3 3 2" xfId="10299" xr:uid="{46FC05B0-72EB-4910-A3A6-CC10C6FBC6D6}"/>
    <cellStyle name="Currency 7 3 3 2 2" xfId="24350" xr:uid="{8D140182-D7BB-4B8F-A3C9-763864B4A974}"/>
    <cellStyle name="Currency 7 3 3 3" xfId="12903" xr:uid="{7F41B628-B35F-4875-B7A3-BA8A4E7E11E8}"/>
    <cellStyle name="Currency 7 3 3 3 2" xfId="26954" xr:uid="{FAC435A7-27CB-40B6-B48E-75BBFDC31478}"/>
    <cellStyle name="Currency 7 3 3 4" xfId="20878" xr:uid="{B2CC0770-EE5A-47FD-BBEB-2C2793BB0977}"/>
    <cellStyle name="Currency 7 3 4" xfId="8563" xr:uid="{5792B8FF-90EE-4D81-AE4E-84D93C8D3BCB}"/>
    <cellStyle name="Currency 7 3 4 2" xfId="13771" xr:uid="{EB5AEC5F-EAB6-4A88-AB73-E86543555D5D}"/>
    <cellStyle name="Currency 7 3 4 2 2" xfId="27822" xr:uid="{1C3F46A8-BDE0-486B-825A-D45D66770F94}"/>
    <cellStyle name="Currency 7 3 4 3" xfId="22614" xr:uid="{C0EA958F-8583-49CF-8537-630A7833C22E}"/>
    <cellStyle name="Currency 7 3 5" xfId="7695" xr:uid="{7A35FC38-811E-4357-B5E9-2F9DEA909F41}"/>
    <cellStyle name="Currency 7 3 5 2" xfId="21746" xr:uid="{488B4898-B76C-48BC-A66D-5C17CC8A1D21}"/>
    <cellStyle name="Currency 7 3 6" xfId="11167" xr:uid="{32A5E7FE-566A-4466-8DB7-6E492378A6FF}"/>
    <cellStyle name="Currency 7 3 6 2" xfId="25218" xr:uid="{CC01B613-B4B8-466C-96DE-77E98A0E9FFC}"/>
    <cellStyle name="Currency 7 3 7" xfId="19142" xr:uid="{1711B89B-27CB-4849-A032-E29149B3963A}"/>
    <cellStyle name="Currency 7 4" xfId="5525" xr:uid="{4FAFB33D-BCE7-47C1-8699-93FB80D7C2E6}"/>
    <cellStyle name="Currency 7 4 2" xfId="8997" xr:uid="{FD9D36DE-5D0C-40F3-8863-3C3D98B30B1D}"/>
    <cellStyle name="Currency 7 4 2 2" xfId="23048" xr:uid="{BEDB9876-996F-4BD3-B0B3-48C0BDA33E2E}"/>
    <cellStyle name="Currency 7 4 3" xfId="11601" xr:uid="{D43F3E2C-271C-4F8A-9E12-E020136C385E}"/>
    <cellStyle name="Currency 7 4 3 2" xfId="25652" xr:uid="{56CC0B16-12FD-4C6D-B630-A5982D886180}"/>
    <cellStyle name="Currency 7 4 4" xfId="19576" xr:uid="{BEA059E3-4114-4E9A-8020-F05ACF631C03}"/>
    <cellStyle name="Currency 7 5" xfId="6393" xr:uid="{241C98D4-7DB7-4303-A9BF-A54D40DD9C5C}"/>
    <cellStyle name="Currency 7 5 2" xfId="9865" xr:uid="{BBEF81B3-6CD1-442C-841D-392A8D38328F}"/>
    <cellStyle name="Currency 7 5 2 2" xfId="23916" xr:uid="{E79C0FE4-4330-4A46-9B9D-A6DBF03CC3DE}"/>
    <cellStyle name="Currency 7 5 3" xfId="12469" xr:uid="{05D475E4-EB2E-4180-B424-54DF3D72B2DC}"/>
    <cellStyle name="Currency 7 5 3 2" xfId="26520" xr:uid="{36448919-FAF9-4AF0-8CEA-D1BCD4EE5826}"/>
    <cellStyle name="Currency 7 5 4" xfId="20444" xr:uid="{89D4B28D-3BA1-4B60-A5FC-9C7CD2ED4A99}"/>
    <cellStyle name="Currency 7 6" xfId="8129" xr:uid="{B34CDF94-DC6B-43ED-BBED-83349166EC36}"/>
    <cellStyle name="Currency 7 6 2" xfId="13337" xr:uid="{6949EFD2-79F0-4C95-9DDE-AB2389E780EB}"/>
    <cellStyle name="Currency 7 6 2 2" xfId="27388" xr:uid="{4990CEFB-47A7-4400-98C5-EF22ACDC7EDF}"/>
    <cellStyle name="Currency 7 6 3" xfId="22180" xr:uid="{3C165584-14F0-4F19-871D-F98D7A1FC78C}"/>
    <cellStyle name="Currency 7 7" xfId="7261" xr:uid="{F448CC27-7476-4974-84F7-4E364782954B}"/>
    <cellStyle name="Currency 7 7 2" xfId="21312" xr:uid="{977D4F60-8958-4523-8321-03543639A43F}"/>
    <cellStyle name="Currency 7 8" xfId="10733" xr:uid="{98D71C24-6471-4F1A-9463-6D677E6BD0EB}"/>
    <cellStyle name="Currency 7 8 2" xfId="24784" xr:uid="{01F91E1D-38C8-4A2F-839E-B9C97351F21F}"/>
    <cellStyle name="Currency 7 9" xfId="15233" xr:uid="{BF67F112-2BDD-4A97-9FC6-8A73159F609A}"/>
    <cellStyle name="Currency 8" xfId="1704" xr:uid="{2367B2B3-B2FF-4FDE-933D-EA0F94C7CB9C}"/>
    <cellStyle name="Currency 8 2" xfId="5138" xr:uid="{1F09AA77-CCF8-48F8-AC17-D01A850335D4}"/>
    <cellStyle name="Currency 8 2 2" xfId="6006" xr:uid="{50ACD68E-24A0-48CD-88B9-E1DC4210A89A}"/>
    <cellStyle name="Currency 8 2 2 2" xfId="9478" xr:uid="{7DD2ACBC-54FF-4DC0-B3CD-FB31913AE189}"/>
    <cellStyle name="Currency 8 2 2 2 2" xfId="23529" xr:uid="{24555F22-7BD1-472E-9ED8-5BA9187704D5}"/>
    <cellStyle name="Currency 8 2 2 3" xfId="12082" xr:uid="{BC69EDA0-BEB7-4408-871C-56F5FA6066CA}"/>
    <cellStyle name="Currency 8 2 2 3 2" xfId="26133" xr:uid="{62D83DA1-D019-4E67-9F31-5073410E2F38}"/>
    <cellStyle name="Currency 8 2 2 4" xfId="20057" xr:uid="{5849C74D-F0A4-4698-A250-B1AC30311613}"/>
    <cellStyle name="Currency 8 2 3" xfId="6874" xr:uid="{48EE91E3-5BD3-40C4-86EC-F1BDAAF65DEC}"/>
    <cellStyle name="Currency 8 2 3 2" xfId="10346" xr:uid="{03348EBE-9B6A-4E17-9987-097C0837FA85}"/>
    <cellStyle name="Currency 8 2 3 2 2" xfId="24397" xr:uid="{9C667B9F-DB08-4EB5-9421-52111BF33DFD}"/>
    <cellStyle name="Currency 8 2 3 3" xfId="12950" xr:uid="{7208D4F7-1F4B-46A6-91B2-A77071B2DD2F}"/>
    <cellStyle name="Currency 8 2 3 3 2" xfId="27001" xr:uid="{735106A9-74D6-40D3-9581-EE7B61B2F3F2}"/>
    <cellStyle name="Currency 8 2 3 4" xfId="20925" xr:uid="{5662A74A-E697-4762-99B9-BA30F5613386}"/>
    <cellStyle name="Currency 8 2 4" xfId="8610" xr:uid="{69EEE7F0-84F1-42DC-8DFF-3DE2555D460A}"/>
    <cellStyle name="Currency 8 2 4 2" xfId="13818" xr:uid="{36B2A843-85BB-475A-A5B0-3F2068347D89}"/>
    <cellStyle name="Currency 8 2 4 2 2" xfId="27869" xr:uid="{C5EF5EF8-6342-41EE-B881-1DA2B25B6AD0}"/>
    <cellStyle name="Currency 8 2 4 3" xfId="22661" xr:uid="{AC6CD74B-0FEA-4BF6-8BFA-3F5DD50FA596}"/>
    <cellStyle name="Currency 8 2 5" xfId="7742" xr:uid="{006DE0D5-D05D-4E87-93F8-9927A5960403}"/>
    <cellStyle name="Currency 8 2 5 2" xfId="21793" xr:uid="{90450B7C-1A9E-4E9B-83FE-57827F5B55B3}"/>
    <cellStyle name="Currency 8 2 6" xfId="11214" xr:uid="{FCBE5636-F010-46EC-BB65-61C3425AC886}"/>
    <cellStyle name="Currency 8 2 6 2" xfId="25265" xr:uid="{81C80E37-073B-4A93-BAD7-20294E9EC4BB}"/>
    <cellStyle name="Currency 8 2 7" xfId="19189" xr:uid="{71879183-FDA2-4042-A5E5-E9F9AAEE6B17}"/>
    <cellStyle name="Currency 8 3" xfId="5572" xr:uid="{9728F705-6C5C-497E-864C-9A78092DD4A8}"/>
    <cellStyle name="Currency 8 3 2" xfId="9044" xr:uid="{5D09C159-76E6-4A1C-A60E-228B75EE39A3}"/>
    <cellStyle name="Currency 8 3 2 2" xfId="23095" xr:uid="{45050F21-D0EB-4D84-A29F-DC688D1F3EF1}"/>
    <cellStyle name="Currency 8 3 3" xfId="11648" xr:uid="{F68ED090-1797-4A91-BBF6-DDD1F27940C7}"/>
    <cellStyle name="Currency 8 3 3 2" xfId="25699" xr:uid="{823A505A-4E3E-4109-BA4B-961B9F87B3F7}"/>
    <cellStyle name="Currency 8 3 4" xfId="19623" xr:uid="{FD2A53FE-FFA4-4881-815F-302A4248FB0E}"/>
    <cellStyle name="Currency 8 4" xfId="6440" xr:uid="{A645C057-C7FA-4197-B0D4-BBFAF7F563ED}"/>
    <cellStyle name="Currency 8 4 2" xfId="9912" xr:uid="{D3E117F4-19E2-44D3-89E5-121294E988BA}"/>
    <cellStyle name="Currency 8 4 2 2" xfId="23963" xr:uid="{4C6315BC-F14A-4FD5-A58D-EFAD6B5F8535}"/>
    <cellStyle name="Currency 8 4 3" xfId="12516" xr:uid="{86A2573B-45EA-4482-9424-D8DA6027616C}"/>
    <cellStyle name="Currency 8 4 3 2" xfId="26567" xr:uid="{904F6E0B-D55E-4CD7-825F-0A09AC7CAD03}"/>
    <cellStyle name="Currency 8 4 4" xfId="20491" xr:uid="{166F50DD-FE39-4503-8E43-14C81256B10B}"/>
    <cellStyle name="Currency 8 5" xfId="8176" xr:uid="{D730EEAE-3BFC-4A26-851E-C7AC19169C3D}"/>
    <cellStyle name="Currency 8 5 2" xfId="13384" xr:uid="{6AEDD248-0098-4E43-9637-CF892CE77496}"/>
    <cellStyle name="Currency 8 5 2 2" xfId="27435" xr:uid="{325A97BD-A3B5-4293-8A00-17AAB14D4FD8}"/>
    <cellStyle name="Currency 8 5 3" xfId="22227" xr:uid="{8018CE65-0F1C-4765-AD5B-85A6A19480B2}"/>
    <cellStyle name="Currency 8 6" xfId="7308" xr:uid="{B13D7DBA-4099-4841-A4D5-97F1224D72AF}"/>
    <cellStyle name="Currency 8 6 2" xfId="21359" xr:uid="{AA3C6D63-50DF-448A-A318-28DC49E861DB}"/>
    <cellStyle name="Currency 8 7" xfId="10780" xr:uid="{D3AC0613-A87C-48AD-8D4F-6A2B137BEE10}"/>
    <cellStyle name="Currency 8 7 2" xfId="24831" xr:uid="{CEA8A4B8-F887-470D-A22D-16FA9042E607}"/>
    <cellStyle name="Currency 8 8" xfId="15753" xr:uid="{4BEFFFA0-B618-466B-9740-D45860D69755}"/>
    <cellStyle name="Currency 9" xfId="4471" xr:uid="{9B18A274-C366-4CA7-B088-6600B24B3246}"/>
    <cellStyle name="Currency 9 2" xfId="5378" xr:uid="{B2AD4B53-53F4-42C7-BEE7-C9B07E55840B}"/>
    <cellStyle name="Currency 9 2 2" xfId="6246" xr:uid="{6156E511-2199-43A9-A539-48497656AD83}"/>
    <cellStyle name="Currency 9 2 2 2" xfId="9718" xr:uid="{5D553910-4170-4D61-8A67-3FE04446CDCF}"/>
    <cellStyle name="Currency 9 2 2 2 2" xfId="23769" xr:uid="{63226081-30DF-4316-98E0-6CE0B0B243F0}"/>
    <cellStyle name="Currency 9 2 2 3" xfId="12322" xr:uid="{8BE2395A-9003-4F48-ACE7-C2BF0B4E834E}"/>
    <cellStyle name="Currency 9 2 2 3 2" xfId="26373" xr:uid="{E4A6D1F9-33D1-4164-BFA4-8701343110C5}"/>
    <cellStyle name="Currency 9 2 2 4" xfId="20297" xr:uid="{2D2EAEB7-EAE7-4954-97EE-083C9614D80B}"/>
    <cellStyle name="Currency 9 2 3" xfId="7114" xr:uid="{1D6F4E43-E6DE-4D19-91C1-6D9872D636BC}"/>
    <cellStyle name="Currency 9 2 3 2" xfId="10586" xr:uid="{DF78FA15-CE62-4A82-9FD7-E5F08E684D0C}"/>
    <cellStyle name="Currency 9 2 3 2 2" xfId="24637" xr:uid="{63760236-20B4-468C-8105-0F2476B93A4C}"/>
    <cellStyle name="Currency 9 2 3 3" xfId="13190" xr:uid="{5A52134D-7445-4CB2-88BD-46F93A93EC01}"/>
    <cellStyle name="Currency 9 2 3 3 2" xfId="27241" xr:uid="{DE3FD75F-0143-451C-9613-3CAD672651C4}"/>
    <cellStyle name="Currency 9 2 3 4" xfId="21165" xr:uid="{75A6348C-E45A-4A7E-9E1B-078FD61B12B1}"/>
    <cellStyle name="Currency 9 2 4" xfId="8850" xr:uid="{08312563-7AF1-4158-8064-8F5B302E4539}"/>
    <cellStyle name="Currency 9 2 4 2" xfId="14058" xr:uid="{215DFF45-8113-4F93-8E93-63774B462A49}"/>
    <cellStyle name="Currency 9 2 4 2 2" xfId="28109" xr:uid="{71161907-B07D-4A93-A543-06B2032D1959}"/>
    <cellStyle name="Currency 9 2 4 3" xfId="22901" xr:uid="{D207FC31-D5EC-468A-8B40-C5AFC09812E8}"/>
    <cellStyle name="Currency 9 2 5" xfId="7982" xr:uid="{FE8D52A5-E70E-4D00-9D9E-EC76E9004194}"/>
    <cellStyle name="Currency 9 2 5 2" xfId="22033" xr:uid="{1C7E04C8-4F52-4525-8BDF-FDA44BBEBCE9}"/>
    <cellStyle name="Currency 9 2 6" xfId="11454" xr:uid="{F6F150E4-8C6A-456A-AB88-E5BB6BEA13A3}"/>
    <cellStyle name="Currency 9 2 6 2" xfId="25505" xr:uid="{AE495223-5D6D-47E3-9472-8A53D55053D8}"/>
    <cellStyle name="Currency 9 2 7" xfId="19429" xr:uid="{C39E1F4C-72BD-4C02-93D4-1E2C8F5DCEBD}"/>
    <cellStyle name="Currency 9 3" xfId="5812" xr:uid="{AD6EE3CD-7582-46BF-B75D-3DAB93E65CD1}"/>
    <cellStyle name="Currency 9 3 2" xfId="9284" xr:uid="{2825F33D-8C8C-46FA-AA67-524F8B91296F}"/>
    <cellStyle name="Currency 9 3 2 2" xfId="23335" xr:uid="{E496C917-C49C-4574-A4B8-C4EDE06D62BF}"/>
    <cellStyle name="Currency 9 3 3" xfId="11888" xr:uid="{C30A28AD-C7C1-49E1-A562-19FBE4D83CFB}"/>
    <cellStyle name="Currency 9 3 3 2" xfId="25939" xr:uid="{C4F0286A-EE4F-4950-8F90-918F76E691A3}"/>
    <cellStyle name="Currency 9 3 4" xfId="19863" xr:uid="{ED5AF047-8673-435F-9488-5374715D6F11}"/>
    <cellStyle name="Currency 9 4" xfId="6680" xr:uid="{84C4AF8C-D86C-401D-97B4-AD504BBC411F}"/>
    <cellStyle name="Currency 9 4 2" xfId="10152" xr:uid="{20834FF0-8655-4680-882C-DFBBBC4AA076}"/>
    <cellStyle name="Currency 9 4 2 2" xfId="24203" xr:uid="{624EC14C-CF79-47C8-BCEC-AAA07DA613D1}"/>
    <cellStyle name="Currency 9 4 3" xfId="12756" xr:uid="{0462D464-0B81-4AE1-8917-9F00B31368A8}"/>
    <cellStyle name="Currency 9 4 3 2" xfId="26807" xr:uid="{6174C538-BDD2-43F6-B7A7-6BBCAE93875C}"/>
    <cellStyle name="Currency 9 4 4" xfId="20731" xr:uid="{E14E9E4B-A0DB-4FA3-B72E-B775713C7CF0}"/>
    <cellStyle name="Currency 9 5" xfId="8416" xr:uid="{5C8F7C89-7699-4B32-8026-418C3E426152}"/>
    <cellStyle name="Currency 9 5 2" xfId="13624" xr:uid="{AD373B5E-5389-498A-A2C9-FEE56CFA6802}"/>
    <cellStyle name="Currency 9 5 2 2" xfId="27675" xr:uid="{6BA5E1C7-0454-45EF-9300-F39F24051C91}"/>
    <cellStyle name="Currency 9 5 3" xfId="22467" xr:uid="{B381BEF5-0D7D-4927-9517-9A712DA4395A}"/>
    <cellStyle name="Currency 9 6" xfId="7548" xr:uid="{56325F82-519E-4731-8AEA-818438A13CC0}"/>
    <cellStyle name="Currency 9 6 2" xfId="21599" xr:uid="{76164562-756A-4FF9-BF4A-8BE54A36B1CE}"/>
    <cellStyle name="Currency 9 7" xfId="11020" xr:uid="{D7D55583-5A99-4C28-A14D-9ED9A11C68BA}"/>
    <cellStyle name="Currency 9 7 2" xfId="25071" xr:uid="{EC6F7D7B-CA3C-48BF-A3F9-9D14E40DD660}"/>
    <cellStyle name="Currency 9 8" xfId="18522" xr:uid="{8F21B213-B5E2-4C97-A375-3226F40B137C}"/>
    <cellStyle name="Explanatory Text" xfId="37" builtinId="53" customBuiltin="1"/>
    <cellStyle name="Followed Hyperlink" xfId="8" builtinId="9" hidden="1"/>
    <cellStyle name="Followed Hyperlink" xfId="5" builtinId="9" hidden="1"/>
    <cellStyle name="Followed Hyperlink" xfId="7" builtinId="9" hidden="1"/>
    <cellStyle name="Followed Hyperlink" xfId="10" builtinId="9" hidden="1"/>
    <cellStyle name="Followed Hyperlink" xfId="11" builtinId="9" hidden="1"/>
    <cellStyle name="Followed Hyperlink" xfId="3" builtinId="9" hidden="1"/>
    <cellStyle name="Followed Hyperlink" xfId="14" builtinId="9" hidden="1"/>
    <cellStyle name="Followed Hyperlink" xfId="12" builtinId="9" hidden="1"/>
    <cellStyle name="Followed Hyperlink" xfId="13" builtinId="9" hidden="1"/>
    <cellStyle name="Followed Hyperlink" xfId="9" builtinId="9" hidden="1"/>
    <cellStyle name="Good" xfId="28166" builtinId="26"/>
    <cellStyle name="Heading 1" xfId="20" builtinId="16" customBuiltin="1"/>
    <cellStyle name="Heading 2" xfId="21" builtinId="17" customBuiltin="1"/>
    <cellStyle name="Heading 3" xfId="30" builtinId="18" customBuiltin="1"/>
    <cellStyle name="Heading 4" xfId="31" builtinId="19" customBuiltin="1"/>
    <cellStyle name="Hyperlink" xfId="2" builtinId="8" hidden="1"/>
    <cellStyle name="Hyperlink" xfId="4" builtinId="8" hidden="1"/>
    <cellStyle name="Hyperlink" xfId="6" builtinId="8"/>
    <cellStyle name="Hyperlink 2" xfId="91" xr:uid="{2B61BB70-3498-4B30-B689-1639065D0FCF}"/>
    <cellStyle name="Hyperlink 3" xfId="68" xr:uid="{5A2F5C1C-5F4B-498B-AF00-8AD975E80F73}"/>
    <cellStyle name="Input" xfId="15" builtinId="20" customBuiltin="1"/>
    <cellStyle name="Linked Cell" xfId="34" builtinId="24" customBuiltin="1"/>
    <cellStyle name="Neutral" xfId="32" builtinId="28" customBuiltin="1"/>
    <cellStyle name="Neutral 2" xfId="69" xr:uid="{2F10B6CC-9681-47D5-A080-31164BACE456}"/>
    <cellStyle name="Normal" xfId="0" builtinId="0"/>
    <cellStyle name="Normal 10" xfId="777" xr:uid="{A915ED42-E83C-42DC-89E9-6D884FF5CFA9}"/>
    <cellStyle name="Normal 10 2" xfId="1878" xr:uid="{B14DDEDA-8A1A-4656-813B-78FD3456E592}"/>
    <cellStyle name="Normal 10 2 2" xfId="4067" xr:uid="{DF028496-630D-47E7-A324-FA36D7A39D0E}"/>
    <cellStyle name="Normal 10 2 2 2" xfId="18119" xr:uid="{D029DDCE-8C1F-4A31-B541-72BB522E8997}"/>
    <cellStyle name="Normal 10 2 3" xfId="15927" xr:uid="{AEA64FE5-BC07-4744-82D6-E238911EFCDC}"/>
    <cellStyle name="Normal 10 3" xfId="2969" xr:uid="{DD8659C1-1DC3-42E7-8A79-333A1577CBE2}"/>
    <cellStyle name="Normal 10 3 2" xfId="17021" xr:uid="{8D3185DF-2FF9-4998-B6B4-CEFA267E4C41}"/>
    <cellStyle name="Normal 10 4" xfId="14827" xr:uid="{9BF68B70-435B-412C-80EF-140CB7FAF9ED}"/>
    <cellStyle name="Normal 11" xfId="64" xr:uid="{F4A899F5-B116-4963-B45A-8A64627D9268}"/>
    <cellStyle name="Normal 11 2" xfId="3373" xr:uid="{A3900360-3F5C-4B92-893B-05BD6A84631B}"/>
    <cellStyle name="Normal 11 2 2" xfId="17425" xr:uid="{6048B7AF-2F59-4051-BD96-010CE7C4C5AB}"/>
    <cellStyle name="Normal 11 3" xfId="14139" xr:uid="{BA0B50F8-1EC3-4C61-9A4C-5DE7479159CB}"/>
    <cellStyle name="Normal 12" xfId="1186" xr:uid="{5088493A-965D-4532-9FF2-6291C05EE54A}"/>
    <cellStyle name="Normal 13" xfId="4468" xr:uid="{E760C2D8-6841-496D-A5FF-12A7851DCC07}"/>
    <cellStyle name="Normal 13 2" xfId="18519" xr:uid="{111D5E4D-C959-4565-95AF-8D0D3878EE6A}"/>
    <cellStyle name="Normal 14" xfId="78" xr:uid="{A2A66C38-9620-4326-B77B-EA754DFE9301}"/>
    <cellStyle name="Normal 14 2" xfId="4993" xr:uid="{3CCAF944-E24B-44BF-868C-203ABB6A83EF}"/>
    <cellStyle name="Normal 15" xfId="63" xr:uid="{DAC44C29-3A31-4DB3-9ADC-ABC9FF58CFED}"/>
    <cellStyle name="Normal 15 2" xfId="14138" xr:uid="{9D63A2F5-C301-4228-985B-9C0B110D0299}"/>
    <cellStyle name="Normal 16" xfId="14105" xr:uid="{4A92D9CA-FBF1-457D-82BB-736D21F80062}"/>
    <cellStyle name="Normal 17" xfId="14106" xr:uid="{B8A5C024-3C95-4684-82CE-49D37EFD8ACC}"/>
    <cellStyle name="Normal 17 2" xfId="28156" xr:uid="{3C97DBE3-163F-4167-B6EA-684BD68E1501}"/>
    <cellStyle name="Normal 18" xfId="14109" xr:uid="{4FC59A63-0220-4240-B9FB-7AEAB7359C73}"/>
    <cellStyle name="Normal 18 2" xfId="28159" xr:uid="{63B522BB-09B5-4FBF-95BE-9775AA78E9E1}"/>
    <cellStyle name="Normal 19" xfId="28164" xr:uid="{B52CDB5D-2215-4898-833C-DF7B3F2DF4CF}"/>
    <cellStyle name="Normal 2" xfId="17" xr:uid="{8F514C86-3053-4075-9F47-AAC4492992DC}"/>
    <cellStyle name="Normal 2 10" xfId="2290" xr:uid="{91BD9BD4-0A8E-4472-B2CA-08024BB6D5EB}"/>
    <cellStyle name="Normal 2 10 2" xfId="16341" xr:uid="{BF5FF40A-96C2-438B-B7F8-2A13DE3A2F22}"/>
    <cellStyle name="Normal 2 11" xfId="4484" xr:uid="{B418F587-CAA8-49F4-92C9-7B621C7BB2A4}"/>
    <cellStyle name="Normal 2 11 2" xfId="18535" xr:uid="{48FA9EA8-20D4-4E14-9C11-D78B5FC5ADEB}"/>
    <cellStyle name="Normal 2 12" xfId="86" xr:uid="{F4C9D221-276F-44E0-BDC0-3D2096553C2B}"/>
    <cellStyle name="Normal 2 12 2" xfId="14147" xr:uid="{47DBE166-1CF3-45C9-8353-34810D550CCD}"/>
    <cellStyle name="Normal 2 13" xfId="66" xr:uid="{47DDC791-926C-4E94-B4D6-343375AB9723}"/>
    <cellStyle name="Normal 2 14" xfId="14115" xr:uid="{E8FB470D-300C-4CE3-B038-B2820BFECF1D}"/>
    <cellStyle name="Normal 2 2" xfId="74" xr:uid="{71785B27-861C-40C7-8996-8C3CF370C648}"/>
    <cellStyle name="Normal 2 2 10" xfId="4504" xr:uid="{5F0A97E1-07F2-4ADD-97BE-04772F90ABB2}"/>
    <cellStyle name="Normal 2 2 10 2" xfId="18555" xr:uid="{F6EAA741-86E7-4BB4-825F-443EB7062F6A}"/>
    <cellStyle name="Normal 2 2 11" xfId="106" xr:uid="{E4F69545-BC07-4DE9-8595-5B7DF25F7857}"/>
    <cellStyle name="Normal 2 2 11 2" xfId="14166" xr:uid="{B8124FDF-344F-423D-A5B8-B523C2106D50}"/>
    <cellStyle name="Normal 2 2 2" xfId="221" xr:uid="{251F6A91-F7AC-494E-B79E-443A8268191E}"/>
    <cellStyle name="Normal 2 2 2 2" xfId="398" xr:uid="{3EA64B28-A8B8-4529-9B81-B9AF3D2A2AA2}"/>
    <cellStyle name="Normal 2 2 2 2 2" xfId="752" xr:uid="{0EC6EDFD-67CC-4B86-9F39-F76CCE36AA95}"/>
    <cellStyle name="Normal 2 2 2 2 2 2" xfId="1853" xr:uid="{953578AE-1640-4390-A20E-F736B657C358}"/>
    <cellStyle name="Normal 2 2 2 2 2 2 2" xfId="4042" xr:uid="{B8FCE153-23A6-4626-B1BE-93A8349C3E60}"/>
    <cellStyle name="Normal 2 2 2 2 2 2 2 2" xfId="18094" xr:uid="{00AB65D1-3734-421B-BE80-E8852034D083}"/>
    <cellStyle name="Normal 2 2 2 2 2 2 3" xfId="15902" xr:uid="{9A958969-6300-46A1-99CD-FA60FF334443}"/>
    <cellStyle name="Normal 2 2 2 2 2 3" xfId="2944" xr:uid="{2D454621-515E-4807-B775-1439FCD61632}"/>
    <cellStyle name="Normal 2 2 2 2 2 3 2" xfId="16996" xr:uid="{B40DA66C-E8AF-4965-B6AF-10CA596F5A8F}"/>
    <cellStyle name="Normal 2 2 2 2 2 4" xfId="14803" xr:uid="{9EBC2F92-209D-4D75-BDAB-68B189ED9B27}"/>
    <cellStyle name="Normal 2 2 2 2 3" xfId="1099" xr:uid="{0CCABF12-9A25-4B9A-BB07-B435B30B4A2A}"/>
    <cellStyle name="Normal 2 2 2 2 3 2" xfId="2198" xr:uid="{2D81B0F6-57D0-4326-818C-0C88FCA4A12B}"/>
    <cellStyle name="Normal 2 2 2 2 3 2 2" xfId="4387" xr:uid="{ED0832C6-E82C-41AC-A246-286A18302258}"/>
    <cellStyle name="Normal 2 2 2 2 3 2 2 2" xfId="18437" xr:uid="{E0F24647-72D4-40B5-AFE2-CA0472D747EB}"/>
    <cellStyle name="Normal 2 2 2 2 3 2 3" xfId="16247" xr:uid="{0192726A-F384-4474-9FDF-44072ECE1E06}"/>
    <cellStyle name="Normal 2 2 2 2 3 3" xfId="3291" xr:uid="{C021F3D8-41F5-44B0-9680-9E5ECCD30906}"/>
    <cellStyle name="Normal 2 2 2 2 3 3 2" xfId="17343" xr:uid="{97C8FE49-FDA3-443C-9A51-75BAF2375D6F}"/>
    <cellStyle name="Normal 2 2 2 2 3 4" xfId="15149" xr:uid="{292B8E0B-A1EB-415B-9311-D3A8B3DE2ADD}"/>
    <cellStyle name="Normal 2 2 2 2 4" xfId="1679" xr:uid="{6C4541EB-54CF-4927-904E-D96A29DEBF69}"/>
    <cellStyle name="Normal 2 2 2 2 4 2" xfId="3869" xr:uid="{AEBF8B9C-7F8E-4D73-95E8-6E2F76BB5240}"/>
    <cellStyle name="Normal 2 2 2 2 4 2 2" xfId="17922" xr:uid="{C4202C1B-4F3A-4D21-9F67-87783DACB364}"/>
    <cellStyle name="Normal 2 2 2 2 4 3" xfId="15728" xr:uid="{5F329885-8EC9-4633-9DB5-A473C8E64BF4}"/>
    <cellStyle name="Normal 2 2 2 2 5" xfId="2598" xr:uid="{B2B809BA-A46B-4D6F-B096-C0D9E6AFB119}"/>
    <cellStyle name="Normal 2 2 2 2 5 2" xfId="16649" xr:uid="{EC78C471-B16A-4C4F-8922-E70F0C91A423}"/>
    <cellStyle name="Normal 2 2 2 2 6" xfId="4964" xr:uid="{886A9D84-0C91-4726-B48F-B1B0E4FAB69E}"/>
    <cellStyle name="Normal 2 2 2 2 6 2" xfId="19016" xr:uid="{2F2EAEA4-CC0B-4C17-B56C-2BA5C3EB4FDA}"/>
    <cellStyle name="Normal 2 2 2 2 7" xfId="14455" xr:uid="{B0119F67-F7D8-49F5-A9B2-3A4760656F78}"/>
    <cellStyle name="Normal 2 2 2 3" xfId="572" xr:uid="{93DAFCE5-607B-4D9A-9CF6-B7AF79DDB391}"/>
    <cellStyle name="Normal 2 2 2 3 2" xfId="1505" xr:uid="{DC5EEF17-E2DE-4F02-A480-0C4318D27307}"/>
    <cellStyle name="Normal 2 2 2 3 2 2" xfId="3695" xr:uid="{324D7FAF-EF6B-4080-AB58-5522A5D7D053}"/>
    <cellStyle name="Normal 2 2 2 3 2 2 2" xfId="17748" xr:uid="{8BC59A04-E2D9-4A34-AB15-CCF2762A9C35}"/>
    <cellStyle name="Normal 2 2 2 3 2 3" xfId="15554" xr:uid="{7E97CC36-831F-420C-836D-4B25C9AE8174}"/>
    <cellStyle name="Normal 2 2 2 3 3" xfId="2771" xr:uid="{16663A23-E10E-4576-9D62-E5D18AB98D19}"/>
    <cellStyle name="Normal 2 2 2 3 3 2" xfId="16822" xr:uid="{3BA794F4-3CE4-4533-84A3-CE57C4754720}"/>
    <cellStyle name="Normal 2 2 2 3 4" xfId="4790" xr:uid="{A153B0B7-7235-4655-90A0-DB3854AD261D}"/>
    <cellStyle name="Normal 2 2 2 3 4 2" xfId="18842" xr:uid="{FB480813-99D9-47B5-8F5C-5B30951A8A50}"/>
    <cellStyle name="Normal 2 2 2 3 5" xfId="14627" xr:uid="{C91DCAE0-050B-492C-9F82-267196846AB5}"/>
    <cellStyle name="Normal 2 2 2 4" xfId="925" xr:uid="{C05EAC53-38F1-4C91-BB5E-6444632593E4}"/>
    <cellStyle name="Normal 2 2 2 4 2" xfId="2024" xr:uid="{2DBFA82D-DF87-4617-BC74-16E9B071D8FE}"/>
    <cellStyle name="Normal 2 2 2 4 2 2" xfId="4213" xr:uid="{43502DD1-8C59-4AA3-A3BF-D3048A9436E9}"/>
    <cellStyle name="Normal 2 2 2 4 2 2 2" xfId="18264" xr:uid="{26AED38A-7E7A-437F-BFF1-6B692E4C5E9A}"/>
    <cellStyle name="Normal 2 2 2 4 2 3" xfId="16073" xr:uid="{328C6C9F-6607-4BFF-83E0-1510288DF542}"/>
    <cellStyle name="Normal 2 2 2 4 3" xfId="3117" xr:uid="{74698663-B8DC-45CD-AEAA-38642D4EB3C2}"/>
    <cellStyle name="Normal 2 2 2 4 3 2" xfId="17169" xr:uid="{0E6641D8-EFFA-492D-B194-023E3629AE07}"/>
    <cellStyle name="Normal 2 2 2 4 4" xfId="14975" xr:uid="{EDF7DBFA-7541-4FD8-9F0B-1EFDE0AF27EE}"/>
    <cellStyle name="Normal 2 2 2 5" xfId="1332" xr:uid="{7AF4EFB7-AA32-49D3-A00B-A0407E6F81CA}"/>
    <cellStyle name="Normal 2 2 2 5 2" xfId="3523" xr:uid="{A4703D44-6B4C-4752-9064-9D5F6C5DB1AF}"/>
    <cellStyle name="Normal 2 2 2 5 2 2" xfId="17575" xr:uid="{53F0BC13-3C6C-4533-BAB1-A56D710C8571}"/>
    <cellStyle name="Normal 2 2 2 5 3" xfId="15381" xr:uid="{CA341C24-A77F-40C8-ADFA-DDD9DB1E97B2}"/>
    <cellStyle name="Normal 2 2 2 6" xfId="2424" xr:uid="{E629F94D-7152-431C-A9BA-467AEBE074DA}"/>
    <cellStyle name="Normal 2 2 2 6 2" xfId="16475" xr:uid="{7CA1A858-59A5-4C76-973F-4712C476628A}"/>
    <cellStyle name="Normal 2 2 2 7" xfId="4617" xr:uid="{DC959341-E52C-4B54-AB12-64C6ADD1EDE5}"/>
    <cellStyle name="Normal 2 2 2 7 2" xfId="18669" xr:uid="{D81EB9B1-99EE-440A-828C-F1CCA0DDA02C}"/>
    <cellStyle name="Normal 2 2 2 8" xfId="14280" xr:uid="{528DE678-8A40-49FC-9001-5F4E9BD625D5}"/>
    <cellStyle name="Normal 2 2 3" xfId="164" xr:uid="{7CCDFEAE-BDC1-4EDD-88DA-1F7A8DC60590}"/>
    <cellStyle name="Normal 2 2 3 2" xfId="341" xr:uid="{F7EF02C0-9215-46D5-B4E8-C0DA91AA2984}"/>
    <cellStyle name="Normal 2 2 3 2 2" xfId="695" xr:uid="{B153F91A-CF7D-4289-B297-2C23D58516E0}"/>
    <cellStyle name="Normal 2 2 3 2 2 2" xfId="1796" xr:uid="{8A9C706E-158D-418E-9779-EDC876FA1E11}"/>
    <cellStyle name="Normal 2 2 3 2 2 2 2" xfId="3985" xr:uid="{8FABC6E9-C9B1-40B1-A376-1E5CEC9B8AE8}"/>
    <cellStyle name="Normal 2 2 3 2 2 2 2 2" xfId="18037" xr:uid="{A6D14686-5BAD-4893-BF94-71149FE31AB6}"/>
    <cellStyle name="Normal 2 2 3 2 2 2 3" xfId="15845" xr:uid="{BA40EE9D-7FED-4CF3-A589-942BCA13920B}"/>
    <cellStyle name="Normal 2 2 3 2 2 3" xfId="2887" xr:uid="{43FB0B71-7DC5-4D40-9F42-7AF31C6CC0FC}"/>
    <cellStyle name="Normal 2 2 3 2 2 3 2" xfId="16939" xr:uid="{76F15ED1-DD75-4B78-A9A9-5AE01B287D2D}"/>
    <cellStyle name="Normal 2 2 3 2 2 4" xfId="14746" xr:uid="{9A7A2444-4C3C-4B90-91B1-AF9E3A7BAE8E}"/>
    <cellStyle name="Normal 2 2 3 2 3" xfId="1042" xr:uid="{FC3FD089-DE9B-42E7-9AE0-1C67E9EEBD86}"/>
    <cellStyle name="Normal 2 2 3 2 3 2" xfId="2141" xr:uid="{518A1D86-7E59-4F30-B1D8-C1E59FA69D9A}"/>
    <cellStyle name="Normal 2 2 3 2 3 2 2" xfId="4330" xr:uid="{ECC90ED3-B682-41E6-B3A2-7D6765950302}"/>
    <cellStyle name="Normal 2 2 3 2 3 2 2 2" xfId="18380" xr:uid="{F09F34BC-1AFE-4BF1-972F-A9BE422FA150}"/>
    <cellStyle name="Normal 2 2 3 2 3 2 3" xfId="16190" xr:uid="{93174958-86B4-4535-93D2-BF01428FB7DF}"/>
    <cellStyle name="Normal 2 2 3 2 3 3" xfId="3234" xr:uid="{07104479-1922-40CA-8BF1-4E8A578F54F6}"/>
    <cellStyle name="Normal 2 2 3 2 3 3 2" xfId="17286" xr:uid="{9906A34F-4FE3-4A76-90F3-89A8BC0E41C4}"/>
    <cellStyle name="Normal 2 2 3 2 3 4" xfId="15092" xr:uid="{1C2F6BE2-B64F-41F8-B74B-FACC69509038}"/>
    <cellStyle name="Normal 2 2 3 2 4" xfId="1622" xr:uid="{B7864670-454F-4ED4-B827-DFFCE5F17EC9}"/>
    <cellStyle name="Normal 2 2 3 2 4 2" xfId="3812" xr:uid="{A8B7D038-45BB-460C-9018-05968D693759}"/>
    <cellStyle name="Normal 2 2 3 2 4 2 2" xfId="17865" xr:uid="{FF75D0BF-439C-4BA6-8B27-D8DC5B241E96}"/>
    <cellStyle name="Normal 2 2 3 2 4 3" xfId="15671" xr:uid="{6BB9355F-55DC-4A0E-BBE3-DD2951A65789}"/>
    <cellStyle name="Normal 2 2 3 2 5" xfId="2541" xr:uid="{DCB49E03-4F39-4C05-B35F-4BC8A35669A5}"/>
    <cellStyle name="Normal 2 2 3 2 5 2" xfId="16592" xr:uid="{C61F0016-AAB6-4126-9232-BF93D6B8E4EC}"/>
    <cellStyle name="Normal 2 2 3 2 6" xfId="4907" xr:uid="{D173E4DF-5C12-4ED5-98E8-6A66D887BAF3}"/>
    <cellStyle name="Normal 2 2 3 2 6 2" xfId="18959" xr:uid="{886AA61B-6D46-48A7-AA8F-67A59792C775}"/>
    <cellStyle name="Normal 2 2 3 2 7" xfId="14398" xr:uid="{D1604AD8-126D-4DAB-B101-9C54728B2C20}"/>
    <cellStyle name="Normal 2 2 3 3" xfId="515" xr:uid="{07C64ED5-1EF4-4721-9972-9956CDD3C7B3}"/>
    <cellStyle name="Normal 2 2 3 3 2" xfId="1448" xr:uid="{0C1906EF-96DD-4EC1-8E62-3BEAD3A36244}"/>
    <cellStyle name="Normal 2 2 3 3 2 2" xfId="3638" xr:uid="{E6800116-D445-48B0-8B36-68662EFF7BCA}"/>
    <cellStyle name="Normal 2 2 3 3 2 2 2" xfId="17691" xr:uid="{6CEEF561-F7E4-4A11-AA3C-25B086B7AE02}"/>
    <cellStyle name="Normal 2 2 3 3 2 3" xfId="15497" xr:uid="{7B4C33D2-16A9-4C99-B4F7-B27086028607}"/>
    <cellStyle name="Normal 2 2 3 3 3" xfId="2714" xr:uid="{2920E906-D32B-476E-8CA2-86954D63D3E5}"/>
    <cellStyle name="Normal 2 2 3 3 3 2" xfId="16765" xr:uid="{F601FDE9-73A9-4585-B52D-906B5ED36F3A}"/>
    <cellStyle name="Normal 2 2 3 3 4" xfId="4733" xr:uid="{30F6F52B-5071-4485-9E26-85BA4C3AA411}"/>
    <cellStyle name="Normal 2 2 3 3 4 2" xfId="18785" xr:uid="{05380936-9E58-4F04-8839-DABF90579BD8}"/>
    <cellStyle name="Normal 2 2 3 3 5" xfId="14570" xr:uid="{E03328DF-15A8-44CC-AFE1-D1B01DCDF836}"/>
    <cellStyle name="Normal 2 2 3 4" xfId="868" xr:uid="{8D4FC924-78DA-492A-999F-11F37A9AE7B4}"/>
    <cellStyle name="Normal 2 2 3 4 2" xfId="1967" xr:uid="{534B2394-FE32-4D4C-BB85-37ADC9E79E7F}"/>
    <cellStyle name="Normal 2 2 3 4 2 2" xfId="4156" xr:uid="{8FD5193E-EA5B-40E5-93B2-50E1C5F52A67}"/>
    <cellStyle name="Normal 2 2 3 4 2 2 2" xfId="18207" xr:uid="{5CA70174-98C7-407A-B6FB-ABE0519D3AF9}"/>
    <cellStyle name="Normal 2 2 3 4 2 3" xfId="16016" xr:uid="{539038B4-5FF7-418A-8202-02CFD3C4201F}"/>
    <cellStyle name="Normal 2 2 3 4 3" xfId="3060" xr:uid="{B45765FC-EF9E-44D3-B4A1-4F9F95077954}"/>
    <cellStyle name="Normal 2 2 3 4 3 2" xfId="17112" xr:uid="{450F4FCB-BA71-4388-B42E-4FD1FEB81B33}"/>
    <cellStyle name="Normal 2 2 3 4 4" xfId="14918" xr:uid="{0AD38C29-E068-42C9-A236-4E01B6F6CDE5}"/>
    <cellStyle name="Normal 2 2 3 5" xfId="1276" xr:uid="{D3384AF0-8AFA-4FA3-B7DC-77BBC65BE8F2}"/>
    <cellStyle name="Normal 2 2 3 5 2" xfId="3466" xr:uid="{3A8B5D60-00AD-413B-A3EA-4137BC3A824A}"/>
    <cellStyle name="Normal 2 2 3 5 2 2" xfId="17518" xr:uid="{4AFDB2C4-2412-47E6-B3C9-42E8308BA3CE}"/>
    <cellStyle name="Normal 2 2 3 5 3" xfId="15324" xr:uid="{69DD0E89-1EBE-45FA-8BC4-5FF4253A2031}"/>
    <cellStyle name="Normal 2 2 3 6" xfId="2367" xr:uid="{1CE652D9-275D-4B35-B4B2-9E4DA128ADC0}"/>
    <cellStyle name="Normal 2 2 3 6 2" xfId="16418" xr:uid="{18504760-97C1-4784-B631-93D82FC419EC}"/>
    <cellStyle name="Normal 2 2 3 7" xfId="4560" xr:uid="{BAC23CBB-3D52-4625-B842-435FB18CBC92}"/>
    <cellStyle name="Normal 2 2 3 7 2" xfId="18612" xr:uid="{A3D7901D-48BF-4836-8F04-DE87878F4CB6}"/>
    <cellStyle name="Normal 2 2 3 8" xfId="14223" xr:uid="{C816BF98-C898-481D-87BB-875EF35EA02C}"/>
    <cellStyle name="Normal 2 2 4" xfId="284" xr:uid="{581BDCBC-6AFD-449E-8093-7F3B469DE56B}"/>
    <cellStyle name="Normal 2 2 4 2" xfId="638" xr:uid="{7F6AE5EB-4E3F-4B22-A57D-22DA90096EE1}"/>
    <cellStyle name="Normal 2 2 4 2 2" xfId="1740" xr:uid="{E5E3597B-21BC-4D03-8461-DA93994F4773}"/>
    <cellStyle name="Normal 2 2 4 2 2 2" xfId="3928" xr:uid="{C9D8A56B-2626-4354-93D4-A5DAFBF9650C}"/>
    <cellStyle name="Normal 2 2 4 2 2 2 2" xfId="17980" xr:uid="{7037D154-DEF6-4793-8F5F-16F055D2068E}"/>
    <cellStyle name="Normal 2 2 4 2 2 3" xfId="15788" xr:uid="{75A2FBC6-4B88-461A-94CA-6338BAD4681C}"/>
    <cellStyle name="Normal 2 2 4 2 3" xfId="2831" xr:uid="{03988163-4EE7-4AE0-9155-E4A7E77DCC96}"/>
    <cellStyle name="Normal 2 2 4 2 3 2" xfId="16882" xr:uid="{D133C12C-52CC-44D9-9759-A735E7E27FE8}"/>
    <cellStyle name="Normal 2 2 4 2 4" xfId="14689" xr:uid="{D76D46E0-4EED-4F1B-8DAA-BE3F6C17742B}"/>
    <cellStyle name="Normal 2 2 4 3" xfId="985" xr:uid="{4A0C3573-E19B-4652-9E11-DB88C916562A}"/>
    <cellStyle name="Normal 2 2 4 3 2" xfId="2084" xr:uid="{48615F71-244A-4360-B1DB-24E72698313E}"/>
    <cellStyle name="Normal 2 2 4 3 2 2" xfId="4273" xr:uid="{FAA97128-4B48-4C64-AF2B-151D1EA87ACB}"/>
    <cellStyle name="Normal 2 2 4 3 2 2 2" xfId="18324" xr:uid="{2CA9CF44-ED83-4606-AB81-CA1633E41003}"/>
    <cellStyle name="Normal 2 2 4 3 2 3" xfId="16133" xr:uid="{DA778EFB-464C-4132-8028-E868C1006EB8}"/>
    <cellStyle name="Normal 2 2 4 3 3" xfId="3177" xr:uid="{17B5791F-A949-488C-9EDF-44EBAD12B417}"/>
    <cellStyle name="Normal 2 2 4 3 3 2" xfId="17229" xr:uid="{E6B2F3C7-A74F-4AEE-9211-49CE134715EF}"/>
    <cellStyle name="Normal 2 2 4 3 4" xfId="15035" xr:uid="{9C326718-DFCA-477E-8A39-3BB9261BB496}"/>
    <cellStyle name="Normal 2 2 4 4" xfId="1565" xr:uid="{A0CAB941-7A65-434B-B3F6-0ADAA08629D7}"/>
    <cellStyle name="Normal 2 2 4 4 2" xfId="3755" xr:uid="{E995DF5A-751A-4EEB-89D4-71C7D44FCECC}"/>
    <cellStyle name="Normal 2 2 4 4 2 2" xfId="17808" xr:uid="{5D1F14CF-EBC3-4997-BC3F-4CDF940E0B1C}"/>
    <cellStyle name="Normal 2 2 4 4 3" xfId="15614" xr:uid="{CBF8A5A1-90A6-46CE-8D53-C90FBBB23BE6}"/>
    <cellStyle name="Normal 2 2 4 5" xfId="2484" xr:uid="{8FA66E92-77A6-4A4C-8D82-6C9111C52CD4}"/>
    <cellStyle name="Normal 2 2 4 5 2" xfId="16535" xr:uid="{9F895DE6-D778-4F90-8FA0-E482AF5F0C6D}"/>
    <cellStyle name="Normal 2 2 4 6" xfId="4850" xr:uid="{810C7DE7-B83B-447D-8E68-9E7A87D5595C}"/>
    <cellStyle name="Normal 2 2 4 6 2" xfId="18902" xr:uid="{C68B5321-3180-4EE0-9DD7-E8C8094865FD}"/>
    <cellStyle name="Normal 2 2 4 7" xfId="14341" xr:uid="{0FF80F07-F8CF-45A9-B632-0A40792AB1C2}"/>
    <cellStyle name="Normal 2 2 5" xfId="458" xr:uid="{032C5E20-530B-46F3-AF50-3579BEE9C66B}"/>
    <cellStyle name="Normal 2 2 5 2" xfId="1391" xr:uid="{DAC18BBF-3A56-4B21-8C5D-7A5512D1A4F0}"/>
    <cellStyle name="Normal 2 2 5 2 2" xfId="3581" xr:uid="{C953F69B-8945-42AD-9268-0891EFBE98A0}"/>
    <cellStyle name="Normal 2 2 5 2 2 2" xfId="17634" xr:uid="{C2965E7E-7F6B-4A67-BBEF-C839038656EB}"/>
    <cellStyle name="Normal 2 2 5 2 3" xfId="15440" xr:uid="{F607A90A-1569-4C34-B43C-64CE1B414AA7}"/>
    <cellStyle name="Normal 2 2 5 3" xfId="2657" xr:uid="{4DDFE533-856E-4B16-B032-EBD380D21C2F}"/>
    <cellStyle name="Normal 2 2 5 3 2" xfId="16708" xr:uid="{1C3D2B11-3B24-4E8B-8146-0A7E96853737}"/>
    <cellStyle name="Normal 2 2 5 4" xfId="4676" xr:uid="{FAB33591-6370-4E20-92E4-55CF32CD0E88}"/>
    <cellStyle name="Normal 2 2 5 4 2" xfId="18728" xr:uid="{CE38B58F-2C6C-4E94-AA3D-A648FB8BFA90}"/>
    <cellStyle name="Normal 2 2 5 5" xfId="14513" xr:uid="{CBF60DC5-96BE-4D4E-8C7B-91024D33E836}"/>
    <cellStyle name="Normal 2 2 6" xfId="811" xr:uid="{C4563E15-6F0E-477F-AE85-09C81FAE5F59}"/>
    <cellStyle name="Normal 2 2 6 2" xfId="1910" xr:uid="{9BFB209E-F5E3-4EF0-B720-374BFF499832}"/>
    <cellStyle name="Normal 2 2 6 2 2" xfId="4099" xr:uid="{232D1C41-4AC4-4E55-AC3A-6424CBE13621}"/>
    <cellStyle name="Normal 2 2 6 2 2 2" xfId="18151" xr:uid="{3A537958-B2AC-435E-8794-6B3B1E4DE8CE}"/>
    <cellStyle name="Normal 2 2 6 2 3" xfId="15959" xr:uid="{31615094-84FE-4715-A524-0E5EEE85975F}"/>
    <cellStyle name="Normal 2 2 6 3" xfId="3003" xr:uid="{57EA7B7C-C3F5-46B7-BA65-7F5A6583CA44}"/>
    <cellStyle name="Normal 2 2 6 3 2" xfId="17055" xr:uid="{F2ACD0EF-EB4B-4AB8-9B0D-3CECC810E56C}"/>
    <cellStyle name="Normal 2 2 6 4" xfId="14861" xr:uid="{6D7F8ED4-06D2-4E2D-874E-A30BBE6334CB}"/>
    <cellStyle name="Normal 2 2 7" xfId="1155" xr:uid="{F9E28BDC-0589-49FF-B05F-77A81E6B9E27}"/>
    <cellStyle name="Normal 2 2 7 2" xfId="2255" xr:uid="{AF9268D4-AA2E-43D7-AEB3-FD48697747FD}"/>
    <cellStyle name="Normal 2 2 7 2 2" xfId="4444" xr:uid="{6AD2FA6D-6E1D-4DCF-B004-25A61EBDA4A5}"/>
    <cellStyle name="Normal 2 2 7 2 2 2" xfId="18494" xr:uid="{6D962226-8FB6-4F21-9195-328955E29303}"/>
    <cellStyle name="Normal 2 2 7 2 3" xfId="16304" xr:uid="{0DD38DC2-C021-47A4-B072-B7C92AE2F01F}"/>
    <cellStyle name="Normal 2 2 7 3" xfId="3348" xr:uid="{FCBB19ED-FA02-4877-8CD4-E4C42D10E56A}"/>
    <cellStyle name="Normal 2 2 7 3 2" xfId="17400" xr:uid="{A06C80E3-2765-41AC-8A83-26CAE866AD5F}"/>
    <cellStyle name="Normal 2 2 7 4" xfId="15206" xr:uid="{DFE0077E-10F2-4BB1-ADB4-B3B59E053A8D}"/>
    <cellStyle name="Normal 2 2 8" xfId="1219" xr:uid="{8EEF6A41-6A03-4559-BDA9-9C85786217AF}"/>
    <cellStyle name="Normal 2 2 8 2" xfId="3409" xr:uid="{7FA0F731-1044-41EF-95A8-7747647CA360}"/>
    <cellStyle name="Normal 2 2 8 2 2" xfId="17461" xr:uid="{85CCC38A-8716-4EC5-8B52-959A30395564}"/>
    <cellStyle name="Normal 2 2 8 3" xfId="15267" xr:uid="{8E2575B0-64C3-47BA-A6E3-5E840E1D348B}"/>
    <cellStyle name="Normal 2 2 9" xfId="2310" xr:uid="{BF9271ED-8B26-48A5-8C09-F2EA9CC85C82}"/>
    <cellStyle name="Normal 2 2 9 2" xfId="16361" xr:uid="{51A6ABEA-56D9-4493-AC47-9DDB9DC3E4CF}"/>
    <cellStyle name="Normal 2 3" xfId="201" xr:uid="{AC7684A8-2753-4C2C-982E-2F31E474DFA2}"/>
    <cellStyle name="Normal 2 3 2" xfId="378" xr:uid="{BEBDD30C-A3D1-4B2F-B228-4FAC828E8060}"/>
    <cellStyle name="Normal 2 3 2 2" xfId="732" xr:uid="{69AA93A0-DAB6-484A-83C8-E6520DDCBF59}"/>
    <cellStyle name="Normal 2 3 2 2 2" xfId="1833" xr:uid="{AE274A60-F896-469C-B83B-436C9194A241}"/>
    <cellStyle name="Normal 2 3 2 2 2 2" xfId="4022" xr:uid="{6DCCE162-D67E-400E-8001-4E88CC4F17CC}"/>
    <cellStyle name="Normal 2 3 2 2 2 2 2" xfId="18074" xr:uid="{CA3B37E5-B914-4925-A5CB-B6B4B45DC7F8}"/>
    <cellStyle name="Normal 2 3 2 2 2 3" xfId="15882" xr:uid="{54485323-83A1-461F-BB76-C574350959D9}"/>
    <cellStyle name="Normal 2 3 2 2 3" xfId="2924" xr:uid="{ED804519-C137-4988-8A3D-ECF6BD904E3E}"/>
    <cellStyle name="Normal 2 3 2 2 3 2" xfId="16976" xr:uid="{FB924BC9-4EEC-4EB8-A528-40BEF87F9A1A}"/>
    <cellStyle name="Normal 2 3 2 2 4" xfId="14783" xr:uid="{D7D04788-69C7-493B-B8CB-11CBBDBFC6A1}"/>
    <cellStyle name="Normal 2 3 2 3" xfId="1079" xr:uid="{F0142A8C-FC44-4967-9AC2-60DA347EAC45}"/>
    <cellStyle name="Normal 2 3 2 3 2" xfId="2178" xr:uid="{8A809F3D-9952-42A2-AADC-20DFEB7F4B1E}"/>
    <cellStyle name="Normal 2 3 2 3 2 2" xfId="4367" xr:uid="{F24CBCE9-DCC1-4C54-82E9-1B187A292137}"/>
    <cellStyle name="Normal 2 3 2 3 2 2 2" xfId="18417" xr:uid="{BF155204-5351-462C-8D47-F8FD1445A286}"/>
    <cellStyle name="Normal 2 3 2 3 2 3" xfId="16227" xr:uid="{4D1B1AFD-F96B-4988-B7E8-7FD2A7354BF3}"/>
    <cellStyle name="Normal 2 3 2 3 3" xfId="3271" xr:uid="{51E22F55-E6F5-4663-BC4A-F6FA38CA1A51}"/>
    <cellStyle name="Normal 2 3 2 3 3 2" xfId="17323" xr:uid="{272696AF-3AF6-4F7D-97E0-F693CE4C28B9}"/>
    <cellStyle name="Normal 2 3 2 3 4" xfId="15129" xr:uid="{983DB2DC-F842-4794-B329-19DFB19425CF}"/>
    <cellStyle name="Normal 2 3 2 4" xfId="1659" xr:uid="{79010DE9-2B77-4D3A-B7BB-B81123B1A0AD}"/>
    <cellStyle name="Normal 2 3 2 4 2" xfId="3849" xr:uid="{1255BAA8-7A83-434F-83B6-05939E65A267}"/>
    <cellStyle name="Normal 2 3 2 4 2 2" xfId="17902" xr:uid="{FF8775C1-6312-4DCB-A6BB-2A5C0F788183}"/>
    <cellStyle name="Normal 2 3 2 4 3" xfId="15708" xr:uid="{1DA4562E-6889-46A4-BFE6-1F953CE23B12}"/>
    <cellStyle name="Normal 2 3 2 5" xfId="2578" xr:uid="{9F45DC83-0B1D-47AF-A7C2-EC9D88BBEA22}"/>
    <cellStyle name="Normal 2 3 2 5 2" xfId="16629" xr:uid="{D5E2C43E-8BAC-4BA5-B89C-A784A946A0E0}"/>
    <cellStyle name="Normal 2 3 2 6" xfId="4944" xr:uid="{3C215771-E73B-405B-9DFF-B88F4E592463}"/>
    <cellStyle name="Normal 2 3 2 6 2" xfId="18996" xr:uid="{15F9E205-266A-482C-9987-A2A9A3CB07A1}"/>
    <cellStyle name="Normal 2 3 2 7" xfId="14435" xr:uid="{868EC42F-4EFE-4707-A826-9135C85353FB}"/>
    <cellStyle name="Normal 2 3 3" xfId="552" xr:uid="{818335F8-FB90-4DD1-8891-E16BCF2B50D5}"/>
    <cellStyle name="Normal 2 3 3 2" xfId="1485" xr:uid="{83469583-6F62-40E6-B534-700F04508460}"/>
    <cellStyle name="Normal 2 3 3 2 2" xfId="3675" xr:uid="{7074A3C1-E0C7-4544-B7D8-432C513D2131}"/>
    <cellStyle name="Normal 2 3 3 2 2 2" xfId="17728" xr:uid="{9A360142-187B-43F0-A422-77249610451C}"/>
    <cellStyle name="Normal 2 3 3 2 3" xfId="15534" xr:uid="{700E4AC7-DAC3-4837-A54F-F4DF870FE108}"/>
    <cellStyle name="Normal 2 3 3 3" xfId="2751" xr:uid="{DC2C43D9-E2BF-4966-96F3-11C05E1E132B}"/>
    <cellStyle name="Normal 2 3 3 3 2" xfId="16802" xr:uid="{A55D8519-FDAD-44BF-9EBF-505FD50CD7F3}"/>
    <cellStyle name="Normal 2 3 3 4" xfId="4770" xr:uid="{C6A66D73-0D4E-4614-8D17-E4ACF116D0C0}"/>
    <cellStyle name="Normal 2 3 3 4 2" xfId="18822" xr:uid="{8204812B-29EA-4F54-A2D7-93A8F860A876}"/>
    <cellStyle name="Normal 2 3 3 5" xfId="14607" xr:uid="{9A0CFB54-6076-4F28-8EB3-012FD115D003}"/>
    <cellStyle name="Normal 2 3 4" xfId="905" xr:uid="{DA340405-5944-461F-BF33-F2C4A33D96E6}"/>
    <cellStyle name="Normal 2 3 4 2" xfId="2004" xr:uid="{63F646BD-3C93-4511-9D66-132D75DA0B76}"/>
    <cellStyle name="Normal 2 3 4 2 2" xfId="4193" xr:uid="{2DA50210-5A05-4C36-851E-5010C9D0D8DA}"/>
    <cellStyle name="Normal 2 3 4 2 2 2" xfId="18244" xr:uid="{BA284542-1B79-4B91-BD6C-69E3978401B1}"/>
    <cellStyle name="Normal 2 3 4 2 3" xfId="16053" xr:uid="{B59CFC0B-4C2D-4FC4-9B21-822F9CE8575A}"/>
    <cellStyle name="Normal 2 3 4 3" xfId="3097" xr:uid="{E3FEC0FA-32A5-49FE-8C72-985FD9DFD7C9}"/>
    <cellStyle name="Normal 2 3 4 3 2" xfId="17149" xr:uid="{DAFAB35B-3BC2-4777-9338-FE1F599EEBDE}"/>
    <cellStyle name="Normal 2 3 4 4" xfId="14955" xr:uid="{89F8303A-4E00-495A-860E-CAAA8D027922}"/>
    <cellStyle name="Normal 2 3 5" xfId="1312" xr:uid="{05004D11-5A1C-4FAA-8C2E-4C8D230D2220}"/>
    <cellStyle name="Normal 2 3 5 2" xfId="3503" xr:uid="{0386D4E3-B980-4423-89E6-0F92727E21CC}"/>
    <cellStyle name="Normal 2 3 5 2 2" xfId="17555" xr:uid="{7FB96F97-D390-40D0-AB7F-8A5CB5FA02AF}"/>
    <cellStyle name="Normal 2 3 5 3" xfId="15361" xr:uid="{3C99D2FB-D876-4B05-A9E5-CA933A47472A}"/>
    <cellStyle name="Normal 2 3 6" xfId="2404" xr:uid="{8F0CD88F-5365-484E-A5EC-7B0317959155}"/>
    <cellStyle name="Normal 2 3 6 2" xfId="16455" xr:uid="{F5FA5E47-8575-40AC-9FBD-793A11971279}"/>
    <cellStyle name="Normal 2 3 7" xfId="4597" xr:uid="{FE0ABB66-F5EF-451B-8849-7D0CF8C4DB33}"/>
    <cellStyle name="Normal 2 3 7 2" xfId="18649" xr:uid="{6901DBE7-3A48-4452-85CD-2ACCAA814DF5}"/>
    <cellStyle name="Normal 2 3 8" xfId="14260" xr:uid="{E6E1E28C-89FD-4266-8BF1-9AF6BDC417A0}"/>
    <cellStyle name="Normal 2 4" xfId="144" xr:uid="{D23EC04D-0CCB-425D-93AB-3F011249D574}"/>
    <cellStyle name="Normal 2 4 2" xfId="321" xr:uid="{4B6370F1-0353-4EA3-A8BE-9B21F82C439E}"/>
    <cellStyle name="Normal 2 4 2 2" xfId="675" xr:uid="{0F37F470-4AC7-4433-B1DC-BEFB7BC1B28A}"/>
    <cellStyle name="Normal 2 4 2 2 2" xfId="1776" xr:uid="{E2D26286-CF68-417F-8215-1F5F9017F737}"/>
    <cellStyle name="Normal 2 4 2 2 2 2" xfId="3965" xr:uid="{7D1E60EF-509E-4642-9B62-9B29257CD065}"/>
    <cellStyle name="Normal 2 4 2 2 2 2 2" xfId="18017" xr:uid="{621A4302-5A6C-479C-9257-45C3A4EF69FA}"/>
    <cellStyle name="Normal 2 4 2 2 2 3" xfId="15825" xr:uid="{74BFB16E-E55F-4833-B0A7-859CB280216D}"/>
    <cellStyle name="Normal 2 4 2 2 3" xfId="2867" xr:uid="{5383715F-2489-47DB-8D67-D42443E99F12}"/>
    <cellStyle name="Normal 2 4 2 2 3 2" xfId="16919" xr:uid="{60E5179F-3E02-4F11-B2B7-EB12D2E5E49B}"/>
    <cellStyle name="Normal 2 4 2 2 4" xfId="14726" xr:uid="{45E503DA-DBFA-4F24-B7EC-0CE317019FD4}"/>
    <cellStyle name="Normal 2 4 2 3" xfId="1022" xr:uid="{4EB793AC-E1D9-4424-B73F-0B890B8F4609}"/>
    <cellStyle name="Normal 2 4 2 3 2" xfId="2121" xr:uid="{BCD134B0-8126-4BC0-B2CB-61335607D9D8}"/>
    <cellStyle name="Normal 2 4 2 3 2 2" xfId="4310" xr:uid="{0D86C638-763E-4EE2-A6D4-FA0711CCBDEC}"/>
    <cellStyle name="Normal 2 4 2 3 2 2 2" xfId="18360" xr:uid="{2CED6286-7652-46A2-A712-D6B3A6946B86}"/>
    <cellStyle name="Normal 2 4 2 3 2 3" xfId="16170" xr:uid="{653C0E16-B1BB-4441-B44D-8EBA3D46B1A7}"/>
    <cellStyle name="Normal 2 4 2 3 3" xfId="3214" xr:uid="{EB9385C8-B76B-4F06-8324-E609A49FD3C6}"/>
    <cellStyle name="Normal 2 4 2 3 3 2" xfId="17266" xr:uid="{00E488A3-EDCF-40EE-8040-07AC74E60529}"/>
    <cellStyle name="Normal 2 4 2 3 4" xfId="15072" xr:uid="{F8BBDB8C-8BB8-4949-8C85-36B2A840C91D}"/>
    <cellStyle name="Normal 2 4 2 4" xfId="1602" xr:uid="{03153B93-C110-4516-B389-98276FAC1818}"/>
    <cellStyle name="Normal 2 4 2 4 2" xfId="3792" xr:uid="{F2CCAB5C-B7C1-4C88-ACD7-539BC247B196}"/>
    <cellStyle name="Normal 2 4 2 4 2 2" xfId="17845" xr:uid="{377237AF-41C0-4F42-A232-A283AB2D267C}"/>
    <cellStyle name="Normal 2 4 2 4 3" xfId="15651" xr:uid="{B07345F8-B483-4602-BBF9-025F6247F629}"/>
    <cellStyle name="Normal 2 4 2 5" xfId="2521" xr:uid="{8E57B84C-4CB2-4247-A5E7-7C0D3456A75E}"/>
    <cellStyle name="Normal 2 4 2 5 2" xfId="16572" xr:uid="{5DF7083C-E9C4-4469-A764-398015BD4629}"/>
    <cellStyle name="Normal 2 4 2 6" xfId="4887" xr:uid="{E27AD38E-3F28-4BF3-8A2B-906F7A409BEB}"/>
    <cellStyle name="Normal 2 4 2 6 2" xfId="18939" xr:uid="{4700B82A-E0C0-49EE-B92E-262C8820FAC1}"/>
    <cellStyle name="Normal 2 4 2 7" xfId="14378" xr:uid="{6CF1FC80-2D9F-40B7-990F-50C659171337}"/>
    <cellStyle name="Normal 2 4 3" xfId="495" xr:uid="{564D03FA-01AB-4F1D-89E7-4E240BB802D7}"/>
    <cellStyle name="Normal 2 4 3 2" xfId="1428" xr:uid="{E72E56F6-0AE3-4A12-A864-BA7AC7FDA88E}"/>
    <cellStyle name="Normal 2 4 3 2 2" xfId="3618" xr:uid="{CFD308B6-3814-456B-951F-7A8BE9F018C4}"/>
    <cellStyle name="Normal 2 4 3 2 2 2" xfId="17671" xr:uid="{161E1441-0376-4818-B75C-4AAD239E9F6C}"/>
    <cellStyle name="Normal 2 4 3 2 3" xfId="15477" xr:uid="{99B08B71-3278-4A03-B00C-A830C8764BFB}"/>
    <cellStyle name="Normal 2 4 3 3" xfId="2694" xr:uid="{5228D95F-DCFB-4828-A6F8-6B9CA27BFB91}"/>
    <cellStyle name="Normal 2 4 3 3 2" xfId="16745" xr:uid="{DADF4AC4-0C58-49D7-8121-8799CC5E642F}"/>
    <cellStyle name="Normal 2 4 3 4" xfId="4713" xr:uid="{AC010D49-FB50-49EA-A79C-CC806FBCCF56}"/>
    <cellStyle name="Normal 2 4 3 4 2" xfId="18765" xr:uid="{26224598-99ED-41AD-8432-06820D80805F}"/>
    <cellStyle name="Normal 2 4 3 5" xfId="14550" xr:uid="{D8CB5331-8DC7-4252-8596-90E60D183D6A}"/>
    <cellStyle name="Normal 2 4 4" xfId="848" xr:uid="{FD9BDECD-799F-49F4-9BB7-E65E351CAD24}"/>
    <cellStyle name="Normal 2 4 4 2" xfId="1947" xr:uid="{AE875F3D-F7F9-40D6-9690-CDAA69B3E530}"/>
    <cellStyle name="Normal 2 4 4 2 2" xfId="4136" xr:uid="{40E88AF4-A3A0-4725-92B9-09AC378702EA}"/>
    <cellStyle name="Normal 2 4 4 2 2 2" xfId="18188" xr:uid="{3E7CDE2A-4075-4A04-8FB5-2ED1FBF8601C}"/>
    <cellStyle name="Normal 2 4 4 2 3" xfId="15996" xr:uid="{FD913820-9760-4FD1-AB4A-1993B30D489D}"/>
    <cellStyle name="Normal 2 4 4 3" xfId="3040" xr:uid="{701BD16B-35EE-444D-8B1A-2C32B939D718}"/>
    <cellStyle name="Normal 2 4 4 3 2" xfId="17092" xr:uid="{12D1DC27-B1EA-407B-8DBF-9B6303EEA9C4}"/>
    <cellStyle name="Normal 2 4 4 4" xfId="14898" xr:uid="{133B4741-CBF4-479E-8DD5-0FFDD919DC2D}"/>
    <cellStyle name="Normal 2 4 5" xfId="1256" xr:uid="{72BD7C31-DD56-471B-A7E0-548AFA772E0F}"/>
    <cellStyle name="Normal 2 4 5 2" xfId="3446" xr:uid="{2E70A4FA-A9F2-42FC-89AE-0462037A7C52}"/>
    <cellStyle name="Normal 2 4 5 2 2" xfId="17498" xr:uid="{A7322EF7-E67D-42A1-A3CE-A0BE7800692F}"/>
    <cellStyle name="Normal 2 4 5 3" xfId="15304" xr:uid="{8299EF4D-4AD7-401A-9814-E039CB8DF8D9}"/>
    <cellStyle name="Normal 2 4 6" xfId="2347" xr:uid="{38C4D0F6-3854-4630-85F1-FC8CFE2E2116}"/>
    <cellStyle name="Normal 2 4 6 2" xfId="16398" xr:uid="{3BFAE1D4-E43E-4646-A181-80B465B9685C}"/>
    <cellStyle name="Normal 2 4 7" xfId="4540" xr:uid="{CBB637A0-359A-478F-A767-A5BF1891F56E}"/>
    <cellStyle name="Normal 2 4 7 2" xfId="18592" xr:uid="{A20B8ED7-77D4-421D-9A91-2BEB94A38FC8}"/>
    <cellStyle name="Normal 2 4 8" xfId="14203" xr:uid="{F9FE61DB-9CA6-41F2-ABE2-14D87DD3CCDE}"/>
    <cellStyle name="Normal 2 5" xfId="263" xr:uid="{DA49353E-29E6-4F54-BC00-8BE98D0A4CD8}"/>
    <cellStyle name="Normal 2 5 2" xfId="617" xr:uid="{7F287394-0A08-457A-9DE5-B9189DFE9A75}"/>
    <cellStyle name="Normal 2 5 2 2" xfId="1720" xr:uid="{4871434A-554A-4931-B460-5B17A3D294F1}"/>
    <cellStyle name="Normal 2 5 2 2 2" xfId="3908" xr:uid="{58EF350A-AE22-4ACF-B7B6-CF448BE09178}"/>
    <cellStyle name="Normal 2 5 2 2 2 2" xfId="17960" xr:uid="{20791FDD-9E3B-48A3-A308-E1F1F8CDEE14}"/>
    <cellStyle name="Normal 2 5 2 2 3" xfId="15768" xr:uid="{DD44E373-C78A-49D0-A6B5-A37D54152F3E}"/>
    <cellStyle name="Normal 2 5 2 3" xfId="2811" xr:uid="{44ECB8A4-1185-4BC3-953E-FB7A5493AF8F}"/>
    <cellStyle name="Normal 2 5 2 3 2" xfId="16862" xr:uid="{A9D97F1C-3094-45A9-B71E-66545B0AF288}"/>
    <cellStyle name="Normal 2 5 2 4" xfId="14668" xr:uid="{2029F7BF-0D45-468E-ABA9-9D27509651F8}"/>
    <cellStyle name="Normal 2 5 3" xfId="965" xr:uid="{048330F5-29D8-4086-A86F-FE5DAD6B40F8}"/>
    <cellStyle name="Normal 2 5 3 2" xfId="2064" xr:uid="{4CDAE349-5D68-4F32-A27B-9085BF138544}"/>
    <cellStyle name="Normal 2 5 3 2 2" xfId="4253" xr:uid="{FFB6678B-C2D5-47CA-B8DE-1B3A80CCB1A8}"/>
    <cellStyle name="Normal 2 5 3 2 2 2" xfId="18304" xr:uid="{52A2FC51-FFF8-4863-8D2E-7D143BE1E27B}"/>
    <cellStyle name="Normal 2 5 3 2 3" xfId="16113" xr:uid="{DE73F2B7-4F31-426A-8367-C5657B91936F}"/>
    <cellStyle name="Normal 2 5 3 3" xfId="3157" xr:uid="{D313CBFC-E5E6-4FC1-BCDD-5FC9AE90FF40}"/>
    <cellStyle name="Normal 2 5 3 3 2" xfId="17209" xr:uid="{4FED8B2E-E632-4EBE-B360-3CE97F88CEC4}"/>
    <cellStyle name="Normal 2 5 3 4" xfId="15015" xr:uid="{A681BE2E-B48B-4E0B-81DA-7E0673D4EEAD}"/>
    <cellStyle name="Normal 2 5 4" xfId="1545" xr:uid="{3722599D-5E58-48AF-A236-5DDDE98A9D95}"/>
    <cellStyle name="Normal 2 5 4 2" xfId="3735" xr:uid="{BA2F547B-8EB4-4B9B-8FCD-45AA0931CDC6}"/>
    <cellStyle name="Normal 2 5 4 2 2" xfId="17788" xr:uid="{9F8C7760-39D9-4829-9425-40EB153CF24D}"/>
    <cellStyle name="Normal 2 5 4 3" xfId="15594" xr:uid="{C6C32BBF-8591-4330-8711-7CFFEBDB471F}"/>
    <cellStyle name="Normal 2 5 5" xfId="2464" xr:uid="{FA1993FB-57A0-4000-8F9F-6812804850B5}"/>
    <cellStyle name="Normal 2 5 5 2" xfId="16515" xr:uid="{F0EF9CAF-C7BC-4B85-9955-8FD9553C23B9}"/>
    <cellStyle name="Normal 2 5 6" xfId="4830" xr:uid="{E5382E8E-39F0-48D3-8C4E-31C97E8F5526}"/>
    <cellStyle name="Normal 2 5 6 2" xfId="18882" xr:uid="{07C00E56-BEF6-4DFD-ADFA-8251E0DE5B0E}"/>
    <cellStyle name="Normal 2 5 7" xfId="14320" xr:uid="{FA740B24-FDCD-4364-BE44-433ABAE73995}"/>
    <cellStyle name="Normal 2 6" xfId="438" xr:uid="{CC1E4C39-6344-4A40-A86E-44AC68686966}"/>
    <cellStyle name="Normal 2 6 2" xfId="1371" xr:uid="{A8A02853-F090-4FAE-B71C-7DD3A533F7A2}"/>
    <cellStyle name="Normal 2 6 2 2" xfId="3561" xr:uid="{B48ACA76-F139-4779-84D1-C8A5FAA2E567}"/>
    <cellStyle name="Normal 2 6 2 2 2" xfId="17614" xr:uid="{28E1CA78-D79D-4FB3-A68B-1441FACA3B81}"/>
    <cellStyle name="Normal 2 6 2 3" xfId="15420" xr:uid="{4351260E-8A79-4B3C-B02F-14CFD317ADDD}"/>
    <cellStyle name="Normal 2 6 3" xfId="2637" xr:uid="{88D6EFAF-E02B-46C4-B45E-FF2CB70A85B5}"/>
    <cellStyle name="Normal 2 6 3 2" xfId="16688" xr:uid="{EE87A4DC-A49A-4E77-82A1-6D77FB803C4D}"/>
    <cellStyle name="Normal 2 6 4" xfId="4656" xr:uid="{8BAB1FBE-0D5A-4A8F-9EEF-DC97F4A265D7}"/>
    <cellStyle name="Normal 2 6 4 2" xfId="18708" xr:uid="{79D69F09-D66E-432C-8F13-1AA5C199B1E1}"/>
    <cellStyle name="Normal 2 6 5" xfId="14493" xr:uid="{3E651AD4-D846-425E-9A69-C3AA6F70AB12}"/>
    <cellStyle name="Normal 2 7" xfId="791" xr:uid="{D5E193F4-4552-4979-BA79-4FE9687DDB89}"/>
    <cellStyle name="Normal 2 7 2" xfId="1892" xr:uid="{988412D4-D07C-4956-B42F-62F811C67CFD}"/>
    <cellStyle name="Normal 2 7 2 2" xfId="4081" xr:uid="{13CB3057-7841-4971-A176-BF1E9F4CBA13}"/>
    <cellStyle name="Normal 2 7 2 2 2" xfId="18133" xr:uid="{552010F0-4EA0-4EEB-AB40-8B98648F221A}"/>
    <cellStyle name="Normal 2 7 2 3" xfId="15941" xr:uid="{B4A2EA1B-C0D9-41BB-BF06-0A8B6D0CD733}"/>
    <cellStyle name="Normal 2 7 3" xfId="2983" xr:uid="{3FD59E9A-7B63-4BFB-99E6-2CA8B06074F1}"/>
    <cellStyle name="Normal 2 7 3 2" xfId="17035" xr:uid="{75DB6B19-327B-4D78-AF1F-F0DEF6D628CD}"/>
    <cellStyle name="Normal 2 7 4" xfId="14841" xr:uid="{A66E71F4-CAB3-46B4-B955-9B60DB0B9C44}"/>
    <cellStyle name="Normal 2 8" xfId="1135" xr:uid="{7FF35845-1690-4561-85D2-88CD8C15FD55}"/>
    <cellStyle name="Normal 2 8 2" xfId="2235" xr:uid="{46D2CB7B-C8F4-4DD7-A3D0-DB83389465D1}"/>
    <cellStyle name="Normal 2 8 2 2" xfId="4424" xr:uid="{31D33A2D-C105-4F44-A625-BE015C34AFD2}"/>
    <cellStyle name="Normal 2 8 2 2 2" xfId="18474" xr:uid="{374BA388-9695-4DF1-8A57-8DE650AEBEF6}"/>
    <cellStyle name="Normal 2 8 2 3" xfId="16284" xr:uid="{D3031B14-E8F4-44BC-A04E-8DA5DBCDBF35}"/>
    <cellStyle name="Normal 2 8 3" xfId="3328" xr:uid="{2BD03C7A-5C14-4570-A1AB-2D7D929F199A}"/>
    <cellStyle name="Normal 2 8 3 2" xfId="17380" xr:uid="{AE3D4AA4-B5CE-473D-A62E-6DF4C92D13EB}"/>
    <cellStyle name="Normal 2 8 4" xfId="15186" xr:uid="{8C972CB2-392C-434A-86E3-94F9E192E704}"/>
    <cellStyle name="Normal 2 9" xfId="1199" xr:uid="{2CC3D03D-2747-413F-AFFF-00A52B1BA2C5}"/>
    <cellStyle name="Normal 2 9 2" xfId="3389" xr:uid="{C8E54183-E9D0-41AB-BC8B-B53C46DDF1FA}"/>
    <cellStyle name="Normal 2 9 2 2" xfId="17441" xr:uid="{C145F780-75B9-4C2D-BC9E-653D73797BDF}"/>
    <cellStyle name="Normal 2 9 3" xfId="15247" xr:uid="{6D491024-240C-4B34-A846-3095F1B50503}"/>
    <cellStyle name="Normal 3" xfId="18" xr:uid="{513F9FA1-169D-4B20-AAB3-715BC1AF0D12}"/>
    <cellStyle name="Normal 3 2" xfId="599" xr:uid="{40E8483C-BC8A-4C28-82A6-003676F130DE}"/>
    <cellStyle name="Normal 3 3" xfId="70" xr:uid="{5CD9B0EB-14A8-4D3D-9CC1-36E16B89BBF8}"/>
    <cellStyle name="Normal 3 4" xfId="14107" xr:uid="{89E1539E-D9AB-4056-A3EE-E14B5E089F4E}"/>
    <cellStyle name="Normal 3 4 2" xfId="14108" xr:uid="{6217F4F5-B689-6E42-9323-EA90EFB5AFB7}"/>
    <cellStyle name="Normal 3 4 2 2" xfId="14112" xr:uid="{F3BA6C26-ABC5-494F-9C38-4573A4639AD3}"/>
    <cellStyle name="Normal 3 4 2 2 2" xfId="28163" xr:uid="{8A806923-AE7B-404E-AB9B-845AD3B4EEEA}"/>
    <cellStyle name="Normal 3 4 2 3" xfId="28158" xr:uid="{F3EF3560-9382-4AF8-B35F-E08DCEE7E33F}"/>
    <cellStyle name="Normal 3 4 3" xfId="28157" xr:uid="{5BAE68F9-8CFB-4D6E-9C04-B3E6D9D5CE02}"/>
    <cellStyle name="Normal 3 5" xfId="14116" xr:uid="{44F0FD5F-F245-44D5-85D6-D86BD00E84CB}"/>
    <cellStyle name="Normal 4" xfId="27" xr:uid="{3247D9E2-9B70-47A4-9758-38DFAE0EE048}"/>
    <cellStyle name="Normal 4 10" xfId="2294" xr:uid="{D93120EE-CD86-4486-BAB2-664C9D734606}"/>
    <cellStyle name="Normal 4 10 2" xfId="16345" xr:uid="{E40FA529-168A-46C6-B60C-8DBA50682B2D}"/>
    <cellStyle name="Normal 4 11" xfId="90" xr:uid="{865A7588-F67A-4E4A-9502-D96C80455607}"/>
    <cellStyle name="Normal 4 11 2" xfId="14151" xr:uid="{C2B89545-1D97-4B33-B291-130AA7E0C600}"/>
    <cellStyle name="Normal 4 12" xfId="14118" xr:uid="{0E7F0732-89FD-45B9-8CD7-C7C11FE5CB6A}"/>
    <cellStyle name="Normal 4 2" xfId="110" xr:uid="{83AE78D7-4D1F-42A2-AF2D-718D56371451}"/>
    <cellStyle name="Normal 4 2 10" xfId="4508" xr:uid="{61A1818F-A53F-4053-B654-51D3FF8BB37D}"/>
    <cellStyle name="Normal 4 2 10 2" xfId="18559" xr:uid="{08887D13-5616-4209-8240-C76A79982FF5}"/>
    <cellStyle name="Normal 4 2 11" xfId="14170" xr:uid="{03DED382-2C32-4DB8-8FFB-D3535113A5F7}"/>
    <cellStyle name="Normal 4 2 2" xfId="225" xr:uid="{8E2A9832-CC58-4ABF-A013-FE0BE0C8C24B}"/>
    <cellStyle name="Normal 4 2 2 2" xfId="402" xr:uid="{3428C2EA-9AB4-49BD-B3AD-480019E0498F}"/>
    <cellStyle name="Normal 4 2 2 2 2" xfId="756" xr:uid="{8352C6A8-7D53-4BBE-AB69-E7429083005F}"/>
    <cellStyle name="Normal 4 2 2 2 2 2" xfId="1857" xr:uid="{3BEA9BF4-556D-47D5-ABAA-8EFC74423486}"/>
    <cellStyle name="Normal 4 2 2 2 2 2 2" xfId="4046" xr:uid="{1F5BD5D6-8B79-4A65-8E3B-B00E7D1F84F1}"/>
    <cellStyle name="Normal 4 2 2 2 2 2 2 2" xfId="18098" xr:uid="{B9E90D9B-9501-4B72-99EF-C5F01E198EDD}"/>
    <cellStyle name="Normal 4 2 2 2 2 2 3" xfId="15906" xr:uid="{D999DDE3-A517-4D98-8D03-4B92DF5D2B19}"/>
    <cellStyle name="Normal 4 2 2 2 2 3" xfId="2948" xr:uid="{1634DBD1-94E3-47F9-B087-59FF41D9ED19}"/>
    <cellStyle name="Normal 4 2 2 2 2 3 2" xfId="17000" xr:uid="{288E8F84-578D-4909-88FF-9C2428EFFE4F}"/>
    <cellStyle name="Normal 4 2 2 2 2 4" xfId="14807" xr:uid="{DE164801-2674-4AB1-9AC8-818C89F9091F}"/>
    <cellStyle name="Normal 4 2 2 2 3" xfId="1103" xr:uid="{F7688A6A-1A33-4C8B-9DBE-3E1745BC9984}"/>
    <cellStyle name="Normal 4 2 2 2 3 2" xfId="2202" xr:uid="{D4979988-60B3-4867-AA77-B523D6031C04}"/>
    <cellStyle name="Normal 4 2 2 2 3 2 2" xfId="4391" xr:uid="{90A23628-81B8-4075-850C-BF76C9F0E28B}"/>
    <cellStyle name="Normal 4 2 2 2 3 2 2 2" xfId="18441" xr:uid="{B0EA8B0E-3BFE-4EF9-B297-C6694C7068FA}"/>
    <cellStyle name="Normal 4 2 2 2 3 2 3" xfId="16251" xr:uid="{204389FA-626F-4A65-AEE0-C34702584265}"/>
    <cellStyle name="Normal 4 2 2 2 3 3" xfId="3295" xr:uid="{94795E62-F1BD-452D-8283-0890D65074C6}"/>
    <cellStyle name="Normal 4 2 2 2 3 3 2" xfId="17347" xr:uid="{AD411A11-B2B9-4638-9A71-2D2677427D0B}"/>
    <cellStyle name="Normal 4 2 2 2 3 4" xfId="15153" xr:uid="{3E5B5637-F6B3-4321-9833-CF1B75C22F34}"/>
    <cellStyle name="Normal 4 2 2 2 4" xfId="1683" xr:uid="{EBAF99D9-C415-4A79-A65E-EF6E85C6CED0}"/>
    <cellStyle name="Normal 4 2 2 2 4 2" xfId="3873" xr:uid="{3F3A0D16-D6C4-4FE7-B77C-1B58FECAF5AE}"/>
    <cellStyle name="Normal 4 2 2 2 4 2 2" xfId="17926" xr:uid="{3BC9B336-9278-42CE-9AF3-CA540A7FCD17}"/>
    <cellStyle name="Normal 4 2 2 2 4 3" xfId="15732" xr:uid="{B51A41D7-00F1-4502-877D-7C2195EE415A}"/>
    <cellStyle name="Normal 4 2 2 2 5" xfId="2602" xr:uid="{848EB098-C071-49D7-8F7C-7E7D4B5E93CF}"/>
    <cellStyle name="Normal 4 2 2 2 5 2" xfId="16653" xr:uid="{9B6FBCC8-AB02-45DB-871F-DA86153E6648}"/>
    <cellStyle name="Normal 4 2 2 2 6" xfId="4968" xr:uid="{CF3AFFB3-2945-4A18-A1ED-CEA1AD38153A}"/>
    <cellStyle name="Normal 4 2 2 2 6 2" xfId="19020" xr:uid="{8610C308-8BE6-4560-BF98-D117C9E1F82D}"/>
    <cellStyle name="Normal 4 2 2 2 7" xfId="14459" xr:uid="{23C2A190-02C4-4B2D-801B-30DC3C418673}"/>
    <cellStyle name="Normal 4 2 2 3" xfId="576" xr:uid="{E0F9E5DF-C242-49BC-B096-74C2E5DC68AD}"/>
    <cellStyle name="Normal 4 2 2 3 2" xfId="1509" xr:uid="{013C1EC3-0D87-479A-815B-EB5DA62C53FF}"/>
    <cellStyle name="Normal 4 2 2 3 2 2" xfId="3699" xr:uid="{25004174-2CF1-466C-8D61-0E3BC4FD238A}"/>
    <cellStyle name="Normal 4 2 2 3 2 2 2" xfId="17752" xr:uid="{23E4D52F-C748-4E0F-8C0B-7CAE23110AB5}"/>
    <cellStyle name="Normal 4 2 2 3 2 3" xfId="15558" xr:uid="{B4FC881D-DBFF-40BF-86B1-90D1049F6DA2}"/>
    <cellStyle name="Normal 4 2 2 3 3" xfId="2775" xr:uid="{15CB080F-CF2E-4505-8437-F52970913CDB}"/>
    <cellStyle name="Normal 4 2 2 3 3 2" xfId="16826" xr:uid="{C23D6148-82A1-4618-A058-F104AE113D41}"/>
    <cellStyle name="Normal 4 2 2 3 4" xfId="4794" xr:uid="{79E9CC5F-41D3-46A2-81F9-A31A96A62D87}"/>
    <cellStyle name="Normal 4 2 2 3 4 2" xfId="18846" xr:uid="{1261F447-87AD-4586-A7EF-68C9068C114E}"/>
    <cellStyle name="Normal 4 2 2 3 5" xfId="14631" xr:uid="{D61329F4-E0B1-4A0A-8D2C-5B8D68535C6E}"/>
    <cellStyle name="Normal 4 2 2 4" xfId="929" xr:uid="{E6DEC905-861F-4FC3-BC37-1C3453E6A2D3}"/>
    <cellStyle name="Normal 4 2 2 4 2" xfId="2028" xr:uid="{A8BD1688-DA6D-4E66-ACB9-56375BC62376}"/>
    <cellStyle name="Normal 4 2 2 4 2 2" xfId="4217" xr:uid="{1CF4A061-9139-4408-8165-41C6B904BE94}"/>
    <cellStyle name="Normal 4 2 2 4 2 2 2" xfId="18268" xr:uid="{20FFE164-C006-4173-B731-9B9A4EC2DF01}"/>
    <cellStyle name="Normal 4 2 2 4 2 3" xfId="16077" xr:uid="{C14C180D-B5B3-40BF-8D9E-DEDCF5D4242B}"/>
    <cellStyle name="Normal 4 2 2 4 3" xfId="3121" xr:uid="{F42A1995-5101-403D-8ECA-981F2129C1CE}"/>
    <cellStyle name="Normal 4 2 2 4 3 2" xfId="17173" xr:uid="{39820FEF-7303-4995-AD2B-238198866B68}"/>
    <cellStyle name="Normal 4 2 2 4 4" xfId="14979" xr:uid="{B7CA55E5-9C8B-44C3-845C-45851A03D978}"/>
    <cellStyle name="Normal 4 2 2 5" xfId="1336" xr:uid="{BB824BF0-84A3-461A-8536-83437DFAFE61}"/>
    <cellStyle name="Normal 4 2 2 5 2" xfId="3527" xr:uid="{22ECCE53-932B-4A94-A292-FFADE90A12CB}"/>
    <cellStyle name="Normal 4 2 2 5 2 2" xfId="17579" xr:uid="{C5F95471-9A22-4093-B7BA-588826B8CFE0}"/>
    <cellStyle name="Normal 4 2 2 5 3" xfId="15385" xr:uid="{3A644F7E-09A5-4234-8294-01373D8CDAC0}"/>
    <cellStyle name="Normal 4 2 2 6" xfId="2428" xr:uid="{9DF6AB0D-5CD0-4852-8237-AF83723FEFD2}"/>
    <cellStyle name="Normal 4 2 2 6 2" xfId="16479" xr:uid="{2D376019-0E86-4913-83DB-040AD82B8DBA}"/>
    <cellStyle name="Normal 4 2 2 7" xfId="4621" xr:uid="{AE175057-801A-4F89-84B6-02C8FF3506EA}"/>
    <cellStyle name="Normal 4 2 2 7 2" xfId="18673" xr:uid="{6064CCA3-26DD-47C7-BA6F-016C68B44F34}"/>
    <cellStyle name="Normal 4 2 2 8" xfId="14284" xr:uid="{B169E0E2-CD01-4248-8743-0D0298EABF30}"/>
    <cellStyle name="Normal 4 2 3" xfId="168" xr:uid="{0A245068-55C7-4CCB-A912-5F1A6A1AC906}"/>
    <cellStyle name="Normal 4 2 3 2" xfId="345" xr:uid="{0A6342C1-0935-4D3C-972B-FCA4EB420234}"/>
    <cellStyle name="Normal 4 2 3 2 2" xfId="699" xr:uid="{0744ADAC-6AB1-4888-B6C4-859495798F5E}"/>
    <cellStyle name="Normal 4 2 3 2 2 2" xfId="1800" xr:uid="{B57FF74B-47BA-4509-9A3D-274A9355E232}"/>
    <cellStyle name="Normal 4 2 3 2 2 2 2" xfId="3989" xr:uid="{0F43858C-39A4-4558-8B02-3CEB8210568D}"/>
    <cellStyle name="Normal 4 2 3 2 2 2 2 2" xfId="18041" xr:uid="{F564ACBD-7331-4D65-A261-054273B26673}"/>
    <cellStyle name="Normal 4 2 3 2 2 2 3" xfId="15849" xr:uid="{09D72F1D-5169-4BD5-B9EE-AF3F9AD7281E}"/>
    <cellStyle name="Normal 4 2 3 2 2 3" xfId="2891" xr:uid="{1886B8F4-A6EE-4E54-8E1D-D4BEEC17E007}"/>
    <cellStyle name="Normal 4 2 3 2 2 3 2" xfId="16943" xr:uid="{6F45F4DE-BA79-43A6-8C42-30C56DAFD917}"/>
    <cellStyle name="Normal 4 2 3 2 2 4" xfId="14750" xr:uid="{5108A198-668D-45F1-A7C3-4206658EED0B}"/>
    <cellStyle name="Normal 4 2 3 2 3" xfId="1046" xr:uid="{E5C53AC2-6978-49A7-93A2-9C34CBF81286}"/>
    <cellStyle name="Normal 4 2 3 2 3 2" xfId="2145" xr:uid="{59393983-EC91-43A6-9D86-797DB9C547F2}"/>
    <cellStyle name="Normal 4 2 3 2 3 2 2" xfId="4334" xr:uid="{76D72548-156F-4293-8D5D-D97BE33F669A}"/>
    <cellStyle name="Normal 4 2 3 2 3 2 2 2" xfId="18384" xr:uid="{5DE7DF16-87FD-4B52-8B7D-BA3987EBC5C9}"/>
    <cellStyle name="Normal 4 2 3 2 3 2 3" xfId="16194" xr:uid="{F9AECF9B-945E-4E2D-9C80-6DA6487BE2AB}"/>
    <cellStyle name="Normal 4 2 3 2 3 3" xfId="3238" xr:uid="{F19ADA1F-F191-4E6F-A946-C57565E7937A}"/>
    <cellStyle name="Normal 4 2 3 2 3 3 2" xfId="17290" xr:uid="{65BB6F10-950A-4009-9B4B-AA2859D19B8D}"/>
    <cellStyle name="Normal 4 2 3 2 3 4" xfId="15096" xr:uid="{1DDA9959-41DE-4043-8178-CD66E4F4A47D}"/>
    <cellStyle name="Normal 4 2 3 2 4" xfId="1626" xr:uid="{61542507-0EEC-46FB-BA9B-88C801B812A3}"/>
    <cellStyle name="Normal 4 2 3 2 4 2" xfId="3816" xr:uid="{BA87FB75-6CBA-47B8-BCA7-5220670F3FB5}"/>
    <cellStyle name="Normal 4 2 3 2 4 2 2" xfId="17869" xr:uid="{591B0C15-57A7-427B-AD1C-323182B954A9}"/>
    <cellStyle name="Normal 4 2 3 2 4 3" xfId="15675" xr:uid="{CDE8021C-4417-4127-8022-757E42F31BD5}"/>
    <cellStyle name="Normal 4 2 3 2 5" xfId="2545" xr:uid="{A9D3FA27-CBD3-43D8-9525-AC6450D4BDC3}"/>
    <cellStyle name="Normal 4 2 3 2 5 2" xfId="16596" xr:uid="{89868DC2-4AF5-4AE6-98A7-B75ECDCAE363}"/>
    <cellStyle name="Normal 4 2 3 2 6" xfId="4911" xr:uid="{4F686B42-8303-4E79-819D-312CFF9C0C0E}"/>
    <cellStyle name="Normal 4 2 3 2 6 2" xfId="18963" xr:uid="{D0149E5E-FAB0-4A44-B1D1-11873585E86F}"/>
    <cellStyle name="Normal 4 2 3 2 7" xfId="14402" xr:uid="{1A1001CF-9796-4241-A38F-8089BA78204A}"/>
    <cellStyle name="Normal 4 2 3 3" xfId="519" xr:uid="{AA9481FC-5709-403B-9C7D-5A64DE5A6943}"/>
    <cellStyle name="Normal 4 2 3 3 2" xfId="1452" xr:uid="{C6D1C892-E570-4F6F-AC04-25A989E9D6DA}"/>
    <cellStyle name="Normal 4 2 3 3 2 2" xfId="3642" xr:uid="{B04A036B-4219-4E5C-B7D4-7258708F1F17}"/>
    <cellStyle name="Normal 4 2 3 3 2 2 2" xfId="17695" xr:uid="{1713FD45-0505-4C76-8CAA-A0717042B07A}"/>
    <cellStyle name="Normal 4 2 3 3 2 3" xfId="15501" xr:uid="{A62717DB-C07D-41F7-80BB-27ADEAA2B1EA}"/>
    <cellStyle name="Normal 4 2 3 3 3" xfId="2718" xr:uid="{331E81D1-B1A3-48C3-AFB8-C63418B470E0}"/>
    <cellStyle name="Normal 4 2 3 3 3 2" xfId="16769" xr:uid="{FD506A10-E93C-4F44-A0FE-793B5061C976}"/>
    <cellStyle name="Normal 4 2 3 3 4" xfId="4737" xr:uid="{3EF23FD6-4C01-4300-BA16-D16FD85059B7}"/>
    <cellStyle name="Normal 4 2 3 3 4 2" xfId="18789" xr:uid="{7B9A10C1-6BC8-479E-A050-2B33C00F87A8}"/>
    <cellStyle name="Normal 4 2 3 3 5" xfId="14574" xr:uid="{F70CD3CD-74F5-4C6C-B2A4-17DBA22CDC1C}"/>
    <cellStyle name="Normal 4 2 3 4" xfId="872" xr:uid="{8A894CF7-D560-45A5-A9B0-F0B16634DBD7}"/>
    <cellStyle name="Normal 4 2 3 4 2" xfId="1971" xr:uid="{7F612839-C169-49C8-B98E-AF9DA1F99725}"/>
    <cellStyle name="Normal 4 2 3 4 2 2" xfId="4160" xr:uid="{7A8D7556-DE5B-42FA-95E9-E7F95B07F1B1}"/>
    <cellStyle name="Normal 4 2 3 4 2 2 2" xfId="18211" xr:uid="{68DF5EE0-AEEA-4522-8987-ABAE982B864B}"/>
    <cellStyle name="Normal 4 2 3 4 2 3" xfId="16020" xr:uid="{B0C43590-8EBA-47A4-8317-DB3F1E5A2CB7}"/>
    <cellStyle name="Normal 4 2 3 4 3" xfId="3064" xr:uid="{9B29DE4A-2AE5-4E2C-A858-998D85750C30}"/>
    <cellStyle name="Normal 4 2 3 4 3 2" xfId="17116" xr:uid="{5B409623-5798-4597-8D64-6B470E01F425}"/>
    <cellStyle name="Normal 4 2 3 4 4" xfId="14922" xr:uid="{5296F821-1A6B-48C7-A756-48FEE1C5200C}"/>
    <cellStyle name="Normal 4 2 3 5" xfId="1280" xr:uid="{8D34A683-E24D-40AB-B19F-8F1A2D4E9EC7}"/>
    <cellStyle name="Normal 4 2 3 5 2" xfId="3470" xr:uid="{1A8A727D-67EC-40CA-9D74-86D5AC22258A}"/>
    <cellStyle name="Normal 4 2 3 5 2 2" xfId="17522" xr:uid="{00201B1D-2892-4222-ADD7-A568FE3FD936}"/>
    <cellStyle name="Normal 4 2 3 5 3" xfId="15328" xr:uid="{E8A5424E-7D7D-49C6-91D9-100B40931C30}"/>
    <cellStyle name="Normal 4 2 3 6" xfId="2371" xr:uid="{B79077C7-A3CA-4513-B483-C3819A8F4527}"/>
    <cellStyle name="Normal 4 2 3 6 2" xfId="16422" xr:uid="{18F22D29-B45B-4754-B8BC-1117E0992416}"/>
    <cellStyle name="Normal 4 2 3 7" xfId="4564" xr:uid="{A1E0E49A-B8B8-4EEB-A6A7-E173AD1B63D9}"/>
    <cellStyle name="Normal 4 2 3 7 2" xfId="18616" xr:uid="{819D9A99-B5D0-45DA-948C-794D0E93BF6F}"/>
    <cellStyle name="Normal 4 2 3 8" xfId="14227" xr:uid="{EB0E9145-40CD-4001-9CBE-C3C50D3FA1D1}"/>
    <cellStyle name="Normal 4 2 4" xfId="288" xr:uid="{F8118509-D7BD-497E-A2FE-EF2EC3388A37}"/>
    <cellStyle name="Normal 4 2 4 2" xfId="642" xr:uid="{0673E2E3-AE7C-4C58-8BDF-A95166E720CF}"/>
    <cellStyle name="Normal 4 2 4 2 2" xfId="1744" xr:uid="{8CBB75FB-1BC8-4439-82B9-16922C4BB3EB}"/>
    <cellStyle name="Normal 4 2 4 2 2 2" xfId="3932" xr:uid="{804FEB08-DA74-47D8-81BA-63C5141EB2F6}"/>
    <cellStyle name="Normal 4 2 4 2 2 2 2" xfId="17984" xr:uid="{9F07FC74-2053-475F-9F33-416BD3DA1AB8}"/>
    <cellStyle name="Normal 4 2 4 2 2 3" xfId="15792" xr:uid="{F5956EF7-5BBC-4FDB-A9A8-857DEF40FBA4}"/>
    <cellStyle name="Normal 4 2 4 2 3" xfId="2835" xr:uid="{BEDE2FF4-4956-4AC6-BBD2-A2E56DB77170}"/>
    <cellStyle name="Normal 4 2 4 2 3 2" xfId="16886" xr:uid="{8D4D9B18-5319-4BDA-A059-E83893286847}"/>
    <cellStyle name="Normal 4 2 4 2 4" xfId="14693" xr:uid="{5CEA9E3B-A913-4D01-BBE5-3C1AE1D0C1CC}"/>
    <cellStyle name="Normal 4 2 4 3" xfId="989" xr:uid="{819D1CA4-617D-4E36-8AAB-F5E9BE89E61F}"/>
    <cellStyle name="Normal 4 2 4 3 2" xfId="2088" xr:uid="{E95259F9-4589-41A8-8A1F-F6267DAFADFD}"/>
    <cellStyle name="Normal 4 2 4 3 2 2" xfId="4277" xr:uid="{33FC2EE7-E5D5-46EF-BDD0-369A71512C65}"/>
    <cellStyle name="Normal 4 2 4 3 2 2 2" xfId="18328" xr:uid="{82FDD44C-C4AF-4207-BF7C-A887171CE195}"/>
    <cellStyle name="Normal 4 2 4 3 2 3" xfId="16137" xr:uid="{6E8217DC-AF31-47AE-8D0F-401871D0AF29}"/>
    <cellStyle name="Normal 4 2 4 3 3" xfId="3181" xr:uid="{28E00218-D387-4C41-B01B-6F089A995A18}"/>
    <cellStyle name="Normal 4 2 4 3 3 2" xfId="17233" xr:uid="{82B09437-479A-4087-881E-A857DB65569F}"/>
    <cellStyle name="Normal 4 2 4 3 4" xfId="15039" xr:uid="{67BB211E-1AB6-4B59-B817-072DC4C9B526}"/>
    <cellStyle name="Normal 4 2 4 4" xfId="1569" xr:uid="{7189364C-8A6F-4D90-B3D4-A41355AE292D}"/>
    <cellStyle name="Normal 4 2 4 4 2" xfId="3759" xr:uid="{328343C4-36E3-4A86-A87E-04DF0245E6C0}"/>
    <cellStyle name="Normal 4 2 4 4 2 2" xfId="17812" xr:uid="{5FD4B67E-29EF-49B1-8A14-F0DA0BA8C9BF}"/>
    <cellStyle name="Normal 4 2 4 4 3" xfId="15618" xr:uid="{1C2D0E84-8454-4E96-A7EB-07B258F7B12A}"/>
    <cellStyle name="Normal 4 2 4 5" xfId="2488" xr:uid="{7F98941C-391F-4E12-9AE1-D0F0E91911AB}"/>
    <cellStyle name="Normal 4 2 4 5 2" xfId="16539" xr:uid="{A98D5207-0253-45E7-8EF8-399353BC05B3}"/>
    <cellStyle name="Normal 4 2 4 6" xfId="4854" xr:uid="{9E65B394-C057-46D3-B4A9-66E806FF63C4}"/>
    <cellStyle name="Normal 4 2 4 6 2" xfId="18906" xr:uid="{DDEA1740-6424-4A15-BA08-9650CDF7F6CF}"/>
    <cellStyle name="Normal 4 2 4 7" xfId="14345" xr:uid="{3EEF5CF7-7076-47B8-AEFF-7C620AB1057D}"/>
    <cellStyle name="Normal 4 2 5" xfId="462" xr:uid="{6380F468-96DB-4DF3-BE57-5EC95537987C}"/>
    <cellStyle name="Normal 4 2 5 2" xfId="1395" xr:uid="{C837493D-2FEA-4D3D-8B50-EED28AE36264}"/>
    <cellStyle name="Normal 4 2 5 2 2" xfId="3585" xr:uid="{57B1C5AD-8349-4B63-B502-C2CA66169697}"/>
    <cellStyle name="Normal 4 2 5 2 2 2" xfId="17638" xr:uid="{029AD93F-A937-4CAD-ACB0-92260BE5FADE}"/>
    <cellStyle name="Normal 4 2 5 2 3" xfId="15444" xr:uid="{820D7DD2-86F7-4072-A2C9-7E1F821BDA51}"/>
    <cellStyle name="Normal 4 2 5 3" xfId="2661" xr:uid="{C4EB69E3-9C28-47BE-A3DA-83B8C868D783}"/>
    <cellStyle name="Normal 4 2 5 3 2" xfId="16712" xr:uid="{A6A7BDD6-6361-447C-8B5E-00DA54FE4FD9}"/>
    <cellStyle name="Normal 4 2 5 4" xfId="4680" xr:uid="{B4040954-DE69-4002-A567-D58FD8B29A4D}"/>
    <cellStyle name="Normal 4 2 5 4 2" xfId="18732" xr:uid="{2E6A6DFC-93A5-48AC-B125-44F1E12D5492}"/>
    <cellStyle name="Normal 4 2 5 5" xfId="14517" xr:uid="{5177DE51-6A38-4879-ADB1-9302A714CD54}"/>
    <cellStyle name="Normal 4 2 6" xfId="815" xr:uid="{A59075A7-882E-4305-BF9C-69FC92C74C64}"/>
    <cellStyle name="Normal 4 2 6 2" xfId="1914" xr:uid="{51E527A8-450E-4AD9-B132-914C618A7198}"/>
    <cellStyle name="Normal 4 2 6 2 2" xfId="4103" xr:uid="{F1C44638-459B-443A-B93E-A7EEDA1EDBAF}"/>
    <cellStyle name="Normal 4 2 6 2 2 2" xfId="18155" xr:uid="{5F5AA068-9660-402B-B2C2-9EDB3A927F13}"/>
    <cellStyle name="Normal 4 2 6 2 3" xfId="15963" xr:uid="{5007175B-74F8-48D2-9F10-F15602D544A5}"/>
    <cellStyle name="Normal 4 2 6 3" xfId="3007" xr:uid="{F714CCB4-D3A4-49D2-8CA9-158C3548414D}"/>
    <cellStyle name="Normal 4 2 6 3 2" xfId="17059" xr:uid="{55442FF9-59F6-4C1B-A7C1-7E695FFCA19A}"/>
    <cellStyle name="Normal 4 2 6 4" xfId="14865" xr:uid="{403C8032-3648-40A2-8E93-BB6AD418D376}"/>
    <cellStyle name="Normal 4 2 7" xfId="1159" xr:uid="{89E13FC2-93A3-4730-94CA-F25007893EB5}"/>
    <cellStyle name="Normal 4 2 7 2" xfId="2259" xr:uid="{DD0A5DB9-31DE-403B-BD6D-7037E2C9A018}"/>
    <cellStyle name="Normal 4 2 7 2 2" xfId="4448" xr:uid="{4FB43A24-B02E-44B0-8CE4-2484AAE32B8B}"/>
    <cellStyle name="Normal 4 2 7 2 2 2" xfId="18498" xr:uid="{BC6947A6-D6C0-42CD-A7B6-BE3C968D803F}"/>
    <cellStyle name="Normal 4 2 7 2 3" xfId="16308" xr:uid="{70A80815-D0B6-4688-90B1-177065B13919}"/>
    <cellStyle name="Normal 4 2 7 3" xfId="3352" xr:uid="{676188E3-A5FE-4F73-B061-599E15B87D66}"/>
    <cellStyle name="Normal 4 2 7 3 2" xfId="17404" xr:uid="{228633C3-D4F7-47BC-A747-3A731DEFD8D7}"/>
    <cellStyle name="Normal 4 2 7 4" xfId="15210" xr:uid="{40FADDDC-0D45-435D-9C9D-EE40DF48C970}"/>
    <cellStyle name="Normal 4 2 8" xfId="1223" xr:uid="{C1A49FB4-78C5-47D6-A5D0-BB2AF9CB5268}"/>
    <cellStyle name="Normal 4 2 8 2" xfId="3413" xr:uid="{1F78B3F2-2CE0-45EC-AA68-A40AF25F6CC0}"/>
    <cellStyle name="Normal 4 2 8 2 2" xfId="17465" xr:uid="{ACD2D882-0643-4715-A7E2-6C8DBE99B03B}"/>
    <cellStyle name="Normal 4 2 8 3" xfId="15271" xr:uid="{37844856-99B4-45D8-973F-3C7654D56F9E}"/>
    <cellStyle name="Normal 4 2 9" xfId="2314" xr:uid="{27E7BDB5-1F72-4C0C-9721-D137A7FD842B}"/>
    <cellStyle name="Normal 4 2 9 2" xfId="16365" xr:uid="{DA19D45A-3324-4765-8A55-72321C174FFD}"/>
    <cellStyle name="Normal 4 3" xfId="205" xr:uid="{10A01A01-6AD5-45C3-8CB8-8FDB178AC9CF}"/>
    <cellStyle name="Normal 4 3 2" xfId="382" xr:uid="{8A1D80F7-6396-43A7-BDF6-1A91B7526AB8}"/>
    <cellStyle name="Normal 4 3 2 2" xfId="736" xr:uid="{A746BEEB-D271-4DA9-8AFC-DE9756BD452D}"/>
    <cellStyle name="Normal 4 3 2 2 2" xfId="1837" xr:uid="{34ECA7AE-9D76-46A9-A33D-46198482BB5A}"/>
    <cellStyle name="Normal 4 3 2 2 2 2" xfId="4026" xr:uid="{E4D09566-6375-496A-9EB0-5A159FA35981}"/>
    <cellStyle name="Normal 4 3 2 2 2 2 2" xfId="18078" xr:uid="{E84F5301-A7E4-4DEB-867C-66E092F564E7}"/>
    <cellStyle name="Normal 4 3 2 2 2 3" xfId="15886" xr:uid="{F15E8133-37A6-4598-B796-3509B310470D}"/>
    <cellStyle name="Normal 4 3 2 2 3" xfId="2928" xr:uid="{03821495-6C38-40C4-A4D9-56F5A19F331D}"/>
    <cellStyle name="Normal 4 3 2 2 3 2" xfId="16980" xr:uid="{122424C0-EA43-4F0D-95F5-25853943A6FF}"/>
    <cellStyle name="Normal 4 3 2 2 4" xfId="14787" xr:uid="{DB4BF949-DAAE-44C2-A1E4-DDB40E296563}"/>
    <cellStyle name="Normal 4 3 2 3" xfId="1083" xr:uid="{BE23022A-B7BE-43E3-8079-17AB5CCEEE39}"/>
    <cellStyle name="Normal 4 3 2 3 2" xfId="2182" xr:uid="{C1D05E52-9134-47E0-BE90-AB05451A0BAA}"/>
    <cellStyle name="Normal 4 3 2 3 2 2" xfId="4371" xr:uid="{728D1B27-8CCC-4EE9-A07F-CC35CE0B0B5E}"/>
    <cellStyle name="Normal 4 3 2 3 2 2 2" xfId="18421" xr:uid="{DE9C16E7-E3F6-4021-AE2F-A98018EB7777}"/>
    <cellStyle name="Normal 4 3 2 3 2 3" xfId="16231" xr:uid="{1E9763CA-DAA6-4015-8734-D78F96DBC0C3}"/>
    <cellStyle name="Normal 4 3 2 3 3" xfId="3275" xr:uid="{A891A03A-0D43-4B6B-85D3-BC2D5E3B3F47}"/>
    <cellStyle name="Normal 4 3 2 3 3 2" xfId="17327" xr:uid="{214D0B45-9703-464A-99B6-52D05B9291B9}"/>
    <cellStyle name="Normal 4 3 2 3 4" xfId="15133" xr:uid="{BF8F5BC3-0A1F-4FDD-A84A-56DB2088C6B6}"/>
    <cellStyle name="Normal 4 3 2 4" xfId="1663" xr:uid="{CCC02F1F-50B6-4F6C-8EF1-CA77F4129AD6}"/>
    <cellStyle name="Normal 4 3 2 4 2" xfId="3853" xr:uid="{079D3248-914E-4D85-8453-5CE362F57ACD}"/>
    <cellStyle name="Normal 4 3 2 4 2 2" xfId="17906" xr:uid="{83411986-87F7-4C88-8EA4-987BF4F10575}"/>
    <cellStyle name="Normal 4 3 2 4 3" xfId="15712" xr:uid="{EA48DB42-1637-4928-8BBF-744926EE97C5}"/>
    <cellStyle name="Normal 4 3 2 5" xfId="2582" xr:uid="{F8426740-D400-43EE-BF67-A719DE3974A5}"/>
    <cellStyle name="Normal 4 3 2 5 2" xfId="16633" xr:uid="{71ADD8A6-A2F0-4052-BB95-0E89A706CECB}"/>
    <cellStyle name="Normal 4 3 2 6" xfId="4948" xr:uid="{CD0B300D-F5F4-43E7-B993-EC96A8BEF6B1}"/>
    <cellStyle name="Normal 4 3 2 6 2" xfId="19000" xr:uid="{ECD29C03-80C3-4A0B-B7CE-79831082A319}"/>
    <cellStyle name="Normal 4 3 2 7" xfId="14439" xr:uid="{068FDCEE-0FFC-4F24-B1C3-4575CA1DBD23}"/>
    <cellStyle name="Normal 4 3 3" xfId="556" xr:uid="{4CCF362E-BDAF-4C8E-9B34-1F9E98E474BD}"/>
    <cellStyle name="Normal 4 3 3 2" xfId="1489" xr:uid="{5D66F6C8-ED3D-4557-8159-624458E8382F}"/>
    <cellStyle name="Normal 4 3 3 2 2" xfId="3679" xr:uid="{C0CC0F15-566B-4348-ADE8-C0770B7F20C0}"/>
    <cellStyle name="Normal 4 3 3 2 2 2" xfId="17732" xr:uid="{5D03B978-E94C-4F1D-89E0-C833445E8CE6}"/>
    <cellStyle name="Normal 4 3 3 2 3" xfId="15538" xr:uid="{9F4F5749-4417-496E-83BC-48D204B600A0}"/>
    <cellStyle name="Normal 4 3 3 3" xfId="2755" xr:uid="{0B4C3A85-2287-413F-B2B2-475D6FCFFABF}"/>
    <cellStyle name="Normal 4 3 3 3 2" xfId="16806" xr:uid="{B0325568-6A4B-40D2-BC2A-2FA540369EEA}"/>
    <cellStyle name="Normal 4 3 3 4" xfId="4774" xr:uid="{8CA7D7FD-6C3F-40C3-A6BC-06DB48472483}"/>
    <cellStyle name="Normal 4 3 3 4 2" xfId="18826" xr:uid="{ECA36EC2-66F7-4418-925F-DB27A29763E3}"/>
    <cellStyle name="Normal 4 3 3 5" xfId="14611" xr:uid="{15441407-8910-439C-8533-7F41094F886B}"/>
    <cellStyle name="Normal 4 3 4" xfId="909" xr:uid="{5E1AA901-AD18-4CE5-AD18-935DF248E33A}"/>
    <cellStyle name="Normal 4 3 4 2" xfId="2008" xr:uid="{46C0C1C7-BF8E-4B03-A64A-93247C0A18CC}"/>
    <cellStyle name="Normal 4 3 4 2 2" xfId="4197" xr:uid="{60DF5988-E274-427D-BC20-D563ED50B711}"/>
    <cellStyle name="Normal 4 3 4 2 2 2" xfId="18248" xr:uid="{71D164BE-4EEF-4D91-97AC-F2582993E50C}"/>
    <cellStyle name="Normal 4 3 4 2 3" xfId="16057" xr:uid="{3F424071-FA2C-4893-9828-8DFE6724FE0E}"/>
    <cellStyle name="Normal 4 3 4 3" xfId="3101" xr:uid="{F8FF0E0D-2853-49D4-BF36-A8456DE194F2}"/>
    <cellStyle name="Normal 4 3 4 3 2" xfId="17153" xr:uid="{0654565F-3271-4DC9-8635-A161FC00EF70}"/>
    <cellStyle name="Normal 4 3 4 4" xfId="14959" xr:uid="{0D786D14-B13C-4440-AFEE-3F4456C9EFA1}"/>
    <cellStyle name="Normal 4 3 5" xfId="1316" xr:uid="{75E05461-EF38-448C-B769-52D5132D2503}"/>
    <cellStyle name="Normal 4 3 5 2" xfId="3507" xr:uid="{39341779-24DD-4AA9-8354-0391A67D9E67}"/>
    <cellStyle name="Normal 4 3 5 2 2" xfId="17559" xr:uid="{33A87C5E-283C-4800-B241-5849FCB2D2EE}"/>
    <cellStyle name="Normal 4 3 5 3" xfId="15365" xr:uid="{EEDF8E8A-F12C-4EFD-AF5F-A0DB9298A89A}"/>
    <cellStyle name="Normal 4 3 6" xfId="2408" xr:uid="{87C50329-BD84-4EEF-97C5-ECF7443F40B0}"/>
    <cellStyle name="Normal 4 3 6 2" xfId="16459" xr:uid="{EED8DD6D-A6F8-4FA2-A34F-A6D3DFF97FB7}"/>
    <cellStyle name="Normal 4 3 7" xfId="4601" xr:uid="{220DD1A6-3F90-4C2C-AE88-94F821E00107}"/>
    <cellStyle name="Normal 4 3 7 2" xfId="18653" xr:uid="{596BFDF6-6A1E-4BC1-8734-1B8000E679FA}"/>
    <cellStyle name="Normal 4 3 8" xfId="14264" xr:uid="{25F5E8CC-1AAA-4E5E-B6ED-37F77146E00A}"/>
    <cellStyle name="Normal 4 4" xfId="148" xr:uid="{BA10B3D7-8BD1-4E33-9E9E-F73AD8019378}"/>
    <cellStyle name="Normal 4 4 2" xfId="325" xr:uid="{62276147-2E98-4343-AD97-23788CE52594}"/>
    <cellStyle name="Normal 4 4 2 2" xfId="679" xr:uid="{2C34A32E-C24E-4685-AD79-FD63CD545E2B}"/>
    <cellStyle name="Normal 4 4 2 2 2" xfId="1780" xr:uid="{E096AB1C-BC43-40B5-BDB4-C308BEE71920}"/>
    <cellStyle name="Normal 4 4 2 2 2 2" xfId="3969" xr:uid="{585C6EFE-4189-4188-B734-3BD23E748948}"/>
    <cellStyle name="Normal 4 4 2 2 2 2 2" xfId="18021" xr:uid="{D247746D-BE75-4CAB-8017-70F6D860F51F}"/>
    <cellStyle name="Normal 4 4 2 2 2 3" xfId="15829" xr:uid="{EE788255-9768-4293-BBD3-E2C1B7FC612F}"/>
    <cellStyle name="Normal 4 4 2 2 3" xfId="2871" xr:uid="{AFA08EDE-A700-4F08-8024-80C4B53B3782}"/>
    <cellStyle name="Normal 4 4 2 2 3 2" xfId="16923" xr:uid="{96DB85C9-8ACD-47F2-8CB6-D86D8B2FCC60}"/>
    <cellStyle name="Normal 4 4 2 2 4" xfId="14730" xr:uid="{B2980D55-2F26-4111-858C-8758CFE4943B}"/>
    <cellStyle name="Normal 4 4 2 3" xfId="1026" xr:uid="{6E553671-EF01-4912-9B8A-00A61D9C40C6}"/>
    <cellStyle name="Normal 4 4 2 3 2" xfId="2125" xr:uid="{CDDF2102-12AC-40D9-8ED5-96FBF6C6ACFA}"/>
    <cellStyle name="Normal 4 4 2 3 2 2" xfId="4314" xr:uid="{9E9D6380-BAB0-40EB-B845-43E13CC4FF7B}"/>
    <cellStyle name="Normal 4 4 2 3 2 2 2" xfId="18364" xr:uid="{9461DEFC-E8B8-4C86-B950-E1035DB31233}"/>
    <cellStyle name="Normal 4 4 2 3 2 3" xfId="16174" xr:uid="{979E5130-DFE1-47D4-8E34-FBC499D8CDA9}"/>
    <cellStyle name="Normal 4 4 2 3 3" xfId="3218" xr:uid="{005D6123-810E-4403-9318-79AA6A037228}"/>
    <cellStyle name="Normal 4 4 2 3 3 2" xfId="17270" xr:uid="{063F6BE3-B967-444C-8609-DCA52EB2EE79}"/>
    <cellStyle name="Normal 4 4 2 3 4" xfId="15076" xr:uid="{49A60F9E-79B7-4254-A361-C4A5BA606078}"/>
    <cellStyle name="Normal 4 4 2 4" xfId="1606" xr:uid="{BC6E47C7-C8BF-4943-A1F9-92217BFAD5B8}"/>
    <cellStyle name="Normal 4 4 2 4 2" xfId="3796" xr:uid="{8AEB34FD-B155-4182-92ED-E2211406685E}"/>
    <cellStyle name="Normal 4 4 2 4 2 2" xfId="17849" xr:uid="{2F1D38DF-FFFC-4AAF-AACF-08FC702EA2DA}"/>
    <cellStyle name="Normal 4 4 2 4 3" xfId="15655" xr:uid="{BF1F3C09-CC9C-4FFA-AD1F-CE42D0FD2D36}"/>
    <cellStyle name="Normal 4 4 2 5" xfId="2525" xr:uid="{37D5345F-CC5A-45C6-9B22-C6C0C63BDFA0}"/>
    <cellStyle name="Normal 4 4 2 5 2" xfId="16576" xr:uid="{F7617845-4E05-40ED-A654-4BA4D44C2D94}"/>
    <cellStyle name="Normal 4 4 2 6" xfId="4891" xr:uid="{85EEFA8C-88D5-4F62-A8D2-C94D9DFE1FCA}"/>
    <cellStyle name="Normal 4 4 2 6 2" xfId="18943" xr:uid="{472632FD-6E11-4AAF-A980-7A2A439CB205}"/>
    <cellStyle name="Normal 4 4 2 7" xfId="14382" xr:uid="{99F023AE-1DD7-4632-9B52-DE0CCA3F411F}"/>
    <cellStyle name="Normal 4 4 3" xfId="499" xr:uid="{4C3A8995-9B32-4728-B246-BF4D9EE30023}"/>
    <cellStyle name="Normal 4 4 3 2" xfId="1432" xr:uid="{2AE6592B-6AEB-417E-A26E-EC330B8ECE8B}"/>
    <cellStyle name="Normal 4 4 3 2 2" xfId="3622" xr:uid="{EEB46E99-2F45-441C-B7FE-80326FBD9728}"/>
    <cellStyle name="Normal 4 4 3 2 2 2" xfId="17675" xr:uid="{30B60DED-5922-4BD6-A48F-498CCFCF9022}"/>
    <cellStyle name="Normal 4 4 3 2 3" xfId="15481" xr:uid="{855D531F-AE4C-442E-9F40-563D8F816EAA}"/>
    <cellStyle name="Normal 4 4 3 3" xfId="2698" xr:uid="{34B2BF20-2F9D-4858-AEDD-600078332BA8}"/>
    <cellStyle name="Normal 4 4 3 3 2" xfId="16749" xr:uid="{535F8FAF-D3EB-49C0-A7B0-F21A2D566123}"/>
    <cellStyle name="Normal 4 4 3 4" xfId="4717" xr:uid="{2B1EA2F8-74C8-4D81-833B-2DCFD37CCB9C}"/>
    <cellStyle name="Normal 4 4 3 4 2" xfId="18769" xr:uid="{A746C8C3-D3AD-4857-9BFD-BF16E07BA0EC}"/>
    <cellStyle name="Normal 4 4 3 5" xfId="14554" xr:uid="{9BC232E8-7588-4FB1-86FE-647AA28E6A33}"/>
    <cellStyle name="Normal 4 4 4" xfId="852" xr:uid="{F32236B2-797A-4621-8BB5-BC9A0A7230D1}"/>
    <cellStyle name="Normal 4 4 4 2" xfId="1951" xr:uid="{46B20009-CC6E-443A-B7E8-34147B5B92D9}"/>
    <cellStyle name="Normal 4 4 4 2 2" xfId="4140" xr:uid="{92875D30-EF1A-426A-BB10-3105D150D032}"/>
    <cellStyle name="Normal 4 4 4 2 2 2" xfId="18192" xr:uid="{859A78D2-E1F3-4774-8540-EB3EF51777F7}"/>
    <cellStyle name="Normal 4 4 4 2 3" xfId="16000" xr:uid="{5900EC57-A332-4953-98AF-ADB3F565C334}"/>
    <cellStyle name="Normal 4 4 4 3" xfId="3044" xr:uid="{772A7C00-9A7E-45D8-AFAE-695792482072}"/>
    <cellStyle name="Normal 4 4 4 3 2" xfId="17096" xr:uid="{BB521065-876A-4293-9A42-BADBB3EB1F1C}"/>
    <cellStyle name="Normal 4 4 4 4" xfId="14902" xr:uid="{D4733715-C7F5-43D9-95AA-34EECE6D6F37}"/>
    <cellStyle name="Normal 4 4 5" xfId="1260" xr:uid="{00792F9E-74C5-42D1-B1E6-342718872CBE}"/>
    <cellStyle name="Normal 4 4 5 2" xfId="3450" xr:uid="{615D1FC7-3B14-4013-97BA-7238D8C30B3F}"/>
    <cellStyle name="Normal 4 4 5 2 2" xfId="17502" xr:uid="{7D04AB1A-08F0-46B5-8855-DA24C0F67AE4}"/>
    <cellStyle name="Normal 4 4 5 3" xfId="15308" xr:uid="{4C2E3405-9EDE-4CD5-A02A-DEACF57481B5}"/>
    <cellStyle name="Normal 4 4 6" xfId="2351" xr:uid="{32E0FE2D-2D87-49EA-870E-2676C842D7F0}"/>
    <cellStyle name="Normal 4 4 6 2" xfId="16402" xr:uid="{85F0BEFF-A72B-4D79-BDEE-509C9AB06364}"/>
    <cellStyle name="Normal 4 4 7" xfId="4544" xr:uid="{EE7A1170-756F-4314-9DD0-14D6A9B65B97}"/>
    <cellStyle name="Normal 4 4 7 2" xfId="18596" xr:uid="{AADAAEFD-7D89-45AD-935C-539843B6562C}"/>
    <cellStyle name="Normal 4 4 8" xfId="14207" xr:uid="{CDC69529-2DC2-4222-8181-CF153533FD09}"/>
    <cellStyle name="Normal 4 5" xfId="268" xr:uid="{53777B7D-FD4B-47FD-A6E9-BC58E15DF0F3}"/>
    <cellStyle name="Normal 4 5 2" xfId="622" xr:uid="{346065DC-769F-4A12-89BA-D3D9B071186F}"/>
    <cellStyle name="Normal 4 5 2 2" xfId="1724" xr:uid="{9EABA41B-FCCF-40B9-82A6-347F86300D37}"/>
    <cellStyle name="Normal 4 5 2 2 2" xfId="3912" xr:uid="{F5261B46-303A-4430-9FF3-9BF36C72BEA2}"/>
    <cellStyle name="Normal 4 5 2 2 2 2" xfId="17964" xr:uid="{86C8C1AF-334E-4533-8ED5-7EDB781DB411}"/>
    <cellStyle name="Normal 4 5 2 2 3" xfId="15772" xr:uid="{FC47B377-D5C4-43C2-8F73-E379FAE82724}"/>
    <cellStyle name="Normal 4 5 2 3" xfId="2815" xr:uid="{7AC87B2E-B28D-4E8D-BD8D-729107AA1B2F}"/>
    <cellStyle name="Normal 4 5 2 3 2" xfId="16866" xr:uid="{7914CC0F-6CAA-4A61-86A6-BE18E867B6EE}"/>
    <cellStyle name="Normal 4 5 2 4" xfId="14673" xr:uid="{1F065570-58D1-4BFE-9008-B0725ACA203D}"/>
    <cellStyle name="Normal 4 5 3" xfId="969" xr:uid="{AD85B5FB-A3C1-49C5-9564-D691484D5C02}"/>
    <cellStyle name="Normal 4 5 3 2" xfId="2068" xr:uid="{88AA0772-A46A-43E0-B241-85FF22332CAA}"/>
    <cellStyle name="Normal 4 5 3 2 2" xfId="4257" xr:uid="{75B2EFE0-A87E-4084-A230-9FBE965FC080}"/>
    <cellStyle name="Normal 4 5 3 2 2 2" xfId="18308" xr:uid="{1045C4F6-E367-4042-B2F3-30D4A7D712D9}"/>
    <cellStyle name="Normal 4 5 3 2 3" xfId="16117" xr:uid="{CBC8E1EB-76A5-4A3C-AA7A-690C6B37D08E}"/>
    <cellStyle name="Normal 4 5 3 3" xfId="3161" xr:uid="{7BE97D1E-FD7D-4C35-9CBE-DAD3C79CF4A3}"/>
    <cellStyle name="Normal 4 5 3 3 2" xfId="17213" xr:uid="{6533D305-379F-4843-88F5-4D868EEB7D08}"/>
    <cellStyle name="Normal 4 5 3 4" xfId="15019" xr:uid="{5EBCFA9D-C980-4716-B38B-C438AE2BFC50}"/>
    <cellStyle name="Normal 4 5 4" xfId="1549" xr:uid="{D827659D-BFDC-4FFC-967A-C0BBABCBF8BB}"/>
    <cellStyle name="Normal 4 5 4 2" xfId="3739" xr:uid="{2A0FC138-C5C7-43AD-A216-1307DB4D7269}"/>
    <cellStyle name="Normal 4 5 4 2 2" xfId="17792" xr:uid="{0C457CF6-2ADC-4EEC-AED7-127002C927C3}"/>
    <cellStyle name="Normal 4 5 4 3" xfId="15598" xr:uid="{72801AFE-69F7-4851-9DC4-E10E81AD6319}"/>
    <cellStyle name="Normal 4 5 5" xfId="2468" xr:uid="{9739A1ED-0158-4DCD-9384-346518EF55DF}"/>
    <cellStyle name="Normal 4 5 5 2" xfId="16519" xr:uid="{8E4E4D85-D2AD-4EE7-B699-EEA9594AB25C}"/>
    <cellStyle name="Normal 4 5 6" xfId="4834" xr:uid="{854F2F81-2179-4C48-BA5F-83A63C2F28FF}"/>
    <cellStyle name="Normal 4 5 6 2" xfId="18886" xr:uid="{CE7871AC-1A58-41AC-B557-BE26BDEC536D}"/>
    <cellStyle name="Normal 4 5 7" xfId="14325" xr:uid="{EA77C1ED-76A1-4D52-9E80-71D2AD283E34}"/>
    <cellStyle name="Normal 4 6" xfId="442" xr:uid="{61726D77-9A06-4BF4-B55F-18AE00106583}"/>
    <cellStyle name="Normal 4 6 2" xfId="1375" xr:uid="{9DDE975B-386E-40EF-8516-A180DEA91CED}"/>
    <cellStyle name="Normal 4 6 2 2" xfId="3565" xr:uid="{A5EDA4F7-0627-470C-A452-8F6AF503F4D5}"/>
    <cellStyle name="Normal 4 6 2 2 2" xfId="17618" xr:uid="{D0E210AF-92BB-466E-B3F2-6C1703E7B847}"/>
    <cellStyle name="Normal 4 6 2 3" xfId="15424" xr:uid="{73BBF565-FB12-4A52-AF52-B828FDA734B5}"/>
    <cellStyle name="Normal 4 6 3" xfId="2641" xr:uid="{59E5A12E-0497-467B-9AD9-B217ADD2287E}"/>
    <cellStyle name="Normal 4 6 3 2" xfId="16692" xr:uid="{E8A0004D-4258-4A61-94A9-BBD3A06D8463}"/>
    <cellStyle name="Normal 4 6 4" xfId="4660" xr:uid="{C53D3A2C-80BF-4E9A-994B-A820A8A8E208}"/>
    <cellStyle name="Normal 4 6 4 2" xfId="18712" xr:uid="{02A561D9-7506-4D8F-A72B-BC57AC943E11}"/>
    <cellStyle name="Normal 4 6 5" xfId="14497" xr:uid="{5D616AB3-04CE-43DF-BBE4-A9BD1D45668A}"/>
    <cellStyle name="Normal 4 7" xfId="795" xr:uid="{C2DCE836-BFD7-4FE5-BA8E-CF115ABCE8FE}"/>
    <cellStyle name="Normal 4 7 2" xfId="1203" xr:uid="{6460E875-BA91-4BA5-BE2A-895FFA69A420}"/>
    <cellStyle name="Normal 4 7 2 2" xfId="3393" xr:uid="{C09BAA03-17E5-4FC7-A915-6AE693EF4D63}"/>
    <cellStyle name="Normal 4 7 2 2 2" xfId="17445" xr:uid="{01AB9E45-8970-45E6-A635-29C2FF587E4D}"/>
    <cellStyle name="Normal 4 7 2 3" xfId="15251" xr:uid="{9C03B36E-0EFE-4B7E-B617-61538BC89E88}"/>
    <cellStyle name="Normal 4 7 3" xfId="2987" xr:uid="{089BDC54-424E-46D9-ABFF-8A4EA4F92497}"/>
    <cellStyle name="Normal 4 7 3 2" xfId="17039" xr:uid="{D3F816A9-8E73-4BA5-A937-AB585F6B3C0C}"/>
    <cellStyle name="Normal 4 7 4" xfId="4488" xr:uid="{6A2D7993-A374-4EFA-B5B5-4922D8A22EA7}"/>
    <cellStyle name="Normal 4 7 4 2" xfId="18539" xr:uid="{F1F8A58E-5220-4B65-A08A-772F0807660B}"/>
    <cellStyle name="Normal 4 7 5" xfId="14845" xr:uid="{6DEBF8AC-82C5-49AE-AC14-92CBE5839895}"/>
    <cellStyle name="Normal 4 8" xfId="1139" xr:uid="{9880B3E2-A2FD-45B7-88EF-E216DBCD3885}"/>
    <cellStyle name="Normal 4 8 2" xfId="2239" xr:uid="{E151402C-0511-4B25-A3B6-607B78828830}"/>
    <cellStyle name="Normal 4 8 2 2" xfId="4428" xr:uid="{6D29C7DA-0553-4D27-8D07-6B3C6B327D50}"/>
    <cellStyle name="Normal 4 8 2 2 2" xfId="18478" xr:uid="{487F3593-7076-471D-9EDF-3DD6C6332A8A}"/>
    <cellStyle name="Normal 4 8 2 3" xfId="16288" xr:uid="{134B8D6F-51D0-4347-A781-035365123A57}"/>
    <cellStyle name="Normal 4 8 3" xfId="3332" xr:uid="{30AC2E73-70FC-44C9-91D2-1B824E788704}"/>
    <cellStyle name="Normal 4 8 3 2" xfId="17384" xr:uid="{4782A66B-9988-4F9F-BAC9-B17FFCFC45D5}"/>
    <cellStyle name="Normal 4 8 4" xfId="15190" xr:uid="{E3E884B8-80A3-4FCA-BB17-59ED91A07E2B}"/>
    <cellStyle name="Normal 4 9" xfId="1185" xr:uid="{9D91A7B8-59F4-413B-98D6-4C9792453462}"/>
    <cellStyle name="Normal 5" xfId="114" xr:uid="{71CFBB66-7309-423D-AAA6-6EE1DBDAC91E}"/>
    <cellStyle name="Normal 5 10" xfId="4512" xr:uid="{5C445D1E-AE3B-47A4-857D-940F8E264F1F}"/>
    <cellStyle name="Normal 5 10 2" xfId="18563" xr:uid="{1548D32B-A092-41A5-8936-DAC1521A0D22}"/>
    <cellStyle name="Normal 5 11" xfId="14174" xr:uid="{07B1FBD7-6328-4A15-9749-3B5AE6D21BB7}"/>
    <cellStyle name="Normal 5 2" xfId="229" xr:uid="{4B37B86E-6F0C-4071-A49F-FC87FFB10B3E}"/>
    <cellStyle name="Normal 5 2 2" xfId="406" xr:uid="{E6988A47-479F-4F9E-A174-2E37874F889D}"/>
    <cellStyle name="Normal 5 2 2 2" xfId="760" xr:uid="{C8953CE2-3F4E-455E-89B4-7D34F4D6CDC6}"/>
    <cellStyle name="Normal 5 2 2 2 2" xfId="1861" xr:uid="{4D64C845-31F2-49DD-8421-E422413CC0B4}"/>
    <cellStyle name="Normal 5 2 2 2 2 2" xfId="4050" xr:uid="{4A63B836-848A-4173-B974-BEA73333C4C0}"/>
    <cellStyle name="Normal 5 2 2 2 2 2 2" xfId="18102" xr:uid="{4A24270C-2075-4371-B837-887A62DEA7E8}"/>
    <cellStyle name="Normal 5 2 2 2 2 3" xfId="15910" xr:uid="{289B13A4-BBFE-403A-8752-89AA946CBFE0}"/>
    <cellStyle name="Normal 5 2 2 2 3" xfId="2952" xr:uid="{1F32FFF2-7804-4528-8DA0-D41F8C5C4596}"/>
    <cellStyle name="Normal 5 2 2 2 3 2" xfId="17004" xr:uid="{3B9CB38A-736D-4ACB-8635-2DE5AFA9D5A8}"/>
    <cellStyle name="Normal 5 2 2 2 4" xfId="14811" xr:uid="{73BF3D39-2A3F-4572-914A-F87AEB1A3F20}"/>
    <cellStyle name="Normal 5 2 2 3" xfId="1107" xr:uid="{1E0493E7-EF2C-40B4-85BA-51417DB447B3}"/>
    <cellStyle name="Normal 5 2 2 3 2" xfId="2206" xr:uid="{FA1C3ADE-5AE2-472D-BE96-0CCA3BDEC60D}"/>
    <cellStyle name="Normal 5 2 2 3 2 2" xfId="4395" xr:uid="{36AE8881-F1DC-4DC9-80C4-59ABB85C769E}"/>
    <cellStyle name="Normal 5 2 2 3 2 2 2" xfId="18445" xr:uid="{6D69968C-B81F-41EC-9942-8007C58FEE22}"/>
    <cellStyle name="Normal 5 2 2 3 2 3" xfId="16255" xr:uid="{B174DDE2-993B-453A-B419-2B8E27E9317A}"/>
    <cellStyle name="Normal 5 2 2 3 3" xfId="3299" xr:uid="{3368E51D-17A3-4338-AE4E-108AFB4465A8}"/>
    <cellStyle name="Normal 5 2 2 3 3 2" xfId="17351" xr:uid="{B7241D86-71D1-4B54-A935-7BCBA387367E}"/>
    <cellStyle name="Normal 5 2 2 3 4" xfId="15157" xr:uid="{890957CC-C2C5-4C6C-83FA-CFDF76A9D457}"/>
    <cellStyle name="Normal 5 2 2 4" xfId="1687" xr:uid="{C6B29991-A827-4988-849A-A33CEE2256BF}"/>
    <cellStyle name="Normal 5 2 2 4 2" xfId="3877" xr:uid="{7A34874D-C08C-4618-8845-5D9DF9C4C674}"/>
    <cellStyle name="Normal 5 2 2 4 2 2" xfId="17930" xr:uid="{A45FCBDB-9803-42F7-83B9-A45F51BB3DA8}"/>
    <cellStyle name="Normal 5 2 2 4 3" xfId="15736" xr:uid="{C20A55D5-2EF0-4E5C-937A-2FBB519382DD}"/>
    <cellStyle name="Normal 5 2 2 5" xfId="2606" xr:uid="{DCD40561-D69F-4601-89A2-84CF5D232113}"/>
    <cellStyle name="Normal 5 2 2 5 2" xfId="16657" xr:uid="{CD95605B-0E93-44CC-BB35-4C9DC2F44019}"/>
    <cellStyle name="Normal 5 2 2 6" xfId="4972" xr:uid="{633DB251-9A61-407A-A7F9-E07BC8D3A10D}"/>
    <cellStyle name="Normal 5 2 2 6 2" xfId="19024" xr:uid="{837898CE-61E3-4171-A91B-404E24FFE40D}"/>
    <cellStyle name="Normal 5 2 2 7" xfId="14463" xr:uid="{646B166C-E119-4140-8A2B-D80C33C0ED03}"/>
    <cellStyle name="Normal 5 2 3" xfId="580" xr:uid="{28B4B8E6-4DFA-42B9-A4F6-A6C0FFD8EC5F}"/>
    <cellStyle name="Normal 5 2 3 2" xfId="1513" xr:uid="{48C99472-37DC-417A-A1B1-5F46173BE11D}"/>
    <cellStyle name="Normal 5 2 3 2 2" xfId="3703" xr:uid="{551E9C3B-6D21-49E0-A624-AE0E754A080C}"/>
    <cellStyle name="Normal 5 2 3 2 2 2" xfId="17756" xr:uid="{A0E61B09-3E3F-419D-98ED-D2C843A995E5}"/>
    <cellStyle name="Normal 5 2 3 2 3" xfId="15562" xr:uid="{82171BFC-098B-4FF7-9256-62030E948D60}"/>
    <cellStyle name="Normal 5 2 3 3" xfId="2779" xr:uid="{59499471-8A3F-4D03-941B-4323FB31E87C}"/>
    <cellStyle name="Normal 5 2 3 3 2" xfId="16830" xr:uid="{EABA4684-FD78-49D1-8792-9C575B6852F0}"/>
    <cellStyle name="Normal 5 2 3 4" xfId="4798" xr:uid="{8C088365-DB2F-48DB-ACB9-9DD1CFD674B7}"/>
    <cellStyle name="Normal 5 2 3 4 2" xfId="18850" xr:uid="{5CC64B66-4BA1-4001-9DB3-47ACD802B360}"/>
    <cellStyle name="Normal 5 2 3 5" xfId="14635" xr:uid="{31C250EE-1872-4A18-90A2-E5D49F6B01FA}"/>
    <cellStyle name="Normal 5 2 4" xfId="933" xr:uid="{F304AF6F-4B06-4B70-9FDF-DFAAF8A53EEF}"/>
    <cellStyle name="Normal 5 2 4 2" xfId="2032" xr:uid="{B9553F08-7398-48EE-AF52-BB0DB2C8D379}"/>
    <cellStyle name="Normal 5 2 4 2 2" xfId="4221" xr:uid="{1DEDA236-9CF7-4077-9D4F-A8B232ECA2B1}"/>
    <cellStyle name="Normal 5 2 4 2 2 2" xfId="18272" xr:uid="{A605E80E-D2F5-48F3-B2EA-FEC91A55CD65}"/>
    <cellStyle name="Normal 5 2 4 2 3" xfId="16081" xr:uid="{8A9ADB1C-37D1-464B-A8FD-E486924AE5F1}"/>
    <cellStyle name="Normal 5 2 4 3" xfId="3125" xr:uid="{E9DE704A-E8E0-4953-8874-613F6AAF8416}"/>
    <cellStyle name="Normal 5 2 4 3 2" xfId="17177" xr:uid="{1DDA8EA1-2E81-4852-8839-3FD63C4AA7E8}"/>
    <cellStyle name="Normal 5 2 4 4" xfId="14983" xr:uid="{1E40E021-60E3-4E68-B864-32A2106FFF28}"/>
    <cellStyle name="Normal 5 2 5" xfId="1340" xr:uid="{A44EEE8E-D5EB-4E51-9322-8648F8875355}"/>
    <cellStyle name="Normal 5 2 5 2" xfId="3531" xr:uid="{16BBC40A-7FEB-4976-9DC1-66F0FCF053B8}"/>
    <cellStyle name="Normal 5 2 5 2 2" xfId="17583" xr:uid="{D8A4FA0D-7E2F-4ADA-B3C6-98063A25E14A}"/>
    <cellStyle name="Normal 5 2 5 3" xfId="15389" xr:uid="{FD29FDBA-4384-4E9D-8FA8-6E884FFE44DD}"/>
    <cellStyle name="Normal 5 2 6" xfId="2432" xr:uid="{DAB08996-354D-4C77-A2DB-58EF0B14B467}"/>
    <cellStyle name="Normal 5 2 6 2" xfId="16483" xr:uid="{FD2ECFC3-C18B-41FD-83BD-55FDEC14FD27}"/>
    <cellStyle name="Normal 5 2 7" xfId="4625" xr:uid="{170C8BF6-B009-4240-AB7E-7C7548FCCBC3}"/>
    <cellStyle name="Normal 5 2 7 2" xfId="18677" xr:uid="{3F4F64BA-2B46-4E90-B3EB-115D9E0F1642}"/>
    <cellStyle name="Normal 5 2 8" xfId="14288" xr:uid="{FA5D0C70-871A-4098-AA62-5F7388C6211A}"/>
    <cellStyle name="Normal 5 3" xfId="172" xr:uid="{FABB8A88-C9BE-4662-970C-0ABCBE21CAA1}"/>
    <cellStyle name="Normal 5 3 2" xfId="349" xr:uid="{F5082F6F-2BAA-4D13-94C7-400A8C476B8F}"/>
    <cellStyle name="Normal 5 3 2 2" xfId="703" xr:uid="{16353ADE-6773-4062-859A-953EB0FF7704}"/>
    <cellStyle name="Normal 5 3 2 2 2" xfId="1804" xr:uid="{D653C4AE-963A-45BC-87B4-A0926820C0D3}"/>
    <cellStyle name="Normal 5 3 2 2 2 2" xfId="3993" xr:uid="{4E2EBF0E-23B8-40E1-BFD4-E38A782FFABC}"/>
    <cellStyle name="Normal 5 3 2 2 2 2 2" xfId="18045" xr:uid="{CB27BDEB-DDCC-4B99-86A7-1B554F7B3EC7}"/>
    <cellStyle name="Normal 5 3 2 2 2 3" xfId="15853" xr:uid="{0484183C-FFB6-470C-AF89-49818ABCD2AC}"/>
    <cellStyle name="Normal 5 3 2 2 3" xfId="2895" xr:uid="{76A23DC9-B2F5-4BD9-9740-5A97430CDBB1}"/>
    <cellStyle name="Normal 5 3 2 2 3 2" xfId="16947" xr:uid="{892B61ED-20B1-4F16-AA6B-DCC3C20FB753}"/>
    <cellStyle name="Normal 5 3 2 2 4" xfId="14754" xr:uid="{080EBFF2-85CF-4CC6-84AB-B19A220DAD9C}"/>
    <cellStyle name="Normal 5 3 2 3" xfId="1050" xr:uid="{3A30A387-32B3-4D44-B4F1-32F5B5A6D33F}"/>
    <cellStyle name="Normal 5 3 2 3 2" xfId="2149" xr:uid="{343F1027-9DA2-4A37-958B-F0A387FADA21}"/>
    <cellStyle name="Normal 5 3 2 3 2 2" xfId="4338" xr:uid="{C2D385F8-86BD-491F-843A-C849C5AD6368}"/>
    <cellStyle name="Normal 5 3 2 3 2 2 2" xfId="18388" xr:uid="{44BCD34D-6079-4FA7-8552-63A0B501EF30}"/>
    <cellStyle name="Normal 5 3 2 3 2 3" xfId="16198" xr:uid="{5DC06D74-62BB-4F26-B855-D8881B9D6CFB}"/>
    <cellStyle name="Normal 5 3 2 3 3" xfId="3242" xr:uid="{8FA85E78-43E8-4F16-8506-0A852992087D}"/>
    <cellStyle name="Normal 5 3 2 3 3 2" xfId="17294" xr:uid="{2E1A7710-81BA-4E32-A483-4EA09BF30E34}"/>
    <cellStyle name="Normal 5 3 2 3 4" xfId="15100" xr:uid="{2627D2A5-CBB0-4DB8-8F4D-FA0D93F395C3}"/>
    <cellStyle name="Normal 5 3 2 4" xfId="1630" xr:uid="{C93DEF82-13D5-4F28-A01F-226E68F15B6C}"/>
    <cellStyle name="Normal 5 3 2 4 2" xfId="3820" xr:uid="{1E17C8D9-D449-4457-8C59-629B4850B297}"/>
    <cellStyle name="Normal 5 3 2 4 2 2" xfId="17873" xr:uid="{0A51B578-316A-4BB3-B649-C265728AC484}"/>
    <cellStyle name="Normal 5 3 2 4 3" xfId="15679" xr:uid="{BC940FD9-67BB-437F-B62F-61C540C474D3}"/>
    <cellStyle name="Normal 5 3 2 5" xfId="2549" xr:uid="{57DC292E-D462-4668-B61E-686DA787599D}"/>
    <cellStyle name="Normal 5 3 2 5 2" xfId="16600" xr:uid="{671BD9B8-76F9-407B-9DE1-55089866A6F2}"/>
    <cellStyle name="Normal 5 3 2 6" xfId="4915" xr:uid="{F83830EE-BBB1-492B-BF52-358CE7C8FA3F}"/>
    <cellStyle name="Normal 5 3 2 6 2" xfId="18967" xr:uid="{76B872DA-D164-49BE-BEC1-D0FE0442C3B4}"/>
    <cellStyle name="Normal 5 3 2 7" xfId="14406" xr:uid="{AAC04311-CA6D-408A-A349-692CBB8A2381}"/>
    <cellStyle name="Normal 5 3 3" xfId="523" xr:uid="{68667D01-29B5-46DC-9610-029266C93DE0}"/>
    <cellStyle name="Normal 5 3 3 2" xfId="1456" xr:uid="{E5B9AF66-A3B8-4A7B-8EFF-72C18A5504FA}"/>
    <cellStyle name="Normal 5 3 3 2 2" xfId="3646" xr:uid="{161EA8B8-A00B-44C4-8DF9-552A240EFD1A}"/>
    <cellStyle name="Normal 5 3 3 2 2 2" xfId="17699" xr:uid="{02B35DE9-12C7-4ADA-A4D3-802EF5E146CA}"/>
    <cellStyle name="Normal 5 3 3 2 3" xfId="15505" xr:uid="{A4E816D3-7268-451F-9E8C-E21FC69DF327}"/>
    <cellStyle name="Normal 5 3 3 3" xfId="2722" xr:uid="{2086DA75-3EFA-40AC-B039-11E417345AF5}"/>
    <cellStyle name="Normal 5 3 3 3 2" xfId="16773" xr:uid="{7F6DDF77-8241-4532-86BE-7B9FEB1FF260}"/>
    <cellStyle name="Normal 5 3 3 4" xfId="4741" xr:uid="{E0CD0F0F-A435-4A90-AF08-BBE515E37FAF}"/>
    <cellStyle name="Normal 5 3 3 4 2" xfId="18793" xr:uid="{E3A9E4AE-B2AE-482D-A584-09878E3EC408}"/>
    <cellStyle name="Normal 5 3 3 5" xfId="14578" xr:uid="{447AF656-7013-4ABB-8653-D5862AC0F03F}"/>
    <cellStyle name="Normal 5 3 4" xfId="876" xr:uid="{FE8E5937-F315-43D2-A67B-8EE42B8C274C}"/>
    <cellStyle name="Normal 5 3 4 2" xfId="1975" xr:uid="{7AB993BF-BBCC-4AC7-88A9-28FA01EC997D}"/>
    <cellStyle name="Normal 5 3 4 2 2" xfId="4164" xr:uid="{C5CC1045-57D4-45F1-B7ED-0D725295F2DE}"/>
    <cellStyle name="Normal 5 3 4 2 2 2" xfId="18215" xr:uid="{E0E8C395-9603-4B5C-851E-67499B725530}"/>
    <cellStyle name="Normal 5 3 4 2 3" xfId="16024" xr:uid="{2555936D-7AA8-421B-A11E-DBF7F05C4A8A}"/>
    <cellStyle name="Normal 5 3 4 3" xfId="3068" xr:uid="{6065A6F0-405E-4D67-BDFE-8CCC29410750}"/>
    <cellStyle name="Normal 5 3 4 3 2" xfId="17120" xr:uid="{C8D0FC79-1B94-4ABC-8457-A8AFE8F1BAD4}"/>
    <cellStyle name="Normal 5 3 4 4" xfId="14926" xr:uid="{A6B16E95-64B8-45FB-A1BC-44E2F76B59A9}"/>
    <cellStyle name="Normal 5 3 5" xfId="1284" xr:uid="{971FFC23-ABF4-429C-9338-3E5170E4DDD9}"/>
    <cellStyle name="Normal 5 3 5 2" xfId="3474" xr:uid="{D67B66F0-E69D-4318-8697-0890FD5E0523}"/>
    <cellStyle name="Normal 5 3 5 2 2" xfId="17526" xr:uid="{51702064-DADF-4F3C-863F-BFAB4B3F7768}"/>
    <cellStyle name="Normal 5 3 5 3" xfId="15332" xr:uid="{64F488F5-A933-4076-A9BB-33B29CFE8215}"/>
    <cellStyle name="Normal 5 3 6" xfId="2375" xr:uid="{3DDC5040-0335-4814-A4AC-C91A72B1DFAF}"/>
    <cellStyle name="Normal 5 3 6 2" xfId="16426" xr:uid="{DC32F328-5D10-40E9-A24C-D558705D7FEF}"/>
    <cellStyle name="Normal 5 3 7" xfId="4568" xr:uid="{EBC62818-A895-4CFF-99B6-9B8F132BC81D}"/>
    <cellStyle name="Normal 5 3 7 2" xfId="18620" xr:uid="{31A06BC7-5D0B-42A9-83FB-FC3E9BACE820}"/>
    <cellStyle name="Normal 5 3 8" xfId="14231" xr:uid="{5F22E4D3-15E1-4804-91E9-D416EAA0E8CE}"/>
    <cellStyle name="Normal 5 4" xfId="292" xr:uid="{A4D85674-1922-460C-9EC0-335C6FB8F935}"/>
    <cellStyle name="Normal 5 4 2" xfId="646" xr:uid="{F729C94C-E4AC-4F40-9D7A-B610A39D4994}"/>
    <cellStyle name="Normal 5 4 2 2" xfId="1748" xr:uid="{9E541259-1D62-4D07-9411-9C2D512DE4E7}"/>
    <cellStyle name="Normal 5 4 2 2 2" xfId="3936" xr:uid="{590B9B89-86BE-447D-884C-ED30B11826A9}"/>
    <cellStyle name="Normal 5 4 2 2 2 2" xfId="17988" xr:uid="{3397518C-460F-40EA-9936-7884395B2EA9}"/>
    <cellStyle name="Normal 5 4 2 2 3" xfId="15796" xr:uid="{0F6EC061-6F2C-4410-A3B9-ED3F19EDBC45}"/>
    <cellStyle name="Normal 5 4 2 3" xfId="2839" xr:uid="{7A20C0F2-5D95-4F90-957B-A3A02CECDEFC}"/>
    <cellStyle name="Normal 5 4 2 3 2" xfId="16890" xr:uid="{ECC27965-348F-4A60-B707-CF190C971769}"/>
    <cellStyle name="Normal 5 4 2 4" xfId="14697" xr:uid="{C10DC7FC-8052-418A-942D-776CB7958654}"/>
    <cellStyle name="Normal 5 4 3" xfId="993" xr:uid="{7F351CAB-8447-460D-9686-A368D7F2173F}"/>
    <cellStyle name="Normal 5 4 3 2" xfId="2092" xr:uid="{92107447-D445-4185-99D4-3C0FAB1854D1}"/>
    <cellStyle name="Normal 5 4 3 2 2" xfId="4281" xr:uid="{C54B62A8-EE46-4895-ABCD-9E921EA44F90}"/>
    <cellStyle name="Normal 5 4 3 2 2 2" xfId="18332" xr:uid="{CCF805A7-04E4-4842-A50E-99645937C970}"/>
    <cellStyle name="Normal 5 4 3 2 3" xfId="16141" xr:uid="{7EF64E36-3451-4D28-93DA-117202964777}"/>
    <cellStyle name="Normal 5 4 3 3" xfId="3185" xr:uid="{EC97E4F2-616E-4151-8B04-5A966EE20BC0}"/>
    <cellStyle name="Normal 5 4 3 3 2" xfId="17237" xr:uid="{03A9E8B2-67E6-41F4-AAE1-B081F7A41E60}"/>
    <cellStyle name="Normal 5 4 3 4" xfId="15043" xr:uid="{EFB0410E-AF16-4329-BC59-DEE708B59135}"/>
    <cellStyle name="Normal 5 4 4" xfId="1573" xr:uid="{7BB9812F-507B-44B7-8EF8-2235077F64E9}"/>
    <cellStyle name="Normal 5 4 4 2" xfId="3763" xr:uid="{569BAB91-6E3E-4B11-8780-3D360C69A8CC}"/>
    <cellStyle name="Normal 5 4 4 2 2" xfId="17816" xr:uid="{C3464544-87E3-49EE-BF4C-14A937B8C670}"/>
    <cellStyle name="Normal 5 4 4 3" xfId="15622" xr:uid="{4AAEA3B0-618B-4F16-B069-A1C6FC434CB8}"/>
    <cellStyle name="Normal 5 4 5" xfId="2492" xr:uid="{A5E8A59C-E8F4-43D0-B466-3B4673EADE60}"/>
    <cellStyle name="Normal 5 4 5 2" xfId="16543" xr:uid="{C580591B-9392-44FA-B243-169DC5C954E1}"/>
    <cellStyle name="Normal 5 4 6" xfId="4858" xr:uid="{14E42BF6-C5D4-4782-97DD-D008EECC0E77}"/>
    <cellStyle name="Normal 5 4 6 2" xfId="18910" xr:uid="{91A4F102-89F8-4DE7-9189-934AD73F301E}"/>
    <cellStyle name="Normal 5 4 7" xfId="14349" xr:uid="{5176D9D6-201E-4EAC-92E0-8830308689CC}"/>
    <cellStyle name="Normal 5 5" xfId="466" xr:uid="{23AEBC20-0D15-4DF1-A2E3-BDD22F6A5992}"/>
    <cellStyle name="Normal 5 5 2" xfId="1399" xr:uid="{00081498-E3C9-4636-9085-4968C9718F3D}"/>
    <cellStyle name="Normal 5 5 2 2" xfId="3589" xr:uid="{4ABE6C8D-F82D-4D13-B239-30EFCCFFB6FC}"/>
    <cellStyle name="Normal 5 5 2 2 2" xfId="17642" xr:uid="{CBC83E39-805C-46F5-AB78-7C89E7B85884}"/>
    <cellStyle name="Normal 5 5 2 3" xfId="15448" xr:uid="{4B9ACFED-B76B-4EDD-BE7C-36A5E4C3EF98}"/>
    <cellStyle name="Normal 5 5 3" xfId="2665" xr:uid="{AED890AC-23B4-4ADF-BB62-E120C7E5D2D5}"/>
    <cellStyle name="Normal 5 5 3 2" xfId="16716" xr:uid="{43F0BD01-E11A-4A68-A89D-7AEF22E3CA69}"/>
    <cellStyle name="Normal 5 5 4" xfId="4684" xr:uid="{9CCE1EC3-BD7B-4035-8B24-59791B348224}"/>
    <cellStyle name="Normal 5 5 4 2" xfId="18736" xr:uid="{DA0D0248-2C1A-4B06-A194-AAFF4FE7B81F}"/>
    <cellStyle name="Normal 5 5 5" xfId="14521" xr:uid="{78966887-D815-4270-ADD9-1CB8327B0A42}"/>
    <cellStyle name="Normal 5 6" xfId="819" xr:uid="{1888D18F-801E-444F-A19B-D5CA5CEB24C1}"/>
    <cellStyle name="Normal 5 6 2" xfId="1918" xr:uid="{B19674AD-F5BF-419D-8DF8-B7079CBD58ED}"/>
    <cellStyle name="Normal 5 6 2 2" xfId="4107" xr:uid="{AB320A06-688A-4FF5-8635-B515C98351F4}"/>
    <cellStyle name="Normal 5 6 2 2 2" xfId="18159" xr:uid="{4EA55B34-2835-4C7C-B858-8FB08656860A}"/>
    <cellStyle name="Normal 5 6 2 3" xfId="15967" xr:uid="{FB5E8AD7-88B3-439B-93F3-D6B64C24E86D}"/>
    <cellStyle name="Normal 5 6 3" xfId="3011" xr:uid="{36A9E8D5-828F-4D97-8566-2618B189EC84}"/>
    <cellStyle name="Normal 5 6 3 2" xfId="17063" xr:uid="{03B34A4F-9B52-44C6-B22E-AA7C64D09F0A}"/>
    <cellStyle name="Normal 5 6 4" xfId="14869" xr:uid="{A6AFDF6D-6600-45BE-AD4D-0AFC5B10239E}"/>
    <cellStyle name="Normal 5 7" xfId="1163" xr:uid="{66F4AE34-AE87-4E91-B322-BDF484E07466}"/>
    <cellStyle name="Normal 5 7 2" xfId="2262" xr:uid="{7D728DF8-66A8-465E-A76F-3A5B487E9BFD}"/>
    <cellStyle name="Normal 5 7 2 2" xfId="4451" xr:uid="{3CD48CB4-C8BF-4C4A-B2C7-DAC7247AD4E4}"/>
    <cellStyle name="Normal 5 7 2 2 2" xfId="18502" xr:uid="{4E80118C-4AC9-463F-9CB2-D96A139611F7}"/>
    <cellStyle name="Normal 5 7 2 3" xfId="16312" xr:uid="{A69C6CAE-746B-4099-9ECE-F6C8E38D2DAD}"/>
    <cellStyle name="Normal 5 7 3" xfId="3356" xr:uid="{4C0054E9-2436-4E93-B4EA-E279A1C701E5}"/>
    <cellStyle name="Normal 5 7 3 2" xfId="17408" xr:uid="{86CDAE13-23BD-49E4-A930-21B31E58769F}"/>
    <cellStyle name="Normal 5 7 4" xfId="15214" xr:uid="{877473B4-1ACA-4478-98BE-EAB107EB5417}"/>
    <cellStyle name="Normal 5 8" xfId="1227" xr:uid="{FB464464-1C0C-4224-A2AF-668DDCA7A9BA}"/>
    <cellStyle name="Normal 5 8 2" xfId="3417" xr:uid="{0073078C-CFB5-4FFA-9731-15928FA31188}"/>
    <cellStyle name="Normal 5 8 2 2" xfId="17469" xr:uid="{8F9AE6EA-023F-4C5A-9AD8-83485EB4A063}"/>
    <cellStyle name="Normal 5 8 3" xfId="15275" xr:uid="{231F5D13-ABCC-4988-B031-C7CECB527CE5}"/>
    <cellStyle name="Normal 5 9" xfId="2318" xr:uid="{3B84523D-2567-4C30-89E3-4F765C4A5F6C}"/>
    <cellStyle name="Normal 5 9 2" xfId="16369" xr:uid="{FCE4816C-0B41-44B5-AAB2-6B1F9DCE5032}"/>
    <cellStyle name="Normal 6" xfId="130" xr:uid="{68A9E70C-B5EF-4387-8B55-DFF645608929}"/>
    <cellStyle name="Normal 6 10" xfId="4527" xr:uid="{20232C65-77EC-495B-8923-EDA1F476EA61}"/>
    <cellStyle name="Normal 6 10 2" xfId="18579" xr:uid="{C66360DF-C3E1-4622-B1C8-CC0372839770}"/>
    <cellStyle name="Normal 6 11" xfId="14190" xr:uid="{BBB22457-21CA-4FAE-B338-62435F70B82B}"/>
    <cellStyle name="Normal 6 2" xfId="245" xr:uid="{41C3B499-96EE-4E21-909A-F428AD5857D1}"/>
    <cellStyle name="Normal 6 2 2" xfId="422" xr:uid="{11BE2594-120E-414A-83B1-742CD8A6BAAF}"/>
    <cellStyle name="Normal 6 2 2 2" xfId="776" xr:uid="{0E2E249D-7BC9-4ABE-A2D0-4D70CCCD7DC4}"/>
    <cellStyle name="Normal 6 2 2 2 2" xfId="1877" xr:uid="{DA4F2FE2-684C-47BA-8F26-7E76EA832AA1}"/>
    <cellStyle name="Normal 6 2 2 2 2 2" xfId="4066" xr:uid="{AF846B37-2916-4318-894C-A2BBE46B71DD}"/>
    <cellStyle name="Normal 6 2 2 2 2 2 2" xfId="18118" xr:uid="{BE9F2B6A-F3D3-4407-8785-D8010059CE47}"/>
    <cellStyle name="Normal 6 2 2 2 2 3" xfId="15926" xr:uid="{7C53F580-0883-4917-AF98-8FABD8FABE48}"/>
    <cellStyle name="Normal 6 2 2 2 3" xfId="2968" xr:uid="{EB2BD467-8665-42B7-B493-ED920EE868A9}"/>
    <cellStyle name="Normal 6 2 2 2 3 2" xfId="17020" xr:uid="{A537C4BD-F73F-43A5-8891-8941FF61D3CE}"/>
    <cellStyle name="Normal 6 2 2 2 4" xfId="14826" xr:uid="{189B69B1-251C-4FC3-98E0-136457E9811F}"/>
    <cellStyle name="Normal 6 2 2 3" xfId="1123" xr:uid="{99B4A80B-1A23-424D-AB88-118E9E87E6A8}"/>
    <cellStyle name="Normal 6 2 2 3 2" xfId="2222" xr:uid="{4DB844D1-E669-496D-AA63-71350F916030}"/>
    <cellStyle name="Normal 6 2 2 3 2 2" xfId="4411" xr:uid="{32F62CDD-9D95-4F63-8BD3-8FC8F7772839}"/>
    <cellStyle name="Normal 6 2 2 3 2 2 2" xfId="18461" xr:uid="{A3A51F28-FC10-401A-AEC4-B6E1E5849CA1}"/>
    <cellStyle name="Normal 6 2 2 3 2 3" xfId="16271" xr:uid="{383C86C4-FC29-4AD7-B097-6D15ED1D30F9}"/>
    <cellStyle name="Normal 6 2 2 3 3" xfId="3315" xr:uid="{451FDC5E-3299-481C-A760-15B35CC535E4}"/>
    <cellStyle name="Normal 6 2 2 3 3 2" xfId="17367" xr:uid="{04F31A13-B7F3-4E3B-A62B-D971A34AC9E9}"/>
    <cellStyle name="Normal 6 2 2 3 4" xfId="15173" xr:uid="{59801772-D314-4693-85AB-D08142E514E1}"/>
    <cellStyle name="Normal 6 2 2 4" xfId="1703" xr:uid="{6CB65689-4085-4538-9230-FCB750274A77}"/>
    <cellStyle name="Normal 6 2 2 4 2" xfId="3893" xr:uid="{2F610F8F-9EAE-40BB-A721-190F65113356}"/>
    <cellStyle name="Normal 6 2 2 4 2 2" xfId="17945" xr:uid="{EFAED7A6-AAF0-46B4-8D81-363BEFF24457}"/>
    <cellStyle name="Normal 6 2 2 4 3" xfId="15752" xr:uid="{99405E8D-3D70-4132-A9C0-4F62F459ADF8}"/>
    <cellStyle name="Normal 6 2 2 5" xfId="2622" xr:uid="{A9297706-55B8-4EC4-A069-5E17121179DD}"/>
    <cellStyle name="Normal 6 2 2 5 2" xfId="16673" xr:uid="{44AA96AD-7063-49E6-9F03-BAA6EE51B7DF}"/>
    <cellStyle name="Normal 6 2 2 6" xfId="4988" xr:uid="{202D2ED4-679B-419F-9358-B5405D714118}"/>
    <cellStyle name="Normal 6 2 2 6 2" xfId="19040" xr:uid="{1FC785EB-4323-407E-857D-E21A9280E1C6}"/>
    <cellStyle name="Normal 6 2 2 7" xfId="14478" xr:uid="{8D11D395-3274-40F6-918E-D239E8F9762C}"/>
    <cellStyle name="Normal 6 2 3" xfId="596" xr:uid="{4749CA17-DAB8-48F8-9787-A4E9AB274ADF}"/>
    <cellStyle name="Normal 6 2 3 2" xfId="1529" xr:uid="{6B7B6B38-1FC2-4769-8435-DD49B9547806}"/>
    <cellStyle name="Normal 6 2 3 2 2" xfId="3719" xr:uid="{13AE3B7A-84B2-4007-AB91-BE32F9F40490}"/>
    <cellStyle name="Normal 6 2 3 2 2 2" xfId="17772" xr:uid="{761ADC30-51DC-4E0B-BDE2-7CCE34EBE505}"/>
    <cellStyle name="Normal 6 2 3 2 3" xfId="15578" xr:uid="{BEE33024-FA11-4F98-B355-5B81CCD254D7}"/>
    <cellStyle name="Normal 6 2 3 3" xfId="2795" xr:uid="{12389FD3-DCDE-4C55-BE0E-34E367AB4C2A}"/>
    <cellStyle name="Normal 6 2 3 3 2" xfId="16846" xr:uid="{6B384ABA-703B-45B0-AE57-3BBAFCD6FD71}"/>
    <cellStyle name="Normal 6 2 3 4" xfId="4814" xr:uid="{305BA014-A037-4DAE-8AE9-97520300C261}"/>
    <cellStyle name="Normal 6 2 3 4 2" xfId="18866" xr:uid="{7C62788C-C1E7-49A3-9B6C-6B505F19286C}"/>
    <cellStyle name="Normal 6 2 3 5" xfId="14651" xr:uid="{DA73F821-A285-43E0-A3CA-ECDBFAF19F65}"/>
    <cellStyle name="Normal 6 2 4" xfId="949" xr:uid="{C4A5AE67-CAA5-43C9-95A5-4E6CEA66B806}"/>
    <cellStyle name="Normal 6 2 4 2" xfId="2048" xr:uid="{9CDD41C5-640E-4357-A32A-86A082B9EAA9}"/>
    <cellStyle name="Normal 6 2 4 2 2" xfId="4237" xr:uid="{16410984-A872-474A-A74D-18138ACDE1A9}"/>
    <cellStyle name="Normal 6 2 4 2 2 2" xfId="18288" xr:uid="{C79EE2D3-085A-4E85-85E5-31318C2746E3}"/>
    <cellStyle name="Normal 6 2 4 2 3" xfId="16097" xr:uid="{0906DF08-B72A-4CA2-AFD9-CA27BD34AB1A}"/>
    <cellStyle name="Normal 6 2 4 3" xfId="3141" xr:uid="{59E33669-DE7B-47A8-ACE5-F5499251E6ED}"/>
    <cellStyle name="Normal 6 2 4 3 2" xfId="17193" xr:uid="{450A074C-EDFE-46D5-B607-653A87D85BE5}"/>
    <cellStyle name="Normal 6 2 4 4" xfId="14999" xr:uid="{FA75FE86-72F1-4882-B1CD-C6391797290B}"/>
    <cellStyle name="Normal 6 2 5" xfId="1356" xr:uid="{D6173AE7-FE93-475E-AA04-A12B2776FA31}"/>
    <cellStyle name="Normal 6 2 5 2" xfId="3547" xr:uid="{D9E3F07B-2775-492A-B0E7-4C76B3EB8A19}"/>
    <cellStyle name="Normal 6 2 5 2 2" xfId="17599" xr:uid="{36B42691-9ACD-41B1-A755-637866293B26}"/>
    <cellStyle name="Normal 6 2 5 3" xfId="15405" xr:uid="{B4E91D5C-C963-4300-8679-EC212E954DA5}"/>
    <cellStyle name="Normal 6 2 6" xfId="2448" xr:uid="{4FEB7252-CEA4-40B9-8B48-59441357C1C7}"/>
    <cellStyle name="Normal 6 2 6 2" xfId="16499" xr:uid="{201A5ABC-4E49-465D-B840-A98A6D512B57}"/>
    <cellStyle name="Normal 6 2 7" xfId="4641" xr:uid="{E1B92B40-AB45-4BD4-9A6B-885E00AF16CE}"/>
    <cellStyle name="Normal 6 2 7 2" xfId="18693" xr:uid="{22C0BE4F-DBBE-4FAA-8597-21BAE2F73484}"/>
    <cellStyle name="Normal 6 2 8" xfId="14304" xr:uid="{78DB550E-4E63-43DB-A0EF-DFFC41B5271C}"/>
    <cellStyle name="Normal 6 3" xfId="188" xr:uid="{A2535214-7E48-4C5C-B567-297F1E151192}"/>
    <cellStyle name="Normal 6 3 2" xfId="365" xr:uid="{C528B27D-FB9A-4E52-9A78-DD4386B90AB6}"/>
    <cellStyle name="Normal 6 3 2 2" xfId="719" xr:uid="{E409C3CC-9207-4E03-8079-8A53A539C0B2}"/>
    <cellStyle name="Normal 6 3 2 2 2" xfId="1820" xr:uid="{AFFD6AD9-CF0F-4C36-9856-44D2C9B31D82}"/>
    <cellStyle name="Normal 6 3 2 2 2 2" xfId="4009" xr:uid="{1F380395-4250-4853-8706-85CBE6D61DC2}"/>
    <cellStyle name="Normal 6 3 2 2 2 2 2" xfId="18061" xr:uid="{F36B1E81-0D07-4EDC-97F5-B6A281AFF307}"/>
    <cellStyle name="Normal 6 3 2 2 2 3" xfId="15869" xr:uid="{31D8A221-256A-4680-ACC0-D01D72D61DE4}"/>
    <cellStyle name="Normal 6 3 2 2 3" xfId="2911" xr:uid="{76DCA23D-F110-4951-93EE-11133749B925}"/>
    <cellStyle name="Normal 6 3 2 2 3 2" xfId="16963" xr:uid="{58F1EB44-3BF0-4065-8408-AAF52BDEC9BE}"/>
    <cellStyle name="Normal 6 3 2 2 4" xfId="14770" xr:uid="{B1C32364-73E9-4DA4-AD3C-F84C7B26E719}"/>
    <cellStyle name="Normal 6 3 2 3" xfId="1066" xr:uid="{D80554D9-8FBE-437E-A920-4176D5E30787}"/>
    <cellStyle name="Normal 6 3 2 3 2" xfId="2165" xr:uid="{A6909793-5F38-496B-863E-0170AC1F6EA2}"/>
    <cellStyle name="Normal 6 3 2 3 2 2" xfId="4354" xr:uid="{696092B0-1302-4B5A-A75F-DAED94E8D040}"/>
    <cellStyle name="Normal 6 3 2 3 2 2 2" xfId="18404" xr:uid="{CA9FAF62-1C55-43EA-8A90-262DF309B024}"/>
    <cellStyle name="Normal 6 3 2 3 2 3" xfId="16214" xr:uid="{11522AE8-4D09-4235-A9DD-09E0D52BFE03}"/>
    <cellStyle name="Normal 6 3 2 3 3" xfId="3258" xr:uid="{B3FDDA9E-B9CD-4FBC-9D65-F13A32666B30}"/>
    <cellStyle name="Normal 6 3 2 3 3 2" xfId="17310" xr:uid="{F2C6BD1C-6521-4DE8-A7E2-D5AE883B9F72}"/>
    <cellStyle name="Normal 6 3 2 3 4" xfId="15116" xr:uid="{32F6AFB2-BA02-4CF8-B348-77C31C9027A6}"/>
    <cellStyle name="Normal 6 3 2 4" xfId="1646" xr:uid="{9E78A3AF-658F-4329-B9B7-FCB81C10F94F}"/>
    <cellStyle name="Normal 6 3 2 4 2" xfId="3836" xr:uid="{9B4B7808-A014-403F-B4F0-167EBD714EA7}"/>
    <cellStyle name="Normal 6 3 2 4 2 2" xfId="17889" xr:uid="{E1644E5C-43D3-4C56-9A9B-5D352A23B7D4}"/>
    <cellStyle name="Normal 6 3 2 4 3" xfId="15695" xr:uid="{60CCD57D-4C94-49E0-B35E-480325F8D3B5}"/>
    <cellStyle name="Normal 6 3 2 5" xfId="2565" xr:uid="{28E9DDC3-DFE6-4FF2-9ED3-5B43E8FC2CAF}"/>
    <cellStyle name="Normal 6 3 2 5 2" xfId="16616" xr:uid="{61F59A05-4DAA-4257-9881-A5AADC72F3A9}"/>
    <cellStyle name="Normal 6 3 2 6" xfId="4931" xr:uid="{3F90563C-A8EB-49A0-981B-18D0B2FFFD6E}"/>
    <cellStyle name="Normal 6 3 2 6 2" xfId="18983" xr:uid="{85BEB5AC-6250-40F1-83CA-5CB0342D776E}"/>
    <cellStyle name="Normal 6 3 2 7" xfId="14422" xr:uid="{D79F52AE-9ED1-4A0E-97E9-BC28EC48FA7C}"/>
    <cellStyle name="Normal 6 3 3" xfId="539" xr:uid="{FDE3F6B2-F31E-4F9D-8DF6-52B08AE7A34E}"/>
    <cellStyle name="Normal 6 3 3 2" xfId="1472" xr:uid="{29B02F4D-1122-4436-A9D4-A36E4BB8DBF8}"/>
    <cellStyle name="Normal 6 3 3 2 2" xfId="3662" xr:uid="{0B8938C3-2FDC-4E0F-8C1A-E384A714317B}"/>
    <cellStyle name="Normal 6 3 3 2 2 2" xfId="17715" xr:uid="{5C6448C0-41EB-4275-BE6C-E4D7B5629F2A}"/>
    <cellStyle name="Normal 6 3 3 2 3" xfId="15521" xr:uid="{E1CC42FB-F607-4E74-9084-FA749273C6B6}"/>
    <cellStyle name="Normal 6 3 3 3" xfId="2738" xr:uid="{74DCCF2C-9418-4A64-B385-B0AD73981F23}"/>
    <cellStyle name="Normal 6 3 3 3 2" xfId="16789" xr:uid="{8A9219F6-1628-4C9B-8F93-A4BB79BFD1BB}"/>
    <cellStyle name="Normal 6 3 3 4" xfId="4757" xr:uid="{23315602-7C70-421B-BBD6-3E776E049357}"/>
    <cellStyle name="Normal 6 3 3 4 2" xfId="18809" xr:uid="{92C56A89-0ACC-4E59-B41E-70A55D312DA8}"/>
    <cellStyle name="Normal 6 3 3 5" xfId="14594" xr:uid="{C83C0742-94FA-4AE7-BD9B-25E13CEF5185}"/>
    <cellStyle name="Normal 6 3 4" xfId="892" xr:uid="{465A5168-F138-4B3E-9FAA-E422D647685F}"/>
    <cellStyle name="Normal 6 3 4 2" xfId="1991" xr:uid="{D9517C50-5620-493F-B7F6-3DD64258DEA7}"/>
    <cellStyle name="Normal 6 3 4 2 2" xfId="4180" xr:uid="{290F5360-8CA4-472A-A166-4D294442CC1F}"/>
    <cellStyle name="Normal 6 3 4 2 2 2" xfId="18231" xr:uid="{2FEDF80B-6B87-4113-A398-65659F2401C1}"/>
    <cellStyle name="Normal 6 3 4 2 3" xfId="16040" xr:uid="{6AAF9D46-1569-4D32-A02A-ABC6C92AFEF5}"/>
    <cellStyle name="Normal 6 3 4 3" xfId="3084" xr:uid="{DF4DBEAE-CD69-4611-9D3F-A731018DE9FF}"/>
    <cellStyle name="Normal 6 3 4 3 2" xfId="17136" xr:uid="{FA455C47-EFD5-4C02-B3B4-160D07635E4E}"/>
    <cellStyle name="Normal 6 3 4 4" xfId="14942" xr:uid="{CECFA850-2AC8-4389-A9EF-578CE81ADB96}"/>
    <cellStyle name="Normal 6 3 5" xfId="1299" xr:uid="{FC55EF08-E435-423B-AB78-61B85F2BD5BB}"/>
    <cellStyle name="Normal 6 3 5 2" xfId="3490" xr:uid="{F6410D47-2CB2-4B12-B6FE-DC92AB734B9E}"/>
    <cellStyle name="Normal 6 3 5 2 2" xfId="17542" xr:uid="{9A81D53F-9161-445B-92B7-7F95323BF06C}"/>
    <cellStyle name="Normal 6 3 5 3" xfId="15348" xr:uid="{0225E218-8FA7-4FF3-97D8-6BBD86071666}"/>
    <cellStyle name="Normal 6 3 6" xfId="2391" xr:uid="{0192D425-D1C2-470C-B71B-4500D6BE2749}"/>
    <cellStyle name="Normal 6 3 6 2" xfId="16442" xr:uid="{BBBF03AC-A1C7-4BDA-B8A4-46CB621F3A59}"/>
    <cellStyle name="Normal 6 3 7" xfId="4584" xr:uid="{A98E032A-63CC-4D1C-A984-445FD956151A}"/>
    <cellStyle name="Normal 6 3 7 2" xfId="18636" xr:uid="{5322997B-1827-48A5-9D16-44C4B0B35EE1}"/>
    <cellStyle name="Normal 6 3 8" xfId="14247" xr:uid="{AF8F517F-9FFD-4A0B-B90A-80C7DCBB8E48}"/>
    <cellStyle name="Normal 6 4" xfId="308" xr:uid="{C7E7587B-00D2-4041-AF70-33E9911590CC}"/>
    <cellStyle name="Normal 6 4 2" xfId="662" xr:uid="{8B0F6016-BB4B-45B2-B99F-C2A700B22A91}"/>
    <cellStyle name="Normal 6 4 2 2" xfId="1764" xr:uid="{50134F5C-59EA-4AB5-993A-1A8A0235F548}"/>
    <cellStyle name="Normal 6 4 2 2 2" xfId="3952" xr:uid="{5EF1F6EC-DF07-4CAB-9706-A2676169598B}"/>
    <cellStyle name="Normal 6 4 2 2 2 2" xfId="18004" xr:uid="{66CB29E6-9013-4ADB-97E6-F26AD3130FC8}"/>
    <cellStyle name="Normal 6 4 2 2 3" xfId="15812" xr:uid="{08F22AED-D919-476C-B46D-DB26625FF7E0}"/>
    <cellStyle name="Normal 6 4 2 3" xfId="2855" xr:uid="{6D557AB7-3C08-41B6-81D4-4B5C271A300C}"/>
    <cellStyle name="Normal 6 4 2 3 2" xfId="16906" xr:uid="{B1199037-7701-40DB-8155-E60BDB1801B5}"/>
    <cellStyle name="Normal 6 4 2 4" xfId="14713" xr:uid="{A9A7B37B-B2B5-4CF1-865F-BD83A442D630}"/>
    <cellStyle name="Normal 6 4 3" xfId="1009" xr:uid="{769030CC-8E7C-473F-A978-EBA3E2E41B55}"/>
    <cellStyle name="Normal 6 4 3 2" xfId="2108" xr:uid="{AA17F120-549C-414F-BD36-AD73FED4E7B8}"/>
    <cellStyle name="Normal 6 4 3 2 2" xfId="4297" xr:uid="{EA616BE2-F0DD-4291-B038-44CF2453D950}"/>
    <cellStyle name="Normal 6 4 3 2 2 2" xfId="18347" xr:uid="{627CE7D8-512A-4429-A053-F1FAAEBCE120}"/>
    <cellStyle name="Normal 6 4 3 2 3" xfId="16157" xr:uid="{07D1BA66-B3A4-46B5-8AD0-8FDB02077F6F}"/>
    <cellStyle name="Normal 6 4 3 3" xfId="3201" xr:uid="{5C9173E8-857A-454A-BC59-D4E589186826}"/>
    <cellStyle name="Normal 6 4 3 3 2" xfId="17253" xr:uid="{F9D61CB4-3D58-4CA2-A530-66FFB973A2A7}"/>
    <cellStyle name="Normal 6 4 3 4" xfId="15059" xr:uid="{C6F0B93E-76CA-458D-B237-3E487CC25717}"/>
    <cellStyle name="Normal 6 4 4" xfId="1589" xr:uid="{641E1656-18E3-4D4C-A822-378EB602C6EB}"/>
    <cellStyle name="Normal 6 4 4 2" xfId="3779" xr:uid="{3B6F7005-1453-4A82-B873-15C923BAF57B}"/>
    <cellStyle name="Normal 6 4 4 2 2" xfId="17832" xr:uid="{C3965C05-3923-47D6-ADA5-11BF809BDE9E}"/>
    <cellStyle name="Normal 6 4 4 3" xfId="15638" xr:uid="{D531085F-0080-4425-8EF5-703C1F2B8630}"/>
    <cellStyle name="Normal 6 4 5" xfId="2508" xr:uid="{3AEB0070-DF6A-4688-A314-5FFF766A19DB}"/>
    <cellStyle name="Normal 6 4 5 2" xfId="16559" xr:uid="{4B7D6F8E-B52A-4A72-B81A-20A035FD2E3D}"/>
    <cellStyle name="Normal 6 4 6" xfId="4874" xr:uid="{4199A93E-F5B3-4044-81C3-0B5105388BC3}"/>
    <cellStyle name="Normal 6 4 6 2" xfId="18926" xr:uid="{C3310A09-6634-4076-A2A1-00A85FA332C9}"/>
    <cellStyle name="Normal 6 4 7" xfId="14365" xr:uid="{43EB16CB-73EA-437A-992E-B765A3EA2DA6}"/>
    <cellStyle name="Normal 6 5" xfId="482" xr:uid="{D827927A-13EC-4684-AA47-97A3517F40C7}"/>
    <cellStyle name="Normal 6 5 2" xfId="1415" xr:uid="{4648F4D4-449A-4B00-BD9A-656E3775DAA7}"/>
    <cellStyle name="Normal 6 5 2 2" xfId="3605" xr:uid="{EB918F39-B927-468C-BBB4-BCEECBE7B6F2}"/>
    <cellStyle name="Normal 6 5 2 2 2" xfId="17658" xr:uid="{56EEC797-59A0-4094-A410-EFE2C24D4C90}"/>
    <cellStyle name="Normal 6 5 2 3" xfId="15464" xr:uid="{546AF665-E5E4-41AD-9E36-1F6C8B3CEDC0}"/>
    <cellStyle name="Normal 6 5 3" xfId="2681" xr:uid="{6514C11A-35D0-48F8-B7A7-973FD0625847}"/>
    <cellStyle name="Normal 6 5 3 2" xfId="16732" xr:uid="{7F5B7B64-9AF6-4E34-B91F-17D3F13D3556}"/>
    <cellStyle name="Normal 6 5 4" xfId="4700" xr:uid="{9813C11E-9C28-42FD-8969-8BA37E2256CE}"/>
    <cellStyle name="Normal 6 5 4 2" xfId="18752" xr:uid="{04C20804-2D0C-45CC-95EB-86415D9FD098}"/>
    <cellStyle name="Normal 6 5 5" xfId="14537" xr:uid="{2091B7EE-FECD-458F-8A7E-89B0E6B82521}"/>
    <cellStyle name="Normal 6 6" xfId="835" xr:uid="{114439A7-6CBC-46FD-B97B-1C54ACEE9E00}"/>
    <cellStyle name="Normal 6 6 2" xfId="1934" xr:uid="{1BB44B15-CEAE-414F-9D21-DD32B5FE4382}"/>
    <cellStyle name="Normal 6 6 2 2" xfId="4123" xr:uid="{DBCF0405-CC4F-4707-9E61-7433C525FAFE}"/>
    <cellStyle name="Normal 6 6 2 2 2" xfId="18175" xr:uid="{3CCC0465-1F5B-4EE4-B41A-7A0078DFB84F}"/>
    <cellStyle name="Normal 6 6 2 3" xfId="15983" xr:uid="{3A7408D2-F767-428C-8E0B-A1283157FE46}"/>
    <cellStyle name="Normal 6 6 3" xfId="3027" xr:uid="{2C3A5D26-1323-4D13-BD22-BC5D698C43E6}"/>
    <cellStyle name="Normal 6 6 3 2" xfId="17079" xr:uid="{F852D6D0-1B04-40A8-860C-A0560B172DA7}"/>
    <cellStyle name="Normal 6 6 4" xfId="14885" xr:uid="{41C27E92-C93E-43ED-923A-C6F63528461E}"/>
    <cellStyle name="Normal 6 7" xfId="1179" xr:uid="{F98E60F5-9D1C-4DD0-BB7C-CB422FDBFC69}"/>
    <cellStyle name="Normal 6 7 2" xfId="2278" xr:uid="{3CDCD409-4A0F-46B4-8D3C-300F5C5803FF}"/>
    <cellStyle name="Normal 6 7 2 2" xfId="4467" xr:uid="{2BA50130-80A1-4266-AD20-7AA86B3CD2C4}"/>
    <cellStyle name="Normal 6 7 2 2 2" xfId="18518" xr:uid="{CCA6F158-5E2B-4155-AF87-90D8493C687E}"/>
    <cellStyle name="Normal 6 7 2 3" xfId="16328" xr:uid="{E84414A1-9F41-4074-9CFE-5E9F03A93603}"/>
    <cellStyle name="Normal 6 7 3" xfId="3372" xr:uid="{010E2093-2ADF-4C7E-9866-C047BC84F462}"/>
    <cellStyle name="Normal 6 7 3 2" xfId="17424" xr:uid="{2A03DF6C-685C-4E13-A498-7AD84A614BDC}"/>
    <cellStyle name="Normal 6 7 4" xfId="15230" xr:uid="{571B94C5-C937-44FF-8621-B85A73A6825D}"/>
    <cellStyle name="Normal 6 8" xfId="1243" xr:uid="{32F15B73-DE99-4237-8792-7521B61A64AC}"/>
    <cellStyle name="Normal 6 8 2" xfId="3433" xr:uid="{D06D586B-E047-4854-8208-753E4B7790D4}"/>
    <cellStyle name="Normal 6 8 2 2" xfId="17485" xr:uid="{01A772BF-BA5C-4B3B-94B8-0B656C6EF0D0}"/>
    <cellStyle name="Normal 6 8 3" xfId="15291" xr:uid="{E1C5C1C6-C54E-4670-A910-CBD4C88B724D}"/>
    <cellStyle name="Normal 6 9" xfId="2334" xr:uid="{8EFAF1E8-8E04-4AB9-8CBD-F51CEB2F2985}"/>
    <cellStyle name="Normal 6 9 2" xfId="16385" xr:uid="{783F93CB-8581-43B1-9BB7-C64908566E3E}"/>
    <cellStyle name="Normal 7" xfId="131" xr:uid="{DDEC957E-A791-4C1E-B49C-3B32FE167BA0}"/>
    <cellStyle name="Normal 8" xfId="246" xr:uid="{2453F7D0-EE58-4DF4-94B1-B30BA20F4A35}"/>
    <cellStyle name="Normal 8 2" xfId="261" xr:uid="{E4BB4974-EA23-46C7-BC1A-7050461FCD3C}"/>
    <cellStyle name="Normal 8 2 2" xfId="615" xr:uid="{AD03EEE6-119A-4A24-9F67-7D017A458BC8}"/>
    <cellStyle name="Normal 8 3" xfId="600" xr:uid="{9BCCF425-DB86-4C46-B628-AA78AFFC0C6A}"/>
    <cellStyle name="Normal 8 3 2" xfId="950" xr:uid="{81A3E4AF-D564-40BA-AE6B-1EDF65443167}"/>
    <cellStyle name="Normal 8 3 2 2" xfId="2049" xr:uid="{DBCCA602-C9D5-4CC6-96EF-C6D19C3BFF40}"/>
    <cellStyle name="Normal 8 3 2 2 2" xfId="4238" xr:uid="{CF8A9A37-F441-40E4-A301-0EDD34B8AC2B}"/>
    <cellStyle name="Normal 8 3 2 2 2 2" xfId="18289" xr:uid="{48E502EB-4CFE-4318-9FFA-8BBDB780E338}"/>
    <cellStyle name="Normal 8 3 2 2 3" xfId="16098" xr:uid="{0B092501-5A57-4323-8CC8-E9988EE13EB5}"/>
    <cellStyle name="Normal 8 3 2 3" xfId="3142" xr:uid="{B5C5B6FB-E442-4D77-8237-EAC4FA48B05F}"/>
    <cellStyle name="Normal 8 3 2 3 2" xfId="17194" xr:uid="{581B8F9E-53BD-4913-AF27-DA417245F1A8}"/>
    <cellStyle name="Normal 8 3 2 4" xfId="15000" xr:uid="{B461DB9D-CEAA-48FE-A321-21AC48D69AEA}"/>
    <cellStyle name="Normal 8 3 3" xfId="1530" xr:uid="{13BCD6A5-A910-4AB8-9120-DD0DA34EF86A}"/>
    <cellStyle name="Normal 8 3 3 2" xfId="3720" xr:uid="{D7C5E62D-C291-4FFD-BDDE-5823E505319B}"/>
    <cellStyle name="Normal 8 3 3 2 2" xfId="17773" xr:uid="{0653A9E8-3FF4-48A0-BA82-547576BBE0A7}"/>
    <cellStyle name="Normal 8 3 3 3" xfId="15579" xr:uid="{38AF01BC-B625-48E2-B947-9E2437EE792E}"/>
    <cellStyle name="Normal 8 3 4" xfId="2796" xr:uid="{2CE92D35-ED60-41A1-961D-CEAB2B3F4D89}"/>
    <cellStyle name="Normal 8 3 4 2" xfId="16847" xr:uid="{B1250890-6ABF-48AD-9F81-2266EA245B25}"/>
    <cellStyle name="Normal 8 3 5" xfId="4815" xr:uid="{AAE2CFD0-55ED-4E28-BBDB-6581CFDE7B0B}"/>
    <cellStyle name="Normal 8 3 5 2" xfId="18867" xr:uid="{B9D563FD-9B3E-4687-B9AB-09355C750647}"/>
    <cellStyle name="Normal 8 3 6" xfId="14653" xr:uid="{DF17C6F9-29D6-4F82-82CD-6603DE0C9142}"/>
    <cellStyle name="Normal 8 4" xfId="437" xr:uid="{70A63780-7358-457A-8FBC-D2BAA5B19A7C}"/>
    <cellStyle name="Normal 8 5" xfId="2449" xr:uid="{E2BCA31E-0921-42A1-98C6-3C995488B04F}"/>
    <cellStyle name="Normal 8 5 2" xfId="16500" xr:uid="{88A09B7D-D000-40DD-9707-B6B03F9AE28A}"/>
    <cellStyle name="Normal 8 6" xfId="14305" xr:uid="{BA1AACE6-6331-4849-B961-92AC258F1A08}"/>
    <cellStyle name="Normal 9" xfId="423" xr:uid="{86DA0671-B4AB-43AA-8A71-9CDA22AE08AF}"/>
    <cellStyle name="Normal 9 2" xfId="1357" xr:uid="{ED8B79AD-65DD-4D29-BC2C-A578FF50A881}"/>
    <cellStyle name="Normal 9 2 2" xfId="3548" xr:uid="{2436264A-47B6-43A9-B131-1A4F16C3D776}"/>
    <cellStyle name="Normal 9 2 2 2" xfId="17600" xr:uid="{D20DA1B4-A021-4A4E-A604-C7520562FBDD}"/>
    <cellStyle name="Normal 9 2 3" xfId="15406" xr:uid="{EF2BC879-08D6-4E6A-9EC6-ACBBFDF69C45}"/>
    <cellStyle name="Normal 9 3" xfId="2623" xr:uid="{12952A76-12DD-46A8-A72F-7B1B5C7CB17A}"/>
    <cellStyle name="Normal 9 3 2" xfId="16674" xr:uid="{21902088-82D3-431B-9169-FC32321905F2}"/>
    <cellStyle name="Normal 9 4" xfId="4642" xr:uid="{6CD11355-D69D-45EE-8746-41F4A7FDA8F4}"/>
    <cellStyle name="Normal 9 4 2" xfId="18694" xr:uid="{AD86F38B-185B-41D0-B2F8-CC39283078A4}"/>
    <cellStyle name="Normal 9 5" xfId="14479" xr:uid="{0427FC69-A393-4B96-99A9-9C1B4AB0D268}"/>
    <cellStyle name="Note" xfId="22" builtinId="10"/>
    <cellStyle name="Note 2" xfId="28" xr:uid="{AD1D881C-CF56-4E99-84E1-9F5AEA8AC5B7}"/>
    <cellStyle name="Note 2 10" xfId="2293" xr:uid="{59261427-A6CF-413D-9E32-31E2868C1A62}"/>
    <cellStyle name="Note 2 10 2" xfId="16344" xr:uid="{84E4B125-EC4E-4830-9796-789253C73215}"/>
    <cellStyle name="Note 2 11" xfId="4487" xr:uid="{283361D8-9AAB-48A9-9470-AFCD67F3B095}"/>
    <cellStyle name="Note 2 11 2" xfId="18538" xr:uid="{959756C1-DC15-4B36-A6A1-7666DCBD8558}"/>
    <cellStyle name="Note 2 12" xfId="88" xr:uid="{2DCCFC44-E6A3-4864-ACEF-C8DD79934F83}"/>
    <cellStyle name="Note 2 12 2" xfId="14149" xr:uid="{A5C52C95-CB8F-4144-A507-108F5AF2D7CA}"/>
    <cellStyle name="Note 2 13" xfId="14119" xr:uid="{90469A8A-D0AC-4B25-ABC6-E14213E624E4}"/>
    <cellStyle name="Note 2 2" xfId="109" xr:uid="{43E11605-351E-4E86-BFDC-7349722BAF2C}"/>
    <cellStyle name="Note 2 2 10" xfId="4507" xr:uid="{FB9AC47A-74F0-492A-A142-24749B2429E8}"/>
    <cellStyle name="Note 2 2 10 2" xfId="18558" xr:uid="{0EADD485-7945-4994-A9DB-48520B2064CF}"/>
    <cellStyle name="Note 2 2 11" xfId="14169" xr:uid="{FB14EF46-A4EA-430B-8184-1B49271D737E}"/>
    <cellStyle name="Note 2 2 2" xfId="224" xr:uid="{BB4AC1E5-2C7F-48B5-B50E-8CF568CD6576}"/>
    <cellStyle name="Note 2 2 2 2" xfId="401" xr:uid="{3CC2D469-2DBC-466C-A2FB-B7823B0A768E}"/>
    <cellStyle name="Note 2 2 2 2 2" xfId="755" xr:uid="{8E48EB81-6C51-4600-902B-7196E13862F7}"/>
    <cellStyle name="Note 2 2 2 2 2 2" xfId="1856" xr:uid="{F5B1457F-A9C7-4CAD-83F6-59EDE548EA96}"/>
    <cellStyle name="Note 2 2 2 2 2 2 2" xfId="4045" xr:uid="{DA9F87CC-FADA-4BBF-9001-2C067B29E2DE}"/>
    <cellStyle name="Note 2 2 2 2 2 2 2 2" xfId="18097" xr:uid="{BE5F4307-E882-497A-8A2A-C0AF2794A800}"/>
    <cellStyle name="Note 2 2 2 2 2 2 3" xfId="15905" xr:uid="{547A079C-0C99-4C46-87A6-8637B751DC68}"/>
    <cellStyle name="Note 2 2 2 2 2 3" xfId="2947" xr:uid="{DE67DDC2-8AE0-4DD2-A502-467AF814F9DF}"/>
    <cellStyle name="Note 2 2 2 2 2 3 2" xfId="16999" xr:uid="{E036B89F-EE68-4896-AF2E-71A2CB584894}"/>
    <cellStyle name="Note 2 2 2 2 2 4" xfId="14806" xr:uid="{A597D7F0-7D92-48D6-BDDD-628B2D7D7AD6}"/>
    <cellStyle name="Note 2 2 2 2 3" xfId="1102" xr:uid="{C372A7D6-2C50-4A67-8997-02E4227099DA}"/>
    <cellStyle name="Note 2 2 2 2 3 2" xfId="2201" xr:uid="{A2DEC66D-9371-4A82-8EC7-1071E9763601}"/>
    <cellStyle name="Note 2 2 2 2 3 2 2" xfId="4390" xr:uid="{74B7C0D2-AEFE-4F86-8C85-C781C7069C7F}"/>
    <cellStyle name="Note 2 2 2 2 3 2 2 2" xfId="18440" xr:uid="{E80977CA-E894-49E9-A0BA-3FB7F02720AF}"/>
    <cellStyle name="Note 2 2 2 2 3 2 3" xfId="16250" xr:uid="{B476B19A-390D-48C1-9060-F74F42180ECC}"/>
    <cellStyle name="Note 2 2 2 2 3 3" xfId="3294" xr:uid="{847E2BFF-0DC8-4CA9-A32D-747FC2F5A5C2}"/>
    <cellStyle name="Note 2 2 2 2 3 3 2" xfId="17346" xr:uid="{E8D10C5F-4C57-48E3-8551-E758046FBA5F}"/>
    <cellStyle name="Note 2 2 2 2 3 4" xfId="15152" xr:uid="{CAF684F8-5DC0-49C7-82D9-0DFA57955635}"/>
    <cellStyle name="Note 2 2 2 2 4" xfId="1682" xr:uid="{3261CA35-CCCF-411B-9C96-82D52D232BEE}"/>
    <cellStyle name="Note 2 2 2 2 4 2" xfId="3872" xr:uid="{ED6D345A-DB10-4F35-A9BA-FDD780FDBEF7}"/>
    <cellStyle name="Note 2 2 2 2 4 2 2" xfId="17925" xr:uid="{6E930F64-FBC8-4F3B-A7B9-C98FF0D090BE}"/>
    <cellStyle name="Note 2 2 2 2 4 3" xfId="15731" xr:uid="{8A216436-DF34-458D-ADA3-FD09A2DB86A2}"/>
    <cellStyle name="Note 2 2 2 2 5" xfId="2601" xr:uid="{E16DCB5B-8D49-45AD-8D60-968A672F0629}"/>
    <cellStyle name="Note 2 2 2 2 5 2" xfId="16652" xr:uid="{86E19B68-1062-48F9-A649-47F85917288B}"/>
    <cellStyle name="Note 2 2 2 2 6" xfId="4967" xr:uid="{7F0FF5D1-E4A4-4A00-AA90-85AAD1CB31BF}"/>
    <cellStyle name="Note 2 2 2 2 6 2" xfId="19019" xr:uid="{F25107D3-500F-4110-919F-0585428D2F64}"/>
    <cellStyle name="Note 2 2 2 2 7" xfId="14458" xr:uid="{C3A5D8C2-510F-44D3-AFE6-F596967409E8}"/>
    <cellStyle name="Note 2 2 2 3" xfId="575" xr:uid="{53B7D0EC-F350-4E83-AB70-36C08533CD4B}"/>
    <cellStyle name="Note 2 2 2 3 2" xfId="1508" xr:uid="{278D516E-D403-4204-8F08-048497BEB681}"/>
    <cellStyle name="Note 2 2 2 3 2 2" xfId="3698" xr:uid="{9E897642-6476-447D-888A-68FADA08A964}"/>
    <cellStyle name="Note 2 2 2 3 2 2 2" xfId="17751" xr:uid="{D0DFD679-B2A8-4B5A-8F6E-BEDA4D6E8CF1}"/>
    <cellStyle name="Note 2 2 2 3 2 3" xfId="15557" xr:uid="{DBDF687B-0699-4518-B5CE-6CC8836E0E5B}"/>
    <cellStyle name="Note 2 2 2 3 3" xfId="2774" xr:uid="{4AC7BA9A-C030-41A0-8285-10BA6D41339E}"/>
    <cellStyle name="Note 2 2 2 3 3 2" xfId="16825" xr:uid="{0D7BBEE9-3B5F-44CE-8448-7407A3990634}"/>
    <cellStyle name="Note 2 2 2 3 4" xfId="4793" xr:uid="{38441E10-CFEA-4956-85C2-656351479502}"/>
    <cellStyle name="Note 2 2 2 3 4 2" xfId="18845" xr:uid="{A5ACD4BC-ECCB-4F21-BD7B-9002AF2F1FEC}"/>
    <cellStyle name="Note 2 2 2 3 5" xfId="14630" xr:uid="{0FED9001-0532-4BEB-9B40-E04D251FD1D8}"/>
    <cellStyle name="Note 2 2 2 4" xfId="928" xr:uid="{E6C94291-D983-4EB3-95AF-BC004264DADA}"/>
    <cellStyle name="Note 2 2 2 4 2" xfId="2027" xr:uid="{66D5B166-ED34-477F-8120-13BE67132DA3}"/>
    <cellStyle name="Note 2 2 2 4 2 2" xfId="4216" xr:uid="{DBFFFB0A-3BCB-4942-8098-DD526F87DE96}"/>
    <cellStyle name="Note 2 2 2 4 2 2 2" xfId="18267" xr:uid="{C534FFF5-3E12-4D1A-B40A-C02F5807D6B0}"/>
    <cellStyle name="Note 2 2 2 4 2 3" xfId="16076" xr:uid="{967AE87B-3218-4659-85EB-82E9EE2714E7}"/>
    <cellStyle name="Note 2 2 2 4 3" xfId="3120" xr:uid="{A6D2B35E-F0A2-401E-B3C7-CD0C0102AA79}"/>
    <cellStyle name="Note 2 2 2 4 3 2" xfId="17172" xr:uid="{F0AB47C8-2E14-48E7-A5F9-C58A8F4B7233}"/>
    <cellStyle name="Note 2 2 2 4 4" xfId="14978" xr:uid="{0F9ACA3C-87F7-4CB2-9B96-35A18225C581}"/>
    <cellStyle name="Note 2 2 2 5" xfId="1335" xr:uid="{398D1331-0B6B-4698-8440-1E2B5EF3B6E3}"/>
    <cellStyle name="Note 2 2 2 5 2" xfId="3526" xr:uid="{C737BC24-A86D-4C57-BBA7-05221AF67899}"/>
    <cellStyle name="Note 2 2 2 5 2 2" xfId="17578" xr:uid="{C7BDF5C4-3B39-48E5-9727-BF9B8AECF08C}"/>
    <cellStyle name="Note 2 2 2 5 3" xfId="15384" xr:uid="{493B08CF-DF17-41AE-86F3-A2ABB7C8B175}"/>
    <cellStyle name="Note 2 2 2 6" xfId="2427" xr:uid="{71E5C3C1-CD49-4AA1-975F-AE5240574CF8}"/>
    <cellStyle name="Note 2 2 2 6 2" xfId="16478" xr:uid="{B69389CD-D39D-4DFC-B113-328BA29C8BEE}"/>
    <cellStyle name="Note 2 2 2 7" xfId="4620" xr:uid="{25B47E5A-7A04-4BB9-A433-4F36DC4F5D64}"/>
    <cellStyle name="Note 2 2 2 7 2" xfId="18672" xr:uid="{E8F08F61-546A-4CAD-85F5-DCFC08476D8F}"/>
    <cellStyle name="Note 2 2 2 8" xfId="14283" xr:uid="{0F042178-9225-473A-87AE-868BCE15A32D}"/>
    <cellStyle name="Note 2 2 3" xfId="167" xr:uid="{433DAFB4-86BA-4B46-8E32-1402D4F6337D}"/>
    <cellStyle name="Note 2 2 3 2" xfId="344" xr:uid="{82331C7B-441A-4F2A-B7AE-A0E55D63EDCF}"/>
    <cellStyle name="Note 2 2 3 2 2" xfId="698" xr:uid="{54EE8A02-8049-48A7-8968-78D8B7F3B995}"/>
    <cellStyle name="Note 2 2 3 2 2 2" xfId="1799" xr:uid="{CA091637-C093-43F8-9D04-68F7A30817CF}"/>
    <cellStyle name="Note 2 2 3 2 2 2 2" xfId="3988" xr:uid="{A886C2E8-2FB0-433B-8AA5-9B227CCACBBD}"/>
    <cellStyle name="Note 2 2 3 2 2 2 2 2" xfId="18040" xr:uid="{6C79731D-82EF-49D2-B629-2CAC1D768988}"/>
    <cellStyle name="Note 2 2 3 2 2 2 3" xfId="15848" xr:uid="{71F4978E-D908-4516-96C4-5AB0B5B3946E}"/>
    <cellStyle name="Note 2 2 3 2 2 3" xfId="2890" xr:uid="{9328013D-0C85-43E0-AD4F-B7297DD98E59}"/>
    <cellStyle name="Note 2 2 3 2 2 3 2" xfId="16942" xr:uid="{A74A311A-69C9-4B5D-8DDE-0E98E7C2F1F3}"/>
    <cellStyle name="Note 2 2 3 2 2 4" xfId="14749" xr:uid="{780A0189-61BF-47B9-A1E5-499CCA13A50D}"/>
    <cellStyle name="Note 2 2 3 2 3" xfId="1045" xr:uid="{7CA9D120-28AF-44D8-AE90-D712254562B8}"/>
    <cellStyle name="Note 2 2 3 2 3 2" xfId="2144" xr:uid="{EED36A1F-CB8B-4A0D-BEB6-E7A8E0B2CA8D}"/>
    <cellStyle name="Note 2 2 3 2 3 2 2" xfId="4333" xr:uid="{CB81B758-D029-4FD1-8883-E4D5741EA530}"/>
    <cellStyle name="Note 2 2 3 2 3 2 2 2" xfId="18383" xr:uid="{982CD1DA-FBE5-47E8-9564-FE1D60B8171C}"/>
    <cellStyle name="Note 2 2 3 2 3 2 3" xfId="16193" xr:uid="{F3162336-C510-498B-B6AD-A8AD1E68FC28}"/>
    <cellStyle name="Note 2 2 3 2 3 3" xfId="3237" xr:uid="{05B9DC72-27B2-4CB0-B72F-840EA34BAF5F}"/>
    <cellStyle name="Note 2 2 3 2 3 3 2" xfId="17289" xr:uid="{3CA12347-0440-4C37-B003-3BB4A3156CEB}"/>
    <cellStyle name="Note 2 2 3 2 3 4" xfId="15095" xr:uid="{9BAB157A-214C-45A9-BFB3-E117CA244ABD}"/>
    <cellStyle name="Note 2 2 3 2 4" xfId="1625" xr:uid="{ACC04F65-EC9D-458A-87CB-B0854CA02A59}"/>
    <cellStyle name="Note 2 2 3 2 4 2" xfId="3815" xr:uid="{E9C1CF29-24F6-4522-B243-A9B0814B62C8}"/>
    <cellStyle name="Note 2 2 3 2 4 2 2" xfId="17868" xr:uid="{E8BF2B2C-80D9-4D3A-A449-DC49B7A648B1}"/>
    <cellStyle name="Note 2 2 3 2 4 3" xfId="15674" xr:uid="{9EEA581F-25C2-4C5C-870D-B3E1F1971F31}"/>
    <cellStyle name="Note 2 2 3 2 5" xfId="2544" xr:uid="{B952BDBC-E7B4-4073-8147-9ED98EF76745}"/>
    <cellStyle name="Note 2 2 3 2 5 2" xfId="16595" xr:uid="{60B3CCF3-2014-421D-A923-B907545221AC}"/>
    <cellStyle name="Note 2 2 3 2 6" xfId="4910" xr:uid="{93934196-9C23-4C55-9BE0-B9FD14C0A8C2}"/>
    <cellStyle name="Note 2 2 3 2 6 2" xfId="18962" xr:uid="{D92A5513-AE2B-4AE5-8A0E-A771D42032A7}"/>
    <cellStyle name="Note 2 2 3 2 7" xfId="14401" xr:uid="{DD492CAC-CAF1-4D9A-9F79-28CE55F79E00}"/>
    <cellStyle name="Note 2 2 3 3" xfId="518" xr:uid="{2065AE1C-64A1-4184-B03A-0967DDC3DC15}"/>
    <cellStyle name="Note 2 2 3 3 2" xfId="1451" xr:uid="{97CE0F54-C248-42DE-B120-6E3889943D5E}"/>
    <cellStyle name="Note 2 2 3 3 2 2" xfId="3641" xr:uid="{4C58D130-CEBB-41CC-9952-A40B92BA52CD}"/>
    <cellStyle name="Note 2 2 3 3 2 2 2" xfId="17694" xr:uid="{1D162155-CE4C-4FED-8BF5-5296B66F2F74}"/>
    <cellStyle name="Note 2 2 3 3 2 3" xfId="15500" xr:uid="{BBA41E8C-150E-47CC-B211-B5CF9EA1F61C}"/>
    <cellStyle name="Note 2 2 3 3 3" xfId="2717" xr:uid="{9E47F0EE-706B-40A7-AAB3-9DD045F89C5F}"/>
    <cellStyle name="Note 2 2 3 3 3 2" xfId="16768" xr:uid="{C44B3967-377D-4BB1-BDD1-261A7306333D}"/>
    <cellStyle name="Note 2 2 3 3 4" xfId="4736" xr:uid="{21895E2F-E79F-45AD-A081-6B9A1D1CF341}"/>
    <cellStyle name="Note 2 2 3 3 4 2" xfId="18788" xr:uid="{AF6A446B-0184-40F3-AFE1-88D165DC511D}"/>
    <cellStyle name="Note 2 2 3 3 5" xfId="14573" xr:uid="{D77E932B-480D-4260-BD04-A22106726480}"/>
    <cellStyle name="Note 2 2 3 4" xfId="871" xr:uid="{80F121BB-A268-4D35-9D90-2A167477E279}"/>
    <cellStyle name="Note 2 2 3 4 2" xfId="1970" xr:uid="{45CDE0E3-2D53-44FF-BBA3-FE72D15DD282}"/>
    <cellStyle name="Note 2 2 3 4 2 2" xfId="4159" xr:uid="{0BAEB1FD-D74D-4E3D-8F4D-D834025D6B26}"/>
    <cellStyle name="Note 2 2 3 4 2 2 2" xfId="18210" xr:uid="{02E26BB8-2B71-4BA7-9A52-11B1F4A035E1}"/>
    <cellStyle name="Note 2 2 3 4 2 3" xfId="16019" xr:uid="{F8C401EE-CD5F-4E5D-AA98-9DBF95F4B546}"/>
    <cellStyle name="Note 2 2 3 4 3" xfId="3063" xr:uid="{799FF11E-79EF-489A-9D89-FCF8DED40B5D}"/>
    <cellStyle name="Note 2 2 3 4 3 2" xfId="17115" xr:uid="{7146B1B5-9D6C-4990-881B-F71DD44D4C69}"/>
    <cellStyle name="Note 2 2 3 4 4" xfId="14921" xr:uid="{0D3EA69E-8AD8-48B5-9F9F-4DDBFC38D49B}"/>
    <cellStyle name="Note 2 2 3 5" xfId="1279" xr:uid="{CFCD83CE-2BB2-4CE8-8F39-7D45EB93CC4A}"/>
    <cellStyle name="Note 2 2 3 5 2" xfId="3469" xr:uid="{7AD95034-7577-41EF-93D7-4B26FA0DF500}"/>
    <cellStyle name="Note 2 2 3 5 2 2" xfId="17521" xr:uid="{1AC0666B-1089-45F1-B1AB-1B846EA78051}"/>
    <cellStyle name="Note 2 2 3 5 3" xfId="15327" xr:uid="{6E5628B7-1E12-4583-BE5A-D80BF6FE73DA}"/>
    <cellStyle name="Note 2 2 3 6" xfId="2370" xr:uid="{B4553B8F-89F1-445E-AED1-15EB23AF5D23}"/>
    <cellStyle name="Note 2 2 3 6 2" xfId="16421" xr:uid="{374E7F96-1AA8-4D60-B2D1-ED669D1F8837}"/>
    <cellStyle name="Note 2 2 3 7" xfId="4563" xr:uid="{0E8FF713-98DE-4594-B64F-B82BEB7FD484}"/>
    <cellStyle name="Note 2 2 3 7 2" xfId="18615" xr:uid="{D3F6FAA9-797F-4476-98C5-21D2C67C5278}"/>
    <cellStyle name="Note 2 2 3 8" xfId="14226" xr:uid="{097F7660-EEDE-4069-9D17-B05C604F3013}"/>
    <cellStyle name="Note 2 2 4" xfId="287" xr:uid="{CD3C8B81-E423-4DB7-B96A-7F10A061197B}"/>
    <cellStyle name="Note 2 2 4 2" xfId="641" xr:uid="{67619050-C193-482B-9C97-BD2DBBBCCAFB}"/>
    <cellStyle name="Note 2 2 4 2 2" xfId="1743" xr:uid="{BCD62D75-DEF7-4FAA-BBBA-D92328B6ED37}"/>
    <cellStyle name="Note 2 2 4 2 2 2" xfId="3931" xr:uid="{A4BB405F-93DA-46B7-AE95-081BD11A8F0F}"/>
    <cellStyle name="Note 2 2 4 2 2 2 2" xfId="17983" xr:uid="{8C01AAF4-BC54-4A8E-BF8B-E5DDE7F7141B}"/>
    <cellStyle name="Note 2 2 4 2 2 3" xfId="15791" xr:uid="{9799C058-0023-41C6-BA8C-9DFEA72BA1EE}"/>
    <cellStyle name="Note 2 2 4 2 3" xfId="2834" xr:uid="{CB6D6CF5-5C04-4977-9A97-CF1103CECBC0}"/>
    <cellStyle name="Note 2 2 4 2 3 2" xfId="16885" xr:uid="{528FA3A0-1429-4014-A497-A9CA97AB38EF}"/>
    <cellStyle name="Note 2 2 4 2 4" xfId="14692" xr:uid="{C28EEF38-1522-44F2-B7A2-F7CC2C76D464}"/>
    <cellStyle name="Note 2 2 4 3" xfId="988" xr:uid="{B6D7E7AC-8599-42FC-A997-8B2BFAAD7F0A}"/>
    <cellStyle name="Note 2 2 4 3 2" xfId="2087" xr:uid="{6E1226ED-CDCE-42DA-AFA8-F3E99CB019AA}"/>
    <cellStyle name="Note 2 2 4 3 2 2" xfId="4276" xr:uid="{5184E52B-9F22-435F-A00E-1AFDDDDE7063}"/>
    <cellStyle name="Note 2 2 4 3 2 2 2" xfId="18327" xr:uid="{8EE9A890-C518-445C-8518-8FFF3FEE472E}"/>
    <cellStyle name="Note 2 2 4 3 2 3" xfId="16136" xr:uid="{375775AB-ECA3-453D-8098-02D171E7FFA8}"/>
    <cellStyle name="Note 2 2 4 3 3" xfId="3180" xr:uid="{53F0EB44-D0BC-4BC4-AB72-0A1B169EFCD0}"/>
    <cellStyle name="Note 2 2 4 3 3 2" xfId="17232" xr:uid="{0C383476-CDE0-4E3B-B3E2-0F547773F697}"/>
    <cellStyle name="Note 2 2 4 3 4" xfId="15038" xr:uid="{3748DE20-6BA4-445A-A038-FBDB55A17812}"/>
    <cellStyle name="Note 2 2 4 4" xfId="1568" xr:uid="{9E2717A3-3B5C-4B34-AAFB-E965883EFB5A}"/>
    <cellStyle name="Note 2 2 4 4 2" xfId="3758" xr:uid="{211D6903-167E-40D6-B081-2708EC1A1507}"/>
    <cellStyle name="Note 2 2 4 4 2 2" xfId="17811" xr:uid="{2C1B1A99-E7C3-41E3-855D-8B9CEB96EC19}"/>
    <cellStyle name="Note 2 2 4 4 3" xfId="15617" xr:uid="{4E762C1C-7F24-44B0-8CCF-7CDBC604FC77}"/>
    <cellStyle name="Note 2 2 4 5" xfId="2487" xr:uid="{E8CC4F2A-E914-4430-9FA7-FA9328FC3676}"/>
    <cellStyle name="Note 2 2 4 5 2" xfId="16538" xr:uid="{AAF829DD-988F-4EC8-8D65-06980722A5E3}"/>
    <cellStyle name="Note 2 2 4 6" xfId="4853" xr:uid="{76B0B21E-AFD9-43D3-B8D7-12601D3C9ED1}"/>
    <cellStyle name="Note 2 2 4 6 2" xfId="18905" xr:uid="{AD3E5BED-D15B-4A67-A26A-FE436092B748}"/>
    <cellStyle name="Note 2 2 4 7" xfId="14344" xr:uid="{1A92BAA3-8DBD-4EDD-BC54-9420E566C4E6}"/>
    <cellStyle name="Note 2 2 5" xfId="461" xr:uid="{E942171F-DA4B-4C67-A821-C7582563E713}"/>
    <cellStyle name="Note 2 2 5 2" xfId="1394" xr:uid="{C91D9BAD-4702-4FC8-AF6B-36E9EF60811C}"/>
    <cellStyle name="Note 2 2 5 2 2" xfId="3584" xr:uid="{ED0D853B-3D52-4F4F-8AB5-04E2D3EAFB32}"/>
    <cellStyle name="Note 2 2 5 2 2 2" xfId="17637" xr:uid="{43288020-F6B7-44B5-9FC9-6BC746A0C92C}"/>
    <cellStyle name="Note 2 2 5 2 3" xfId="15443" xr:uid="{61E73478-FFDA-4268-9190-E3DA12160155}"/>
    <cellStyle name="Note 2 2 5 3" xfId="2660" xr:uid="{1316FBFA-3AC5-44D2-BF20-B13C2661CB89}"/>
    <cellStyle name="Note 2 2 5 3 2" xfId="16711" xr:uid="{716AAEBE-129C-40D0-847B-ABDAFA431F3E}"/>
    <cellStyle name="Note 2 2 5 4" xfId="4679" xr:uid="{4692050A-311F-4124-946C-59264A32FAC7}"/>
    <cellStyle name="Note 2 2 5 4 2" xfId="18731" xr:uid="{CDCA33EB-15B9-42A8-997E-ABAC2F1788CC}"/>
    <cellStyle name="Note 2 2 5 5" xfId="14516" xr:uid="{E937639E-0A9D-412D-A3B7-5CAA4E1CB654}"/>
    <cellStyle name="Note 2 2 6" xfId="814" xr:uid="{8F59073D-9329-434A-A81E-566651B8CB79}"/>
    <cellStyle name="Note 2 2 6 2" xfId="1913" xr:uid="{F7946C29-0D2C-40F3-B598-6DD778D55009}"/>
    <cellStyle name="Note 2 2 6 2 2" xfId="4102" xr:uid="{B81AF6E8-14B2-4695-8EBB-DDEB683901A7}"/>
    <cellStyle name="Note 2 2 6 2 2 2" xfId="18154" xr:uid="{CD7E00AA-AE64-4FD8-83BC-75A614C75C60}"/>
    <cellStyle name="Note 2 2 6 2 3" xfId="15962" xr:uid="{65336F40-83F3-43E5-8993-F5C08679536C}"/>
    <cellStyle name="Note 2 2 6 3" xfId="3006" xr:uid="{D35F2FFD-C190-42B4-BBE2-3157B7053269}"/>
    <cellStyle name="Note 2 2 6 3 2" xfId="17058" xr:uid="{4E367EDF-66CD-4B7C-B430-762CF5DE7831}"/>
    <cellStyle name="Note 2 2 6 4" xfId="14864" xr:uid="{561BA4F4-0FEF-4312-9663-5B364EB8393D}"/>
    <cellStyle name="Note 2 2 7" xfId="1158" xr:uid="{1FC25F75-3033-4A44-9270-93D5575C9A83}"/>
    <cellStyle name="Note 2 2 7 2" xfId="2258" xr:uid="{16B17144-65A1-4473-87B7-136CC62F5F78}"/>
    <cellStyle name="Note 2 2 7 2 2" xfId="4447" xr:uid="{7C360B56-C1E6-4909-8E7B-56069BB54CBE}"/>
    <cellStyle name="Note 2 2 7 2 2 2" xfId="18497" xr:uid="{D36D67B5-95E8-4F1E-89F5-7594BB096E17}"/>
    <cellStyle name="Note 2 2 7 2 3" xfId="16307" xr:uid="{AA48B02A-0165-46C4-8168-53C6952C040F}"/>
    <cellStyle name="Note 2 2 7 3" xfId="3351" xr:uid="{F9736719-67DB-4DEA-9655-5DE178271388}"/>
    <cellStyle name="Note 2 2 7 3 2" xfId="17403" xr:uid="{C6FAFCEC-AB17-4918-8D09-C3A68A120F67}"/>
    <cellStyle name="Note 2 2 7 4" xfId="15209" xr:uid="{91A9CFF5-ECDD-4093-BB81-8A469A9D72A2}"/>
    <cellStyle name="Note 2 2 8" xfId="1222" xr:uid="{9546C1D8-5FF5-408B-B7D2-EB7CF98B0226}"/>
    <cellStyle name="Note 2 2 8 2" xfId="3412" xr:uid="{93223238-42BA-439D-852F-28403F5F2E27}"/>
    <cellStyle name="Note 2 2 8 2 2" xfId="17464" xr:uid="{089C0593-0599-4663-8FEE-216D4F855FC8}"/>
    <cellStyle name="Note 2 2 8 3" xfId="15270" xr:uid="{9688A586-54D3-44DF-B415-22551E52496F}"/>
    <cellStyle name="Note 2 2 9" xfId="2313" xr:uid="{DDFA6AF8-0849-4D8B-81AC-AB4B7A076407}"/>
    <cellStyle name="Note 2 2 9 2" xfId="16364" xr:uid="{5FD6D883-1773-44F1-89B3-99EE36A69888}"/>
    <cellStyle name="Note 2 3" xfId="204" xr:uid="{CAAD912B-ABC1-4407-A5D0-D5A61AF217AE}"/>
    <cellStyle name="Note 2 3 2" xfId="381" xr:uid="{D689326A-56CF-4D85-B844-5CEF1F9146FE}"/>
    <cellStyle name="Note 2 3 2 2" xfId="735" xr:uid="{21BFD908-2352-430C-ABA5-5E0CF387B47D}"/>
    <cellStyle name="Note 2 3 2 2 2" xfId="1836" xr:uid="{E1AE0978-BC26-41FF-9356-9BD426580CF1}"/>
    <cellStyle name="Note 2 3 2 2 2 2" xfId="4025" xr:uid="{510313A4-27DE-4DAF-AAA6-CBC18C1A2BCA}"/>
    <cellStyle name="Note 2 3 2 2 2 2 2" xfId="18077" xr:uid="{06EF9AFB-3E4A-424B-9DD6-B79F0E9A0720}"/>
    <cellStyle name="Note 2 3 2 2 2 3" xfId="15885" xr:uid="{DA840F6C-EE7E-41A7-8835-D2A657162DC2}"/>
    <cellStyle name="Note 2 3 2 2 3" xfId="2927" xr:uid="{5061A8A6-08EE-4D89-A658-C50E8A210DC1}"/>
    <cellStyle name="Note 2 3 2 2 3 2" xfId="16979" xr:uid="{C6DFF583-2D40-45D7-9FEC-1F4C9FC93F63}"/>
    <cellStyle name="Note 2 3 2 2 4" xfId="14786" xr:uid="{D2204BAA-E2A3-4604-A0D0-E3EBAE3EAE3D}"/>
    <cellStyle name="Note 2 3 2 3" xfId="1082" xr:uid="{DC3C26FE-86CD-4A79-8E41-05F272843803}"/>
    <cellStyle name="Note 2 3 2 3 2" xfId="2181" xr:uid="{99555BBC-9953-45C2-9172-BC38F77C8BDA}"/>
    <cellStyle name="Note 2 3 2 3 2 2" xfId="4370" xr:uid="{06DBEDCF-B206-495B-9DEB-94AD3A559835}"/>
    <cellStyle name="Note 2 3 2 3 2 2 2" xfId="18420" xr:uid="{47389DA9-4001-4E1F-B23D-3BFA1B74FD60}"/>
    <cellStyle name="Note 2 3 2 3 2 3" xfId="16230" xr:uid="{481798CB-2602-4E0E-A53B-619FB7028799}"/>
    <cellStyle name="Note 2 3 2 3 3" xfId="3274" xr:uid="{C6B2776C-9DBF-41AD-B01C-22C889791133}"/>
    <cellStyle name="Note 2 3 2 3 3 2" xfId="17326" xr:uid="{A2F13920-1E22-4734-8047-AF5779B6011A}"/>
    <cellStyle name="Note 2 3 2 3 4" xfId="15132" xr:uid="{13A37F04-9721-40AC-A608-4BF57A0A8EC1}"/>
    <cellStyle name="Note 2 3 2 4" xfId="1662" xr:uid="{DB7BA858-3B4E-47A5-BC87-EF0B21DEDBF9}"/>
    <cellStyle name="Note 2 3 2 4 2" xfId="3852" xr:uid="{44DF6ECF-A934-46D7-921E-BA5A7E0750EF}"/>
    <cellStyle name="Note 2 3 2 4 2 2" xfId="17905" xr:uid="{8871F7FC-F210-428F-86A8-CCBD6E391623}"/>
    <cellStyle name="Note 2 3 2 4 3" xfId="15711" xr:uid="{EBFD416C-C471-4944-A746-1F6D12A1BE26}"/>
    <cellStyle name="Note 2 3 2 5" xfId="2581" xr:uid="{F33661C6-66A6-4095-8659-E7EE1EAE6340}"/>
    <cellStyle name="Note 2 3 2 5 2" xfId="16632" xr:uid="{8B8E181E-F3CF-4D5C-8674-0DB072B76EF1}"/>
    <cellStyle name="Note 2 3 2 6" xfId="4947" xr:uid="{9CC58C82-4198-46DB-B579-E3174DFD2ECF}"/>
    <cellStyle name="Note 2 3 2 6 2" xfId="18999" xr:uid="{455E8824-9091-428D-8E2C-4C1F353A418E}"/>
    <cellStyle name="Note 2 3 2 7" xfId="14438" xr:uid="{8F75B93F-713F-4A35-A255-129386D0D53A}"/>
    <cellStyle name="Note 2 3 3" xfId="555" xr:uid="{4C7FAA1A-AE2E-4BE4-918C-353060CF29BA}"/>
    <cellStyle name="Note 2 3 3 2" xfId="1488" xr:uid="{6ACECDD6-6FBE-48AC-AE5B-538A123B4F7A}"/>
    <cellStyle name="Note 2 3 3 2 2" xfId="3678" xr:uid="{DA3D9DBE-93BC-4168-8719-E4B74EED918F}"/>
    <cellStyle name="Note 2 3 3 2 2 2" xfId="17731" xr:uid="{C344AC94-2F4A-40BA-952C-268BFE17A6FE}"/>
    <cellStyle name="Note 2 3 3 2 3" xfId="15537" xr:uid="{9952D280-6AC0-4796-A0A5-3B82D6156F2A}"/>
    <cellStyle name="Note 2 3 3 3" xfId="2754" xr:uid="{688AECEE-CBF7-48F8-8335-13729979AB28}"/>
    <cellStyle name="Note 2 3 3 3 2" xfId="16805" xr:uid="{589E6415-9A01-42E3-BA6C-930626B8F3D1}"/>
    <cellStyle name="Note 2 3 3 4" xfId="4773" xr:uid="{53400C6A-1D61-4062-86A1-26628E8F73D5}"/>
    <cellStyle name="Note 2 3 3 4 2" xfId="18825" xr:uid="{7D1B9406-6447-4C0B-B5A2-618D92C00756}"/>
    <cellStyle name="Note 2 3 3 5" xfId="14610" xr:uid="{B687806D-91AC-4AA2-B5EF-ED368E65EE89}"/>
    <cellStyle name="Note 2 3 4" xfId="908" xr:uid="{9985DFA2-FEEF-427A-806C-296AAF6B945E}"/>
    <cellStyle name="Note 2 3 4 2" xfId="2007" xr:uid="{611ACD9E-8170-475E-B9C7-AC96E127DCB8}"/>
    <cellStyle name="Note 2 3 4 2 2" xfId="4196" xr:uid="{AC9443BC-B1D7-4430-938D-F8536F0CB0C9}"/>
    <cellStyle name="Note 2 3 4 2 2 2" xfId="18247" xr:uid="{FE6CFE6C-CD30-470C-A42A-A0C0BEC536C4}"/>
    <cellStyle name="Note 2 3 4 2 3" xfId="16056" xr:uid="{543D5A3D-5DD6-4C9C-B928-C29EE7A33E9E}"/>
    <cellStyle name="Note 2 3 4 3" xfId="3100" xr:uid="{5B1FCD48-36B0-4ED9-B609-B790834F06DC}"/>
    <cellStyle name="Note 2 3 4 3 2" xfId="17152" xr:uid="{90CE25A4-4797-434A-B80E-D7CDEC22A3E9}"/>
    <cellStyle name="Note 2 3 4 4" xfId="14958" xr:uid="{1E9E9710-B222-4313-ABCD-98AA06FF39D2}"/>
    <cellStyle name="Note 2 3 5" xfId="1315" xr:uid="{898F5E73-06C3-4CB2-9841-1E67E5033873}"/>
    <cellStyle name="Note 2 3 5 2" xfId="3506" xr:uid="{A67FC727-38CE-4E71-9EF5-4ABB8570E6FA}"/>
    <cellStyle name="Note 2 3 5 2 2" xfId="17558" xr:uid="{4E2E0EE5-9EFE-4ADE-B7D7-F0E79367EAE5}"/>
    <cellStyle name="Note 2 3 5 3" xfId="15364" xr:uid="{74C097BD-FDD2-40B8-AD56-00580322A60F}"/>
    <cellStyle name="Note 2 3 6" xfId="2407" xr:uid="{81BAC242-7372-4552-AC39-B5CEE72CFE95}"/>
    <cellStyle name="Note 2 3 6 2" xfId="16458" xr:uid="{1BA1D6C2-98F9-4DD1-8D3C-FCBEE7DB871D}"/>
    <cellStyle name="Note 2 3 7" xfId="4600" xr:uid="{933F4DFF-7F3C-4615-B8CD-3228FEFE15FA}"/>
    <cellStyle name="Note 2 3 7 2" xfId="18652" xr:uid="{31B36537-8306-47F3-B127-FC36C8883F6F}"/>
    <cellStyle name="Note 2 3 8" xfId="14263" xr:uid="{91D34BCE-0FE1-43B8-B4A3-D42D201B9A98}"/>
    <cellStyle name="Note 2 4" xfId="147" xr:uid="{8C34F384-F791-466C-AF06-B756E7B440CF}"/>
    <cellStyle name="Note 2 4 2" xfId="324" xr:uid="{9E22DF45-61B2-4656-9E2F-D2692811485B}"/>
    <cellStyle name="Note 2 4 2 2" xfId="678" xr:uid="{662F0B3A-5263-4B0A-A667-055CEDBDBA06}"/>
    <cellStyle name="Note 2 4 2 2 2" xfId="1779" xr:uid="{338EBC19-CBE6-4DDD-9846-FE2B678099BD}"/>
    <cellStyle name="Note 2 4 2 2 2 2" xfId="3968" xr:uid="{A8BE31AA-5D79-4869-B745-4554165C5D14}"/>
    <cellStyle name="Note 2 4 2 2 2 2 2" xfId="18020" xr:uid="{49C15AE5-2AA3-4F8E-843C-FBFB8BB722B9}"/>
    <cellStyle name="Note 2 4 2 2 2 3" xfId="15828" xr:uid="{3379CB90-03D1-4EE7-91A7-DF7D8A6D4FF0}"/>
    <cellStyle name="Note 2 4 2 2 3" xfId="2870" xr:uid="{7484CF22-245F-4AE8-B354-F7F018D92853}"/>
    <cellStyle name="Note 2 4 2 2 3 2" xfId="16922" xr:uid="{0C26259B-0102-489A-9809-E43F9825216F}"/>
    <cellStyle name="Note 2 4 2 2 4" xfId="14729" xr:uid="{24C04283-FD0B-4BED-9B5A-57B19A629AAA}"/>
    <cellStyle name="Note 2 4 2 3" xfId="1025" xr:uid="{585BFA72-C4FE-4D52-904F-DB9BCA9F0237}"/>
    <cellStyle name="Note 2 4 2 3 2" xfId="2124" xr:uid="{63C240CE-613A-4534-B979-584359A8C023}"/>
    <cellStyle name="Note 2 4 2 3 2 2" xfId="4313" xr:uid="{D6C8345F-7B04-4610-BBB5-E8E0CCFD8E8C}"/>
    <cellStyle name="Note 2 4 2 3 2 2 2" xfId="18363" xr:uid="{95155E54-1B46-4D73-BED9-BC6C424C9986}"/>
    <cellStyle name="Note 2 4 2 3 2 3" xfId="16173" xr:uid="{01235C70-ED24-49F4-AC30-D2AFC0BF605F}"/>
    <cellStyle name="Note 2 4 2 3 3" xfId="3217" xr:uid="{7192CB3C-C250-4683-BD0E-83518C5CF5B6}"/>
    <cellStyle name="Note 2 4 2 3 3 2" xfId="17269" xr:uid="{6B33B1FC-F6FE-4F76-B87A-A843BDF96068}"/>
    <cellStyle name="Note 2 4 2 3 4" xfId="15075" xr:uid="{FC27C4DC-51EB-4B4B-957E-E330BCB4E336}"/>
    <cellStyle name="Note 2 4 2 4" xfId="1605" xr:uid="{DBE9A1AA-2938-474E-BB92-9BD840C24B2D}"/>
    <cellStyle name="Note 2 4 2 4 2" xfId="3795" xr:uid="{9B86072D-41BC-4C90-951C-8DA386E98145}"/>
    <cellStyle name="Note 2 4 2 4 2 2" xfId="17848" xr:uid="{70FAC50E-E462-47AB-8FC6-82A4104438DF}"/>
    <cellStyle name="Note 2 4 2 4 3" xfId="15654" xr:uid="{710B6E9F-5E76-490A-8980-306EBD3952FF}"/>
    <cellStyle name="Note 2 4 2 5" xfId="2524" xr:uid="{09B9409D-90FD-44EA-A882-970F3377AE8A}"/>
    <cellStyle name="Note 2 4 2 5 2" xfId="16575" xr:uid="{48A5DA41-9D57-44EA-B291-D32DA818BCAA}"/>
    <cellStyle name="Note 2 4 2 6" xfId="4890" xr:uid="{48B64E50-15D5-40E6-A187-678C624B42E7}"/>
    <cellStyle name="Note 2 4 2 6 2" xfId="18942" xr:uid="{2944EE6A-52B7-4C86-BA22-34FB8EE83895}"/>
    <cellStyle name="Note 2 4 2 7" xfId="14381" xr:uid="{01A29009-F2F0-4072-B532-821560DE3649}"/>
    <cellStyle name="Note 2 4 3" xfId="498" xr:uid="{A6FD9AB4-C7BA-438A-9C81-881FDD3B8FF7}"/>
    <cellStyle name="Note 2 4 3 2" xfId="1431" xr:uid="{AA1B801A-565A-4EEF-8527-C75C1BC3568D}"/>
    <cellStyle name="Note 2 4 3 2 2" xfId="3621" xr:uid="{C620A227-DA3F-4B98-915B-00E42EF37FF8}"/>
    <cellStyle name="Note 2 4 3 2 2 2" xfId="17674" xr:uid="{9BA4A11A-FACE-441F-A5A4-543739413918}"/>
    <cellStyle name="Note 2 4 3 2 3" xfId="15480" xr:uid="{B17710C9-A489-45A1-99AF-BEA8CF370714}"/>
    <cellStyle name="Note 2 4 3 3" xfId="2697" xr:uid="{81D3EF9C-1C52-4092-B455-B660CF21BF87}"/>
    <cellStyle name="Note 2 4 3 3 2" xfId="16748" xr:uid="{55DD5FD1-86C3-4A88-B3A9-67CF1E6D560F}"/>
    <cellStyle name="Note 2 4 3 4" xfId="4716" xr:uid="{4033202E-F458-4DE3-A515-0FDB5F54B04C}"/>
    <cellStyle name="Note 2 4 3 4 2" xfId="18768" xr:uid="{B2D6C4D3-5281-4E5A-B71B-C11ACAD1040B}"/>
    <cellStyle name="Note 2 4 3 5" xfId="14553" xr:uid="{3884EB4A-B5AC-4514-83DF-0A28272281C3}"/>
    <cellStyle name="Note 2 4 4" xfId="851" xr:uid="{DA27716D-8E92-4057-9969-633033F78998}"/>
    <cellStyle name="Note 2 4 4 2" xfId="1950" xr:uid="{3FE83F11-0F50-44D6-A409-9F2CB3DB8C33}"/>
    <cellStyle name="Note 2 4 4 2 2" xfId="4139" xr:uid="{A8E94149-2EAA-4721-9B8F-6688D5C5235C}"/>
    <cellStyle name="Note 2 4 4 2 2 2" xfId="18191" xr:uid="{659B6227-853A-46A6-B9AC-D1958A975543}"/>
    <cellStyle name="Note 2 4 4 2 3" xfId="15999" xr:uid="{D7E645FE-D8EA-4F32-9847-D22D04E0362A}"/>
    <cellStyle name="Note 2 4 4 3" xfId="3043" xr:uid="{C08A99A7-07CF-4902-9B19-AF71BA9B1E9D}"/>
    <cellStyle name="Note 2 4 4 3 2" xfId="17095" xr:uid="{B77F1896-B5CC-4D45-9AD1-31F5D573AB41}"/>
    <cellStyle name="Note 2 4 4 4" xfId="14901" xr:uid="{7C55907D-D656-4204-92FA-2E432B2DB2F5}"/>
    <cellStyle name="Note 2 4 5" xfId="1259" xr:uid="{571200BB-AB67-4BF4-B6F4-6EA1E06A303D}"/>
    <cellStyle name="Note 2 4 5 2" xfId="3449" xr:uid="{1FF02C67-30DB-420F-83EC-A257D0D454B4}"/>
    <cellStyle name="Note 2 4 5 2 2" xfId="17501" xr:uid="{E9926450-73A0-4DE1-8669-5B6ACC22F5AA}"/>
    <cellStyle name="Note 2 4 5 3" xfId="15307" xr:uid="{F4EC5112-10B6-4542-87AE-161849ACADCB}"/>
    <cellStyle name="Note 2 4 6" xfId="2350" xr:uid="{68511751-514B-4143-998F-E3CE9FFA14E4}"/>
    <cellStyle name="Note 2 4 6 2" xfId="16401" xr:uid="{9FFE6AE6-2B36-4B77-B5A2-D8BECFBC5F52}"/>
    <cellStyle name="Note 2 4 7" xfId="4543" xr:uid="{90FB4C58-7B13-4A05-804F-034DAA847DA5}"/>
    <cellStyle name="Note 2 4 7 2" xfId="18595" xr:uid="{D791721F-A1D4-444A-8958-A834916218B5}"/>
    <cellStyle name="Note 2 4 8" xfId="14206" xr:uid="{A3B5DA14-896D-4BB4-96FC-DFC09236E6DF}"/>
    <cellStyle name="Note 2 5" xfId="266" xr:uid="{970EFC0A-3779-4B57-B9DE-5FC2D8C4BF31}"/>
    <cellStyle name="Note 2 5 2" xfId="620" xr:uid="{75222CDC-55D1-480C-AC0D-33258FE31000}"/>
    <cellStyle name="Note 2 5 2 2" xfId="1723" xr:uid="{C0C4FCD6-6630-46EC-B382-067B466D2E80}"/>
    <cellStyle name="Note 2 5 2 2 2" xfId="3911" xr:uid="{165200CB-0345-4032-9EBD-5AD809EA3241}"/>
    <cellStyle name="Note 2 5 2 2 2 2" xfId="17963" xr:uid="{E331D8E5-5E2F-4677-A85B-81B994D45D0B}"/>
    <cellStyle name="Note 2 5 2 2 3" xfId="15771" xr:uid="{47C7028E-780F-429D-BA59-6B8E7621486A}"/>
    <cellStyle name="Note 2 5 2 3" xfId="2814" xr:uid="{C5CECEF4-945F-44CC-98EC-0D1F43DA3924}"/>
    <cellStyle name="Note 2 5 2 3 2" xfId="16865" xr:uid="{46C053C7-4A1F-49E7-B0A8-90EE9315533D}"/>
    <cellStyle name="Note 2 5 2 4" xfId="14671" xr:uid="{6C81FE55-F463-4932-96CA-B3C4374BD925}"/>
    <cellStyle name="Note 2 5 3" xfId="968" xr:uid="{0CECB354-D6AF-4356-A80E-A96858620BCF}"/>
    <cellStyle name="Note 2 5 3 2" xfId="2067" xr:uid="{568118B4-A660-4A22-8C42-3203CA21DDCA}"/>
    <cellStyle name="Note 2 5 3 2 2" xfId="4256" xr:uid="{0D8E5D12-A5D8-45EB-9910-924458F2572A}"/>
    <cellStyle name="Note 2 5 3 2 2 2" xfId="18307" xr:uid="{BE1088FE-76B3-4A0F-9CBE-AF632D7C2E7A}"/>
    <cellStyle name="Note 2 5 3 2 3" xfId="16116" xr:uid="{71658FE8-A4B2-4A61-AF36-CF7FB7C5F667}"/>
    <cellStyle name="Note 2 5 3 3" xfId="3160" xr:uid="{52AFA5B2-D4B5-47F0-81AA-7D6CA517C159}"/>
    <cellStyle name="Note 2 5 3 3 2" xfId="17212" xr:uid="{D3FE78EC-0303-45AA-8993-4D975DE227DA}"/>
    <cellStyle name="Note 2 5 3 4" xfId="15018" xr:uid="{72CE488F-70E1-4F43-9E21-3AB919F24537}"/>
    <cellStyle name="Note 2 5 4" xfId="1548" xr:uid="{14001859-C090-4A7E-B92C-14F77ADA2C4D}"/>
    <cellStyle name="Note 2 5 4 2" xfId="3738" xr:uid="{EC1460CC-DB2D-480D-9F2F-F8AC53E5F2E8}"/>
    <cellStyle name="Note 2 5 4 2 2" xfId="17791" xr:uid="{2B85761E-F4F2-42F6-BA7B-4D411C3DEB58}"/>
    <cellStyle name="Note 2 5 4 3" xfId="15597" xr:uid="{912F56D1-DF4C-431C-A749-FF8129517D59}"/>
    <cellStyle name="Note 2 5 5" xfId="2467" xr:uid="{B241BEE9-0AD0-42EE-AD2A-05BE09BBB063}"/>
    <cellStyle name="Note 2 5 5 2" xfId="16518" xr:uid="{F8A4B48D-6011-433C-A8A9-AF59FBEDFBC2}"/>
    <cellStyle name="Note 2 5 6" xfId="4833" xr:uid="{94B3F423-9750-4D76-894A-2789C2A09E25}"/>
    <cellStyle name="Note 2 5 6 2" xfId="18885" xr:uid="{ED1CABC9-B5F5-415D-AF73-B1EB62F01F4B}"/>
    <cellStyle name="Note 2 5 7" xfId="14323" xr:uid="{EC38E8DA-ED22-4EA0-BC58-C2B424E5D39F}"/>
    <cellStyle name="Note 2 6" xfId="441" xr:uid="{D9EA81F0-5100-4D71-932F-5F9C5E020C6F}"/>
    <cellStyle name="Note 2 6 2" xfId="1374" xr:uid="{B9C2F952-BC19-4B28-9C2D-CF856E599F45}"/>
    <cellStyle name="Note 2 6 2 2" xfId="3564" xr:uid="{9FD53350-70DE-4C99-AD28-5F20C3C6BEBE}"/>
    <cellStyle name="Note 2 6 2 2 2" xfId="17617" xr:uid="{F9E40DD8-5817-4444-838E-81BDE826982C}"/>
    <cellStyle name="Note 2 6 2 3" xfId="15423" xr:uid="{63D28281-260A-46B9-8AA3-BF7324B48F20}"/>
    <cellStyle name="Note 2 6 3" xfId="2640" xr:uid="{2A50937B-FA38-4EAE-87D3-7684CFDF3A49}"/>
    <cellStyle name="Note 2 6 3 2" xfId="16691" xr:uid="{A3DFDF2C-E95D-4A97-B457-A02316C6A29F}"/>
    <cellStyle name="Note 2 6 4" xfId="4659" xr:uid="{11FF0045-E618-4DBC-B6A4-E03AD75BCB68}"/>
    <cellStyle name="Note 2 6 4 2" xfId="18711" xr:uid="{F81AC4E7-82D7-47A8-998F-0B611F81DECE}"/>
    <cellStyle name="Note 2 6 5" xfId="14496" xr:uid="{9A7671D0-4C53-487C-AA13-1895AE992AD4}"/>
    <cellStyle name="Note 2 7" xfId="794" xr:uid="{3252D43D-4962-4F1D-8211-308F105A9BAC}"/>
    <cellStyle name="Note 2 7 2" xfId="1894" xr:uid="{9016A14C-1F60-4F2E-ACE8-7CF7932F3F24}"/>
    <cellStyle name="Note 2 7 2 2" xfId="4083" xr:uid="{4863BE3B-F2DB-4193-9A1E-E1969E53A77E}"/>
    <cellStyle name="Note 2 7 2 2 2" xfId="18135" xr:uid="{E8494E92-1723-4951-9407-7CACEBF45DB1}"/>
    <cellStyle name="Note 2 7 2 3" xfId="15943" xr:uid="{6BFCD532-2835-4217-B250-DA8C3B4FE5D5}"/>
    <cellStyle name="Note 2 7 3" xfId="2986" xr:uid="{7837F898-EAEC-4F24-A810-65FE3CFB4E3C}"/>
    <cellStyle name="Note 2 7 3 2" xfId="17038" xr:uid="{78223159-C9BD-453C-BCF8-98E661A8E6F8}"/>
    <cellStyle name="Note 2 7 4" xfId="14844" xr:uid="{CDA67D12-B73B-4180-90DE-DBF96EB941D5}"/>
    <cellStyle name="Note 2 8" xfId="1138" xr:uid="{666ADFFB-F2F5-40CA-B552-7F9B393B469C}"/>
    <cellStyle name="Note 2 8 2" xfId="2238" xr:uid="{361BEB27-0D66-4C00-B1FD-D4F544C2B81A}"/>
    <cellStyle name="Note 2 8 2 2" xfId="4427" xr:uid="{CBAF133F-CB54-4C97-9136-DD6B36FD15BD}"/>
    <cellStyle name="Note 2 8 2 2 2" xfId="18477" xr:uid="{AB5049DE-9D04-4B3B-8D08-DBF7388934BA}"/>
    <cellStyle name="Note 2 8 2 3" xfId="16287" xr:uid="{265E09FB-F3B8-4B20-B2AC-E350BA7EF649}"/>
    <cellStyle name="Note 2 8 3" xfId="3331" xr:uid="{0947DD40-FF40-41E5-89E2-E0CDFDBF7D5A}"/>
    <cellStyle name="Note 2 8 3 2" xfId="17383" xr:uid="{8BAFE0A3-0770-4BC5-AC74-2DB62899A8A2}"/>
    <cellStyle name="Note 2 8 4" xfId="15189" xr:uid="{F5BC2E26-9C20-4519-9590-83487EA66424}"/>
    <cellStyle name="Note 2 9" xfId="1202" xr:uid="{D57010CF-DF54-4B7D-8D60-DB86BA20FE0B}"/>
    <cellStyle name="Note 2 9 2" xfId="3392" xr:uid="{7BF5AADF-C2E2-4136-9B43-4CE878D216FD}"/>
    <cellStyle name="Note 2 9 2 2" xfId="17444" xr:uid="{62ECA6B3-2295-4AB8-95FF-57E2707113AD}"/>
    <cellStyle name="Note 2 9 3" xfId="15250" xr:uid="{E88406E8-8936-49ED-A18F-290F57DD5511}"/>
    <cellStyle name="Note 3" xfId="117" xr:uid="{2419F39C-5BB5-41B5-9220-A0A6F01CB5A7}"/>
    <cellStyle name="Note 3 10" xfId="4515" xr:uid="{FB6C2E51-698A-4349-99C8-800A80742542}"/>
    <cellStyle name="Note 3 10 2" xfId="18566" xr:uid="{0DDC931F-389A-4959-93EB-03C03CF326A1}"/>
    <cellStyle name="Note 3 11" xfId="14177" xr:uid="{A0440BCD-EFE2-438F-B8F9-B321F9FA4DEE}"/>
    <cellStyle name="Note 3 2" xfId="232" xr:uid="{52B7B11C-51A6-4734-BBE1-988BD97BA99B}"/>
    <cellStyle name="Note 3 2 2" xfId="409" xr:uid="{E4756E98-5CDF-4918-9B27-26390B9FB058}"/>
    <cellStyle name="Note 3 2 2 2" xfId="763" xr:uid="{077F76D3-F50F-43A0-967F-15CD9EE674DC}"/>
    <cellStyle name="Note 3 2 2 2 2" xfId="1864" xr:uid="{1615E5BB-3D7C-4797-91C5-F4A417B8B99F}"/>
    <cellStyle name="Note 3 2 2 2 2 2" xfId="4053" xr:uid="{DCFDBB60-0FCE-4943-9483-8B5D5CCF27AB}"/>
    <cellStyle name="Note 3 2 2 2 2 2 2" xfId="18105" xr:uid="{A28986E8-8E74-4E78-B8AE-37C3C12A9CD2}"/>
    <cellStyle name="Note 3 2 2 2 2 3" xfId="15913" xr:uid="{6115E8C9-C072-4C32-BCFC-84618E6E69CA}"/>
    <cellStyle name="Note 3 2 2 2 3" xfId="2955" xr:uid="{0C8BB5C9-54CD-4108-8F87-2314882D7D45}"/>
    <cellStyle name="Note 3 2 2 2 3 2" xfId="17007" xr:uid="{B69E5235-88E5-45C4-BD6F-81CBE7D3C5B5}"/>
    <cellStyle name="Note 3 2 2 2 4" xfId="14814" xr:uid="{4F7747AE-80F3-437F-A6CD-29B86134FECB}"/>
    <cellStyle name="Note 3 2 2 3" xfId="1110" xr:uid="{87426546-B184-482A-BD74-157BF5A9B881}"/>
    <cellStyle name="Note 3 2 2 3 2" xfId="2209" xr:uid="{4131D3D6-CE71-47FA-A98F-6A7DEE3E483C}"/>
    <cellStyle name="Note 3 2 2 3 2 2" xfId="4398" xr:uid="{FF26F64E-F353-4306-B8C0-6C51DDA5E604}"/>
    <cellStyle name="Note 3 2 2 3 2 2 2" xfId="18448" xr:uid="{296E26B5-BFA4-40E8-8B64-F8D9A11F548D}"/>
    <cellStyle name="Note 3 2 2 3 2 3" xfId="16258" xr:uid="{72B3A331-4FE6-45A6-B7E6-A37E5F6CD471}"/>
    <cellStyle name="Note 3 2 2 3 3" xfId="3302" xr:uid="{DC0B4AE8-45FE-4DEA-A0A7-4F88D8365EF7}"/>
    <cellStyle name="Note 3 2 2 3 3 2" xfId="17354" xr:uid="{C76F303E-DB51-4EA4-A502-E15DDE3F55B6}"/>
    <cellStyle name="Note 3 2 2 3 4" xfId="15160" xr:uid="{15346099-7B59-4FE1-B6CB-519CBA406D74}"/>
    <cellStyle name="Note 3 2 2 4" xfId="1690" xr:uid="{650A5E32-B5E6-4CB3-B5F3-D35491CCBF7E}"/>
    <cellStyle name="Note 3 2 2 4 2" xfId="3880" xr:uid="{B77E46C6-3A95-40B5-A2C5-A3932D77B223}"/>
    <cellStyle name="Note 3 2 2 4 2 2" xfId="17933" xr:uid="{D12A9FBB-D8DF-4F76-9BC9-4E7E71CD7305}"/>
    <cellStyle name="Note 3 2 2 4 3" xfId="15739" xr:uid="{C6880BD6-46C3-4870-BD58-1D204943C822}"/>
    <cellStyle name="Note 3 2 2 5" xfId="2609" xr:uid="{30FDFEF5-AD11-4C02-8C4E-709B4567DEE5}"/>
    <cellStyle name="Note 3 2 2 5 2" xfId="16660" xr:uid="{92BA2DA1-1C63-433E-81F0-5D6C0DA9722C}"/>
    <cellStyle name="Note 3 2 2 6" xfId="4975" xr:uid="{F2888E7F-C336-4311-9862-D4568BE9E535}"/>
    <cellStyle name="Note 3 2 2 6 2" xfId="19027" xr:uid="{9816C57E-7D9C-4644-9F1F-0FC68E733BC0}"/>
    <cellStyle name="Note 3 2 2 7" xfId="14466" xr:uid="{F994D339-12E6-44A0-A801-0E7CEE775E1A}"/>
    <cellStyle name="Note 3 2 3" xfId="583" xr:uid="{39CBA73D-8494-4E3F-BEC7-23A68BEE6613}"/>
    <cellStyle name="Note 3 2 3 2" xfId="1516" xr:uid="{02E3EC14-79AD-4EB9-81C6-4B0E438080F7}"/>
    <cellStyle name="Note 3 2 3 2 2" xfId="3706" xr:uid="{00D04366-944A-45B2-BFD5-EE67D8AC82B6}"/>
    <cellStyle name="Note 3 2 3 2 2 2" xfId="17759" xr:uid="{26C8E588-CEC3-4BE3-9DA2-FC60274AA6DB}"/>
    <cellStyle name="Note 3 2 3 2 3" xfId="15565" xr:uid="{7066270B-B383-4831-AA58-39B445068D36}"/>
    <cellStyle name="Note 3 2 3 3" xfId="2782" xr:uid="{878BC14F-AA30-4DFE-99FE-0230CEC394FC}"/>
    <cellStyle name="Note 3 2 3 3 2" xfId="16833" xr:uid="{78C32FE7-372A-4D31-88AF-D7EFB0A30AFC}"/>
    <cellStyle name="Note 3 2 3 4" xfId="4801" xr:uid="{6FBDE777-7AD2-4703-8BCA-4F061E0C7752}"/>
    <cellStyle name="Note 3 2 3 4 2" xfId="18853" xr:uid="{F4EE9123-D516-456F-AA13-C0C9E9A96048}"/>
    <cellStyle name="Note 3 2 3 5" xfId="14638" xr:uid="{3F1128E3-359A-4FBE-B0D7-CEF60AAC3847}"/>
    <cellStyle name="Note 3 2 4" xfId="936" xr:uid="{5B72DD00-CB36-49A9-89FC-D1225F7AF4DF}"/>
    <cellStyle name="Note 3 2 4 2" xfId="2035" xr:uid="{5582EDEE-D9AD-4DC2-AFE3-0CEB04D9E801}"/>
    <cellStyle name="Note 3 2 4 2 2" xfId="4224" xr:uid="{C12D34A2-0095-49EF-9A3B-8B7719EAAE16}"/>
    <cellStyle name="Note 3 2 4 2 2 2" xfId="18275" xr:uid="{737DD32E-BB46-470F-8141-052C793E7C11}"/>
    <cellStyle name="Note 3 2 4 2 3" xfId="16084" xr:uid="{C511E122-71F0-4219-9F55-7635BFEB7B16}"/>
    <cellStyle name="Note 3 2 4 3" xfId="3128" xr:uid="{A8A9D245-76F1-45C3-9A3D-A76792AA8D89}"/>
    <cellStyle name="Note 3 2 4 3 2" xfId="17180" xr:uid="{2D3C314B-CAF6-4AF6-8BB9-07B36E90AC53}"/>
    <cellStyle name="Note 3 2 4 4" xfId="14986" xr:uid="{2E585A15-1598-4BAA-B239-6F9B624AF15A}"/>
    <cellStyle name="Note 3 2 5" xfId="1343" xr:uid="{6581D27C-75ED-42D1-A15B-15D31A72DFFF}"/>
    <cellStyle name="Note 3 2 5 2" xfId="3534" xr:uid="{68CE6383-5D4B-4FEF-9D29-591CF1022F58}"/>
    <cellStyle name="Note 3 2 5 2 2" xfId="17586" xr:uid="{51324A75-9954-4730-84D3-64FD9762584D}"/>
    <cellStyle name="Note 3 2 5 3" xfId="15392" xr:uid="{761B9F77-B86F-4BBB-AA05-89E693779C2D}"/>
    <cellStyle name="Note 3 2 6" xfId="2435" xr:uid="{A383D47B-642E-4514-854E-617BD5839F58}"/>
    <cellStyle name="Note 3 2 6 2" xfId="16486" xr:uid="{2888C5D5-70E1-4CDE-BCC3-4F4BDC518261}"/>
    <cellStyle name="Note 3 2 7" xfId="4628" xr:uid="{A4A9E9D5-64EA-4A91-963A-E24B105D855B}"/>
    <cellStyle name="Note 3 2 7 2" xfId="18680" xr:uid="{5BD21BE8-5FAF-4057-8933-06FC3D0C6E16}"/>
    <cellStyle name="Note 3 2 8" xfId="14291" xr:uid="{30F6627D-141D-4D70-A272-136D08D5F89E}"/>
    <cellStyle name="Note 3 3" xfId="175" xr:uid="{D3ED6327-D511-4E1A-9EAF-6C3E645B91BE}"/>
    <cellStyle name="Note 3 3 2" xfId="352" xr:uid="{FF8C6867-CAE2-4837-B119-0AA4F7F1822B}"/>
    <cellStyle name="Note 3 3 2 2" xfId="706" xr:uid="{7203770B-FC0D-4FC5-A4FC-1A051784E88C}"/>
    <cellStyle name="Note 3 3 2 2 2" xfId="1807" xr:uid="{57B495E1-E416-41B8-884E-B1ED2C15162E}"/>
    <cellStyle name="Note 3 3 2 2 2 2" xfId="3996" xr:uid="{D1383BA5-624C-41C2-9B78-3093D8AC3AD2}"/>
    <cellStyle name="Note 3 3 2 2 2 2 2" xfId="18048" xr:uid="{09E5DBD1-1FA8-43C5-966B-FD118F29E0D4}"/>
    <cellStyle name="Note 3 3 2 2 2 3" xfId="15856" xr:uid="{ED4AF8CD-A800-418D-A3EF-6202463A896E}"/>
    <cellStyle name="Note 3 3 2 2 3" xfId="2898" xr:uid="{BBF399C6-414C-4D72-940D-4F4C19FAC2BC}"/>
    <cellStyle name="Note 3 3 2 2 3 2" xfId="16950" xr:uid="{9232F546-3B5E-406D-A1AF-B4813C1EAE2D}"/>
    <cellStyle name="Note 3 3 2 2 4" xfId="14757" xr:uid="{1ABD8103-3E01-40BE-B8FB-143158A7489F}"/>
    <cellStyle name="Note 3 3 2 3" xfId="1053" xr:uid="{C5B4A8BE-1F88-400E-B5BC-3164545D83CC}"/>
    <cellStyle name="Note 3 3 2 3 2" xfId="2152" xr:uid="{65EE6E99-56A0-4094-912C-CC83D3C8D60F}"/>
    <cellStyle name="Note 3 3 2 3 2 2" xfId="4341" xr:uid="{EC92E729-68C6-49D5-8111-BE26F2BFEC8C}"/>
    <cellStyle name="Note 3 3 2 3 2 2 2" xfId="18391" xr:uid="{76E5D4A5-0FD5-4C19-A5E5-7AE38366DA4D}"/>
    <cellStyle name="Note 3 3 2 3 2 3" xfId="16201" xr:uid="{6676B77A-BABB-43B5-8176-E89363BDC996}"/>
    <cellStyle name="Note 3 3 2 3 3" xfId="3245" xr:uid="{C7FB6AA8-15BF-4158-808E-B69E132CF566}"/>
    <cellStyle name="Note 3 3 2 3 3 2" xfId="17297" xr:uid="{4AAE5C9D-4613-4170-865B-90D1A466A35C}"/>
    <cellStyle name="Note 3 3 2 3 4" xfId="15103" xr:uid="{B598DCEC-03EF-4BCB-9601-672D7EE5AD85}"/>
    <cellStyle name="Note 3 3 2 4" xfId="1633" xr:uid="{01F38590-2708-4ADA-98D8-FE5EF4D6445E}"/>
    <cellStyle name="Note 3 3 2 4 2" xfId="3823" xr:uid="{45A7FC53-8709-4C8E-9050-33411689A8CE}"/>
    <cellStyle name="Note 3 3 2 4 2 2" xfId="17876" xr:uid="{1161198E-FAD5-404B-9AA8-5B511DA16DE1}"/>
    <cellStyle name="Note 3 3 2 4 3" xfId="15682" xr:uid="{D30E022C-C4C5-433C-A414-87B9F7272741}"/>
    <cellStyle name="Note 3 3 2 5" xfId="2552" xr:uid="{FA83018A-8B5D-48FA-AEF1-3894431D88CB}"/>
    <cellStyle name="Note 3 3 2 5 2" xfId="16603" xr:uid="{4EE807E3-0393-46CC-958E-7619C27E7117}"/>
    <cellStyle name="Note 3 3 2 6" xfId="4918" xr:uid="{377170D9-9149-452B-9AD1-757A76DCAD47}"/>
    <cellStyle name="Note 3 3 2 6 2" xfId="18970" xr:uid="{4CF87EB3-4FB1-44D4-8391-7D0AE45FC00A}"/>
    <cellStyle name="Note 3 3 2 7" xfId="14409" xr:uid="{F0B9BEF8-FAF7-4FFF-A6DB-D2556EDC3488}"/>
    <cellStyle name="Note 3 3 3" xfId="526" xr:uid="{395C7C1C-6279-4AAB-813B-023597C09B72}"/>
    <cellStyle name="Note 3 3 3 2" xfId="1459" xr:uid="{880C5F0E-A75F-448F-AEDD-A12B2D794D42}"/>
    <cellStyle name="Note 3 3 3 2 2" xfId="3649" xr:uid="{F5D1A6FB-67B6-4198-B3A2-BCEF4E7C36F9}"/>
    <cellStyle name="Note 3 3 3 2 2 2" xfId="17702" xr:uid="{39366F61-0C52-4E2F-BB9C-9C0D3ED3A514}"/>
    <cellStyle name="Note 3 3 3 2 3" xfId="15508" xr:uid="{AD8C14A8-E211-4767-8558-091FF3F043DA}"/>
    <cellStyle name="Note 3 3 3 3" xfId="2725" xr:uid="{F441D25C-252E-471C-A24E-864A5EAE90EA}"/>
    <cellStyle name="Note 3 3 3 3 2" xfId="16776" xr:uid="{0325E0B0-1B5B-40CF-A148-3A342952140B}"/>
    <cellStyle name="Note 3 3 3 4" xfId="4744" xr:uid="{4D9F32FE-C2B4-4164-8487-EA2FBB158B61}"/>
    <cellStyle name="Note 3 3 3 4 2" xfId="18796" xr:uid="{21DBDAE2-88D1-407E-AAC0-0507C54B2CFA}"/>
    <cellStyle name="Note 3 3 3 5" xfId="14581" xr:uid="{ECF5CCFA-9220-401B-9D25-52DACA7BB8AB}"/>
    <cellStyle name="Note 3 3 4" xfId="879" xr:uid="{5FB95B2F-449A-4D5F-80CD-9A487D3D08D3}"/>
    <cellStyle name="Note 3 3 4 2" xfId="1978" xr:uid="{2D166B57-1BB1-4F5D-9F98-FE99C79FCCBC}"/>
    <cellStyle name="Note 3 3 4 2 2" xfId="4167" xr:uid="{9144C0E3-3247-40D0-884E-C01ACE5B7BBE}"/>
    <cellStyle name="Note 3 3 4 2 2 2" xfId="18218" xr:uid="{DF55A97B-093F-41D0-AE84-E0C60375C556}"/>
    <cellStyle name="Note 3 3 4 2 3" xfId="16027" xr:uid="{8568172C-87DE-43A7-9FD3-6F13EC0A23E9}"/>
    <cellStyle name="Note 3 3 4 3" xfId="3071" xr:uid="{D94F17D0-5143-443B-BFA0-011D5406A648}"/>
    <cellStyle name="Note 3 3 4 3 2" xfId="17123" xr:uid="{52FA7CAD-9272-45F0-87E1-C010A58B98C5}"/>
    <cellStyle name="Note 3 3 4 4" xfId="14929" xr:uid="{D95D758B-1889-4D93-AAA0-65B6D85C01CC}"/>
    <cellStyle name="Note 3 3 5" xfId="1287" xr:uid="{66E51A87-035B-4640-B32B-0CA992CE6746}"/>
    <cellStyle name="Note 3 3 5 2" xfId="3477" xr:uid="{8F7DCA2D-4AE6-4B17-A6CE-203B77E56A73}"/>
    <cellStyle name="Note 3 3 5 2 2" xfId="17529" xr:uid="{8C4C759F-3A4F-48EC-87A1-5E7983DDBD6C}"/>
    <cellStyle name="Note 3 3 5 3" xfId="15335" xr:uid="{7D053B1F-5358-4A2A-AB5A-0C0616DA1ACB}"/>
    <cellStyle name="Note 3 3 6" xfId="2378" xr:uid="{4C47AE0A-77CA-4C45-B2A2-1E735B30930E}"/>
    <cellStyle name="Note 3 3 6 2" xfId="16429" xr:uid="{F03B09FC-2D81-4693-8119-432F0E957893}"/>
    <cellStyle name="Note 3 3 7" xfId="4571" xr:uid="{55FF4A07-BB38-4044-A7BE-5930C452563F}"/>
    <cellStyle name="Note 3 3 7 2" xfId="18623" xr:uid="{FDB36991-9AFB-4FA8-9ECF-E61984BC7ECB}"/>
    <cellStyle name="Note 3 3 8" xfId="14234" xr:uid="{CFD29D3A-9A77-4391-BDAC-E0CFB3C86DD7}"/>
    <cellStyle name="Note 3 4" xfId="295" xr:uid="{1743EA56-290F-46DE-9CF8-33A2EA9EBF08}"/>
    <cellStyle name="Note 3 4 2" xfId="649" xr:uid="{BD94673C-019F-44C4-B618-F6473BF3093E}"/>
    <cellStyle name="Note 3 4 2 2" xfId="1751" xr:uid="{19C89D9B-4CA6-4B63-B937-22D820EF7798}"/>
    <cellStyle name="Note 3 4 2 2 2" xfId="3939" xr:uid="{46FFCE53-3D97-4C19-AF50-083CA1F041C3}"/>
    <cellStyle name="Note 3 4 2 2 2 2" xfId="17991" xr:uid="{670D9FE4-D70A-4222-8379-BF24DD9B99DE}"/>
    <cellStyle name="Note 3 4 2 2 3" xfId="15799" xr:uid="{1DAEACD4-D1A3-481B-9BE6-5468CB1E3A86}"/>
    <cellStyle name="Note 3 4 2 3" xfId="2842" xr:uid="{7B337B94-8CC7-4937-915C-1C60F7C3278E}"/>
    <cellStyle name="Note 3 4 2 3 2" xfId="16893" xr:uid="{7EBF0EBA-F209-4A78-BA18-A0D1A05E0EE8}"/>
    <cellStyle name="Note 3 4 2 4" xfId="14700" xr:uid="{00605481-361F-4B1E-99D8-F6FEC21EE92E}"/>
    <cellStyle name="Note 3 4 3" xfId="996" xr:uid="{2B4ECA70-DB04-48FE-A41F-CA8BB47EE00B}"/>
    <cellStyle name="Note 3 4 3 2" xfId="2095" xr:uid="{85CECEAC-6889-43F3-9D87-E5DA37E08005}"/>
    <cellStyle name="Note 3 4 3 2 2" xfId="4284" xr:uid="{C2F100AE-96BD-41AC-A152-8009FB241A84}"/>
    <cellStyle name="Note 3 4 3 2 2 2" xfId="18335" xr:uid="{255D7F79-D5A5-45F0-BC35-71465C686193}"/>
    <cellStyle name="Note 3 4 3 2 3" xfId="16144" xr:uid="{77F248A4-406E-4EA7-81FA-623018C2F672}"/>
    <cellStyle name="Note 3 4 3 3" xfId="3188" xr:uid="{8E48CDF7-6C54-49FF-85A9-1E0EF516E160}"/>
    <cellStyle name="Note 3 4 3 3 2" xfId="17240" xr:uid="{F85C2F4E-0359-46C9-B1A5-74C1248BA1D1}"/>
    <cellStyle name="Note 3 4 3 4" xfId="15046" xr:uid="{C63D9224-A868-4F9D-AD28-E55925A86EA3}"/>
    <cellStyle name="Note 3 4 4" xfId="1576" xr:uid="{216E304E-C437-40E5-85E5-41E5C5F6560E}"/>
    <cellStyle name="Note 3 4 4 2" xfId="3766" xr:uid="{ADA0713C-8077-4C6E-AEAC-20940B4CDE78}"/>
    <cellStyle name="Note 3 4 4 2 2" xfId="17819" xr:uid="{1E139C9A-9759-4251-993F-533E9AFB9B50}"/>
    <cellStyle name="Note 3 4 4 3" xfId="15625" xr:uid="{D4098332-C976-4628-9A68-64DE9221F593}"/>
    <cellStyle name="Note 3 4 5" xfId="2495" xr:uid="{03C98CF3-156B-4F74-9DE2-8C69D38F78D6}"/>
    <cellStyle name="Note 3 4 5 2" xfId="16546" xr:uid="{A7D597F1-17CA-450B-9563-399A35092668}"/>
    <cellStyle name="Note 3 4 6" xfId="4861" xr:uid="{2692F49D-330A-4188-840D-1A484D74F4D8}"/>
    <cellStyle name="Note 3 4 6 2" xfId="18913" xr:uid="{63D22E4F-D884-4F46-A8B7-721941CC0E40}"/>
    <cellStyle name="Note 3 4 7" xfId="14352" xr:uid="{5AF1F211-D03B-4828-A68E-3A48420319EB}"/>
    <cellStyle name="Note 3 5" xfId="469" xr:uid="{E0098F03-46E2-45B2-A28D-B77BC1A69828}"/>
    <cellStyle name="Note 3 5 2" xfId="1402" xr:uid="{F466AD4D-82AE-4047-BCCA-9839464DA469}"/>
    <cellStyle name="Note 3 5 2 2" xfId="3592" xr:uid="{1524CED7-80D7-4757-9E2E-D1F610B705D5}"/>
    <cellStyle name="Note 3 5 2 2 2" xfId="17645" xr:uid="{F0F29A6C-C5E1-4D8C-B1BD-F36206609FE7}"/>
    <cellStyle name="Note 3 5 2 3" xfId="15451" xr:uid="{75D2FE19-455F-452C-BBBB-ED9404F5600D}"/>
    <cellStyle name="Note 3 5 3" xfId="2668" xr:uid="{292D1876-263C-4A6B-A22F-7D84C9702ED1}"/>
    <cellStyle name="Note 3 5 3 2" xfId="16719" xr:uid="{18BC7680-A6AD-4806-8E87-95B91281F1A3}"/>
    <cellStyle name="Note 3 5 4" xfId="4687" xr:uid="{4C00F679-B795-456A-A5C6-3C4EFE69A2C9}"/>
    <cellStyle name="Note 3 5 4 2" xfId="18739" xr:uid="{3E56D058-73A3-481D-86D0-AE9E4BD10A06}"/>
    <cellStyle name="Note 3 5 5" xfId="14524" xr:uid="{4B9B8397-890F-438D-9B45-8BE920783552}"/>
    <cellStyle name="Note 3 6" xfId="822" xr:uid="{08465723-7374-4A15-8B39-AC99FB121D5C}"/>
    <cellStyle name="Note 3 6 2" xfId="1921" xr:uid="{202A8D9F-21E0-4071-8CCF-C856E3C9133F}"/>
    <cellStyle name="Note 3 6 2 2" xfId="4110" xr:uid="{1EBCC325-A341-4547-93C4-3F75002C4A59}"/>
    <cellStyle name="Note 3 6 2 2 2" xfId="18162" xr:uid="{AB5D15B1-B4DA-4848-A925-14EADAB63418}"/>
    <cellStyle name="Note 3 6 2 3" xfId="15970" xr:uid="{7C3BDBAC-A997-4F11-96A1-9869C7663657}"/>
    <cellStyle name="Note 3 6 3" xfId="3014" xr:uid="{CC57BE72-C3D6-4D71-B370-8ECEA59C13AE}"/>
    <cellStyle name="Note 3 6 3 2" xfId="17066" xr:uid="{F26FCA12-8529-4CCE-B9A9-27F3A55E0A6D}"/>
    <cellStyle name="Note 3 6 4" xfId="14872" xr:uid="{E0F74D71-9BE8-4986-84D3-068D3909D588}"/>
    <cellStyle name="Note 3 7" xfId="1166" xr:uid="{A3BA2D39-56B6-47CE-8657-DE9317CF7C96}"/>
    <cellStyle name="Note 3 7 2" xfId="2265" xr:uid="{F26B9DA0-5297-4C7A-B9C4-C7D4E9583ED9}"/>
    <cellStyle name="Note 3 7 2 2" xfId="4454" xr:uid="{29703881-DB6A-45DA-92C9-0D2B43DC5686}"/>
    <cellStyle name="Note 3 7 2 2 2" xfId="18505" xr:uid="{8C37863A-7F7C-48BD-B5D5-FAAAF9286C98}"/>
    <cellStyle name="Note 3 7 2 3" xfId="16315" xr:uid="{9D733AC7-2192-4EC5-9A88-EDB6ADB67C31}"/>
    <cellStyle name="Note 3 7 3" xfId="3359" xr:uid="{A8415C5E-B578-4EC0-A2A2-AB124907BC7C}"/>
    <cellStyle name="Note 3 7 3 2" xfId="17411" xr:uid="{1E811DCB-B74A-423D-8D5F-18DCDD8F95F5}"/>
    <cellStyle name="Note 3 7 4" xfId="15217" xr:uid="{F8E868BC-4A1D-4864-BAF1-DE78D4C404A0}"/>
    <cellStyle name="Note 3 8" xfId="1230" xr:uid="{437532DB-CB8A-41AB-892E-25A5394383E6}"/>
    <cellStyle name="Note 3 8 2" xfId="3420" xr:uid="{BD2287F4-A528-496E-A54E-0ECD4F815980}"/>
    <cellStyle name="Note 3 8 2 2" xfId="17472" xr:uid="{0D783752-4A7A-44FF-8632-20B4A5A51705}"/>
    <cellStyle name="Note 3 8 3" xfId="15278" xr:uid="{02514243-404C-4F09-A583-D114C834C272}"/>
    <cellStyle name="Note 3 9" xfId="2321" xr:uid="{ABBF2E93-F3CC-4784-9767-4D0B14D4EB97}"/>
    <cellStyle name="Note 3 9 2" xfId="16372" xr:uid="{298F6FD3-A9FD-497F-A444-893266848CF0}"/>
    <cellStyle name="Note 4" xfId="247" xr:uid="{3AA9FD5C-08A4-4920-89F5-377A446B5447}"/>
    <cellStyle name="Note 4 2" xfId="601" xr:uid="{FAD34B56-6FB9-4E48-A636-FC42CE72EAC5}"/>
    <cellStyle name="Note 4 2 2" xfId="1706" xr:uid="{335860D1-D365-478E-9C89-AF0DB7243186}"/>
    <cellStyle name="Note 4 2 2 2" xfId="3894" xr:uid="{5F3BD5CD-1232-4DB2-8B6B-4E2CBB6C7E37}"/>
    <cellStyle name="Note 4 2 2 2 2" xfId="17946" xr:uid="{31829A0B-A679-40DA-8782-F6BF6989DAA7}"/>
    <cellStyle name="Note 4 2 2 3" xfId="15754" xr:uid="{88112B82-B509-4ED1-9321-0B8A169B18C5}"/>
    <cellStyle name="Note 4 2 3" xfId="2797" xr:uid="{9C2CCB59-A3CF-42BC-9783-431B281AF993}"/>
    <cellStyle name="Note 4 2 3 2" xfId="16848" xr:uid="{0348A72C-0F74-4490-903E-E6C495F45D9B}"/>
    <cellStyle name="Note 4 2 4" xfId="14654" xr:uid="{2BB9FF4E-2935-4A07-A643-5F8AEA5F30AD}"/>
    <cellStyle name="Note 4 3" xfId="951" xr:uid="{26C8BD39-88B9-4980-A47F-3CD87FA2AE8A}"/>
    <cellStyle name="Note 4 3 2" xfId="2050" xr:uid="{7C2FA269-9079-4DE4-9A7F-FC78B6763872}"/>
    <cellStyle name="Note 4 3 2 2" xfId="4239" xr:uid="{43DF4C9F-122B-4AF3-A81D-EDAAB487B58F}"/>
    <cellStyle name="Note 4 3 2 2 2" xfId="18290" xr:uid="{04025158-C04C-43BE-95BE-CD23161185B1}"/>
    <cellStyle name="Note 4 3 2 3" xfId="16099" xr:uid="{1A7F9051-1812-464F-8938-2351BB558CFD}"/>
    <cellStyle name="Note 4 3 3" xfId="3143" xr:uid="{4360692D-EB69-4476-B2FD-160B80FB1BC1}"/>
    <cellStyle name="Note 4 3 3 2" xfId="17195" xr:uid="{A8F4BE0B-C9CB-4224-8829-BE3902F9BC43}"/>
    <cellStyle name="Note 4 3 4" xfId="15001" xr:uid="{C9C8DBAB-F6BA-4892-87A0-3332E5325687}"/>
    <cellStyle name="Note 4 4" xfId="1531" xr:uid="{96D65256-0B42-4729-A026-E2B8C173A885}"/>
    <cellStyle name="Note 4 4 2" xfId="3721" xr:uid="{C40D2B46-3A0E-439F-85CC-A8940761258A}"/>
    <cellStyle name="Note 4 4 2 2" xfId="17774" xr:uid="{72D89BCB-F901-4E6D-B479-A8E9A7F5A483}"/>
    <cellStyle name="Note 4 4 3" xfId="15580" xr:uid="{1D5EA71D-4ADE-484C-82A3-4D33DFEF24EF}"/>
    <cellStyle name="Note 4 5" xfId="2450" xr:uid="{DBCE2D3C-6312-47FD-8E55-B12FADDF6892}"/>
    <cellStyle name="Note 4 5 2" xfId="16501" xr:uid="{77C7572A-BF35-481C-A38B-F5E651AE335F}"/>
    <cellStyle name="Note 4 6" xfId="4816" xr:uid="{E3180914-7261-40BA-8B40-DCB8EBA9AED6}"/>
    <cellStyle name="Note 4 6 2" xfId="18868" xr:uid="{C53AECAE-DB30-40E2-975E-71100FAC1792}"/>
    <cellStyle name="Note 4 7" xfId="14306" xr:uid="{59A4B5AD-3AB6-439A-8ECB-23FDCFB2AE61}"/>
    <cellStyle name="Note 5" xfId="1183" xr:uid="{35ED3C58-3C1C-417D-BEC3-C485C36FDAEE}"/>
    <cellStyle name="Note 5 2" xfId="3377" xr:uid="{16E85409-1AB3-441A-A361-16C2C7AC7F8F}"/>
    <cellStyle name="Note 5 2 2" xfId="17429" xr:uid="{A1270329-213F-4EFC-8E98-381FDF390C23}"/>
    <cellStyle name="Note 5 3" xfId="15234" xr:uid="{31BCFDAF-65DA-472E-9048-DD1C740E5734}"/>
    <cellStyle name="Note 6" xfId="4472" xr:uid="{A16EB0BF-B051-482F-BBB4-2FBC11408968}"/>
    <cellStyle name="Note 6 2" xfId="18523" xr:uid="{99A9AF18-54C4-4461-A24A-666A8ABDAAAF}"/>
    <cellStyle name="Note 7" xfId="71" xr:uid="{BF21F08D-6E18-46E7-A293-B05EC2B6DD7C}"/>
    <cellStyle name="Note 7 2" xfId="14142" xr:uid="{D1B53D2D-FFCB-4FD7-8046-26EDF8BA1BEB}"/>
    <cellStyle name="Note 8" xfId="14111" xr:uid="{D22DB208-5267-4DD5-AA21-DFECFBD3A4F5}"/>
    <cellStyle name="Note 8 2" xfId="28161" xr:uid="{C6219E2B-EC02-4547-A92B-3844CDA64D94}"/>
    <cellStyle name="Output" xfId="33" builtinId="21" customBuiltin="1"/>
    <cellStyle name="Percent" xfId="19" builtinId="5"/>
    <cellStyle name="Percent 10" xfId="1180" xr:uid="{66652068-4DDE-46C5-AE1D-481926EE3566}"/>
    <cellStyle name="Percent 10 2" xfId="3374" xr:uid="{8DD22F10-E575-495F-84F8-956E9A4244A3}"/>
    <cellStyle name="Percent 10 2 2" xfId="17426" xr:uid="{965E1991-6FDB-46AB-937F-D6C450678001}"/>
    <cellStyle name="Percent 10 3" xfId="15231" xr:uid="{BCD2BEEA-BC60-4E0E-898E-18043F1A5818}"/>
    <cellStyle name="Percent 11" xfId="1705" xr:uid="{DE71A92B-012C-4F3D-8F39-77CD7EFD5618}"/>
    <cellStyle name="Percent 12" xfId="4469" xr:uid="{D8CD13C0-2617-489D-A431-290FCCA43CB2}"/>
    <cellStyle name="Percent 12 2" xfId="18520" xr:uid="{22098C18-2A67-490A-AC8D-519384D64EE7}"/>
    <cellStyle name="Percent 13" xfId="65" xr:uid="{D9EB5EA4-2F64-48A9-9D72-C2D32C786CAA}"/>
    <cellStyle name="Percent 13 2" xfId="14140" xr:uid="{4F0DF227-02FC-41DE-93BB-1C49789331AF}"/>
    <cellStyle name="Percent 2" xfId="24" xr:uid="{B3F0EF5B-AE86-48FB-86DC-E7959E738F69}"/>
    <cellStyle name="Percent 2 10" xfId="2292" xr:uid="{2ECC4C82-B21A-436C-B247-DD028D608546}"/>
    <cellStyle name="Percent 2 10 2" xfId="16343" xr:uid="{3AFF08D2-8791-441E-B929-29E15BF703CA}"/>
    <cellStyle name="Percent 2 11" xfId="4486" xr:uid="{E70A39F2-6E78-43C1-B4C5-8FF6DF8BC701}"/>
    <cellStyle name="Percent 2 11 2" xfId="18537" xr:uid="{416EBFC2-C68E-4E4E-9AED-913C56BBBCDB}"/>
    <cellStyle name="Percent 2 12" xfId="87" xr:uid="{FB44B676-FA8D-4C95-9140-4620CDDE9B6C}"/>
    <cellStyle name="Percent 2 12 2" xfId="14148" xr:uid="{5FF120FF-B88C-4DFC-9334-2EFE81E04432}"/>
    <cellStyle name="Percent 2 13" xfId="75" xr:uid="{674CACCC-E981-48DE-BE88-5F5EA2553143}"/>
    <cellStyle name="Percent 2 2" xfId="108" xr:uid="{2907ACC8-03F6-49FE-B99B-007312A38553}"/>
    <cellStyle name="Percent 2 2 10" xfId="4506" xr:uid="{429D8BFD-4EFF-4498-BAA9-C871BDFD4329}"/>
    <cellStyle name="Percent 2 2 10 2" xfId="18557" xr:uid="{77029280-8F27-41DE-8248-3BB21ECDD2E2}"/>
    <cellStyle name="Percent 2 2 11" xfId="14168" xr:uid="{BDEE6686-4713-43E7-A9B9-47AA0EA18875}"/>
    <cellStyle name="Percent 2 2 2" xfId="223" xr:uid="{57C2CC47-8736-4C85-8A7A-08E9170F5456}"/>
    <cellStyle name="Percent 2 2 2 2" xfId="400" xr:uid="{497C97D1-8B56-4C4D-BCA0-71AB27C42200}"/>
    <cellStyle name="Percent 2 2 2 2 2" xfId="754" xr:uid="{E8807653-D2C0-45C3-878F-1CB13B607250}"/>
    <cellStyle name="Percent 2 2 2 2 2 2" xfId="1855" xr:uid="{995E43D3-56BA-4C69-8D92-4092E51D9CC9}"/>
    <cellStyle name="Percent 2 2 2 2 2 2 2" xfId="4044" xr:uid="{8ACBC2F3-8613-4786-B5E3-C3880BA6CF21}"/>
    <cellStyle name="Percent 2 2 2 2 2 2 2 2" xfId="18096" xr:uid="{75AB1B3E-FE1A-43D6-9E1D-75E70502FB22}"/>
    <cellStyle name="Percent 2 2 2 2 2 2 3" xfId="15904" xr:uid="{8E4EED18-A08E-44AF-8CB8-17E677438B28}"/>
    <cellStyle name="Percent 2 2 2 2 2 3" xfId="2946" xr:uid="{675C7A5B-D49E-45C2-9156-E5BF0E181981}"/>
    <cellStyle name="Percent 2 2 2 2 2 3 2" xfId="16998" xr:uid="{1806D2A6-B62D-4D31-97A7-F812C0C68B54}"/>
    <cellStyle name="Percent 2 2 2 2 2 4" xfId="14805" xr:uid="{0421BEF6-2731-47CB-AE24-F9C0557B397E}"/>
    <cellStyle name="Percent 2 2 2 2 3" xfId="1101" xr:uid="{BFEED135-F474-43DC-A5D8-40D3D05BD6FE}"/>
    <cellStyle name="Percent 2 2 2 2 3 2" xfId="2200" xr:uid="{630EE427-1C83-4E7D-A6D7-0504C62A37D0}"/>
    <cellStyle name="Percent 2 2 2 2 3 2 2" xfId="4389" xr:uid="{987CB932-85AC-45AE-9CA3-86ADC401D0BA}"/>
    <cellStyle name="Percent 2 2 2 2 3 2 2 2" xfId="18439" xr:uid="{065E9C95-3B10-4C8F-BF85-3BEA32D90555}"/>
    <cellStyle name="Percent 2 2 2 2 3 2 3" xfId="16249" xr:uid="{2A30BD4E-7D11-4EDD-8843-8B9D8ED77CE3}"/>
    <cellStyle name="Percent 2 2 2 2 3 3" xfId="3293" xr:uid="{1418288C-AC2D-4107-BFA5-65FAFA456BB9}"/>
    <cellStyle name="Percent 2 2 2 2 3 3 2" xfId="17345" xr:uid="{FC23345B-E5A0-403A-87D5-D5D664D4BC01}"/>
    <cellStyle name="Percent 2 2 2 2 3 4" xfId="15151" xr:uid="{6569D3FA-EC07-4760-9AAC-4E0C02BB831D}"/>
    <cellStyle name="Percent 2 2 2 2 4" xfId="1681" xr:uid="{99DE4F00-FE02-45C9-BBB0-0CCB7F4F81D9}"/>
    <cellStyle name="Percent 2 2 2 2 4 2" xfId="3871" xr:uid="{284DBB91-0267-47DA-9066-AA1EA8C214A4}"/>
    <cellStyle name="Percent 2 2 2 2 4 2 2" xfId="17924" xr:uid="{0290A448-65A6-4D29-9437-231665CCECC2}"/>
    <cellStyle name="Percent 2 2 2 2 4 3" xfId="15730" xr:uid="{9D3738CA-29E0-4074-9AF0-898D9DCA368C}"/>
    <cellStyle name="Percent 2 2 2 2 5" xfId="2600" xr:uid="{CD863443-CEC9-4AA2-BF34-57236B7ECA37}"/>
    <cellStyle name="Percent 2 2 2 2 5 2" xfId="16651" xr:uid="{1DAD9269-A3E5-4932-9FC9-1DB01148AFCD}"/>
    <cellStyle name="Percent 2 2 2 2 6" xfId="4966" xr:uid="{B5ADAD29-D706-4E69-AE49-BA9868AAC1E9}"/>
    <cellStyle name="Percent 2 2 2 2 6 2" xfId="19018" xr:uid="{CA45BAEC-A4FD-475A-9A9E-C30D89889411}"/>
    <cellStyle name="Percent 2 2 2 2 7" xfId="14457" xr:uid="{7B473289-CE8C-45AF-AE72-89891BE3AAF7}"/>
    <cellStyle name="Percent 2 2 2 3" xfId="574" xr:uid="{5ADA8AE6-AF29-4CBA-89C3-3384542722E0}"/>
    <cellStyle name="Percent 2 2 2 3 2" xfId="1507" xr:uid="{8E472024-DE40-4B63-B7D6-E580E71F72B3}"/>
    <cellStyle name="Percent 2 2 2 3 2 2" xfId="3697" xr:uid="{740C3EC0-EC4D-4832-BDBF-391E5B55905D}"/>
    <cellStyle name="Percent 2 2 2 3 2 2 2" xfId="17750" xr:uid="{FBF0E259-5D5E-4C41-B5DF-7C15885E6E87}"/>
    <cellStyle name="Percent 2 2 2 3 2 3" xfId="15556" xr:uid="{36F03589-2D80-4154-9DF5-1F826E529AE9}"/>
    <cellStyle name="Percent 2 2 2 3 3" xfId="2773" xr:uid="{944D3075-986C-44AC-8DF4-E27347B26EE7}"/>
    <cellStyle name="Percent 2 2 2 3 3 2" xfId="16824" xr:uid="{A8BA34B7-B4B3-48DB-9000-8E49C8F64239}"/>
    <cellStyle name="Percent 2 2 2 3 4" xfId="4792" xr:uid="{A3E39EA3-6197-4724-B26D-6EFDD7E5DA47}"/>
    <cellStyle name="Percent 2 2 2 3 4 2" xfId="18844" xr:uid="{6467268D-805F-4962-887A-150C286FA772}"/>
    <cellStyle name="Percent 2 2 2 3 5" xfId="14629" xr:uid="{467C686A-5F52-4229-8475-B45AA259E54E}"/>
    <cellStyle name="Percent 2 2 2 4" xfId="927" xr:uid="{D5D905F7-1B24-40F5-9F8C-CE9D9A0199ED}"/>
    <cellStyle name="Percent 2 2 2 4 2" xfId="2026" xr:uid="{0594D22F-02EE-445F-9E71-AA96A28F11F6}"/>
    <cellStyle name="Percent 2 2 2 4 2 2" xfId="4215" xr:uid="{20FBE376-3C9C-400B-8F11-1C0BC3140145}"/>
    <cellStyle name="Percent 2 2 2 4 2 2 2" xfId="18266" xr:uid="{48D6CCEB-1144-4173-A111-AE835EEF5394}"/>
    <cellStyle name="Percent 2 2 2 4 2 3" xfId="16075" xr:uid="{DA785F34-6F7B-4123-AE1D-23B2033E58C8}"/>
    <cellStyle name="Percent 2 2 2 4 3" xfId="3119" xr:uid="{EE741739-7FDD-40DD-B83F-B2E64C1E2EA5}"/>
    <cellStyle name="Percent 2 2 2 4 3 2" xfId="17171" xr:uid="{A19CD035-EE57-4D88-874A-7FA55B7841F7}"/>
    <cellStyle name="Percent 2 2 2 4 4" xfId="14977" xr:uid="{252BFB0C-3F05-4649-BF31-20B0F31D1A97}"/>
    <cellStyle name="Percent 2 2 2 5" xfId="1334" xr:uid="{83A410E5-83E3-4DD1-B559-9F6A2798CEE3}"/>
    <cellStyle name="Percent 2 2 2 5 2" xfId="3525" xr:uid="{2DA84EF0-7BA8-4E0D-999A-4B8FE8AE18C3}"/>
    <cellStyle name="Percent 2 2 2 5 2 2" xfId="17577" xr:uid="{073E6FFC-BDB1-46C2-91DE-9FCAD6B67653}"/>
    <cellStyle name="Percent 2 2 2 5 3" xfId="15383" xr:uid="{2E665E6E-70DC-475F-BC06-366A09D5B11E}"/>
    <cellStyle name="Percent 2 2 2 6" xfId="2426" xr:uid="{1E671AE4-EBE0-4937-805F-68050E6EED29}"/>
    <cellStyle name="Percent 2 2 2 6 2" xfId="16477" xr:uid="{98013702-E0C7-463B-B146-4ECE4EB5A00D}"/>
    <cellStyle name="Percent 2 2 2 7" xfId="4619" xr:uid="{EB7D796B-F8C5-4793-A961-B78B3F93451F}"/>
    <cellStyle name="Percent 2 2 2 7 2" xfId="18671" xr:uid="{70D5BA20-7033-4A3B-99AB-CF6B76D83E07}"/>
    <cellStyle name="Percent 2 2 2 8" xfId="14282" xr:uid="{8638B28E-8D50-45E3-B9FE-9B4B65A148AD}"/>
    <cellStyle name="Percent 2 2 3" xfId="166" xr:uid="{3977967A-0F56-429F-A7D3-BD0285AA57C8}"/>
    <cellStyle name="Percent 2 2 3 2" xfId="343" xr:uid="{33FACAFA-086A-4C93-9C28-034B1E23BDDF}"/>
    <cellStyle name="Percent 2 2 3 2 2" xfId="697" xr:uid="{60B80673-6654-43E2-90BD-5F11509C3648}"/>
    <cellStyle name="Percent 2 2 3 2 2 2" xfId="1798" xr:uid="{E456F327-03FF-4C5B-BFBB-222EC51776EE}"/>
    <cellStyle name="Percent 2 2 3 2 2 2 2" xfId="3987" xr:uid="{2BEFDF42-0874-4275-B3D5-D70042837BA2}"/>
    <cellStyle name="Percent 2 2 3 2 2 2 2 2" xfId="18039" xr:uid="{9A589959-C022-44F7-B1B0-E62804451324}"/>
    <cellStyle name="Percent 2 2 3 2 2 2 3" xfId="15847" xr:uid="{30C4B676-A846-4CCB-BEE6-1592AEDFBB43}"/>
    <cellStyle name="Percent 2 2 3 2 2 3" xfId="2889" xr:uid="{156206CC-9E22-4AC4-90CC-F9CC60E98E3E}"/>
    <cellStyle name="Percent 2 2 3 2 2 3 2" xfId="16941" xr:uid="{7C2B8F4B-5B07-4A4F-9AF9-19CC0586B759}"/>
    <cellStyle name="Percent 2 2 3 2 2 4" xfId="14748" xr:uid="{D899F193-61C8-4511-8C08-7FAA1712F975}"/>
    <cellStyle name="Percent 2 2 3 2 3" xfId="1044" xr:uid="{87A44C0A-7D73-433D-9606-03B5F28CB642}"/>
    <cellStyle name="Percent 2 2 3 2 3 2" xfId="2143" xr:uid="{05D15E8F-1E25-4529-A849-FB27053B97E4}"/>
    <cellStyle name="Percent 2 2 3 2 3 2 2" xfId="4332" xr:uid="{CECCDFD3-153E-43CF-B4E5-98B4097C12FB}"/>
    <cellStyle name="Percent 2 2 3 2 3 2 2 2" xfId="18382" xr:uid="{1FFF63E1-EEE9-4C00-9732-3E2B9D447F82}"/>
    <cellStyle name="Percent 2 2 3 2 3 2 3" xfId="16192" xr:uid="{BBAD1269-E985-4905-B796-84B8D46CA366}"/>
    <cellStyle name="Percent 2 2 3 2 3 3" xfId="3236" xr:uid="{ABDBC090-BF4D-4164-A0DE-65F1654836B2}"/>
    <cellStyle name="Percent 2 2 3 2 3 3 2" xfId="17288" xr:uid="{C02974B9-CFCC-4C3C-8828-BDAC2941A589}"/>
    <cellStyle name="Percent 2 2 3 2 3 4" xfId="15094" xr:uid="{CD794BDB-6833-4451-A368-4F21D70762EE}"/>
    <cellStyle name="Percent 2 2 3 2 4" xfId="1624" xr:uid="{0EFE6DA2-C100-4478-8ADE-15F0EB9D64F2}"/>
    <cellStyle name="Percent 2 2 3 2 4 2" xfId="3814" xr:uid="{94CF5B66-E5D0-4D47-84B2-1E9A57F94231}"/>
    <cellStyle name="Percent 2 2 3 2 4 2 2" xfId="17867" xr:uid="{9630EE17-E594-4624-A38C-8E746FE245FA}"/>
    <cellStyle name="Percent 2 2 3 2 4 3" xfId="15673" xr:uid="{C72FCDB2-6116-4D3E-93FE-8D3EA438076C}"/>
    <cellStyle name="Percent 2 2 3 2 5" xfId="2543" xr:uid="{B29A1E54-C6A0-4763-A7B8-2C022C24F293}"/>
    <cellStyle name="Percent 2 2 3 2 5 2" xfId="16594" xr:uid="{926AD097-6903-4580-9CE9-F7B2759D2B70}"/>
    <cellStyle name="Percent 2 2 3 2 6" xfId="4909" xr:uid="{E70BEBB1-EBAB-4820-9449-7DA3B005E00B}"/>
    <cellStyle name="Percent 2 2 3 2 6 2" xfId="18961" xr:uid="{66F55113-E93B-4A83-91C9-C46720CC0174}"/>
    <cellStyle name="Percent 2 2 3 2 7" xfId="14400" xr:uid="{EF9A9CCF-15A2-41CB-8670-C93DF29D2BF5}"/>
    <cellStyle name="Percent 2 2 3 3" xfId="517" xr:uid="{56906E91-2767-4575-8F48-68E0AB3A6FE5}"/>
    <cellStyle name="Percent 2 2 3 3 2" xfId="1450" xr:uid="{E0933A16-28E4-45F0-A357-DFB9F8B4B18B}"/>
    <cellStyle name="Percent 2 2 3 3 2 2" xfId="3640" xr:uid="{E0D90434-B27E-4E85-A624-4E60E4DA90C6}"/>
    <cellStyle name="Percent 2 2 3 3 2 2 2" xfId="17693" xr:uid="{2BFB498E-72BC-433C-B9DD-8CE240D162CF}"/>
    <cellStyle name="Percent 2 2 3 3 2 3" xfId="15499" xr:uid="{E9D2BB68-A741-47A4-AF43-D47AF3F15052}"/>
    <cellStyle name="Percent 2 2 3 3 3" xfId="2716" xr:uid="{5B3B7AB4-0508-45F0-B5FF-B6885A4C7D5D}"/>
    <cellStyle name="Percent 2 2 3 3 3 2" xfId="16767" xr:uid="{DF986FB1-E7AC-4BB2-80FA-CA4D1862D848}"/>
    <cellStyle name="Percent 2 2 3 3 4" xfId="4735" xr:uid="{D733A764-6A2A-4628-A799-E321ECE531B9}"/>
    <cellStyle name="Percent 2 2 3 3 4 2" xfId="18787" xr:uid="{FA418B31-5DBB-4431-8587-EE3FB96CCC58}"/>
    <cellStyle name="Percent 2 2 3 3 5" xfId="14572" xr:uid="{B7A73304-4B5F-44E2-BE93-1FF9C9DAA6C5}"/>
    <cellStyle name="Percent 2 2 3 4" xfId="870" xr:uid="{87FF96C3-1092-4BC5-A6FC-201AB3E7FA0D}"/>
    <cellStyle name="Percent 2 2 3 4 2" xfId="1969" xr:uid="{897F96AB-41EC-43E5-A2B7-E587A0CD63A6}"/>
    <cellStyle name="Percent 2 2 3 4 2 2" xfId="4158" xr:uid="{FFF5021D-EE32-40E3-B968-0B5D4B6129BA}"/>
    <cellStyle name="Percent 2 2 3 4 2 2 2" xfId="18209" xr:uid="{95D9A684-7A0C-405C-91EA-35339744EEC7}"/>
    <cellStyle name="Percent 2 2 3 4 2 3" xfId="16018" xr:uid="{C65406E7-53BC-459F-AFEF-D6AF60B64E07}"/>
    <cellStyle name="Percent 2 2 3 4 3" xfId="3062" xr:uid="{61440020-5A87-450A-BB66-D3DE1A70D426}"/>
    <cellStyle name="Percent 2 2 3 4 3 2" xfId="17114" xr:uid="{73868575-A1E1-4AFE-B12A-0E8E95F1C725}"/>
    <cellStyle name="Percent 2 2 3 4 4" xfId="14920" xr:uid="{DB2A0BD1-092B-4D04-8E41-1EAD23B85A35}"/>
    <cellStyle name="Percent 2 2 3 5" xfId="1278" xr:uid="{37E48BEB-C420-4A5A-A2BF-4917DEFB6337}"/>
    <cellStyle name="Percent 2 2 3 5 2" xfId="3468" xr:uid="{3D97C539-F89E-4475-9C9B-44749F5C2244}"/>
    <cellStyle name="Percent 2 2 3 5 2 2" xfId="17520" xr:uid="{FD574FF1-E60A-4EB6-9410-99C7D7D29E13}"/>
    <cellStyle name="Percent 2 2 3 5 3" xfId="15326" xr:uid="{A9CF8DE1-B9DB-47AE-82DC-7ABD56A3D3DE}"/>
    <cellStyle name="Percent 2 2 3 6" xfId="2369" xr:uid="{91320946-5FC1-4022-8FFE-818F666CA689}"/>
    <cellStyle name="Percent 2 2 3 6 2" xfId="16420" xr:uid="{64559CC9-1B54-4F85-B83A-4408639C9972}"/>
    <cellStyle name="Percent 2 2 3 7" xfId="4562" xr:uid="{4ED30AB7-9D29-4C70-AD39-CA2AA22AC8BE}"/>
    <cellStyle name="Percent 2 2 3 7 2" xfId="18614" xr:uid="{00B97E29-363D-4B30-97A0-CA816C4A7A82}"/>
    <cellStyle name="Percent 2 2 3 8" xfId="14225" xr:uid="{23A464D1-3B12-4EE5-A5D6-7A368B3495F7}"/>
    <cellStyle name="Percent 2 2 4" xfId="286" xr:uid="{02D17962-5216-46B7-B4DB-6C01266B3254}"/>
    <cellStyle name="Percent 2 2 4 2" xfId="640" xr:uid="{B20E4EF1-F892-4A35-A2AB-EFCC881A8925}"/>
    <cellStyle name="Percent 2 2 4 2 2" xfId="1742" xr:uid="{52B10966-F92D-450F-ABAF-981CF54A95DC}"/>
    <cellStyle name="Percent 2 2 4 2 2 2" xfId="3930" xr:uid="{2DBF6088-B0F9-415A-842C-3BA5F3C2BF88}"/>
    <cellStyle name="Percent 2 2 4 2 2 2 2" xfId="17982" xr:uid="{1EED6FA7-C7DE-40B5-B9A3-68E4E9A74560}"/>
    <cellStyle name="Percent 2 2 4 2 2 3" xfId="15790" xr:uid="{9EA2CAEF-3D01-4A39-A335-8ECEE26F1DB9}"/>
    <cellStyle name="Percent 2 2 4 2 3" xfId="2833" xr:uid="{C74358C2-7575-4E6B-B3D3-47E013424F59}"/>
    <cellStyle name="Percent 2 2 4 2 3 2" xfId="16884" xr:uid="{E2DB51E4-2DA1-43BF-A702-8C67E4FCBCC8}"/>
    <cellStyle name="Percent 2 2 4 2 4" xfId="14691" xr:uid="{C058828E-9980-4C9D-AEA9-C12B8C366D40}"/>
    <cellStyle name="Percent 2 2 4 3" xfId="987" xr:uid="{51240F11-7C76-4FEA-8FA4-B03EC42914BB}"/>
    <cellStyle name="Percent 2 2 4 3 2" xfId="2086" xr:uid="{DF61E237-E795-481E-8F36-3C4416DD5B10}"/>
    <cellStyle name="Percent 2 2 4 3 2 2" xfId="4275" xr:uid="{968873BB-C8D6-4A18-876A-CB830DE0522B}"/>
    <cellStyle name="Percent 2 2 4 3 2 2 2" xfId="18326" xr:uid="{B6A6B5AB-5A55-4AE7-BDE3-DF6C20D37EA5}"/>
    <cellStyle name="Percent 2 2 4 3 2 3" xfId="16135" xr:uid="{9FC4BAD7-804F-45A2-BBCF-AFE5D0E661FA}"/>
    <cellStyle name="Percent 2 2 4 3 3" xfId="3179" xr:uid="{DCC6CD66-9E9C-4109-AAD7-B50713E8458C}"/>
    <cellStyle name="Percent 2 2 4 3 3 2" xfId="17231" xr:uid="{3F62BDBC-09AE-4481-AC00-AE09572465C2}"/>
    <cellStyle name="Percent 2 2 4 3 4" xfId="15037" xr:uid="{90EEBD49-972A-406F-88EF-93AF5BEE1E55}"/>
    <cellStyle name="Percent 2 2 4 4" xfId="1567" xr:uid="{624E3433-BA11-4C81-BED4-68C6A9079822}"/>
    <cellStyle name="Percent 2 2 4 4 2" xfId="3757" xr:uid="{6BE92E5D-C3CE-466D-ABC0-790CD05C4675}"/>
    <cellStyle name="Percent 2 2 4 4 2 2" xfId="17810" xr:uid="{1CDB9BBD-9192-400E-B73E-13CFEBADCC33}"/>
    <cellStyle name="Percent 2 2 4 4 3" xfId="15616" xr:uid="{697EB6C2-18B0-4A8F-9ED3-5CED42C5D6AE}"/>
    <cellStyle name="Percent 2 2 4 5" xfId="2486" xr:uid="{4084BAFB-30E8-42E7-AD4A-2547CA826E58}"/>
    <cellStyle name="Percent 2 2 4 5 2" xfId="16537" xr:uid="{77BEB5C5-BDC6-4134-9CFA-47D95929BF62}"/>
    <cellStyle name="Percent 2 2 4 6" xfId="4852" xr:uid="{BE58CA9B-282C-4A3E-AEC6-70A7EC9CCC61}"/>
    <cellStyle name="Percent 2 2 4 6 2" xfId="18904" xr:uid="{79EAF6DA-7D5C-446F-8E49-CB6AB5EE5A7A}"/>
    <cellStyle name="Percent 2 2 4 7" xfId="14343" xr:uid="{583F5EB2-B0F6-447C-BC98-96DB419AE432}"/>
    <cellStyle name="Percent 2 2 5" xfId="460" xr:uid="{7C126A99-9E4D-4664-8C12-1F62BF6A5135}"/>
    <cellStyle name="Percent 2 2 5 2" xfId="1393" xr:uid="{46355ED3-C12B-45C0-8C6A-338B9A3F3200}"/>
    <cellStyle name="Percent 2 2 5 2 2" xfId="3583" xr:uid="{81F35D3F-7A55-424E-AC62-816139F88906}"/>
    <cellStyle name="Percent 2 2 5 2 2 2" xfId="17636" xr:uid="{C48E5D25-F065-4535-BC29-78C4E47BCBE9}"/>
    <cellStyle name="Percent 2 2 5 2 3" xfId="15442" xr:uid="{82A7EA7A-874D-4918-9095-5646BDE08FB7}"/>
    <cellStyle name="Percent 2 2 5 3" xfId="2659" xr:uid="{286B4960-2ABC-4C26-BDC9-9D51A16F12D4}"/>
    <cellStyle name="Percent 2 2 5 3 2" xfId="16710" xr:uid="{B9280F29-AC72-4024-8DC3-F3C08A4E1B8B}"/>
    <cellStyle name="Percent 2 2 5 4" xfId="4678" xr:uid="{77F62FEC-A7DA-471E-9B59-F7A57F6D087C}"/>
    <cellStyle name="Percent 2 2 5 4 2" xfId="18730" xr:uid="{BBE432A7-9F7D-4E30-A941-581EBCF9C8F7}"/>
    <cellStyle name="Percent 2 2 5 5" xfId="14515" xr:uid="{EA30250F-C7D5-4876-B57C-6277502D4B6D}"/>
    <cellStyle name="Percent 2 2 6" xfId="813" xr:uid="{C314CB82-698F-445C-B6BE-DC6F9A64390C}"/>
    <cellStyle name="Percent 2 2 6 2" xfId="1912" xr:uid="{F732879D-D193-46F0-ADC4-640C84BD9E0C}"/>
    <cellStyle name="Percent 2 2 6 2 2" xfId="4101" xr:uid="{4DD87FEF-4EDF-4AB2-9F60-3FD99C94A7E9}"/>
    <cellStyle name="Percent 2 2 6 2 2 2" xfId="18153" xr:uid="{CA62CAB0-A9E0-42DF-8246-FE796B24FCBC}"/>
    <cellStyle name="Percent 2 2 6 2 3" xfId="15961" xr:uid="{71696671-7560-4B3A-AC16-2359C0A21BA9}"/>
    <cellStyle name="Percent 2 2 6 3" xfId="3005" xr:uid="{55FEF9E5-2F56-4097-9609-038EBDF54301}"/>
    <cellStyle name="Percent 2 2 6 3 2" xfId="17057" xr:uid="{F6821880-6FF2-494D-8CFF-7D19D8C9E94D}"/>
    <cellStyle name="Percent 2 2 6 4" xfId="14863" xr:uid="{CEB00B84-7641-4749-81C7-9167919AA0A9}"/>
    <cellStyle name="Percent 2 2 7" xfId="1157" xr:uid="{46C46140-316D-491C-9960-45523456E75A}"/>
    <cellStyle name="Percent 2 2 7 2" xfId="2257" xr:uid="{8ABD9F8D-8FA8-4EAA-B4C9-CF62F50E0553}"/>
    <cellStyle name="Percent 2 2 7 2 2" xfId="4446" xr:uid="{1056BEAF-28E1-40F3-A228-484589E9BE79}"/>
    <cellStyle name="Percent 2 2 7 2 2 2" xfId="18496" xr:uid="{522C92A8-E51C-45A2-9BF8-FF221FC82F91}"/>
    <cellStyle name="Percent 2 2 7 2 3" xfId="16306" xr:uid="{5976F303-2B2C-4964-A09F-8ED6F9164619}"/>
    <cellStyle name="Percent 2 2 7 3" xfId="3350" xr:uid="{5D6151F4-E7D8-4672-8C66-82EB063F29B4}"/>
    <cellStyle name="Percent 2 2 7 3 2" xfId="17402" xr:uid="{490F4949-E7BD-41BB-BABC-9C2796D9183B}"/>
    <cellStyle name="Percent 2 2 7 4" xfId="15208" xr:uid="{6F4C7AE8-D20C-4386-B565-C6AFA5E47C8B}"/>
    <cellStyle name="Percent 2 2 8" xfId="1221" xr:uid="{F2DD7FC0-56D4-46D6-946A-6C547FDC1CFB}"/>
    <cellStyle name="Percent 2 2 8 2" xfId="3411" xr:uid="{008158A1-E177-4D74-ACC1-14B02E174F5D}"/>
    <cellStyle name="Percent 2 2 8 2 2" xfId="17463" xr:uid="{2202AF4A-768E-4073-97D1-60E2BEE5E592}"/>
    <cellStyle name="Percent 2 2 8 3" xfId="15269" xr:uid="{8F8D98D6-A09A-41A7-9B54-885CED3927FA}"/>
    <cellStyle name="Percent 2 2 9" xfId="2312" xr:uid="{CB2E5CB3-0FA1-4F7A-B99F-7BC7727F946E}"/>
    <cellStyle name="Percent 2 2 9 2" xfId="16363" xr:uid="{395C3B87-2A74-4266-9967-FDB625FD4991}"/>
    <cellStyle name="Percent 2 3" xfId="203" xr:uid="{E3623635-722D-4B48-B28E-BB1B15F48ADD}"/>
    <cellStyle name="Percent 2 3 2" xfId="380" xr:uid="{28473AB9-4C5A-4CFE-BD45-A2444BF76C0B}"/>
    <cellStyle name="Percent 2 3 2 2" xfId="734" xr:uid="{53C4457A-032A-4098-B2FE-DB72CE5BC31A}"/>
    <cellStyle name="Percent 2 3 2 2 2" xfId="1835" xr:uid="{71B9FC2C-3696-45C5-9B86-A86F27F34876}"/>
    <cellStyle name="Percent 2 3 2 2 2 2" xfId="4024" xr:uid="{F07C7DB3-1629-4297-BF4C-D8C3F63E9A8A}"/>
    <cellStyle name="Percent 2 3 2 2 2 2 2" xfId="18076" xr:uid="{0AC9BF25-23CA-4C6F-8A34-77107429EBC4}"/>
    <cellStyle name="Percent 2 3 2 2 2 3" xfId="15884" xr:uid="{8B81FEE3-BF58-4E27-86A3-627147D28B5D}"/>
    <cellStyle name="Percent 2 3 2 2 3" xfId="2926" xr:uid="{3E35ADE5-48C4-44F6-A97C-DB63A26FA107}"/>
    <cellStyle name="Percent 2 3 2 2 3 2" xfId="16978" xr:uid="{A9BFED3C-3B92-4315-A756-2D7C0170E9BF}"/>
    <cellStyle name="Percent 2 3 2 2 4" xfId="14785" xr:uid="{2153CA09-FCA5-48C3-AFA4-9244E46F0D3B}"/>
    <cellStyle name="Percent 2 3 2 3" xfId="1081" xr:uid="{16ADEBE3-9AE1-431E-8C3C-7C3A53E0FB02}"/>
    <cellStyle name="Percent 2 3 2 3 2" xfId="2180" xr:uid="{8FF373E6-B066-4F1A-8628-18AEB6D94B25}"/>
    <cellStyle name="Percent 2 3 2 3 2 2" xfId="4369" xr:uid="{D04E83A2-AE13-4F30-B78F-079725F87B4D}"/>
    <cellStyle name="Percent 2 3 2 3 2 2 2" xfId="18419" xr:uid="{FF5B56F3-205A-48DE-AD5D-A71B59793B87}"/>
    <cellStyle name="Percent 2 3 2 3 2 3" xfId="16229" xr:uid="{596231F9-21A7-45EF-85ED-B7B1A2437F3D}"/>
    <cellStyle name="Percent 2 3 2 3 3" xfId="3273" xr:uid="{40F77ABC-27CF-457B-8DED-D2DBF672CB2D}"/>
    <cellStyle name="Percent 2 3 2 3 3 2" xfId="17325" xr:uid="{3A01F390-F6B8-45AF-8421-193491E3A272}"/>
    <cellStyle name="Percent 2 3 2 3 4" xfId="15131" xr:uid="{B5EB6683-472F-4187-B7A5-D4857931E1B6}"/>
    <cellStyle name="Percent 2 3 2 4" xfId="1661" xr:uid="{0BBB39D2-CDBC-4C99-A7D0-280C14BA4698}"/>
    <cellStyle name="Percent 2 3 2 4 2" xfId="3851" xr:uid="{1F0A7733-CB08-4BD8-9A7B-67BEE9C35823}"/>
    <cellStyle name="Percent 2 3 2 4 2 2" xfId="17904" xr:uid="{5708752C-74A6-4B51-864C-037D7BC686A7}"/>
    <cellStyle name="Percent 2 3 2 4 3" xfId="15710" xr:uid="{8660A2CC-13DB-4FBA-AF94-E393E098656F}"/>
    <cellStyle name="Percent 2 3 2 5" xfId="2580" xr:uid="{6A5BA675-3557-4310-9026-A997C3E7BF25}"/>
    <cellStyle name="Percent 2 3 2 5 2" xfId="16631" xr:uid="{03C9D991-0030-4912-8EF2-18482D129734}"/>
    <cellStyle name="Percent 2 3 2 6" xfId="4946" xr:uid="{DDC5C27D-1F5D-4425-A6FC-0A476595E33E}"/>
    <cellStyle name="Percent 2 3 2 6 2" xfId="18998" xr:uid="{53F12583-4A82-4F5C-AE2F-6B1D4D4F2EB1}"/>
    <cellStyle name="Percent 2 3 2 7" xfId="14437" xr:uid="{446A05A0-8663-4318-B55F-DDC70E536F84}"/>
    <cellStyle name="Percent 2 3 3" xfId="554" xr:uid="{30A152EF-C9F3-4C93-B3FA-34584AB441BE}"/>
    <cellStyle name="Percent 2 3 3 2" xfId="1487" xr:uid="{3C4755D8-CC5E-4FB1-8603-5922944D4265}"/>
    <cellStyle name="Percent 2 3 3 2 2" xfId="3677" xr:uid="{09417963-CB36-4838-B7E9-BCFC55280ECB}"/>
    <cellStyle name="Percent 2 3 3 2 2 2" xfId="17730" xr:uid="{086E4C9F-1D7B-433D-AB08-98D1D43D0405}"/>
    <cellStyle name="Percent 2 3 3 2 3" xfId="15536" xr:uid="{7638EB59-DF11-4AE5-A2FF-5396739A8C22}"/>
    <cellStyle name="Percent 2 3 3 3" xfId="2753" xr:uid="{332CF32C-9D22-4188-8AF7-48E6DBF0C5C8}"/>
    <cellStyle name="Percent 2 3 3 3 2" xfId="16804" xr:uid="{D6A4AB7E-EB2C-4BFE-B56D-A1666A0D8958}"/>
    <cellStyle name="Percent 2 3 3 4" xfId="4772" xr:uid="{37F66EBD-54F8-423C-8277-7DA8AA145AFF}"/>
    <cellStyle name="Percent 2 3 3 4 2" xfId="18824" xr:uid="{B7648F36-0C67-4688-A584-37B19E50F05F}"/>
    <cellStyle name="Percent 2 3 3 5" xfId="14609" xr:uid="{FCCD035B-8A43-4345-8407-E9D52EAF3EF4}"/>
    <cellStyle name="Percent 2 3 4" xfId="907" xr:uid="{BC5C2F4B-F6CD-4003-A61B-E86B501DD35D}"/>
    <cellStyle name="Percent 2 3 4 2" xfId="2006" xr:uid="{5C3BAEB2-9029-4627-A945-93BE14D6969F}"/>
    <cellStyle name="Percent 2 3 4 2 2" xfId="4195" xr:uid="{FC4AD679-0CD3-4F71-881A-5294D0914786}"/>
    <cellStyle name="Percent 2 3 4 2 2 2" xfId="18246" xr:uid="{DDBA0B94-210C-43C1-8971-897949EF1C01}"/>
    <cellStyle name="Percent 2 3 4 2 3" xfId="16055" xr:uid="{936EF251-A33A-4125-A45F-6C8F52147069}"/>
    <cellStyle name="Percent 2 3 4 3" xfId="3099" xr:uid="{DB906440-1B6F-4FA2-A9A3-7AAC2A55D0A5}"/>
    <cellStyle name="Percent 2 3 4 3 2" xfId="17151" xr:uid="{DDA0AFB9-9536-475E-9DC0-EEB2C4B6E7FB}"/>
    <cellStyle name="Percent 2 3 4 4" xfId="14957" xr:uid="{5E2003FB-7006-4F76-ACF2-D6945E5DA003}"/>
    <cellStyle name="Percent 2 3 5" xfId="1314" xr:uid="{F3C3DDD8-8B44-438E-8F0E-2AC5C1CCD4A8}"/>
    <cellStyle name="Percent 2 3 5 2" xfId="3505" xr:uid="{D6C8D570-F872-4152-BFC3-13AF289B06E5}"/>
    <cellStyle name="Percent 2 3 5 2 2" xfId="17557" xr:uid="{C13107B4-698E-4881-84B9-FA31B3F7F288}"/>
    <cellStyle name="Percent 2 3 5 3" xfId="15363" xr:uid="{6354FEF8-9666-46EC-B616-CBF73D771671}"/>
    <cellStyle name="Percent 2 3 6" xfId="2406" xr:uid="{336B9BA1-C560-4066-B477-F3DDB5D5E08A}"/>
    <cellStyle name="Percent 2 3 6 2" xfId="16457" xr:uid="{6B601657-0545-4C30-AA5C-5BD46DF90B93}"/>
    <cellStyle name="Percent 2 3 7" xfId="4599" xr:uid="{7A6D958D-A3EC-42A0-A7DC-67115D6E7593}"/>
    <cellStyle name="Percent 2 3 7 2" xfId="18651" xr:uid="{A003D2CC-20DF-4959-9337-AE25C0B649A0}"/>
    <cellStyle name="Percent 2 3 8" xfId="14262" xr:uid="{CD574C8D-1B13-4525-B3BE-0DF8B692C801}"/>
    <cellStyle name="Percent 2 4" xfId="146" xr:uid="{A00A0FFE-6167-4C38-9AA9-01B75FF168ED}"/>
    <cellStyle name="Percent 2 4 2" xfId="323" xr:uid="{1B9A36D5-1E47-4CF9-A5DF-7BB09269269A}"/>
    <cellStyle name="Percent 2 4 2 2" xfId="677" xr:uid="{7C3323C6-E092-47CA-8071-6327FA4003F5}"/>
    <cellStyle name="Percent 2 4 2 2 2" xfId="1778" xr:uid="{145CF59C-D6B3-4EEB-8B1F-D6D823691D66}"/>
    <cellStyle name="Percent 2 4 2 2 2 2" xfId="3967" xr:uid="{7AD6CEE0-0217-4482-A96C-D3107A2FC986}"/>
    <cellStyle name="Percent 2 4 2 2 2 2 2" xfId="18019" xr:uid="{D176FF99-035E-43C7-8C99-44878C97B628}"/>
    <cellStyle name="Percent 2 4 2 2 2 3" xfId="15827" xr:uid="{52EEDC33-CA57-4355-AD3E-EEB085546BC0}"/>
    <cellStyle name="Percent 2 4 2 2 3" xfId="2869" xr:uid="{18A2AD37-8414-4318-BAA7-30FF39BFF288}"/>
    <cellStyle name="Percent 2 4 2 2 3 2" xfId="16921" xr:uid="{BC46D5F9-C632-4E3E-B4E1-A44221C5A19C}"/>
    <cellStyle name="Percent 2 4 2 2 4" xfId="14728" xr:uid="{0CCA3656-2615-4AB3-B8E9-2B175F5DEC68}"/>
    <cellStyle name="Percent 2 4 2 3" xfId="1024" xr:uid="{B2C9A679-393A-4D6A-A8B1-4B17DEAC3240}"/>
    <cellStyle name="Percent 2 4 2 3 2" xfId="2123" xr:uid="{767C7C8E-5F78-4B9A-9CF0-344C98AFA489}"/>
    <cellStyle name="Percent 2 4 2 3 2 2" xfId="4312" xr:uid="{4C9220E9-2BFF-4533-93E5-D2ACC38F1F37}"/>
    <cellStyle name="Percent 2 4 2 3 2 2 2" xfId="18362" xr:uid="{1B7A0991-463C-4ABC-8559-74B66A44C8F5}"/>
    <cellStyle name="Percent 2 4 2 3 2 3" xfId="16172" xr:uid="{6232BF09-1AA7-4D9B-8ACF-B82725413E51}"/>
    <cellStyle name="Percent 2 4 2 3 3" xfId="3216" xr:uid="{0A8F075D-5612-4CDA-937E-5859E28D4932}"/>
    <cellStyle name="Percent 2 4 2 3 3 2" xfId="17268" xr:uid="{2E887AF9-BC91-4FBC-9283-C462219CF776}"/>
    <cellStyle name="Percent 2 4 2 3 4" xfId="15074" xr:uid="{07D2F417-46D6-4F06-BCBC-1484FCF7BCC5}"/>
    <cellStyle name="Percent 2 4 2 4" xfId="1604" xr:uid="{76684D02-0728-49C3-989D-327861B0B41F}"/>
    <cellStyle name="Percent 2 4 2 4 2" xfId="3794" xr:uid="{F109C43C-6895-44F5-B396-03CC408F7CAF}"/>
    <cellStyle name="Percent 2 4 2 4 2 2" xfId="17847" xr:uid="{91FF7FD0-87E0-4454-BEF5-A4E7B783A588}"/>
    <cellStyle name="Percent 2 4 2 4 3" xfId="15653" xr:uid="{BAC47139-E4DF-443E-AEBB-6BC354BCB3C0}"/>
    <cellStyle name="Percent 2 4 2 5" xfId="2523" xr:uid="{471337F1-98F3-48B8-9453-5BC45068EB19}"/>
    <cellStyle name="Percent 2 4 2 5 2" xfId="16574" xr:uid="{F455F60B-BE1F-41AF-9B0F-3AEE1CEE6283}"/>
    <cellStyle name="Percent 2 4 2 6" xfId="4889" xr:uid="{B0DFF7B4-C686-4ED4-A836-76EE4E1E3AEE}"/>
    <cellStyle name="Percent 2 4 2 6 2" xfId="18941" xr:uid="{C596971D-DD55-435E-89CB-15967130DD2A}"/>
    <cellStyle name="Percent 2 4 2 7" xfId="14380" xr:uid="{0B0A910B-E62B-467D-BAE1-16D21B8F1465}"/>
    <cellStyle name="Percent 2 4 3" xfId="497" xr:uid="{3F1BAF7A-7E8D-4BB1-AFB7-95FAEDA19ED7}"/>
    <cellStyle name="Percent 2 4 3 2" xfId="1430" xr:uid="{91D43898-4A17-45EE-AABE-E779F73920F1}"/>
    <cellStyle name="Percent 2 4 3 2 2" xfId="3620" xr:uid="{D597BAAA-AF4D-41B1-9A57-27F48E021701}"/>
    <cellStyle name="Percent 2 4 3 2 2 2" xfId="17673" xr:uid="{48800EFA-9D3B-4A56-8A62-72B5EBF74EB4}"/>
    <cellStyle name="Percent 2 4 3 2 3" xfId="15479" xr:uid="{EC65C8B3-32D5-4D69-B56E-754EA1689943}"/>
    <cellStyle name="Percent 2 4 3 3" xfId="2696" xr:uid="{690B78AC-A303-4164-A68E-FE417A231D46}"/>
    <cellStyle name="Percent 2 4 3 3 2" xfId="16747" xr:uid="{237EDC16-55A8-4EF5-AEFD-9C1873778F9A}"/>
    <cellStyle name="Percent 2 4 3 4" xfId="4715" xr:uid="{84CC108A-625F-471E-9B5E-F6DA3EDACBB5}"/>
    <cellStyle name="Percent 2 4 3 4 2" xfId="18767" xr:uid="{1E056DAE-3727-4899-A666-0A7FA97E1D7C}"/>
    <cellStyle name="Percent 2 4 3 5" xfId="14552" xr:uid="{D2114C22-DB08-46C1-A57A-DBB6027651FB}"/>
    <cellStyle name="Percent 2 4 4" xfId="850" xr:uid="{A5057EF5-4E74-4A42-AFF2-D44C3FB81424}"/>
    <cellStyle name="Percent 2 4 4 2" xfId="1949" xr:uid="{8D828CB1-0278-4313-85D2-8A972F2F4236}"/>
    <cellStyle name="Percent 2 4 4 2 2" xfId="4138" xr:uid="{E44EFBC7-7327-40F8-A47D-345608A88E7D}"/>
    <cellStyle name="Percent 2 4 4 2 2 2" xfId="18190" xr:uid="{B70CFC5A-78D5-4EEA-B622-E9F77BCB2CD9}"/>
    <cellStyle name="Percent 2 4 4 2 3" xfId="15998" xr:uid="{8EC4A1D2-60B8-467F-B203-1E2C18229E29}"/>
    <cellStyle name="Percent 2 4 4 3" xfId="3042" xr:uid="{C95675FD-A675-4C68-A36B-FC74F59D706D}"/>
    <cellStyle name="Percent 2 4 4 3 2" xfId="17094" xr:uid="{5F5612F6-2ECF-4EB0-B44C-B1E9C58AB6A4}"/>
    <cellStyle name="Percent 2 4 4 4" xfId="14900" xr:uid="{B2C9F881-181E-43E7-A627-4176E71CE7FC}"/>
    <cellStyle name="Percent 2 4 5" xfId="1258" xr:uid="{0F510F73-D1D3-4B60-862B-EBD563C88AEE}"/>
    <cellStyle name="Percent 2 4 5 2" xfId="3448" xr:uid="{3D24DF79-7602-4826-B061-282EB5E86A89}"/>
    <cellStyle name="Percent 2 4 5 2 2" xfId="17500" xr:uid="{34E38183-69E9-4D11-818E-D2F7DD2608BD}"/>
    <cellStyle name="Percent 2 4 5 3" xfId="15306" xr:uid="{E2AF91AF-322E-4318-81C3-CC3C0C32B398}"/>
    <cellStyle name="Percent 2 4 6" xfId="2349" xr:uid="{93B8D8EB-7528-4F34-B076-A41B05DC9F83}"/>
    <cellStyle name="Percent 2 4 6 2" xfId="16400" xr:uid="{80720EAE-DEB4-4101-AE3B-79218389551C}"/>
    <cellStyle name="Percent 2 4 7" xfId="4542" xr:uid="{DD2A9C21-D6AB-444E-8191-BEDDAD9CBFA5}"/>
    <cellStyle name="Percent 2 4 7 2" xfId="18594" xr:uid="{7F8D1EF2-839C-4183-9887-E13A71926BFF}"/>
    <cellStyle name="Percent 2 4 8" xfId="14205" xr:uid="{4AB92133-B40F-4187-852B-2234D62ACA5D}"/>
    <cellStyle name="Percent 2 5" xfId="265" xr:uid="{5E849B73-A966-4534-AE1A-AFC5DD3962F0}"/>
    <cellStyle name="Percent 2 5 2" xfId="619" xr:uid="{BED41215-7466-4D38-8E2F-A3A44DB28DBE}"/>
    <cellStyle name="Percent 2 5 2 2" xfId="1722" xr:uid="{53DE631C-001B-4AEF-80B6-0616C0B1416D}"/>
    <cellStyle name="Percent 2 5 2 2 2" xfId="3910" xr:uid="{A1F4FAF3-2099-4E0A-B118-379F0444A7BF}"/>
    <cellStyle name="Percent 2 5 2 2 2 2" xfId="17962" xr:uid="{A733DA90-6062-4F34-844E-A18CB700F55C}"/>
    <cellStyle name="Percent 2 5 2 2 3" xfId="15770" xr:uid="{6952BB69-24A4-4F12-B57F-647DD83D1460}"/>
    <cellStyle name="Percent 2 5 2 3" xfId="2813" xr:uid="{A9539394-AC7B-4196-8735-F3A79FE64CA1}"/>
    <cellStyle name="Percent 2 5 2 3 2" xfId="16864" xr:uid="{26FF94B4-406C-4577-8534-347964595BE7}"/>
    <cellStyle name="Percent 2 5 2 4" xfId="14670" xr:uid="{D3CD6D85-2392-470C-8D5F-D70E9D1A5C70}"/>
    <cellStyle name="Percent 2 5 3" xfId="967" xr:uid="{53EB9E97-E35A-4425-A800-A7DEDE58D1F6}"/>
    <cellStyle name="Percent 2 5 3 2" xfId="2066" xr:uid="{A251965A-210A-4524-9510-3B6EA7BC0C5E}"/>
    <cellStyle name="Percent 2 5 3 2 2" xfId="4255" xr:uid="{EECAB06C-A359-4084-9F3B-F395F1FED2F5}"/>
    <cellStyle name="Percent 2 5 3 2 2 2" xfId="18306" xr:uid="{BED0EE8B-D3FC-4B31-9A57-7809FA8ADB89}"/>
    <cellStyle name="Percent 2 5 3 2 3" xfId="16115" xr:uid="{D34A08FA-9F3B-4066-BCA3-5BC2DE1AECEF}"/>
    <cellStyle name="Percent 2 5 3 3" xfId="3159" xr:uid="{71865B4F-00EC-434F-A208-3D5D8D8CA7D7}"/>
    <cellStyle name="Percent 2 5 3 3 2" xfId="17211" xr:uid="{DA9947B0-2165-4E0C-87D6-1D71A1150FA4}"/>
    <cellStyle name="Percent 2 5 3 4" xfId="15017" xr:uid="{BD8C6C57-1DEB-494C-B5FC-72B81D9EB092}"/>
    <cellStyle name="Percent 2 5 4" xfId="1547" xr:uid="{BC72F597-6A50-4F5C-B60B-4F114739C801}"/>
    <cellStyle name="Percent 2 5 4 2" xfId="3737" xr:uid="{BDF1D0F4-38DD-49F0-957C-AC01F6CAC48E}"/>
    <cellStyle name="Percent 2 5 4 2 2" xfId="17790" xr:uid="{CD458A9C-AFE9-4ACC-960E-FBA2464689B6}"/>
    <cellStyle name="Percent 2 5 4 3" xfId="15596" xr:uid="{EFA15018-CE45-4F6F-B791-E0D2482E770D}"/>
    <cellStyle name="Percent 2 5 5" xfId="2466" xr:uid="{26F06D4A-90C8-4417-B78F-9CA4623423F7}"/>
    <cellStyle name="Percent 2 5 5 2" xfId="16517" xr:uid="{880E7AAC-A470-42F5-8C32-7CA01A1132F5}"/>
    <cellStyle name="Percent 2 5 6" xfId="4832" xr:uid="{40116547-BA88-4E50-B0C1-F0BD3B9C1A9D}"/>
    <cellStyle name="Percent 2 5 6 2" xfId="18884" xr:uid="{34BADF30-3A36-483B-98FF-942A964EA850}"/>
    <cellStyle name="Percent 2 5 7" xfId="14322" xr:uid="{057C440A-AC4C-4C0D-BD78-71E061DE75D8}"/>
    <cellStyle name="Percent 2 6" xfId="440" xr:uid="{926CA7B4-A8BC-4994-A840-D023599697F1}"/>
    <cellStyle name="Percent 2 6 2" xfId="1373" xr:uid="{06AD8FE1-255E-47DB-96B0-6F9B050528DA}"/>
    <cellStyle name="Percent 2 6 2 2" xfId="3563" xr:uid="{0C616C9E-DA54-4C98-B726-ACB7107C532E}"/>
    <cellStyle name="Percent 2 6 2 2 2" xfId="17616" xr:uid="{F9762EDB-F646-4CEF-86BF-1A4501CCE61E}"/>
    <cellStyle name="Percent 2 6 2 3" xfId="15422" xr:uid="{19EC793C-3862-4231-A040-0B3D9222065C}"/>
    <cellStyle name="Percent 2 6 3" xfId="2639" xr:uid="{3875C83A-2FA3-489D-AA4D-3BCF95374A79}"/>
    <cellStyle name="Percent 2 6 3 2" xfId="16690" xr:uid="{8A0381A9-F7FB-43C6-8FDA-0D1D715041B9}"/>
    <cellStyle name="Percent 2 6 4" xfId="4658" xr:uid="{CEBD175F-176F-462C-BBD2-69F2AA55850F}"/>
    <cellStyle name="Percent 2 6 4 2" xfId="18710" xr:uid="{F5DC7BDF-A401-436E-B714-F65A21F87357}"/>
    <cellStyle name="Percent 2 6 5" xfId="14495" xr:uid="{B87270FD-4263-4AE0-8337-A88BA3736CC4}"/>
    <cellStyle name="Percent 2 7" xfId="793" xr:uid="{542FD2F3-1177-410B-A42A-4EED763894E7}"/>
    <cellStyle name="Percent 2 7 2" xfId="1893" xr:uid="{440C647D-1A83-4C03-AB35-2405C5B7A255}"/>
    <cellStyle name="Percent 2 7 2 2" xfId="4082" xr:uid="{83E69930-67A2-413F-9A8C-168C52D62441}"/>
    <cellStyle name="Percent 2 7 2 2 2" xfId="18134" xr:uid="{C6CE1D73-013A-4182-B540-EE8135317ADD}"/>
    <cellStyle name="Percent 2 7 2 3" xfId="15942" xr:uid="{BC80ACE0-21FB-47DE-81EA-6EE4D81B8C80}"/>
    <cellStyle name="Percent 2 7 3" xfId="2985" xr:uid="{9ADC98B6-1EDD-4E5E-8BEB-1E34B325EA67}"/>
    <cellStyle name="Percent 2 7 3 2" xfId="17037" xr:uid="{E87E798E-15E0-4BEA-B51F-6AF64BA5FD55}"/>
    <cellStyle name="Percent 2 7 4" xfId="14843" xr:uid="{7C623DFF-01DD-46AA-900B-647D2E6622FD}"/>
    <cellStyle name="Percent 2 8" xfId="1137" xr:uid="{8554D7FE-B5BE-4D89-9C33-6B6F816C7E5C}"/>
    <cellStyle name="Percent 2 8 2" xfId="2237" xr:uid="{840EE3BA-310C-4F4F-828D-150FCAEF2D7C}"/>
    <cellStyle name="Percent 2 8 2 2" xfId="4426" xr:uid="{0DA42635-3A49-4A9A-9040-C920285F9B02}"/>
    <cellStyle name="Percent 2 8 2 2 2" xfId="18476" xr:uid="{0CF0AD0B-E446-4D54-8EEB-464BBC336C32}"/>
    <cellStyle name="Percent 2 8 2 3" xfId="16286" xr:uid="{1F7A1961-57F7-471C-80A9-94024A7A131A}"/>
    <cellStyle name="Percent 2 8 3" xfId="3330" xr:uid="{2EFF41FB-1D0B-4488-B5D1-00271EBE9D3B}"/>
    <cellStyle name="Percent 2 8 3 2" xfId="17382" xr:uid="{84466664-952F-4CCD-8DAE-58D0C705D28B}"/>
    <cellStyle name="Percent 2 8 4" xfId="15188" xr:uid="{71EC3CD7-C4B5-4A2B-88A8-FEDDACFCA6AB}"/>
    <cellStyle name="Percent 2 9" xfId="1201" xr:uid="{980FDA49-9D88-4EE1-9046-03594DCD3899}"/>
    <cellStyle name="Percent 2 9 2" xfId="3391" xr:uid="{DF516AFF-31A7-4A82-94F3-C13DBC5E3077}"/>
    <cellStyle name="Percent 2 9 2 2" xfId="17443" xr:uid="{8326B3A4-0E1B-438A-8C97-79AA8EB52A5E}"/>
    <cellStyle name="Percent 2 9 3" xfId="15249" xr:uid="{B4591728-AD54-46A6-B894-7A77224C1861}"/>
    <cellStyle name="Percent 3" xfId="92" xr:uid="{0354ED16-20DC-4254-810E-20F2DD12D978}"/>
    <cellStyle name="Percent 3 10" xfId="2295" xr:uid="{8244C1EA-82E8-475E-977A-E4BE770A936A}"/>
    <cellStyle name="Percent 3 10 2" xfId="16346" xr:uid="{F23D0F7F-5145-4442-AC1F-C91575FF6CB5}"/>
    <cellStyle name="Percent 3 11" xfId="4489" xr:uid="{64CCECA6-1A6B-4300-A9A3-6DCC4D4317E1}"/>
    <cellStyle name="Percent 3 11 2" xfId="18540" xr:uid="{971726D8-A0F3-4E15-AED5-1AF71AA9D763}"/>
    <cellStyle name="Percent 3 12" xfId="14152" xr:uid="{360488B1-F174-49CD-AD94-814328D8D63C}"/>
    <cellStyle name="Percent 3 2" xfId="111" xr:uid="{74DB4F20-F99E-4C1C-89F8-24C0A46FE9D7}"/>
    <cellStyle name="Percent 3 2 10" xfId="4509" xr:uid="{C4236F31-5F3E-466B-BB59-3D0CD1A403A5}"/>
    <cellStyle name="Percent 3 2 10 2" xfId="18560" xr:uid="{8C91FF35-7790-4C16-84E7-A46F983E462B}"/>
    <cellStyle name="Percent 3 2 11" xfId="14171" xr:uid="{9A86865E-64F0-4776-9950-C2C82433009C}"/>
    <cellStyle name="Percent 3 2 2" xfId="226" xr:uid="{5922D74D-B913-412B-B415-2FAF2845DD8C}"/>
    <cellStyle name="Percent 3 2 2 2" xfId="403" xr:uid="{8FB5F529-F058-4D70-B219-3B86FE067EB8}"/>
    <cellStyle name="Percent 3 2 2 2 2" xfId="757" xr:uid="{DBDFAA03-769F-4A40-AF0A-0C801E3B4C69}"/>
    <cellStyle name="Percent 3 2 2 2 2 2" xfId="1858" xr:uid="{DAFBBF83-2E06-4D34-A65D-4F0E3C161814}"/>
    <cellStyle name="Percent 3 2 2 2 2 2 2" xfId="4047" xr:uid="{C00238A4-C4F4-460C-89FB-832D0CE511C7}"/>
    <cellStyle name="Percent 3 2 2 2 2 2 2 2" xfId="18099" xr:uid="{596D221B-72C2-4DFF-ADB0-6108443AAEF2}"/>
    <cellStyle name="Percent 3 2 2 2 2 2 3" xfId="15907" xr:uid="{4F830DC8-B5BB-42FD-851B-CDC2E1CE0B51}"/>
    <cellStyle name="Percent 3 2 2 2 2 3" xfId="2949" xr:uid="{C902627D-38A0-44B7-992B-32EA82E6D13C}"/>
    <cellStyle name="Percent 3 2 2 2 2 3 2" xfId="17001" xr:uid="{4F153CFB-18FF-4E49-8111-7151608540A4}"/>
    <cellStyle name="Percent 3 2 2 2 2 4" xfId="14808" xr:uid="{24DEB38C-7C32-44A3-9CAF-915CC49C683E}"/>
    <cellStyle name="Percent 3 2 2 2 3" xfId="1104" xr:uid="{8BBADA8F-D88F-4712-9252-957C9C431CB8}"/>
    <cellStyle name="Percent 3 2 2 2 3 2" xfId="2203" xr:uid="{8198CC20-C572-4428-825E-3736B1CA56EB}"/>
    <cellStyle name="Percent 3 2 2 2 3 2 2" xfId="4392" xr:uid="{052674DF-AEFA-409A-8569-4DF1C1999591}"/>
    <cellStyle name="Percent 3 2 2 2 3 2 2 2" xfId="18442" xr:uid="{0C81F395-1C9C-4510-840A-0CD44A20A758}"/>
    <cellStyle name="Percent 3 2 2 2 3 2 3" xfId="16252" xr:uid="{F50609DD-EFFE-4BE9-AF6E-6E3ABC8DC368}"/>
    <cellStyle name="Percent 3 2 2 2 3 3" xfId="3296" xr:uid="{CFECDB60-7609-4463-8E53-93E90B9E8D4C}"/>
    <cellStyle name="Percent 3 2 2 2 3 3 2" xfId="17348" xr:uid="{3BA32F51-7EC1-4382-945E-949433563F20}"/>
    <cellStyle name="Percent 3 2 2 2 3 4" xfId="15154" xr:uid="{98A92736-6A9B-472D-9DED-0CBDD0E5F57C}"/>
    <cellStyle name="Percent 3 2 2 2 4" xfId="1684" xr:uid="{393491DB-F9ED-4FF1-9D34-071C978B4AB2}"/>
    <cellStyle name="Percent 3 2 2 2 4 2" xfId="3874" xr:uid="{188C877C-2777-4EA3-A026-5AD5AA24BC6D}"/>
    <cellStyle name="Percent 3 2 2 2 4 2 2" xfId="17927" xr:uid="{06E0B84F-F000-4A47-BBE7-A61E8071F91E}"/>
    <cellStyle name="Percent 3 2 2 2 4 3" xfId="15733" xr:uid="{1616F7A3-2DB6-4841-9FC8-9B0E7D6BF343}"/>
    <cellStyle name="Percent 3 2 2 2 5" xfId="2603" xr:uid="{4815F6F3-0C40-4B5A-9FD5-86E14B131F7B}"/>
    <cellStyle name="Percent 3 2 2 2 5 2" xfId="16654" xr:uid="{A793FC2A-D26B-4C9B-B0AE-A1A417340EFB}"/>
    <cellStyle name="Percent 3 2 2 2 6" xfId="4969" xr:uid="{BB286F25-BB11-463A-9174-7CCB7C349102}"/>
    <cellStyle name="Percent 3 2 2 2 6 2" xfId="19021" xr:uid="{9B32C97C-FDB4-4109-9DB5-4D18BFBD3A2A}"/>
    <cellStyle name="Percent 3 2 2 2 7" xfId="14460" xr:uid="{D363DEDD-5458-4693-B916-044F193AEA66}"/>
    <cellStyle name="Percent 3 2 2 3" xfId="577" xr:uid="{327E8CA9-1143-4D91-AA63-E2547B032F85}"/>
    <cellStyle name="Percent 3 2 2 3 2" xfId="1510" xr:uid="{776F8834-751D-4251-A579-2BA15BB0DCCD}"/>
    <cellStyle name="Percent 3 2 2 3 2 2" xfId="3700" xr:uid="{D40921B0-E792-4152-848F-7E0C60CA8EEC}"/>
    <cellStyle name="Percent 3 2 2 3 2 2 2" xfId="17753" xr:uid="{0AA2BED0-00FD-49C0-8621-EA77093F5957}"/>
    <cellStyle name="Percent 3 2 2 3 2 3" xfId="15559" xr:uid="{3136E0A2-A7AA-4B31-BB61-C6FDD91F0F1A}"/>
    <cellStyle name="Percent 3 2 2 3 3" xfId="2776" xr:uid="{28338DA2-BAEE-4D79-A6E7-A78CC2E26828}"/>
    <cellStyle name="Percent 3 2 2 3 3 2" xfId="16827" xr:uid="{5200A819-4823-4CB4-9710-CA9A94D6EC7D}"/>
    <cellStyle name="Percent 3 2 2 3 4" xfId="4795" xr:uid="{76F52F09-EBA6-46A3-8840-E4BC8B981917}"/>
    <cellStyle name="Percent 3 2 2 3 4 2" xfId="18847" xr:uid="{6556C234-6894-480C-98EB-F82535B6BEAC}"/>
    <cellStyle name="Percent 3 2 2 3 5" xfId="14632" xr:uid="{F7643FFA-144D-4490-B034-5CFD427715D5}"/>
    <cellStyle name="Percent 3 2 2 4" xfId="930" xr:uid="{27C600E1-C335-4470-8CA4-93906E242988}"/>
    <cellStyle name="Percent 3 2 2 4 2" xfId="2029" xr:uid="{6F818D7D-9F1B-4AF4-84D8-5FDF30289C27}"/>
    <cellStyle name="Percent 3 2 2 4 2 2" xfId="4218" xr:uid="{4B2527EB-AFB3-4F20-9AD5-E78062C9AE8F}"/>
    <cellStyle name="Percent 3 2 2 4 2 2 2" xfId="18269" xr:uid="{4891E9D7-6B2A-4541-8C90-DB0F5AB2649E}"/>
    <cellStyle name="Percent 3 2 2 4 2 3" xfId="16078" xr:uid="{7C58ADB7-6034-4507-9767-4BE3BDB7573F}"/>
    <cellStyle name="Percent 3 2 2 4 3" xfId="3122" xr:uid="{0319D475-BA4A-475F-8764-03E02FDCB106}"/>
    <cellStyle name="Percent 3 2 2 4 3 2" xfId="17174" xr:uid="{01930411-951C-4B44-90E5-4E0515D8D23C}"/>
    <cellStyle name="Percent 3 2 2 4 4" xfId="14980" xr:uid="{1C5D17C7-0D7D-472F-85CB-DDC0F8B37A00}"/>
    <cellStyle name="Percent 3 2 2 5" xfId="1337" xr:uid="{C72C9135-8F95-4F8B-B3B6-8BE6663F7F85}"/>
    <cellStyle name="Percent 3 2 2 5 2" xfId="3528" xr:uid="{7B558A55-3BC6-40BB-985D-F39FDEF9F52F}"/>
    <cellStyle name="Percent 3 2 2 5 2 2" xfId="17580" xr:uid="{8B6E043F-C7B9-47C8-B125-04B60D5C2D56}"/>
    <cellStyle name="Percent 3 2 2 5 3" xfId="15386" xr:uid="{AA328156-C27D-4498-8BA0-287CD6DDF002}"/>
    <cellStyle name="Percent 3 2 2 6" xfId="2429" xr:uid="{E08EB64E-D268-4EE6-AB7D-016C2519A30E}"/>
    <cellStyle name="Percent 3 2 2 6 2" xfId="16480" xr:uid="{7732ECE0-87FF-432E-B5EA-7339DA520003}"/>
    <cellStyle name="Percent 3 2 2 7" xfId="4622" xr:uid="{6F4AFB08-8E4E-41E6-A60F-1571D759BD2A}"/>
    <cellStyle name="Percent 3 2 2 7 2" xfId="18674" xr:uid="{9CC35374-7EC7-4123-98EA-134CE1DD3E91}"/>
    <cellStyle name="Percent 3 2 2 8" xfId="14285" xr:uid="{BEB049B9-7035-4B86-8174-FD4E1627F75E}"/>
    <cellStyle name="Percent 3 2 3" xfId="169" xr:uid="{14922020-C0E3-444B-9A59-DA84FB833E66}"/>
    <cellStyle name="Percent 3 2 3 2" xfId="346" xr:uid="{BB25C197-DE70-4F2A-9BCE-3CA9AFE12F0A}"/>
    <cellStyle name="Percent 3 2 3 2 2" xfId="700" xr:uid="{1EA4A9BE-E8E3-4FEF-86B0-1851AE13E490}"/>
    <cellStyle name="Percent 3 2 3 2 2 2" xfId="1801" xr:uid="{5657CCBD-6E92-490C-838E-BA2BB3DC6DD6}"/>
    <cellStyle name="Percent 3 2 3 2 2 2 2" xfId="3990" xr:uid="{2348584B-7E6B-4295-85CA-1143B46DC03C}"/>
    <cellStyle name="Percent 3 2 3 2 2 2 2 2" xfId="18042" xr:uid="{187E1FA8-1B92-4790-B2D2-098599476A23}"/>
    <cellStyle name="Percent 3 2 3 2 2 2 3" xfId="15850" xr:uid="{4AEB2035-5C0F-46AB-AE5B-AA1E01E0D736}"/>
    <cellStyle name="Percent 3 2 3 2 2 3" xfId="2892" xr:uid="{8B40F17B-2B39-477E-8DC6-BB9C730744AB}"/>
    <cellStyle name="Percent 3 2 3 2 2 3 2" xfId="16944" xr:uid="{259D65A7-D80B-407D-B549-9EAED69750C5}"/>
    <cellStyle name="Percent 3 2 3 2 2 4" xfId="14751" xr:uid="{215BD53B-63C3-458A-B75E-21F74E3B2641}"/>
    <cellStyle name="Percent 3 2 3 2 3" xfId="1047" xr:uid="{14FA5533-D674-4750-832E-18E0CA688596}"/>
    <cellStyle name="Percent 3 2 3 2 3 2" xfId="2146" xr:uid="{C0EA91BD-3F63-4D15-BA68-CF4795E01B1A}"/>
    <cellStyle name="Percent 3 2 3 2 3 2 2" xfId="4335" xr:uid="{4379F3DE-2D4F-45D9-85F6-B6A20D04579B}"/>
    <cellStyle name="Percent 3 2 3 2 3 2 2 2" xfId="18385" xr:uid="{A04D12DA-593A-492F-999D-CF83C1289D06}"/>
    <cellStyle name="Percent 3 2 3 2 3 2 3" xfId="16195" xr:uid="{DF41986C-79C4-4344-B81D-8ED844343268}"/>
    <cellStyle name="Percent 3 2 3 2 3 3" xfId="3239" xr:uid="{B211AB63-B796-4D8A-934A-7799571B0E6B}"/>
    <cellStyle name="Percent 3 2 3 2 3 3 2" xfId="17291" xr:uid="{8D75927C-B361-465C-81AA-65CBE19FE0F3}"/>
    <cellStyle name="Percent 3 2 3 2 3 4" xfId="15097" xr:uid="{B897556B-FF94-47EA-87D2-9153FE810467}"/>
    <cellStyle name="Percent 3 2 3 2 4" xfId="1627" xr:uid="{CDC9253B-A8D0-4103-AF0A-DAFE8FF22311}"/>
    <cellStyle name="Percent 3 2 3 2 4 2" xfId="3817" xr:uid="{E62E6D35-47B6-4A00-94BA-999084BCF9E2}"/>
    <cellStyle name="Percent 3 2 3 2 4 2 2" xfId="17870" xr:uid="{30A6635B-93A2-4711-B892-72A1A4EA0342}"/>
    <cellStyle name="Percent 3 2 3 2 4 3" xfId="15676" xr:uid="{B2B2091D-C234-48E0-8A04-B25B2C41227E}"/>
    <cellStyle name="Percent 3 2 3 2 5" xfId="2546" xr:uid="{928EE6BB-9C1A-410C-B2F1-91858E63F247}"/>
    <cellStyle name="Percent 3 2 3 2 5 2" xfId="16597" xr:uid="{FA75DEC5-8EEC-4716-AA68-72EF5EC3EEEF}"/>
    <cellStyle name="Percent 3 2 3 2 6" xfId="4912" xr:uid="{7472B2BC-B6B0-4E44-B2AC-8D22131F4199}"/>
    <cellStyle name="Percent 3 2 3 2 6 2" xfId="18964" xr:uid="{285BFB86-EEEE-4B0D-8586-88C75A4F8944}"/>
    <cellStyle name="Percent 3 2 3 2 7" xfId="14403" xr:uid="{E5F9F174-7E92-4F3E-801C-2213E1CEDDC3}"/>
    <cellStyle name="Percent 3 2 3 3" xfId="520" xr:uid="{2ADCC619-7E5F-466F-80F7-188D39D0B407}"/>
    <cellStyle name="Percent 3 2 3 3 2" xfId="1453" xr:uid="{6AA72DFE-01F9-4448-B967-D49C362B70AD}"/>
    <cellStyle name="Percent 3 2 3 3 2 2" xfId="3643" xr:uid="{F9A0B04C-BF6E-4616-BC87-86BB3E8CEE71}"/>
    <cellStyle name="Percent 3 2 3 3 2 2 2" xfId="17696" xr:uid="{2504B356-DB3F-40D2-9A54-572A6DD6BF0A}"/>
    <cellStyle name="Percent 3 2 3 3 2 3" xfId="15502" xr:uid="{0530086D-8917-493A-8ABA-564C7A5A12E5}"/>
    <cellStyle name="Percent 3 2 3 3 3" xfId="2719" xr:uid="{888609F9-5608-4E84-9E5D-5284B1F16CAD}"/>
    <cellStyle name="Percent 3 2 3 3 3 2" xfId="16770" xr:uid="{030C3ECF-DAD1-4B1D-B665-A3CA8A715CCD}"/>
    <cellStyle name="Percent 3 2 3 3 4" xfId="4738" xr:uid="{E7754855-7CA5-404D-9AE4-47EAC9393C78}"/>
    <cellStyle name="Percent 3 2 3 3 4 2" xfId="18790" xr:uid="{AADB03C4-AFB3-4AC4-AC6F-102B1A365D04}"/>
    <cellStyle name="Percent 3 2 3 3 5" xfId="14575" xr:uid="{AB39739E-881D-46EA-A690-AC8F02F1B973}"/>
    <cellStyle name="Percent 3 2 3 4" xfId="873" xr:uid="{868E2326-6FBF-41F6-B7E3-66397E05436E}"/>
    <cellStyle name="Percent 3 2 3 4 2" xfId="1972" xr:uid="{148F6CF3-308C-4FB7-B78A-B042F586D47B}"/>
    <cellStyle name="Percent 3 2 3 4 2 2" xfId="4161" xr:uid="{F37EF46A-ABA9-494B-A651-10CC6A7B59B5}"/>
    <cellStyle name="Percent 3 2 3 4 2 2 2" xfId="18212" xr:uid="{E1E70C0F-A7E8-4EF6-9696-5FDDA130724D}"/>
    <cellStyle name="Percent 3 2 3 4 2 3" xfId="16021" xr:uid="{B9C36FD6-A031-40B0-ABF7-6EA20F72C73A}"/>
    <cellStyle name="Percent 3 2 3 4 3" xfId="3065" xr:uid="{14CD2001-20DE-425D-B16B-64E969B5A6F4}"/>
    <cellStyle name="Percent 3 2 3 4 3 2" xfId="17117" xr:uid="{89EFF60C-0B6C-4C10-AEBC-E54AA3B4EFD1}"/>
    <cellStyle name="Percent 3 2 3 4 4" xfId="14923" xr:uid="{111A77D0-5EA9-47A6-80A0-2356D9195A83}"/>
    <cellStyle name="Percent 3 2 3 5" xfId="1281" xr:uid="{D24A4D1E-B1E4-4BA5-A609-D2B6F93F0A0B}"/>
    <cellStyle name="Percent 3 2 3 5 2" xfId="3471" xr:uid="{37802A92-EA41-44DD-AE5E-62A871B01836}"/>
    <cellStyle name="Percent 3 2 3 5 2 2" xfId="17523" xr:uid="{1A5E7810-A5A9-457E-9B19-80E06873824C}"/>
    <cellStyle name="Percent 3 2 3 5 3" xfId="15329" xr:uid="{928055EC-CFF9-4E57-9F1F-0D7CF12B2AD8}"/>
    <cellStyle name="Percent 3 2 3 6" xfId="2372" xr:uid="{D2029C25-8F73-4853-BED2-3767ED003DE7}"/>
    <cellStyle name="Percent 3 2 3 6 2" xfId="16423" xr:uid="{A6160049-102B-47C2-B4D8-67911BB10986}"/>
    <cellStyle name="Percent 3 2 3 7" xfId="4565" xr:uid="{996A5600-6220-4BCD-95CA-21FBEBE96A72}"/>
    <cellStyle name="Percent 3 2 3 7 2" xfId="18617" xr:uid="{3EA7D5A4-6F90-41C5-BDFF-B326D95BA6FB}"/>
    <cellStyle name="Percent 3 2 3 8" xfId="14228" xr:uid="{2AD814C5-4717-49F4-A8F9-73AD5CF5BBAE}"/>
    <cellStyle name="Percent 3 2 4" xfId="289" xr:uid="{C26FBDB4-471B-4295-B736-7677CAE6E5EE}"/>
    <cellStyle name="Percent 3 2 4 2" xfId="643" xr:uid="{FD99B874-6B55-4467-A299-D0D84116512D}"/>
    <cellStyle name="Percent 3 2 4 2 2" xfId="1745" xr:uid="{3CFDD8EB-5FAE-4633-BAA5-C4EEF64B180D}"/>
    <cellStyle name="Percent 3 2 4 2 2 2" xfId="3933" xr:uid="{F90DBCBD-C571-4A5F-94F8-90BD5F644A7A}"/>
    <cellStyle name="Percent 3 2 4 2 2 2 2" xfId="17985" xr:uid="{3F9F7F47-20F5-453C-9D60-A16012A28EB5}"/>
    <cellStyle name="Percent 3 2 4 2 2 3" xfId="15793" xr:uid="{1FF00DFA-5564-402F-BF2D-CA5DE07FFE39}"/>
    <cellStyle name="Percent 3 2 4 2 3" xfId="2836" xr:uid="{1268A493-C8DF-43CF-96DA-04C86118C8E7}"/>
    <cellStyle name="Percent 3 2 4 2 3 2" xfId="16887" xr:uid="{534E34A3-4DC4-4653-A688-BE2EECD870AA}"/>
    <cellStyle name="Percent 3 2 4 2 4" xfId="14694" xr:uid="{997D83CB-E5D1-4410-99DE-3364DD10DB1D}"/>
    <cellStyle name="Percent 3 2 4 3" xfId="990" xr:uid="{D510E14B-7F7C-4B06-8A80-1AB64DF678A5}"/>
    <cellStyle name="Percent 3 2 4 3 2" xfId="2089" xr:uid="{984043DA-F932-4FDA-8D5C-21565364902F}"/>
    <cellStyle name="Percent 3 2 4 3 2 2" xfId="4278" xr:uid="{70DD7A94-0B1F-440E-A9E1-5EA41C9080E6}"/>
    <cellStyle name="Percent 3 2 4 3 2 2 2" xfId="18329" xr:uid="{ABB0D276-3256-4539-B000-DB7A7C56DDAD}"/>
    <cellStyle name="Percent 3 2 4 3 2 3" xfId="16138" xr:uid="{B6F5406D-A49D-4CFE-989F-CBEB4A275DEA}"/>
    <cellStyle name="Percent 3 2 4 3 3" xfId="3182" xr:uid="{FBD8CFC3-5671-410D-B76A-43D0C2918592}"/>
    <cellStyle name="Percent 3 2 4 3 3 2" xfId="17234" xr:uid="{E6261650-2DD1-4842-A779-782C241E9025}"/>
    <cellStyle name="Percent 3 2 4 3 4" xfId="15040" xr:uid="{6C5CB1E4-744A-4BE6-933F-AD6CA0F880F3}"/>
    <cellStyle name="Percent 3 2 4 4" xfId="1570" xr:uid="{D5D874E4-3510-43AE-946D-96E948814201}"/>
    <cellStyle name="Percent 3 2 4 4 2" xfId="3760" xr:uid="{918404A0-FC38-4D7C-B2E2-DBF9D89B1FC6}"/>
    <cellStyle name="Percent 3 2 4 4 2 2" xfId="17813" xr:uid="{961EB7BB-C49A-420E-8413-568BC272B671}"/>
    <cellStyle name="Percent 3 2 4 4 3" xfId="15619" xr:uid="{02B7F2BA-6433-42D4-ABC2-F734DE19C104}"/>
    <cellStyle name="Percent 3 2 4 5" xfId="2489" xr:uid="{AE92A004-5CE0-431F-A4A3-73CA085189A7}"/>
    <cellStyle name="Percent 3 2 4 5 2" xfId="16540" xr:uid="{EEB3DA29-764B-4423-89AF-0791FD317BF6}"/>
    <cellStyle name="Percent 3 2 4 6" xfId="4855" xr:uid="{730E184C-4E7E-4B74-9769-D523D855ED3E}"/>
    <cellStyle name="Percent 3 2 4 6 2" xfId="18907" xr:uid="{80055F16-0444-48DA-9E43-F782F3213E44}"/>
    <cellStyle name="Percent 3 2 4 7" xfId="14346" xr:uid="{CC2B5292-33D5-4F72-8A15-4C4514D3A0F8}"/>
    <cellStyle name="Percent 3 2 5" xfId="463" xr:uid="{6DCA1580-78B0-4B6B-B97D-F316657530DE}"/>
    <cellStyle name="Percent 3 2 5 2" xfId="1396" xr:uid="{5A7D54CE-4838-42BD-872F-B1D6ED11B086}"/>
    <cellStyle name="Percent 3 2 5 2 2" xfId="3586" xr:uid="{DCB45C10-DD2E-4CDC-9146-9281FC3F533A}"/>
    <cellStyle name="Percent 3 2 5 2 2 2" xfId="17639" xr:uid="{8935772C-0B5D-4DC3-992C-C72D296599AB}"/>
    <cellStyle name="Percent 3 2 5 2 3" xfId="15445" xr:uid="{4B6D9CE6-00BA-4167-96A4-77F669FD5CA4}"/>
    <cellStyle name="Percent 3 2 5 3" xfId="2662" xr:uid="{B7BE0817-0474-4552-9C74-D6903018A6F9}"/>
    <cellStyle name="Percent 3 2 5 3 2" xfId="16713" xr:uid="{56CAAA69-5456-42D0-B330-234D3773E090}"/>
    <cellStyle name="Percent 3 2 5 4" xfId="4681" xr:uid="{D0DB656D-591E-4219-B22D-C1A39F7353B4}"/>
    <cellStyle name="Percent 3 2 5 4 2" xfId="18733" xr:uid="{EA72FEA6-9BAD-4469-8A62-7B4D12C1F2F6}"/>
    <cellStyle name="Percent 3 2 5 5" xfId="14518" xr:uid="{CE08D6AE-52CC-44C2-9E73-A110179EFD37}"/>
    <cellStyle name="Percent 3 2 6" xfId="816" xr:uid="{3D40A6C3-D796-45EE-B4CD-639DB7F42E26}"/>
    <cellStyle name="Percent 3 2 6 2" xfId="1915" xr:uid="{DA9FAAA2-26DB-4984-A176-530E20E564DC}"/>
    <cellStyle name="Percent 3 2 6 2 2" xfId="4104" xr:uid="{C95B3A0F-9157-4C05-BCE0-11858C66110F}"/>
    <cellStyle name="Percent 3 2 6 2 2 2" xfId="18156" xr:uid="{06C92E3B-7F72-46FF-B564-2E1FBDD4E90F}"/>
    <cellStyle name="Percent 3 2 6 2 3" xfId="15964" xr:uid="{9B697A6F-9CE7-42DA-83B3-459B3C15E27B}"/>
    <cellStyle name="Percent 3 2 6 3" xfId="3008" xr:uid="{73F1E135-7032-4418-BE75-6C2ACF8E279D}"/>
    <cellStyle name="Percent 3 2 6 3 2" xfId="17060" xr:uid="{2E881FC9-CE2B-4002-92DF-664708ACFA7B}"/>
    <cellStyle name="Percent 3 2 6 4" xfId="14866" xr:uid="{11FB6045-4B3A-4ED1-AE97-7368EFD56D36}"/>
    <cellStyle name="Percent 3 2 7" xfId="1160" xr:uid="{BE6F631D-49CD-49BE-AD74-DEA70DC3EC75}"/>
    <cellStyle name="Percent 3 2 7 2" xfId="2260" xr:uid="{F50C0EC8-F951-4AF8-A450-4CC7FD79F9F9}"/>
    <cellStyle name="Percent 3 2 7 2 2" xfId="4449" xr:uid="{0ECD5C70-F6E5-4535-B72C-6585E586ABFA}"/>
    <cellStyle name="Percent 3 2 7 2 2 2" xfId="18499" xr:uid="{AC23651F-6F4F-4954-9ED5-3F411303EAC1}"/>
    <cellStyle name="Percent 3 2 7 2 3" xfId="16309" xr:uid="{12B48262-16BE-4D9E-8703-53C221CE49D5}"/>
    <cellStyle name="Percent 3 2 7 3" xfId="3353" xr:uid="{16D62BC7-AF95-459F-A531-C15F933DC79D}"/>
    <cellStyle name="Percent 3 2 7 3 2" xfId="17405" xr:uid="{65D0C542-0773-4753-9232-0A477942503C}"/>
    <cellStyle name="Percent 3 2 7 4" xfId="15211" xr:uid="{7B2BE977-51C2-47CA-BE83-A13FCE0D6D5A}"/>
    <cellStyle name="Percent 3 2 8" xfId="1224" xr:uid="{2CBB7AC1-8CBC-400E-A6FD-7D8E326258E2}"/>
    <cellStyle name="Percent 3 2 8 2" xfId="3414" xr:uid="{215D02F1-51C7-4C1D-9020-0A437B3580F0}"/>
    <cellStyle name="Percent 3 2 8 2 2" xfId="17466" xr:uid="{6D471D35-7C50-4507-B0E8-FA448E56F455}"/>
    <cellStyle name="Percent 3 2 8 3" xfId="15272" xr:uid="{E19DB734-D169-459C-9A8F-23A8F9C0EF28}"/>
    <cellStyle name="Percent 3 2 9" xfId="2315" xr:uid="{E3F2A79D-6714-4D02-BFB6-AB66D481EA8A}"/>
    <cellStyle name="Percent 3 2 9 2" xfId="16366" xr:uid="{1F54C65D-3FA7-4416-AF64-3FE4E479A61F}"/>
    <cellStyle name="Percent 3 3" xfId="206" xr:uid="{BFB7C388-3B42-4731-9E50-6548838F572E}"/>
    <cellStyle name="Percent 3 3 2" xfId="383" xr:uid="{15BE77C2-8CC2-411B-824E-5DAA37C8CF4B}"/>
    <cellStyle name="Percent 3 3 2 2" xfId="737" xr:uid="{D64A3EF0-B3C9-402D-84F0-0C56BE37A7FB}"/>
    <cellStyle name="Percent 3 3 2 2 2" xfId="1838" xr:uid="{3602DCA1-92FD-4244-B750-A1435F8F3A62}"/>
    <cellStyle name="Percent 3 3 2 2 2 2" xfId="4027" xr:uid="{303360AB-291D-4518-AE02-3977CF6C0E87}"/>
    <cellStyle name="Percent 3 3 2 2 2 2 2" xfId="18079" xr:uid="{B3BA77B8-A1AF-4D19-B7E1-EC63955C7EDC}"/>
    <cellStyle name="Percent 3 3 2 2 2 3" xfId="15887" xr:uid="{B82516FD-87DE-4BF5-90C3-E4F1610D1977}"/>
    <cellStyle name="Percent 3 3 2 2 3" xfId="2929" xr:uid="{A4E1A8EC-9B88-422F-9EC1-1110D84B21C3}"/>
    <cellStyle name="Percent 3 3 2 2 3 2" xfId="16981" xr:uid="{8BBA8CA9-213D-464B-859B-5945FE45C0AF}"/>
    <cellStyle name="Percent 3 3 2 2 4" xfId="14788" xr:uid="{157BD890-FF70-4EB2-83B0-677EF90B8D2D}"/>
    <cellStyle name="Percent 3 3 2 3" xfId="1084" xr:uid="{96D5B8B1-373E-495D-B9E5-C9A453569D65}"/>
    <cellStyle name="Percent 3 3 2 3 2" xfId="2183" xr:uid="{56948B5A-B7CA-416A-B007-157DB2C7F23F}"/>
    <cellStyle name="Percent 3 3 2 3 2 2" xfId="4372" xr:uid="{0F21FC51-CB13-469E-B47C-46B567961D99}"/>
    <cellStyle name="Percent 3 3 2 3 2 2 2" xfId="18422" xr:uid="{9741C0D9-0148-47DE-845A-5DD1817A8C0C}"/>
    <cellStyle name="Percent 3 3 2 3 2 3" xfId="16232" xr:uid="{92FDBA33-9AD4-4EF5-82A2-0DF83ADE3A74}"/>
    <cellStyle name="Percent 3 3 2 3 3" xfId="3276" xr:uid="{547EE080-5849-42F8-8565-B98322FF4466}"/>
    <cellStyle name="Percent 3 3 2 3 3 2" xfId="17328" xr:uid="{1D741B01-D951-4715-8048-FCB914D00207}"/>
    <cellStyle name="Percent 3 3 2 3 4" xfId="15134" xr:uid="{9CCB9B20-7953-440D-B791-D1F938E68CAA}"/>
    <cellStyle name="Percent 3 3 2 4" xfId="1664" xr:uid="{18CB39A3-E53A-4705-A042-4EED42D7E677}"/>
    <cellStyle name="Percent 3 3 2 4 2" xfId="3854" xr:uid="{2A0BA831-0906-4AB0-BA1D-8E26BC0DA7E8}"/>
    <cellStyle name="Percent 3 3 2 4 2 2" xfId="17907" xr:uid="{22B45CF6-F5F2-4E24-BE4B-BCC87F295DC1}"/>
    <cellStyle name="Percent 3 3 2 4 3" xfId="15713" xr:uid="{CE8B46B9-0901-415B-B404-0B21A21C5D99}"/>
    <cellStyle name="Percent 3 3 2 5" xfId="2583" xr:uid="{DB82DF62-681B-4890-B7BB-6D75D808AE1D}"/>
    <cellStyle name="Percent 3 3 2 5 2" xfId="16634" xr:uid="{8DE6A23C-8BA0-4F04-8167-5B198EB6289E}"/>
    <cellStyle name="Percent 3 3 2 6" xfId="4949" xr:uid="{C37D39A1-9F6D-44B9-B280-0C9CFBE9E674}"/>
    <cellStyle name="Percent 3 3 2 6 2" xfId="19001" xr:uid="{AFB27D15-3B5B-46D7-AAAA-90BB5E871142}"/>
    <cellStyle name="Percent 3 3 2 7" xfId="14440" xr:uid="{04CF1901-4957-4ADF-B8B2-2DBE0AA36407}"/>
    <cellStyle name="Percent 3 3 3" xfId="557" xr:uid="{86BA8468-F539-4ADF-9187-876842FDA090}"/>
    <cellStyle name="Percent 3 3 3 2" xfId="1490" xr:uid="{5F6376EC-5E6B-4089-8702-45DA778A900D}"/>
    <cellStyle name="Percent 3 3 3 2 2" xfId="3680" xr:uid="{B271F153-34D6-47AD-AAF7-CF99782DB139}"/>
    <cellStyle name="Percent 3 3 3 2 2 2" xfId="17733" xr:uid="{FFD6FB6E-4940-433D-B24E-2403C7BD1DFF}"/>
    <cellStyle name="Percent 3 3 3 2 3" xfId="15539" xr:uid="{CC8A4750-42D6-4E77-8D9C-5DAED5881227}"/>
    <cellStyle name="Percent 3 3 3 3" xfId="2756" xr:uid="{4FB2FB3B-2B46-43B0-B9C5-82F98824BB9E}"/>
    <cellStyle name="Percent 3 3 3 3 2" xfId="16807" xr:uid="{057AA08E-9541-440C-AF4F-2F2A78D9A3B2}"/>
    <cellStyle name="Percent 3 3 3 4" xfId="4775" xr:uid="{F2665CC8-2B02-4680-8CCE-FA628BAF27E3}"/>
    <cellStyle name="Percent 3 3 3 4 2" xfId="18827" xr:uid="{BD97A28A-B9DD-4255-ACB4-9C5D2477B565}"/>
    <cellStyle name="Percent 3 3 3 5" xfId="14612" xr:uid="{76FDC6BB-90A0-49E8-A3C6-458AB7B01629}"/>
    <cellStyle name="Percent 3 3 4" xfId="910" xr:uid="{CFF3B768-2AAF-40CD-ABF4-6BE8075E9EA3}"/>
    <cellStyle name="Percent 3 3 4 2" xfId="2009" xr:uid="{B92F37B9-CB3E-4CFA-8B8B-F97840EA47A5}"/>
    <cellStyle name="Percent 3 3 4 2 2" xfId="4198" xr:uid="{24A85C34-A84B-436A-B84D-7246F1ACD825}"/>
    <cellStyle name="Percent 3 3 4 2 2 2" xfId="18249" xr:uid="{C976ECC3-6FC3-465D-A439-B59024401B08}"/>
    <cellStyle name="Percent 3 3 4 2 3" xfId="16058" xr:uid="{4BA3CC2F-80D2-495D-8E7E-126D906B602E}"/>
    <cellStyle name="Percent 3 3 4 3" xfId="3102" xr:uid="{9C4B7B02-714C-4252-AD94-45046EEFCE8D}"/>
    <cellStyle name="Percent 3 3 4 3 2" xfId="17154" xr:uid="{DFF1A2AD-47CA-4147-B139-DD58D5540F84}"/>
    <cellStyle name="Percent 3 3 4 4" xfId="14960" xr:uid="{8D3B9C6C-F87F-47C9-92AD-290E5D18F3DD}"/>
    <cellStyle name="Percent 3 3 5" xfId="1317" xr:uid="{791274B6-643F-4266-AA3B-494C6AD4E3CD}"/>
    <cellStyle name="Percent 3 3 5 2" xfId="3508" xr:uid="{E0B398E3-FA51-43E2-822C-B25CB31B20F5}"/>
    <cellStyle name="Percent 3 3 5 2 2" xfId="17560" xr:uid="{D28D8235-AE20-405F-A61A-F5D90343FC06}"/>
    <cellStyle name="Percent 3 3 5 3" xfId="15366" xr:uid="{689F7C86-9DAD-41CC-8908-2C0EEB634B21}"/>
    <cellStyle name="Percent 3 3 6" xfId="2409" xr:uid="{ED998357-DB56-4F41-9B2F-8CD93ABE4906}"/>
    <cellStyle name="Percent 3 3 6 2" xfId="16460" xr:uid="{371EBBAA-61C1-4B8A-8EA0-C775FAACDA27}"/>
    <cellStyle name="Percent 3 3 7" xfId="4602" xr:uid="{F1A90332-6B59-4EF6-BA34-DD5FFC5221E4}"/>
    <cellStyle name="Percent 3 3 7 2" xfId="18654" xr:uid="{6A9956CA-0A42-4C48-8168-A2B06B7F9A03}"/>
    <cellStyle name="Percent 3 3 8" xfId="14265" xr:uid="{DEAD84EE-A286-4482-B469-9D02143DBAD0}"/>
    <cellStyle name="Percent 3 4" xfId="149" xr:uid="{7D52BE96-ADC9-4A9D-BDDD-6B991BC663AD}"/>
    <cellStyle name="Percent 3 4 2" xfId="326" xr:uid="{DCE3A20B-F99B-4E34-B47F-9F5A554ABAFB}"/>
    <cellStyle name="Percent 3 4 2 2" xfId="680" xr:uid="{FF620568-9A03-45C8-B928-6DBFB9E6729E}"/>
    <cellStyle name="Percent 3 4 2 2 2" xfId="1781" xr:uid="{E032E391-7AC6-4F35-A27D-9C5A9B19CDAD}"/>
    <cellStyle name="Percent 3 4 2 2 2 2" xfId="3970" xr:uid="{AEAB2187-9376-4682-B1D3-A9B1A592ECAC}"/>
    <cellStyle name="Percent 3 4 2 2 2 2 2" xfId="18022" xr:uid="{55CB2AAA-BA26-4138-A80D-98FE9099410F}"/>
    <cellStyle name="Percent 3 4 2 2 2 3" xfId="15830" xr:uid="{EC75A375-F5E4-413D-A827-648654347494}"/>
    <cellStyle name="Percent 3 4 2 2 3" xfId="2872" xr:uid="{E424532B-5502-4228-B8D2-A584C4CB689A}"/>
    <cellStyle name="Percent 3 4 2 2 3 2" xfId="16924" xr:uid="{DECA718A-4DB4-4F27-B673-44A61FCEC465}"/>
    <cellStyle name="Percent 3 4 2 2 4" xfId="14731" xr:uid="{24FDD730-D70B-4FFF-9C6B-AB9882374804}"/>
    <cellStyle name="Percent 3 4 2 3" xfId="1027" xr:uid="{88212D78-4577-4699-A9CB-05FA5DBE7B78}"/>
    <cellStyle name="Percent 3 4 2 3 2" xfId="2126" xr:uid="{776625A8-D10D-4149-ADB5-AC198521663C}"/>
    <cellStyle name="Percent 3 4 2 3 2 2" xfId="4315" xr:uid="{38796EE8-96B0-498A-B55C-8D60E28E7B5E}"/>
    <cellStyle name="Percent 3 4 2 3 2 2 2" xfId="18365" xr:uid="{66EBABBC-5DE3-443C-8500-C98CD15C3424}"/>
    <cellStyle name="Percent 3 4 2 3 2 3" xfId="16175" xr:uid="{9F16BA2A-A998-46B9-B435-B194D70D7D35}"/>
    <cellStyle name="Percent 3 4 2 3 3" xfId="3219" xr:uid="{4CCCBDA8-3148-4F25-B5FC-678BDB265E6A}"/>
    <cellStyle name="Percent 3 4 2 3 3 2" xfId="17271" xr:uid="{871A227F-8B53-4D13-8495-6F5110939AE6}"/>
    <cellStyle name="Percent 3 4 2 3 4" xfId="15077" xr:uid="{B3F4C284-12EC-4AC8-95C7-CDCB2D0BA406}"/>
    <cellStyle name="Percent 3 4 2 4" xfId="1607" xr:uid="{9B8E2FD4-3E39-45C9-8261-3E26A6CA3C85}"/>
    <cellStyle name="Percent 3 4 2 4 2" xfId="3797" xr:uid="{ABDE3B40-0E3A-49DB-A324-4F5E74AB853B}"/>
    <cellStyle name="Percent 3 4 2 4 2 2" xfId="17850" xr:uid="{CBFE8139-677C-43E9-965B-C1A9D6A2AAFD}"/>
    <cellStyle name="Percent 3 4 2 4 3" xfId="15656" xr:uid="{D722A66E-EF0B-4DD8-A0CB-23577083F3E5}"/>
    <cellStyle name="Percent 3 4 2 5" xfId="2526" xr:uid="{EEA7A92D-A4E3-4052-B790-DC1EDD307076}"/>
    <cellStyle name="Percent 3 4 2 5 2" xfId="16577" xr:uid="{4DE0A32E-6E21-4B14-9EEF-335572B25005}"/>
    <cellStyle name="Percent 3 4 2 6" xfId="4892" xr:uid="{6E7501F6-0882-43AE-92C2-29A404A2F646}"/>
    <cellStyle name="Percent 3 4 2 6 2" xfId="18944" xr:uid="{96B26076-F5DA-4929-90F0-74BDC284DBBB}"/>
    <cellStyle name="Percent 3 4 2 7" xfId="14383" xr:uid="{1EFD3600-6D07-4A19-AD05-685655ACF22A}"/>
    <cellStyle name="Percent 3 4 3" xfId="500" xr:uid="{0FE1B48E-7901-4DF5-B83F-34770813B42D}"/>
    <cellStyle name="Percent 3 4 3 2" xfId="1433" xr:uid="{B6A61E87-3D0F-41C8-B3A8-DBE267BF7C91}"/>
    <cellStyle name="Percent 3 4 3 2 2" xfId="3623" xr:uid="{2F0D2855-74CC-433A-AF36-81FE94B1C129}"/>
    <cellStyle name="Percent 3 4 3 2 2 2" xfId="17676" xr:uid="{26ED2874-C187-468F-ACC1-710E6E3467ED}"/>
    <cellStyle name="Percent 3 4 3 2 3" xfId="15482" xr:uid="{A85385B1-F804-41F8-92AB-A77F92AC4052}"/>
    <cellStyle name="Percent 3 4 3 3" xfId="2699" xr:uid="{30FFB093-88B5-4BDA-A8A0-18B549B53DD7}"/>
    <cellStyle name="Percent 3 4 3 3 2" xfId="16750" xr:uid="{A5479EF8-CCB5-4785-9697-AA7C099B0F4C}"/>
    <cellStyle name="Percent 3 4 3 4" xfId="4718" xr:uid="{5C1C04FF-A65F-4869-BDB1-815D7CA3E2AC}"/>
    <cellStyle name="Percent 3 4 3 4 2" xfId="18770" xr:uid="{91753705-4FDC-471E-B50A-4DA84BB05EB7}"/>
    <cellStyle name="Percent 3 4 3 5" xfId="14555" xr:uid="{5B9C78CB-21FC-4F69-A34C-E0DB6B485147}"/>
    <cellStyle name="Percent 3 4 4" xfId="853" xr:uid="{0760812C-D24F-4FB1-AB1D-0AE4555B6705}"/>
    <cellStyle name="Percent 3 4 4 2" xfId="1952" xr:uid="{CF67D2FC-4602-48BD-8083-D0B62FE3C87B}"/>
    <cellStyle name="Percent 3 4 4 2 2" xfId="4141" xr:uid="{046933F0-A512-4C9E-B4D8-C7B8AD597086}"/>
    <cellStyle name="Percent 3 4 4 2 2 2" xfId="18193" xr:uid="{75AAC2E6-BF48-4EA5-8354-0279C9C08846}"/>
    <cellStyle name="Percent 3 4 4 2 3" xfId="16001" xr:uid="{6A512FB0-2CEC-4E0B-9C20-F21EE3FF02E2}"/>
    <cellStyle name="Percent 3 4 4 3" xfId="3045" xr:uid="{FCBBD044-E42C-40E2-A958-6638C2CC1E2A}"/>
    <cellStyle name="Percent 3 4 4 3 2" xfId="17097" xr:uid="{DE95C707-9FE6-42F2-AC2B-A76AA7004ACC}"/>
    <cellStyle name="Percent 3 4 4 4" xfId="14903" xr:uid="{7561AA8A-055F-4587-AEBB-E62D0DD02D65}"/>
    <cellStyle name="Percent 3 4 5" xfId="1261" xr:uid="{C1482CD6-FFD0-4DF7-BB95-C85F90E45DB3}"/>
    <cellStyle name="Percent 3 4 5 2" xfId="3451" xr:uid="{147FE100-6F20-496E-9B91-981697CF7BE3}"/>
    <cellStyle name="Percent 3 4 5 2 2" xfId="17503" xr:uid="{5A5D1E62-5836-4AC1-A43E-76D1EDE9EFB2}"/>
    <cellStyle name="Percent 3 4 5 3" xfId="15309" xr:uid="{7A066F4B-2706-4315-99E1-4508DCB24D17}"/>
    <cellStyle name="Percent 3 4 6" xfId="2352" xr:uid="{1D18C3EA-9507-4E43-B0C8-66065EE0FE1D}"/>
    <cellStyle name="Percent 3 4 6 2" xfId="16403" xr:uid="{1396605E-09AC-4B99-9FF3-C203C4929F0F}"/>
    <cellStyle name="Percent 3 4 7" xfId="4545" xr:uid="{D90D831E-AABA-449A-9720-884EEAE7BE78}"/>
    <cellStyle name="Percent 3 4 7 2" xfId="18597" xr:uid="{EEA07343-D4F3-4CC5-ADEB-72A73A04C6C0}"/>
    <cellStyle name="Percent 3 4 8" xfId="14208" xr:uid="{F498BA5E-AC5A-4D1F-B5F9-AD5A402CD748}"/>
    <cellStyle name="Percent 3 5" xfId="269" xr:uid="{D6A94129-183E-4601-B290-9BD97A87F116}"/>
    <cellStyle name="Percent 3 5 2" xfId="623" xr:uid="{8A089144-B720-45FC-82E2-DE6A5CBDFF5A}"/>
    <cellStyle name="Percent 3 5 2 2" xfId="1725" xr:uid="{7AFB8DC5-D8AF-4ABB-A5FA-770065F75859}"/>
    <cellStyle name="Percent 3 5 2 2 2" xfId="3913" xr:uid="{1B0C26E8-09CA-460F-B3B6-424511D06A69}"/>
    <cellStyle name="Percent 3 5 2 2 2 2" xfId="17965" xr:uid="{2A13469D-2B33-4B0F-B44D-4CDE7C3B97FF}"/>
    <cellStyle name="Percent 3 5 2 2 3" xfId="15773" xr:uid="{DC9ACB28-A4F2-49F2-AF53-6210A8683544}"/>
    <cellStyle name="Percent 3 5 2 3" xfId="2816" xr:uid="{1303D7B4-1F2A-46AF-A834-A1408AA7C3E9}"/>
    <cellStyle name="Percent 3 5 2 3 2" xfId="16867" xr:uid="{89C090BC-0D90-4C61-ADB4-A60B63F68D46}"/>
    <cellStyle name="Percent 3 5 2 4" xfId="14674" xr:uid="{984AACBF-7562-4872-99F5-20D4A8558F60}"/>
    <cellStyle name="Percent 3 5 3" xfId="970" xr:uid="{55A7C370-C53B-4C1D-B1B9-AEB5A9E150EE}"/>
    <cellStyle name="Percent 3 5 3 2" xfId="2069" xr:uid="{6188CCB2-1EC7-4AB9-8834-C8A13375979F}"/>
    <cellStyle name="Percent 3 5 3 2 2" xfId="4258" xr:uid="{9CDF9B5E-5868-4655-9331-1F619C0D989C}"/>
    <cellStyle name="Percent 3 5 3 2 2 2" xfId="18309" xr:uid="{8CCDB7E2-5BD2-4481-AC75-ED64AAF45C25}"/>
    <cellStyle name="Percent 3 5 3 2 3" xfId="16118" xr:uid="{DDB62616-83C3-4E6C-B376-06CB545543FD}"/>
    <cellStyle name="Percent 3 5 3 3" xfId="3162" xr:uid="{B110B7BC-6359-49E5-8791-B827B40EB8DA}"/>
    <cellStyle name="Percent 3 5 3 3 2" xfId="17214" xr:uid="{85334713-D68F-4C26-BC94-8C301E6DDCC3}"/>
    <cellStyle name="Percent 3 5 3 4" xfId="15020" xr:uid="{70DD9319-0E4B-4D5E-9294-1F43F82D0CFA}"/>
    <cellStyle name="Percent 3 5 4" xfId="1550" xr:uid="{145F1C79-BECE-4ADF-A481-E1676946DF60}"/>
    <cellStyle name="Percent 3 5 4 2" xfId="3740" xr:uid="{40B20158-34AF-4673-84F2-AAA5FB4174E0}"/>
    <cellStyle name="Percent 3 5 4 2 2" xfId="17793" xr:uid="{48FDFC87-6A0D-48D8-8507-EB16EEA634E3}"/>
    <cellStyle name="Percent 3 5 4 3" xfId="15599" xr:uid="{4A828D97-98EE-4E24-98C2-D4190C00F0EF}"/>
    <cellStyle name="Percent 3 5 5" xfId="2469" xr:uid="{4C4DF871-FE9D-4F10-811D-EB3C858E6652}"/>
    <cellStyle name="Percent 3 5 5 2" xfId="16520" xr:uid="{E646B380-F69C-4E3D-AF20-E9A6FA9CD111}"/>
    <cellStyle name="Percent 3 5 6" xfId="4835" xr:uid="{515D3CEA-9A12-4972-B2AE-A0FEA63E644B}"/>
    <cellStyle name="Percent 3 5 6 2" xfId="18887" xr:uid="{3065B9A0-C25E-4C7F-8499-AC26CA522812}"/>
    <cellStyle name="Percent 3 5 7" xfId="14326" xr:uid="{B8B50A4D-E7C6-4447-A545-27935C3B174F}"/>
    <cellStyle name="Percent 3 6" xfId="443" xr:uid="{339D0AD9-73E4-4E3B-928B-48BE539D2B09}"/>
    <cellStyle name="Percent 3 6 2" xfId="1376" xr:uid="{3859A1BD-BEE7-4BEA-B49C-38D23B53D749}"/>
    <cellStyle name="Percent 3 6 2 2" xfId="3566" xr:uid="{3CEEC6C3-6A73-4E72-AD36-9864FECBFDE1}"/>
    <cellStyle name="Percent 3 6 2 2 2" xfId="17619" xr:uid="{EB4122ED-0BA5-44F0-B991-583C1F0F2BAD}"/>
    <cellStyle name="Percent 3 6 2 3" xfId="15425" xr:uid="{B77992B7-115C-47B8-AA85-7CE3CABB9BF8}"/>
    <cellStyle name="Percent 3 6 3" xfId="2642" xr:uid="{4DD172AA-2C3B-434A-B82F-CE9A12E11E31}"/>
    <cellStyle name="Percent 3 6 3 2" xfId="16693" xr:uid="{F295BC79-70E3-4DFA-A65C-2F48993715C8}"/>
    <cellStyle name="Percent 3 6 4" xfId="4661" xr:uid="{3E07E098-1F5B-4924-9E1C-FB51FD7DC854}"/>
    <cellStyle name="Percent 3 6 4 2" xfId="18713" xr:uid="{6B832669-31CE-45AD-A3D2-7F7A3A79B41E}"/>
    <cellStyle name="Percent 3 6 5" xfId="14498" xr:uid="{3D8479D6-D459-40AF-A57C-A07CB0885548}"/>
    <cellStyle name="Percent 3 7" xfId="796" xr:uid="{3CA50073-BD6B-4BBF-A2F6-447EF925623A}"/>
    <cellStyle name="Percent 3 7 2" xfId="1895" xr:uid="{44BCAFF8-8AA2-44E3-AC9D-AED9BAE72B71}"/>
    <cellStyle name="Percent 3 7 2 2" xfId="4084" xr:uid="{ED1D6C4C-52E9-41A1-B6D0-BCDC3323F368}"/>
    <cellStyle name="Percent 3 7 2 2 2" xfId="18136" xr:uid="{83FCA3EF-FECF-4D0D-AB09-7376C4C2D249}"/>
    <cellStyle name="Percent 3 7 2 3" xfId="15944" xr:uid="{D22DF7B1-2F13-4FAB-80EF-212174428E59}"/>
    <cellStyle name="Percent 3 7 3" xfId="2988" xr:uid="{696F84AC-8881-437A-A4C2-59F137FD7186}"/>
    <cellStyle name="Percent 3 7 3 2" xfId="17040" xr:uid="{2A2C3551-12B0-4E6D-92CC-E403D2EBE21D}"/>
    <cellStyle name="Percent 3 7 4" xfId="14846" xr:uid="{185AE970-A110-4A77-9557-CF824A5AC563}"/>
    <cellStyle name="Percent 3 8" xfId="1140" xr:uid="{A04D7094-283C-4114-A91D-FBC0404C863F}"/>
    <cellStyle name="Percent 3 8 2" xfId="2240" xr:uid="{1FC457D5-CBD4-4038-BBEB-3956DF7F1FB9}"/>
    <cellStyle name="Percent 3 8 2 2" xfId="4429" xr:uid="{0ECA5942-32BB-4FBD-9153-EB1806ABAB75}"/>
    <cellStyle name="Percent 3 8 2 2 2" xfId="18479" xr:uid="{2709175B-401D-400A-88E7-410FC59C4AFE}"/>
    <cellStyle name="Percent 3 8 2 3" xfId="16289" xr:uid="{E8B2B8AD-5CE9-4A6C-99E8-B72E6F1A57D9}"/>
    <cellStyle name="Percent 3 8 3" xfId="3333" xr:uid="{9B621CA8-F1EE-4C79-9FA2-912A67872501}"/>
    <cellStyle name="Percent 3 8 3 2" xfId="17385" xr:uid="{243B7328-5827-4A75-B65E-79E7C54D56D3}"/>
    <cellStyle name="Percent 3 8 4" xfId="15191" xr:uid="{14C580DC-CB78-4C04-8CE4-4C8946279A85}"/>
    <cellStyle name="Percent 3 9" xfId="1204" xr:uid="{75036E35-AE82-407B-B1ED-644B96BAB173}"/>
    <cellStyle name="Percent 3 9 2" xfId="3394" xr:uid="{D9493E8F-D5AF-4792-9E23-07294FD44B3A}"/>
    <cellStyle name="Percent 3 9 2 2" xfId="17446" xr:uid="{195C9CE3-9EA0-4B24-BDFB-CB4EC4AD1028}"/>
    <cellStyle name="Percent 3 9 3" xfId="15252" xr:uid="{EBF89300-D3CD-4086-9FD8-F991259D3F0A}"/>
    <cellStyle name="Percent 4" xfId="115" xr:uid="{5BE304B0-6A99-4BD2-BD3B-E48312C865F8}"/>
    <cellStyle name="Percent 4 10" xfId="4513" xr:uid="{93F68326-C5BD-429B-9A32-18E8D4B82037}"/>
    <cellStyle name="Percent 4 10 2" xfId="18564" xr:uid="{7B3D4F7F-FD36-49D6-B161-3E371CC8DE5B}"/>
    <cellStyle name="Percent 4 11" xfId="14175" xr:uid="{1A71C32F-D72F-4623-90C0-996A5C4C56EC}"/>
    <cellStyle name="Percent 4 2" xfId="230" xr:uid="{BCF414FC-B882-4AA7-93E9-530668CFC5EC}"/>
    <cellStyle name="Percent 4 2 2" xfId="407" xr:uid="{94F449CB-A08E-40C4-A769-0519C1BDDDC5}"/>
    <cellStyle name="Percent 4 2 2 2" xfId="761" xr:uid="{2DEF59F5-56E5-4DD4-A8A1-61805ADA7302}"/>
    <cellStyle name="Percent 4 2 2 2 2" xfId="1862" xr:uid="{3A61CE03-8B6D-4CCB-AE7D-BA456D7FFA50}"/>
    <cellStyle name="Percent 4 2 2 2 2 2" xfId="4051" xr:uid="{D945B50F-8041-4E8F-9A6F-B00D51A19771}"/>
    <cellStyle name="Percent 4 2 2 2 2 2 2" xfId="18103" xr:uid="{5CCD40F9-7D1C-4368-9A4F-8F56639AC579}"/>
    <cellStyle name="Percent 4 2 2 2 2 3" xfId="15911" xr:uid="{67CBB9BC-18A7-4B53-B111-7C1399C80181}"/>
    <cellStyle name="Percent 4 2 2 2 3" xfId="2953" xr:uid="{2332EFA1-BA5F-4F65-8B5B-096382DEAED7}"/>
    <cellStyle name="Percent 4 2 2 2 3 2" xfId="17005" xr:uid="{83B807C8-7C2B-4BEB-8F2C-09FF226001A1}"/>
    <cellStyle name="Percent 4 2 2 2 4" xfId="14812" xr:uid="{48C9CA97-1D09-4B93-8DD8-D23E8CE90D65}"/>
    <cellStyle name="Percent 4 2 2 3" xfId="1108" xr:uid="{AC34186B-01E9-42DB-A720-A80DD9A77DA6}"/>
    <cellStyle name="Percent 4 2 2 3 2" xfId="2207" xr:uid="{B0C38B82-7527-4B6D-A2BE-04CB961BB6BE}"/>
    <cellStyle name="Percent 4 2 2 3 2 2" xfId="4396" xr:uid="{BEB81AC1-43EF-4BB2-A23B-1F4A8D8275FB}"/>
    <cellStyle name="Percent 4 2 2 3 2 2 2" xfId="18446" xr:uid="{217AC463-20E3-499F-89BD-FA853426E56F}"/>
    <cellStyle name="Percent 4 2 2 3 2 3" xfId="16256" xr:uid="{60F55E45-972D-4650-AA93-66654AC753E6}"/>
    <cellStyle name="Percent 4 2 2 3 3" xfId="3300" xr:uid="{2B68D4EE-D1A6-40A6-814F-624AFCD4DD07}"/>
    <cellStyle name="Percent 4 2 2 3 3 2" xfId="17352" xr:uid="{DD01B4FA-8341-449C-BE21-C9E28A35DB2E}"/>
    <cellStyle name="Percent 4 2 2 3 4" xfId="15158" xr:uid="{F8A80364-A43F-4B2D-956B-8E76AA918E7B}"/>
    <cellStyle name="Percent 4 2 2 4" xfId="1688" xr:uid="{BEA4F974-1E13-4DB9-954F-012EF114A3F7}"/>
    <cellStyle name="Percent 4 2 2 4 2" xfId="3878" xr:uid="{44F2D11F-2D09-4067-822D-CE67DDCED473}"/>
    <cellStyle name="Percent 4 2 2 4 2 2" xfId="17931" xr:uid="{8B7059F5-DDA4-4159-BC27-0517C85D50FF}"/>
    <cellStyle name="Percent 4 2 2 4 3" xfId="15737" xr:uid="{61DD514C-F3F7-428F-A320-28E4103CE38C}"/>
    <cellStyle name="Percent 4 2 2 5" xfId="2607" xr:uid="{4BDE80ED-7A96-4FEA-9D5E-58B90C2118CC}"/>
    <cellStyle name="Percent 4 2 2 5 2" xfId="16658" xr:uid="{C81F6E3A-E0B2-4969-BD3F-BB6CFA19D847}"/>
    <cellStyle name="Percent 4 2 2 6" xfId="4973" xr:uid="{16B08D99-1E6D-4583-A1FF-FF26FD860320}"/>
    <cellStyle name="Percent 4 2 2 6 2" xfId="19025" xr:uid="{FE1B06C6-0A78-4660-911C-A77A9EBA56B6}"/>
    <cellStyle name="Percent 4 2 2 7" xfId="14464" xr:uid="{3790EE97-C63B-4F8D-8280-247D8305EA25}"/>
    <cellStyle name="Percent 4 2 3" xfId="581" xr:uid="{ACE2024B-7296-4BFD-9551-A49CCB683DEB}"/>
    <cellStyle name="Percent 4 2 3 2" xfId="1514" xr:uid="{BF51658E-9674-42EF-8317-C8016FFA3812}"/>
    <cellStyle name="Percent 4 2 3 2 2" xfId="3704" xr:uid="{0C918FD9-EC67-45DB-94F8-8A74B670ED0B}"/>
    <cellStyle name="Percent 4 2 3 2 2 2" xfId="17757" xr:uid="{1F141B0F-522B-4A4D-A07F-A95A15377BCD}"/>
    <cellStyle name="Percent 4 2 3 2 3" xfId="15563" xr:uid="{90CA3191-E927-4D1D-BB80-8B8CA0C196B2}"/>
    <cellStyle name="Percent 4 2 3 3" xfId="2780" xr:uid="{CDB25D43-AA07-41B0-A139-F33BB860970D}"/>
    <cellStyle name="Percent 4 2 3 3 2" xfId="16831" xr:uid="{4BAAC80F-FAD0-4D84-B8B4-7C1B41508D3E}"/>
    <cellStyle name="Percent 4 2 3 4" xfId="4799" xr:uid="{4F0253E9-6744-4DE4-A65D-A57B99013E8A}"/>
    <cellStyle name="Percent 4 2 3 4 2" xfId="18851" xr:uid="{FAF5BD5E-F0F6-4FD1-8F4A-902AA7293D7B}"/>
    <cellStyle name="Percent 4 2 3 5" xfId="14636" xr:uid="{653DD2EB-369A-4C4F-BDC8-12ADB3E7DB93}"/>
    <cellStyle name="Percent 4 2 4" xfId="934" xr:uid="{F397D689-92C7-4466-ACE0-158C6D4C92B2}"/>
    <cellStyle name="Percent 4 2 4 2" xfId="2033" xr:uid="{6A4C50CC-7F28-4E1D-AFCF-3837FA794BAE}"/>
    <cellStyle name="Percent 4 2 4 2 2" xfId="4222" xr:uid="{9D959110-C581-46AC-B3F9-F5A7D67F93F5}"/>
    <cellStyle name="Percent 4 2 4 2 2 2" xfId="18273" xr:uid="{E8F9CC2E-EE8A-4088-A47F-5A775D8033AD}"/>
    <cellStyle name="Percent 4 2 4 2 3" xfId="16082" xr:uid="{0633A215-C2BF-4397-A6CE-1351A58B8E75}"/>
    <cellStyle name="Percent 4 2 4 3" xfId="3126" xr:uid="{C56D49C2-9F63-4A33-A941-64EEF07D8120}"/>
    <cellStyle name="Percent 4 2 4 3 2" xfId="17178" xr:uid="{8BDD7CB4-F1C7-4AF3-95B9-C4EF93B30050}"/>
    <cellStyle name="Percent 4 2 4 4" xfId="14984" xr:uid="{3F2F60D3-2400-4A85-BF71-84D072125C07}"/>
    <cellStyle name="Percent 4 2 5" xfId="1341" xr:uid="{12AADFBB-65F1-4250-83C7-A66136622D61}"/>
    <cellStyle name="Percent 4 2 5 2" xfId="3532" xr:uid="{AC27CA24-DD80-4FFD-8D63-7AF899EC9C47}"/>
    <cellStyle name="Percent 4 2 5 2 2" xfId="17584" xr:uid="{E7CA15CE-E4AE-4666-88E7-0C5D884AF8C4}"/>
    <cellStyle name="Percent 4 2 5 3" xfId="15390" xr:uid="{7737A947-59C0-4083-AF94-7F6248AE065D}"/>
    <cellStyle name="Percent 4 2 6" xfId="2433" xr:uid="{63DE9BEE-608D-4F63-AB6E-153DE3404899}"/>
    <cellStyle name="Percent 4 2 6 2" xfId="16484" xr:uid="{BC510A33-A52A-491B-A66C-BD518247EBD8}"/>
    <cellStyle name="Percent 4 2 7" xfId="4626" xr:uid="{F8B67B2B-D2C4-4BF2-8780-C22C200268C5}"/>
    <cellStyle name="Percent 4 2 7 2" xfId="18678" xr:uid="{28E4A953-647C-49E3-9CA4-5E3BF45EC28F}"/>
    <cellStyle name="Percent 4 2 8" xfId="14289" xr:uid="{508A84A5-87C8-4116-8B66-ED757A817E1B}"/>
    <cellStyle name="Percent 4 3" xfId="173" xr:uid="{CF959BD8-C7AE-4DA5-B3C1-0D15263F3EB7}"/>
    <cellStyle name="Percent 4 3 2" xfId="350" xr:uid="{AA3C7FE4-8CDE-42BA-BE32-15C46470987B}"/>
    <cellStyle name="Percent 4 3 2 2" xfId="704" xr:uid="{DAECCF1A-C094-4356-97E1-A5D5268F122C}"/>
    <cellStyle name="Percent 4 3 2 2 2" xfId="1805" xr:uid="{1E9C0B87-65A9-4777-A9D9-5ADF2EAE61FB}"/>
    <cellStyle name="Percent 4 3 2 2 2 2" xfId="3994" xr:uid="{55C54936-F99E-4842-BB98-FE9C8731AE21}"/>
    <cellStyle name="Percent 4 3 2 2 2 2 2" xfId="18046" xr:uid="{C10A0D0F-7CE9-4F5E-AE95-84E0B89B8473}"/>
    <cellStyle name="Percent 4 3 2 2 2 3" xfId="15854" xr:uid="{675A6A6C-A1AF-4FCC-9F0C-9AAEF9383FEE}"/>
    <cellStyle name="Percent 4 3 2 2 3" xfId="2896" xr:uid="{6374EE78-0D7E-4F1A-BF94-01BA9C86E73E}"/>
    <cellStyle name="Percent 4 3 2 2 3 2" xfId="16948" xr:uid="{15E72C16-5F14-44C2-952E-270BD9D2FB81}"/>
    <cellStyle name="Percent 4 3 2 2 4" xfId="14755" xr:uid="{2DB14750-D86D-41B8-B0A7-80D1A654D3B4}"/>
    <cellStyle name="Percent 4 3 2 3" xfId="1051" xr:uid="{EBBD90F0-3475-4C40-8F53-B0968E947EC7}"/>
    <cellStyle name="Percent 4 3 2 3 2" xfId="2150" xr:uid="{AB541A21-EB6F-40AA-B5ED-D7FEF75A481D}"/>
    <cellStyle name="Percent 4 3 2 3 2 2" xfId="4339" xr:uid="{7A42ECDA-43B7-4474-84C8-9DE1053DD3A3}"/>
    <cellStyle name="Percent 4 3 2 3 2 2 2" xfId="18389" xr:uid="{55DCECF5-5544-4AA0-A96C-5EBE563C6A62}"/>
    <cellStyle name="Percent 4 3 2 3 2 3" xfId="16199" xr:uid="{C24E446A-20FE-4A5B-8F17-A06F499EF56F}"/>
    <cellStyle name="Percent 4 3 2 3 3" xfId="3243" xr:uid="{14F1750E-E1A1-4D9B-8EA3-4CDDDECF31F2}"/>
    <cellStyle name="Percent 4 3 2 3 3 2" xfId="17295" xr:uid="{5503838C-B3D0-41D8-86E2-A1F9F3CE49B3}"/>
    <cellStyle name="Percent 4 3 2 3 4" xfId="15101" xr:uid="{F665EC0B-786C-4F74-8B9B-527418C9D641}"/>
    <cellStyle name="Percent 4 3 2 4" xfId="1631" xr:uid="{C2575DB2-CE1E-4357-8AE1-DC8B337119B4}"/>
    <cellStyle name="Percent 4 3 2 4 2" xfId="3821" xr:uid="{1E9A3106-01D3-4F76-BC79-FB569E3D7192}"/>
    <cellStyle name="Percent 4 3 2 4 2 2" xfId="17874" xr:uid="{67B938C2-2F0B-4FEE-86F5-8B378514113B}"/>
    <cellStyle name="Percent 4 3 2 4 3" xfId="15680" xr:uid="{EBF82AB3-4081-4804-8F36-FD57E93F8F0C}"/>
    <cellStyle name="Percent 4 3 2 5" xfId="2550" xr:uid="{D97F01C7-C5D6-4DD6-8A27-227EE2A7D6AE}"/>
    <cellStyle name="Percent 4 3 2 5 2" xfId="16601" xr:uid="{F3259608-F008-474B-82EF-70512A6F6695}"/>
    <cellStyle name="Percent 4 3 2 6" xfId="4916" xr:uid="{20BD0BB1-6900-41E8-AF24-E3C4EE69023E}"/>
    <cellStyle name="Percent 4 3 2 6 2" xfId="18968" xr:uid="{18B6EABC-B8C3-4EE0-BB39-CB04B60506C4}"/>
    <cellStyle name="Percent 4 3 2 7" xfId="14407" xr:uid="{B945B934-1315-4863-B665-40CCF6936A0B}"/>
    <cellStyle name="Percent 4 3 3" xfId="524" xr:uid="{DF5A3C07-F7B1-4AA6-9752-8BF8E499C021}"/>
    <cellStyle name="Percent 4 3 3 2" xfId="1457" xr:uid="{500AC471-0C81-4B0B-9C6E-291F68BACADE}"/>
    <cellStyle name="Percent 4 3 3 2 2" xfId="3647" xr:uid="{8CC865BB-2B2B-4332-80C7-3DACEB8C5D8E}"/>
    <cellStyle name="Percent 4 3 3 2 2 2" xfId="17700" xr:uid="{93E715A4-5F93-47F5-9425-6584927D72F5}"/>
    <cellStyle name="Percent 4 3 3 2 3" xfId="15506" xr:uid="{13EE0A3C-C2D0-4D14-A365-06AABBA8A5FA}"/>
    <cellStyle name="Percent 4 3 3 3" xfId="2723" xr:uid="{6A15E486-9AE0-4E0F-8C4B-8557A13577E4}"/>
    <cellStyle name="Percent 4 3 3 3 2" xfId="16774" xr:uid="{852212E7-15CA-46E6-B5A0-1B8208CC712A}"/>
    <cellStyle name="Percent 4 3 3 4" xfId="4742" xr:uid="{AA96B81C-FB68-4299-888C-0509FF050B6F}"/>
    <cellStyle name="Percent 4 3 3 4 2" xfId="18794" xr:uid="{507AA94A-7F81-4E8A-8587-A182CA22971D}"/>
    <cellStyle name="Percent 4 3 3 5" xfId="14579" xr:uid="{874F5562-624A-49EB-AF7B-508556745D32}"/>
    <cellStyle name="Percent 4 3 4" xfId="877" xr:uid="{50532C69-B60A-446C-BA6F-84881923C271}"/>
    <cellStyle name="Percent 4 3 4 2" xfId="1976" xr:uid="{68C13CD8-E5AC-4AD2-BDFB-C9DD27D8DB14}"/>
    <cellStyle name="Percent 4 3 4 2 2" xfId="4165" xr:uid="{DA1BC817-C6E6-4A32-90C7-4380ACBE2327}"/>
    <cellStyle name="Percent 4 3 4 2 2 2" xfId="18216" xr:uid="{D7B9AC7B-E088-412D-AAFC-FFC6CF108DFA}"/>
    <cellStyle name="Percent 4 3 4 2 3" xfId="16025" xr:uid="{B6539D7A-E184-4162-8447-AFAE56C357B0}"/>
    <cellStyle name="Percent 4 3 4 3" xfId="3069" xr:uid="{325B762E-B369-402E-8F15-84E769D05D99}"/>
    <cellStyle name="Percent 4 3 4 3 2" xfId="17121" xr:uid="{E502B74D-66D2-4E6D-ADCA-82C34FFB2346}"/>
    <cellStyle name="Percent 4 3 4 4" xfId="14927" xr:uid="{48516D7E-6CC6-4B95-8FEA-B78D238BA0AB}"/>
    <cellStyle name="Percent 4 3 5" xfId="1285" xr:uid="{FD8D885B-B297-45AC-8943-CD71711AC0E8}"/>
    <cellStyle name="Percent 4 3 5 2" xfId="3475" xr:uid="{2F5B89FB-F7B8-4F38-A70A-23C5F21EF7FF}"/>
    <cellStyle name="Percent 4 3 5 2 2" xfId="17527" xr:uid="{8F09B62E-FD46-44EC-B50C-7E2060DC45D6}"/>
    <cellStyle name="Percent 4 3 5 3" xfId="15333" xr:uid="{710E60A1-B79A-44E3-BFC4-2865B821E26D}"/>
    <cellStyle name="Percent 4 3 6" xfId="2376" xr:uid="{CBC976B8-C8E9-4D7F-BD9D-E20F1E94D1EB}"/>
    <cellStyle name="Percent 4 3 6 2" xfId="16427" xr:uid="{E3DFE020-21BF-43BB-90BC-FFE0FEAF3645}"/>
    <cellStyle name="Percent 4 3 7" xfId="4569" xr:uid="{492715D7-F51E-4D1D-86F8-0ADCCAD2F153}"/>
    <cellStyle name="Percent 4 3 7 2" xfId="18621" xr:uid="{C59CD5CA-BE9E-4AD3-9E37-1897BC382BF4}"/>
    <cellStyle name="Percent 4 3 8" xfId="14232" xr:uid="{9E5D1A72-C736-414E-BD69-E3DDA2BFB2E1}"/>
    <cellStyle name="Percent 4 4" xfId="293" xr:uid="{EDEAA137-675C-4ADF-B4B2-6C60E8BE8420}"/>
    <cellStyle name="Percent 4 4 2" xfId="647" xr:uid="{B28D8FFD-F670-4324-9C3C-57BB43A1E0EB}"/>
    <cellStyle name="Percent 4 4 2 2" xfId="1749" xr:uid="{D1C3A6AF-CFD1-424F-AAF4-326DFA4AE018}"/>
    <cellStyle name="Percent 4 4 2 2 2" xfId="3937" xr:uid="{C99BD5C2-3BA8-4AF7-A789-0AF36B1CD42C}"/>
    <cellStyle name="Percent 4 4 2 2 2 2" xfId="17989" xr:uid="{95DED360-A204-46E9-9916-F3E9FC1E6B11}"/>
    <cellStyle name="Percent 4 4 2 2 3" xfId="15797" xr:uid="{CA08F30D-0A81-4A47-8C66-713F9B9773FB}"/>
    <cellStyle name="Percent 4 4 2 3" xfId="2840" xr:uid="{63B7C89B-8FB6-45DB-B5E3-B6461B3B3F40}"/>
    <cellStyle name="Percent 4 4 2 3 2" xfId="16891" xr:uid="{CC02A9CD-9C62-4C02-BE31-C3706A03BE2E}"/>
    <cellStyle name="Percent 4 4 2 4" xfId="14698" xr:uid="{AD75D912-3156-4AE5-9187-C65D3848D5B4}"/>
    <cellStyle name="Percent 4 4 3" xfId="994" xr:uid="{757E7922-AEF3-4C02-885B-64037605263D}"/>
    <cellStyle name="Percent 4 4 3 2" xfId="2093" xr:uid="{6D56FA6C-7524-482D-9C46-A5AB56BC5DF3}"/>
    <cellStyle name="Percent 4 4 3 2 2" xfId="4282" xr:uid="{4175C34A-0206-4308-8FA5-9E9455E8001C}"/>
    <cellStyle name="Percent 4 4 3 2 2 2" xfId="18333" xr:uid="{195875E7-2260-453C-8D15-599349F62948}"/>
    <cellStyle name="Percent 4 4 3 2 3" xfId="16142" xr:uid="{4498A023-0349-47D4-9987-D16002604DEF}"/>
    <cellStyle name="Percent 4 4 3 3" xfId="3186" xr:uid="{00079B6D-9723-49B9-96BF-E03F08C8617B}"/>
    <cellStyle name="Percent 4 4 3 3 2" xfId="17238" xr:uid="{9F5083C1-A77F-4193-9E88-1438629F41EB}"/>
    <cellStyle name="Percent 4 4 3 4" xfId="15044" xr:uid="{F2D53316-678B-4D75-B57C-25C44DDE14A0}"/>
    <cellStyle name="Percent 4 4 4" xfId="1574" xr:uid="{18BF3241-E3C8-4F7A-B391-2AF383E37748}"/>
    <cellStyle name="Percent 4 4 4 2" xfId="3764" xr:uid="{DC9BB4B7-E807-4FA5-842B-AB2E3BB52E1D}"/>
    <cellStyle name="Percent 4 4 4 2 2" xfId="17817" xr:uid="{1BFC8DCA-F2A9-4C70-AFA0-2C0F0B6DB142}"/>
    <cellStyle name="Percent 4 4 4 3" xfId="15623" xr:uid="{50CE91F0-C3D3-4169-8DBA-EDBC0969C5E2}"/>
    <cellStyle name="Percent 4 4 5" xfId="2493" xr:uid="{F168141A-86C5-4AE7-B05A-CE0F9D8AD1F4}"/>
    <cellStyle name="Percent 4 4 5 2" xfId="16544" xr:uid="{BBCD5A3D-7841-4224-9630-26A3E04A5CE8}"/>
    <cellStyle name="Percent 4 4 6" xfId="4859" xr:uid="{9B9A5B73-CCB9-48C3-9812-BF4C1A62EEA4}"/>
    <cellStyle name="Percent 4 4 6 2" xfId="18911" xr:uid="{C05A931D-4808-431F-A5AC-660956AF64E7}"/>
    <cellStyle name="Percent 4 4 7" xfId="14350" xr:uid="{65221DBB-286D-4436-BA23-CABD297230C1}"/>
    <cellStyle name="Percent 4 5" xfId="467" xr:uid="{C24490EC-1902-4DEE-BA5E-8E55F25767F7}"/>
    <cellStyle name="Percent 4 5 2" xfId="1400" xr:uid="{30EEDEBC-0454-465F-AF44-ED49B64FDAC8}"/>
    <cellStyle name="Percent 4 5 2 2" xfId="3590" xr:uid="{63C3398C-A602-4D93-8A9E-5E3FEE7C572C}"/>
    <cellStyle name="Percent 4 5 2 2 2" xfId="17643" xr:uid="{4D733D62-14B6-4F53-8E8C-EE79ED8A8649}"/>
    <cellStyle name="Percent 4 5 2 3" xfId="15449" xr:uid="{FB7A0B33-4471-4E2D-8B6A-0A4C4CB38067}"/>
    <cellStyle name="Percent 4 5 3" xfId="2666" xr:uid="{E3C1ECC4-0F13-4A8E-934F-95E5E5FFDBAB}"/>
    <cellStyle name="Percent 4 5 3 2" xfId="16717" xr:uid="{F60BED7F-B657-4ECB-BD8F-861212C1DEE3}"/>
    <cellStyle name="Percent 4 5 4" xfId="4685" xr:uid="{C514D45B-B9E9-4348-8D81-885E42F415C8}"/>
    <cellStyle name="Percent 4 5 4 2" xfId="18737" xr:uid="{B969902F-7317-4D71-8C60-DECE3631595D}"/>
    <cellStyle name="Percent 4 5 5" xfId="14522" xr:uid="{C3CC14E1-798C-4445-81CA-7BC3C6D4D425}"/>
    <cellStyle name="Percent 4 6" xfId="820" xr:uid="{3BCD95DC-210A-45ED-A95A-F38522B0FB79}"/>
    <cellStyle name="Percent 4 6 2" xfId="1919" xr:uid="{0D22D267-263C-43EF-A24F-2E787241C9FA}"/>
    <cellStyle name="Percent 4 6 2 2" xfId="4108" xr:uid="{692BEF49-AC69-4168-A63D-7F61EFD2A7FC}"/>
    <cellStyle name="Percent 4 6 2 2 2" xfId="18160" xr:uid="{9408E433-6429-4550-BC20-EA3254C8F714}"/>
    <cellStyle name="Percent 4 6 2 3" xfId="15968" xr:uid="{B97F8D9D-DF33-4BF9-9C45-62C9E2B1EFBA}"/>
    <cellStyle name="Percent 4 6 3" xfId="3012" xr:uid="{4A7ABB32-07AA-4E06-810A-635E179F3C82}"/>
    <cellStyle name="Percent 4 6 3 2" xfId="17064" xr:uid="{78411514-6ACB-42B3-A4BF-70FDC4008A50}"/>
    <cellStyle name="Percent 4 6 4" xfId="14870" xr:uid="{C6C2A8F9-C4F8-4202-A0C9-C00A610BDF48}"/>
    <cellStyle name="Percent 4 7" xfId="1164" xr:uid="{74C21E26-6DDD-4B9C-877A-F0F3A741B84D}"/>
    <cellStyle name="Percent 4 7 2" xfId="2263" xr:uid="{0E2E7364-4723-4734-8A19-881F3FAB877D}"/>
    <cellStyle name="Percent 4 7 2 2" xfId="4452" xr:uid="{459A42BC-C392-4D88-9DE9-8B1050A78F99}"/>
    <cellStyle name="Percent 4 7 2 2 2" xfId="18503" xr:uid="{E259145F-6681-4D16-89EA-FC4892E5A8C7}"/>
    <cellStyle name="Percent 4 7 2 3" xfId="16313" xr:uid="{086E4B24-7241-4C4E-8FA4-1426CF9EF55D}"/>
    <cellStyle name="Percent 4 7 3" xfId="3357" xr:uid="{92907D2D-C60D-4BE2-8D8D-06788A0F3F64}"/>
    <cellStyle name="Percent 4 7 3 2" xfId="17409" xr:uid="{6B7D6EEB-5B1F-4792-81FF-8C82026FF001}"/>
    <cellStyle name="Percent 4 7 4" xfId="15215" xr:uid="{02A0C1E0-4BE4-4CA9-8924-76FEC9FCC898}"/>
    <cellStyle name="Percent 4 8" xfId="1228" xr:uid="{B249F06B-95D1-41DF-B260-C87E7187A632}"/>
    <cellStyle name="Percent 4 8 2" xfId="3418" xr:uid="{74520D50-DE19-4D31-BEE3-5935BF457F15}"/>
    <cellStyle name="Percent 4 8 2 2" xfId="17470" xr:uid="{B5A25406-3ABA-4AC3-A40B-8DEA902A3A1B}"/>
    <cellStyle name="Percent 4 8 3" xfId="15276" xr:uid="{FF948968-ADEF-4B65-8823-8FCAB95E659C}"/>
    <cellStyle name="Percent 4 9" xfId="2319" xr:uid="{C80099AB-19F6-4EFD-B5AB-A3EB4AB89C69}"/>
    <cellStyle name="Percent 4 9 2" xfId="16370" xr:uid="{CE869A27-F32A-4B2D-BAD6-FD452ADA5C2E}"/>
    <cellStyle name="Percent 5" xfId="262" xr:uid="{5ED4754C-8971-4D85-8F8B-6B471A468CBE}"/>
    <cellStyle name="Percent 5 2" xfId="616" xr:uid="{1FCA836D-9D27-4B6C-B32B-73581F3EECCF}"/>
    <cellStyle name="Percent 6" xfId="248" xr:uid="{6FA59360-CE94-469F-B9CA-C524A9A7867A}"/>
    <cellStyle name="Percent 6 2" xfId="602" xr:uid="{41BC7425-1852-407C-AC9F-E70EE7BBF17B}"/>
    <cellStyle name="Percent 6 2 2" xfId="1707" xr:uid="{6B7DF73D-ABB5-47DB-B901-477ACF059DD9}"/>
    <cellStyle name="Percent 6 2 2 2" xfId="3895" xr:uid="{C3C8F673-FBAF-4FC1-BD0B-C76CB14FE463}"/>
    <cellStyle name="Percent 6 2 2 2 2" xfId="17947" xr:uid="{CBC1F288-1300-434B-8E8A-CB50BE697A78}"/>
    <cellStyle name="Percent 6 2 2 3" xfId="15755" xr:uid="{AE826177-47FD-4BCB-B5E9-5A0BE12F9256}"/>
    <cellStyle name="Percent 6 2 3" xfId="2798" xr:uid="{117CEDE3-B469-46E7-B134-245D9DC973D9}"/>
    <cellStyle name="Percent 6 2 3 2" xfId="16849" xr:uid="{E85ECAE5-F1E5-4540-854D-EEA2788C7B8B}"/>
    <cellStyle name="Percent 6 2 4" xfId="14655" xr:uid="{7714FE80-AF83-4BA9-9E7C-BEA9C1DFAFA3}"/>
    <cellStyle name="Percent 6 3" xfId="952" xr:uid="{9A1DC489-A504-48FB-A48C-A42A5E9BC06E}"/>
    <cellStyle name="Percent 6 3 2" xfId="2051" xr:uid="{0678CEEA-AF10-4285-975F-D153F80912B8}"/>
    <cellStyle name="Percent 6 3 2 2" xfId="4240" xr:uid="{B5C80F00-6A77-4AFA-8FE5-8EEDE4739DF4}"/>
    <cellStyle name="Percent 6 3 2 2 2" xfId="18291" xr:uid="{1B66A29A-D65F-4211-8B57-CFBE97C75D44}"/>
    <cellStyle name="Percent 6 3 2 3" xfId="16100" xr:uid="{9C172BE9-5C1B-4711-B102-7681E5D38A6D}"/>
    <cellStyle name="Percent 6 3 3" xfId="3144" xr:uid="{8EEEA8A5-6B0D-4896-95F4-1D74043455B5}"/>
    <cellStyle name="Percent 6 3 3 2" xfId="17196" xr:uid="{04CF64BB-C5DD-4947-96B2-00703780F0E1}"/>
    <cellStyle name="Percent 6 3 4" xfId="15002" xr:uid="{2477BEF3-381F-4264-96F1-18CF425A9E70}"/>
    <cellStyle name="Percent 6 4" xfId="1532" xr:uid="{1545312F-4D60-4367-8595-18F6FDD86094}"/>
    <cellStyle name="Percent 6 4 2" xfId="3722" xr:uid="{D9FAD44C-A3E2-4874-A09A-62A685A9C091}"/>
    <cellStyle name="Percent 6 4 2 2" xfId="17775" xr:uid="{B79556E4-EC29-4EBB-A77B-16488D307495}"/>
    <cellStyle name="Percent 6 4 3" xfId="15581" xr:uid="{95FBA0DD-9126-4375-953A-28611C41F2F8}"/>
    <cellStyle name="Percent 6 5" xfId="2451" xr:uid="{8D1E6D53-5127-48F9-BE3B-A8EC9CCD452F}"/>
    <cellStyle name="Percent 6 5 2" xfId="16502" xr:uid="{A0DC9F3F-941D-459C-86F9-9AD7D87D9F10}"/>
    <cellStyle name="Percent 6 6" xfId="4817" xr:uid="{37695804-AEE9-4999-A654-34066C699D04}"/>
    <cellStyle name="Percent 6 6 2" xfId="18869" xr:uid="{1DAC8041-F069-48B4-9401-46F55D031E1A}"/>
    <cellStyle name="Percent 6 7" xfId="14307" xr:uid="{7CC8E99E-3BA4-4B9F-933B-5957F0A02941}"/>
    <cellStyle name="Percent 7" xfId="597" xr:uid="{3A5D4436-E7B8-4AB4-9310-8786CDBB8EE5}"/>
    <cellStyle name="Percent 8" xfId="424" xr:uid="{776ADF44-D671-4564-AEB9-8D42AE8219D1}"/>
    <cellStyle name="Percent 8 2" xfId="1358" xr:uid="{F5B2326A-921A-43BC-8975-1E679A8BCAE9}"/>
    <cellStyle name="Percent 8 2 2" xfId="3549" xr:uid="{8650304B-945F-4553-9D6E-6AB22B7B546B}"/>
    <cellStyle name="Percent 8 2 2 2" xfId="17601" xr:uid="{994F04BF-AB2A-45E0-8215-D989CCDD5FA6}"/>
    <cellStyle name="Percent 8 2 3" xfId="15407" xr:uid="{ADEF0B1D-7CEE-4AE3-8C3C-3338FF7A181D}"/>
    <cellStyle name="Percent 8 3" xfId="2624" xr:uid="{E377034D-84EA-4D51-8AE5-676BA1D11977}"/>
    <cellStyle name="Percent 8 3 2" xfId="16675" xr:uid="{32928BE5-65A9-4D5C-8CD1-A9B769BD5B48}"/>
    <cellStyle name="Percent 8 4" xfId="4643" xr:uid="{8717795B-358D-4A1E-9EDD-61B89846EE8E}"/>
    <cellStyle name="Percent 8 4 2" xfId="18695" xr:uid="{8F85CA67-F6F4-43A6-B9E8-4A748890768A}"/>
    <cellStyle name="Percent 8 5" xfId="14480" xr:uid="{A2279B37-A3E6-4CA0-BF67-2003C60254BB}"/>
    <cellStyle name="Percent 9" xfId="778" xr:uid="{101C3019-87E9-45BC-9ED7-08F0633281B5}"/>
    <cellStyle name="Percent 9 2" xfId="1198" xr:uid="{1B385058-DB74-4B15-98E1-C2EAFF195015}"/>
    <cellStyle name="Percent 9 3" xfId="1879" xr:uid="{31CED4EB-1814-4A8C-9D32-BF94B4E0DAE3}"/>
    <cellStyle name="Percent 9 3 2" xfId="4068" xr:uid="{09BFEB85-2EDA-4E9B-BB8A-A7B0B83EB76E}"/>
    <cellStyle name="Percent 9 3 2 2" xfId="18120" xr:uid="{6B6236FC-8710-4ADD-85AD-98A967D8B0C5}"/>
    <cellStyle name="Percent 9 3 3" xfId="15928" xr:uid="{A05313DF-60C5-407F-97CD-F0BFAF06C562}"/>
    <cellStyle name="Percent 9 4" xfId="2970" xr:uid="{7651C82A-2D38-4B26-AD20-62274897BA06}"/>
    <cellStyle name="Percent 9 4 2" xfId="17022" xr:uid="{C7E190B9-96CB-4888-A2F5-B86333EFFCF7}"/>
    <cellStyle name="Percent 9 5" xfId="14828" xr:uid="{8C7304FF-700F-4BC9-A03A-E83C713C8C84}"/>
    <cellStyle name="Title" xfId="29" builtinId="15" customBuiltin="1"/>
    <cellStyle name="Title 2" xfId="79" xr:uid="{C8BC42CA-2904-4654-BB5F-1CA1516CC82B}"/>
    <cellStyle name="Total" xfId="38" builtinId="25" customBuiltin="1"/>
    <cellStyle name="Warning Text" xfId="36" builtinId="11" customBuiltin="1"/>
  </cellStyles>
  <dxfs count="400">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ertAlign val="baseline"/>
        <sz val="9"/>
        <color theme="10"/>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i val="0"/>
        <strike val="0"/>
        <condense val="0"/>
        <extend val="0"/>
        <outline val="0"/>
        <shadow val="0"/>
        <u val="none"/>
        <vertAlign val="baseline"/>
        <sz val="9"/>
        <color theme="1"/>
        <name val="Segoe UI"/>
        <scheme val="none"/>
      </font>
      <fill>
        <patternFill patternType="none">
          <fgColor indexed="64"/>
          <bgColor indexed="65"/>
        </patternFill>
      </fill>
    </dxf>
    <dxf>
      <border diagonalUp="0" diagonalDown="0">
        <left/>
        <right style="medium">
          <color indexed="64"/>
        </right>
        <top/>
        <bottom/>
        <vertical/>
        <horizontal/>
      </border>
    </dxf>
    <dxf>
      <numFmt numFmtId="0" formatCode="General"/>
      <border diagonalUp="0" diagonalDown="0">
        <left style="medium">
          <color indexed="64"/>
        </left>
        <right/>
        <top/>
        <bottom/>
        <vertical/>
        <horizontal/>
      </border>
    </dxf>
    <dxf>
      <numFmt numFmtId="10" formatCode="&quot;$&quot;#,##0;[Red]\-&quot;$&quot;#,##0"/>
    </dxf>
    <dxf>
      <numFmt numFmtId="10" formatCode="&quot;$&quot;#,##0;[Red]\-&quot;$&quot;#,##0"/>
    </dxf>
    <dxf>
      <font>
        <b val="0"/>
        <strike val="0"/>
        <outline val="0"/>
        <shadow val="0"/>
        <u val="none"/>
        <vertAlign val="baseline"/>
        <sz val="12"/>
        <color theme="1"/>
        <name val="Calibri"/>
        <family val="2"/>
        <scheme val="minor"/>
      </font>
    </dxf>
    <dxf>
      <alignment horizontal="general" vertical="bottom" textRotation="0" wrapText="1"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numFmt numFmtId="164" formatCode="_(&quot;$&quot;* #,##0.00_);_(&quot;$&quot;* \(#,##0.00\);_(&quot;$&quot;* &quot;-&quot;??_);_(@_)"/>
      <border diagonalUp="0" diagonalDown="0" outline="0">
        <left/>
        <right/>
        <top style="medium">
          <color indexed="64"/>
        </top>
        <bottom style="medium">
          <color indexed="64"/>
        </bottom>
      </border>
    </dxf>
    <dxf>
      <numFmt numFmtId="164" formatCode="_(&quot;$&quot;* #,##0.00_);_(&quot;$&quot;* \(#,##0.00\);_(&quot;$&quot;* &quot;-&quot;??_);_(@_)"/>
      <border diagonalUp="0" diagonalDown="0" outline="0">
        <left/>
        <right style="medium">
          <color auto="1"/>
        </right>
        <top style="medium">
          <color auto="1"/>
        </top>
        <bottom style="medium">
          <color auto="1"/>
        </bottom>
      </border>
    </dxf>
    <dxf>
      <numFmt numFmtId="166" formatCode="&quot;$&quot;#,##0"/>
    </dxf>
    <dxf>
      <border diagonalUp="0" diagonalDown="0" outline="0">
        <left style="medium">
          <color auto="1"/>
        </left>
        <right style="medium">
          <color auto="1"/>
        </right>
        <top style="medium">
          <color auto="1"/>
        </top>
        <bottom style="medium">
          <color auto="1"/>
        </bottom>
      </border>
    </dxf>
    <dxf>
      <numFmt numFmtId="166" formatCode="&quot;$&quot;#,##0"/>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right/>
        <top style="medium">
          <color indexed="64"/>
        </top>
        <bottom style="medium">
          <color indexed="64"/>
        </bottom>
      </border>
    </dxf>
    <dxf>
      <border diagonalUp="0" diagonalDown="0" outline="0">
        <left style="medium">
          <color auto="1"/>
        </left>
        <right/>
        <top style="medium">
          <color auto="1"/>
        </top>
        <bottom style="medium">
          <color auto="1"/>
        </bottom>
      </border>
    </dxf>
    <dxf>
      <border>
        <top style="medium">
          <color indexed="64"/>
        </top>
      </border>
    </dxf>
    <dxf>
      <fill>
        <patternFill>
          <bgColor rgb="FFFF0000"/>
        </patternFill>
      </fill>
    </dxf>
    <dxf>
      <font>
        <b val="0"/>
        <i val="0"/>
        <strike val="0"/>
        <condense val="0"/>
        <extend val="0"/>
        <outline val="0"/>
        <shadow val="0"/>
        <u val="none"/>
        <vertAlign val="baseline"/>
        <sz val="9"/>
        <color theme="1"/>
        <name val="Segoe UI"/>
        <scheme val="none"/>
      </font>
      <numFmt numFmtId="165" formatCode="_-&quot;$&quot;* #,##0_-;\-&quot;$&quot;* #,##0_-;_-&quot;$&quot;* &quot;-&quot;??_-;_-@_-"/>
    </dxf>
    <dxf>
      <font>
        <b val="0"/>
        <i val="0"/>
        <strike val="0"/>
        <condense val="0"/>
        <extend val="0"/>
        <outline val="0"/>
        <shadow val="0"/>
        <u val="none"/>
        <vertAlign val="baseline"/>
        <sz val="9"/>
        <color theme="1"/>
        <name val="Segoe UI"/>
        <scheme val="none"/>
      </font>
    </dxf>
    <dxf>
      <font>
        <b val="0"/>
        <i val="0"/>
        <strike val="0"/>
        <condense val="0"/>
        <extend val="0"/>
        <outline val="0"/>
        <shadow val="0"/>
        <u val="none"/>
        <vertAlign val="baseline"/>
        <sz val="9"/>
        <color theme="1"/>
        <name val="Segoe UI"/>
        <scheme val="none"/>
      </font>
      <numFmt numFmtId="165" formatCode="_-&quot;$&quot;* #,##0_-;\-&quot;$&quot;* #,##0_-;_-&quot;$&quot;* &quot;-&quot;??_-;_-@_-"/>
    </dxf>
    <dxf>
      <font>
        <b val="0"/>
        <i val="0"/>
        <strike val="0"/>
        <condense val="0"/>
        <extend val="0"/>
        <outline val="0"/>
        <shadow val="0"/>
        <u val="none"/>
        <vertAlign val="baseline"/>
        <sz val="9"/>
        <color theme="1"/>
        <name val="Segoe UI"/>
        <scheme val="none"/>
      </font>
    </dxf>
    <dxf>
      <font>
        <b val="0"/>
        <i val="0"/>
        <strike val="0"/>
        <condense val="0"/>
        <extend val="0"/>
        <outline val="0"/>
        <shadow val="0"/>
        <u val="none"/>
        <vertAlign val="baseline"/>
        <sz val="9"/>
        <color theme="1"/>
        <name val="Segoe UI"/>
        <scheme val="none"/>
      </font>
      <numFmt numFmtId="165" formatCode="_-&quot;$&quot;* #,##0_-;\-&quot;$&quot;* #,##0_-;_-&quot;$&quot;* &quot;-&quot;??_-;_-@_-"/>
    </dxf>
    <dxf>
      <font>
        <b val="0"/>
        <i val="0"/>
        <strike val="0"/>
        <condense val="0"/>
        <extend val="0"/>
        <outline val="0"/>
        <shadow val="0"/>
        <u val="none"/>
        <vertAlign val="baseline"/>
        <sz val="9"/>
        <color theme="1"/>
        <name val="Segoe UI"/>
        <scheme val="none"/>
      </font>
    </dxf>
    <dxf>
      <font>
        <b/>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numFmt numFmtId="0" formatCode="General"/>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9"/>
        <color theme="1"/>
        <name val="Segoe UI"/>
        <scheme val="none"/>
      </font>
      <fill>
        <patternFill patternType="none">
          <fgColor indexed="64"/>
          <bgColor indexed="65"/>
        </patternFill>
      </fill>
    </dxf>
    <dxf>
      <font>
        <b/>
        <i val="0"/>
        <strike val="0"/>
        <condense val="0"/>
        <extend val="0"/>
        <outline val="0"/>
        <shadow val="0"/>
        <u val="none"/>
        <vertAlign val="baseline"/>
        <sz val="9"/>
        <color theme="1"/>
        <name val="Segoe UI"/>
        <scheme val="none"/>
      </font>
      <fill>
        <patternFill patternType="none">
          <fgColor indexed="64"/>
          <bgColor indexed="65"/>
        </patternFill>
      </fill>
    </dxf>
    <dxf>
      <font>
        <b val="0"/>
        <i val="0"/>
        <strike val="0"/>
        <condense val="0"/>
        <extend val="0"/>
        <outline val="0"/>
        <shadow val="0"/>
        <u val="none"/>
        <vertAlign val="baseline"/>
        <sz val="7"/>
        <color rgb="FF000000"/>
        <name val="Times New Roman"/>
        <scheme val="none"/>
      </font>
      <alignment horizontal="general" vertical="center" textRotation="0" wrapText="0" indent="15" justifyLastLine="0" shrinkToFit="0" readingOrder="0"/>
    </dxf>
    <dxf>
      <font>
        <b val="0"/>
        <i val="0"/>
        <strike val="0"/>
        <condense val="0"/>
        <extend val="0"/>
        <outline val="0"/>
        <shadow val="0"/>
        <u val="none"/>
        <vertAlign val="baseline"/>
        <sz val="7"/>
        <color rgb="FF000000"/>
        <name val="Times New Roman"/>
        <scheme val="none"/>
      </font>
      <alignment horizontal="general" vertical="top" textRotation="0" wrapText="0" indent="0" justifyLastLine="0" shrinkToFit="0" readingOrder="0"/>
    </dxf>
    <dxf>
      <font>
        <b val="0"/>
        <i val="0"/>
        <strike val="0"/>
        <condense val="0"/>
        <extend val="0"/>
        <outline val="0"/>
        <shadow val="0"/>
        <u val="none"/>
        <vertAlign val="baseline"/>
        <sz val="11"/>
        <color rgb="FF000000"/>
        <name val="Calibri"/>
        <scheme val="minor"/>
      </font>
      <numFmt numFmtId="164" formatCode="_(&quot;$&quot;* #,##0.00_);_(&quot;$&quot;* \(#,##0.00\);_(&quot;$&quot;* &quot;-&quot;??_);_(@_)"/>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2"/>
        <color theme="1"/>
        <name val="Calibri"/>
        <family val="2"/>
        <scheme val="minor"/>
      </font>
    </dxf>
    <dxf>
      <font>
        <sz val="11"/>
      </font>
      <fill>
        <patternFill patternType="solid">
          <fgColor indexed="64"/>
          <bgColor theme="2" tint="-0.499984740745262"/>
        </patternFill>
      </fill>
    </dxf>
    <dxf>
      <fill>
        <patternFill patternType="solid">
          <fgColor indexed="64"/>
          <bgColor theme="2" tint="-0.499984740745262"/>
        </patternFill>
      </fill>
    </dxf>
    <dxf>
      <fill>
        <patternFill patternType="solid">
          <fgColor indexed="64"/>
          <bgColor theme="2" tint="-0.499984740745262"/>
        </patternFill>
      </fill>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ont>
        <b/>
        <i val="0"/>
        <strike val="0"/>
        <condense val="0"/>
        <extend val="0"/>
        <outline val="0"/>
        <shadow val="0"/>
        <u val="none"/>
        <vertAlign val="baseline"/>
        <sz val="12"/>
        <color theme="0"/>
        <name val="Calibri"/>
        <family val="2"/>
        <scheme val="minor"/>
      </font>
      <numFmt numFmtId="0" formatCode="General"/>
      <fill>
        <patternFill patternType="solid">
          <fgColor theme="4"/>
          <bgColor theme="4"/>
        </patternFill>
      </fill>
      <alignment horizontal="general" vertical="bottom" textRotation="0" wrapText="1" indent="0" justifyLastLine="0" shrinkToFit="0" readingOrder="0"/>
    </dxf>
    <dxf>
      <numFmt numFmtId="189" formatCode="_(&quot;$&quot;* #,##0_);_(&quot;$&quot;* \(#,##0\);_(&quot;$&quot;* &quot;-&quot;??_);_(@_)"/>
    </dxf>
    <dxf>
      <numFmt numFmtId="0" formatCode="General"/>
    </dxf>
    <dxf>
      <numFmt numFmtId="0" formatCode="General"/>
    </dxf>
    <dxf>
      <numFmt numFmtId="0" formatCode="General"/>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numFmt numFmtId="0" formatCode="General"/>
      <fill>
        <patternFill patternType="solid">
          <fgColor theme="9"/>
          <bgColor theme="9"/>
        </patternFill>
      </fill>
      <alignment horizontal="general" vertical="bottom" textRotation="0" wrapText="1" indent="0" justifyLastLine="0" shrinkToFit="0" readingOrder="0"/>
    </dxf>
    <dxf>
      <fill>
        <patternFill patternType="solid">
          <fgColor indexed="64"/>
          <bgColor theme="2" tint="-0.499984740745262"/>
        </patternFill>
      </fill>
    </dxf>
    <dxf>
      <fill>
        <patternFill patternType="solid">
          <fgColor indexed="64"/>
          <bgColor theme="2" tint="-0.499984740745262"/>
        </patternFill>
      </fill>
    </dxf>
    <dxf>
      <fill>
        <patternFill patternType="solid">
          <fgColor indexed="64"/>
          <bgColor theme="2" tint="-0.499984740745262"/>
        </patternFill>
      </fill>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dxf>
    <dxf>
      <font>
        <b/>
        <i val="0"/>
        <strike val="0"/>
        <condense val="0"/>
        <extend val="0"/>
        <outline val="0"/>
        <shadow val="0"/>
        <u val="none"/>
        <vertAlign val="baseline"/>
        <sz val="12"/>
        <color theme="0"/>
        <name val="Calibri"/>
        <family val="2"/>
        <scheme val="minor"/>
      </font>
      <numFmt numFmtId="0" formatCode="General"/>
      <fill>
        <patternFill patternType="solid">
          <fgColor theme="4"/>
          <bgColor theme="4"/>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sz val="11"/>
      </font>
      <numFmt numFmtId="189" formatCode="_(&quot;$&quot;* #,##0_);_(&quot;$&quot;* \(#,##0\);_(&quot;$&quot;* &quot;-&quot;??_);_(@_)"/>
      <fill>
        <patternFill patternType="solid">
          <fgColor indexed="64"/>
          <bgColor theme="2" tint="-0.499984740745262"/>
        </patternFill>
      </fill>
      <alignment horizontal="general" vertical="bottom" textRotation="0" wrapText="1" indent="0" justifyLastLine="0" shrinkToFit="0" readingOrder="0"/>
    </dxf>
    <dxf>
      <numFmt numFmtId="0" formatCode="General"/>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ont>
        <sz val="11"/>
      </font>
      <numFmt numFmtId="189" formatCode="_(&quot;$&quot;* #,##0_);_(&quot;$&quot;* \(#,##0\);_(&quot;$&quot;* &quot;-&quot;??_);_(@_)"/>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border outline="0">
        <top style="thin">
          <color theme="9" tint="0.39997558519241921"/>
        </top>
      </border>
    </dxf>
    <dxf>
      <fill>
        <patternFill patternType="solid">
          <fgColor indexed="64"/>
          <bgColor theme="2" tint="-0.499984740745262"/>
        </patternFill>
      </fill>
      <alignment horizontal="general" vertical="bottom" textRotation="0" wrapText="1"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numFmt numFmtId="0" formatCode="General"/>
      <fill>
        <patternFill patternType="solid">
          <fgColor theme="9"/>
          <bgColor theme="9"/>
        </patternFill>
      </fill>
      <alignment horizontal="general" vertical="bottom" textRotation="0" wrapText="1" indent="0" justifyLastLine="0" shrinkToFit="0" readingOrder="0"/>
    </dxf>
    <dxf>
      <fill>
        <patternFill patternType="solid">
          <fgColor indexed="64"/>
          <bgColor theme="2" tint="-0.499984740745262"/>
        </patternFill>
      </fill>
    </dxf>
    <dxf>
      <fill>
        <patternFill patternType="solid">
          <fgColor indexed="64"/>
          <bgColor theme="2" tint="-0.499984740745262"/>
        </patternFill>
      </fill>
    </dxf>
    <dxf>
      <fill>
        <patternFill patternType="solid">
          <fgColor indexed="64"/>
          <bgColor theme="2" tint="-0.499984740745262"/>
        </patternFill>
      </fill>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dxf>
    <dxf>
      <font>
        <b/>
        <i val="0"/>
        <strike val="0"/>
        <condense val="0"/>
        <extend val="0"/>
        <outline val="0"/>
        <shadow val="0"/>
        <u val="none"/>
        <vertAlign val="baseline"/>
        <sz val="12"/>
        <color theme="0"/>
        <name val="Calibri"/>
        <family val="2"/>
        <scheme val="minor"/>
      </font>
      <numFmt numFmtId="0" formatCode="General"/>
      <fill>
        <patternFill patternType="solid">
          <fgColor theme="4"/>
          <bgColor theme="4"/>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sz val="11"/>
      </font>
      <numFmt numFmtId="189" formatCode="_(&quot;$&quot;* #,##0_);_(&quot;$&quot;* \(#,##0\);_(&quot;$&quot;* &quot;-&quot;??_);_(@_)"/>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sz val="11"/>
      </font>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font>
        <sz val="11"/>
      </font>
      <numFmt numFmtId="189" formatCode="_(&quot;$&quot;* #,##0_);_(&quot;$&quot;* \(#,##0\);_(&quot;$&quot;* &quot;-&quot;??_);_(@_)"/>
      <fill>
        <patternFill patternType="solid">
          <fgColor indexed="64"/>
          <bgColor theme="2" tint="-0.499984740745262"/>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2" tint="-0.499984740745262"/>
        </patternFill>
      </fill>
      <alignment horizontal="general" vertical="bottom" textRotation="0" wrapText="1" indent="0" justifyLastLine="0" shrinkToFit="0" readingOrder="0"/>
    </dxf>
    <dxf>
      <border outline="0">
        <top style="thin">
          <color theme="9" tint="0.39997558519241921"/>
        </top>
      </border>
    </dxf>
    <dxf>
      <fill>
        <patternFill patternType="solid">
          <fgColor indexed="64"/>
          <bgColor theme="2" tint="-0.499984740745262"/>
        </patternFill>
      </fill>
      <alignment horizontal="general" vertical="bottom" textRotation="0" wrapText="1"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numFmt numFmtId="0" formatCode="General"/>
      <fill>
        <patternFill patternType="solid">
          <fgColor theme="9"/>
          <bgColor theme="9"/>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89" formatCode="_(&quot;$&quot;* #,##0_);_(&quot;$&quot;* \(#,##0\);_(&quot;$&quot;* &quot;-&quot;??_);_(@_)"/>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numFmt numFmtId="189" formatCode="_(&quot;$&quot;* #,##0_);_(&quot;$&quot;* \(#,##0\);_(&quot;$&quot;* &quot;-&quot;??_);_(@_)"/>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numFmt numFmtId="189" formatCode="_(&quot;$&quot;* #,##0_);_(&quot;$&quot;* \(#,##0\);_(&quot;$&quot;* &quot;-&quot;??_);_(@_)"/>
    </dxf>
    <dxf>
      <alignment horizontal="general" vertical="bottom" textRotation="0" wrapText="1"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5" formatCode="_-&quot;$&quot;* #,##0_-;\-&quot;$&quot;* #,##0_-;_-&quot;$&quot;* &quot;-&quot;??_-;_-@_-"/>
      <alignment horizontal="general" vertical="bottom" textRotation="0" wrapText="0" indent="0" justifyLastLine="0" shrinkToFit="0" readingOrder="0"/>
    </dxf>
    <dxf>
      <numFmt numFmtId="165"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numFmt numFmtId="165" formatCode="_-&quot;$&quot;* #,##0_-;\-&quot;$&quot;* #,##0_-;_-&quot;$&quot;* &quot;-&quot;??_-;_-@_-"/>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ill>
        <patternFill patternType="solid">
          <fgColor indexed="64"/>
          <bgColor theme="2" tint="-0.499984740745262"/>
        </patternFill>
      </fil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5" formatCode="_-&quot;$&quot;* #,##0_-;\-&quot;$&quot;* #,##0_-;_-&quot;$&quot;* &quot;-&quot;??_-;_-@_-"/>
      <alignment horizontal="general" vertical="bottom" textRotation="0" wrapText="0" indent="0" justifyLastLine="0" shrinkToFit="0" readingOrder="0"/>
    </dxf>
    <dxf>
      <numFmt numFmtId="165"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numFmt numFmtId="165" formatCode="_-&quot;$&quot;* #,##0_-;\-&quot;$&quot;* #,##0_-;_-&quot;$&quot;* &quot;-&quot;??_-;_-@_-"/>
    </dxf>
    <dxf>
      <numFmt numFmtId="1" formatCode="0"/>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quot;$&quot;* #,##0_-;\-&quot;$&quot;* #,##0_-;_-&quot;$&quot;* &quot;-&quot;??_-;_-@_-"/>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0" indent="0" justifyLastLine="0" shrinkToFit="0" readingOrder="0"/>
    </dxf>
    <dxf>
      <numFmt numFmtId="165"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5" formatCode="_-&quot;$&quot;* #,##0_-;\-&quot;$&quot;* #,##0_-;_-&quot;$&quot;* &quot;-&quot;??_-;_-@_-"/>
      <alignment horizontal="general" vertical="bottom" textRotation="0" wrapText="0" indent="0" justifyLastLine="0" shrinkToFit="0" readingOrder="0"/>
    </dxf>
    <dxf>
      <numFmt numFmtId="165"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_-;\-&quot;$&quot;* #,##0_-;_-&quot;$&quot;* &quot;-&quot;??_-;_-@_-"/>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ill>
        <patternFill patternType="solid">
          <fgColor indexed="64"/>
          <bgColor theme="2" tint="-0.499984740745262"/>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5" formatCode="_-&quot;$&quot;* #,##0_-;\-&quot;$&quot;* #,##0_-;_-&quot;$&quot;* &quot;-&quot;??_-;_-@_-"/>
      <alignment horizontal="general" vertical="bottom" textRotation="0" wrapText="0" indent="0" justifyLastLine="0" shrinkToFit="0" readingOrder="0"/>
    </dxf>
    <dxf>
      <numFmt numFmtId="165"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alignment vertical="bottom" textRotation="0" wrapText="1" indent="0" justifyLastLine="0" shrinkToFit="0" readingOrder="0"/>
    </dxf>
    <dxf>
      <fill>
        <patternFill patternType="solid">
          <fgColor indexed="64"/>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_-;\-&quot;$&quot;* #,##0_-;_-&quot;$&quot;* &quot;-&quot;??_-;_-@_-"/>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alignment horizontal="general" vertical="bottom" textRotation="0" wrapText="1" indent="0" justifyLastLine="0" shrinkToFit="0" readingOrder="0"/>
    </dxf>
    <dxf>
      <border outline="0">
        <right style="thin">
          <color theme="4" tint="0.39997558519241921"/>
        </right>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65" formatCode="_-&quot;$&quot;* #,##0_-;\-&quot;$&quot;* #,##0_-;_-&quot;$&quot;* &quot;-&quot;??_-;_-@_-"/>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_-;\-&quot;$&quot;* #,##0_-;_-&quot;$&quot;* &quot;-&quot;??_-;_-@_-"/>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general" vertical="bottom" textRotation="0" wrapText="1" indent="0" justifyLastLine="0" shrinkToFit="0" readingOrder="0"/>
    </dxf>
    <dxf>
      <fill>
        <patternFill patternType="solid">
          <fgColor indexed="64"/>
          <bgColor theme="2" tint="-0.499984740745262"/>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_-;\-&quot;$&quot;* #,##0_-;_-&quot;$&quot;* &quot;-&quot;??_-;_-@_-"/>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numFmt numFmtId="165" formatCode="_-&quot;$&quot;* #,##0_-;\-&quot;$&quot;* #,##0_-;_-&quot;$&quot;* &quot;-&quot;??_-;_-@_-"/>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_-;\-&quot;$&quot;* #,##0_-;_-&quot;$&quot;*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border outline="0">
        <left style="medium">
          <color rgb="FF7030A0"/>
        </left>
        <top style="thin">
          <color indexed="64"/>
        </top>
        <bottom style="thin">
          <color auto="1"/>
        </bottom>
      </border>
    </dxf>
    <dxf>
      <border outline="0">
        <bottom style="thin">
          <color auto="1"/>
        </bottom>
      </border>
    </dxf>
    <dxf>
      <font>
        <b val="0"/>
        <i val="0"/>
        <strike val="0"/>
        <condense val="0"/>
        <extend val="0"/>
        <outline val="0"/>
        <shadow val="0"/>
        <u val="none"/>
        <vertAlign val="baseline"/>
        <sz val="10"/>
        <color theme="1"/>
        <name val="Calibri"/>
        <family val="2"/>
        <scheme val="minor"/>
      </font>
      <border diagonalUp="0" diagonalDown="0" outline="0">
        <left style="thin">
          <color auto="1"/>
        </left>
        <right style="thin">
          <color auto="1"/>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outline="0">
        <left style="medium">
          <color rgb="FF7030A0"/>
        </left>
        <top style="thin">
          <color theme="9" tint="0.39997558519241921"/>
        </top>
      </border>
    </dxf>
    <dxf>
      <fill>
        <patternFill patternType="solid">
          <fgColor theme="9" tint="0.79998168889431442"/>
          <bgColor theme="9" tint="0.79998168889431442"/>
        </patternFill>
      </fill>
      <border diagonalUp="0" diagonalDown="0">
        <left style="thin">
          <color rgb="FF452E82"/>
        </left>
        <right style="thin">
          <color rgb="FF452E82"/>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76" formatCode="_(&quot;$&quot;* #,##0.000_);_(&quot;$&quot;* \(#,##0.000\);_(&quot;$&quot;* &quot;-&quot;??_);_(@_)"/>
      <fill>
        <patternFill patternType="solid">
          <fgColor theme="9" tint="0.79998168889431442"/>
          <bgColor theme="9" tint="0.79998168889431442"/>
        </patternFill>
      </fill>
      <border diagonalUp="0" diagonalDown="0">
        <left/>
        <right/>
        <top style="thin">
          <color indexed="64"/>
        </top>
        <bottom style="thin">
          <color indexed="64"/>
        </bottom>
        <vertical/>
        <horizontal/>
      </border>
    </dxf>
    <dxf>
      <numFmt numFmtId="190" formatCode="0.00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style="thin">
          <color auto="1"/>
        </right>
        <top style="thin">
          <color auto="1"/>
        </top>
        <bottom style="thin">
          <color auto="1"/>
        </bottom>
        <vertical/>
        <horizontal/>
      </border>
    </dxf>
    <dxf>
      <border outline="0">
        <left style="medium">
          <color rgb="FF7030A0"/>
        </left>
        <top style="thin">
          <color theme="9" tint="0.39997558519241921"/>
        </top>
      </border>
    </dxf>
    <dxf>
      <font>
        <b val="0"/>
        <i val="0"/>
        <strike val="0"/>
        <condense val="0"/>
        <extend val="0"/>
        <outline val="0"/>
        <shadow val="0"/>
        <u val="none"/>
        <vertAlign val="baseline"/>
        <sz val="9"/>
        <color rgb="FF000000"/>
        <name val="Segoe UI"/>
        <family val="2"/>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9"/>
        <color rgb="FF000000"/>
        <name val="Segoe UI"/>
        <family val="2"/>
        <scheme val="none"/>
      </font>
      <alignment horizontal="left" vertical="top"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top style="thin">
          <color indexed="64"/>
        </top>
      </border>
    </dxf>
    <dxf>
      <font>
        <b val="0"/>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Segoe UI"/>
        <family val="2"/>
        <scheme val="none"/>
      </font>
      <alignment horizontal="left"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theme="1"/>
        <name val="Segoe UI"/>
        <family val="2"/>
        <scheme val="none"/>
      </font>
      <numFmt numFmtId="164" formatCode="_(&quot;$&quot;* #,##0.00_);_(&quot;$&quot;* \(#,##0.00\);_(&quot;$&quot;* &quot;-&quot;??_);_(@_)"/>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9"/>
        <color rgb="FF000000"/>
        <name val="Segoe UI"/>
        <family val="2"/>
        <scheme val="none"/>
      </font>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9"/>
        <color rgb="FF000000"/>
        <name val="Segoe UI"/>
        <scheme val="none"/>
      </font>
    </dxf>
    <dxf>
      <font>
        <b val="0"/>
        <i val="0"/>
        <strike val="0"/>
        <condense val="0"/>
        <extend val="0"/>
        <outline val="0"/>
        <shadow val="0"/>
        <u val="none"/>
        <vertAlign val="baseline"/>
        <sz val="9"/>
        <color rgb="FF000000"/>
        <name val="Segoe UI"/>
        <scheme val="none"/>
      </font>
    </dxf>
    <dxf>
      <font>
        <b val="0"/>
        <i val="0"/>
        <strike val="0"/>
        <condense val="0"/>
        <extend val="0"/>
        <outline val="0"/>
        <shadow val="0"/>
        <u val="none"/>
        <vertAlign val="baseline"/>
        <sz val="9"/>
        <color rgb="FF000000"/>
        <name val="Segoe UI"/>
        <scheme val="none"/>
      </font>
    </dxf>
    <dxf>
      <font>
        <b val="0"/>
        <i val="0"/>
        <strike val="0"/>
        <condense val="0"/>
        <extend val="0"/>
        <outline val="0"/>
        <shadow val="0"/>
        <u val="none"/>
        <vertAlign val="baseline"/>
        <sz val="9"/>
        <color rgb="FF000000"/>
        <name val="Segoe UI"/>
        <scheme val="none"/>
      </font>
      <fill>
        <patternFill patternType="none">
          <fgColor indexed="64"/>
          <bgColor indexed="65"/>
        </patternFill>
      </fill>
      <alignment horizontal="left" vertical="top"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9"/>
        <color rgb="FF000000"/>
        <name val="Segoe UI"/>
        <family val="2"/>
        <scheme val="none"/>
      </font>
      <fill>
        <patternFill patternType="none">
          <fgColor indexed="64"/>
          <bgColor indexed="65"/>
        </patternFill>
      </fill>
      <alignment horizontal="left" vertical="top" textRotation="0" wrapText="0" indent="0" justifyLastLine="0" shrinkToFit="0" readingOrder="0"/>
      <border diagonalUp="0" diagonalDown="0" outline="0">
        <left/>
        <right style="thin">
          <color auto="1"/>
        </right>
        <top style="thin">
          <color auto="1"/>
        </top>
        <bottom/>
      </border>
    </dxf>
    <dxf>
      <font>
        <b val="0"/>
        <i val="0"/>
        <strike val="0"/>
        <condense val="0"/>
        <extend val="0"/>
        <outline val="0"/>
        <shadow val="0"/>
        <u val="none"/>
        <vertAlign val="baseline"/>
        <sz val="9"/>
        <color rgb="FF000000"/>
        <name val="Segoe UI"/>
        <family val="2"/>
        <scheme val="none"/>
      </font>
      <fill>
        <patternFill patternType="none">
          <fgColor indexed="64"/>
          <bgColor indexed="65"/>
        </patternFill>
      </fill>
      <alignment horizontal="left"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Segoe UI"/>
        <family val="2"/>
        <scheme val="none"/>
      </font>
      <fill>
        <patternFill patternType="none">
          <fgColor indexed="64"/>
          <bgColor indexed="65"/>
        </patternFill>
      </fill>
      <alignment horizontal="left"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rgb="FF363435"/>
        <name val="Segoe UI"/>
        <family val="2"/>
        <scheme val="none"/>
      </font>
      <fill>
        <patternFill patternType="none">
          <fgColor indexed="64"/>
          <bgColor indexed="65"/>
        </patternFill>
      </fill>
      <alignment horizontal="left" vertical="top" textRotation="0" wrapText="0" indent="0" justifyLastLine="0" shrinkToFit="0" readingOrder="0"/>
      <border diagonalUp="0" diagonalDown="0" outline="0">
        <left/>
        <right style="thin">
          <color auto="1"/>
        </right>
        <top style="thin">
          <color auto="1"/>
        </top>
        <bottom/>
      </border>
    </dxf>
    <dxf>
      <font>
        <b val="0"/>
        <i val="0"/>
        <strike val="0"/>
        <condense val="0"/>
        <extend val="0"/>
        <outline val="0"/>
        <shadow val="0"/>
        <u val="none"/>
        <vertAlign val="baseline"/>
        <sz val="9"/>
        <color rgb="FF363435"/>
        <name val="Segoe UI"/>
        <scheme val="none"/>
      </font>
      <fill>
        <patternFill patternType="none">
          <fgColor indexed="64"/>
          <bgColor indexed="65"/>
        </patternFill>
      </fill>
      <alignment horizontal="left"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rgb="FF452E82"/>
        </left>
        <right style="thin">
          <color rgb="FF452E82"/>
        </right>
        <top/>
        <bottom/>
        <vertical/>
        <horizontal/>
      </border>
    </dxf>
    <dxf>
      <numFmt numFmtId="190" formatCode="0.000"/>
      <border diagonalUp="0" diagonalDown="0">
        <left style="thin">
          <color auto="1"/>
        </left>
        <right style="thin">
          <color auto="1"/>
        </right>
        <top style="thin">
          <color auto="1"/>
        </top>
        <bottom style="thin">
          <color auto="1"/>
        </bottom>
        <vertical/>
        <horizontal/>
      </border>
    </dxf>
    <dxf>
      <fill>
        <patternFill patternType="solid">
          <fgColor theme="9" tint="0.79998168889431442"/>
          <bgColor theme="9" tint="0.79998168889431442"/>
        </patternFill>
      </fill>
      <border diagonalUp="0" diagonalDown="0">
        <left style="thin">
          <color indexed="64"/>
        </left>
        <right/>
        <top style="thin">
          <color indexed="64"/>
        </top>
        <bottom style="thin">
          <color indexed="64"/>
        </bottom>
        <vertical/>
        <horizontal/>
      </border>
    </dxf>
    <dxf>
      <border outline="0">
        <bottom style="thin">
          <color theme="9" tint="0.39997558519241921"/>
        </bottom>
      </border>
    </dxf>
    <dxf>
      <border diagonalUp="0" diagonalDown="0">
        <left style="thin">
          <color rgb="FF452E82"/>
        </left>
        <right style="thin">
          <color rgb="FF452E82"/>
        </right>
        <top/>
        <bottom/>
        <vertical/>
        <horizontal/>
      </border>
    </dxf>
    <dxf>
      <numFmt numFmtId="176" formatCode="_(&quot;$&quot;* #,##0.000_);_(&quot;$&quot;* \(#,##0.000\);_(&quot;$&quot;* &quot;-&quot;??_);_(@_)"/>
    </dxf>
    <dxf>
      <border diagonalUp="0" diagonalDown="0">
        <left style="thin">
          <color rgb="FF452E82"/>
        </left>
        <right style="thin">
          <color rgb="FF452E82"/>
        </right>
        <top/>
        <bottom/>
        <vertical/>
        <horizontal/>
      </border>
    </dxf>
    <dxf>
      <border outline="0">
        <left style="thin">
          <color auto="1"/>
        </left>
      </border>
    </dxf>
    <dxf>
      <numFmt numFmtId="190" formatCode="0.000"/>
      <border diagonalUp="0" diagonalDown="0" outline="0">
        <left style="thin">
          <color indexed="64"/>
        </left>
        <right style="thin">
          <color indexed="64"/>
        </right>
        <top style="thin">
          <color indexed="64"/>
        </top>
        <bottom style="thin">
          <color indexed="64"/>
        </bottom>
      </border>
    </dxf>
    <dxf>
      <border outline="0">
        <right style="thin">
          <color auto="1"/>
        </right>
      </border>
    </dxf>
    <dxf>
      <font>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76" formatCode="_(&quot;$&quot;* #,##0.000_);_(&quot;$&quot;* \(#,##0.000\);_(&quot;$&quot;* &quot;-&quot;??_);_(@_)"/>
      <border diagonalUp="0" diagonalDown="0" outline="0">
        <left style="thin">
          <color auto="1"/>
        </left>
        <right style="thin">
          <color indexed="64"/>
        </right>
        <top style="thin">
          <color indexed="64"/>
        </top>
        <bottom style="thin">
          <color indexed="64"/>
        </bottom>
      </border>
    </dxf>
    <dxf>
      <font>
        <strike val="0"/>
        <outline val="0"/>
        <shadow val="0"/>
        <u val="none"/>
        <vertAlign val="baseline"/>
        <sz val="11"/>
        <color theme="1"/>
        <name val="Calibri"/>
        <family val="2"/>
        <scheme val="minor"/>
      </font>
      <numFmt numFmtId="190" formatCode="0.00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border diagonalUp="0" diagonalDown="0" outline="0">
        <left style="thin">
          <color indexed="64"/>
        </left>
        <right style="thin">
          <color auto="1"/>
        </right>
        <top style="thin">
          <color indexed="64"/>
        </top>
        <bottom style="thin">
          <color indexed="64"/>
        </bottom>
      </border>
    </dxf>
    <dxf>
      <font>
        <strike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dxf>
    <dxf>
      <font>
        <sz val="11"/>
        <color rgb="FF000000"/>
      </font>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Aptos Narrow"/>
        <family val="2"/>
        <scheme val="none"/>
      </font>
      <numFmt numFmtId="12" formatCode="&quot;$&quot;#,##0.00;[Red]\-&quot;$&quot;#,##0.00"/>
      <border diagonalUp="0" diagonalDown="0">
        <left style="thin">
          <color indexed="64"/>
        </left>
        <right/>
        <top style="thin">
          <color indexed="64"/>
        </top>
        <bottom style="thin">
          <color indexed="64"/>
        </bottom>
        <vertical/>
        <horizontal/>
      </border>
    </dxf>
    <dxf>
      <font>
        <sz val="11"/>
        <color rgb="FF000000"/>
        <name val="Aptos Narrow"/>
        <family val="2"/>
        <scheme val="none"/>
      </font>
      <numFmt numFmtId="196" formatCode="&quot;$&quot;#,##0.000;[Red]\-&quot;$&quot;#,##0.000"/>
      <border diagonalUp="0" diagonalDown="0">
        <left style="thin">
          <color auto="1"/>
        </left>
        <right style="thin">
          <color auto="1"/>
        </right>
        <top style="thin">
          <color auto="1"/>
        </top>
        <bottom style="thin">
          <color auto="1"/>
        </bottom>
        <vertical/>
        <horizontal/>
      </border>
    </dxf>
    <dxf>
      <font>
        <sz val="11"/>
        <color rgb="FF000000"/>
      </font>
      <border diagonalUp="0" diagonalDown="0">
        <left style="thin">
          <color auto="1"/>
        </left>
        <right style="thin">
          <color auto="1"/>
        </right>
        <top style="thin">
          <color auto="1"/>
        </top>
        <bottom style="thin">
          <color auto="1"/>
        </bottom>
        <vertical/>
        <horizontal/>
      </border>
    </dxf>
    <dxf>
      <font>
        <sz val="11"/>
        <color rgb="FF000000"/>
      </font>
      <border diagonalUp="0" diagonalDown="0">
        <left style="thin">
          <color auto="1"/>
        </left>
        <right style="thin">
          <color auto="1"/>
        </right>
        <top style="thin">
          <color auto="1"/>
        </top>
        <bottom style="thin">
          <color auto="1"/>
        </bottom>
        <vertical/>
        <horizontal/>
      </border>
    </dxf>
    <dxf>
      <font>
        <sz val="11"/>
        <color rgb="FF000000"/>
      </font>
      <border diagonalUp="0" diagonalDown="0">
        <left style="thin">
          <color auto="1"/>
        </left>
        <right style="thin">
          <color auto="1"/>
        </right>
        <top style="thin">
          <color auto="1"/>
        </top>
        <bottom style="thin">
          <color auto="1"/>
        </bottom>
        <vertical/>
        <horizontal/>
      </border>
    </dxf>
    <dxf>
      <font>
        <sz val="11"/>
        <color rgb="FF000000"/>
      </font>
      <border diagonalUp="0" diagonalDown="0">
        <left style="medium">
          <color rgb="FF7030A0"/>
        </left>
        <right style="thin">
          <color auto="1"/>
        </right>
        <top style="thin">
          <color auto="1"/>
        </top>
        <bottom style="thin">
          <color auto="1"/>
        </bottom>
        <vertical/>
        <horizontal/>
      </border>
    </dxf>
    <dxf>
      <font>
        <sz val="11"/>
        <color rgb="FF000000"/>
      </font>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font>
        <b val="0"/>
        <i val="0"/>
        <strike val="0"/>
        <condense val="0"/>
        <extend val="0"/>
        <outline val="0"/>
        <shadow val="0"/>
        <u val="none"/>
        <vertAlign val="baseline"/>
        <sz val="12"/>
        <color rgb="FF000000"/>
        <name val="Calibri"/>
        <scheme val="minor"/>
      </font>
      <border diagonalUp="0" diagonalDown="0">
        <left style="thin">
          <color rgb="FF70AD47"/>
        </left>
        <right style="thin">
          <color rgb="FF70AD47"/>
        </right>
        <top style="thin">
          <color rgb="FF70AD47"/>
        </top>
        <bottom style="thin">
          <color rgb="FF70AD47"/>
        </bottom>
        <vertical/>
        <horizontal/>
      </border>
    </dxf>
    <dxf>
      <border outline="0">
        <top style="thin">
          <color theme="9" tint="0.39997558519241921"/>
        </top>
      </border>
    </dxf>
    <dxf>
      <font>
        <b val="0"/>
        <i val="0"/>
        <strike val="0"/>
        <condense val="0"/>
        <extend val="0"/>
        <outline val="0"/>
        <shadow val="0"/>
        <u val="none"/>
        <vertAlign val="baseline"/>
        <sz val="12"/>
        <color rgb="FF000000"/>
        <name val="Calibri"/>
        <scheme val="minor"/>
      </font>
    </dxf>
    <dxf>
      <border diagonalUp="0" diagonalDown="0">
        <left style="medium">
          <color rgb="FF7030A0"/>
        </left>
        <right style="medium">
          <color rgb="FF7030A0"/>
        </right>
        <top style="medium">
          <color rgb="FF7030A0"/>
        </top>
        <bottom style="medium">
          <color rgb="FF7030A0"/>
        </bottom>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2" tint="-0.499984740745262"/>
        </patternFill>
      </fill>
    </dxf>
    <dxf>
      <font>
        <strike/>
        <color theme="0" tint="-0.14996795556505021"/>
      </font>
    </dxf>
    <dxf>
      <font>
        <strike/>
        <color theme="0" tint="-0.14996795556505021"/>
      </font>
    </dxf>
    <dxf>
      <fill>
        <patternFill>
          <bgColor theme="9" tint="0.39994506668294322"/>
        </patternFill>
      </fill>
    </dxf>
    <dxf>
      <fill>
        <patternFill>
          <bgColor rgb="FFF56B6B"/>
        </patternFill>
      </fill>
    </dxf>
    <dxf>
      <font>
        <strike/>
        <color theme="0" tint="-0.14996795556505021"/>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59EE2"/>
        </patternFill>
      </fill>
    </dxf>
    <dxf>
      <font>
        <color theme="0"/>
      </font>
      <fill>
        <patternFill>
          <bgColor theme="0"/>
        </patternFill>
      </fill>
    </dxf>
    <dxf>
      <fill>
        <patternFill>
          <bgColor rgb="FFFF6969"/>
        </patternFill>
      </fill>
    </dxf>
    <dxf>
      <font>
        <color theme="0" tint="-0.14996795556505021"/>
      </font>
      <fill>
        <patternFill>
          <bgColor theme="0"/>
        </patternFill>
      </fill>
      <border>
        <left style="thin">
          <color theme="0" tint="-0.34998626667073579"/>
        </left>
        <right style="thin">
          <color theme="0" tint="-0.34998626667073579"/>
        </right>
        <top style="thin">
          <color theme="0" tint="-0.34998626667073579"/>
        </top>
        <bottom style="thin">
          <color theme="0" tint="-0.34998626667073579"/>
        </bottom>
      </border>
    </dxf>
    <dxf>
      <font>
        <color theme="0"/>
      </font>
    </dxf>
    <dxf>
      <font>
        <color theme="0"/>
      </font>
    </dxf>
    <dxf>
      <fill>
        <patternFill>
          <bgColor rgb="FFFF7C80"/>
        </patternFill>
      </fill>
    </dxf>
    <dxf>
      <numFmt numFmtId="211" formatCode="0.000\ &quot;*Diff from Target&quot;"/>
      <fill>
        <patternFill>
          <bgColor rgb="FFF4A6CF"/>
        </patternFill>
      </fill>
    </dxf>
    <dxf>
      <fill>
        <patternFill patternType="lightUp">
          <fgColor rgb="FFFF0000"/>
          <bgColor auto="1"/>
        </patternFill>
      </fill>
    </dxf>
    <dxf>
      <font>
        <color rgb="FF9C0006"/>
      </font>
      <fill>
        <patternFill>
          <bgColor rgb="FFFFC7CE"/>
        </patternFill>
      </fill>
    </dxf>
    <dxf>
      <fill>
        <patternFill>
          <bgColor rgb="FFFF0000"/>
        </patternFill>
      </fill>
    </dxf>
    <dxf>
      <fill>
        <patternFill>
          <bgColor rgb="FFFF0000"/>
        </patternFill>
      </fill>
    </dxf>
    <dxf>
      <fill>
        <patternFill>
          <bgColor rgb="FF00B050"/>
        </patternFill>
      </fill>
    </dxf>
    <dxf>
      <fill>
        <patternFill>
          <bgColor rgb="FFFF0000"/>
        </patternFill>
      </fill>
    </dxf>
    <dxf>
      <font>
        <color theme="7" tint="0.79998168889431442"/>
      </font>
      <fill>
        <patternFill>
          <bgColor theme="7" tint="0.79998168889431442"/>
        </patternFill>
      </fill>
    </dxf>
  </dxfs>
  <tableStyles count="0" defaultTableStyle="TableStyleMedium9" defaultPivotStyle="PivotStyleMedium7"/>
  <colors>
    <mruColors>
      <color rgb="FF99FF99"/>
      <color rgb="FF27056C"/>
      <color rgb="FF6EC8F5"/>
      <color rgb="FFE0DBF0"/>
      <color rgb="FFC59EE2"/>
      <color rgb="FFF4A6CF"/>
      <color rgb="FF757171"/>
      <color rgb="FFFF66FF"/>
      <color rgb="FFFF3300"/>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sharedStrings" Target="sharedStrings.xml"/><Relationship Id="rId47" Type="http://schemas.openxmlformats.org/officeDocument/2006/relationships/customXml" Target="../customXml/item2.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sheetMetadata" Target="metadata.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hyperlink" Target="https://www.smartcommercialenergy.com.au/terms-and-conditions" TargetMode="External"/><Relationship Id="rId1" Type="http://schemas.openxmlformats.org/officeDocument/2006/relationships/image" Target="../media/image2.emf"/><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hyperlink" Target="https://www.smartcommercialenergy.com.au/terms-and-conditions" TargetMode="External"/><Relationship Id="rId1" Type="http://schemas.openxmlformats.org/officeDocument/2006/relationships/image" Target="../media/image2.emf"/><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smartcommercialsolar.com.au/terms-and-conditions" TargetMode="External"/><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hyperlink" Target="https://www.smartcommercialenergy.com.au/terms-and-conditions" TargetMode="External"/><Relationship Id="rId1" Type="http://schemas.openxmlformats.org/officeDocument/2006/relationships/image" Target="../media/image2.emf"/><Relationship Id="rId6"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8.png"/><Relationship Id="rId2" Type="http://schemas.openxmlformats.org/officeDocument/2006/relationships/image" Target="../media/image10.png"/><Relationship Id="rId1" Type="http://schemas.openxmlformats.org/officeDocument/2006/relationships/image" Target="../media/image2.emf"/><Relationship Id="rId6" Type="http://schemas.openxmlformats.org/officeDocument/2006/relationships/hyperlink" Target="https://www.smartcommercialenergy.com.au/terms-and-conditions" TargetMode="External"/><Relationship Id="rId5" Type="http://schemas.openxmlformats.org/officeDocument/2006/relationships/image" Target="../media/image6.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6</xdr:col>
      <xdr:colOff>245153</xdr:colOff>
      <xdr:row>0</xdr:row>
      <xdr:rowOff>325135</xdr:rowOff>
    </xdr:from>
    <xdr:to>
      <xdr:col>6</xdr:col>
      <xdr:colOff>1127736</xdr:colOff>
      <xdr:row>4</xdr:row>
      <xdr:rowOff>169583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74535" y="325135"/>
          <a:ext cx="874963" cy="8417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46</xdr:col>
      <xdr:colOff>189906</xdr:colOff>
      <xdr:row>78</xdr:row>
      <xdr:rowOff>3314</xdr:rowOff>
    </xdr:from>
    <xdr:to>
      <xdr:col>66</xdr:col>
      <xdr:colOff>0</xdr:colOff>
      <xdr:row>79</xdr:row>
      <xdr:rowOff>3315</xdr:rowOff>
    </xdr:to>
    <xdr:sp macro="" textlink="">
      <xdr:nvSpPr>
        <xdr:cNvPr id="2" name="TextBox 240">
          <a:extLst>
            <a:ext uri="{FF2B5EF4-FFF2-40B4-BE49-F238E27FC236}">
              <a16:creationId xmlns:a16="http://schemas.microsoft.com/office/drawing/2014/main" id="{00000000-0008-0000-0A00-000002000000}"/>
            </a:ext>
          </a:extLst>
        </xdr:cNvPr>
        <xdr:cNvSpPr txBox="1"/>
      </xdr:nvSpPr>
      <xdr:spPr>
        <a:xfrm>
          <a:off x="8952906" y="14862314"/>
          <a:ext cx="362009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REBATES PROVIDED</a:t>
          </a:r>
          <a:r>
            <a:rPr lang="en-US" sz="1000" b="1" i="0" u="none" strike="noStrike" baseline="0">
              <a:solidFill>
                <a:srgbClr val="2A2A2A"/>
              </a:solidFill>
              <a:latin typeface="Overpass" panose="00000500000000000000" pitchFamily="2" charset="0"/>
              <a:ea typeface="+mn-ea"/>
              <a:cs typeface="Calibri"/>
            </a:rPr>
            <a:t> AS A POINT OF SALE DISCOUNT*:</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4579</xdr:colOff>
      <xdr:row>79</xdr:row>
      <xdr:rowOff>3315</xdr:rowOff>
    </xdr:from>
    <xdr:to>
      <xdr:col>65</xdr:col>
      <xdr:colOff>4579</xdr:colOff>
      <xdr:row>82</xdr:row>
      <xdr:rowOff>3314</xdr:rowOff>
    </xdr:to>
    <xdr:sp macro="" textlink="">
      <xdr:nvSpPr>
        <xdr:cNvPr id="3" name="TextBox 241">
          <a:extLst>
            <a:ext uri="{FF2B5EF4-FFF2-40B4-BE49-F238E27FC236}">
              <a16:creationId xmlns:a16="http://schemas.microsoft.com/office/drawing/2014/main" id="{00000000-0008-0000-0A00-000003000000}"/>
            </a:ext>
          </a:extLst>
        </xdr:cNvPr>
        <xdr:cNvSpPr txBox="1"/>
      </xdr:nvSpPr>
      <xdr:spPr>
        <a:xfrm>
          <a:off x="8958079" y="15052815"/>
          <a:ext cx="3429000" cy="57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*Subject to market forces, changes over 10% will result in a change to the final invoice.</a:t>
          </a:r>
        </a:p>
      </xdr:txBody>
    </xdr:sp>
    <xdr:clientData/>
  </xdr:twoCellAnchor>
  <xdr:twoCellAnchor>
    <xdr:from>
      <xdr:col>47</xdr:col>
      <xdr:colOff>1</xdr:colOff>
      <xdr:row>81</xdr:row>
      <xdr:rowOff>86140</xdr:rowOff>
    </xdr:from>
    <xdr:to>
      <xdr:col>66</xdr:col>
      <xdr:colOff>1</xdr:colOff>
      <xdr:row>82</xdr:row>
      <xdr:rowOff>86140</xdr:rowOff>
    </xdr:to>
    <xdr:sp macro="" textlink="">
      <xdr:nvSpPr>
        <xdr:cNvPr id="4" name="TextBox 242">
          <a:extLst>
            <a:ext uri="{FF2B5EF4-FFF2-40B4-BE49-F238E27FC236}">
              <a16:creationId xmlns:a16="http://schemas.microsoft.com/office/drawing/2014/main" id="{00000000-0008-0000-0A00-000004000000}"/>
            </a:ext>
          </a:extLst>
        </xdr:cNvPr>
        <xdr:cNvSpPr txBox="1"/>
      </xdr:nvSpPr>
      <xdr:spPr>
        <a:xfrm>
          <a:off x="8953501" y="15516640"/>
          <a:ext cx="3619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CURRENT RATE AT TIME OF OFFER**:</a:t>
          </a:r>
        </a:p>
      </xdr:txBody>
    </xdr:sp>
    <xdr:clientData/>
  </xdr:twoCellAnchor>
  <xdr:twoCellAnchor>
    <xdr:from>
      <xdr:col>46</xdr:col>
      <xdr:colOff>189906</xdr:colOff>
      <xdr:row>82</xdr:row>
      <xdr:rowOff>91237</xdr:rowOff>
    </xdr:from>
    <xdr:to>
      <xdr:col>65</xdr:col>
      <xdr:colOff>0</xdr:colOff>
      <xdr:row>86</xdr:row>
      <xdr:rowOff>0</xdr:rowOff>
    </xdr:to>
    <xdr:sp macro="" textlink="">
      <xdr:nvSpPr>
        <xdr:cNvPr id="5" name="TextBox 243">
          <a:extLst>
            <a:ext uri="{FF2B5EF4-FFF2-40B4-BE49-F238E27FC236}">
              <a16:creationId xmlns:a16="http://schemas.microsoft.com/office/drawing/2014/main" id="{00000000-0008-0000-0A00-000005000000}"/>
            </a:ext>
          </a:extLst>
        </xdr:cNvPr>
        <xdr:cNvSpPr txBox="1"/>
      </xdr:nvSpPr>
      <xdr:spPr>
        <a:xfrm>
          <a:off x="8952906" y="15712237"/>
          <a:ext cx="3429594" cy="67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900" b="0" i="0" u="none" strike="noStrike">
              <a:solidFill>
                <a:srgbClr val="2A2A2A"/>
              </a:solidFill>
              <a:latin typeface="Overpass" panose="00000500000000000000" pitchFamily="2" charset="0"/>
              <a:ea typeface="+mn-ea"/>
              <a:cs typeface="Calibri"/>
            </a:rPr>
            <a:t>**STC</a:t>
          </a:r>
          <a:r>
            <a:rPr lang="en-US" sz="900" b="0" i="0" u="none" strike="noStrike" baseline="0">
              <a:solidFill>
                <a:srgbClr val="2A2A2A"/>
              </a:solidFill>
              <a:latin typeface="Overpass" panose="00000500000000000000" pitchFamily="2" charset="0"/>
              <a:ea typeface="+mn-ea"/>
              <a:cs typeface="Calibri"/>
            </a:rPr>
            <a:t> rebate</a:t>
          </a:r>
          <a:r>
            <a:rPr lang="en-US" sz="900" b="0" i="0" u="none" strike="noStrike">
              <a:solidFill>
                <a:srgbClr val="2A2A2A"/>
              </a:solidFill>
              <a:latin typeface="Overpass" panose="00000500000000000000" pitchFamily="2" charset="0"/>
              <a:ea typeface="+mn-ea"/>
              <a:cs typeface="Calibri"/>
            </a:rPr>
            <a:t> applies to systems below 100kW only.</a:t>
          </a:r>
        </a:p>
        <a:p>
          <a:pPr marL="0" indent="0" algn="l"/>
          <a:r>
            <a:rPr lang="en-US" sz="900" b="0" i="0" u="none" strike="noStrike" baseline="0">
              <a:solidFill>
                <a:srgbClr val="2A2A2A"/>
              </a:solidFill>
              <a:latin typeface="Overpass" panose="00000500000000000000" pitchFamily="2" charset="0"/>
              <a:ea typeface="+mn-ea"/>
              <a:cs typeface="Calibri"/>
            </a:rPr>
            <a:t>Upfront VEEC discount is only offerred on Victorian                 installations with system size 30kWp - 200kWp.</a:t>
          </a:r>
          <a:endParaRPr lang="en-US" sz="900" b="0" i="0" u="none" strike="noStrike">
            <a:solidFill>
              <a:srgbClr val="2A2A2A"/>
            </a:solidFill>
            <a:latin typeface="Overpass" panose="00000500000000000000" pitchFamily="2" charset="0"/>
            <a:ea typeface="+mn-ea"/>
            <a:cs typeface="Calibri"/>
          </a:endParaRPr>
        </a:p>
      </xdr:txBody>
    </xdr:sp>
    <xdr:clientData/>
  </xdr:twoCellAnchor>
  <xdr:twoCellAnchor>
    <xdr:from>
      <xdr:col>66</xdr:col>
      <xdr:colOff>1350</xdr:colOff>
      <xdr:row>74</xdr:row>
      <xdr:rowOff>5119</xdr:rowOff>
    </xdr:from>
    <xdr:to>
      <xdr:col>77</xdr:col>
      <xdr:colOff>1350</xdr:colOff>
      <xdr:row>75</xdr:row>
      <xdr:rowOff>5118</xdr:rowOff>
    </xdr:to>
    <xdr:sp macro="" textlink="'Linking Cells'!C12">
      <xdr:nvSpPr>
        <xdr:cNvPr id="6" name="TextBox 120">
          <a:extLst>
            <a:ext uri="{FF2B5EF4-FFF2-40B4-BE49-F238E27FC236}">
              <a16:creationId xmlns:a16="http://schemas.microsoft.com/office/drawing/2014/main" id="{00000000-0008-0000-0A00-000006000000}"/>
            </a:ext>
          </a:extLst>
        </xdr:cNvPr>
        <xdr:cNvSpPr txBox="1"/>
      </xdr:nvSpPr>
      <xdr:spPr>
        <a:xfrm>
          <a:off x="12667483" y="14206541"/>
          <a:ext cx="2111023" cy="19191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4E488AF-F22F-0545-9743-868FD0598020}" type="TxLink">
            <a:rPr lang="en-US" sz="1000" b="0" i="0" u="none" strike="noStrike">
              <a:solidFill>
                <a:srgbClr val="2A2A2A"/>
              </a:solidFill>
              <a:latin typeface="Overpass" pitchFamily="2" charset="77"/>
              <a:ea typeface="+mn-ea"/>
              <a:cs typeface="Calibri"/>
            </a:rPr>
            <a:pPr marL="0" indent="0" algn="l"/>
            <a:t>$126,928.73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73</xdr:row>
      <xdr:rowOff>5119</xdr:rowOff>
    </xdr:from>
    <xdr:to>
      <xdr:col>77</xdr:col>
      <xdr:colOff>0</xdr:colOff>
      <xdr:row>74</xdr:row>
      <xdr:rowOff>6341</xdr:rowOff>
    </xdr:to>
    <xdr:sp macro="" textlink="'Linking Cells'!C11">
      <xdr:nvSpPr>
        <xdr:cNvPr id="7" name="TextBox 121">
          <a:extLst>
            <a:ext uri="{FF2B5EF4-FFF2-40B4-BE49-F238E27FC236}">
              <a16:creationId xmlns:a16="http://schemas.microsoft.com/office/drawing/2014/main" id="{00000000-0008-0000-0A00-000007000000}"/>
            </a:ext>
          </a:extLst>
        </xdr:cNvPr>
        <xdr:cNvSpPr txBox="1"/>
      </xdr:nvSpPr>
      <xdr:spPr>
        <a:xfrm>
          <a:off x="12666133" y="14014630"/>
          <a:ext cx="2111023" cy="19313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129A223-D6B7-4C4C-9C7B-36E146A0305D}" type="TxLink">
            <a:rPr lang="en-US" sz="1000" b="0" i="0" u="none" strike="noStrike">
              <a:solidFill>
                <a:srgbClr val="2A2A2A"/>
              </a:solidFill>
              <a:latin typeface="Overpass" pitchFamily="2" charset="77"/>
              <a:ea typeface="+mn-ea"/>
              <a:cs typeface="Calibri"/>
            </a:rPr>
            <a:pPr marL="0" indent="0" algn="l"/>
            <a:t>$11,538.98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191405</xdr:colOff>
      <xdr:row>72</xdr:row>
      <xdr:rowOff>9101</xdr:rowOff>
    </xdr:from>
    <xdr:to>
      <xdr:col>77</xdr:col>
      <xdr:colOff>1350</xdr:colOff>
      <xdr:row>73</xdr:row>
      <xdr:rowOff>6340</xdr:rowOff>
    </xdr:to>
    <xdr:sp macro="" textlink="'Linking Cells'!C10">
      <xdr:nvSpPr>
        <xdr:cNvPr id="8" name="TextBox 122">
          <a:extLst>
            <a:ext uri="{FF2B5EF4-FFF2-40B4-BE49-F238E27FC236}">
              <a16:creationId xmlns:a16="http://schemas.microsoft.com/office/drawing/2014/main" id="{00000000-0008-0000-0A00-000008000000}"/>
            </a:ext>
          </a:extLst>
        </xdr:cNvPr>
        <xdr:cNvSpPr txBox="1"/>
      </xdr:nvSpPr>
      <xdr:spPr>
        <a:xfrm>
          <a:off x="12665627" y="13826701"/>
          <a:ext cx="2112879" cy="1891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16DFEF-25A6-E24F-99FE-BCB95EC67226}" type="TxLink">
            <a:rPr lang="en-US" sz="1000" b="0" i="0" u="none" strike="noStrike">
              <a:solidFill>
                <a:srgbClr val="2A2A2A"/>
              </a:solidFill>
              <a:latin typeface="Overpass" pitchFamily="2" charset="77"/>
              <a:ea typeface="+mn-ea"/>
              <a:cs typeface="Calibri"/>
            </a:rPr>
            <a:pPr marL="0" indent="0" algn="l"/>
            <a:t>$115,389.76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2138</xdr:colOff>
      <xdr:row>83</xdr:row>
      <xdr:rowOff>5500</xdr:rowOff>
    </xdr:from>
    <xdr:to>
      <xdr:col>15</xdr:col>
      <xdr:colOff>5548</xdr:colOff>
      <xdr:row>84</xdr:row>
      <xdr:rowOff>187367</xdr:rowOff>
    </xdr:to>
    <xdr:sp macro="" textlink="">
      <xdr:nvSpPr>
        <xdr:cNvPr id="10" name="TextBox 195">
          <a:extLst>
            <a:ext uri="{FF2B5EF4-FFF2-40B4-BE49-F238E27FC236}">
              <a16:creationId xmlns:a16="http://schemas.microsoft.com/office/drawing/2014/main" id="{00000000-0008-0000-0A00-00000A000000}"/>
            </a:ext>
          </a:extLst>
        </xdr:cNvPr>
        <xdr:cNvSpPr txBox="1"/>
      </xdr:nvSpPr>
      <xdr:spPr>
        <a:xfrm>
          <a:off x="1160378" y="16027820"/>
          <a:ext cx="1740770" cy="374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INSTALL TYPE</a:t>
          </a:r>
        </a:p>
      </xdr:txBody>
    </xdr:sp>
    <xdr:clientData/>
  </xdr:twoCellAnchor>
  <xdr:twoCellAnchor>
    <xdr:from>
      <xdr:col>6</xdr:col>
      <xdr:colOff>1607</xdr:colOff>
      <xdr:row>84</xdr:row>
      <xdr:rowOff>192987</xdr:rowOff>
    </xdr:from>
    <xdr:to>
      <xdr:col>13</xdr:col>
      <xdr:colOff>483</xdr:colOff>
      <xdr:row>86</xdr:row>
      <xdr:rowOff>193025</xdr:rowOff>
    </xdr:to>
    <xdr:sp macro="" textlink="">
      <xdr:nvSpPr>
        <xdr:cNvPr id="11" name="TextBox 196">
          <a:extLst>
            <a:ext uri="{FF2B5EF4-FFF2-40B4-BE49-F238E27FC236}">
              <a16:creationId xmlns:a16="http://schemas.microsoft.com/office/drawing/2014/main" id="{00000000-0008-0000-0A00-00000B000000}"/>
            </a:ext>
          </a:extLst>
        </xdr:cNvPr>
        <xdr:cNvSpPr txBox="1"/>
      </xdr:nvSpPr>
      <xdr:spPr>
        <a:xfrm>
          <a:off x="1159847" y="16408347"/>
          <a:ext cx="1350156" cy="386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PANELS</a:t>
          </a:r>
        </a:p>
      </xdr:txBody>
    </xdr:sp>
    <xdr:clientData/>
  </xdr:twoCellAnchor>
  <xdr:twoCellAnchor>
    <xdr:from>
      <xdr:col>6</xdr:col>
      <xdr:colOff>1</xdr:colOff>
      <xdr:row>86</xdr:row>
      <xdr:rowOff>193000</xdr:rowOff>
    </xdr:from>
    <xdr:to>
      <xdr:col>13</xdr:col>
      <xdr:colOff>193023</xdr:colOff>
      <xdr:row>89</xdr:row>
      <xdr:rowOff>0</xdr:rowOff>
    </xdr:to>
    <xdr:sp macro="" textlink="">
      <xdr:nvSpPr>
        <xdr:cNvPr id="12" name="TextBox 197">
          <a:extLst>
            <a:ext uri="{FF2B5EF4-FFF2-40B4-BE49-F238E27FC236}">
              <a16:creationId xmlns:a16="http://schemas.microsoft.com/office/drawing/2014/main" id="{00000000-0008-0000-0A00-00000C000000}"/>
            </a:ext>
          </a:extLst>
        </xdr:cNvPr>
        <xdr:cNvSpPr txBox="1"/>
      </xdr:nvSpPr>
      <xdr:spPr>
        <a:xfrm>
          <a:off x="1158241" y="16794440"/>
          <a:ext cx="1544302" cy="386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INVERTERS</a:t>
          </a:r>
        </a:p>
      </xdr:txBody>
    </xdr:sp>
    <xdr:clientData/>
  </xdr:twoCellAnchor>
  <xdr:twoCellAnchor>
    <xdr:from>
      <xdr:col>6</xdr:col>
      <xdr:colOff>1607</xdr:colOff>
      <xdr:row>89</xdr:row>
      <xdr:rowOff>0</xdr:rowOff>
    </xdr:from>
    <xdr:to>
      <xdr:col>17</xdr:col>
      <xdr:colOff>6314</xdr:colOff>
      <xdr:row>93</xdr:row>
      <xdr:rowOff>0</xdr:rowOff>
    </xdr:to>
    <xdr:sp macro="" textlink="">
      <xdr:nvSpPr>
        <xdr:cNvPr id="13" name="TextBox 198">
          <a:extLst>
            <a:ext uri="{FF2B5EF4-FFF2-40B4-BE49-F238E27FC236}">
              <a16:creationId xmlns:a16="http://schemas.microsoft.com/office/drawing/2014/main" id="{00000000-0008-0000-0A00-00000D000000}"/>
            </a:ext>
          </a:extLst>
        </xdr:cNvPr>
        <xdr:cNvSpPr txBox="1"/>
      </xdr:nvSpPr>
      <xdr:spPr>
        <a:xfrm>
          <a:off x="1159847" y="17180560"/>
          <a:ext cx="2128147" cy="772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i="0" u="none" strike="noStrike">
              <a:solidFill>
                <a:srgbClr val="28066C"/>
              </a:solidFill>
              <a:latin typeface="Overpass" panose="00000500000000000000" pitchFamily="2" charset="0"/>
              <a:ea typeface="+mn-ea"/>
              <a:cs typeface="Calibri"/>
            </a:rPr>
            <a:t>YEARS OF SERVICE</a:t>
          </a:r>
        </a:p>
        <a:p>
          <a:pPr marL="0" indent="0" algn="l"/>
          <a:r>
            <a:rPr lang="en-US" sz="1200" b="1" i="0" u="none" strike="noStrike">
              <a:solidFill>
                <a:srgbClr val="28066C"/>
              </a:solidFill>
              <a:latin typeface="Overpass" panose="00000500000000000000" pitchFamily="2" charset="0"/>
              <a:ea typeface="+mn-ea"/>
              <a:cs typeface="Calibri"/>
            </a:rPr>
            <a:t>PACKAGE INCLUDED</a:t>
          </a:r>
        </a:p>
      </xdr:txBody>
    </xdr:sp>
    <xdr:clientData/>
  </xdr:twoCellAnchor>
  <xdr:twoCellAnchor>
    <xdr:from>
      <xdr:col>16</xdr:col>
      <xdr:colOff>191747</xdr:colOff>
      <xdr:row>83</xdr:row>
      <xdr:rowOff>4014</xdr:rowOff>
    </xdr:from>
    <xdr:to>
      <xdr:col>35</xdr:col>
      <xdr:colOff>192975</xdr:colOff>
      <xdr:row>85</xdr:row>
      <xdr:rowOff>2572</xdr:rowOff>
    </xdr:to>
    <xdr:sp macro="" textlink="'Linking Cells'!C3">
      <xdr:nvSpPr>
        <xdr:cNvPr id="14" name="TextBox 199">
          <a:extLst>
            <a:ext uri="{FF2B5EF4-FFF2-40B4-BE49-F238E27FC236}">
              <a16:creationId xmlns:a16="http://schemas.microsoft.com/office/drawing/2014/main" id="{00000000-0008-0000-0A00-00000E000000}"/>
            </a:ext>
          </a:extLst>
        </xdr:cNvPr>
        <xdr:cNvSpPr txBox="1"/>
      </xdr:nvSpPr>
      <xdr:spPr>
        <a:xfrm>
          <a:off x="3280387" y="16026334"/>
          <a:ext cx="3668988" cy="38463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0EC5CFC-EC94-934F-8B5E-71093982C114}" type="TxLink">
            <a:rPr lang="en-US" sz="1200" b="0" i="0" u="none" strike="noStrike">
              <a:solidFill>
                <a:srgbClr val="000000"/>
              </a:solidFill>
              <a:latin typeface="Overpass" panose="00000500000000000000" pitchFamily="2" charset="0"/>
              <a:ea typeface="+mn-ea"/>
              <a:cs typeface="Calibri"/>
            </a:rPr>
            <a:pPr marL="0" indent="0" algn="l"/>
            <a:t>Trimdek Installation - Flush Mounted</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16</xdr:col>
      <xdr:colOff>191747</xdr:colOff>
      <xdr:row>85</xdr:row>
      <xdr:rowOff>4026</xdr:rowOff>
    </xdr:from>
    <xdr:to>
      <xdr:col>36</xdr:col>
      <xdr:colOff>3947</xdr:colOff>
      <xdr:row>86</xdr:row>
      <xdr:rowOff>193039</xdr:rowOff>
    </xdr:to>
    <xdr:sp macro="" textlink="'Linking Cells'!C5">
      <xdr:nvSpPr>
        <xdr:cNvPr id="15" name="TextBox 200">
          <a:extLst>
            <a:ext uri="{FF2B5EF4-FFF2-40B4-BE49-F238E27FC236}">
              <a16:creationId xmlns:a16="http://schemas.microsoft.com/office/drawing/2014/main" id="{00000000-0008-0000-0A00-00000F000000}"/>
            </a:ext>
          </a:extLst>
        </xdr:cNvPr>
        <xdr:cNvSpPr txBox="1"/>
      </xdr:nvSpPr>
      <xdr:spPr>
        <a:xfrm>
          <a:off x="3280387" y="16412426"/>
          <a:ext cx="3673000" cy="38205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3BEE98F-A629-AF4B-B672-E175DBCC69E4}" type="TxLink">
            <a:rPr lang="en-US" sz="1200" b="0" i="0" u="none" strike="noStrike">
              <a:solidFill>
                <a:srgbClr val="000000"/>
              </a:solidFill>
              <a:latin typeface="Overpass" panose="00000500000000000000" pitchFamily="2" charset="0"/>
              <a:ea typeface="+mn-ea"/>
              <a:cs typeface="Calibri"/>
            </a:rPr>
            <a:pPr marL="0" indent="0" algn="l"/>
            <a:t>100kW Premium Commercial Module</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16</xdr:col>
      <xdr:colOff>191747</xdr:colOff>
      <xdr:row>87</xdr:row>
      <xdr:rowOff>4039</xdr:rowOff>
    </xdr:from>
    <xdr:to>
      <xdr:col>36</xdr:col>
      <xdr:colOff>3947</xdr:colOff>
      <xdr:row>89</xdr:row>
      <xdr:rowOff>0</xdr:rowOff>
    </xdr:to>
    <xdr:sp macro="" textlink="'Linking Cells'!C6">
      <xdr:nvSpPr>
        <xdr:cNvPr id="16" name="TextBox 201">
          <a:extLst>
            <a:ext uri="{FF2B5EF4-FFF2-40B4-BE49-F238E27FC236}">
              <a16:creationId xmlns:a16="http://schemas.microsoft.com/office/drawing/2014/main" id="{00000000-0008-0000-0A00-000010000000}"/>
            </a:ext>
          </a:extLst>
        </xdr:cNvPr>
        <xdr:cNvSpPr txBox="1"/>
      </xdr:nvSpPr>
      <xdr:spPr>
        <a:xfrm>
          <a:off x="3280387" y="16798519"/>
          <a:ext cx="3673000" cy="38204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E4013D-C9EE-094D-827E-F5DE4912909E}" type="TxLink">
            <a:rPr lang="en-US" sz="1200" b="0" i="0" u="none" strike="noStrike">
              <a:solidFill>
                <a:srgbClr val="000000"/>
              </a:solidFill>
              <a:latin typeface="Overpass" panose="00000500000000000000" pitchFamily="2" charset="0"/>
              <a:ea typeface="+mn-ea"/>
              <a:cs typeface="Calibri"/>
            </a:rPr>
            <a:pPr marL="0" indent="0" algn="l"/>
            <a:t>1 x Sungrow SG110CX-P2</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17</xdr:col>
      <xdr:colOff>4056</xdr:colOff>
      <xdr:row>89</xdr:row>
      <xdr:rowOff>0</xdr:rowOff>
    </xdr:from>
    <xdr:to>
      <xdr:col>35</xdr:col>
      <xdr:colOff>192975</xdr:colOff>
      <xdr:row>91</xdr:row>
      <xdr:rowOff>0</xdr:rowOff>
    </xdr:to>
    <xdr:sp macro="" textlink="'Linking Cells'!C7">
      <xdr:nvSpPr>
        <xdr:cNvPr id="17" name="TextBox 202">
          <a:extLst>
            <a:ext uri="{FF2B5EF4-FFF2-40B4-BE49-F238E27FC236}">
              <a16:creationId xmlns:a16="http://schemas.microsoft.com/office/drawing/2014/main" id="{00000000-0008-0000-0A00-000011000000}"/>
            </a:ext>
          </a:extLst>
        </xdr:cNvPr>
        <xdr:cNvSpPr txBox="1"/>
      </xdr:nvSpPr>
      <xdr:spPr>
        <a:xfrm>
          <a:off x="3285736" y="17180560"/>
          <a:ext cx="3663639" cy="38608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4BE4BF-4979-8A48-A354-E0C64F5DBE32}" type="TxLink">
            <a:rPr lang="en-US" sz="1200" b="0" i="0" u="none" strike="noStrike">
              <a:solidFill>
                <a:srgbClr val="000000"/>
              </a:solidFill>
              <a:latin typeface="Overpass" panose="00000500000000000000" pitchFamily="2" charset="0"/>
              <a:ea typeface="+mn-ea"/>
              <a:cs typeface="Calibri"/>
            </a:rPr>
            <a:pPr marL="0" indent="0" algn="l"/>
            <a:t>1 year</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editAs="oneCell">
    <xdr:from>
      <xdr:col>87</xdr:col>
      <xdr:colOff>355202</xdr:colOff>
      <xdr:row>680</xdr:row>
      <xdr:rowOff>134833</xdr:rowOff>
    </xdr:from>
    <xdr:to>
      <xdr:col>88</xdr:col>
      <xdr:colOff>20592</xdr:colOff>
      <xdr:row>692</xdr:row>
      <xdr:rowOff>136374</xdr:rowOff>
    </xdr:to>
    <xdr:pic>
      <xdr:nvPicPr>
        <xdr:cNvPr id="18" name="Picture 17">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131902" y="129674833"/>
          <a:ext cx="9560" cy="2279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73</xdr:col>
      <xdr:colOff>113270</xdr:colOff>
      <xdr:row>380</xdr:row>
      <xdr:rowOff>5149</xdr:rowOff>
    </xdr:from>
    <xdr:to>
      <xdr:col>75</xdr:col>
      <xdr:colOff>123243</xdr:colOff>
      <xdr:row>381</xdr:row>
      <xdr:rowOff>5150</xdr:rowOff>
    </xdr:to>
    <xdr:sp macro="" textlink="">
      <xdr:nvSpPr>
        <xdr:cNvPr id="19" name="Rectangle 18">
          <a:extLst>
            <a:ext uri="{FF2B5EF4-FFF2-40B4-BE49-F238E27FC236}">
              <a16:creationId xmlns:a16="http://schemas.microsoft.com/office/drawing/2014/main" id="{00000000-0008-0000-0A00-000013000000}"/>
            </a:ext>
          </a:extLst>
        </xdr:cNvPr>
        <xdr:cNvSpPr/>
      </xdr:nvSpPr>
      <xdr:spPr>
        <a:xfrm>
          <a:off x="14019770" y="7239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108121</xdr:colOff>
      <xdr:row>440</xdr:row>
      <xdr:rowOff>7723</xdr:rowOff>
    </xdr:from>
    <xdr:to>
      <xdr:col>75</xdr:col>
      <xdr:colOff>118094</xdr:colOff>
      <xdr:row>441</xdr:row>
      <xdr:rowOff>7724</xdr:rowOff>
    </xdr:to>
    <xdr:sp macro="" textlink="">
      <xdr:nvSpPr>
        <xdr:cNvPr id="20" name="Rectangle 19">
          <a:extLst>
            <a:ext uri="{FF2B5EF4-FFF2-40B4-BE49-F238E27FC236}">
              <a16:creationId xmlns:a16="http://schemas.microsoft.com/office/drawing/2014/main" id="{00000000-0008-0000-0A00-000014000000}"/>
            </a:ext>
          </a:extLst>
        </xdr:cNvPr>
        <xdr:cNvSpPr/>
      </xdr:nvSpPr>
      <xdr:spPr>
        <a:xfrm>
          <a:off x="14014621" y="8382772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114249</xdr:colOff>
      <xdr:row>500</xdr:row>
      <xdr:rowOff>5222</xdr:rowOff>
    </xdr:from>
    <xdr:to>
      <xdr:col>75</xdr:col>
      <xdr:colOff>124222</xdr:colOff>
      <xdr:row>501</xdr:row>
      <xdr:rowOff>5223</xdr:rowOff>
    </xdr:to>
    <xdr:sp macro="" textlink="">
      <xdr:nvSpPr>
        <xdr:cNvPr id="21" name="Rectangle 20">
          <a:extLst>
            <a:ext uri="{FF2B5EF4-FFF2-40B4-BE49-F238E27FC236}">
              <a16:creationId xmlns:a16="http://schemas.microsoft.com/office/drawing/2014/main" id="{00000000-0008-0000-0A00-000015000000}"/>
            </a:ext>
          </a:extLst>
        </xdr:cNvPr>
        <xdr:cNvSpPr/>
      </xdr:nvSpPr>
      <xdr:spPr>
        <a:xfrm>
          <a:off x="14020749" y="95255222"/>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121538</xdr:colOff>
      <xdr:row>560</xdr:row>
      <xdr:rowOff>20668</xdr:rowOff>
    </xdr:from>
    <xdr:to>
      <xdr:col>75</xdr:col>
      <xdr:colOff>131511</xdr:colOff>
      <xdr:row>561</xdr:row>
      <xdr:rowOff>20669</xdr:rowOff>
    </xdr:to>
    <xdr:sp macro="" textlink="">
      <xdr:nvSpPr>
        <xdr:cNvPr id="22" name="Rectangle 21">
          <a:extLst>
            <a:ext uri="{FF2B5EF4-FFF2-40B4-BE49-F238E27FC236}">
              <a16:creationId xmlns:a16="http://schemas.microsoft.com/office/drawing/2014/main" id="{00000000-0008-0000-0A00-000016000000}"/>
            </a:ext>
          </a:extLst>
        </xdr:cNvPr>
        <xdr:cNvSpPr/>
      </xdr:nvSpPr>
      <xdr:spPr>
        <a:xfrm>
          <a:off x="14028038" y="10670066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127013</xdr:colOff>
      <xdr:row>559</xdr:row>
      <xdr:rowOff>187888</xdr:rowOff>
    </xdr:from>
    <xdr:to>
      <xdr:col>34</xdr:col>
      <xdr:colOff>136986</xdr:colOff>
      <xdr:row>560</xdr:row>
      <xdr:rowOff>187889</xdr:rowOff>
    </xdr:to>
    <xdr:sp macro="" textlink="">
      <xdr:nvSpPr>
        <xdr:cNvPr id="23" name="Rectangle 22">
          <a:extLst>
            <a:ext uri="{FF2B5EF4-FFF2-40B4-BE49-F238E27FC236}">
              <a16:creationId xmlns:a16="http://schemas.microsoft.com/office/drawing/2014/main" id="{00000000-0008-0000-0A00-000017000000}"/>
            </a:ext>
          </a:extLst>
        </xdr:cNvPr>
        <xdr:cNvSpPr/>
      </xdr:nvSpPr>
      <xdr:spPr>
        <a:xfrm>
          <a:off x="6223013" y="10667738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128826</xdr:colOff>
      <xdr:row>499</xdr:row>
      <xdr:rowOff>184553</xdr:rowOff>
    </xdr:from>
    <xdr:to>
      <xdr:col>34</xdr:col>
      <xdr:colOff>138799</xdr:colOff>
      <xdr:row>500</xdr:row>
      <xdr:rowOff>184554</xdr:rowOff>
    </xdr:to>
    <xdr:sp macro="" textlink="">
      <xdr:nvSpPr>
        <xdr:cNvPr id="24" name="Rectangle 23">
          <a:extLst>
            <a:ext uri="{FF2B5EF4-FFF2-40B4-BE49-F238E27FC236}">
              <a16:creationId xmlns:a16="http://schemas.microsoft.com/office/drawing/2014/main" id="{00000000-0008-0000-0A00-000018000000}"/>
            </a:ext>
          </a:extLst>
        </xdr:cNvPr>
        <xdr:cNvSpPr/>
      </xdr:nvSpPr>
      <xdr:spPr>
        <a:xfrm>
          <a:off x="6224826" y="9524405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126142</xdr:colOff>
      <xdr:row>440</xdr:row>
      <xdr:rowOff>5149</xdr:rowOff>
    </xdr:from>
    <xdr:to>
      <xdr:col>34</xdr:col>
      <xdr:colOff>136115</xdr:colOff>
      <xdr:row>441</xdr:row>
      <xdr:rowOff>5150</xdr:rowOff>
    </xdr:to>
    <xdr:sp macro="" textlink="">
      <xdr:nvSpPr>
        <xdr:cNvPr id="25" name="Rectangle 24">
          <a:extLst>
            <a:ext uri="{FF2B5EF4-FFF2-40B4-BE49-F238E27FC236}">
              <a16:creationId xmlns:a16="http://schemas.microsoft.com/office/drawing/2014/main" id="{00000000-0008-0000-0A00-000019000000}"/>
            </a:ext>
          </a:extLst>
        </xdr:cNvPr>
        <xdr:cNvSpPr/>
      </xdr:nvSpPr>
      <xdr:spPr>
        <a:xfrm>
          <a:off x="6222142" y="8382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131291</xdr:colOff>
      <xdr:row>380</xdr:row>
      <xdr:rowOff>20595</xdr:rowOff>
    </xdr:from>
    <xdr:to>
      <xdr:col>34</xdr:col>
      <xdr:colOff>141264</xdr:colOff>
      <xdr:row>381</xdr:row>
      <xdr:rowOff>20596</xdr:rowOff>
    </xdr:to>
    <xdr:sp macro="" textlink="">
      <xdr:nvSpPr>
        <xdr:cNvPr id="26" name="Rectangle 25">
          <a:extLst>
            <a:ext uri="{FF2B5EF4-FFF2-40B4-BE49-F238E27FC236}">
              <a16:creationId xmlns:a16="http://schemas.microsoft.com/office/drawing/2014/main" id="{00000000-0008-0000-0A00-00001A000000}"/>
            </a:ext>
          </a:extLst>
        </xdr:cNvPr>
        <xdr:cNvSpPr/>
      </xdr:nvSpPr>
      <xdr:spPr>
        <a:xfrm>
          <a:off x="6227291" y="72410595"/>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41294</xdr:colOff>
      <xdr:row>379</xdr:row>
      <xdr:rowOff>151999</xdr:rowOff>
    </xdr:from>
    <xdr:to>
      <xdr:col>75</xdr:col>
      <xdr:colOff>153106</xdr:colOff>
      <xdr:row>381</xdr:row>
      <xdr:rowOff>77456</xdr:rowOff>
    </xdr:to>
    <xdr:sp macro="" textlink="">
      <xdr:nvSpPr>
        <xdr:cNvPr id="27" name="TextBox 26">
          <a:extLst>
            <a:ext uri="{FF2B5EF4-FFF2-40B4-BE49-F238E27FC236}">
              <a16:creationId xmlns:a16="http://schemas.microsoft.com/office/drawing/2014/main" id="{00000000-0008-0000-0A00-00001B000000}"/>
            </a:ext>
          </a:extLst>
        </xdr:cNvPr>
        <xdr:cNvSpPr txBox="1"/>
      </xdr:nvSpPr>
      <xdr:spPr>
        <a:xfrm>
          <a:off x="13947794" y="72351499"/>
          <a:ext cx="492812"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0D52B7-B838-4034-95FA-6B351E989F6E}" type="TxLink">
            <a:rPr lang="en-US" sz="950" b="0" i="0" u="none" strike="noStrike">
              <a:solidFill>
                <a:schemeClr val="accent3">
                  <a:lumMod val="50000"/>
                </a:schemeClr>
              </a:solidFill>
              <a:latin typeface="Overpass" panose="00000500000000000000" pitchFamily="2" charset="0"/>
              <a:cs typeface="Calibri"/>
            </a:rPr>
            <a:pPr/>
            <a:t> </a:t>
          </a:fld>
          <a:endParaRPr lang="en-AU" sz="950">
            <a:solidFill>
              <a:schemeClr val="accent3">
                <a:lumMod val="50000"/>
              </a:schemeClr>
            </a:solidFill>
            <a:latin typeface="Overpass" panose="00000500000000000000" pitchFamily="2" charset="0"/>
          </a:endParaRPr>
        </a:p>
      </xdr:txBody>
    </xdr:sp>
    <xdr:clientData/>
  </xdr:twoCellAnchor>
  <xdr:oneCellAnchor>
    <xdr:from>
      <xdr:col>47</xdr:col>
      <xdr:colOff>0</xdr:colOff>
      <xdr:row>47</xdr:row>
      <xdr:rowOff>3190</xdr:rowOff>
    </xdr:from>
    <xdr:ext cx="3071628" cy="1734170"/>
    <xdr:sp macro="" textlink="SOLAR!D10">
      <xdr:nvSpPr>
        <xdr:cNvPr id="28" name="TextBox 27">
          <a:extLst>
            <a:ext uri="{FF2B5EF4-FFF2-40B4-BE49-F238E27FC236}">
              <a16:creationId xmlns:a16="http://schemas.microsoft.com/office/drawing/2014/main" id="{00000000-0008-0000-0A00-00001C000000}"/>
            </a:ext>
          </a:extLst>
        </xdr:cNvPr>
        <xdr:cNvSpPr txBox="1"/>
      </xdr:nvSpPr>
      <xdr:spPr>
        <a:xfrm>
          <a:off x="9072880" y="9076070"/>
          <a:ext cx="3071628" cy="173417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D77BD3A-7CD7-934F-8B8D-AE2E00C70A6D}" type="TxLink">
            <a:rPr lang="en-US" sz="2000" b="1" i="0" u="none" strike="noStrike">
              <a:solidFill>
                <a:srgbClr val="27056C"/>
              </a:solidFill>
              <a:latin typeface="Overpass" pitchFamily="2" charset="77"/>
              <a:cs typeface="Calibri"/>
            </a:rPr>
            <a:pPr/>
            <a:t> </a:t>
          </a:fld>
          <a:endParaRPr lang="en-AU" sz="2000" b="1">
            <a:solidFill>
              <a:srgbClr val="27056C"/>
            </a:solidFill>
            <a:latin typeface="Overpass" pitchFamily="2" charset="77"/>
          </a:endParaRPr>
        </a:p>
      </xdr:txBody>
    </xdr:sp>
    <xdr:clientData/>
  </xdr:oneCellAnchor>
  <xdr:oneCellAnchor>
    <xdr:from>
      <xdr:col>63</xdr:col>
      <xdr:colOff>0</xdr:colOff>
      <xdr:row>35</xdr:row>
      <xdr:rowOff>0</xdr:rowOff>
    </xdr:from>
    <xdr:ext cx="2771775" cy="762000"/>
    <xdr:sp macro="" textlink="">
      <xdr:nvSpPr>
        <xdr:cNvPr id="29" name="TextBox 28">
          <a:extLst>
            <a:ext uri="{FF2B5EF4-FFF2-40B4-BE49-F238E27FC236}">
              <a16:creationId xmlns:a16="http://schemas.microsoft.com/office/drawing/2014/main" id="{00000000-0008-0000-0A00-00001D000000}"/>
            </a:ext>
          </a:extLst>
        </xdr:cNvPr>
        <xdr:cNvSpPr txBox="1"/>
      </xdr:nvSpPr>
      <xdr:spPr>
        <a:xfrm>
          <a:off x="12001500" y="6667500"/>
          <a:ext cx="2771775" cy="76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AU" sz="1100"/>
        </a:p>
      </xdr:txBody>
    </xdr:sp>
    <xdr:clientData/>
  </xdr:oneCellAnchor>
  <xdr:twoCellAnchor>
    <xdr:from>
      <xdr:col>18</xdr:col>
      <xdr:colOff>192910</xdr:colOff>
      <xdr:row>135</xdr:row>
      <xdr:rowOff>2636</xdr:rowOff>
    </xdr:from>
    <xdr:to>
      <xdr:col>36</xdr:col>
      <xdr:colOff>2426</xdr:colOff>
      <xdr:row>136</xdr:row>
      <xdr:rowOff>1180</xdr:rowOff>
    </xdr:to>
    <xdr:sp macro="" textlink="SOLAR!D32">
      <xdr:nvSpPr>
        <xdr:cNvPr id="31" name="TextBox 30">
          <a:extLst>
            <a:ext uri="{FF2B5EF4-FFF2-40B4-BE49-F238E27FC236}">
              <a16:creationId xmlns:a16="http://schemas.microsoft.com/office/drawing/2014/main" id="{00000000-0008-0000-0A00-00001F000000}"/>
            </a:ext>
          </a:extLst>
        </xdr:cNvPr>
        <xdr:cNvSpPr txBox="1"/>
      </xdr:nvSpPr>
      <xdr:spPr>
        <a:xfrm>
          <a:off x="3665315" y="26045674"/>
          <a:ext cx="3281921" cy="19145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288311A-B4D0-7046-939E-A5BF0A1645C7}" type="TxLink">
            <a:rPr lang="en-US" sz="1000" b="0" i="0" u="none" strike="noStrike">
              <a:solidFill>
                <a:srgbClr val="2A2A2A"/>
              </a:solidFill>
              <a:latin typeface="Overpass" pitchFamily="2" charset="77"/>
              <a:ea typeface="+mn-ea"/>
              <a:cs typeface="Calibri"/>
            </a:rPr>
            <a:pPr marL="0" indent="0" algn="l"/>
            <a:t>By Others/ N/A</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136</xdr:row>
      <xdr:rowOff>2635</xdr:rowOff>
    </xdr:from>
    <xdr:to>
      <xdr:col>36</xdr:col>
      <xdr:colOff>0</xdr:colOff>
      <xdr:row>136</xdr:row>
      <xdr:rowOff>190450</xdr:rowOff>
    </xdr:to>
    <xdr:sp macro="" textlink="SOLAR!D33">
      <xdr:nvSpPr>
        <xdr:cNvPr id="32" name="TextBox 31">
          <a:extLst>
            <a:ext uri="{FF2B5EF4-FFF2-40B4-BE49-F238E27FC236}">
              <a16:creationId xmlns:a16="http://schemas.microsoft.com/office/drawing/2014/main" id="{00000000-0008-0000-0A00-000020000000}"/>
            </a:ext>
          </a:extLst>
        </xdr:cNvPr>
        <xdr:cNvSpPr txBox="1"/>
      </xdr:nvSpPr>
      <xdr:spPr>
        <a:xfrm>
          <a:off x="3661743" y="26238584"/>
          <a:ext cx="3283067" cy="18781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4B7BAD-26E9-D34F-9CAA-9008B0DEAF50}" type="TxLink">
            <a:rPr lang="en-US" sz="1000" b="0" i="0" u="none" strike="noStrike">
              <a:solidFill>
                <a:srgbClr val="2A2A2A"/>
              </a:solidFill>
              <a:latin typeface="Overpass" pitchFamily="2" charset="77"/>
              <a:ea typeface="+mn-ea"/>
              <a:cs typeface="Calibri"/>
            </a:rPr>
            <a:pPr marL="0" indent="0" algn="l"/>
            <a:t>Included (Inspection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145</xdr:row>
      <xdr:rowOff>2635</xdr:rowOff>
    </xdr:from>
    <xdr:to>
      <xdr:col>36</xdr:col>
      <xdr:colOff>0</xdr:colOff>
      <xdr:row>146</xdr:row>
      <xdr:rowOff>7518</xdr:rowOff>
    </xdr:to>
    <xdr:sp macro="" textlink="SOLAR!F38">
      <xdr:nvSpPr>
        <xdr:cNvPr id="34" name="TextBox 33">
          <a:extLst>
            <a:ext uri="{FF2B5EF4-FFF2-40B4-BE49-F238E27FC236}">
              <a16:creationId xmlns:a16="http://schemas.microsoft.com/office/drawing/2014/main" id="{00000000-0008-0000-0A00-000022000000}"/>
            </a:ext>
          </a:extLst>
        </xdr:cNvPr>
        <xdr:cNvSpPr txBox="1"/>
      </xdr:nvSpPr>
      <xdr:spPr>
        <a:xfrm>
          <a:off x="3661743" y="27974787"/>
          <a:ext cx="3283067" cy="19779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42103CA-B3FA-BC4C-9729-B346D06C8BC4}" type="TxLink">
            <a:rPr lang="en-US" sz="1000" b="0" i="0" u="none" strike="noStrike">
              <a:solidFill>
                <a:srgbClr val="2A2A2A"/>
              </a:solidFill>
              <a:latin typeface="Overpass" pitchFamily="2" charset="77"/>
              <a:ea typeface="+mn-ea"/>
              <a:cs typeface="Calibri"/>
            </a:rPr>
            <a:pPr marL="0" indent="0" algn="l"/>
            <a:t>200</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146</xdr:row>
      <xdr:rowOff>7518</xdr:rowOff>
    </xdr:from>
    <xdr:to>
      <xdr:col>36</xdr:col>
      <xdr:colOff>2426</xdr:colOff>
      <xdr:row>147</xdr:row>
      <xdr:rowOff>7519</xdr:rowOff>
    </xdr:to>
    <xdr:sp macro="" textlink="SOLAR!E39">
      <xdr:nvSpPr>
        <xdr:cNvPr id="35" name="TextBox 34">
          <a:extLst>
            <a:ext uri="{FF2B5EF4-FFF2-40B4-BE49-F238E27FC236}">
              <a16:creationId xmlns:a16="http://schemas.microsoft.com/office/drawing/2014/main" id="{00000000-0008-0000-0A00-000023000000}"/>
            </a:ext>
          </a:extLst>
        </xdr:cNvPr>
        <xdr:cNvSpPr txBox="1"/>
      </xdr:nvSpPr>
      <xdr:spPr>
        <a:xfrm>
          <a:off x="3665315" y="28172581"/>
          <a:ext cx="3281921" cy="1929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66C161-602D-0143-B823-BFA51CE2E01B}" type="TxLink">
            <a:rPr lang="en-US" sz="1000" b="0" i="0" u="none" strike="noStrike">
              <a:solidFill>
                <a:srgbClr val="2A2A2A"/>
              </a:solidFill>
              <a:latin typeface="Overpass" pitchFamily="2" charset="77"/>
              <a:ea typeface="+mn-ea"/>
              <a:cs typeface="Calibri"/>
            </a:rPr>
            <a:pPr marL="0" indent="0" algn="l"/>
            <a:t>Sungrow SG110CX-P2</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189197</xdr:colOff>
      <xdr:row>147</xdr:row>
      <xdr:rowOff>7519</xdr:rowOff>
    </xdr:from>
    <xdr:to>
      <xdr:col>36</xdr:col>
      <xdr:colOff>2287</xdr:colOff>
      <xdr:row>148</xdr:row>
      <xdr:rowOff>7518</xdr:rowOff>
    </xdr:to>
    <xdr:sp macro="" textlink="SOLAR!D40">
      <xdr:nvSpPr>
        <xdr:cNvPr id="36" name="TextBox 35">
          <a:extLst>
            <a:ext uri="{FF2B5EF4-FFF2-40B4-BE49-F238E27FC236}">
              <a16:creationId xmlns:a16="http://schemas.microsoft.com/office/drawing/2014/main" id="{00000000-0008-0000-0A00-000024000000}"/>
            </a:ext>
          </a:extLst>
        </xdr:cNvPr>
        <xdr:cNvSpPr txBox="1"/>
      </xdr:nvSpPr>
      <xdr:spPr>
        <a:xfrm>
          <a:off x="3661602" y="28365494"/>
          <a:ext cx="3285495" cy="19291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14DDF00-B627-A849-8490-49728847D354}" type="TxLink">
            <a:rPr lang="en-US" sz="1000" b="0" i="0" u="none" strike="noStrike">
              <a:solidFill>
                <a:srgbClr val="2A2A2A"/>
              </a:solidFill>
              <a:latin typeface="Overpass" pitchFamily="2" charset="77"/>
              <a:ea typeface="+mn-ea"/>
              <a:cs typeface="Calibri"/>
            </a:rPr>
            <a:pPr marL="0" indent="0" algn="l"/>
            <a:t>Standard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149</xdr:row>
      <xdr:rowOff>1179</xdr:rowOff>
    </xdr:from>
    <xdr:to>
      <xdr:col>36</xdr:col>
      <xdr:colOff>0</xdr:colOff>
      <xdr:row>150</xdr:row>
      <xdr:rowOff>2635</xdr:rowOff>
    </xdr:to>
    <xdr:sp macro="" textlink="SOLAR!D42">
      <xdr:nvSpPr>
        <xdr:cNvPr id="37" name="TextBox 36">
          <a:extLst>
            <a:ext uri="{FF2B5EF4-FFF2-40B4-BE49-F238E27FC236}">
              <a16:creationId xmlns:a16="http://schemas.microsoft.com/office/drawing/2014/main" id="{00000000-0008-0000-0A00-000025000000}"/>
            </a:ext>
          </a:extLst>
        </xdr:cNvPr>
        <xdr:cNvSpPr txBox="1"/>
      </xdr:nvSpPr>
      <xdr:spPr>
        <a:xfrm>
          <a:off x="3661743" y="28744976"/>
          <a:ext cx="3283067" cy="19436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BC78EB4-CE5B-6045-9C03-D58F06F18841}"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150</xdr:row>
      <xdr:rowOff>2635</xdr:rowOff>
    </xdr:from>
    <xdr:to>
      <xdr:col>36</xdr:col>
      <xdr:colOff>2426</xdr:colOff>
      <xdr:row>151</xdr:row>
      <xdr:rowOff>2635</xdr:rowOff>
    </xdr:to>
    <xdr:sp macro="" textlink="SOLAR!D43">
      <xdr:nvSpPr>
        <xdr:cNvPr id="38" name="TextBox 37">
          <a:extLst>
            <a:ext uri="{FF2B5EF4-FFF2-40B4-BE49-F238E27FC236}">
              <a16:creationId xmlns:a16="http://schemas.microsoft.com/office/drawing/2014/main" id="{00000000-0008-0000-0A00-000026000000}"/>
            </a:ext>
          </a:extLst>
        </xdr:cNvPr>
        <xdr:cNvSpPr txBox="1"/>
      </xdr:nvSpPr>
      <xdr:spPr>
        <a:xfrm>
          <a:off x="3665315" y="28939344"/>
          <a:ext cx="3281921"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6B89327-0415-DB4F-BDF4-090245F69982}"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151</xdr:row>
      <xdr:rowOff>2635</xdr:rowOff>
    </xdr:from>
    <xdr:to>
      <xdr:col>36</xdr:col>
      <xdr:colOff>2426</xdr:colOff>
      <xdr:row>152</xdr:row>
      <xdr:rowOff>7518</xdr:rowOff>
    </xdr:to>
    <xdr:sp macro="" textlink="SOLAR!D44">
      <xdr:nvSpPr>
        <xdr:cNvPr id="39" name="TextBox 38">
          <a:extLst>
            <a:ext uri="{FF2B5EF4-FFF2-40B4-BE49-F238E27FC236}">
              <a16:creationId xmlns:a16="http://schemas.microsoft.com/office/drawing/2014/main" id="{00000000-0008-0000-0A00-000027000000}"/>
            </a:ext>
          </a:extLst>
        </xdr:cNvPr>
        <xdr:cNvSpPr txBox="1"/>
      </xdr:nvSpPr>
      <xdr:spPr>
        <a:xfrm>
          <a:off x="3665315" y="29132255"/>
          <a:ext cx="3281921" cy="19779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C518DE-E1F1-2448-B91A-C284C5245DF6}"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88</xdr:col>
      <xdr:colOff>121758</xdr:colOff>
      <xdr:row>93</xdr:row>
      <xdr:rowOff>144009</xdr:rowOff>
    </xdr:from>
    <xdr:to>
      <xdr:col>90</xdr:col>
      <xdr:colOff>393779</xdr:colOff>
      <xdr:row>94</xdr:row>
      <xdr:rowOff>182109</xdr:rowOff>
    </xdr:to>
    <xdr:sp macro="" textlink="'[1]Cost Calculator'!#REF!">
      <xdr:nvSpPr>
        <xdr:cNvPr id="40" name="TextBox 39">
          <a:extLst>
            <a:ext uri="{FF2B5EF4-FFF2-40B4-BE49-F238E27FC236}">
              <a16:creationId xmlns:a16="http://schemas.microsoft.com/office/drawing/2014/main" id="{00000000-0008-0000-0A00-000028000000}"/>
            </a:ext>
          </a:extLst>
        </xdr:cNvPr>
        <xdr:cNvSpPr txBox="1"/>
      </xdr:nvSpPr>
      <xdr:spPr>
        <a:xfrm>
          <a:off x="17254058" y="17860509"/>
          <a:ext cx="44982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11CD9E3-6C6B-46F9-8990-1C8518B40A70}"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60</xdr:col>
      <xdr:colOff>7936</xdr:colOff>
      <xdr:row>134</xdr:row>
      <xdr:rowOff>419</xdr:rowOff>
    </xdr:from>
    <xdr:to>
      <xdr:col>77</xdr:col>
      <xdr:colOff>2</xdr:colOff>
      <xdr:row>135</xdr:row>
      <xdr:rowOff>419</xdr:rowOff>
    </xdr:to>
    <xdr:sp macro="" textlink="SOLAR!D72">
      <xdr:nvSpPr>
        <xdr:cNvPr id="41" name="TextBox 40">
          <a:extLst>
            <a:ext uri="{FF2B5EF4-FFF2-40B4-BE49-F238E27FC236}">
              <a16:creationId xmlns:a16="http://schemas.microsoft.com/office/drawing/2014/main" id="{00000000-0008-0000-0A00-000029000000}"/>
            </a:ext>
          </a:extLst>
        </xdr:cNvPr>
        <xdr:cNvSpPr txBox="1"/>
      </xdr:nvSpPr>
      <xdr:spPr>
        <a:xfrm>
          <a:off x="11296825" y="25212271"/>
          <a:ext cx="3190584" cy="188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5BA62EC-6E64-6346-91BD-2E4C4D42F723}"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135</xdr:row>
      <xdr:rowOff>419</xdr:rowOff>
    </xdr:from>
    <xdr:to>
      <xdr:col>77</xdr:col>
      <xdr:colOff>1753</xdr:colOff>
      <xdr:row>136</xdr:row>
      <xdr:rowOff>419</xdr:rowOff>
    </xdr:to>
    <xdr:sp macro="" textlink="SOLAR!D73">
      <xdr:nvSpPr>
        <xdr:cNvPr id="42" name="TextBox 41">
          <a:extLst>
            <a:ext uri="{FF2B5EF4-FFF2-40B4-BE49-F238E27FC236}">
              <a16:creationId xmlns:a16="http://schemas.microsoft.com/office/drawing/2014/main" id="{00000000-0008-0000-0A00-00002A000000}"/>
            </a:ext>
          </a:extLst>
        </xdr:cNvPr>
        <xdr:cNvSpPr txBox="1"/>
      </xdr:nvSpPr>
      <xdr:spPr>
        <a:xfrm>
          <a:off x="11288889" y="25400419"/>
          <a:ext cx="3200271" cy="188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002DB4-AD5B-AD41-BAA8-57016D5B0581}"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136</xdr:row>
      <xdr:rowOff>419</xdr:rowOff>
    </xdr:from>
    <xdr:to>
      <xdr:col>77</xdr:col>
      <xdr:colOff>1753</xdr:colOff>
      <xdr:row>136</xdr:row>
      <xdr:rowOff>185341</xdr:rowOff>
    </xdr:to>
    <xdr:sp macro="" textlink="SOLAR!D74">
      <xdr:nvSpPr>
        <xdr:cNvPr id="43" name="TextBox 42">
          <a:extLst>
            <a:ext uri="{FF2B5EF4-FFF2-40B4-BE49-F238E27FC236}">
              <a16:creationId xmlns:a16="http://schemas.microsoft.com/office/drawing/2014/main" id="{00000000-0008-0000-0A00-00002B000000}"/>
            </a:ext>
          </a:extLst>
        </xdr:cNvPr>
        <xdr:cNvSpPr txBox="1"/>
      </xdr:nvSpPr>
      <xdr:spPr>
        <a:xfrm>
          <a:off x="11288889" y="25588567"/>
          <a:ext cx="3200271" cy="1849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F7445F-F2FD-0148-B9BF-70553A9DEC21}"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136</xdr:row>
      <xdr:rowOff>185341</xdr:rowOff>
    </xdr:from>
    <xdr:to>
      <xdr:col>77</xdr:col>
      <xdr:colOff>2</xdr:colOff>
      <xdr:row>138</xdr:row>
      <xdr:rowOff>419</xdr:rowOff>
    </xdr:to>
    <xdr:sp macro="" textlink="SOLAR!D75">
      <xdr:nvSpPr>
        <xdr:cNvPr id="44" name="TextBox 43">
          <a:extLst>
            <a:ext uri="{FF2B5EF4-FFF2-40B4-BE49-F238E27FC236}">
              <a16:creationId xmlns:a16="http://schemas.microsoft.com/office/drawing/2014/main" id="{00000000-0008-0000-0A00-00002C000000}"/>
            </a:ext>
          </a:extLst>
        </xdr:cNvPr>
        <xdr:cNvSpPr txBox="1"/>
      </xdr:nvSpPr>
      <xdr:spPr>
        <a:xfrm>
          <a:off x="11296825" y="25773489"/>
          <a:ext cx="3190584" cy="19137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7F4C08C-BA28-614C-8921-EAD323139504}"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138</xdr:row>
      <xdr:rowOff>420</xdr:rowOff>
    </xdr:from>
    <xdr:to>
      <xdr:col>77</xdr:col>
      <xdr:colOff>1753</xdr:colOff>
      <xdr:row>139</xdr:row>
      <xdr:rowOff>420</xdr:rowOff>
    </xdr:to>
    <xdr:sp macro="" textlink="SOLAR!D76">
      <xdr:nvSpPr>
        <xdr:cNvPr id="45" name="TextBox 44">
          <a:extLst>
            <a:ext uri="{FF2B5EF4-FFF2-40B4-BE49-F238E27FC236}">
              <a16:creationId xmlns:a16="http://schemas.microsoft.com/office/drawing/2014/main" id="{00000000-0008-0000-0A00-00002D000000}"/>
            </a:ext>
          </a:extLst>
        </xdr:cNvPr>
        <xdr:cNvSpPr txBox="1"/>
      </xdr:nvSpPr>
      <xdr:spPr>
        <a:xfrm>
          <a:off x="11288889" y="25964864"/>
          <a:ext cx="3200271" cy="18814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F80E68-8D4E-AC46-9B9D-98CA4EDE0971}"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145</xdr:row>
      <xdr:rowOff>185342</xdr:rowOff>
    </xdr:from>
    <xdr:to>
      <xdr:col>77</xdr:col>
      <xdr:colOff>1753</xdr:colOff>
      <xdr:row>147</xdr:row>
      <xdr:rowOff>419</xdr:rowOff>
    </xdr:to>
    <xdr:sp macro="" textlink="SOLAR!D88">
      <xdr:nvSpPr>
        <xdr:cNvPr id="46" name="TextBox 45">
          <a:extLst>
            <a:ext uri="{FF2B5EF4-FFF2-40B4-BE49-F238E27FC236}">
              <a16:creationId xmlns:a16="http://schemas.microsoft.com/office/drawing/2014/main" id="{00000000-0008-0000-0A00-00002E000000}"/>
            </a:ext>
          </a:extLst>
        </xdr:cNvPr>
        <xdr:cNvSpPr txBox="1"/>
      </xdr:nvSpPr>
      <xdr:spPr>
        <a:xfrm>
          <a:off x="11288889" y="27466823"/>
          <a:ext cx="3200271" cy="19137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8683DF9-0C9A-D64F-8FFC-066C81BB53E0}" type="TxLink">
            <a:rPr lang="en-US" sz="1000" b="0" i="0" u="none" strike="noStrike">
              <a:solidFill>
                <a:srgbClr val="2A2A2A"/>
              </a:solidFill>
              <a:latin typeface="Overpass" pitchFamily="2" charset="77"/>
              <a:ea typeface="+mn-ea"/>
              <a:cs typeface="Calibri"/>
            </a:rPr>
            <a:pPr marL="0" indent="0" algn="l"/>
            <a:t>12 Year Panel Product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147</xdr:row>
      <xdr:rowOff>420</xdr:rowOff>
    </xdr:from>
    <xdr:to>
      <xdr:col>77</xdr:col>
      <xdr:colOff>1753</xdr:colOff>
      <xdr:row>148</xdr:row>
      <xdr:rowOff>419</xdr:rowOff>
    </xdr:to>
    <xdr:sp macro="" textlink="SOLAR!D89">
      <xdr:nvSpPr>
        <xdr:cNvPr id="47" name="TextBox 46">
          <a:extLst>
            <a:ext uri="{FF2B5EF4-FFF2-40B4-BE49-F238E27FC236}">
              <a16:creationId xmlns:a16="http://schemas.microsoft.com/office/drawing/2014/main" id="{00000000-0008-0000-0A00-00002F000000}"/>
            </a:ext>
          </a:extLst>
        </xdr:cNvPr>
        <xdr:cNvSpPr txBox="1"/>
      </xdr:nvSpPr>
      <xdr:spPr>
        <a:xfrm>
          <a:off x="11288889" y="27658198"/>
          <a:ext cx="3200271" cy="1881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42A46EB-E296-0E4E-A7DA-2CE4EB865F03}" type="TxLink">
            <a:rPr lang="en-US" sz="1000" b="0" i="0" u="none" strike="noStrike">
              <a:solidFill>
                <a:srgbClr val="2A2A2A"/>
              </a:solidFill>
              <a:latin typeface="Overpass" pitchFamily="2" charset="77"/>
              <a:ea typeface="+mn-ea"/>
              <a:cs typeface="Calibri"/>
            </a:rPr>
            <a:pPr marL="0" indent="0" algn="l"/>
            <a:t>25 Year Panel Performance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148</xdr:row>
      <xdr:rowOff>420</xdr:rowOff>
    </xdr:from>
    <xdr:to>
      <xdr:col>77</xdr:col>
      <xdr:colOff>2</xdr:colOff>
      <xdr:row>149</xdr:row>
      <xdr:rowOff>419</xdr:rowOff>
    </xdr:to>
    <xdr:sp macro="" textlink="SOLAR!D90">
      <xdr:nvSpPr>
        <xdr:cNvPr id="48" name="TextBox 47">
          <a:extLst>
            <a:ext uri="{FF2B5EF4-FFF2-40B4-BE49-F238E27FC236}">
              <a16:creationId xmlns:a16="http://schemas.microsoft.com/office/drawing/2014/main" id="{00000000-0008-0000-0A00-000030000000}"/>
            </a:ext>
          </a:extLst>
        </xdr:cNvPr>
        <xdr:cNvSpPr txBox="1"/>
      </xdr:nvSpPr>
      <xdr:spPr>
        <a:xfrm>
          <a:off x="11296825" y="27846346"/>
          <a:ext cx="3190584" cy="1881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B424EC0-FD50-2943-BDB6-4132FBB0C268}" type="TxLink">
            <a:rPr lang="en-US" sz="1000" b="0" i="0" u="none" strike="noStrike">
              <a:solidFill>
                <a:srgbClr val="2A2A2A"/>
              </a:solidFill>
              <a:latin typeface="Overpass" pitchFamily="2" charset="77"/>
              <a:ea typeface="+mn-ea"/>
              <a:cs typeface="Calibri"/>
            </a:rPr>
            <a:pPr marL="0" indent="0" algn="l"/>
            <a:t>10 Year Inverter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149</xdr:row>
      <xdr:rowOff>419</xdr:rowOff>
    </xdr:from>
    <xdr:to>
      <xdr:col>77</xdr:col>
      <xdr:colOff>2</xdr:colOff>
      <xdr:row>150</xdr:row>
      <xdr:rowOff>420</xdr:rowOff>
    </xdr:to>
    <xdr:sp macro="" textlink="SOLAR!D91">
      <xdr:nvSpPr>
        <xdr:cNvPr id="49" name="TextBox 48">
          <a:extLst>
            <a:ext uri="{FF2B5EF4-FFF2-40B4-BE49-F238E27FC236}">
              <a16:creationId xmlns:a16="http://schemas.microsoft.com/office/drawing/2014/main" id="{00000000-0008-0000-0A00-000031000000}"/>
            </a:ext>
          </a:extLst>
        </xdr:cNvPr>
        <xdr:cNvSpPr txBox="1"/>
      </xdr:nvSpPr>
      <xdr:spPr>
        <a:xfrm>
          <a:off x="11296825" y="28034493"/>
          <a:ext cx="3190584" cy="18814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7671C-CACA-0644-94DE-EDB780173A53}"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150</xdr:row>
      <xdr:rowOff>420</xdr:rowOff>
    </xdr:from>
    <xdr:to>
      <xdr:col>77</xdr:col>
      <xdr:colOff>2</xdr:colOff>
      <xdr:row>151</xdr:row>
      <xdr:rowOff>420</xdr:rowOff>
    </xdr:to>
    <xdr:sp macro="" textlink="SOLAR!D92">
      <xdr:nvSpPr>
        <xdr:cNvPr id="50" name="TextBox 49">
          <a:extLst>
            <a:ext uri="{FF2B5EF4-FFF2-40B4-BE49-F238E27FC236}">
              <a16:creationId xmlns:a16="http://schemas.microsoft.com/office/drawing/2014/main" id="{00000000-0008-0000-0A00-000032000000}"/>
            </a:ext>
          </a:extLst>
        </xdr:cNvPr>
        <xdr:cNvSpPr txBox="1"/>
      </xdr:nvSpPr>
      <xdr:spPr>
        <a:xfrm>
          <a:off x="11296825" y="28222642"/>
          <a:ext cx="3190584" cy="188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06906A-093A-484D-B52C-84696E5ED6E7}"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151</xdr:row>
      <xdr:rowOff>420</xdr:rowOff>
    </xdr:from>
    <xdr:to>
      <xdr:col>77</xdr:col>
      <xdr:colOff>2</xdr:colOff>
      <xdr:row>152</xdr:row>
      <xdr:rowOff>420</xdr:rowOff>
    </xdr:to>
    <xdr:sp macro="" textlink="SOLAR!D93">
      <xdr:nvSpPr>
        <xdr:cNvPr id="51" name="TextBox 50">
          <a:extLst>
            <a:ext uri="{FF2B5EF4-FFF2-40B4-BE49-F238E27FC236}">
              <a16:creationId xmlns:a16="http://schemas.microsoft.com/office/drawing/2014/main" id="{00000000-0008-0000-0A00-000033000000}"/>
            </a:ext>
          </a:extLst>
        </xdr:cNvPr>
        <xdr:cNvSpPr txBox="1"/>
      </xdr:nvSpPr>
      <xdr:spPr>
        <a:xfrm>
          <a:off x="11296825" y="28410790"/>
          <a:ext cx="3190584" cy="18814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6A0748A-F38F-584A-881F-12B1FCD99B2F}"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193535</xdr:colOff>
      <xdr:row>159</xdr:row>
      <xdr:rowOff>1685</xdr:rowOff>
    </xdr:from>
    <xdr:to>
      <xdr:col>76</xdr:col>
      <xdr:colOff>188578</xdr:colOff>
      <xdr:row>159</xdr:row>
      <xdr:rowOff>185342</xdr:rowOff>
    </xdr:to>
    <xdr:sp macro="" textlink="SOLAR!D81">
      <xdr:nvSpPr>
        <xdr:cNvPr id="52" name="TextBox 51">
          <a:extLst>
            <a:ext uri="{FF2B5EF4-FFF2-40B4-BE49-F238E27FC236}">
              <a16:creationId xmlns:a16="http://schemas.microsoft.com/office/drawing/2014/main" id="{00000000-0008-0000-0A00-000034000000}"/>
            </a:ext>
          </a:extLst>
        </xdr:cNvPr>
        <xdr:cNvSpPr txBox="1"/>
      </xdr:nvSpPr>
      <xdr:spPr>
        <a:xfrm>
          <a:off x="11669301" y="30927901"/>
          <a:ext cx="3301619" cy="1836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1F10B1-9FCB-0E44-A04B-8BEB077117CD}" type="TxLink">
            <a:rPr lang="en-US" sz="1000" b="0" i="0" u="none" strike="noStrike">
              <a:solidFill>
                <a:srgbClr val="2A2A2A"/>
              </a:solidFill>
              <a:latin typeface="Overpass" pitchFamily="2" charset="77"/>
              <a:ea typeface="+mn-ea"/>
              <a:cs typeface="Calibri"/>
            </a:rPr>
            <a:pPr marL="0" indent="0" algn="l"/>
            <a:t>Solar Analytics Generation + Consumption</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84</xdr:col>
      <xdr:colOff>591965</xdr:colOff>
      <xdr:row>135</xdr:row>
      <xdr:rowOff>72533</xdr:rowOff>
    </xdr:from>
    <xdr:to>
      <xdr:col>87</xdr:col>
      <xdr:colOff>182295</xdr:colOff>
      <xdr:row>136</xdr:row>
      <xdr:rowOff>110634</xdr:rowOff>
    </xdr:to>
    <xdr:sp macro="" textlink="'[1]Cost Calculator'!#REF!">
      <xdr:nvSpPr>
        <xdr:cNvPr id="53" name="TextBox 52">
          <a:extLst>
            <a:ext uri="{FF2B5EF4-FFF2-40B4-BE49-F238E27FC236}">
              <a16:creationId xmlns:a16="http://schemas.microsoft.com/office/drawing/2014/main" id="{00000000-0008-0000-0A00-000035000000}"/>
            </a:ext>
          </a:extLst>
        </xdr:cNvPr>
        <xdr:cNvSpPr txBox="1"/>
      </xdr:nvSpPr>
      <xdr:spPr>
        <a:xfrm>
          <a:off x="16187565" y="25790033"/>
          <a:ext cx="93653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E304DD-D616-4CC6-9837-2F9CA18ECB06}"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598688</xdr:colOff>
      <xdr:row>136</xdr:row>
      <xdr:rowOff>90464</xdr:rowOff>
    </xdr:from>
    <xdr:to>
      <xdr:col>87</xdr:col>
      <xdr:colOff>189018</xdr:colOff>
      <xdr:row>137</xdr:row>
      <xdr:rowOff>128564</xdr:rowOff>
    </xdr:to>
    <xdr:sp macro="" textlink="'[1]Cost Calculator'!#REF!">
      <xdr:nvSpPr>
        <xdr:cNvPr id="54" name="TextBox 53">
          <a:extLst>
            <a:ext uri="{FF2B5EF4-FFF2-40B4-BE49-F238E27FC236}">
              <a16:creationId xmlns:a16="http://schemas.microsoft.com/office/drawing/2014/main" id="{00000000-0008-0000-0A00-000036000000}"/>
            </a:ext>
          </a:extLst>
        </xdr:cNvPr>
        <xdr:cNvSpPr txBox="1"/>
      </xdr:nvSpPr>
      <xdr:spPr>
        <a:xfrm>
          <a:off x="16194288" y="25998464"/>
          <a:ext cx="93653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78B7200-4165-43A5-972E-C42CCF3CBC05}"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571795</xdr:colOff>
      <xdr:row>137</xdr:row>
      <xdr:rowOff>142010</xdr:rowOff>
    </xdr:from>
    <xdr:to>
      <xdr:col>87</xdr:col>
      <xdr:colOff>162125</xdr:colOff>
      <xdr:row>138</xdr:row>
      <xdr:rowOff>180109</xdr:rowOff>
    </xdr:to>
    <xdr:sp macro="" textlink="'[1]Cost Calculator'!#REF!">
      <xdr:nvSpPr>
        <xdr:cNvPr id="55" name="TextBox 54">
          <a:extLst>
            <a:ext uri="{FF2B5EF4-FFF2-40B4-BE49-F238E27FC236}">
              <a16:creationId xmlns:a16="http://schemas.microsoft.com/office/drawing/2014/main" id="{00000000-0008-0000-0A00-000037000000}"/>
            </a:ext>
          </a:extLst>
        </xdr:cNvPr>
        <xdr:cNvSpPr txBox="1"/>
      </xdr:nvSpPr>
      <xdr:spPr>
        <a:xfrm>
          <a:off x="16192795" y="26240510"/>
          <a:ext cx="911130"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61FEB589-07ED-40B6-BF60-6F40CAD50CDC}"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18</xdr:col>
      <xdr:colOff>192910</xdr:colOff>
      <xdr:row>159</xdr:row>
      <xdr:rowOff>190449</xdr:rowOff>
    </xdr:from>
    <xdr:to>
      <xdr:col>36</xdr:col>
      <xdr:colOff>2426</xdr:colOff>
      <xdr:row>160</xdr:row>
      <xdr:rowOff>182880</xdr:rowOff>
    </xdr:to>
    <xdr:sp macro="" textlink="'Linking Cells'!B47">
      <xdr:nvSpPr>
        <xdr:cNvPr id="56" name="TextBox 55">
          <a:extLst>
            <a:ext uri="{FF2B5EF4-FFF2-40B4-BE49-F238E27FC236}">
              <a16:creationId xmlns:a16="http://schemas.microsoft.com/office/drawing/2014/main" id="{00000000-0008-0000-0A00-000038000000}"/>
            </a:ext>
          </a:extLst>
        </xdr:cNvPr>
        <xdr:cNvSpPr txBox="1"/>
      </xdr:nvSpPr>
      <xdr:spPr>
        <a:xfrm>
          <a:off x="3665315" y="30863360"/>
          <a:ext cx="3281921" cy="18534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7A65ACD-2650-CB48-9D62-B38EBE99CF05}" type="TxLink">
            <a:rPr lang="en-US" sz="1000" b="0" i="0" u="none" strike="noStrike">
              <a:solidFill>
                <a:srgbClr val="2A2A2A"/>
              </a:solidFill>
              <a:latin typeface="Overpass" pitchFamily="2" charset="77"/>
              <a:ea typeface="Calibri"/>
              <a:cs typeface="Calibri"/>
            </a:rPr>
            <a:pPr marL="0" indent="0" algn="l"/>
            <a:t>Included - Standard Cable with 50m Average Run</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148</xdr:row>
      <xdr:rowOff>7518</xdr:rowOff>
    </xdr:from>
    <xdr:to>
      <xdr:col>36</xdr:col>
      <xdr:colOff>2426</xdr:colOff>
      <xdr:row>149</xdr:row>
      <xdr:rowOff>1179</xdr:rowOff>
    </xdr:to>
    <xdr:sp macro="" textlink="'Linking Cells'!C3">
      <xdr:nvSpPr>
        <xdr:cNvPr id="57" name="TextBox 56">
          <a:extLst>
            <a:ext uri="{FF2B5EF4-FFF2-40B4-BE49-F238E27FC236}">
              <a16:creationId xmlns:a16="http://schemas.microsoft.com/office/drawing/2014/main" id="{00000000-0008-0000-0A00-000039000000}"/>
            </a:ext>
          </a:extLst>
        </xdr:cNvPr>
        <xdr:cNvSpPr txBox="1"/>
      </xdr:nvSpPr>
      <xdr:spPr>
        <a:xfrm>
          <a:off x="3665315" y="28558404"/>
          <a:ext cx="3281921" cy="18657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D04EC4B-A49F-6947-A026-45C2D0502F18}" type="TxLink">
            <a:rPr lang="en-US" sz="1000" b="0" i="0" u="none" strike="noStrike">
              <a:solidFill>
                <a:srgbClr val="2A2A2A"/>
              </a:solidFill>
              <a:latin typeface="Overpass" pitchFamily="2" charset="77"/>
              <a:ea typeface="+mn-ea"/>
              <a:cs typeface="Calibri"/>
            </a:rPr>
            <a:pPr marL="0" indent="0" algn="l"/>
            <a:t>Trimdek Installation - Flush Mounted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160</xdr:row>
      <xdr:rowOff>182880</xdr:rowOff>
    </xdr:from>
    <xdr:to>
      <xdr:col>36</xdr:col>
      <xdr:colOff>0</xdr:colOff>
      <xdr:row>161</xdr:row>
      <xdr:rowOff>182880</xdr:rowOff>
    </xdr:to>
    <xdr:sp macro="" textlink="SOLAR!D49">
      <xdr:nvSpPr>
        <xdr:cNvPr id="58" name="TextBox 57">
          <a:extLst>
            <a:ext uri="{FF2B5EF4-FFF2-40B4-BE49-F238E27FC236}">
              <a16:creationId xmlns:a16="http://schemas.microsoft.com/office/drawing/2014/main" id="{00000000-0008-0000-0A00-00003A000000}"/>
            </a:ext>
          </a:extLst>
        </xdr:cNvPr>
        <xdr:cNvSpPr txBox="1"/>
      </xdr:nvSpPr>
      <xdr:spPr>
        <a:xfrm>
          <a:off x="3661743" y="31048703"/>
          <a:ext cx="3283067"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FD8FAB8-C939-8642-80F6-220217C2F21B}" type="TxLink">
            <a:rPr lang="en-US" sz="1000" b="0" i="0" u="none" strike="noStrike">
              <a:solidFill>
                <a:srgbClr val="2A2A2A"/>
              </a:solidFill>
              <a:latin typeface="Overpass" pitchFamily="2" charset="77"/>
              <a:ea typeface="+mn-ea"/>
              <a:cs typeface="Calibri"/>
            </a:rPr>
            <a:pPr marL="0" indent="0" algn="l"/>
            <a:t>Included - Copper</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161</xdr:row>
      <xdr:rowOff>190449</xdr:rowOff>
    </xdr:from>
    <xdr:to>
      <xdr:col>36</xdr:col>
      <xdr:colOff>2426</xdr:colOff>
      <xdr:row>162</xdr:row>
      <xdr:rowOff>182879</xdr:rowOff>
    </xdr:to>
    <xdr:sp macro="" textlink="'Linking Cells'!B49">
      <xdr:nvSpPr>
        <xdr:cNvPr id="59" name="TextBox 58">
          <a:extLst>
            <a:ext uri="{FF2B5EF4-FFF2-40B4-BE49-F238E27FC236}">
              <a16:creationId xmlns:a16="http://schemas.microsoft.com/office/drawing/2014/main" id="{00000000-0008-0000-0A00-00003B000000}"/>
            </a:ext>
          </a:extLst>
        </xdr:cNvPr>
        <xdr:cNvSpPr txBox="1"/>
      </xdr:nvSpPr>
      <xdr:spPr>
        <a:xfrm>
          <a:off x="3665315" y="31249183"/>
          <a:ext cx="3281921" cy="18534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DF9D44-D9C6-834F-BA4D-A70DA06D08A7}" type="TxLink">
            <a:rPr lang="en-US" sz="1000" b="0" i="0" u="none" strike="noStrike">
              <a:solidFill>
                <a:srgbClr val="2A2A2A"/>
              </a:solidFill>
              <a:latin typeface="Overpass" pitchFamily="2" charset="77"/>
              <a:ea typeface="Calibri"/>
              <a:cs typeface="Calibri"/>
            </a:rPr>
            <a:pPr marL="0" indent="0" algn="l"/>
            <a:t>GAL Cable Tray, 110m Total Length</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1547</xdr:colOff>
      <xdr:row>164</xdr:row>
      <xdr:rowOff>182878</xdr:rowOff>
    </xdr:from>
    <xdr:to>
      <xdr:col>36</xdr:col>
      <xdr:colOff>2428</xdr:colOff>
      <xdr:row>165</xdr:row>
      <xdr:rowOff>182879</xdr:rowOff>
    </xdr:to>
    <xdr:sp macro="" textlink="'Linking Cells'!B43">
      <xdr:nvSpPr>
        <xdr:cNvPr id="60" name="TextBox 59">
          <a:extLst>
            <a:ext uri="{FF2B5EF4-FFF2-40B4-BE49-F238E27FC236}">
              <a16:creationId xmlns:a16="http://schemas.microsoft.com/office/drawing/2014/main" id="{00000000-0008-0000-0A00-00003C000000}"/>
            </a:ext>
          </a:extLst>
        </xdr:cNvPr>
        <xdr:cNvSpPr txBox="1"/>
      </xdr:nvSpPr>
      <xdr:spPr>
        <a:xfrm>
          <a:off x="3666863" y="31820346"/>
          <a:ext cx="3280375" cy="1929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D8C23-C64F-8F47-9296-ED9DAB7376ED}" type="TxLink">
            <a:rPr lang="en-US" sz="1000" b="0" i="0" u="none" strike="noStrike">
              <a:solidFill>
                <a:srgbClr val="2A2A2A"/>
              </a:solidFill>
              <a:latin typeface="Overpass" pitchFamily="2" charset="77"/>
              <a:ea typeface="Calibri"/>
              <a:cs typeface="Calibri"/>
            </a:rPr>
            <a:pPr marL="0" indent="0" algn="l"/>
            <a:t>GPU - Full Export </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1547</xdr:colOff>
      <xdr:row>175</xdr:row>
      <xdr:rowOff>2635</xdr:rowOff>
    </xdr:from>
    <xdr:to>
      <xdr:col>36</xdr:col>
      <xdr:colOff>2428</xdr:colOff>
      <xdr:row>176</xdr:row>
      <xdr:rowOff>2635</xdr:rowOff>
    </xdr:to>
    <xdr:sp macro="" textlink="SOLAR!D64">
      <xdr:nvSpPr>
        <xdr:cNvPr id="61" name="TextBox 60">
          <a:extLst>
            <a:ext uri="{FF2B5EF4-FFF2-40B4-BE49-F238E27FC236}">
              <a16:creationId xmlns:a16="http://schemas.microsoft.com/office/drawing/2014/main" id="{00000000-0008-0000-0A00-00003D000000}"/>
            </a:ext>
          </a:extLst>
        </xdr:cNvPr>
        <xdr:cNvSpPr txBox="1"/>
      </xdr:nvSpPr>
      <xdr:spPr>
        <a:xfrm>
          <a:off x="3666863" y="33762129"/>
          <a:ext cx="3280375"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51EFA8F-A700-5340-8904-4999160A2033}" type="TxLink">
            <a:rPr lang="en-US" sz="1000" b="0" i="0" u="none" strike="noStrike">
              <a:solidFill>
                <a:srgbClr val="2A2A2A"/>
              </a:solidFill>
              <a:latin typeface="Overpass" pitchFamily="2" charset="77"/>
              <a:ea typeface="+mn-ea"/>
              <a:cs typeface="Calibri"/>
            </a:rPr>
            <a:pPr marL="0" indent="0" algn="l"/>
            <a:t>Scissor Lift + Forklift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176</xdr:row>
      <xdr:rowOff>2635</xdr:rowOff>
    </xdr:from>
    <xdr:to>
      <xdr:col>36</xdr:col>
      <xdr:colOff>2426</xdr:colOff>
      <xdr:row>177</xdr:row>
      <xdr:rowOff>2635</xdr:rowOff>
    </xdr:to>
    <xdr:sp macro="" textlink="SOLAR!D65">
      <xdr:nvSpPr>
        <xdr:cNvPr id="62" name="TextBox 61">
          <a:extLst>
            <a:ext uri="{FF2B5EF4-FFF2-40B4-BE49-F238E27FC236}">
              <a16:creationId xmlns:a16="http://schemas.microsoft.com/office/drawing/2014/main" id="{00000000-0008-0000-0A00-00003E000000}"/>
            </a:ext>
          </a:extLst>
        </xdr:cNvPr>
        <xdr:cNvSpPr txBox="1"/>
      </xdr:nvSpPr>
      <xdr:spPr>
        <a:xfrm>
          <a:off x="3665315" y="33955040"/>
          <a:ext cx="3281921"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F178E4C-F7B0-D246-A9B3-48B94DBD0973}" type="TxLink">
            <a:rPr lang="en-US" sz="1000" b="0" i="0" u="none" strike="noStrike">
              <a:solidFill>
                <a:srgbClr val="2A2A2A"/>
              </a:solidFill>
              <a:latin typeface="Overpass" pitchFamily="2" charset="77"/>
              <a:ea typeface="+mn-ea"/>
              <a:cs typeface="Calibri"/>
            </a:rPr>
            <a:pPr marL="0" indent="0" algn="l"/>
            <a:t>Scissor Lift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60</xdr:col>
      <xdr:colOff>2484</xdr:colOff>
      <xdr:row>159</xdr:row>
      <xdr:rowOff>185342</xdr:rowOff>
    </xdr:from>
    <xdr:to>
      <xdr:col>76</xdr:col>
      <xdr:colOff>190389</xdr:colOff>
      <xdr:row>161</xdr:row>
      <xdr:rowOff>2134</xdr:rowOff>
    </xdr:to>
    <xdr:sp macro="" textlink="SOLAR!D85">
      <xdr:nvSpPr>
        <xdr:cNvPr id="63" name="TextBox 62">
          <a:extLst>
            <a:ext uri="{FF2B5EF4-FFF2-40B4-BE49-F238E27FC236}">
              <a16:creationId xmlns:a16="http://schemas.microsoft.com/office/drawing/2014/main" id="{00000000-0008-0000-0A00-00003F000000}"/>
            </a:ext>
          </a:extLst>
        </xdr:cNvPr>
        <xdr:cNvSpPr txBox="1"/>
      </xdr:nvSpPr>
      <xdr:spPr>
        <a:xfrm>
          <a:off x="11672754" y="31111558"/>
          <a:ext cx="3299977" cy="2058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9356F04-F7A5-49B5-A7A2-628AD20C58CF}" type="TxLink">
            <a:rPr lang="en-US" sz="1000" b="0" i="0" u="none" strike="noStrike">
              <a:solidFill>
                <a:srgbClr val="2A2A2A"/>
              </a:solidFill>
              <a:latin typeface="Overpass" panose="00000500000000000000" pitchFamily="2" charset="0"/>
              <a:ea typeface="Calibri"/>
              <a:cs typeface="Calibri"/>
            </a:rPr>
            <a:pPr marL="0" indent="0" algn="l"/>
            <a:t>Not Included</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59</xdr:col>
      <xdr:colOff>193536</xdr:colOff>
      <xdr:row>169</xdr:row>
      <xdr:rowOff>420</xdr:rowOff>
    </xdr:from>
    <xdr:to>
      <xdr:col>76</xdr:col>
      <xdr:colOff>188579</xdr:colOff>
      <xdr:row>170</xdr:row>
      <xdr:rowOff>420</xdr:rowOff>
    </xdr:to>
    <xdr:sp macro="" textlink="SOLAR!D96">
      <xdr:nvSpPr>
        <xdr:cNvPr id="64" name="TextBox 63">
          <a:extLst>
            <a:ext uri="{FF2B5EF4-FFF2-40B4-BE49-F238E27FC236}">
              <a16:creationId xmlns:a16="http://schemas.microsoft.com/office/drawing/2014/main" id="{00000000-0008-0000-0A00-000040000000}"/>
            </a:ext>
          </a:extLst>
        </xdr:cNvPr>
        <xdr:cNvSpPr txBox="1"/>
      </xdr:nvSpPr>
      <xdr:spPr>
        <a:xfrm>
          <a:off x="11669302" y="32871681"/>
          <a:ext cx="3301619"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2EE1CEC-A669-2F48-83D3-CF6AC751A8D0}"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193535</xdr:colOff>
      <xdr:row>168</xdr:row>
      <xdr:rowOff>1685</xdr:rowOff>
    </xdr:from>
    <xdr:to>
      <xdr:col>76</xdr:col>
      <xdr:colOff>188578</xdr:colOff>
      <xdr:row>169</xdr:row>
      <xdr:rowOff>1687</xdr:rowOff>
    </xdr:to>
    <xdr:sp macro="" textlink="SOLAR!D56">
      <xdr:nvSpPr>
        <xdr:cNvPr id="65" name="TextBox 64">
          <a:extLst>
            <a:ext uri="{FF2B5EF4-FFF2-40B4-BE49-F238E27FC236}">
              <a16:creationId xmlns:a16="http://schemas.microsoft.com/office/drawing/2014/main" id="{00000000-0008-0000-0A00-000041000000}"/>
            </a:ext>
          </a:extLst>
        </xdr:cNvPr>
        <xdr:cNvSpPr txBox="1"/>
      </xdr:nvSpPr>
      <xdr:spPr>
        <a:xfrm>
          <a:off x="11669301" y="32678442"/>
          <a:ext cx="3301619" cy="1945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E2AADF-5FFA-7F4A-8A7E-6E5D68AFE1F1}" type="TxLink">
            <a:rPr lang="en-US" sz="1000" b="0" i="0" u="none" strike="noStrike">
              <a:solidFill>
                <a:srgbClr val="2A2A2A"/>
              </a:solidFill>
              <a:latin typeface="Overpass" pitchFamily="2" charset="77"/>
              <a:ea typeface="+mn-ea"/>
              <a:cs typeface="Calibri"/>
            </a:rPr>
            <a:pPr marL="0" indent="0" algn="l"/>
            <a:t>May Require Upgrade (Excluded from quote)</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162</xdr:row>
      <xdr:rowOff>182879</xdr:rowOff>
    </xdr:from>
    <xdr:to>
      <xdr:col>36</xdr:col>
      <xdr:colOff>2426</xdr:colOff>
      <xdr:row>163</xdr:row>
      <xdr:rowOff>182880</xdr:rowOff>
    </xdr:to>
    <xdr:sp macro="" textlink="SOLAR!#REF!">
      <xdr:nvSpPr>
        <xdr:cNvPr id="66" name="TextBox 65">
          <a:extLst>
            <a:ext uri="{FF2B5EF4-FFF2-40B4-BE49-F238E27FC236}">
              <a16:creationId xmlns:a16="http://schemas.microsoft.com/office/drawing/2014/main" id="{00000000-0008-0000-0A00-000042000000}"/>
            </a:ext>
          </a:extLst>
        </xdr:cNvPr>
        <xdr:cNvSpPr txBox="1"/>
      </xdr:nvSpPr>
      <xdr:spPr>
        <a:xfrm>
          <a:off x="3665315" y="31434525"/>
          <a:ext cx="3281921" cy="1929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4192F71-0C63-2B4C-A4BA-727B7AE58DD6}" type="TxLink">
            <a:rPr lang="en-US" sz="1000" b="0" i="0" u="none" strike="noStrike">
              <a:solidFill>
                <a:srgbClr val="2A2A2A"/>
              </a:solidFill>
              <a:latin typeface="Overpass" pitchFamily="2" charset="77"/>
              <a:ea typeface="+mn-ea"/>
              <a:cs typeface="Calibri"/>
            </a:rPr>
            <a:pPr marL="0" indent="0" algn="l"/>
            <a:t>Not Required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163</xdr:row>
      <xdr:rowOff>182880</xdr:rowOff>
    </xdr:from>
    <xdr:to>
      <xdr:col>36</xdr:col>
      <xdr:colOff>2426</xdr:colOff>
      <xdr:row>164</xdr:row>
      <xdr:rowOff>182878</xdr:rowOff>
    </xdr:to>
    <xdr:sp macro="" textlink="SOLAR!D57">
      <xdr:nvSpPr>
        <xdr:cNvPr id="67" name="TextBox 66">
          <a:extLst>
            <a:ext uri="{FF2B5EF4-FFF2-40B4-BE49-F238E27FC236}">
              <a16:creationId xmlns:a16="http://schemas.microsoft.com/office/drawing/2014/main" id="{00000000-0008-0000-0A00-000043000000}"/>
            </a:ext>
          </a:extLst>
        </xdr:cNvPr>
        <xdr:cNvSpPr txBox="1"/>
      </xdr:nvSpPr>
      <xdr:spPr>
        <a:xfrm>
          <a:off x="3665315" y="31627437"/>
          <a:ext cx="3281921" cy="1929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BCB9255-3A45-4E4B-A190-EC7542F74A16}" type="TxLink">
            <a:rPr lang="en-US" sz="1000" b="0" i="0" u="none" strike="noStrike">
              <a:solidFill>
                <a:srgbClr val="2A2A2A"/>
              </a:solidFill>
              <a:latin typeface="Overpass" pitchFamily="2" charset="77"/>
              <a:ea typeface="+mn-ea"/>
              <a:cs typeface="Calibri"/>
            </a:rPr>
            <a:pPr marL="0" indent="0" algn="l"/>
            <a:t>New AC Solar Main Switch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17</xdr:col>
      <xdr:colOff>192557</xdr:colOff>
      <xdr:row>196</xdr:row>
      <xdr:rowOff>189647</xdr:rowOff>
    </xdr:from>
    <xdr:to>
      <xdr:col>23</xdr:col>
      <xdr:colOff>0</xdr:colOff>
      <xdr:row>197</xdr:row>
      <xdr:rowOff>189646</xdr:rowOff>
    </xdr:to>
    <xdr:sp macro="" textlink="SOLAR!J22">
      <xdr:nvSpPr>
        <xdr:cNvPr id="68" name="TextBox 67">
          <a:extLst>
            <a:ext uri="{FF2B5EF4-FFF2-40B4-BE49-F238E27FC236}">
              <a16:creationId xmlns:a16="http://schemas.microsoft.com/office/drawing/2014/main" id="{00000000-0008-0000-0A00-000044000000}"/>
            </a:ext>
          </a:extLst>
        </xdr:cNvPr>
        <xdr:cNvSpPr txBox="1"/>
      </xdr:nvSpPr>
      <xdr:spPr>
        <a:xfrm>
          <a:off x="3431057" y="37527647"/>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F7C0319-C3CC-D94F-A744-EB5F5AD36D66}" type="TxLink">
            <a:rPr lang="en-US" sz="1000" b="0" i="0" u="none" strike="noStrike">
              <a:solidFill>
                <a:srgbClr val="2A2A2A"/>
              </a:solidFill>
              <a:latin typeface="Overpass" pitchFamily="2" charset="77"/>
              <a:ea typeface="+mn-ea"/>
              <a:cs typeface="Calibri"/>
            </a:rPr>
            <a:pPr marL="0" indent="0" algn="l"/>
            <a:t> $22,421.14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192557</xdr:colOff>
      <xdr:row>197</xdr:row>
      <xdr:rowOff>189647</xdr:rowOff>
    </xdr:from>
    <xdr:to>
      <xdr:col>23</xdr:col>
      <xdr:colOff>0</xdr:colOff>
      <xdr:row>198</xdr:row>
      <xdr:rowOff>189647</xdr:rowOff>
    </xdr:to>
    <xdr:sp macro="" textlink="SOLAR!J23">
      <xdr:nvSpPr>
        <xdr:cNvPr id="69" name="TextBox 68">
          <a:extLst>
            <a:ext uri="{FF2B5EF4-FFF2-40B4-BE49-F238E27FC236}">
              <a16:creationId xmlns:a16="http://schemas.microsoft.com/office/drawing/2014/main" id="{00000000-0008-0000-0A00-000045000000}"/>
            </a:ext>
          </a:extLst>
        </xdr:cNvPr>
        <xdr:cNvSpPr txBox="1"/>
      </xdr:nvSpPr>
      <xdr:spPr>
        <a:xfrm>
          <a:off x="3431057" y="37718147"/>
          <a:ext cx="9504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B8F94B-2FC8-3742-A071-BEEBAEAABEF3}" type="TxLink">
            <a:rPr lang="en-US" sz="1000" b="0" i="0" u="none" strike="noStrike">
              <a:solidFill>
                <a:srgbClr val="2A2A2A"/>
              </a:solidFill>
              <a:latin typeface="Overpass" pitchFamily="2" charset="77"/>
              <a:ea typeface="+mn-ea"/>
              <a:cs typeface="Calibri"/>
            </a:rPr>
            <a:pPr marL="0" indent="0" algn="l"/>
            <a:t> $8,968.46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2058</xdr:colOff>
      <xdr:row>199</xdr:row>
      <xdr:rowOff>122971</xdr:rowOff>
    </xdr:from>
    <xdr:to>
      <xdr:col>23</xdr:col>
      <xdr:colOff>623</xdr:colOff>
      <xdr:row>200</xdr:row>
      <xdr:rowOff>188595</xdr:rowOff>
    </xdr:to>
    <xdr:sp macro="" textlink="SOLAR!J24">
      <xdr:nvSpPr>
        <xdr:cNvPr id="70" name="TextBox 69">
          <a:extLst>
            <a:ext uri="{FF2B5EF4-FFF2-40B4-BE49-F238E27FC236}">
              <a16:creationId xmlns:a16="http://schemas.microsoft.com/office/drawing/2014/main" id="{00000000-0008-0000-0A00-000046000000}"/>
            </a:ext>
          </a:extLst>
        </xdr:cNvPr>
        <xdr:cNvSpPr txBox="1"/>
      </xdr:nvSpPr>
      <xdr:spPr>
        <a:xfrm>
          <a:off x="3431058" y="38032471"/>
          <a:ext cx="951065" cy="25612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F567805-077C-2547-9E7C-0E7CA97C2C97}" type="TxLink">
            <a:rPr lang="en-US" sz="1000" b="0" i="0" u="none" strike="noStrike">
              <a:solidFill>
                <a:srgbClr val="2A2A2A"/>
              </a:solidFill>
              <a:latin typeface="Overpass" pitchFamily="2" charset="77"/>
              <a:ea typeface="+mn-ea"/>
              <a:cs typeface="Calibri"/>
            </a:rPr>
            <a:pPr marL="0" indent="0" algn="l"/>
            <a:t> $8,968.46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192558</xdr:colOff>
      <xdr:row>200</xdr:row>
      <xdr:rowOff>189376</xdr:rowOff>
    </xdr:from>
    <xdr:to>
      <xdr:col>22</xdr:col>
      <xdr:colOff>192838</xdr:colOff>
      <xdr:row>201</xdr:row>
      <xdr:rowOff>189646</xdr:rowOff>
    </xdr:to>
    <xdr:sp macro="" textlink="SOLAR!J25">
      <xdr:nvSpPr>
        <xdr:cNvPr id="71" name="TextBox 70">
          <a:extLst>
            <a:ext uri="{FF2B5EF4-FFF2-40B4-BE49-F238E27FC236}">
              <a16:creationId xmlns:a16="http://schemas.microsoft.com/office/drawing/2014/main" id="{00000000-0008-0000-0A00-000047000000}"/>
            </a:ext>
          </a:extLst>
        </xdr:cNvPr>
        <xdr:cNvSpPr txBox="1"/>
      </xdr:nvSpPr>
      <xdr:spPr>
        <a:xfrm>
          <a:off x="3431058" y="38289376"/>
          <a:ext cx="952780" cy="19077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CA5B8D2-5390-4842-8AC3-65BD09A9AB28}" type="TxLink">
            <a:rPr lang="en-US" sz="1000" b="0" i="0" u="none" strike="noStrike">
              <a:solidFill>
                <a:srgbClr val="2A2A2A"/>
              </a:solidFill>
              <a:latin typeface="Overpass" pitchFamily="2" charset="77"/>
              <a:ea typeface="+mn-ea"/>
              <a:cs typeface="Calibri"/>
            </a:rPr>
            <a:pPr marL="0" indent="0" algn="l"/>
            <a:t> $33,631.71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92</xdr:row>
      <xdr:rowOff>6154</xdr:rowOff>
    </xdr:from>
    <xdr:to>
      <xdr:col>77</xdr:col>
      <xdr:colOff>0</xdr:colOff>
      <xdr:row>93</xdr:row>
      <xdr:rowOff>4646</xdr:rowOff>
    </xdr:to>
    <xdr:sp macro="" textlink="'Linking Cells'!C22">
      <xdr:nvSpPr>
        <xdr:cNvPr id="72" name="TextBox 163">
          <a:extLst>
            <a:ext uri="{FF2B5EF4-FFF2-40B4-BE49-F238E27FC236}">
              <a16:creationId xmlns:a16="http://schemas.microsoft.com/office/drawing/2014/main" id="{00000000-0008-0000-0A00-000048000000}"/>
            </a:ext>
          </a:extLst>
        </xdr:cNvPr>
        <xdr:cNvSpPr txBox="1"/>
      </xdr:nvSpPr>
      <xdr:spPr>
        <a:xfrm>
          <a:off x="12574411" y="17532154"/>
          <a:ext cx="2094089" cy="1889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55B77E9-0027-9A4E-A6A2-99B306709D3F}" type="TxLink">
            <a:rPr lang="en-US" sz="1000" b="0" i="0" u="none" strike="noStrike">
              <a:solidFill>
                <a:srgbClr val="2A2A2A"/>
              </a:solidFill>
              <a:latin typeface="Overpass" pitchFamily="2" charset="77"/>
              <a:ea typeface="+mn-ea"/>
              <a:cs typeface="Calibri"/>
            </a:rPr>
            <a:pPr marL="0" indent="0" algn="l"/>
            <a:t>$98,653.01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91</xdr:row>
      <xdr:rowOff>4646</xdr:rowOff>
    </xdr:from>
    <xdr:to>
      <xdr:col>77</xdr:col>
      <xdr:colOff>0</xdr:colOff>
      <xdr:row>92</xdr:row>
      <xdr:rowOff>6154</xdr:rowOff>
    </xdr:to>
    <xdr:sp macro="" textlink="'Linking Cells'!C21">
      <xdr:nvSpPr>
        <xdr:cNvPr id="73" name="TextBox 164">
          <a:extLst>
            <a:ext uri="{FF2B5EF4-FFF2-40B4-BE49-F238E27FC236}">
              <a16:creationId xmlns:a16="http://schemas.microsoft.com/office/drawing/2014/main" id="{00000000-0008-0000-0A00-000049000000}"/>
            </a:ext>
          </a:extLst>
        </xdr:cNvPr>
        <xdr:cNvSpPr txBox="1"/>
      </xdr:nvSpPr>
      <xdr:spPr>
        <a:xfrm>
          <a:off x="12574411" y="17340146"/>
          <a:ext cx="2094089" cy="19200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B0F1C6-5460-3248-BE64-53C995919FB6}" type="TxLink">
            <a:rPr lang="en-US" sz="1000" b="0" i="0" u="none" strike="noStrike">
              <a:solidFill>
                <a:srgbClr val="2A2A2A"/>
              </a:solidFill>
              <a:latin typeface="Overpass" pitchFamily="2" charset="77"/>
              <a:ea typeface="+mn-ea"/>
              <a:cs typeface="Calibri"/>
            </a:rPr>
            <a:pPr marL="0" indent="0" algn="l"/>
            <a:t>$8,968.46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90</xdr:row>
      <xdr:rowOff>4647</xdr:rowOff>
    </xdr:from>
    <xdr:to>
      <xdr:col>77</xdr:col>
      <xdr:colOff>0</xdr:colOff>
      <xdr:row>91</xdr:row>
      <xdr:rowOff>10988</xdr:rowOff>
    </xdr:to>
    <xdr:sp macro="" textlink="'Linking Cells'!C20">
      <xdr:nvSpPr>
        <xdr:cNvPr id="74" name="TextBox 165">
          <a:extLst>
            <a:ext uri="{FF2B5EF4-FFF2-40B4-BE49-F238E27FC236}">
              <a16:creationId xmlns:a16="http://schemas.microsoft.com/office/drawing/2014/main" id="{00000000-0008-0000-0A00-00004A000000}"/>
            </a:ext>
          </a:extLst>
        </xdr:cNvPr>
        <xdr:cNvSpPr txBox="1"/>
      </xdr:nvSpPr>
      <xdr:spPr>
        <a:xfrm>
          <a:off x="12574411" y="17149647"/>
          <a:ext cx="2094089" cy="19684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125BC4-35C0-ED4A-BBA5-59C92408257D}" type="TxLink">
            <a:rPr lang="en-US" sz="1000" b="0" i="0" u="none" strike="noStrike">
              <a:solidFill>
                <a:srgbClr val="2A2A2A"/>
              </a:solidFill>
              <a:latin typeface="Overpass" pitchFamily="2" charset="77"/>
              <a:ea typeface="+mn-ea"/>
              <a:cs typeface="Calibri"/>
            </a:rPr>
            <a:pPr marL="0" indent="0" algn="l"/>
            <a:t>$89,684.56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1405</xdr:colOff>
      <xdr:row>78</xdr:row>
      <xdr:rowOff>5119</xdr:rowOff>
    </xdr:from>
    <xdr:to>
      <xdr:col>77</xdr:col>
      <xdr:colOff>4579</xdr:colOff>
      <xdr:row>79</xdr:row>
      <xdr:rowOff>9101</xdr:rowOff>
    </xdr:to>
    <xdr:sp macro="" textlink="'Linking Cells'!C14">
      <xdr:nvSpPr>
        <xdr:cNvPr id="75" name="TextBox 167">
          <a:extLst>
            <a:ext uri="{FF2B5EF4-FFF2-40B4-BE49-F238E27FC236}">
              <a16:creationId xmlns:a16="http://schemas.microsoft.com/office/drawing/2014/main" id="{00000000-0008-0000-0A00-00004B000000}"/>
            </a:ext>
          </a:extLst>
        </xdr:cNvPr>
        <xdr:cNvSpPr txBox="1"/>
      </xdr:nvSpPr>
      <xdr:spPr>
        <a:xfrm>
          <a:off x="12574405" y="14864119"/>
          <a:ext cx="2098674" cy="19448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223179-EE4D-3045-A720-BFCDCA281C43}" type="TxLink">
            <a:rPr lang="en-US" sz="1000" b="0" i="0" u="none" strike="noStrike">
              <a:solidFill>
                <a:srgbClr val="2A2A2A"/>
              </a:solidFill>
              <a:latin typeface="Overpass" pitchFamily="2" charset="77"/>
              <a:ea typeface="+mn-ea"/>
              <a:cs typeface="Calibri"/>
            </a:rPr>
            <a:pPr marL="0" indent="0" algn="l"/>
            <a:t>$2,570.52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2270</xdr:colOff>
      <xdr:row>77</xdr:row>
      <xdr:rowOff>5118</xdr:rowOff>
    </xdr:from>
    <xdr:to>
      <xdr:col>77</xdr:col>
      <xdr:colOff>2271</xdr:colOff>
      <xdr:row>78</xdr:row>
      <xdr:rowOff>6340</xdr:rowOff>
    </xdr:to>
    <xdr:sp macro="" textlink="'Linking Cells'!C13">
      <xdr:nvSpPr>
        <xdr:cNvPr id="76" name="TextBox 168">
          <a:extLst>
            <a:ext uri="{FF2B5EF4-FFF2-40B4-BE49-F238E27FC236}">
              <a16:creationId xmlns:a16="http://schemas.microsoft.com/office/drawing/2014/main" id="{00000000-0008-0000-0A00-00004C000000}"/>
            </a:ext>
          </a:extLst>
        </xdr:cNvPr>
        <xdr:cNvSpPr txBox="1"/>
      </xdr:nvSpPr>
      <xdr:spPr>
        <a:xfrm>
          <a:off x="12575270" y="14673618"/>
          <a:ext cx="2095501"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54E20DB-5ACA-2F41-996D-9FFAB9A9EE42}" type="TxLink">
            <a:rPr lang="en-US" sz="1000" b="0" i="0" u="none" strike="noStrike">
              <a:solidFill>
                <a:srgbClr val="2A2A2A"/>
              </a:solidFill>
              <a:latin typeface="Overpass" pitchFamily="2" charset="77"/>
              <a:ea typeface="+mn-ea"/>
              <a:cs typeface="Calibri"/>
            </a:rPr>
            <a:pPr marL="0" indent="0" algn="l"/>
            <a:t>$25,705.20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1405</xdr:colOff>
      <xdr:row>79</xdr:row>
      <xdr:rowOff>5119</xdr:rowOff>
    </xdr:from>
    <xdr:to>
      <xdr:col>77</xdr:col>
      <xdr:colOff>4579</xdr:colOff>
      <xdr:row>80</xdr:row>
      <xdr:rowOff>6340</xdr:rowOff>
    </xdr:to>
    <xdr:sp macro="" textlink="'Linking Cells'!C16">
      <xdr:nvSpPr>
        <xdr:cNvPr id="77" name="TextBox 169">
          <a:extLst>
            <a:ext uri="{FF2B5EF4-FFF2-40B4-BE49-F238E27FC236}">
              <a16:creationId xmlns:a16="http://schemas.microsoft.com/office/drawing/2014/main" id="{00000000-0008-0000-0A00-00004D000000}"/>
            </a:ext>
          </a:extLst>
        </xdr:cNvPr>
        <xdr:cNvSpPr txBox="1"/>
      </xdr:nvSpPr>
      <xdr:spPr>
        <a:xfrm>
          <a:off x="12574405" y="15054619"/>
          <a:ext cx="2098674" cy="19172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036B141-4E47-134B-9C75-0FF3288DA6A6}" type="TxLink">
            <a:rPr lang="en-US" sz="1000" b="0" i="0" u="none" strike="noStrike">
              <a:solidFill>
                <a:srgbClr val="2A2A2A"/>
              </a:solidFill>
              <a:latin typeface="Overpass" pitchFamily="2" charset="77"/>
              <a:ea typeface="+mn-ea"/>
              <a:cs typeface="Calibri"/>
            </a:rPr>
            <a:pPr marL="0" indent="0" algn="l"/>
            <a:t>$28,275.72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186796</xdr:colOff>
      <xdr:row>81</xdr:row>
      <xdr:rowOff>72601</xdr:rowOff>
    </xdr:from>
    <xdr:to>
      <xdr:col>76</xdr:col>
      <xdr:colOff>186797</xdr:colOff>
      <xdr:row>82</xdr:row>
      <xdr:rowOff>60489</xdr:rowOff>
    </xdr:to>
    <xdr:sp macro="" textlink="'Linking Cells'!C15">
      <xdr:nvSpPr>
        <xdr:cNvPr id="78" name="TextBox 170">
          <a:extLst>
            <a:ext uri="{FF2B5EF4-FFF2-40B4-BE49-F238E27FC236}">
              <a16:creationId xmlns:a16="http://schemas.microsoft.com/office/drawing/2014/main" id="{00000000-0008-0000-0A00-00004E000000}"/>
            </a:ext>
          </a:extLst>
        </xdr:cNvPr>
        <xdr:cNvSpPr txBox="1"/>
      </xdr:nvSpPr>
      <xdr:spPr>
        <a:xfrm>
          <a:off x="12569296" y="15503101"/>
          <a:ext cx="2095501" cy="17838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E8A4F05-20C0-8E4E-8FB9-DD7AC2DF9275}" type="TxLink">
            <a:rPr lang="en-US" sz="1000" b="0" i="0" u="none" strike="noStrike">
              <a:solidFill>
                <a:srgbClr val="2A2A2A"/>
              </a:solidFill>
              <a:latin typeface="Overpass" pitchFamily="2" charset="77"/>
              <a:ea typeface="+mn-ea"/>
              <a:cs typeface="Calibri"/>
            </a:rPr>
            <a:pPr marL="0" indent="0" algn="l"/>
            <a:t>$37.2 per STC</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192557</xdr:colOff>
      <xdr:row>201</xdr:row>
      <xdr:rowOff>190128</xdr:rowOff>
    </xdr:from>
    <xdr:to>
      <xdr:col>23</xdr:col>
      <xdr:colOff>0</xdr:colOff>
      <xdr:row>202</xdr:row>
      <xdr:rowOff>188180</xdr:rowOff>
    </xdr:to>
    <xdr:sp macro="" textlink="SOLAR!J26">
      <xdr:nvSpPr>
        <xdr:cNvPr id="86" name="TextBox 85">
          <a:extLst>
            <a:ext uri="{FF2B5EF4-FFF2-40B4-BE49-F238E27FC236}">
              <a16:creationId xmlns:a16="http://schemas.microsoft.com/office/drawing/2014/main" id="{00000000-0008-0000-0A00-000056000000}"/>
            </a:ext>
          </a:extLst>
        </xdr:cNvPr>
        <xdr:cNvSpPr txBox="1"/>
      </xdr:nvSpPr>
      <xdr:spPr>
        <a:xfrm>
          <a:off x="3431057" y="38480628"/>
          <a:ext cx="950443" cy="18855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49243D-4713-D04C-9706-FA1F443E20C8}" type="TxLink">
            <a:rPr lang="en-US" sz="1000" b="0" i="0" u="none" strike="noStrike">
              <a:solidFill>
                <a:srgbClr val="2A2A2A"/>
              </a:solidFill>
              <a:latin typeface="Overpass" pitchFamily="2" charset="77"/>
              <a:ea typeface="+mn-ea"/>
              <a:cs typeface="Calibri"/>
            </a:rPr>
            <a:pPr marL="0" indent="0" algn="l"/>
            <a:t> $13,452.68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6314</xdr:colOff>
      <xdr:row>202</xdr:row>
      <xdr:rowOff>188180</xdr:rowOff>
    </xdr:from>
    <xdr:to>
      <xdr:col>23</xdr:col>
      <xdr:colOff>1331</xdr:colOff>
      <xdr:row>203</xdr:row>
      <xdr:rowOff>188181</xdr:rowOff>
    </xdr:to>
    <xdr:sp macro="" textlink="SOLAR!J27">
      <xdr:nvSpPr>
        <xdr:cNvPr id="87" name="TextBox 86">
          <a:extLst>
            <a:ext uri="{FF2B5EF4-FFF2-40B4-BE49-F238E27FC236}">
              <a16:creationId xmlns:a16="http://schemas.microsoft.com/office/drawing/2014/main" id="{00000000-0008-0000-0A00-000057000000}"/>
            </a:ext>
          </a:extLst>
        </xdr:cNvPr>
        <xdr:cNvSpPr txBox="1"/>
      </xdr:nvSpPr>
      <xdr:spPr>
        <a:xfrm>
          <a:off x="3435314" y="38669180"/>
          <a:ext cx="947517"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98596D2-3BFF-234F-8212-1B05EB6FBF8D}" type="TxLink">
            <a:rPr lang="en-US" sz="1000" b="0" i="0" u="none" strike="noStrike">
              <a:solidFill>
                <a:srgbClr val="2A2A2A"/>
              </a:solidFill>
              <a:latin typeface="Overpass" pitchFamily="2" charset="77"/>
              <a:ea typeface="+mn-ea"/>
              <a:cs typeface="Calibri"/>
            </a:rPr>
            <a:pPr marL="0" indent="0" algn="l"/>
            <a:t> $2,242.11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187817</xdr:colOff>
      <xdr:row>165</xdr:row>
      <xdr:rowOff>190450</xdr:rowOff>
    </xdr:from>
    <xdr:to>
      <xdr:col>36</xdr:col>
      <xdr:colOff>1</xdr:colOff>
      <xdr:row>168</xdr:row>
      <xdr:rowOff>2634</xdr:rowOff>
    </xdr:to>
    <xdr:sp macro="" textlink="'[1]Linking Cells'!B32">
      <xdr:nvSpPr>
        <xdr:cNvPr id="88" name="TextBox 87">
          <a:extLst>
            <a:ext uri="{FF2B5EF4-FFF2-40B4-BE49-F238E27FC236}">
              <a16:creationId xmlns:a16="http://schemas.microsoft.com/office/drawing/2014/main" id="{00000000-0008-0000-0A00-000058000000}"/>
            </a:ext>
          </a:extLst>
        </xdr:cNvPr>
        <xdr:cNvSpPr txBox="1"/>
      </xdr:nvSpPr>
      <xdr:spPr>
        <a:xfrm>
          <a:off x="1140317" y="31622950"/>
          <a:ext cx="5717684" cy="383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4CC6332-FFD8-4467-BBC3-0EC4B0EC0097}" type="TxLink">
            <a:rPr lang="en-US" sz="800" b="0" i="0" u="none" strike="noStrike">
              <a:solidFill>
                <a:srgbClr val="666666"/>
              </a:solidFill>
              <a:latin typeface="Overpass" panose="00000500000000000000" pitchFamily="2" charset="0"/>
              <a:ea typeface="+mn-ea"/>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59</xdr:col>
      <xdr:colOff>193535</xdr:colOff>
      <xdr:row>170</xdr:row>
      <xdr:rowOff>419</xdr:rowOff>
    </xdr:from>
    <xdr:to>
      <xdr:col>76</xdr:col>
      <xdr:colOff>188578</xdr:colOff>
      <xdr:row>171</xdr:row>
      <xdr:rowOff>419</xdr:rowOff>
    </xdr:to>
    <xdr:sp macro="" textlink="'Linking Cells'!B45">
      <xdr:nvSpPr>
        <xdr:cNvPr id="89" name="TextBox 88">
          <a:extLst>
            <a:ext uri="{FF2B5EF4-FFF2-40B4-BE49-F238E27FC236}">
              <a16:creationId xmlns:a16="http://schemas.microsoft.com/office/drawing/2014/main" id="{00000000-0008-0000-0A00-000059000000}"/>
            </a:ext>
          </a:extLst>
        </xdr:cNvPr>
        <xdr:cNvSpPr txBox="1"/>
      </xdr:nvSpPr>
      <xdr:spPr>
        <a:xfrm>
          <a:off x="11669301" y="33066185"/>
          <a:ext cx="3301619" cy="194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C673C4-A857-8749-944E-AF487D567FEA}" type="TxLink">
            <a:rPr lang="en-US" sz="1000" b="0" i="0" u="none" strike="noStrike">
              <a:solidFill>
                <a:srgbClr val="2A2A2A"/>
              </a:solidFill>
              <a:latin typeface="Overpass" pitchFamily="2" charset="77"/>
              <a:ea typeface="Calibri"/>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193535</xdr:colOff>
      <xdr:row>171</xdr:row>
      <xdr:rowOff>419</xdr:rowOff>
    </xdr:from>
    <xdr:to>
      <xdr:col>76</xdr:col>
      <xdr:colOff>188578</xdr:colOff>
      <xdr:row>172</xdr:row>
      <xdr:rowOff>419</xdr:rowOff>
    </xdr:to>
    <xdr:sp macro="" textlink="'Linking Cells'!C37">
      <xdr:nvSpPr>
        <xdr:cNvPr id="90" name="TextBox 89">
          <a:extLst>
            <a:ext uri="{FF2B5EF4-FFF2-40B4-BE49-F238E27FC236}">
              <a16:creationId xmlns:a16="http://schemas.microsoft.com/office/drawing/2014/main" id="{00000000-0008-0000-0A00-00005A000000}"/>
            </a:ext>
          </a:extLst>
        </xdr:cNvPr>
        <xdr:cNvSpPr txBox="1"/>
      </xdr:nvSpPr>
      <xdr:spPr>
        <a:xfrm>
          <a:off x="11669301" y="33260689"/>
          <a:ext cx="3301619"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D33D870-9CF2-F744-9B36-EC161CF4AE24}"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oneCellAnchor>
    <xdr:from>
      <xdr:col>6</xdr:col>
      <xdr:colOff>2</xdr:colOff>
      <xdr:row>251</xdr:row>
      <xdr:rowOff>0</xdr:rowOff>
    </xdr:from>
    <xdr:ext cx="5678364" cy="946394"/>
    <xdr:sp macro="" textlink="">
      <xdr:nvSpPr>
        <xdr:cNvPr id="97" name="TextBox 96">
          <a:extLst>
            <a:ext uri="{FF2B5EF4-FFF2-40B4-BE49-F238E27FC236}">
              <a16:creationId xmlns:a16="http://schemas.microsoft.com/office/drawing/2014/main" id="{00000000-0008-0000-0A00-000061000000}"/>
            </a:ext>
          </a:extLst>
        </xdr:cNvPr>
        <xdr:cNvSpPr txBox="1"/>
      </xdr:nvSpPr>
      <xdr:spPr>
        <a:xfrm>
          <a:off x="1143002" y="47815500"/>
          <a:ext cx="5678364" cy="946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b="0">
              <a:solidFill>
                <a:srgbClr val="2A2A2A"/>
              </a:solidFill>
              <a:latin typeface="Overpass" pitchFamily="2" charset="77"/>
            </a:rPr>
            <a:t>The pricing and inclusions above are based on</a:t>
          </a:r>
          <a:r>
            <a:rPr lang="en-AU" sz="1000" b="0" baseline="0">
              <a:solidFill>
                <a:srgbClr val="2A2A2A"/>
              </a:solidFill>
              <a:latin typeface="Overpass" pitchFamily="2" charset="77"/>
            </a:rPr>
            <a:t> locations of key equipment including panels, inverters, PVDB and MSB. The relative locations of these items are used to determine costs based on the measurements outlined below. We do our best to make sure locations are suitable before we finalise pricing, but if there is a change needed, we'll be using the methods below to assess the change.</a:t>
          </a:r>
          <a:endParaRPr lang="en-AU" sz="1000" b="0">
            <a:solidFill>
              <a:srgbClr val="2A2A2A"/>
            </a:solidFill>
            <a:latin typeface="Overpass" pitchFamily="2" charset="77"/>
          </a:endParaRPr>
        </a:p>
      </xdr:txBody>
    </xdr:sp>
    <xdr:clientData/>
  </xdr:oneCellAnchor>
  <xdr:twoCellAnchor>
    <xdr:from>
      <xdr:col>5</xdr:col>
      <xdr:colOff>187816</xdr:colOff>
      <xdr:row>152</xdr:row>
      <xdr:rowOff>2634</xdr:rowOff>
    </xdr:from>
    <xdr:to>
      <xdr:col>19</xdr:col>
      <xdr:colOff>0</xdr:colOff>
      <xdr:row>153</xdr:row>
      <xdr:rowOff>2635</xdr:rowOff>
    </xdr:to>
    <xdr:sp macro="" textlink="'[1]Linking Cells'!C4">
      <xdr:nvSpPr>
        <xdr:cNvPr id="98" name="TextBox 97">
          <a:extLst>
            <a:ext uri="{FF2B5EF4-FFF2-40B4-BE49-F238E27FC236}">
              <a16:creationId xmlns:a16="http://schemas.microsoft.com/office/drawing/2014/main" id="{00000000-0008-0000-0A00-000062000000}"/>
            </a:ext>
          </a:extLst>
        </xdr:cNvPr>
        <xdr:cNvSpPr txBox="1"/>
      </xdr:nvSpPr>
      <xdr:spPr>
        <a:xfrm>
          <a:off x="1140316" y="28958634"/>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941018-53BC-4B1B-B3EF-DA9E40010E1C}" type="TxLink">
            <a:rPr lang="en-US" sz="800" b="0" i="0" u="none" strike="noStrike">
              <a:solidFill>
                <a:srgbClr val="666666"/>
              </a:solidFill>
              <a:latin typeface="Overpass" panose="00000500000000000000" pitchFamily="2" charset="0"/>
              <a:ea typeface="Calibri"/>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6</xdr:col>
      <xdr:colOff>0</xdr:colOff>
      <xdr:row>67</xdr:row>
      <xdr:rowOff>0</xdr:rowOff>
    </xdr:from>
    <xdr:to>
      <xdr:col>25</xdr:col>
      <xdr:colOff>189149</xdr:colOff>
      <xdr:row>69</xdr:row>
      <xdr:rowOff>6350</xdr:rowOff>
    </xdr:to>
    <xdr:sp macro="" textlink="">
      <xdr:nvSpPr>
        <xdr:cNvPr id="99" name="TextBox 15">
          <a:extLst>
            <a:ext uri="{FF2B5EF4-FFF2-40B4-BE49-F238E27FC236}">
              <a16:creationId xmlns:a16="http://schemas.microsoft.com/office/drawing/2014/main" id="{00000000-0008-0000-0A00-000063000000}"/>
            </a:ext>
          </a:extLst>
        </xdr:cNvPr>
        <xdr:cNvSpPr txBox="1"/>
      </xdr:nvSpPr>
      <xdr:spPr>
        <a:xfrm>
          <a:off x="1143000" y="12763500"/>
          <a:ext cx="3808649"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PROJECT DETAILS</a:t>
          </a:r>
        </a:p>
      </xdr:txBody>
    </xdr:sp>
    <xdr:clientData/>
  </xdr:twoCellAnchor>
  <xdr:twoCellAnchor>
    <xdr:from>
      <xdr:col>47</xdr:col>
      <xdr:colOff>0</xdr:colOff>
      <xdr:row>38</xdr:row>
      <xdr:rowOff>3190</xdr:rowOff>
    </xdr:from>
    <xdr:to>
      <xdr:col>63</xdr:col>
      <xdr:colOff>0</xdr:colOff>
      <xdr:row>45</xdr:row>
      <xdr:rowOff>3190</xdr:rowOff>
    </xdr:to>
    <xdr:sp macro="" textlink="">
      <xdr:nvSpPr>
        <xdr:cNvPr id="100" name="TextBox 99">
          <a:extLst>
            <a:ext uri="{FF2B5EF4-FFF2-40B4-BE49-F238E27FC236}">
              <a16:creationId xmlns:a16="http://schemas.microsoft.com/office/drawing/2014/main" id="{00000000-0008-0000-0A00-000064000000}"/>
            </a:ext>
          </a:extLst>
        </xdr:cNvPr>
        <xdr:cNvSpPr txBox="1"/>
      </xdr:nvSpPr>
      <xdr:spPr>
        <a:xfrm>
          <a:off x="9072880" y="7338710"/>
          <a:ext cx="3088640" cy="1351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3000" b="0" i="0">
              <a:solidFill>
                <a:srgbClr val="28066C"/>
              </a:solidFill>
              <a:latin typeface="Barlow Light" pitchFamily="2" charset="77"/>
            </a:rPr>
            <a:t>PROJECT </a:t>
          </a:r>
        </a:p>
        <a:p>
          <a:pPr algn="l"/>
          <a:r>
            <a:rPr lang="en-GB" sz="3000" b="0" i="0">
              <a:solidFill>
                <a:srgbClr val="28066C"/>
              </a:solidFill>
              <a:latin typeface="Barlow Light" pitchFamily="2" charset="77"/>
            </a:rPr>
            <a:t>AGREEMENT</a:t>
          </a:r>
        </a:p>
      </xdr:txBody>
    </xdr:sp>
    <xdr:clientData/>
  </xdr:twoCellAnchor>
  <xdr:twoCellAnchor>
    <xdr:from>
      <xdr:col>47</xdr:col>
      <xdr:colOff>0</xdr:colOff>
      <xdr:row>45</xdr:row>
      <xdr:rowOff>13350</xdr:rowOff>
    </xdr:from>
    <xdr:to>
      <xdr:col>63</xdr:col>
      <xdr:colOff>0</xdr:colOff>
      <xdr:row>45</xdr:row>
      <xdr:rowOff>13350</xdr:rowOff>
    </xdr:to>
    <xdr:cxnSp macro="">
      <xdr:nvCxnSpPr>
        <xdr:cNvPr id="101" name="Straight Connector 100">
          <a:extLst>
            <a:ext uri="{FF2B5EF4-FFF2-40B4-BE49-F238E27FC236}">
              <a16:creationId xmlns:a16="http://schemas.microsoft.com/office/drawing/2014/main" id="{00000000-0008-0000-0A00-000065000000}"/>
            </a:ext>
          </a:extLst>
        </xdr:cNvPr>
        <xdr:cNvCxnSpPr/>
      </xdr:nvCxnSpPr>
      <xdr:spPr>
        <a:xfrm>
          <a:off x="9072880" y="8700150"/>
          <a:ext cx="3088640" cy="0"/>
        </a:xfrm>
        <a:prstGeom prst="line">
          <a:avLst/>
        </a:prstGeom>
        <a:ln w="12700">
          <a:solidFill>
            <a:srgbClr val="28066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xdr:row>
      <xdr:rowOff>0</xdr:rowOff>
    </xdr:from>
    <xdr:to>
      <xdr:col>67</xdr:col>
      <xdr:colOff>0</xdr:colOff>
      <xdr:row>69</xdr:row>
      <xdr:rowOff>0</xdr:rowOff>
    </xdr:to>
    <xdr:sp macro="" textlink="">
      <xdr:nvSpPr>
        <xdr:cNvPr id="102" name="TextBox 213">
          <a:extLst>
            <a:ext uri="{FF2B5EF4-FFF2-40B4-BE49-F238E27FC236}">
              <a16:creationId xmlns:a16="http://schemas.microsoft.com/office/drawing/2014/main" id="{00000000-0008-0000-0A00-000066000000}"/>
            </a:ext>
          </a:extLst>
        </xdr:cNvPr>
        <xdr:cNvSpPr txBox="1"/>
      </xdr:nvSpPr>
      <xdr:spPr>
        <a:xfrm>
          <a:off x="8953500" y="12763500"/>
          <a:ext cx="3810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rgbClr val="28066C"/>
              </a:solidFill>
              <a:latin typeface="Barlow" pitchFamily="2" charset="77"/>
            </a:rPr>
            <a:t>ACCEPTANCE</a:t>
          </a:r>
        </a:p>
      </xdr:txBody>
    </xdr:sp>
    <xdr:clientData/>
  </xdr:twoCellAnchor>
  <xdr:twoCellAnchor>
    <xdr:from>
      <xdr:col>46</xdr:col>
      <xdr:colOff>189906</xdr:colOff>
      <xdr:row>72</xdr:row>
      <xdr:rowOff>0</xdr:rowOff>
    </xdr:from>
    <xdr:to>
      <xdr:col>56</xdr:col>
      <xdr:colOff>0</xdr:colOff>
      <xdr:row>73</xdr:row>
      <xdr:rowOff>0</xdr:rowOff>
    </xdr:to>
    <xdr:sp macro="" textlink="">
      <xdr:nvSpPr>
        <xdr:cNvPr id="103" name="TextBox 236">
          <a:extLst>
            <a:ext uri="{FF2B5EF4-FFF2-40B4-BE49-F238E27FC236}">
              <a16:creationId xmlns:a16="http://schemas.microsoft.com/office/drawing/2014/main" id="{00000000-0008-0000-0A00-000067000000}"/>
            </a:ext>
          </a:extLst>
        </xdr:cNvPr>
        <xdr:cNvSpPr txBox="1"/>
      </xdr:nvSpPr>
      <xdr:spPr>
        <a:xfrm>
          <a:off x="8952906" y="13716000"/>
          <a:ext cx="171509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TOTAL SYSTEM VALUE</a:t>
          </a:r>
        </a:p>
      </xdr:txBody>
    </xdr:sp>
    <xdr:clientData/>
  </xdr:twoCellAnchor>
  <xdr:twoCellAnchor>
    <xdr:from>
      <xdr:col>47</xdr:col>
      <xdr:colOff>2271</xdr:colOff>
      <xdr:row>77</xdr:row>
      <xdr:rowOff>0</xdr:rowOff>
    </xdr:from>
    <xdr:to>
      <xdr:col>57</xdr:col>
      <xdr:colOff>2271</xdr:colOff>
      <xdr:row>78</xdr:row>
      <xdr:rowOff>1</xdr:rowOff>
    </xdr:to>
    <xdr:sp macro="" textlink="">
      <xdr:nvSpPr>
        <xdr:cNvPr id="104" name="TextBox 237">
          <a:extLst>
            <a:ext uri="{FF2B5EF4-FFF2-40B4-BE49-F238E27FC236}">
              <a16:creationId xmlns:a16="http://schemas.microsoft.com/office/drawing/2014/main" id="{00000000-0008-0000-0A00-000068000000}"/>
            </a:ext>
          </a:extLst>
        </xdr:cNvPr>
        <xdr:cNvSpPr txBox="1"/>
      </xdr:nvSpPr>
      <xdr:spPr>
        <a:xfrm>
          <a:off x="8955771" y="14668500"/>
          <a:ext cx="19050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RENEWABLE CERTIFICATES</a:t>
          </a:r>
        </a:p>
      </xdr:txBody>
    </xdr:sp>
    <xdr:clientData/>
  </xdr:twoCellAnchor>
  <xdr:twoCellAnchor>
    <xdr:from>
      <xdr:col>47</xdr:col>
      <xdr:colOff>2309</xdr:colOff>
      <xdr:row>91</xdr:row>
      <xdr:rowOff>6954</xdr:rowOff>
    </xdr:from>
    <xdr:to>
      <xdr:col>66</xdr:col>
      <xdr:colOff>2309</xdr:colOff>
      <xdr:row>92</xdr:row>
      <xdr:rowOff>6954</xdr:rowOff>
    </xdr:to>
    <xdr:sp macro="" textlink="">
      <xdr:nvSpPr>
        <xdr:cNvPr id="105" name="TextBox 240">
          <a:extLst>
            <a:ext uri="{FF2B5EF4-FFF2-40B4-BE49-F238E27FC236}">
              <a16:creationId xmlns:a16="http://schemas.microsoft.com/office/drawing/2014/main" id="{00000000-0008-0000-0A00-000069000000}"/>
            </a:ext>
          </a:extLst>
        </xdr:cNvPr>
        <xdr:cNvSpPr txBox="1"/>
      </xdr:nvSpPr>
      <xdr:spPr>
        <a:xfrm>
          <a:off x="8955809" y="17342454"/>
          <a:ext cx="3619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YOUR OUT OF POCKET INVESTMENT</a:t>
          </a:r>
        </a:p>
      </xdr:txBody>
    </xdr:sp>
    <xdr:clientData/>
  </xdr:twoCellAnchor>
  <xdr:twoCellAnchor>
    <xdr:from>
      <xdr:col>46</xdr:col>
      <xdr:colOff>189906</xdr:colOff>
      <xdr:row>90</xdr:row>
      <xdr:rowOff>4646</xdr:rowOff>
    </xdr:from>
    <xdr:to>
      <xdr:col>57</xdr:col>
      <xdr:colOff>1</xdr:colOff>
      <xdr:row>91</xdr:row>
      <xdr:rowOff>10988</xdr:rowOff>
    </xdr:to>
    <xdr:sp macro="" textlink="">
      <xdr:nvSpPr>
        <xdr:cNvPr id="106" name="TextBox 422">
          <a:extLst>
            <a:ext uri="{FF2B5EF4-FFF2-40B4-BE49-F238E27FC236}">
              <a16:creationId xmlns:a16="http://schemas.microsoft.com/office/drawing/2014/main" id="{00000000-0008-0000-0A00-00006A000000}"/>
            </a:ext>
          </a:extLst>
        </xdr:cNvPr>
        <xdr:cNvSpPr txBox="1"/>
      </xdr:nvSpPr>
      <xdr:spPr>
        <a:xfrm>
          <a:off x="8952906" y="17149646"/>
          <a:ext cx="1905595" cy="196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NET SYSTEM VALUE</a:t>
          </a:r>
        </a:p>
      </xdr:txBody>
    </xdr:sp>
    <xdr:clientData/>
  </xdr:twoCellAnchor>
  <xdr:twoCellAnchor>
    <xdr:from>
      <xdr:col>47</xdr:col>
      <xdr:colOff>1758</xdr:colOff>
      <xdr:row>97</xdr:row>
      <xdr:rowOff>188146</xdr:rowOff>
    </xdr:from>
    <xdr:to>
      <xdr:col>78</xdr:col>
      <xdr:colOff>3254</xdr:colOff>
      <xdr:row>118</xdr:row>
      <xdr:rowOff>188149</xdr:rowOff>
    </xdr:to>
    <xdr:grpSp>
      <xdr:nvGrpSpPr>
        <xdr:cNvPr id="314" name="Group 313">
          <a:extLst>
            <a:ext uri="{FF2B5EF4-FFF2-40B4-BE49-F238E27FC236}">
              <a16:creationId xmlns:a16="http://schemas.microsoft.com/office/drawing/2014/main" id="{00000000-0008-0000-0A00-00003A010000}"/>
            </a:ext>
          </a:extLst>
        </xdr:cNvPr>
        <xdr:cNvGrpSpPr/>
      </xdr:nvGrpSpPr>
      <xdr:grpSpPr>
        <a:xfrm>
          <a:off x="8955258" y="18666646"/>
          <a:ext cx="5906996" cy="4000503"/>
          <a:chOff x="9069746" y="18917900"/>
          <a:chExt cx="5990628" cy="4053417"/>
        </a:xfrm>
      </xdr:grpSpPr>
      <xdr:sp macro="" textlink="">
        <xdr:nvSpPr>
          <xdr:cNvPr id="79" name="TextBox 146">
            <a:extLst>
              <a:ext uri="{FF2B5EF4-FFF2-40B4-BE49-F238E27FC236}">
                <a16:creationId xmlns:a16="http://schemas.microsoft.com/office/drawing/2014/main" id="{00000000-0008-0000-0A00-00004F000000}"/>
              </a:ext>
            </a:extLst>
          </xdr:cNvPr>
          <xdr:cNvSpPr txBox="1"/>
        </xdr:nvSpPr>
        <xdr:spPr>
          <a:xfrm>
            <a:off x="9076155" y="19497020"/>
            <a:ext cx="5772686" cy="19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i="0" u="none" strike="noStrike">
                <a:solidFill>
                  <a:srgbClr val="2A2A2A"/>
                </a:solidFill>
                <a:latin typeface="Overpass" panose="00000500000000000000" pitchFamily="2" charset="0"/>
                <a:ea typeface="+mn-ea"/>
                <a:cs typeface="Calibri"/>
              </a:rPr>
              <a:t>EXECUTED AS AN AGREEMENT</a:t>
            </a:r>
          </a:p>
        </xdr:txBody>
      </xdr:sp>
      <xdr:sp macro="" textlink="">
        <xdr:nvSpPr>
          <xdr:cNvPr id="80" name="TextBox 79">
            <a:hlinkClick xmlns:r="http://schemas.openxmlformats.org/officeDocument/2006/relationships" r:id="rId2"/>
            <a:extLst>
              <a:ext uri="{FF2B5EF4-FFF2-40B4-BE49-F238E27FC236}">
                <a16:creationId xmlns:a16="http://schemas.microsoft.com/office/drawing/2014/main" id="{00000000-0008-0000-0A00-000050000000}"/>
              </a:ext>
            </a:extLst>
          </xdr:cNvPr>
          <xdr:cNvSpPr txBox="1"/>
        </xdr:nvSpPr>
        <xdr:spPr>
          <a:xfrm>
            <a:off x="9072881" y="22199178"/>
            <a:ext cx="5791200" cy="772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executing this quote</a:t>
            </a:r>
            <a:r>
              <a:rPr lang="en-US" sz="1000" b="0" i="1" u="none" strike="noStrike" baseline="0">
                <a:solidFill>
                  <a:srgbClr val="2A2A2A"/>
                </a:solidFill>
                <a:latin typeface="Overpass" panose="00000500000000000000" pitchFamily="2" charset="0"/>
                <a:ea typeface="+mn-ea"/>
                <a:cs typeface="Calibri"/>
              </a:rPr>
              <a:t> I acknowledge that I have read and understood the terms and conditions to which apply to this quote located at </a:t>
            </a:r>
            <a:r>
              <a:rPr lang="en-US" sz="1000" b="0" i="0" u="sng" strike="noStrike" baseline="0">
                <a:solidFill>
                  <a:srgbClr val="27056C"/>
                </a:solidFill>
                <a:latin typeface="Overpass" panose="00000500000000000000" pitchFamily="2" charset="0"/>
                <a:ea typeface="+mn-ea"/>
                <a:cs typeface="Calibri"/>
              </a:rPr>
              <a:t>www.smartcommercialenergy.com.au/terms-and-conditions</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sp macro="" textlink="">
        <xdr:nvSpPr>
          <xdr:cNvPr id="81" name="TextBox 177">
            <a:extLst>
              <a:ext uri="{FF2B5EF4-FFF2-40B4-BE49-F238E27FC236}">
                <a16:creationId xmlns:a16="http://schemas.microsoft.com/office/drawing/2014/main" id="{00000000-0008-0000-0A00-000051000000}"/>
              </a:ext>
            </a:extLst>
          </xdr:cNvPr>
          <xdr:cNvSpPr txBox="1"/>
        </xdr:nvSpPr>
        <xdr:spPr>
          <a:xfrm>
            <a:off x="9073200" y="19691826"/>
            <a:ext cx="5987174" cy="193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2A2A2A"/>
                </a:solidFill>
                <a:latin typeface="Overpass" panose="00000500000000000000" pitchFamily="2" charset="0"/>
                <a:ea typeface="+mn-ea"/>
                <a:cs typeface="Calibri"/>
              </a:rPr>
              <a:t>Signed for the </a:t>
            </a:r>
            <a:r>
              <a:rPr lang="en-US" sz="900" b="1" i="0" u="none" strike="noStrike">
                <a:solidFill>
                  <a:srgbClr val="2A2A2A"/>
                </a:solidFill>
                <a:latin typeface="Overpass" panose="00000500000000000000" pitchFamily="2" charset="0"/>
                <a:ea typeface="+mn-ea"/>
                <a:cs typeface="Calibri"/>
              </a:rPr>
              <a:t>Customer</a:t>
            </a:r>
            <a:r>
              <a:rPr lang="en-US" sz="900" b="0" i="0" u="none" strike="noStrike">
                <a:solidFill>
                  <a:srgbClr val="2A2A2A"/>
                </a:solidFill>
                <a:latin typeface="Overpass" panose="00000500000000000000" pitchFamily="2" charset="0"/>
                <a:ea typeface="+mn-ea"/>
                <a:cs typeface="Calibri"/>
              </a:rPr>
              <a:t> in accordance with section 126 of the </a:t>
            </a:r>
            <a:r>
              <a:rPr lang="en-US" sz="900" b="0" i="1" u="none" strike="noStrike">
                <a:solidFill>
                  <a:srgbClr val="2A2A2A"/>
                </a:solidFill>
                <a:latin typeface="Overpass" panose="00000500000000000000" pitchFamily="2" charset="0"/>
                <a:ea typeface="+mn-ea"/>
                <a:cs typeface="Calibri"/>
              </a:rPr>
              <a:t>Corporations Act 2001 </a:t>
            </a:r>
            <a:r>
              <a:rPr lang="en-US" sz="900" b="0" i="0" u="none" strike="noStrike">
                <a:solidFill>
                  <a:srgbClr val="2A2A2A"/>
                </a:solidFill>
                <a:latin typeface="Overpass" panose="00000500000000000000" pitchFamily="2" charset="0"/>
                <a:ea typeface="+mn-ea"/>
                <a:cs typeface="Calibri"/>
              </a:rPr>
              <a:t>(Cth) by: </a:t>
            </a:r>
          </a:p>
        </xdr:txBody>
      </xdr:sp>
      <xdr:sp macro="" textlink="">
        <xdr:nvSpPr>
          <xdr:cNvPr id="107" name="TextBox 423">
            <a:extLst>
              <a:ext uri="{FF2B5EF4-FFF2-40B4-BE49-F238E27FC236}">
                <a16:creationId xmlns:a16="http://schemas.microsoft.com/office/drawing/2014/main" id="{00000000-0008-0000-0A00-00006B000000}"/>
              </a:ext>
            </a:extLst>
          </xdr:cNvPr>
          <xdr:cNvSpPr txBox="1"/>
        </xdr:nvSpPr>
        <xdr:spPr>
          <a:xfrm>
            <a:off x="9364158" y="18917900"/>
            <a:ext cx="1837550" cy="392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Execution</a:t>
            </a:r>
          </a:p>
        </xdr:txBody>
      </xdr:sp>
      <xdr:cxnSp macro="">
        <xdr:nvCxnSpPr>
          <xdr:cNvPr id="108" name="Straight Connector 424">
            <a:extLst>
              <a:ext uri="{FF2B5EF4-FFF2-40B4-BE49-F238E27FC236}">
                <a16:creationId xmlns:a16="http://schemas.microsoft.com/office/drawing/2014/main" id="{00000000-0008-0000-0A00-00006C000000}"/>
              </a:ext>
            </a:extLst>
          </xdr:cNvPr>
          <xdr:cNvCxnSpPr/>
        </xdr:nvCxnSpPr>
        <xdr:spPr>
          <a:xfrm>
            <a:off x="9171114" y="18917900"/>
            <a:ext cx="0" cy="39242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nvGrpSpPr>
          <xdr:cNvPr id="312" name="Group 311">
            <a:extLst>
              <a:ext uri="{FF2B5EF4-FFF2-40B4-BE49-F238E27FC236}">
                <a16:creationId xmlns:a16="http://schemas.microsoft.com/office/drawing/2014/main" id="{00000000-0008-0000-0A00-000038010000}"/>
              </a:ext>
            </a:extLst>
          </xdr:cNvPr>
          <xdr:cNvGrpSpPr/>
        </xdr:nvGrpSpPr>
        <xdr:grpSpPr>
          <a:xfrm>
            <a:off x="12354560" y="21620459"/>
            <a:ext cx="2509520" cy="207934"/>
            <a:chOff x="12354560" y="21620459"/>
            <a:chExt cx="2509520" cy="207934"/>
          </a:xfrm>
        </xdr:grpSpPr>
        <xdr:sp macro="" textlink="">
          <xdr:nvSpPr>
            <xdr:cNvPr id="83" name="TextBox 179">
              <a:extLst>
                <a:ext uri="{FF2B5EF4-FFF2-40B4-BE49-F238E27FC236}">
                  <a16:creationId xmlns:a16="http://schemas.microsoft.com/office/drawing/2014/main" id="{00000000-0008-0000-0A00-000053000000}"/>
                </a:ext>
              </a:extLst>
            </xdr:cNvPr>
            <xdr:cNvSpPr txBox="1"/>
          </xdr:nvSpPr>
          <xdr:spPr>
            <a:xfrm>
              <a:off x="12354560" y="21636089"/>
              <a:ext cx="2509520"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Date</a:t>
              </a:r>
            </a:p>
          </xdr:txBody>
        </xdr:sp>
        <xdr:cxnSp macro="">
          <xdr:nvCxnSpPr>
            <xdr:cNvPr id="110" name="Straight Connector 14">
              <a:extLst>
                <a:ext uri="{FF2B5EF4-FFF2-40B4-BE49-F238E27FC236}">
                  <a16:creationId xmlns:a16="http://schemas.microsoft.com/office/drawing/2014/main" id="{00000000-0008-0000-0A00-00006E000000}"/>
                </a:ext>
              </a:extLst>
            </xdr:cNvPr>
            <xdr:cNvCxnSpPr/>
          </xdr:nvCxnSpPr>
          <xdr:spPr>
            <a:xfrm>
              <a:off x="12354560" y="21620459"/>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309" name="Group 308">
            <a:extLst>
              <a:ext uri="{FF2B5EF4-FFF2-40B4-BE49-F238E27FC236}">
                <a16:creationId xmlns:a16="http://schemas.microsoft.com/office/drawing/2014/main" id="{00000000-0008-0000-0A00-000035010000}"/>
              </a:ext>
            </a:extLst>
          </xdr:cNvPr>
          <xdr:cNvGrpSpPr/>
        </xdr:nvGrpSpPr>
        <xdr:grpSpPr>
          <a:xfrm>
            <a:off x="9069746" y="20656723"/>
            <a:ext cx="2512655" cy="205633"/>
            <a:chOff x="9069746" y="20656723"/>
            <a:chExt cx="2512655" cy="205633"/>
          </a:xfrm>
        </xdr:grpSpPr>
        <xdr:sp macro="" textlink="">
          <xdr:nvSpPr>
            <xdr:cNvPr id="84" name="TextBox 180">
              <a:extLst>
                <a:ext uri="{FF2B5EF4-FFF2-40B4-BE49-F238E27FC236}">
                  <a16:creationId xmlns:a16="http://schemas.microsoft.com/office/drawing/2014/main" id="{00000000-0008-0000-0A00-000054000000}"/>
                </a:ext>
              </a:extLst>
            </xdr:cNvPr>
            <xdr:cNvSpPr txBox="1"/>
          </xdr:nvSpPr>
          <xdr:spPr>
            <a:xfrm>
              <a:off x="9072881" y="20659835"/>
              <a:ext cx="2509520" cy="202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Signature of Authorised Representative</a:t>
              </a:r>
            </a:p>
          </xdr:txBody>
        </xdr:sp>
        <xdr:cxnSp macro="">
          <xdr:nvCxnSpPr>
            <xdr:cNvPr id="111" name="Straight Connector 16">
              <a:extLst>
                <a:ext uri="{FF2B5EF4-FFF2-40B4-BE49-F238E27FC236}">
                  <a16:creationId xmlns:a16="http://schemas.microsoft.com/office/drawing/2014/main" id="{00000000-0008-0000-0A00-00006F000000}"/>
                </a:ext>
              </a:extLst>
            </xdr:cNvPr>
            <xdr:cNvCxnSpPr/>
          </xdr:nvCxnSpPr>
          <xdr:spPr>
            <a:xfrm>
              <a:off x="9069746" y="20656723"/>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313" name="Group 312">
            <a:extLst>
              <a:ext uri="{FF2B5EF4-FFF2-40B4-BE49-F238E27FC236}">
                <a16:creationId xmlns:a16="http://schemas.microsoft.com/office/drawing/2014/main" id="{00000000-0008-0000-0A00-000039010000}"/>
              </a:ext>
            </a:extLst>
          </xdr:cNvPr>
          <xdr:cNvGrpSpPr/>
        </xdr:nvGrpSpPr>
        <xdr:grpSpPr>
          <a:xfrm>
            <a:off x="9069746" y="21623465"/>
            <a:ext cx="2715032" cy="204928"/>
            <a:chOff x="9069746" y="21623465"/>
            <a:chExt cx="2715032" cy="204928"/>
          </a:xfrm>
        </xdr:grpSpPr>
        <xdr:sp macro="" textlink="">
          <xdr:nvSpPr>
            <xdr:cNvPr id="85" name="TextBox 181">
              <a:extLst>
                <a:ext uri="{FF2B5EF4-FFF2-40B4-BE49-F238E27FC236}">
                  <a16:creationId xmlns:a16="http://schemas.microsoft.com/office/drawing/2014/main" id="{00000000-0008-0000-0A00-000055000000}"/>
                </a:ext>
              </a:extLst>
            </xdr:cNvPr>
            <xdr:cNvSpPr txBox="1"/>
          </xdr:nvSpPr>
          <xdr:spPr>
            <a:xfrm>
              <a:off x="9073615" y="21636089"/>
              <a:ext cx="2711163"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Name of Authorised Representative (Print)</a:t>
              </a:r>
            </a:p>
          </xdr:txBody>
        </xdr:sp>
        <xdr:cxnSp macro="">
          <xdr:nvCxnSpPr>
            <xdr:cNvPr id="109" name="Straight Connector 4">
              <a:extLst>
                <a:ext uri="{FF2B5EF4-FFF2-40B4-BE49-F238E27FC236}">
                  <a16:creationId xmlns:a16="http://schemas.microsoft.com/office/drawing/2014/main" id="{00000000-0008-0000-0A00-00006D000000}"/>
                </a:ext>
              </a:extLst>
            </xdr:cNvPr>
            <xdr:cNvCxnSpPr/>
          </xdr:nvCxnSpPr>
          <xdr:spPr>
            <a:xfrm>
              <a:off x="9069746" y="21623465"/>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310" name="Group 309">
            <a:extLst>
              <a:ext uri="{FF2B5EF4-FFF2-40B4-BE49-F238E27FC236}">
                <a16:creationId xmlns:a16="http://schemas.microsoft.com/office/drawing/2014/main" id="{00000000-0008-0000-0A00-000036010000}"/>
              </a:ext>
            </a:extLst>
          </xdr:cNvPr>
          <xdr:cNvGrpSpPr/>
        </xdr:nvGrpSpPr>
        <xdr:grpSpPr>
          <a:xfrm>
            <a:off x="12354560" y="20659835"/>
            <a:ext cx="2509520" cy="195163"/>
            <a:chOff x="12354560" y="20659835"/>
            <a:chExt cx="2509520" cy="195163"/>
          </a:xfrm>
        </xdr:grpSpPr>
        <xdr:sp macro="" textlink="">
          <xdr:nvSpPr>
            <xdr:cNvPr id="82" name="TextBox 178">
              <a:extLst>
                <a:ext uri="{FF2B5EF4-FFF2-40B4-BE49-F238E27FC236}">
                  <a16:creationId xmlns:a16="http://schemas.microsoft.com/office/drawing/2014/main" id="{00000000-0008-0000-0A00-000052000000}"/>
                </a:ext>
              </a:extLst>
            </xdr:cNvPr>
            <xdr:cNvSpPr txBox="1"/>
          </xdr:nvSpPr>
          <xdr:spPr>
            <a:xfrm>
              <a:off x="12354560" y="20659835"/>
              <a:ext cx="2509520" cy="195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Position</a:t>
              </a:r>
            </a:p>
          </xdr:txBody>
        </xdr:sp>
        <xdr:cxnSp macro="">
          <xdr:nvCxnSpPr>
            <xdr:cNvPr id="112" name="Straight Connector 26">
              <a:extLst>
                <a:ext uri="{FF2B5EF4-FFF2-40B4-BE49-F238E27FC236}">
                  <a16:creationId xmlns:a16="http://schemas.microsoft.com/office/drawing/2014/main" id="{00000000-0008-0000-0A00-000070000000}"/>
                </a:ext>
              </a:extLst>
            </xdr:cNvPr>
            <xdr:cNvCxnSpPr/>
          </xdr:nvCxnSpPr>
          <xdr:spPr>
            <a:xfrm>
              <a:off x="12354560" y="20660228"/>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46</xdr:col>
      <xdr:colOff>189906</xdr:colOff>
      <xdr:row>76</xdr:row>
      <xdr:rowOff>0</xdr:rowOff>
    </xdr:from>
    <xdr:to>
      <xdr:col>77</xdr:col>
      <xdr:colOff>0</xdr:colOff>
      <xdr:row>76</xdr:row>
      <xdr:rowOff>6341</xdr:rowOff>
    </xdr:to>
    <xdr:cxnSp macro="">
      <xdr:nvCxnSpPr>
        <xdr:cNvPr id="113" name="Straight Connector 16">
          <a:extLst>
            <a:ext uri="{FF2B5EF4-FFF2-40B4-BE49-F238E27FC236}">
              <a16:creationId xmlns:a16="http://schemas.microsoft.com/office/drawing/2014/main" id="{00000000-0008-0000-0A00-000071000000}"/>
            </a:ext>
          </a:extLst>
        </xdr:cNvPr>
        <xdr:cNvCxnSpPr/>
      </xdr:nvCxnSpPr>
      <xdr:spPr>
        <a:xfrm>
          <a:off x="8952906" y="14478000"/>
          <a:ext cx="5715594" cy="6341"/>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89</xdr:row>
      <xdr:rowOff>4646</xdr:rowOff>
    </xdr:from>
    <xdr:to>
      <xdr:col>77</xdr:col>
      <xdr:colOff>0</xdr:colOff>
      <xdr:row>89</xdr:row>
      <xdr:rowOff>4646</xdr:rowOff>
    </xdr:to>
    <xdr:cxnSp macro="">
      <xdr:nvCxnSpPr>
        <xdr:cNvPr id="114" name="Straight Connector 16">
          <a:extLst>
            <a:ext uri="{FF2B5EF4-FFF2-40B4-BE49-F238E27FC236}">
              <a16:creationId xmlns:a16="http://schemas.microsoft.com/office/drawing/2014/main" id="{00000000-0008-0000-0A00-000072000000}"/>
            </a:ext>
          </a:extLst>
        </xdr:cNvPr>
        <xdr:cNvCxnSpPr/>
      </xdr:nvCxnSpPr>
      <xdr:spPr>
        <a:xfrm>
          <a:off x="8952906" y="1695914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97</xdr:row>
      <xdr:rowOff>11639</xdr:rowOff>
    </xdr:from>
    <xdr:to>
      <xdr:col>77</xdr:col>
      <xdr:colOff>0</xdr:colOff>
      <xdr:row>97</xdr:row>
      <xdr:rowOff>11639</xdr:rowOff>
    </xdr:to>
    <xdr:cxnSp macro="">
      <xdr:nvCxnSpPr>
        <xdr:cNvPr id="115" name="Straight Connector 16">
          <a:extLst>
            <a:ext uri="{FF2B5EF4-FFF2-40B4-BE49-F238E27FC236}">
              <a16:creationId xmlns:a16="http://schemas.microsoft.com/office/drawing/2014/main" id="{00000000-0008-0000-0A00-000073000000}"/>
            </a:ext>
          </a:extLst>
        </xdr:cNvPr>
        <xdr:cNvCxnSpPr/>
      </xdr:nvCxnSpPr>
      <xdr:spPr>
        <a:xfrm>
          <a:off x="8952906" y="18490139"/>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94</xdr:row>
      <xdr:rowOff>4646</xdr:rowOff>
    </xdr:from>
    <xdr:to>
      <xdr:col>77</xdr:col>
      <xdr:colOff>0</xdr:colOff>
      <xdr:row>94</xdr:row>
      <xdr:rowOff>10986</xdr:rowOff>
    </xdr:to>
    <xdr:cxnSp macro="">
      <xdr:nvCxnSpPr>
        <xdr:cNvPr id="116" name="Straight Connector 16">
          <a:extLst>
            <a:ext uri="{FF2B5EF4-FFF2-40B4-BE49-F238E27FC236}">
              <a16:creationId xmlns:a16="http://schemas.microsoft.com/office/drawing/2014/main" id="{00000000-0008-0000-0A00-000074000000}"/>
            </a:ext>
          </a:extLst>
        </xdr:cNvPr>
        <xdr:cNvCxnSpPr/>
      </xdr:nvCxnSpPr>
      <xdr:spPr>
        <a:xfrm>
          <a:off x="8952906" y="17911646"/>
          <a:ext cx="5715594" cy="634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70</xdr:row>
      <xdr:rowOff>189906</xdr:rowOff>
    </xdr:from>
    <xdr:to>
      <xdr:col>77</xdr:col>
      <xdr:colOff>0</xdr:colOff>
      <xdr:row>70</xdr:row>
      <xdr:rowOff>189906</xdr:rowOff>
    </xdr:to>
    <xdr:cxnSp macro="">
      <xdr:nvCxnSpPr>
        <xdr:cNvPr id="117" name="Straight Connector 16">
          <a:extLst>
            <a:ext uri="{FF2B5EF4-FFF2-40B4-BE49-F238E27FC236}">
              <a16:creationId xmlns:a16="http://schemas.microsoft.com/office/drawing/2014/main" id="{00000000-0008-0000-0A00-000075000000}"/>
            </a:ext>
          </a:extLst>
        </xdr:cNvPr>
        <xdr:cNvCxnSpPr/>
      </xdr:nvCxnSpPr>
      <xdr:spPr>
        <a:xfrm>
          <a:off x="8952906" y="1352490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126</xdr:row>
      <xdr:rowOff>187816</xdr:rowOff>
    </xdr:from>
    <xdr:to>
      <xdr:col>31</xdr:col>
      <xdr:colOff>0</xdr:colOff>
      <xdr:row>129</xdr:row>
      <xdr:rowOff>6350</xdr:rowOff>
    </xdr:to>
    <xdr:sp macro="" textlink="">
      <xdr:nvSpPr>
        <xdr:cNvPr id="118" name="TextBox 15">
          <a:extLst>
            <a:ext uri="{FF2B5EF4-FFF2-40B4-BE49-F238E27FC236}">
              <a16:creationId xmlns:a16="http://schemas.microsoft.com/office/drawing/2014/main" id="{00000000-0008-0000-0A00-000076000000}"/>
            </a:ext>
          </a:extLst>
        </xdr:cNvPr>
        <xdr:cNvSpPr txBox="1"/>
      </xdr:nvSpPr>
      <xdr:spPr>
        <a:xfrm>
          <a:off x="1140316" y="24190816"/>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6</xdr:col>
      <xdr:colOff>1</xdr:colOff>
      <xdr:row>126</xdr:row>
      <xdr:rowOff>0</xdr:rowOff>
    </xdr:from>
    <xdr:to>
      <xdr:col>31</xdr:col>
      <xdr:colOff>17888</xdr:colOff>
      <xdr:row>126</xdr:row>
      <xdr:rowOff>187816</xdr:rowOff>
    </xdr:to>
    <xdr:sp macro="" textlink="">
      <xdr:nvSpPr>
        <xdr:cNvPr id="119" name="TextBox 15">
          <a:extLst>
            <a:ext uri="{FF2B5EF4-FFF2-40B4-BE49-F238E27FC236}">
              <a16:creationId xmlns:a16="http://schemas.microsoft.com/office/drawing/2014/main" id="{00000000-0008-0000-0A00-000077000000}"/>
            </a:ext>
          </a:extLst>
        </xdr:cNvPr>
        <xdr:cNvSpPr txBox="1"/>
      </xdr:nvSpPr>
      <xdr:spPr>
        <a:xfrm>
          <a:off x="1143001" y="24003000"/>
          <a:ext cx="478038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1/2</a:t>
          </a:r>
        </a:p>
      </xdr:txBody>
    </xdr:sp>
    <xdr:clientData/>
  </xdr:twoCellAnchor>
  <xdr:twoCellAnchor>
    <xdr:from>
      <xdr:col>7</xdr:col>
      <xdr:colOff>91370</xdr:colOff>
      <xdr:row>131</xdr:row>
      <xdr:rowOff>0</xdr:rowOff>
    </xdr:from>
    <xdr:to>
      <xdr:col>16</xdr:col>
      <xdr:colOff>181051</xdr:colOff>
      <xdr:row>133</xdr:row>
      <xdr:rowOff>0</xdr:rowOff>
    </xdr:to>
    <xdr:sp macro="" textlink="">
      <xdr:nvSpPr>
        <xdr:cNvPr id="120" name="TextBox 119">
          <a:extLst>
            <a:ext uri="{FF2B5EF4-FFF2-40B4-BE49-F238E27FC236}">
              <a16:creationId xmlns:a16="http://schemas.microsoft.com/office/drawing/2014/main" id="{00000000-0008-0000-0A00-000078000000}"/>
            </a:ext>
          </a:extLst>
        </xdr:cNvPr>
        <xdr:cNvSpPr txBox="1"/>
      </xdr:nvSpPr>
      <xdr:spPr>
        <a:xfrm>
          <a:off x="1424870" y="24955500"/>
          <a:ext cx="180418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Preliminaries</a:t>
          </a:r>
        </a:p>
      </xdr:txBody>
    </xdr:sp>
    <xdr:clientData/>
  </xdr:twoCellAnchor>
  <xdr:twoCellAnchor>
    <xdr:from>
      <xdr:col>6</xdr:col>
      <xdr:colOff>87312</xdr:colOff>
      <xdr:row>131</xdr:row>
      <xdr:rowOff>0</xdr:rowOff>
    </xdr:from>
    <xdr:to>
      <xdr:col>6</xdr:col>
      <xdr:colOff>87312</xdr:colOff>
      <xdr:row>133</xdr:row>
      <xdr:rowOff>0</xdr:rowOff>
    </xdr:to>
    <xdr:cxnSp macro="">
      <xdr:nvCxnSpPr>
        <xdr:cNvPr id="121" name="Straight Connector 120">
          <a:extLst>
            <a:ext uri="{FF2B5EF4-FFF2-40B4-BE49-F238E27FC236}">
              <a16:creationId xmlns:a16="http://schemas.microsoft.com/office/drawing/2014/main" id="{00000000-0008-0000-0A00-000079000000}"/>
            </a:ext>
          </a:extLst>
        </xdr:cNvPr>
        <xdr:cNvCxnSpPr/>
      </xdr:nvCxnSpPr>
      <xdr:spPr>
        <a:xfrm>
          <a:off x="1230312"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134</xdr:row>
      <xdr:rowOff>2635</xdr:rowOff>
    </xdr:from>
    <xdr:to>
      <xdr:col>19</xdr:col>
      <xdr:colOff>0</xdr:colOff>
      <xdr:row>135</xdr:row>
      <xdr:rowOff>2635</xdr:rowOff>
    </xdr:to>
    <xdr:sp macro="" textlink="">
      <xdr:nvSpPr>
        <xdr:cNvPr id="122" name="TextBox 121">
          <a:extLst>
            <a:ext uri="{FF2B5EF4-FFF2-40B4-BE49-F238E27FC236}">
              <a16:creationId xmlns:a16="http://schemas.microsoft.com/office/drawing/2014/main" id="{00000000-0008-0000-0A00-00007A000000}"/>
            </a:ext>
          </a:extLst>
        </xdr:cNvPr>
        <xdr:cNvSpPr txBox="1"/>
      </xdr:nvSpPr>
      <xdr:spPr>
        <a:xfrm>
          <a:off x="1140316" y="255296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CONNECT APPLICATIONS</a:t>
          </a:r>
        </a:p>
      </xdr:txBody>
    </xdr:sp>
    <xdr:clientData/>
  </xdr:twoCellAnchor>
  <xdr:twoCellAnchor>
    <xdr:from>
      <xdr:col>5</xdr:col>
      <xdr:colOff>187816</xdr:colOff>
      <xdr:row>135</xdr:row>
      <xdr:rowOff>2635</xdr:rowOff>
    </xdr:from>
    <xdr:to>
      <xdr:col>19</xdr:col>
      <xdr:colOff>0</xdr:colOff>
      <xdr:row>136</xdr:row>
      <xdr:rowOff>2634</xdr:rowOff>
    </xdr:to>
    <xdr:sp macro="" textlink="">
      <xdr:nvSpPr>
        <xdr:cNvPr id="123" name="TextBox 122">
          <a:extLst>
            <a:ext uri="{FF2B5EF4-FFF2-40B4-BE49-F238E27FC236}">
              <a16:creationId xmlns:a16="http://schemas.microsoft.com/office/drawing/2014/main" id="{00000000-0008-0000-0A00-00007B000000}"/>
            </a:ext>
          </a:extLst>
        </xdr:cNvPr>
        <xdr:cNvSpPr txBox="1"/>
      </xdr:nvSpPr>
      <xdr:spPr>
        <a:xfrm>
          <a:off x="1140316" y="25720135"/>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COUNCIL PERMISSION</a:t>
          </a:r>
        </a:p>
      </xdr:txBody>
    </xdr:sp>
    <xdr:clientData/>
  </xdr:twoCellAnchor>
  <xdr:twoCellAnchor>
    <xdr:from>
      <xdr:col>5</xdr:col>
      <xdr:colOff>187816</xdr:colOff>
      <xdr:row>135</xdr:row>
      <xdr:rowOff>190451</xdr:rowOff>
    </xdr:from>
    <xdr:to>
      <xdr:col>19</xdr:col>
      <xdr:colOff>0</xdr:colOff>
      <xdr:row>136</xdr:row>
      <xdr:rowOff>190450</xdr:rowOff>
    </xdr:to>
    <xdr:sp macro="" textlink="">
      <xdr:nvSpPr>
        <xdr:cNvPr id="124" name="TextBox 123">
          <a:extLst>
            <a:ext uri="{FF2B5EF4-FFF2-40B4-BE49-F238E27FC236}">
              <a16:creationId xmlns:a16="http://schemas.microsoft.com/office/drawing/2014/main" id="{00000000-0008-0000-0A00-00007C000000}"/>
            </a:ext>
          </a:extLst>
        </xdr:cNvPr>
        <xdr:cNvSpPr txBox="1"/>
      </xdr:nvSpPr>
      <xdr:spPr>
        <a:xfrm>
          <a:off x="1140316" y="25907951"/>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STRUCTURAL ENGINEERING</a:t>
          </a:r>
        </a:p>
      </xdr:txBody>
    </xdr:sp>
    <xdr:clientData/>
  </xdr:twoCellAnchor>
  <xdr:twoCellAnchor>
    <xdr:from>
      <xdr:col>7</xdr:col>
      <xdr:colOff>91370</xdr:colOff>
      <xdr:row>141</xdr:row>
      <xdr:rowOff>7519</xdr:rowOff>
    </xdr:from>
    <xdr:to>
      <xdr:col>17</xdr:col>
      <xdr:colOff>0</xdr:colOff>
      <xdr:row>143</xdr:row>
      <xdr:rowOff>7519</xdr:rowOff>
    </xdr:to>
    <xdr:sp macro="" textlink="">
      <xdr:nvSpPr>
        <xdr:cNvPr id="125" name="TextBox 124">
          <a:extLst>
            <a:ext uri="{FF2B5EF4-FFF2-40B4-BE49-F238E27FC236}">
              <a16:creationId xmlns:a16="http://schemas.microsoft.com/office/drawing/2014/main" id="{00000000-0008-0000-0A00-00007D000000}"/>
            </a:ext>
          </a:extLst>
        </xdr:cNvPr>
        <xdr:cNvSpPr txBox="1"/>
      </xdr:nvSpPr>
      <xdr:spPr>
        <a:xfrm>
          <a:off x="1401475" y="26396782"/>
          <a:ext cx="1780209" cy="374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Components</a:t>
          </a:r>
        </a:p>
      </xdr:txBody>
    </xdr:sp>
    <xdr:clientData/>
  </xdr:twoCellAnchor>
  <xdr:twoCellAnchor>
    <xdr:from>
      <xdr:col>6</xdr:col>
      <xdr:colOff>87312</xdr:colOff>
      <xdr:row>141</xdr:row>
      <xdr:rowOff>7519</xdr:rowOff>
    </xdr:from>
    <xdr:to>
      <xdr:col>6</xdr:col>
      <xdr:colOff>87312</xdr:colOff>
      <xdr:row>143</xdr:row>
      <xdr:rowOff>7519</xdr:rowOff>
    </xdr:to>
    <xdr:cxnSp macro="">
      <xdr:nvCxnSpPr>
        <xdr:cNvPr id="126" name="Straight Connector 125">
          <a:extLst>
            <a:ext uri="{FF2B5EF4-FFF2-40B4-BE49-F238E27FC236}">
              <a16:creationId xmlns:a16="http://schemas.microsoft.com/office/drawing/2014/main" id="{00000000-0008-0000-0A00-00007E000000}"/>
            </a:ext>
          </a:extLst>
        </xdr:cNvPr>
        <xdr:cNvCxnSpPr/>
      </xdr:nvCxnSpPr>
      <xdr:spPr>
        <a:xfrm>
          <a:off x="1230312" y="26868019"/>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144</xdr:row>
      <xdr:rowOff>7518</xdr:rowOff>
    </xdr:from>
    <xdr:to>
      <xdr:col>19</xdr:col>
      <xdr:colOff>0</xdr:colOff>
      <xdr:row>145</xdr:row>
      <xdr:rowOff>2635</xdr:rowOff>
    </xdr:to>
    <xdr:sp macro="" textlink="">
      <xdr:nvSpPr>
        <xdr:cNvPr id="127" name="TextBox 126">
          <a:extLst>
            <a:ext uri="{FF2B5EF4-FFF2-40B4-BE49-F238E27FC236}">
              <a16:creationId xmlns:a16="http://schemas.microsoft.com/office/drawing/2014/main" id="{00000000-0008-0000-0A00-00007F000000}"/>
            </a:ext>
          </a:extLst>
        </xdr:cNvPr>
        <xdr:cNvSpPr txBox="1"/>
      </xdr:nvSpPr>
      <xdr:spPr>
        <a:xfrm>
          <a:off x="1140316" y="27439518"/>
          <a:ext cx="2479184" cy="185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a:t>
          </a:r>
        </a:p>
      </xdr:txBody>
    </xdr:sp>
    <xdr:clientData/>
  </xdr:twoCellAnchor>
  <xdr:twoCellAnchor>
    <xdr:from>
      <xdr:col>5</xdr:col>
      <xdr:colOff>187816</xdr:colOff>
      <xdr:row>145</xdr:row>
      <xdr:rowOff>2635</xdr:rowOff>
    </xdr:from>
    <xdr:to>
      <xdr:col>19</xdr:col>
      <xdr:colOff>0</xdr:colOff>
      <xdr:row>146</xdr:row>
      <xdr:rowOff>7518</xdr:rowOff>
    </xdr:to>
    <xdr:sp macro="" textlink="">
      <xdr:nvSpPr>
        <xdr:cNvPr id="128" name="TextBox 127">
          <a:extLst>
            <a:ext uri="{FF2B5EF4-FFF2-40B4-BE49-F238E27FC236}">
              <a16:creationId xmlns:a16="http://schemas.microsoft.com/office/drawing/2014/main" id="{00000000-0008-0000-0A00-000080000000}"/>
            </a:ext>
          </a:extLst>
        </xdr:cNvPr>
        <xdr:cNvSpPr txBox="1"/>
      </xdr:nvSpPr>
      <xdr:spPr>
        <a:xfrm>
          <a:off x="1140316" y="27625135"/>
          <a:ext cx="2479184" cy="195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 OF PANELS</a:t>
          </a:r>
        </a:p>
      </xdr:txBody>
    </xdr:sp>
    <xdr:clientData/>
  </xdr:twoCellAnchor>
  <xdr:twoCellAnchor>
    <xdr:from>
      <xdr:col>5</xdr:col>
      <xdr:colOff>187816</xdr:colOff>
      <xdr:row>146</xdr:row>
      <xdr:rowOff>7518</xdr:rowOff>
    </xdr:from>
    <xdr:to>
      <xdr:col>19</xdr:col>
      <xdr:colOff>0</xdr:colOff>
      <xdr:row>147</xdr:row>
      <xdr:rowOff>7519</xdr:rowOff>
    </xdr:to>
    <xdr:sp macro="" textlink="">
      <xdr:nvSpPr>
        <xdr:cNvPr id="129" name="TextBox 128">
          <a:extLst>
            <a:ext uri="{FF2B5EF4-FFF2-40B4-BE49-F238E27FC236}">
              <a16:creationId xmlns:a16="http://schemas.microsoft.com/office/drawing/2014/main" id="{00000000-0008-0000-0A00-000081000000}"/>
            </a:ext>
          </a:extLst>
        </xdr:cNvPr>
        <xdr:cNvSpPr txBox="1"/>
      </xdr:nvSpPr>
      <xdr:spPr>
        <a:xfrm>
          <a:off x="1140316" y="27820518"/>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a:t>
          </a:r>
        </a:p>
      </xdr:txBody>
    </xdr:sp>
    <xdr:clientData/>
  </xdr:twoCellAnchor>
  <xdr:twoCellAnchor>
    <xdr:from>
      <xdr:col>5</xdr:col>
      <xdr:colOff>187816</xdr:colOff>
      <xdr:row>147</xdr:row>
      <xdr:rowOff>7519</xdr:rowOff>
    </xdr:from>
    <xdr:to>
      <xdr:col>19</xdr:col>
      <xdr:colOff>0</xdr:colOff>
      <xdr:row>148</xdr:row>
      <xdr:rowOff>7518</xdr:rowOff>
    </xdr:to>
    <xdr:sp macro="" textlink="">
      <xdr:nvSpPr>
        <xdr:cNvPr id="130" name="TextBox 129">
          <a:extLst>
            <a:ext uri="{FF2B5EF4-FFF2-40B4-BE49-F238E27FC236}">
              <a16:creationId xmlns:a16="http://schemas.microsoft.com/office/drawing/2014/main" id="{00000000-0008-0000-0A00-000082000000}"/>
            </a:ext>
          </a:extLst>
        </xdr:cNvPr>
        <xdr:cNvSpPr txBox="1"/>
      </xdr:nvSpPr>
      <xdr:spPr>
        <a:xfrm>
          <a:off x="1140316" y="280110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 STATION</a:t>
          </a:r>
        </a:p>
      </xdr:txBody>
    </xdr:sp>
    <xdr:clientData/>
  </xdr:twoCellAnchor>
  <xdr:twoCellAnchor>
    <xdr:from>
      <xdr:col>5</xdr:col>
      <xdr:colOff>187816</xdr:colOff>
      <xdr:row>148</xdr:row>
      <xdr:rowOff>7518</xdr:rowOff>
    </xdr:from>
    <xdr:to>
      <xdr:col>19</xdr:col>
      <xdr:colOff>0</xdr:colOff>
      <xdr:row>149</xdr:row>
      <xdr:rowOff>2635</xdr:rowOff>
    </xdr:to>
    <xdr:sp macro="" textlink="">
      <xdr:nvSpPr>
        <xdr:cNvPr id="131" name="TextBox 130">
          <a:extLst>
            <a:ext uri="{FF2B5EF4-FFF2-40B4-BE49-F238E27FC236}">
              <a16:creationId xmlns:a16="http://schemas.microsoft.com/office/drawing/2014/main" id="{00000000-0008-0000-0A00-000083000000}"/>
            </a:ext>
          </a:extLst>
        </xdr:cNvPr>
        <xdr:cNvSpPr txBox="1"/>
      </xdr:nvSpPr>
      <xdr:spPr>
        <a:xfrm>
          <a:off x="1140316" y="28201518"/>
          <a:ext cx="2479184" cy="185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MOUNTING METHOD</a:t>
          </a:r>
        </a:p>
      </xdr:txBody>
    </xdr:sp>
    <xdr:clientData/>
  </xdr:twoCellAnchor>
  <xdr:twoCellAnchor>
    <xdr:from>
      <xdr:col>5</xdr:col>
      <xdr:colOff>187816</xdr:colOff>
      <xdr:row>148</xdr:row>
      <xdr:rowOff>190449</xdr:rowOff>
    </xdr:from>
    <xdr:to>
      <xdr:col>19</xdr:col>
      <xdr:colOff>0</xdr:colOff>
      <xdr:row>150</xdr:row>
      <xdr:rowOff>2634</xdr:rowOff>
    </xdr:to>
    <xdr:sp macro="" textlink="">
      <xdr:nvSpPr>
        <xdr:cNvPr id="132" name="TextBox 131">
          <a:extLst>
            <a:ext uri="{FF2B5EF4-FFF2-40B4-BE49-F238E27FC236}">
              <a16:creationId xmlns:a16="http://schemas.microsoft.com/office/drawing/2014/main" id="{00000000-0008-0000-0A00-000084000000}"/>
            </a:ext>
          </a:extLst>
        </xdr:cNvPr>
        <xdr:cNvSpPr txBox="1"/>
      </xdr:nvSpPr>
      <xdr:spPr>
        <a:xfrm>
          <a:off x="1140316" y="28384449"/>
          <a:ext cx="2479184" cy="193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OPTIMISER</a:t>
          </a:r>
        </a:p>
      </xdr:txBody>
    </xdr:sp>
    <xdr:clientData/>
  </xdr:twoCellAnchor>
  <xdr:twoCellAnchor>
    <xdr:from>
      <xdr:col>5</xdr:col>
      <xdr:colOff>187816</xdr:colOff>
      <xdr:row>150</xdr:row>
      <xdr:rowOff>2634</xdr:rowOff>
    </xdr:from>
    <xdr:to>
      <xdr:col>19</xdr:col>
      <xdr:colOff>0</xdr:colOff>
      <xdr:row>151</xdr:row>
      <xdr:rowOff>7519</xdr:rowOff>
    </xdr:to>
    <xdr:sp macro="" textlink="">
      <xdr:nvSpPr>
        <xdr:cNvPr id="133" name="TextBox 132">
          <a:extLst>
            <a:ext uri="{FF2B5EF4-FFF2-40B4-BE49-F238E27FC236}">
              <a16:creationId xmlns:a16="http://schemas.microsoft.com/office/drawing/2014/main" id="{00000000-0008-0000-0A00-000085000000}"/>
            </a:ext>
          </a:extLst>
        </xdr:cNvPr>
        <xdr:cNvSpPr txBox="1"/>
      </xdr:nvSpPr>
      <xdr:spPr>
        <a:xfrm>
          <a:off x="1140316" y="28577634"/>
          <a:ext cx="2479184" cy="195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POWER FACTOR CORRECTION</a:t>
          </a:r>
        </a:p>
      </xdr:txBody>
    </xdr:sp>
    <xdr:clientData/>
  </xdr:twoCellAnchor>
  <xdr:twoCellAnchor>
    <xdr:from>
      <xdr:col>5</xdr:col>
      <xdr:colOff>187816</xdr:colOff>
      <xdr:row>151</xdr:row>
      <xdr:rowOff>7519</xdr:rowOff>
    </xdr:from>
    <xdr:to>
      <xdr:col>19</xdr:col>
      <xdr:colOff>0</xdr:colOff>
      <xdr:row>152</xdr:row>
      <xdr:rowOff>7518</xdr:rowOff>
    </xdr:to>
    <xdr:sp macro="" textlink="">
      <xdr:nvSpPr>
        <xdr:cNvPr id="134" name="TextBox 133">
          <a:extLst>
            <a:ext uri="{FF2B5EF4-FFF2-40B4-BE49-F238E27FC236}">
              <a16:creationId xmlns:a16="http://schemas.microsoft.com/office/drawing/2014/main" id="{00000000-0008-0000-0A00-000086000000}"/>
            </a:ext>
          </a:extLst>
        </xdr:cNvPr>
        <xdr:cNvSpPr txBox="1"/>
      </xdr:nvSpPr>
      <xdr:spPr>
        <a:xfrm>
          <a:off x="1140316" y="287730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p>
      </xdr:txBody>
    </xdr:sp>
    <xdr:clientData/>
  </xdr:twoCellAnchor>
  <xdr:twoCellAnchor>
    <xdr:from>
      <xdr:col>7</xdr:col>
      <xdr:colOff>91370</xdr:colOff>
      <xdr:row>156</xdr:row>
      <xdr:rowOff>182878</xdr:rowOff>
    </xdr:from>
    <xdr:to>
      <xdr:col>20</xdr:col>
      <xdr:colOff>91366</xdr:colOff>
      <xdr:row>158</xdr:row>
      <xdr:rowOff>182879</xdr:rowOff>
    </xdr:to>
    <xdr:sp macro="" textlink="">
      <xdr:nvSpPr>
        <xdr:cNvPr id="135" name="TextBox 134">
          <a:extLst>
            <a:ext uri="{FF2B5EF4-FFF2-40B4-BE49-F238E27FC236}">
              <a16:creationId xmlns:a16="http://schemas.microsoft.com/office/drawing/2014/main" id="{00000000-0008-0000-0A00-000087000000}"/>
            </a:ext>
          </a:extLst>
        </xdr:cNvPr>
        <xdr:cNvSpPr txBox="1"/>
      </xdr:nvSpPr>
      <xdr:spPr>
        <a:xfrm>
          <a:off x="1424870" y="29900878"/>
          <a:ext cx="2476496"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Balance of System</a:t>
          </a:r>
        </a:p>
      </xdr:txBody>
    </xdr:sp>
    <xdr:clientData/>
  </xdr:twoCellAnchor>
  <xdr:twoCellAnchor>
    <xdr:from>
      <xdr:col>6</xdr:col>
      <xdr:colOff>87312</xdr:colOff>
      <xdr:row>156</xdr:row>
      <xdr:rowOff>182878</xdr:rowOff>
    </xdr:from>
    <xdr:to>
      <xdr:col>6</xdr:col>
      <xdr:colOff>87312</xdr:colOff>
      <xdr:row>158</xdr:row>
      <xdr:rowOff>182879</xdr:rowOff>
    </xdr:to>
    <xdr:cxnSp macro="">
      <xdr:nvCxnSpPr>
        <xdr:cNvPr id="136" name="Straight Connector 135">
          <a:extLst>
            <a:ext uri="{FF2B5EF4-FFF2-40B4-BE49-F238E27FC236}">
              <a16:creationId xmlns:a16="http://schemas.microsoft.com/office/drawing/2014/main" id="{00000000-0008-0000-0A00-000088000000}"/>
            </a:ext>
          </a:extLst>
        </xdr:cNvPr>
        <xdr:cNvCxnSpPr/>
      </xdr:nvCxnSpPr>
      <xdr:spPr>
        <a:xfrm>
          <a:off x="1230312" y="29900878"/>
          <a:ext cx="0" cy="381001"/>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159</xdr:row>
      <xdr:rowOff>182880</xdr:rowOff>
    </xdr:from>
    <xdr:to>
      <xdr:col>19</xdr:col>
      <xdr:colOff>0</xdr:colOff>
      <xdr:row>160</xdr:row>
      <xdr:rowOff>182880</xdr:rowOff>
    </xdr:to>
    <xdr:sp macro="" textlink="">
      <xdr:nvSpPr>
        <xdr:cNvPr id="137" name="TextBox 136">
          <a:extLst>
            <a:ext uri="{FF2B5EF4-FFF2-40B4-BE49-F238E27FC236}">
              <a16:creationId xmlns:a16="http://schemas.microsoft.com/office/drawing/2014/main" id="{00000000-0008-0000-0A00-000089000000}"/>
            </a:ext>
          </a:extLst>
        </xdr:cNvPr>
        <xdr:cNvSpPr txBox="1"/>
      </xdr:nvSpPr>
      <xdr:spPr>
        <a:xfrm>
          <a:off x="1140316" y="30472380"/>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CABLE</a:t>
          </a:r>
        </a:p>
      </xdr:txBody>
    </xdr:sp>
    <xdr:clientData/>
  </xdr:twoCellAnchor>
  <xdr:twoCellAnchor>
    <xdr:from>
      <xdr:col>5</xdr:col>
      <xdr:colOff>187816</xdr:colOff>
      <xdr:row>160</xdr:row>
      <xdr:rowOff>182879</xdr:rowOff>
    </xdr:from>
    <xdr:to>
      <xdr:col>19</xdr:col>
      <xdr:colOff>0</xdr:colOff>
      <xdr:row>161</xdr:row>
      <xdr:rowOff>182879</xdr:rowOff>
    </xdr:to>
    <xdr:sp macro="" textlink="">
      <xdr:nvSpPr>
        <xdr:cNvPr id="138" name="TextBox 137">
          <a:extLst>
            <a:ext uri="{FF2B5EF4-FFF2-40B4-BE49-F238E27FC236}">
              <a16:creationId xmlns:a16="http://schemas.microsoft.com/office/drawing/2014/main" id="{00000000-0008-0000-0A00-00008A000000}"/>
            </a:ext>
          </a:extLst>
        </xdr:cNvPr>
        <xdr:cNvSpPr txBox="1"/>
      </xdr:nvSpPr>
      <xdr:spPr>
        <a:xfrm>
          <a:off x="1140316" y="30662879"/>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CABLE</a:t>
          </a:r>
        </a:p>
      </xdr:txBody>
    </xdr:sp>
    <xdr:clientData/>
  </xdr:twoCellAnchor>
  <xdr:twoCellAnchor>
    <xdr:from>
      <xdr:col>5</xdr:col>
      <xdr:colOff>187816</xdr:colOff>
      <xdr:row>161</xdr:row>
      <xdr:rowOff>182879</xdr:rowOff>
    </xdr:from>
    <xdr:to>
      <xdr:col>19</xdr:col>
      <xdr:colOff>0</xdr:colOff>
      <xdr:row>162</xdr:row>
      <xdr:rowOff>182878</xdr:rowOff>
    </xdr:to>
    <xdr:sp macro="" textlink="">
      <xdr:nvSpPr>
        <xdr:cNvPr id="139" name="TextBox 138">
          <a:extLst>
            <a:ext uri="{FF2B5EF4-FFF2-40B4-BE49-F238E27FC236}">
              <a16:creationId xmlns:a16="http://schemas.microsoft.com/office/drawing/2014/main" id="{00000000-0008-0000-0A00-00008B000000}"/>
            </a:ext>
          </a:extLst>
        </xdr:cNvPr>
        <xdr:cNvSpPr txBox="1"/>
      </xdr:nvSpPr>
      <xdr:spPr>
        <a:xfrm>
          <a:off x="1140316" y="3085337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CABLE TRAY</a:t>
          </a:r>
        </a:p>
      </xdr:txBody>
    </xdr:sp>
    <xdr:clientData/>
  </xdr:twoCellAnchor>
  <xdr:twoCellAnchor>
    <xdr:from>
      <xdr:col>5</xdr:col>
      <xdr:colOff>187816</xdr:colOff>
      <xdr:row>162</xdr:row>
      <xdr:rowOff>182878</xdr:rowOff>
    </xdr:from>
    <xdr:to>
      <xdr:col>19</xdr:col>
      <xdr:colOff>0</xdr:colOff>
      <xdr:row>163</xdr:row>
      <xdr:rowOff>182880</xdr:rowOff>
    </xdr:to>
    <xdr:sp macro="" textlink="">
      <xdr:nvSpPr>
        <xdr:cNvPr id="140" name="TextBox 139">
          <a:extLst>
            <a:ext uri="{FF2B5EF4-FFF2-40B4-BE49-F238E27FC236}">
              <a16:creationId xmlns:a16="http://schemas.microsoft.com/office/drawing/2014/main" id="{00000000-0008-0000-0A00-00008C000000}"/>
            </a:ext>
          </a:extLst>
        </xdr:cNvPr>
        <xdr:cNvSpPr txBox="1"/>
      </xdr:nvSpPr>
      <xdr:spPr>
        <a:xfrm>
          <a:off x="1140316" y="31043878"/>
          <a:ext cx="2479184" cy="190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SWITCH</a:t>
          </a:r>
        </a:p>
      </xdr:txBody>
    </xdr:sp>
    <xdr:clientData/>
  </xdr:twoCellAnchor>
  <xdr:twoCellAnchor>
    <xdr:from>
      <xdr:col>5</xdr:col>
      <xdr:colOff>187816</xdr:colOff>
      <xdr:row>163</xdr:row>
      <xdr:rowOff>182880</xdr:rowOff>
    </xdr:from>
    <xdr:to>
      <xdr:col>19</xdr:col>
      <xdr:colOff>0</xdr:colOff>
      <xdr:row>164</xdr:row>
      <xdr:rowOff>182878</xdr:rowOff>
    </xdr:to>
    <xdr:sp macro="" textlink="">
      <xdr:nvSpPr>
        <xdr:cNvPr id="141" name="TextBox 140">
          <a:extLst>
            <a:ext uri="{FF2B5EF4-FFF2-40B4-BE49-F238E27FC236}">
              <a16:creationId xmlns:a16="http://schemas.microsoft.com/office/drawing/2014/main" id="{00000000-0008-0000-0A00-00008D000000}"/>
            </a:ext>
          </a:extLst>
        </xdr:cNvPr>
        <xdr:cNvSpPr txBox="1"/>
      </xdr:nvSpPr>
      <xdr:spPr>
        <a:xfrm>
          <a:off x="1140316" y="31234380"/>
          <a:ext cx="2479184" cy="190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SWITCH</a:t>
          </a:r>
        </a:p>
      </xdr:txBody>
    </xdr:sp>
    <xdr:clientData/>
  </xdr:twoCellAnchor>
  <xdr:twoCellAnchor>
    <xdr:from>
      <xdr:col>5</xdr:col>
      <xdr:colOff>187816</xdr:colOff>
      <xdr:row>164</xdr:row>
      <xdr:rowOff>182878</xdr:rowOff>
    </xdr:from>
    <xdr:to>
      <xdr:col>19</xdr:col>
      <xdr:colOff>0</xdr:colOff>
      <xdr:row>165</xdr:row>
      <xdr:rowOff>182879</xdr:rowOff>
    </xdr:to>
    <xdr:sp macro="" textlink="">
      <xdr:nvSpPr>
        <xdr:cNvPr id="142" name="TextBox 141">
          <a:extLst>
            <a:ext uri="{FF2B5EF4-FFF2-40B4-BE49-F238E27FC236}">
              <a16:creationId xmlns:a16="http://schemas.microsoft.com/office/drawing/2014/main" id="{00000000-0008-0000-0A00-00008E000000}"/>
            </a:ext>
          </a:extLst>
        </xdr:cNvPr>
        <xdr:cNvSpPr txBox="1"/>
      </xdr:nvSpPr>
      <xdr:spPr>
        <a:xfrm>
          <a:off x="1140316" y="31424878"/>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PROTECTION UNIT (GPU)</a:t>
          </a:r>
        </a:p>
      </xdr:txBody>
    </xdr:sp>
    <xdr:clientData/>
  </xdr:twoCellAnchor>
  <xdr:twoCellAnchor>
    <xdr:from>
      <xdr:col>7</xdr:col>
      <xdr:colOff>91370</xdr:colOff>
      <xdr:row>172</xdr:row>
      <xdr:rowOff>2634</xdr:rowOff>
    </xdr:from>
    <xdr:to>
      <xdr:col>20</xdr:col>
      <xdr:colOff>91366</xdr:colOff>
      <xdr:row>174</xdr:row>
      <xdr:rowOff>2634</xdr:rowOff>
    </xdr:to>
    <xdr:sp macro="" textlink="">
      <xdr:nvSpPr>
        <xdr:cNvPr id="143" name="TextBox 142">
          <a:extLst>
            <a:ext uri="{FF2B5EF4-FFF2-40B4-BE49-F238E27FC236}">
              <a16:creationId xmlns:a16="http://schemas.microsoft.com/office/drawing/2014/main" id="{00000000-0008-0000-0A00-00008F000000}"/>
            </a:ext>
          </a:extLst>
        </xdr:cNvPr>
        <xdr:cNvSpPr txBox="1"/>
      </xdr:nvSpPr>
      <xdr:spPr>
        <a:xfrm>
          <a:off x="1424870" y="32768634"/>
          <a:ext cx="247649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Lifting and Access</a:t>
          </a:r>
        </a:p>
      </xdr:txBody>
    </xdr:sp>
    <xdr:clientData/>
  </xdr:twoCellAnchor>
  <xdr:twoCellAnchor>
    <xdr:from>
      <xdr:col>6</xdr:col>
      <xdr:colOff>87312</xdr:colOff>
      <xdr:row>172</xdr:row>
      <xdr:rowOff>2634</xdr:rowOff>
    </xdr:from>
    <xdr:to>
      <xdr:col>6</xdr:col>
      <xdr:colOff>87312</xdr:colOff>
      <xdr:row>174</xdr:row>
      <xdr:rowOff>2634</xdr:rowOff>
    </xdr:to>
    <xdr:cxnSp macro="">
      <xdr:nvCxnSpPr>
        <xdr:cNvPr id="144" name="Straight Connector 143">
          <a:extLst>
            <a:ext uri="{FF2B5EF4-FFF2-40B4-BE49-F238E27FC236}">
              <a16:creationId xmlns:a16="http://schemas.microsoft.com/office/drawing/2014/main" id="{00000000-0008-0000-0A00-000090000000}"/>
            </a:ext>
          </a:extLst>
        </xdr:cNvPr>
        <xdr:cNvCxnSpPr/>
      </xdr:nvCxnSpPr>
      <xdr:spPr>
        <a:xfrm>
          <a:off x="1230312" y="32768634"/>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175</xdr:row>
      <xdr:rowOff>2635</xdr:rowOff>
    </xdr:from>
    <xdr:to>
      <xdr:col>19</xdr:col>
      <xdr:colOff>0</xdr:colOff>
      <xdr:row>176</xdr:row>
      <xdr:rowOff>2635</xdr:rowOff>
    </xdr:to>
    <xdr:sp macro="" textlink="">
      <xdr:nvSpPr>
        <xdr:cNvPr id="145" name="TextBox 144">
          <a:extLst>
            <a:ext uri="{FF2B5EF4-FFF2-40B4-BE49-F238E27FC236}">
              <a16:creationId xmlns:a16="http://schemas.microsoft.com/office/drawing/2014/main" id="{00000000-0008-0000-0A00-000091000000}"/>
            </a:ext>
          </a:extLst>
        </xdr:cNvPr>
        <xdr:cNvSpPr txBox="1"/>
      </xdr:nvSpPr>
      <xdr:spPr>
        <a:xfrm>
          <a:off x="1140316" y="333401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LIFTING OF</a:t>
          </a:r>
          <a:r>
            <a:rPr lang="en-US" sz="1000" b="1" i="0" u="none" strike="noStrike" baseline="0">
              <a:solidFill>
                <a:srgbClr val="2A2A2A"/>
              </a:solidFill>
              <a:latin typeface="Overpass" panose="00000500000000000000" pitchFamily="2" charset="0"/>
              <a:ea typeface="+mn-ea"/>
              <a:cs typeface="Calibri"/>
            </a:rPr>
            <a:t> MATERIALS</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187816</xdr:colOff>
      <xdr:row>176</xdr:row>
      <xdr:rowOff>2635</xdr:rowOff>
    </xdr:from>
    <xdr:to>
      <xdr:col>19</xdr:col>
      <xdr:colOff>0</xdr:colOff>
      <xdr:row>177</xdr:row>
      <xdr:rowOff>2635</xdr:rowOff>
    </xdr:to>
    <xdr:sp macro="" textlink="">
      <xdr:nvSpPr>
        <xdr:cNvPr id="146" name="TextBox 145">
          <a:extLst>
            <a:ext uri="{FF2B5EF4-FFF2-40B4-BE49-F238E27FC236}">
              <a16:creationId xmlns:a16="http://schemas.microsoft.com/office/drawing/2014/main" id="{00000000-0008-0000-0A00-000092000000}"/>
            </a:ext>
          </a:extLst>
        </xdr:cNvPr>
        <xdr:cNvSpPr txBox="1"/>
      </xdr:nvSpPr>
      <xdr:spPr>
        <a:xfrm>
          <a:off x="1140316" y="335306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ACCESS TO ROOFTOP</a:t>
          </a:r>
        </a:p>
      </xdr:txBody>
    </xdr:sp>
    <xdr:clientData/>
  </xdr:twoCellAnchor>
  <xdr:twoCellAnchor>
    <xdr:from>
      <xdr:col>5</xdr:col>
      <xdr:colOff>187816</xdr:colOff>
      <xdr:row>92</xdr:row>
      <xdr:rowOff>187802</xdr:rowOff>
    </xdr:from>
    <xdr:to>
      <xdr:col>36</xdr:col>
      <xdr:colOff>2962</xdr:colOff>
      <xdr:row>92</xdr:row>
      <xdr:rowOff>187802</xdr:rowOff>
    </xdr:to>
    <xdr:cxnSp macro="">
      <xdr:nvCxnSpPr>
        <xdr:cNvPr id="148" name="Straight Connector 16">
          <a:extLst>
            <a:ext uri="{FF2B5EF4-FFF2-40B4-BE49-F238E27FC236}">
              <a16:creationId xmlns:a16="http://schemas.microsoft.com/office/drawing/2014/main" id="{00000000-0008-0000-0A00-000094000000}"/>
            </a:ext>
          </a:extLst>
        </xdr:cNvPr>
        <xdr:cNvCxnSpPr/>
      </xdr:nvCxnSpPr>
      <xdr:spPr>
        <a:xfrm>
          <a:off x="1153016" y="17947482"/>
          <a:ext cx="5799386"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2772</xdr:colOff>
      <xdr:row>102</xdr:row>
      <xdr:rowOff>1042</xdr:rowOff>
    </xdr:from>
    <xdr:to>
      <xdr:col>36</xdr:col>
      <xdr:colOff>2430</xdr:colOff>
      <xdr:row>103</xdr:row>
      <xdr:rowOff>5598</xdr:rowOff>
    </xdr:to>
    <xdr:sp macro="" textlink="SOLAR!D14">
      <xdr:nvSpPr>
        <xdr:cNvPr id="149" name="TextBox 1">
          <a:extLst>
            <a:ext uri="{FF2B5EF4-FFF2-40B4-BE49-F238E27FC236}">
              <a16:creationId xmlns:a16="http://schemas.microsoft.com/office/drawing/2014/main" id="{00000000-0008-0000-0A00-000095000000}"/>
            </a:ext>
          </a:extLst>
        </xdr:cNvPr>
        <xdr:cNvSpPr txBox="1"/>
      </xdr:nvSpPr>
      <xdr:spPr>
        <a:xfrm>
          <a:off x="2898372" y="19691122"/>
          <a:ext cx="4053498" cy="19759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460F2A-9630-3B40-A671-A98A5C154ED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2772</xdr:colOff>
      <xdr:row>103</xdr:row>
      <xdr:rowOff>5599</xdr:rowOff>
    </xdr:from>
    <xdr:to>
      <xdr:col>36</xdr:col>
      <xdr:colOff>1062</xdr:colOff>
      <xdr:row>104</xdr:row>
      <xdr:rowOff>5572</xdr:rowOff>
    </xdr:to>
    <xdr:sp macro="" textlink="SOLAR!D16">
      <xdr:nvSpPr>
        <xdr:cNvPr id="150" name="TextBox 28">
          <a:extLst>
            <a:ext uri="{FF2B5EF4-FFF2-40B4-BE49-F238E27FC236}">
              <a16:creationId xmlns:a16="http://schemas.microsoft.com/office/drawing/2014/main" id="{00000000-0008-0000-0A00-000096000000}"/>
            </a:ext>
          </a:extLst>
        </xdr:cNvPr>
        <xdr:cNvSpPr txBox="1"/>
      </xdr:nvSpPr>
      <xdr:spPr>
        <a:xfrm>
          <a:off x="2898372" y="19888719"/>
          <a:ext cx="4052130" cy="1930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2816D4-733A-7044-BEF8-7185500A6EFB}" type="TxLink">
            <a:rPr lang="en-US" sz="1000" b="0" i="0" u="sng"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289</xdr:colOff>
      <xdr:row>104</xdr:row>
      <xdr:rowOff>5571</xdr:rowOff>
    </xdr:from>
    <xdr:to>
      <xdr:col>36</xdr:col>
      <xdr:colOff>1556</xdr:colOff>
      <xdr:row>105</xdr:row>
      <xdr:rowOff>5544</xdr:rowOff>
    </xdr:to>
    <xdr:sp macro="" textlink="SOLAR!D15">
      <xdr:nvSpPr>
        <xdr:cNvPr id="151" name="TextBox 29">
          <a:extLst>
            <a:ext uri="{FF2B5EF4-FFF2-40B4-BE49-F238E27FC236}">
              <a16:creationId xmlns:a16="http://schemas.microsoft.com/office/drawing/2014/main" id="{00000000-0008-0000-0A00-000097000000}"/>
            </a:ext>
          </a:extLst>
        </xdr:cNvPr>
        <xdr:cNvSpPr txBox="1"/>
      </xdr:nvSpPr>
      <xdr:spPr>
        <a:xfrm>
          <a:off x="2895889" y="20081731"/>
          <a:ext cx="4055107" cy="1930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8CE719-7F72-D141-9181-E9F2724160D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1693</xdr:colOff>
      <xdr:row>97</xdr:row>
      <xdr:rowOff>242</xdr:rowOff>
    </xdr:from>
    <xdr:to>
      <xdr:col>36</xdr:col>
      <xdr:colOff>2962</xdr:colOff>
      <xdr:row>100</xdr:row>
      <xdr:rowOff>161</xdr:rowOff>
    </xdr:to>
    <xdr:sp macro="" textlink="SOLAR!D10">
      <xdr:nvSpPr>
        <xdr:cNvPr id="152" name="TextBox 30">
          <a:extLst>
            <a:ext uri="{FF2B5EF4-FFF2-40B4-BE49-F238E27FC236}">
              <a16:creationId xmlns:a16="http://schemas.microsoft.com/office/drawing/2014/main" id="{00000000-0008-0000-0A00-000098000000}"/>
            </a:ext>
          </a:extLst>
        </xdr:cNvPr>
        <xdr:cNvSpPr txBox="1"/>
      </xdr:nvSpPr>
      <xdr:spPr>
        <a:xfrm>
          <a:off x="2897293" y="18725122"/>
          <a:ext cx="4055109" cy="57903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C7D87B1-F727-7E47-88A0-798C36E31D61}" type="TxLink">
            <a:rPr lang="en-US" sz="1200" b="0" i="0" u="none" strike="noStrike">
              <a:solidFill>
                <a:srgbClr val="27056C"/>
              </a:solidFill>
              <a:latin typeface="Overpass" pitchFamily="2" charset="77"/>
              <a:ea typeface="+mn-ea"/>
              <a:cs typeface="Calibri"/>
            </a:rPr>
            <a:pPr marL="0" indent="0" algn="l"/>
            <a:t> </a:t>
          </a:fld>
          <a:endParaRPr lang="en-AU" sz="1200" b="0" i="0" u="none" strike="noStrike">
            <a:solidFill>
              <a:srgbClr val="27056C"/>
            </a:solidFill>
            <a:latin typeface="Overpass" pitchFamily="2" charset="77"/>
            <a:ea typeface="+mn-ea"/>
            <a:cs typeface="Calibri"/>
          </a:endParaRPr>
        </a:p>
      </xdr:txBody>
    </xdr:sp>
    <xdr:clientData/>
  </xdr:twoCellAnchor>
  <xdr:twoCellAnchor>
    <xdr:from>
      <xdr:col>15</xdr:col>
      <xdr:colOff>2773</xdr:colOff>
      <xdr:row>100</xdr:row>
      <xdr:rowOff>161</xdr:rowOff>
    </xdr:from>
    <xdr:to>
      <xdr:col>36</xdr:col>
      <xdr:colOff>1126</xdr:colOff>
      <xdr:row>101</xdr:row>
      <xdr:rowOff>5651</xdr:rowOff>
    </xdr:to>
    <xdr:sp macro="" textlink="SOLAR!D17">
      <xdr:nvSpPr>
        <xdr:cNvPr id="153" name="TextBox 114">
          <a:extLst>
            <a:ext uri="{FF2B5EF4-FFF2-40B4-BE49-F238E27FC236}">
              <a16:creationId xmlns:a16="http://schemas.microsoft.com/office/drawing/2014/main" id="{00000000-0008-0000-0A00-000099000000}"/>
            </a:ext>
          </a:extLst>
        </xdr:cNvPr>
        <xdr:cNvSpPr txBox="1"/>
      </xdr:nvSpPr>
      <xdr:spPr>
        <a:xfrm>
          <a:off x="2898373" y="19304161"/>
          <a:ext cx="4052193" cy="198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70CDDC-DA9C-174D-96CE-D4FCD9697D68}"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187816</xdr:colOff>
      <xdr:row>98</xdr:row>
      <xdr:rowOff>226</xdr:rowOff>
    </xdr:from>
    <xdr:to>
      <xdr:col>14</xdr:col>
      <xdr:colOff>1506</xdr:colOff>
      <xdr:row>99</xdr:row>
      <xdr:rowOff>200</xdr:rowOff>
    </xdr:to>
    <xdr:sp macro="" textlink="">
      <xdr:nvSpPr>
        <xdr:cNvPr id="156" name="TextBox 76">
          <a:extLst>
            <a:ext uri="{FF2B5EF4-FFF2-40B4-BE49-F238E27FC236}">
              <a16:creationId xmlns:a16="http://schemas.microsoft.com/office/drawing/2014/main" id="{00000000-0008-0000-0A00-00009C000000}"/>
            </a:ext>
          </a:extLst>
        </xdr:cNvPr>
        <xdr:cNvSpPr txBox="1"/>
      </xdr:nvSpPr>
      <xdr:spPr>
        <a:xfrm>
          <a:off x="1153016" y="18918146"/>
          <a:ext cx="1551050" cy="193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PROJECT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2162</xdr:colOff>
      <xdr:row>100</xdr:row>
      <xdr:rowOff>5678</xdr:rowOff>
    </xdr:from>
    <xdr:to>
      <xdr:col>14</xdr:col>
      <xdr:colOff>1626</xdr:colOff>
      <xdr:row>101</xdr:row>
      <xdr:rowOff>5649</xdr:rowOff>
    </xdr:to>
    <xdr:sp macro="" textlink="">
      <xdr:nvSpPr>
        <xdr:cNvPr id="157" name="TextBox 119">
          <a:extLst>
            <a:ext uri="{FF2B5EF4-FFF2-40B4-BE49-F238E27FC236}">
              <a16:creationId xmlns:a16="http://schemas.microsoft.com/office/drawing/2014/main" id="{00000000-0008-0000-0A00-00009D000000}"/>
            </a:ext>
          </a:extLst>
        </xdr:cNvPr>
        <xdr:cNvSpPr txBox="1"/>
      </xdr:nvSpPr>
      <xdr:spPr>
        <a:xfrm>
          <a:off x="1160402" y="19309678"/>
          <a:ext cx="1543784" cy="193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NMI</a:t>
          </a:r>
        </a:p>
      </xdr:txBody>
    </xdr:sp>
    <xdr:clientData/>
  </xdr:twoCellAnchor>
  <xdr:twoCellAnchor>
    <xdr:from>
      <xdr:col>6</xdr:col>
      <xdr:colOff>2162</xdr:colOff>
      <xdr:row>101</xdr:row>
      <xdr:rowOff>5650</xdr:rowOff>
    </xdr:from>
    <xdr:to>
      <xdr:col>14</xdr:col>
      <xdr:colOff>1626</xdr:colOff>
      <xdr:row>102</xdr:row>
      <xdr:rowOff>5626</xdr:rowOff>
    </xdr:to>
    <xdr:sp macro="" textlink="">
      <xdr:nvSpPr>
        <xdr:cNvPr id="158" name="TextBox 123">
          <a:extLst>
            <a:ext uri="{FF2B5EF4-FFF2-40B4-BE49-F238E27FC236}">
              <a16:creationId xmlns:a16="http://schemas.microsoft.com/office/drawing/2014/main" id="{00000000-0008-0000-0A00-00009E000000}"/>
            </a:ext>
          </a:extLst>
        </xdr:cNvPr>
        <xdr:cNvSpPr txBox="1"/>
      </xdr:nvSpPr>
      <xdr:spPr>
        <a:xfrm>
          <a:off x="1160402" y="19502690"/>
          <a:ext cx="1543784" cy="193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 ADDRESS</a:t>
          </a:r>
        </a:p>
      </xdr:txBody>
    </xdr:sp>
    <xdr:clientData/>
  </xdr:twoCellAnchor>
  <xdr:twoCellAnchor>
    <xdr:from>
      <xdr:col>6</xdr:col>
      <xdr:colOff>2162</xdr:colOff>
      <xdr:row>102</xdr:row>
      <xdr:rowOff>5626</xdr:rowOff>
    </xdr:from>
    <xdr:to>
      <xdr:col>14</xdr:col>
      <xdr:colOff>1626</xdr:colOff>
      <xdr:row>102</xdr:row>
      <xdr:rowOff>184445</xdr:rowOff>
    </xdr:to>
    <xdr:sp macro="" textlink="">
      <xdr:nvSpPr>
        <xdr:cNvPr id="159" name="TextBox 128">
          <a:extLst>
            <a:ext uri="{FF2B5EF4-FFF2-40B4-BE49-F238E27FC236}">
              <a16:creationId xmlns:a16="http://schemas.microsoft.com/office/drawing/2014/main" id="{00000000-0008-0000-0A00-00009F000000}"/>
            </a:ext>
          </a:extLst>
        </xdr:cNvPr>
        <xdr:cNvSpPr txBox="1"/>
      </xdr:nvSpPr>
      <xdr:spPr>
        <a:xfrm>
          <a:off x="1160402" y="19695706"/>
          <a:ext cx="1543784" cy="178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CLIENT</a:t>
          </a:r>
        </a:p>
      </xdr:txBody>
    </xdr:sp>
    <xdr:clientData/>
  </xdr:twoCellAnchor>
  <xdr:twoCellAnchor>
    <xdr:from>
      <xdr:col>6</xdr:col>
      <xdr:colOff>2162</xdr:colOff>
      <xdr:row>103</xdr:row>
      <xdr:rowOff>6962</xdr:rowOff>
    </xdr:from>
    <xdr:to>
      <xdr:col>14</xdr:col>
      <xdr:colOff>1626</xdr:colOff>
      <xdr:row>104</xdr:row>
      <xdr:rowOff>4985</xdr:rowOff>
    </xdr:to>
    <xdr:sp macro="" textlink="">
      <xdr:nvSpPr>
        <xdr:cNvPr id="160" name="TextBox 145">
          <a:extLst>
            <a:ext uri="{FF2B5EF4-FFF2-40B4-BE49-F238E27FC236}">
              <a16:creationId xmlns:a16="http://schemas.microsoft.com/office/drawing/2014/main" id="{00000000-0008-0000-0A00-0000A0000000}"/>
            </a:ext>
          </a:extLst>
        </xdr:cNvPr>
        <xdr:cNvSpPr txBox="1"/>
      </xdr:nvSpPr>
      <xdr:spPr>
        <a:xfrm>
          <a:off x="1160402" y="19890082"/>
          <a:ext cx="1543784" cy="191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2657</xdr:colOff>
      <xdr:row>104</xdr:row>
      <xdr:rowOff>2584</xdr:rowOff>
    </xdr:from>
    <xdr:to>
      <xdr:col>14</xdr:col>
      <xdr:colOff>2121</xdr:colOff>
      <xdr:row>105</xdr:row>
      <xdr:rowOff>5544</xdr:rowOff>
    </xdr:to>
    <xdr:sp macro="" textlink="">
      <xdr:nvSpPr>
        <xdr:cNvPr id="161" name="TextBox 153">
          <a:extLst>
            <a:ext uri="{FF2B5EF4-FFF2-40B4-BE49-F238E27FC236}">
              <a16:creationId xmlns:a16="http://schemas.microsoft.com/office/drawing/2014/main" id="{00000000-0008-0000-0A00-0000A1000000}"/>
            </a:ext>
          </a:extLst>
        </xdr:cNvPr>
        <xdr:cNvSpPr txBox="1"/>
      </xdr:nvSpPr>
      <xdr:spPr>
        <a:xfrm>
          <a:off x="1160897" y="20078744"/>
          <a:ext cx="1543784" cy="19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2162</xdr:colOff>
      <xdr:row>105</xdr:row>
      <xdr:rowOff>2555</xdr:rowOff>
    </xdr:from>
    <xdr:to>
      <xdr:col>14</xdr:col>
      <xdr:colOff>1626</xdr:colOff>
      <xdr:row>106</xdr:row>
      <xdr:rowOff>0</xdr:rowOff>
    </xdr:to>
    <xdr:sp macro="" textlink="">
      <xdr:nvSpPr>
        <xdr:cNvPr id="162" name="TextBox 185">
          <a:extLst>
            <a:ext uri="{FF2B5EF4-FFF2-40B4-BE49-F238E27FC236}">
              <a16:creationId xmlns:a16="http://schemas.microsoft.com/office/drawing/2014/main" id="{00000000-0008-0000-0A00-0000A2000000}"/>
            </a:ext>
          </a:extLst>
        </xdr:cNvPr>
        <xdr:cNvSpPr txBox="1"/>
      </xdr:nvSpPr>
      <xdr:spPr>
        <a:xfrm>
          <a:off x="1160402" y="20271755"/>
          <a:ext cx="1543784" cy="190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BILLING ADDRESS</a:t>
          </a:r>
        </a:p>
      </xdr:txBody>
    </xdr:sp>
    <xdr:clientData/>
  </xdr:twoCellAnchor>
  <xdr:twoCellAnchor>
    <xdr:from>
      <xdr:col>7</xdr:col>
      <xdr:colOff>97280</xdr:colOff>
      <xdr:row>94</xdr:row>
      <xdr:rowOff>184912</xdr:rowOff>
    </xdr:from>
    <xdr:to>
      <xdr:col>17</xdr:col>
      <xdr:colOff>6377</xdr:colOff>
      <xdr:row>96</xdr:row>
      <xdr:rowOff>184859</xdr:rowOff>
    </xdr:to>
    <xdr:sp macro="" textlink="">
      <xdr:nvSpPr>
        <xdr:cNvPr id="163" name="TextBox 190">
          <a:extLst>
            <a:ext uri="{FF2B5EF4-FFF2-40B4-BE49-F238E27FC236}">
              <a16:creationId xmlns:a16="http://schemas.microsoft.com/office/drawing/2014/main" id="{00000000-0008-0000-0A00-0000A3000000}"/>
            </a:ext>
          </a:extLst>
        </xdr:cNvPr>
        <xdr:cNvSpPr txBox="1"/>
      </xdr:nvSpPr>
      <xdr:spPr>
        <a:xfrm>
          <a:off x="1448560" y="18330672"/>
          <a:ext cx="1839497" cy="386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for</a:t>
          </a:r>
        </a:p>
      </xdr:txBody>
    </xdr:sp>
    <xdr:clientData/>
  </xdr:twoCellAnchor>
  <xdr:twoCellAnchor>
    <xdr:from>
      <xdr:col>6</xdr:col>
      <xdr:colOff>97211</xdr:colOff>
      <xdr:row>94</xdr:row>
      <xdr:rowOff>184912</xdr:rowOff>
    </xdr:from>
    <xdr:to>
      <xdr:col>6</xdr:col>
      <xdr:colOff>97211</xdr:colOff>
      <xdr:row>96</xdr:row>
      <xdr:rowOff>184859</xdr:rowOff>
    </xdr:to>
    <xdr:cxnSp macro="">
      <xdr:nvCxnSpPr>
        <xdr:cNvPr id="164" name="Straight Connector 205">
          <a:extLst>
            <a:ext uri="{FF2B5EF4-FFF2-40B4-BE49-F238E27FC236}">
              <a16:creationId xmlns:a16="http://schemas.microsoft.com/office/drawing/2014/main" id="{00000000-0008-0000-0A00-0000A4000000}"/>
            </a:ext>
          </a:extLst>
        </xdr:cNvPr>
        <xdr:cNvCxnSpPr/>
      </xdr:nvCxnSpPr>
      <xdr:spPr>
        <a:xfrm>
          <a:off x="1255451" y="18330672"/>
          <a:ext cx="0" cy="386027"/>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2769</xdr:colOff>
      <xdr:row>113</xdr:row>
      <xdr:rowOff>10742</xdr:rowOff>
    </xdr:from>
    <xdr:to>
      <xdr:col>36</xdr:col>
      <xdr:colOff>2464</xdr:colOff>
      <xdr:row>114</xdr:row>
      <xdr:rowOff>10729</xdr:rowOff>
    </xdr:to>
    <xdr:sp macro="" textlink="SOLAR!D24">
      <xdr:nvSpPr>
        <xdr:cNvPr id="165" name="TextBox 164">
          <a:extLst>
            <a:ext uri="{FF2B5EF4-FFF2-40B4-BE49-F238E27FC236}">
              <a16:creationId xmlns:a16="http://schemas.microsoft.com/office/drawing/2014/main" id="{00000000-0008-0000-0A00-0000A5000000}"/>
            </a:ext>
          </a:extLst>
        </xdr:cNvPr>
        <xdr:cNvSpPr txBox="1"/>
      </xdr:nvSpPr>
      <xdr:spPr>
        <a:xfrm>
          <a:off x="2898369" y="21824262"/>
          <a:ext cx="4053535" cy="19302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65D8CF8-4B24-044F-9E7D-7AB616DADFDD}" type="TxLink">
            <a:rPr lang="en-US" sz="1000" b="0" i="0" u="none" strike="noStrike">
              <a:solidFill>
                <a:srgbClr val="2A2A2A"/>
              </a:solidFill>
              <a:latin typeface="Overpass" pitchFamily="2" charset="77"/>
              <a:ea typeface="+mn-ea"/>
              <a:cs typeface="Calibri"/>
            </a:rPr>
            <a:pPr marL="0" indent="0" algn="l"/>
            <a:t>Jon Vlatko</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1741</xdr:colOff>
      <xdr:row>114</xdr:row>
      <xdr:rowOff>10993</xdr:rowOff>
    </xdr:from>
    <xdr:to>
      <xdr:col>36</xdr:col>
      <xdr:colOff>2992</xdr:colOff>
      <xdr:row>115</xdr:row>
      <xdr:rowOff>9430</xdr:rowOff>
    </xdr:to>
    <xdr:sp macro="" textlink="SOLAR!D25">
      <xdr:nvSpPr>
        <xdr:cNvPr id="166" name="TextBox 165">
          <a:extLst>
            <a:ext uri="{FF2B5EF4-FFF2-40B4-BE49-F238E27FC236}">
              <a16:creationId xmlns:a16="http://schemas.microsoft.com/office/drawing/2014/main" id="{00000000-0008-0000-0A00-0000A6000000}"/>
            </a:ext>
          </a:extLst>
        </xdr:cNvPr>
        <xdr:cNvSpPr txBox="1"/>
      </xdr:nvSpPr>
      <xdr:spPr>
        <a:xfrm>
          <a:off x="2897341" y="22017553"/>
          <a:ext cx="4055091" cy="1914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FF96C6-E1BE-D24C-A0F4-DFD4FBE5C0AE}" type="TxLink">
            <a:rPr lang="en-US" sz="1000" b="0" i="0" u="none" strike="noStrike">
              <a:solidFill>
                <a:srgbClr val="2A2A2A"/>
              </a:solidFill>
              <a:latin typeface="Overpass" pitchFamily="2" charset="77"/>
              <a:ea typeface="+mn-ea"/>
              <a:cs typeface="Calibri"/>
            </a:rPr>
            <a:pPr marL="0" indent="0" algn="l"/>
            <a:t>0431 294 241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7355</xdr:colOff>
      <xdr:row>115</xdr:row>
      <xdr:rowOff>12336</xdr:rowOff>
    </xdr:from>
    <xdr:to>
      <xdr:col>36</xdr:col>
      <xdr:colOff>5426</xdr:colOff>
      <xdr:row>116</xdr:row>
      <xdr:rowOff>8550</xdr:rowOff>
    </xdr:to>
    <xdr:sp macro="" textlink="SOLAR!D26">
      <xdr:nvSpPr>
        <xdr:cNvPr id="167" name="TextBox 166">
          <a:extLst>
            <a:ext uri="{FF2B5EF4-FFF2-40B4-BE49-F238E27FC236}">
              <a16:creationId xmlns:a16="http://schemas.microsoft.com/office/drawing/2014/main" id="{00000000-0008-0000-0A00-0000A7000000}"/>
            </a:ext>
          </a:extLst>
        </xdr:cNvPr>
        <xdr:cNvSpPr txBox="1"/>
      </xdr:nvSpPr>
      <xdr:spPr>
        <a:xfrm>
          <a:off x="2902955" y="22211936"/>
          <a:ext cx="4051911" cy="18925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E7C31C6-6953-554E-A191-F17A8844D6D1}" type="TxLink">
            <a:rPr lang="en-US" sz="1000" b="0" i="0" u="none" strike="noStrike">
              <a:solidFill>
                <a:srgbClr val="2A2A2A"/>
              </a:solidFill>
              <a:latin typeface="Overpass" pitchFamily="2" charset="77"/>
              <a:ea typeface="+mn-ea"/>
              <a:cs typeface="Calibri"/>
            </a:rPr>
            <a:pPr marL="0" indent="0" algn="l"/>
            <a:t>jon@smartcommercialenergy.com.au</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1609</xdr:colOff>
      <xdr:row>116</xdr:row>
      <xdr:rowOff>8549</xdr:rowOff>
    </xdr:from>
    <xdr:to>
      <xdr:col>36</xdr:col>
      <xdr:colOff>5193</xdr:colOff>
      <xdr:row>117</xdr:row>
      <xdr:rowOff>0</xdr:rowOff>
    </xdr:to>
    <xdr:sp macro="" textlink="">
      <xdr:nvSpPr>
        <xdr:cNvPr id="168" name="TextBox 167">
          <a:extLst>
            <a:ext uri="{FF2B5EF4-FFF2-40B4-BE49-F238E27FC236}">
              <a16:creationId xmlns:a16="http://schemas.microsoft.com/office/drawing/2014/main" id="{00000000-0008-0000-0A00-0000A8000000}"/>
            </a:ext>
          </a:extLst>
        </xdr:cNvPr>
        <xdr:cNvSpPr txBox="1"/>
      </xdr:nvSpPr>
      <xdr:spPr>
        <a:xfrm>
          <a:off x="2897209" y="22401189"/>
          <a:ext cx="4057424" cy="184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Suite 6.01, 2 Elizabeth Plaza,</a:t>
          </a:r>
          <a:r>
            <a:rPr lang="en-US" sz="1000" b="0" i="0" u="none" strike="noStrike" baseline="0">
              <a:solidFill>
                <a:srgbClr val="2A2A2A"/>
              </a:solidFill>
              <a:latin typeface="Overpass" panose="00000500000000000000" pitchFamily="2" charset="0"/>
              <a:ea typeface="+mn-ea"/>
              <a:cs typeface="Calibri"/>
            </a:rPr>
            <a:t> North Sydney 2060</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658</xdr:colOff>
      <xdr:row>113</xdr:row>
      <xdr:rowOff>10742</xdr:rowOff>
    </xdr:from>
    <xdr:to>
      <xdr:col>14</xdr:col>
      <xdr:colOff>1930</xdr:colOff>
      <xdr:row>114</xdr:row>
      <xdr:rowOff>10724</xdr:rowOff>
    </xdr:to>
    <xdr:sp macro="" textlink="">
      <xdr:nvSpPr>
        <xdr:cNvPr id="169" name="TextBox 168">
          <a:extLst>
            <a:ext uri="{FF2B5EF4-FFF2-40B4-BE49-F238E27FC236}">
              <a16:creationId xmlns:a16="http://schemas.microsoft.com/office/drawing/2014/main" id="{00000000-0008-0000-0A00-0000A9000000}"/>
            </a:ext>
          </a:extLst>
        </xdr:cNvPr>
        <xdr:cNvSpPr txBox="1"/>
      </xdr:nvSpPr>
      <xdr:spPr>
        <a:xfrm>
          <a:off x="1158898" y="21824262"/>
          <a:ext cx="1545592" cy="193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CONSULTANT</a:t>
          </a:r>
        </a:p>
      </xdr:txBody>
    </xdr:sp>
    <xdr:clientData/>
  </xdr:twoCellAnchor>
  <xdr:twoCellAnchor>
    <xdr:from>
      <xdr:col>6</xdr:col>
      <xdr:colOff>658</xdr:colOff>
      <xdr:row>114</xdr:row>
      <xdr:rowOff>8054</xdr:rowOff>
    </xdr:from>
    <xdr:to>
      <xdr:col>14</xdr:col>
      <xdr:colOff>1930</xdr:colOff>
      <xdr:row>115</xdr:row>
      <xdr:rowOff>11244</xdr:rowOff>
    </xdr:to>
    <xdr:sp macro="" textlink="">
      <xdr:nvSpPr>
        <xdr:cNvPr id="170" name="TextBox 169">
          <a:extLst>
            <a:ext uri="{FF2B5EF4-FFF2-40B4-BE49-F238E27FC236}">
              <a16:creationId xmlns:a16="http://schemas.microsoft.com/office/drawing/2014/main" id="{00000000-0008-0000-0A00-0000AA000000}"/>
            </a:ext>
          </a:extLst>
        </xdr:cNvPr>
        <xdr:cNvSpPr txBox="1"/>
      </xdr:nvSpPr>
      <xdr:spPr>
        <a:xfrm>
          <a:off x="1158898" y="22014614"/>
          <a:ext cx="1545592" cy="19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3564</xdr:colOff>
      <xdr:row>115</xdr:row>
      <xdr:rowOff>8300</xdr:rowOff>
    </xdr:from>
    <xdr:to>
      <xdr:col>14</xdr:col>
      <xdr:colOff>1929</xdr:colOff>
      <xdr:row>115</xdr:row>
      <xdr:rowOff>192790</xdr:rowOff>
    </xdr:to>
    <xdr:sp macro="" textlink="">
      <xdr:nvSpPr>
        <xdr:cNvPr id="171" name="TextBox 170">
          <a:extLst>
            <a:ext uri="{FF2B5EF4-FFF2-40B4-BE49-F238E27FC236}">
              <a16:creationId xmlns:a16="http://schemas.microsoft.com/office/drawing/2014/main" id="{00000000-0008-0000-0A00-0000AB000000}"/>
            </a:ext>
          </a:extLst>
        </xdr:cNvPr>
        <xdr:cNvSpPr txBox="1"/>
      </xdr:nvSpPr>
      <xdr:spPr>
        <a:xfrm>
          <a:off x="1161804" y="22207900"/>
          <a:ext cx="1542685" cy="184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3564</xdr:colOff>
      <xdr:row>116</xdr:row>
      <xdr:rowOff>8549</xdr:rowOff>
    </xdr:from>
    <xdr:to>
      <xdr:col>14</xdr:col>
      <xdr:colOff>1929</xdr:colOff>
      <xdr:row>117</xdr:row>
      <xdr:rowOff>0</xdr:rowOff>
    </xdr:to>
    <xdr:sp macro="" textlink="">
      <xdr:nvSpPr>
        <xdr:cNvPr id="172" name="TextBox 171">
          <a:extLst>
            <a:ext uri="{FF2B5EF4-FFF2-40B4-BE49-F238E27FC236}">
              <a16:creationId xmlns:a16="http://schemas.microsoft.com/office/drawing/2014/main" id="{00000000-0008-0000-0A00-0000AC000000}"/>
            </a:ext>
          </a:extLst>
        </xdr:cNvPr>
        <xdr:cNvSpPr txBox="1"/>
      </xdr:nvSpPr>
      <xdr:spPr>
        <a:xfrm>
          <a:off x="1161804" y="22401189"/>
          <a:ext cx="1542685" cy="184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HQ</a:t>
          </a:r>
        </a:p>
      </xdr:txBody>
    </xdr:sp>
    <xdr:clientData/>
  </xdr:twoCellAnchor>
  <xdr:twoCellAnchor>
    <xdr:from>
      <xdr:col>7</xdr:col>
      <xdr:colOff>98307</xdr:colOff>
      <xdr:row>110</xdr:row>
      <xdr:rowOff>14976</xdr:rowOff>
    </xdr:from>
    <xdr:to>
      <xdr:col>17</xdr:col>
      <xdr:colOff>5144</xdr:colOff>
      <xdr:row>112</xdr:row>
      <xdr:rowOff>15478</xdr:rowOff>
    </xdr:to>
    <xdr:sp macro="" textlink="">
      <xdr:nvSpPr>
        <xdr:cNvPr id="173" name="TextBox 172">
          <a:extLst>
            <a:ext uri="{FF2B5EF4-FFF2-40B4-BE49-F238E27FC236}">
              <a16:creationId xmlns:a16="http://schemas.microsoft.com/office/drawing/2014/main" id="{00000000-0008-0000-0A00-0000AD000000}"/>
            </a:ext>
          </a:extLst>
        </xdr:cNvPr>
        <xdr:cNvSpPr txBox="1"/>
      </xdr:nvSpPr>
      <xdr:spPr>
        <a:xfrm>
          <a:off x="1449587" y="21249376"/>
          <a:ext cx="1837237" cy="386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by</a:t>
          </a:r>
        </a:p>
      </xdr:txBody>
    </xdr:sp>
    <xdr:clientData/>
  </xdr:twoCellAnchor>
  <xdr:twoCellAnchor>
    <xdr:from>
      <xdr:col>6</xdr:col>
      <xdr:colOff>98316</xdr:colOff>
      <xdr:row>110</xdr:row>
      <xdr:rowOff>14976</xdr:rowOff>
    </xdr:from>
    <xdr:to>
      <xdr:col>6</xdr:col>
      <xdr:colOff>98316</xdr:colOff>
      <xdr:row>112</xdr:row>
      <xdr:rowOff>15478</xdr:rowOff>
    </xdr:to>
    <xdr:cxnSp macro="">
      <xdr:nvCxnSpPr>
        <xdr:cNvPr id="174" name="Straight Connector 173">
          <a:extLst>
            <a:ext uri="{FF2B5EF4-FFF2-40B4-BE49-F238E27FC236}">
              <a16:creationId xmlns:a16="http://schemas.microsoft.com/office/drawing/2014/main" id="{00000000-0008-0000-0A00-0000AE000000}"/>
            </a:ext>
          </a:extLst>
        </xdr:cNvPr>
        <xdr:cNvCxnSpPr/>
      </xdr:nvCxnSpPr>
      <xdr:spPr>
        <a:xfrm>
          <a:off x="1256556" y="21249376"/>
          <a:ext cx="0" cy="38658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658</xdr:colOff>
      <xdr:row>108</xdr:row>
      <xdr:rowOff>6804</xdr:rowOff>
    </xdr:from>
    <xdr:to>
      <xdr:col>36</xdr:col>
      <xdr:colOff>2993</xdr:colOff>
      <xdr:row>108</xdr:row>
      <xdr:rowOff>6804</xdr:rowOff>
    </xdr:to>
    <xdr:cxnSp macro="">
      <xdr:nvCxnSpPr>
        <xdr:cNvPr id="175" name="Straight Connector 16">
          <a:extLst>
            <a:ext uri="{FF2B5EF4-FFF2-40B4-BE49-F238E27FC236}">
              <a16:creationId xmlns:a16="http://schemas.microsoft.com/office/drawing/2014/main" id="{00000000-0008-0000-0A00-0000AF000000}"/>
            </a:ext>
          </a:extLst>
        </xdr:cNvPr>
        <xdr:cNvCxnSpPr/>
      </xdr:nvCxnSpPr>
      <xdr:spPr>
        <a:xfrm>
          <a:off x="1158898" y="20855124"/>
          <a:ext cx="57935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170</xdr:row>
      <xdr:rowOff>2634</xdr:rowOff>
    </xdr:from>
    <xdr:to>
      <xdr:col>36</xdr:col>
      <xdr:colOff>0</xdr:colOff>
      <xdr:row>170</xdr:row>
      <xdr:rowOff>2634</xdr:rowOff>
    </xdr:to>
    <xdr:cxnSp macro="">
      <xdr:nvCxnSpPr>
        <xdr:cNvPr id="176" name="Straight Connector 16">
          <a:extLst>
            <a:ext uri="{FF2B5EF4-FFF2-40B4-BE49-F238E27FC236}">
              <a16:creationId xmlns:a16="http://schemas.microsoft.com/office/drawing/2014/main" id="{00000000-0008-0000-0A00-0000B0000000}"/>
            </a:ext>
          </a:extLst>
        </xdr:cNvPr>
        <xdr:cNvCxnSpPr/>
      </xdr:nvCxnSpPr>
      <xdr:spPr>
        <a:xfrm>
          <a:off x="1140316" y="32387634"/>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155</xdr:row>
      <xdr:rowOff>2635</xdr:rowOff>
    </xdr:from>
    <xdr:to>
      <xdr:col>36</xdr:col>
      <xdr:colOff>0</xdr:colOff>
      <xdr:row>155</xdr:row>
      <xdr:rowOff>2635</xdr:rowOff>
    </xdr:to>
    <xdr:cxnSp macro="">
      <xdr:nvCxnSpPr>
        <xdr:cNvPr id="177" name="Straight Connector 16">
          <a:extLst>
            <a:ext uri="{FF2B5EF4-FFF2-40B4-BE49-F238E27FC236}">
              <a16:creationId xmlns:a16="http://schemas.microsoft.com/office/drawing/2014/main" id="{00000000-0008-0000-0A00-0000B1000000}"/>
            </a:ext>
          </a:extLst>
        </xdr:cNvPr>
        <xdr:cNvCxnSpPr/>
      </xdr:nvCxnSpPr>
      <xdr:spPr>
        <a:xfrm>
          <a:off x="1140316" y="29530135"/>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138</xdr:row>
      <xdr:rowOff>190450</xdr:rowOff>
    </xdr:from>
    <xdr:to>
      <xdr:col>36</xdr:col>
      <xdr:colOff>0</xdr:colOff>
      <xdr:row>138</xdr:row>
      <xdr:rowOff>190450</xdr:rowOff>
    </xdr:to>
    <xdr:cxnSp macro="">
      <xdr:nvCxnSpPr>
        <xdr:cNvPr id="178" name="Straight Connector 16">
          <a:extLst>
            <a:ext uri="{FF2B5EF4-FFF2-40B4-BE49-F238E27FC236}">
              <a16:creationId xmlns:a16="http://schemas.microsoft.com/office/drawing/2014/main" id="{00000000-0008-0000-0A00-0000B2000000}"/>
            </a:ext>
          </a:extLst>
        </xdr:cNvPr>
        <xdr:cNvCxnSpPr/>
      </xdr:nvCxnSpPr>
      <xdr:spPr>
        <a:xfrm>
          <a:off x="1140316" y="2647945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0</xdr:colOff>
      <xdr:row>126</xdr:row>
      <xdr:rowOff>187816</xdr:rowOff>
    </xdr:from>
    <xdr:to>
      <xdr:col>72</xdr:col>
      <xdr:colOff>2684</xdr:colOff>
      <xdr:row>129</xdr:row>
      <xdr:rowOff>6350</xdr:rowOff>
    </xdr:to>
    <xdr:sp macro="" textlink="">
      <xdr:nvSpPr>
        <xdr:cNvPr id="179" name="TextBox 15">
          <a:extLst>
            <a:ext uri="{FF2B5EF4-FFF2-40B4-BE49-F238E27FC236}">
              <a16:creationId xmlns:a16="http://schemas.microsoft.com/office/drawing/2014/main" id="{00000000-0008-0000-0A00-0000B3000000}"/>
            </a:ext>
          </a:extLst>
        </xdr:cNvPr>
        <xdr:cNvSpPr txBox="1"/>
      </xdr:nvSpPr>
      <xdr:spPr>
        <a:xfrm>
          <a:off x="8953500" y="24190816"/>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47</xdr:col>
      <xdr:colOff>2685</xdr:colOff>
      <xdr:row>126</xdr:row>
      <xdr:rowOff>0</xdr:rowOff>
    </xdr:from>
    <xdr:to>
      <xdr:col>72</xdr:col>
      <xdr:colOff>20572</xdr:colOff>
      <xdr:row>126</xdr:row>
      <xdr:rowOff>187816</xdr:rowOff>
    </xdr:to>
    <xdr:sp macro="" textlink="">
      <xdr:nvSpPr>
        <xdr:cNvPr id="180" name="TextBox 15">
          <a:extLst>
            <a:ext uri="{FF2B5EF4-FFF2-40B4-BE49-F238E27FC236}">
              <a16:creationId xmlns:a16="http://schemas.microsoft.com/office/drawing/2014/main" id="{00000000-0008-0000-0A00-0000B4000000}"/>
            </a:ext>
          </a:extLst>
        </xdr:cNvPr>
        <xdr:cNvSpPr txBox="1"/>
      </xdr:nvSpPr>
      <xdr:spPr>
        <a:xfrm>
          <a:off x="8956185" y="24003000"/>
          <a:ext cx="478038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2/2</a:t>
          </a:r>
        </a:p>
      </xdr:txBody>
    </xdr:sp>
    <xdr:clientData/>
  </xdr:twoCellAnchor>
  <xdr:twoCellAnchor>
    <xdr:from>
      <xdr:col>48</xdr:col>
      <xdr:colOff>98975</xdr:colOff>
      <xdr:row>131</xdr:row>
      <xdr:rowOff>0</xdr:rowOff>
    </xdr:from>
    <xdr:to>
      <xdr:col>57</xdr:col>
      <xdr:colOff>186481</xdr:colOff>
      <xdr:row>133</xdr:row>
      <xdr:rowOff>0</xdr:rowOff>
    </xdr:to>
    <xdr:sp macro="" textlink="">
      <xdr:nvSpPr>
        <xdr:cNvPr id="181" name="TextBox 180">
          <a:extLst>
            <a:ext uri="{FF2B5EF4-FFF2-40B4-BE49-F238E27FC236}">
              <a16:creationId xmlns:a16="http://schemas.microsoft.com/office/drawing/2014/main" id="{00000000-0008-0000-0A00-0000B5000000}"/>
            </a:ext>
          </a:extLst>
        </xdr:cNvPr>
        <xdr:cNvSpPr txBox="1"/>
      </xdr:nvSpPr>
      <xdr:spPr>
        <a:xfrm>
          <a:off x="9242975" y="24955500"/>
          <a:ext cx="18020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Safety</a:t>
          </a:r>
        </a:p>
      </xdr:txBody>
    </xdr:sp>
    <xdr:clientData/>
  </xdr:twoCellAnchor>
  <xdr:twoCellAnchor>
    <xdr:from>
      <xdr:col>47</xdr:col>
      <xdr:colOff>94916</xdr:colOff>
      <xdr:row>131</xdr:row>
      <xdr:rowOff>0</xdr:rowOff>
    </xdr:from>
    <xdr:to>
      <xdr:col>47</xdr:col>
      <xdr:colOff>94916</xdr:colOff>
      <xdr:row>133</xdr:row>
      <xdr:rowOff>0</xdr:rowOff>
    </xdr:to>
    <xdr:cxnSp macro="">
      <xdr:nvCxnSpPr>
        <xdr:cNvPr id="182" name="Straight Connector 181">
          <a:extLst>
            <a:ext uri="{FF2B5EF4-FFF2-40B4-BE49-F238E27FC236}">
              <a16:creationId xmlns:a16="http://schemas.microsoft.com/office/drawing/2014/main" id="{00000000-0008-0000-0A00-0000B6000000}"/>
            </a:ext>
          </a:extLst>
        </xdr:cNvPr>
        <xdr:cNvCxnSpPr/>
      </xdr:nvCxnSpPr>
      <xdr:spPr>
        <a:xfrm>
          <a:off x="9048416"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133</xdr:row>
      <xdr:rowOff>192331</xdr:rowOff>
    </xdr:from>
    <xdr:to>
      <xdr:col>60</xdr:col>
      <xdr:colOff>4055</xdr:colOff>
      <xdr:row>134</xdr:row>
      <xdr:rowOff>189695</xdr:rowOff>
    </xdr:to>
    <xdr:sp macro="" textlink="">
      <xdr:nvSpPr>
        <xdr:cNvPr id="183" name="TextBox 182">
          <a:extLst>
            <a:ext uri="{FF2B5EF4-FFF2-40B4-BE49-F238E27FC236}">
              <a16:creationId xmlns:a16="http://schemas.microsoft.com/office/drawing/2014/main" id="{00000000-0008-0000-0A00-0000B7000000}"/>
            </a:ext>
          </a:extLst>
        </xdr:cNvPr>
        <xdr:cNvSpPr txBox="1"/>
      </xdr:nvSpPr>
      <xdr:spPr>
        <a:xfrm>
          <a:off x="8953500" y="25528831"/>
          <a:ext cx="2480555" cy="187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SKYLIGHT</a:t>
          </a:r>
          <a:r>
            <a:rPr lang="en-US" sz="1000" b="1" i="0" u="none" strike="noStrike" baseline="0">
              <a:solidFill>
                <a:srgbClr val="2A2A2A"/>
              </a:solidFill>
              <a:latin typeface="Overpass" panose="00000500000000000000" pitchFamily="2" charset="0"/>
              <a:ea typeface="+mn-ea"/>
              <a:cs typeface="Calibri"/>
            </a:rPr>
            <a:t> SAFETY</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134</xdr:row>
      <xdr:rowOff>192330</xdr:rowOff>
    </xdr:from>
    <xdr:to>
      <xdr:col>60</xdr:col>
      <xdr:colOff>4055</xdr:colOff>
      <xdr:row>135</xdr:row>
      <xdr:rowOff>194490</xdr:rowOff>
    </xdr:to>
    <xdr:sp macro="" textlink="">
      <xdr:nvSpPr>
        <xdr:cNvPr id="184" name="TextBox 183">
          <a:extLst>
            <a:ext uri="{FF2B5EF4-FFF2-40B4-BE49-F238E27FC236}">
              <a16:creationId xmlns:a16="http://schemas.microsoft.com/office/drawing/2014/main" id="{00000000-0008-0000-0A00-0000B8000000}"/>
            </a:ext>
          </a:extLst>
        </xdr:cNvPr>
        <xdr:cNvSpPr txBox="1"/>
      </xdr:nvSpPr>
      <xdr:spPr>
        <a:xfrm>
          <a:off x="8953500" y="25719330"/>
          <a:ext cx="2480555" cy="192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WALKWAY</a:t>
          </a:r>
        </a:p>
      </xdr:txBody>
    </xdr:sp>
    <xdr:clientData/>
  </xdr:twoCellAnchor>
  <xdr:twoCellAnchor>
    <xdr:from>
      <xdr:col>47</xdr:col>
      <xdr:colOff>0</xdr:colOff>
      <xdr:row>135</xdr:row>
      <xdr:rowOff>187535</xdr:rowOff>
    </xdr:from>
    <xdr:to>
      <xdr:col>60</xdr:col>
      <xdr:colOff>4055</xdr:colOff>
      <xdr:row>136</xdr:row>
      <xdr:rowOff>194489</xdr:rowOff>
    </xdr:to>
    <xdr:sp macro="" textlink="">
      <xdr:nvSpPr>
        <xdr:cNvPr id="185" name="TextBox 184">
          <a:extLst>
            <a:ext uri="{FF2B5EF4-FFF2-40B4-BE49-F238E27FC236}">
              <a16:creationId xmlns:a16="http://schemas.microsoft.com/office/drawing/2014/main" id="{00000000-0008-0000-0A00-0000B9000000}"/>
            </a:ext>
          </a:extLst>
        </xdr:cNvPr>
        <xdr:cNvSpPr txBox="1"/>
      </xdr:nvSpPr>
      <xdr:spPr>
        <a:xfrm>
          <a:off x="8953500" y="25905035"/>
          <a:ext cx="2480555" cy="197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TEMPORARY</a:t>
          </a:r>
          <a:r>
            <a:rPr lang="en-US" sz="1000" b="1" i="0" u="none" strike="noStrike" baseline="0">
              <a:solidFill>
                <a:srgbClr val="2A2A2A"/>
              </a:solidFill>
              <a:latin typeface="Overpass" panose="00000500000000000000" pitchFamily="2" charset="0"/>
              <a:ea typeface="+mn-ea"/>
              <a:cs typeface="Calibri"/>
            </a:rPr>
            <a:t> HAND RAIL</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136</xdr:row>
      <xdr:rowOff>192330</xdr:rowOff>
    </xdr:from>
    <xdr:to>
      <xdr:col>60</xdr:col>
      <xdr:colOff>4055</xdr:colOff>
      <xdr:row>137</xdr:row>
      <xdr:rowOff>194489</xdr:rowOff>
    </xdr:to>
    <xdr:sp macro="" textlink="">
      <xdr:nvSpPr>
        <xdr:cNvPr id="186" name="TextBox 185">
          <a:extLst>
            <a:ext uri="{FF2B5EF4-FFF2-40B4-BE49-F238E27FC236}">
              <a16:creationId xmlns:a16="http://schemas.microsoft.com/office/drawing/2014/main" id="{00000000-0008-0000-0A00-0000BA000000}"/>
            </a:ext>
          </a:extLst>
        </xdr:cNvPr>
        <xdr:cNvSpPr txBox="1"/>
      </xdr:nvSpPr>
      <xdr:spPr>
        <a:xfrm>
          <a:off x="8953500" y="26100330"/>
          <a:ext cx="2480555" cy="192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PERMANENT HAND RAIL</a:t>
          </a:r>
        </a:p>
      </xdr:txBody>
    </xdr:sp>
    <xdr:clientData/>
  </xdr:twoCellAnchor>
  <xdr:twoCellAnchor>
    <xdr:from>
      <xdr:col>47</xdr:col>
      <xdr:colOff>0</xdr:colOff>
      <xdr:row>137</xdr:row>
      <xdr:rowOff>192330</xdr:rowOff>
    </xdr:from>
    <xdr:to>
      <xdr:col>60</xdr:col>
      <xdr:colOff>4055</xdr:colOff>
      <xdr:row>138</xdr:row>
      <xdr:rowOff>194490</xdr:rowOff>
    </xdr:to>
    <xdr:sp macro="" textlink="">
      <xdr:nvSpPr>
        <xdr:cNvPr id="187" name="TextBox 186">
          <a:extLst>
            <a:ext uri="{FF2B5EF4-FFF2-40B4-BE49-F238E27FC236}">
              <a16:creationId xmlns:a16="http://schemas.microsoft.com/office/drawing/2014/main" id="{00000000-0008-0000-0A00-0000BB000000}"/>
            </a:ext>
          </a:extLst>
        </xdr:cNvPr>
        <xdr:cNvSpPr txBox="1"/>
      </xdr:nvSpPr>
      <xdr:spPr>
        <a:xfrm>
          <a:off x="8953500" y="26290830"/>
          <a:ext cx="2480555" cy="192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THIRD PARTY SAFETY</a:t>
          </a:r>
        </a:p>
      </xdr:txBody>
    </xdr:sp>
    <xdr:clientData/>
  </xdr:twoCellAnchor>
  <xdr:twoCellAnchor>
    <xdr:from>
      <xdr:col>47</xdr:col>
      <xdr:colOff>0</xdr:colOff>
      <xdr:row>140</xdr:row>
      <xdr:rowOff>191085</xdr:rowOff>
    </xdr:from>
    <xdr:to>
      <xdr:col>77</xdr:col>
      <xdr:colOff>0</xdr:colOff>
      <xdr:row>140</xdr:row>
      <xdr:rowOff>191085</xdr:rowOff>
    </xdr:to>
    <xdr:cxnSp macro="">
      <xdr:nvCxnSpPr>
        <xdr:cNvPr id="188" name="Straight Connector 16">
          <a:extLst>
            <a:ext uri="{FF2B5EF4-FFF2-40B4-BE49-F238E27FC236}">
              <a16:creationId xmlns:a16="http://schemas.microsoft.com/office/drawing/2014/main" id="{00000000-0008-0000-0A00-0000BC000000}"/>
            </a:ext>
          </a:extLst>
        </xdr:cNvPr>
        <xdr:cNvCxnSpPr/>
      </xdr:nvCxnSpPr>
      <xdr:spPr>
        <a:xfrm>
          <a:off x="8953500" y="26861085"/>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102994</xdr:colOff>
      <xdr:row>142</xdr:row>
      <xdr:rowOff>192330</xdr:rowOff>
    </xdr:from>
    <xdr:to>
      <xdr:col>58</xdr:col>
      <xdr:colOff>0</xdr:colOff>
      <xdr:row>144</xdr:row>
      <xdr:rowOff>192330</xdr:rowOff>
    </xdr:to>
    <xdr:sp macro="" textlink="">
      <xdr:nvSpPr>
        <xdr:cNvPr id="189" name="TextBox 188">
          <a:extLst>
            <a:ext uri="{FF2B5EF4-FFF2-40B4-BE49-F238E27FC236}">
              <a16:creationId xmlns:a16="http://schemas.microsoft.com/office/drawing/2014/main" id="{00000000-0008-0000-0A00-0000BD000000}"/>
            </a:ext>
          </a:extLst>
        </xdr:cNvPr>
        <xdr:cNvSpPr txBox="1"/>
      </xdr:nvSpPr>
      <xdr:spPr>
        <a:xfrm>
          <a:off x="9246994" y="27243330"/>
          <a:ext cx="18020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Warranties</a:t>
          </a:r>
        </a:p>
      </xdr:txBody>
    </xdr:sp>
    <xdr:clientData/>
  </xdr:twoCellAnchor>
  <xdr:twoCellAnchor>
    <xdr:from>
      <xdr:col>47</xdr:col>
      <xdr:colOff>98935</xdr:colOff>
      <xdr:row>142</xdr:row>
      <xdr:rowOff>192330</xdr:rowOff>
    </xdr:from>
    <xdr:to>
      <xdr:col>47</xdr:col>
      <xdr:colOff>98935</xdr:colOff>
      <xdr:row>144</xdr:row>
      <xdr:rowOff>192330</xdr:rowOff>
    </xdr:to>
    <xdr:cxnSp macro="">
      <xdr:nvCxnSpPr>
        <xdr:cNvPr id="190" name="Straight Connector 189">
          <a:extLst>
            <a:ext uri="{FF2B5EF4-FFF2-40B4-BE49-F238E27FC236}">
              <a16:creationId xmlns:a16="http://schemas.microsoft.com/office/drawing/2014/main" id="{00000000-0008-0000-0A00-0000BE000000}"/>
            </a:ext>
          </a:extLst>
        </xdr:cNvPr>
        <xdr:cNvCxnSpPr/>
      </xdr:nvCxnSpPr>
      <xdr:spPr>
        <a:xfrm>
          <a:off x="9052435" y="272433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145</xdr:row>
      <xdr:rowOff>192330</xdr:rowOff>
    </xdr:from>
    <xdr:to>
      <xdr:col>60</xdr:col>
      <xdr:colOff>4055</xdr:colOff>
      <xdr:row>146</xdr:row>
      <xdr:rowOff>193699</xdr:rowOff>
    </xdr:to>
    <xdr:sp macro="" textlink="">
      <xdr:nvSpPr>
        <xdr:cNvPr id="191" name="TextBox 190">
          <a:extLst>
            <a:ext uri="{FF2B5EF4-FFF2-40B4-BE49-F238E27FC236}">
              <a16:creationId xmlns:a16="http://schemas.microsoft.com/office/drawing/2014/main" id="{00000000-0008-0000-0A00-0000BF000000}"/>
            </a:ext>
          </a:extLst>
        </xdr:cNvPr>
        <xdr:cNvSpPr txBox="1"/>
      </xdr:nvSpPr>
      <xdr:spPr>
        <a:xfrm>
          <a:off x="8953500" y="27814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a:t>
          </a:r>
          <a:r>
            <a:rPr lang="en-US" sz="1000" b="1" i="0" u="none" strike="noStrike" baseline="0">
              <a:solidFill>
                <a:srgbClr val="2A2A2A"/>
              </a:solidFill>
              <a:latin typeface="Overpass" panose="00000500000000000000" pitchFamily="2" charset="0"/>
              <a:ea typeface="+mn-ea"/>
              <a:cs typeface="Calibri"/>
            </a:rPr>
            <a:t> PRODUCT</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146</xdr:row>
      <xdr:rowOff>192330</xdr:rowOff>
    </xdr:from>
    <xdr:to>
      <xdr:col>60</xdr:col>
      <xdr:colOff>4055</xdr:colOff>
      <xdr:row>147</xdr:row>
      <xdr:rowOff>193699</xdr:rowOff>
    </xdr:to>
    <xdr:sp macro="" textlink="">
      <xdr:nvSpPr>
        <xdr:cNvPr id="192" name="TextBox 191">
          <a:extLst>
            <a:ext uri="{FF2B5EF4-FFF2-40B4-BE49-F238E27FC236}">
              <a16:creationId xmlns:a16="http://schemas.microsoft.com/office/drawing/2014/main" id="{00000000-0008-0000-0A00-0000C0000000}"/>
            </a:ext>
          </a:extLst>
        </xdr:cNvPr>
        <xdr:cNvSpPr txBox="1"/>
      </xdr:nvSpPr>
      <xdr:spPr>
        <a:xfrm>
          <a:off x="8953500" y="28005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 PERFORMANCE</a:t>
          </a:r>
        </a:p>
      </xdr:txBody>
    </xdr:sp>
    <xdr:clientData/>
  </xdr:twoCellAnchor>
  <xdr:twoCellAnchor>
    <xdr:from>
      <xdr:col>47</xdr:col>
      <xdr:colOff>0</xdr:colOff>
      <xdr:row>147</xdr:row>
      <xdr:rowOff>192330</xdr:rowOff>
    </xdr:from>
    <xdr:to>
      <xdr:col>60</xdr:col>
      <xdr:colOff>4055</xdr:colOff>
      <xdr:row>148</xdr:row>
      <xdr:rowOff>193699</xdr:rowOff>
    </xdr:to>
    <xdr:sp macro="" textlink="">
      <xdr:nvSpPr>
        <xdr:cNvPr id="193" name="TextBox 192">
          <a:extLst>
            <a:ext uri="{FF2B5EF4-FFF2-40B4-BE49-F238E27FC236}">
              <a16:creationId xmlns:a16="http://schemas.microsoft.com/office/drawing/2014/main" id="{00000000-0008-0000-0A00-0000C1000000}"/>
            </a:ext>
          </a:extLst>
        </xdr:cNvPr>
        <xdr:cNvSpPr txBox="1"/>
      </xdr:nvSpPr>
      <xdr:spPr>
        <a:xfrm>
          <a:off x="8953500" y="28195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a:t>
          </a:r>
        </a:p>
      </xdr:txBody>
    </xdr:sp>
    <xdr:clientData/>
  </xdr:twoCellAnchor>
  <xdr:twoCellAnchor>
    <xdr:from>
      <xdr:col>47</xdr:col>
      <xdr:colOff>0</xdr:colOff>
      <xdr:row>148</xdr:row>
      <xdr:rowOff>192330</xdr:rowOff>
    </xdr:from>
    <xdr:to>
      <xdr:col>60</xdr:col>
      <xdr:colOff>4055</xdr:colOff>
      <xdr:row>149</xdr:row>
      <xdr:rowOff>193699</xdr:rowOff>
    </xdr:to>
    <xdr:sp macro="" textlink="">
      <xdr:nvSpPr>
        <xdr:cNvPr id="194" name="TextBox 193">
          <a:extLst>
            <a:ext uri="{FF2B5EF4-FFF2-40B4-BE49-F238E27FC236}">
              <a16:creationId xmlns:a16="http://schemas.microsoft.com/office/drawing/2014/main" id="{00000000-0008-0000-0A00-0000C2000000}"/>
            </a:ext>
          </a:extLst>
        </xdr:cNvPr>
        <xdr:cNvSpPr txBox="1"/>
      </xdr:nvSpPr>
      <xdr:spPr>
        <a:xfrm>
          <a:off x="8953500" y="28386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 EXTENSION</a:t>
          </a:r>
        </a:p>
      </xdr:txBody>
    </xdr:sp>
    <xdr:clientData/>
  </xdr:twoCellAnchor>
  <xdr:twoCellAnchor>
    <xdr:from>
      <xdr:col>47</xdr:col>
      <xdr:colOff>0</xdr:colOff>
      <xdr:row>149</xdr:row>
      <xdr:rowOff>192330</xdr:rowOff>
    </xdr:from>
    <xdr:to>
      <xdr:col>60</xdr:col>
      <xdr:colOff>4055</xdr:colOff>
      <xdr:row>150</xdr:row>
      <xdr:rowOff>193699</xdr:rowOff>
    </xdr:to>
    <xdr:sp macro="" textlink="">
      <xdr:nvSpPr>
        <xdr:cNvPr id="195" name="TextBox 194">
          <a:extLst>
            <a:ext uri="{FF2B5EF4-FFF2-40B4-BE49-F238E27FC236}">
              <a16:creationId xmlns:a16="http://schemas.microsoft.com/office/drawing/2014/main" id="{00000000-0008-0000-0A00-0000C3000000}"/>
            </a:ext>
          </a:extLst>
        </xdr:cNvPr>
        <xdr:cNvSpPr txBox="1"/>
      </xdr:nvSpPr>
      <xdr:spPr>
        <a:xfrm>
          <a:off x="8953500" y="28576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WORKMANSHIP</a:t>
          </a:r>
        </a:p>
      </xdr:txBody>
    </xdr:sp>
    <xdr:clientData/>
  </xdr:twoCellAnchor>
  <xdr:twoCellAnchor>
    <xdr:from>
      <xdr:col>47</xdr:col>
      <xdr:colOff>0</xdr:colOff>
      <xdr:row>150</xdr:row>
      <xdr:rowOff>135180</xdr:rowOff>
    </xdr:from>
    <xdr:to>
      <xdr:col>60</xdr:col>
      <xdr:colOff>4055</xdr:colOff>
      <xdr:row>152</xdr:row>
      <xdr:rowOff>104775</xdr:rowOff>
    </xdr:to>
    <xdr:sp macro="" textlink="">
      <xdr:nvSpPr>
        <xdr:cNvPr id="196" name="TextBox 195">
          <a:extLst>
            <a:ext uri="{FF2B5EF4-FFF2-40B4-BE49-F238E27FC236}">
              <a16:creationId xmlns:a16="http://schemas.microsoft.com/office/drawing/2014/main" id="{00000000-0008-0000-0A00-0000C4000000}"/>
            </a:ext>
          </a:extLst>
        </xdr:cNvPr>
        <xdr:cNvSpPr txBox="1"/>
      </xdr:nvSpPr>
      <xdr:spPr>
        <a:xfrm>
          <a:off x="8953500" y="28710180"/>
          <a:ext cx="2480555" cy="350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12</a:t>
          </a:r>
          <a:r>
            <a:rPr lang="en-US" sz="1000" b="1" i="0" u="none" strike="noStrike" baseline="0">
              <a:solidFill>
                <a:srgbClr val="2A2A2A"/>
              </a:solidFill>
              <a:latin typeface="Overpass" panose="00000500000000000000" pitchFamily="2" charset="0"/>
              <a:ea typeface="+mn-ea"/>
              <a:cs typeface="Calibri"/>
            </a:rPr>
            <a:t> MONTHS </a:t>
          </a:r>
          <a:r>
            <a:rPr lang="en-US" sz="1000" b="1" i="0" u="none" strike="noStrike">
              <a:solidFill>
                <a:srgbClr val="2A2A2A"/>
              </a:solidFill>
              <a:latin typeface="Overpass" panose="00000500000000000000" pitchFamily="2" charset="0"/>
              <a:ea typeface="+mn-ea"/>
              <a:cs typeface="Calibri"/>
            </a:rPr>
            <a:t>SMART INVESTMENT PROTECTION</a:t>
          </a:r>
        </a:p>
      </xdr:txBody>
    </xdr:sp>
    <xdr:clientData/>
  </xdr:twoCellAnchor>
  <xdr:twoCellAnchor>
    <xdr:from>
      <xdr:col>47</xdr:col>
      <xdr:colOff>0</xdr:colOff>
      <xdr:row>153</xdr:row>
      <xdr:rowOff>192330</xdr:rowOff>
    </xdr:from>
    <xdr:to>
      <xdr:col>77</xdr:col>
      <xdr:colOff>0</xdr:colOff>
      <xdr:row>153</xdr:row>
      <xdr:rowOff>192330</xdr:rowOff>
    </xdr:to>
    <xdr:cxnSp macro="">
      <xdr:nvCxnSpPr>
        <xdr:cNvPr id="197" name="Straight Connector 16">
          <a:extLst>
            <a:ext uri="{FF2B5EF4-FFF2-40B4-BE49-F238E27FC236}">
              <a16:creationId xmlns:a16="http://schemas.microsoft.com/office/drawing/2014/main" id="{00000000-0008-0000-0A00-0000C5000000}"/>
            </a:ext>
          </a:extLst>
        </xdr:cNvPr>
        <xdr:cNvCxnSpPr/>
      </xdr:nvCxnSpPr>
      <xdr:spPr>
        <a:xfrm>
          <a:off x="8953500" y="29338830"/>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108713</xdr:colOff>
      <xdr:row>155</xdr:row>
      <xdr:rowOff>192330</xdr:rowOff>
    </xdr:from>
    <xdr:to>
      <xdr:col>68</xdr:col>
      <xdr:colOff>5720</xdr:colOff>
      <xdr:row>157</xdr:row>
      <xdr:rowOff>192330</xdr:rowOff>
    </xdr:to>
    <xdr:sp macro="" textlink="">
      <xdr:nvSpPr>
        <xdr:cNvPr id="198" name="TextBox 197">
          <a:extLst>
            <a:ext uri="{FF2B5EF4-FFF2-40B4-BE49-F238E27FC236}">
              <a16:creationId xmlns:a16="http://schemas.microsoft.com/office/drawing/2014/main" id="{00000000-0008-0000-0A00-0000C6000000}"/>
            </a:ext>
          </a:extLst>
        </xdr:cNvPr>
        <xdr:cNvSpPr txBox="1"/>
      </xdr:nvSpPr>
      <xdr:spPr>
        <a:xfrm>
          <a:off x="9252713" y="29719830"/>
          <a:ext cx="370700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Commissioning</a:t>
          </a:r>
          <a:r>
            <a:rPr lang="en-GB" sz="2000" b="0" i="0" baseline="0">
              <a:solidFill>
                <a:srgbClr val="28066C"/>
              </a:solidFill>
              <a:latin typeface="Barlow" pitchFamily="2" charset="77"/>
            </a:rPr>
            <a:t> &amp; Monitoring</a:t>
          </a:r>
          <a:endParaRPr lang="en-GB" sz="2000" b="0" i="0">
            <a:solidFill>
              <a:srgbClr val="28066C"/>
            </a:solidFill>
            <a:latin typeface="Barlow" pitchFamily="2" charset="77"/>
          </a:endParaRPr>
        </a:p>
      </xdr:txBody>
    </xdr:sp>
    <xdr:clientData/>
  </xdr:twoCellAnchor>
  <xdr:twoCellAnchor>
    <xdr:from>
      <xdr:col>47</xdr:col>
      <xdr:colOff>104655</xdr:colOff>
      <xdr:row>155</xdr:row>
      <xdr:rowOff>192330</xdr:rowOff>
    </xdr:from>
    <xdr:to>
      <xdr:col>47</xdr:col>
      <xdr:colOff>104655</xdr:colOff>
      <xdr:row>157</xdr:row>
      <xdr:rowOff>192330</xdr:rowOff>
    </xdr:to>
    <xdr:cxnSp macro="">
      <xdr:nvCxnSpPr>
        <xdr:cNvPr id="199" name="Straight Connector 198">
          <a:extLst>
            <a:ext uri="{FF2B5EF4-FFF2-40B4-BE49-F238E27FC236}">
              <a16:creationId xmlns:a16="http://schemas.microsoft.com/office/drawing/2014/main" id="{00000000-0008-0000-0A00-0000C7000000}"/>
            </a:ext>
          </a:extLst>
        </xdr:cNvPr>
        <xdr:cNvCxnSpPr/>
      </xdr:nvCxnSpPr>
      <xdr:spPr>
        <a:xfrm>
          <a:off x="9058155" y="297198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5720</xdr:colOff>
      <xdr:row>158</xdr:row>
      <xdr:rowOff>186608</xdr:rowOff>
    </xdr:from>
    <xdr:to>
      <xdr:col>60</xdr:col>
      <xdr:colOff>9775</xdr:colOff>
      <xdr:row>159</xdr:row>
      <xdr:rowOff>193699</xdr:rowOff>
    </xdr:to>
    <xdr:sp macro="" textlink="">
      <xdr:nvSpPr>
        <xdr:cNvPr id="200" name="TextBox 199">
          <a:extLst>
            <a:ext uri="{FF2B5EF4-FFF2-40B4-BE49-F238E27FC236}">
              <a16:creationId xmlns:a16="http://schemas.microsoft.com/office/drawing/2014/main" id="{00000000-0008-0000-0A00-0000C8000000}"/>
            </a:ext>
          </a:extLst>
        </xdr:cNvPr>
        <xdr:cNvSpPr txBox="1"/>
      </xdr:nvSpPr>
      <xdr:spPr>
        <a:xfrm>
          <a:off x="8959220" y="30285608"/>
          <a:ext cx="2480555" cy="197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SYSTEM MONITORING</a:t>
          </a:r>
        </a:p>
      </xdr:txBody>
    </xdr:sp>
    <xdr:clientData/>
  </xdr:twoCellAnchor>
  <xdr:twoCellAnchor>
    <xdr:from>
      <xdr:col>47</xdr:col>
      <xdr:colOff>5720</xdr:colOff>
      <xdr:row>159</xdr:row>
      <xdr:rowOff>192330</xdr:rowOff>
    </xdr:from>
    <xdr:to>
      <xdr:col>60</xdr:col>
      <xdr:colOff>9775</xdr:colOff>
      <xdr:row>160</xdr:row>
      <xdr:rowOff>193699</xdr:rowOff>
    </xdr:to>
    <xdr:sp macro="" textlink="">
      <xdr:nvSpPr>
        <xdr:cNvPr id="201" name="TextBox 200">
          <a:extLst>
            <a:ext uri="{FF2B5EF4-FFF2-40B4-BE49-F238E27FC236}">
              <a16:creationId xmlns:a16="http://schemas.microsoft.com/office/drawing/2014/main" id="{00000000-0008-0000-0A00-0000C9000000}"/>
            </a:ext>
          </a:extLst>
        </xdr:cNvPr>
        <xdr:cNvSpPr txBox="1"/>
      </xdr:nvSpPr>
      <xdr:spPr>
        <a:xfrm>
          <a:off x="8959220" y="30481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LGC CONTRACT ESTABLISHMENT</a:t>
          </a:r>
        </a:p>
      </xdr:txBody>
    </xdr:sp>
    <xdr:clientData/>
  </xdr:twoCellAnchor>
  <xdr:twoCellAnchor>
    <xdr:from>
      <xdr:col>47</xdr:col>
      <xdr:colOff>0</xdr:colOff>
      <xdr:row>162</xdr:row>
      <xdr:rowOff>192330</xdr:rowOff>
    </xdr:from>
    <xdr:to>
      <xdr:col>77</xdr:col>
      <xdr:colOff>0</xdr:colOff>
      <xdr:row>162</xdr:row>
      <xdr:rowOff>192330</xdr:rowOff>
    </xdr:to>
    <xdr:cxnSp macro="">
      <xdr:nvCxnSpPr>
        <xdr:cNvPr id="202" name="Straight Connector 16">
          <a:extLst>
            <a:ext uri="{FF2B5EF4-FFF2-40B4-BE49-F238E27FC236}">
              <a16:creationId xmlns:a16="http://schemas.microsoft.com/office/drawing/2014/main" id="{00000000-0008-0000-0A00-0000CA000000}"/>
            </a:ext>
          </a:extLst>
        </xdr:cNvPr>
        <xdr:cNvCxnSpPr/>
      </xdr:nvCxnSpPr>
      <xdr:spPr>
        <a:xfrm>
          <a:off x="8953500" y="31053330"/>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108713</xdr:colOff>
      <xdr:row>164</xdr:row>
      <xdr:rowOff>192330</xdr:rowOff>
    </xdr:from>
    <xdr:to>
      <xdr:col>68</xdr:col>
      <xdr:colOff>5720</xdr:colOff>
      <xdr:row>166</xdr:row>
      <xdr:rowOff>192330</xdr:rowOff>
    </xdr:to>
    <xdr:sp macro="" textlink="">
      <xdr:nvSpPr>
        <xdr:cNvPr id="203" name="TextBox 202">
          <a:extLst>
            <a:ext uri="{FF2B5EF4-FFF2-40B4-BE49-F238E27FC236}">
              <a16:creationId xmlns:a16="http://schemas.microsoft.com/office/drawing/2014/main" id="{00000000-0008-0000-0A00-0000CB000000}"/>
            </a:ext>
          </a:extLst>
        </xdr:cNvPr>
        <xdr:cNvSpPr txBox="1"/>
      </xdr:nvSpPr>
      <xdr:spPr>
        <a:xfrm>
          <a:off x="9252713" y="31434330"/>
          <a:ext cx="370700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Additionals</a:t>
          </a:r>
        </a:p>
      </xdr:txBody>
    </xdr:sp>
    <xdr:clientData/>
  </xdr:twoCellAnchor>
  <xdr:twoCellAnchor>
    <xdr:from>
      <xdr:col>47</xdr:col>
      <xdr:colOff>104655</xdr:colOff>
      <xdr:row>164</xdr:row>
      <xdr:rowOff>192330</xdr:rowOff>
    </xdr:from>
    <xdr:to>
      <xdr:col>47</xdr:col>
      <xdr:colOff>104655</xdr:colOff>
      <xdr:row>166</xdr:row>
      <xdr:rowOff>192330</xdr:rowOff>
    </xdr:to>
    <xdr:cxnSp macro="">
      <xdr:nvCxnSpPr>
        <xdr:cNvPr id="204" name="Straight Connector 203">
          <a:extLst>
            <a:ext uri="{FF2B5EF4-FFF2-40B4-BE49-F238E27FC236}">
              <a16:creationId xmlns:a16="http://schemas.microsoft.com/office/drawing/2014/main" id="{00000000-0008-0000-0A00-0000CC000000}"/>
            </a:ext>
          </a:extLst>
        </xdr:cNvPr>
        <xdr:cNvCxnSpPr/>
      </xdr:nvCxnSpPr>
      <xdr:spPr>
        <a:xfrm>
          <a:off x="9058155" y="314343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5720</xdr:colOff>
      <xdr:row>167</xdr:row>
      <xdr:rowOff>186609</xdr:rowOff>
    </xdr:from>
    <xdr:to>
      <xdr:col>60</xdr:col>
      <xdr:colOff>9775</xdr:colOff>
      <xdr:row>168</xdr:row>
      <xdr:rowOff>193699</xdr:rowOff>
    </xdr:to>
    <xdr:sp macro="" textlink="">
      <xdr:nvSpPr>
        <xdr:cNvPr id="205" name="TextBox 204">
          <a:extLst>
            <a:ext uri="{FF2B5EF4-FFF2-40B4-BE49-F238E27FC236}">
              <a16:creationId xmlns:a16="http://schemas.microsoft.com/office/drawing/2014/main" id="{00000000-0008-0000-0A00-0000CD000000}"/>
            </a:ext>
          </a:extLst>
        </xdr:cNvPr>
        <xdr:cNvSpPr txBox="1"/>
      </xdr:nvSpPr>
      <xdr:spPr>
        <a:xfrm>
          <a:off x="8959220" y="32000109"/>
          <a:ext cx="2480555" cy="19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MSB UBGRADE</a:t>
          </a:r>
        </a:p>
      </xdr:txBody>
    </xdr:sp>
    <xdr:clientData/>
  </xdr:twoCellAnchor>
  <xdr:twoCellAnchor>
    <xdr:from>
      <xdr:col>47</xdr:col>
      <xdr:colOff>5720</xdr:colOff>
      <xdr:row>168</xdr:row>
      <xdr:rowOff>186609</xdr:rowOff>
    </xdr:from>
    <xdr:to>
      <xdr:col>60</xdr:col>
      <xdr:colOff>9775</xdr:colOff>
      <xdr:row>169</xdr:row>
      <xdr:rowOff>193699</xdr:rowOff>
    </xdr:to>
    <xdr:sp macro="" textlink="">
      <xdr:nvSpPr>
        <xdr:cNvPr id="206" name="TextBox 205">
          <a:extLst>
            <a:ext uri="{FF2B5EF4-FFF2-40B4-BE49-F238E27FC236}">
              <a16:creationId xmlns:a16="http://schemas.microsoft.com/office/drawing/2014/main" id="{00000000-0008-0000-0A00-0000CE000000}"/>
            </a:ext>
          </a:extLst>
        </xdr:cNvPr>
        <xdr:cNvSpPr txBox="1"/>
      </xdr:nvSpPr>
      <xdr:spPr>
        <a:xfrm>
          <a:off x="8959220" y="32190609"/>
          <a:ext cx="2480555" cy="19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KIOSK MONITORING</a:t>
          </a:r>
        </a:p>
      </xdr:txBody>
    </xdr:sp>
    <xdr:clientData/>
  </xdr:twoCellAnchor>
  <xdr:twoCellAnchor>
    <xdr:from>
      <xdr:col>47</xdr:col>
      <xdr:colOff>5720</xdr:colOff>
      <xdr:row>169</xdr:row>
      <xdr:rowOff>192330</xdr:rowOff>
    </xdr:from>
    <xdr:to>
      <xdr:col>60</xdr:col>
      <xdr:colOff>9775</xdr:colOff>
      <xdr:row>170</xdr:row>
      <xdr:rowOff>193699</xdr:rowOff>
    </xdr:to>
    <xdr:sp macro="" textlink="">
      <xdr:nvSpPr>
        <xdr:cNvPr id="207" name="TextBox 206">
          <a:extLst>
            <a:ext uri="{FF2B5EF4-FFF2-40B4-BE49-F238E27FC236}">
              <a16:creationId xmlns:a16="http://schemas.microsoft.com/office/drawing/2014/main" id="{00000000-0008-0000-0A00-0000CF000000}"/>
            </a:ext>
          </a:extLst>
        </xdr:cNvPr>
        <xdr:cNvSpPr txBox="1"/>
      </xdr:nvSpPr>
      <xdr:spPr>
        <a:xfrm>
          <a:off x="8959220" y="32386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TRENCHING</a:t>
          </a:r>
        </a:p>
      </xdr:txBody>
    </xdr:sp>
    <xdr:clientData/>
  </xdr:twoCellAnchor>
  <xdr:twoCellAnchor>
    <xdr:from>
      <xdr:col>47</xdr:col>
      <xdr:colOff>5720</xdr:colOff>
      <xdr:row>170</xdr:row>
      <xdr:rowOff>192330</xdr:rowOff>
    </xdr:from>
    <xdr:to>
      <xdr:col>60</xdr:col>
      <xdr:colOff>9775</xdr:colOff>
      <xdr:row>171</xdr:row>
      <xdr:rowOff>193699</xdr:rowOff>
    </xdr:to>
    <xdr:sp macro="" textlink="">
      <xdr:nvSpPr>
        <xdr:cNvPr id="208" name="TextBox 207">
          <a:extLst>
            <a:ext uri="{FF2B5EF4-FFF2-40B4-BE49-F238E27FC236}">
              <a16:creationId xmlns:a16="http://schemas.microsoft.com/office/drawing/2014/main" id="{00000000-0008-0000-0A00-0000D0000000}"/>
            </a:ext>
          </a:extLst>
        </xdr:cNvPr>
        <xdr:cNvSpPr txBox="1"/>
      </xdr:nvSpPr>
      <xdr:spPr>
        <a:xfrm>
          <a:off x="8959220" y="32577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EV CHARGERS</a:t>
          </a:r>
        </a:p>
      </xdr:txBody>
    </xdr:sp>
    <xdr:clientData/>
  </xdr:twoCellAnchor>
  <xdr:twoCellAnchor>
    <xdr:from>
      <xdr:col>6</xdr:col>
      <xdr:colOff>0</xdr:colOff>
      <xdr:row>187</xdr:row>
      <xdr:rowOff>0</xdr:rowOff>
    </xdr:from>
    <xdr:to>
      <xdr:col>31</xdr:col>
      <xdr:colOff>2684</xdr:colOff>
      <xdr:row>189</xdr:row>
      <xdr:rowOff>9034</xdr:rowOff>
    </xdr:to>
    <xdr:sp macro="" textlink="">
      <xdr:nvSpPr>
        <xdr:cNvPr id="209" name="TextBox 15">
          <a:extLst>
            <a:ext uri="{FF2B5EF4-FFF2-40B4-BE49-F238E27FC236}">
              <a16:creationId xmlns:a16="http://schemas.microsoft.com/office/drawing/2014/main" id="{00000000-0008-0000-0A00-0000D1000000}"/>
            </a:ext>
          </a:extLst>
        </xdr:cNvPr>
        <xdr:cNvSpPr txBox="1"/>
      </xdr:nvSpPr>
      <xdr:spPr>
        <a:xfrm>
          <a:off x="1143000" y="35623500"/>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NEXT STEPS</a:t>
          </a:r>
        </a:p>
      </xdr:txBody>
    </xdr:sp>
    <xdr:clientData/>
  </xdr:twoCellAnchor>
  <xdr:twoCellAnchor>
    <xdr:from>
      <xdr:col>6</xdr:col>
      <xdr:colOff>94916</xdr:colOff>
      <xdr:row>191</xdr:row>
      <xdr:rowOff>0</xdr:rowOff>
    </xdr:from>
    <xdr:to>
      <xdr:col>22</xdr:col>
      <xdr:colOff>1</xdr:colOff>
      <xdr:row>193</xdr:row>
      <xdr:rowOff>0</xdr:rowOff>
    </xdr:to>
    <xdr:grpSp>
      <xdr:nvGrpSpPr>
        <xdr:cNvPr id="332" name="Group 331">
          <a:extLst>
            <a:ext uri="{FF2B5EF4-FFF2-40B4-BE49-F238E27FC236}">
              <a16:creationId xmlns:a16="http://schemas.microsoft.com/office/drawing/2014/main" id="{125DBA71-8B02-BE69-EDB6-521AADEBF536}"/>
            </a:ext>
          </a:extLst>
        </xdr:cNvPr>
        <xdr:cNvGrpSpPr/>
      </xdr:nvGrpSpPr>
      <xdr:grpSpPr>
        <a:xfrm>
          <a:off x="1241726" y="36385500"/>
          <a:ext cx="2949275" cy="381000"/>
          <a:chOff x="1257289" y="37002203"/>
          <a:chExt cx="3004746" cy="387458"/>
        </a:xfrm>
      </xdr:grpSpPr>
      <xdr:sp macro="" textlink="">
        <xdr:nvSpPr>
          <xdr:cNvPr id="210" name="TextBox 209">
            <a:extLst>
              <a:ext uri="{FF2B5EF4-FFF2-40B4-BE49-F238E27FC236}">
                <a16:creationId xmlns:a16="http://schemas.microsoft.com/office/drawing/2014/main" id="{00000000-0008-0000-0A00-0000D2000000}"/>
              </a:ext>
            </a:extLst>
          </xdr:cNvPr>
          <xdr:cNvSpPr txBox="1"/>
        </xdr:nvSpPr>
        <xdr:spPr>
          <a:xfrm>
            <a:off x="1455077" y="37002203"/>
            <a:ext cx="2806958"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Payment Schedule</a:t>
            </a:r>
          </a:p>
        </xdr:txBody>
      </xdr:sp>
      <xdr:cxnSp macro="">
        <xdr:nvCxnSpPr>
          <xdr:cNvPr id="211" name="Straight Connector 210">
            <a:extLst>
              <a:ext uri="{FF2B5EF4-FFF2-40B4-BE49-F238E27FC236}">
                <a16:creationId xmlns:a16="http://schemas.microsoft.com/office/drawing/2014/main" id="{00000000-0008-0000-0A00-0000D3000000}"/>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483</xdr:colOff>
      <xdr:row>193</xdr:row>
      <xdr:rowOff>192331</xdr:rowOff>
    </xdr:from>
    <xdr:to>
      <xdr:col>20</xdr:col>
      <xdr:colOff>0</xdr:colOff>
      <xdr:row>196</xdr:row>
      <xdr:rowOff>189646</xdr:rowOff>
    </xdr:to>
    <xdr:sp macro="" textlink="">
      <xdr:nvSpPr>
        <xdr:cNvPr id="212" name="TextBox 211">
          <a:extLst>
            <a:ext uri="{FF2B5EF4-FFF2-40B4-BE49-F238E27FC236}">
              <a16:creationId xmlns:a16="http://schemas.microsoft.com/office/drawing/2014/main" id="{00000000-0008-0000-0A00-0000D4000000}"/>
            </a:ext>
          </a:extLst>
        </xdr:cNvPr>
        <xdr:cNvSpPr txBox="1"/>
      </xdr:nvSpPr>
      <xdr:spPr>
        <a:xfrm>
          <a:off x="1143483" y="36958831"/>
          <a:ext cx="2666517" cy="56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666666"/>
              </a:solidFill>
              <a:latin typeface="Overpass" panose="00000500000000000000" pitchFamily="2" charset="0"/>
              <a:ea typeface="+mn-ea"/>
              <a:cs typeface="Calibri"/>
            </a:rPr>
            <a:t>SMART</a:t>
          </a:r>
          <a:r>
            <a:rPr lang="en-US" sz="1000" b="1" i="0" u="none" strike="noStrike" baseline="0">
              <a:solidFill>
                <a:srgbClr val="666666"/>
              </a:solidFill>
              <a:latin typeface="Overpass" panose="00000500000000000000" pitchFamily="2" charset="0"/>
              <a:ea typeface="+mn-ea"/>
              <a:cs typeface="Calibri"/>
            </a:rPr>
            <a:t> STANDARD TERMS OF PAYMENT ARE AS FOLLOWS.</a:t>
          </a:r>
          <a:endParaRPr lang="en-US" sz="1000" b="1" i="0" u="none" strike="noStrike">
            <a:solidFill>
              <a:srgbClr val="666666"/>
            </a:solidFill>
            <a:latin typeface="Overpass" panose="00000500000000000000" pitchFamily="2" charset="0"/>
            <a:ea typeface="+mn-ea"/>
            <a:cs typeface="Calibri"/>
          </a:endParaRPr>
        </a:p>
      </xdr:txBody>
    </xdr:sp>
    <xdr:clientData/>
  </xdr:twoCellAnchor>
  <xdr:twoCellAnchor>
    <xdr:from>
      <xdr:col>24</xdr:col>
      <xdr:colOff>1</xdr:colOff>
      <xdr:row>191</xdr:row>
      <xdr:rowOff>0</xdr:rowOff>
    </xdr:from>
    <xdr:to>
      <xdr:col>36</xdr:col>
      <xdr:colOff>1</xdr:colOff>
      <xdr:row>204</xdr:row>
      <xdr:rowOff>4004</xdr:rowOff>
    </xdr:to>
    <xdr:grpSp>
      <xdr:nvGrpSpPr>
        <xdr:cNvPr id="304" name="Group 303">
          <a:extLst>
            <a:ext uri="{FF2B5EF4-FFF2-40B4-BE49-F238E27FC236}">
              <a16:creationId xmlns:a16="http://schemas.microsoft.com/office/drawing/2014/main" id="{00000000-0008-0000-0A00-000030010000}"/>
            </a:ext>
          </a:extLst>
        </xdr:cNvPr>
        <xdr:cNvGrpSpPr/>
      </xdr:nvGrpSpPr>
      <xdr:grpSpPr>
        <a:xfrm>
          <a:off x="4572001" y="36385500"/>
          <a:ext cx="2286000" cy="2482409"/>
          <a:chOff x="4500404" y="35815705"/>
          <a:chExt cx="2250201" cy="2441722"/>
        </a:xfrm>
      </xdr:grpSpPr>
      <xdr:sp macro="" textlink="">
        <xdr:nvSpPr>
          <xdr:cNvPr id="213" name="TextBox 212">
            <a:extLst>
              <a:ext uri="{FF2B5EF4-FFF2-40B4-BE49-F238E27FC236}">
                <a16:creationId xmlns:a16="http://schemas.microsoft.com/office/drawing/2014/main" id="{00000000-0008-0000-0A00-0000D5000000}"/>
              </a:ext>
            </a:extLst>
          </xdr:cNvPr>
          <xdr:cNvSpPr txBox="1"/>
        </xdr:nvSpPr>
        <xdr:spPr>
          <a:xfrm>
            <a:off x="5625504" y="36753289"/>
            <a:ext cx="1125100" cy="750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Smart Commercial</a:t>
            </a:r>
            <a:r>
              <a:rPr lang="en-US" sz="1000" b="0" i="0" u="none" strike="noStrike" baseline="0">
                <a:solidFill>
                  <a:srgbClr val="2A2A2A"/>
                </a:solidFill>
                <a:latin typeface="Overpass" panose="00000500000000000000" pitchFamily="2" charset="0"/>
                <a:ea typeface="+mn-ea"/>
                <a:cs typeface="Calibri"/>
              </a:rPr>
              <a:t> Solar Pty Ltd.</a:t>
            </a:r>
            <a:endParaRPr lang="en-US" sz="1000" b="0" i="0" u="none" strike="noStrike">
              <a:solidFill>
                <a:srgbClr val="2A2A2A"/>
              </a:solidFill>
              <a:latin typeface="Overpass" panose="00000500000000000000" pitchFamily="2" charset="0"/>
              <a:ea typeface="+mn-ea"/>
              <a:cs typeface="Calibri"/>
            </a:endParaRPr>
          </a:p>
        </xdr:txBody>
      </xdr:sp>
      <xdr:grpSp>
        <xdr:nvGrpSpPr>
          <xdr:cNvPr id="214" name="Group 213">
            <a:extLst>
              <a:ext uri="{FF2B5EF4-FFF2-40B4-BE49-F238E27FC236}">
                <a16:creationId xmlns:a16="http://schemas.microsoft.com/office/drawing/2014/main" id="{00000000-0008-0000-0A00-0000D6000000}"/>
              </a:ext>
            </a:extLst>
          </xdr:cNvPr>
          <xdr:cNvGrpSpPr/>
        </xdr:nvGrpSpPr>
        <xdr:grpSpPr>
          <a:xfrm>
            <a:off x="4500404" y="35815705"/>
            <a:ext cx="2250201" cy="2441722"/>
            <a:chOff x="4661648" y="37293177"/>
            <a:chExt cx="2330824" cy="2525059"/>
          </a:xfrm>
        </xdr:grpSpPr>
        <xdr:sp macro="" textlink="">
          <xdr:nvSpPr>
            <xdr:cNvPr id="215" name="TextBox 214">
              <a:extLst>
                <a:ext uri="{FF2B5EF4-FFF2-40B4-BE49-F238E27FC236}">
                  <a16:creationId xmlns:a16="http://schemas.microsoft.com/office/drawing/2014/main" id="{00000000-0008-0000-0A00-0000D7000000}"/>
                </a:ext>
              </a:extLst>
            </xdr:cNvPr>
            <xdr:cNvSpPr txBox="1"/>
          </xdr:nvSpPr>
          <xdr:spPr>
            <a:xfrm>
              <a:off x="4855883" y="38260617"/>
              <a:ext cx="971176" cy="780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216" name="TextBox 215">
              <a:extLst>
                <a:ext uri="{FF2B5EF4-FFF2-40B4-BE49-F238E27FC236}">
                  <a16:creationId xmlns:a16="http://schemas.microsoft.com/office/drawing/2014/main" id="{00000000-0008-0000-0A00-0000D8000000}"/>
                </a:ext>
              </a:extLst>
            </xdr:cNvPr>
            <xdr:cNvSpPr txBox="1"/>
          </xdr:nvSpPr>
          <xdr:spPr>
            <a:xfrm>
              <a:off x="4855882" y="38847059"/>
              <a:ext cx="1362186" cy="188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BSB #</a:t>
              </a:r>
            </a:p>
          </xdr:txBody>
        </xdr:sp>
        <xdr:sp macro="" textlink="">
          <xdr:nvSpPr>
            <xdr:cNvPr id="217" name="TextBox 216">
              <a:extLst>
                <a:ext uri="{FF2B5EF4-FFF2-40B4-BE49-F238E27FC236}">
                  <a16:creationId xmlns:a16="http://schemas.microsoft.com/office/drawing/2014/main" id="{00000000-0008-0000-0A00-0000D9000000}"/>
                </a:ext>
              </a:extLst>
            </xdr:cNvPr>
            <xdr:cNvSpPr txBox="1"/>
          </xdr:nvSpPr>
          <xdr:spPr>
            <a:xfrm>
              <a:off x="4855882" y="39041294"/>
              <a:ext cx="155388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218" name="TextBox 217">
              <a:extLst>
                <a:ext uri="{FF2B5EF4-FFF2-40B4-BE49-F238E27FC236}">
                  <a16:creationId xmlns:a16="http://schemas.microsoft.com/office/drawing/2014/main" id="{00000000-0008-0000-0A00-0000DA000000}"/>
                </a:ext>
              </a:extLst>
            </xdr:cNvPr>
            <xdr:cNvSpPr txBox="1"/>
          </xdr:nvSpPr>
          <xdr:spPr>
            <a:xfrm>
              <a:off x="4855882" y="39237702"/>
              <a:ext cx="1553883"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ABN</a:t>
              </a:r>
            </a:p>
          </xdr:txBody>
        </xdr:sp>
        <xdr:sp macro="" textlink="">
          <xdr:nvSpPr>
            <xdr:cNvPr id="219" name="TextBox 218">
              <a:extLst>
                <a:ext uri="{FF2B5EF4-FFF2-40B4-BE49-F238E27FC236}">
                  <a16:creationId xmlns:a16="http://schemas.microsoft.com/office/drawing/2014/main" id="{00000000-0008-0000-0A00-0000DB000000}"/>
                </a:ext>
              </a:extLst>
            </xdr:cNvPr>
            <xdr:cNvSpPr txBox="1"/>
          </xdr:nvSpPr>
          <xdr:spPr>
            <a:xfrm>
              <a:off x="5827059" y="38847059"/>
              <a:ext cx="97117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062 313</a:t>
              </a:r>
            </a:p>
          </xdr:txBody>
        </xdr:sp>
        <xdr:sp macro="" textlink="">
          <xdr:nvSpPr>
            <xdr:cNvPr id="220" name="TextBox 219">
              <a:extLst>
                <a:ext uri="{FF2B5EF4-FFF2-40B4-BE49-F238E27FC236}">
                  <a16:creationId xmlns:a16="http://schemas.microsoft.com/office/drawing/2014/main" id="{00000000-0008-0000-0A00-0000DC000000}"/>
                </a:ext>
              </a:extLst>
            </xdr:cNvPr>
            <xdr:cNvSpPr txBox="1"/>
          </xdr:nvSpPr>
          <xdr:spPr>
            <a:xfrm>
              <a:off x="5827059" y="39041983"/>
              <a:ext cx="776941"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1026 1167</a:t>
              </a:r>
            </a:p>
          </xdr:txBody>
        </xdr:sp>
        <xdr:sp macro="" textlink="">
          <xdr:nvSpPr>
            <xdr:cNvPr id="221" name="TextBox 220">
              <a:extLst>
                <a:ext uri="{FF2B5EF4-FFF2-40B4-BE49-F238E27FC236}">
                  <a16:creationId xmlns:a16="http://schemas.microsoft.com/office/drawing/2014/main" id="{00000000-0008-0000-0A00-0000DD000000}"/>
                </a:ext>
              </a:extLst>
            </xdr:cNvPr>
            <xdr:cNvSpPr txBox="1"/>
          </xdr:nvSpPr>
          <xdr:spPr>
            <a:xfrm>
              <a:off x="5827059" y="39237702"/>
              <a:ext cx="1165412"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27 155 596 928</a:t>
              </a:r>
            </a:p>
          </xdr:txBody>
        </xdr:sp>
        <xdr:sp macro="" textlink="">
          <xdr:nvSpPr>
            <xdr:cNvPr id="222" name="Rounded Rectangle 221">
              <a:extLst>
                <a:ext uri="{FF2B5EF4-FFF2-40B4-BE49-F238E27FC236}">
                  <a16:creationId xmlns:a16="http://schemas.microsoft.com/office/drawing/2014/main" id="{00000000-0008-0000-0A00-0000DE000000}"/>
                </a:ext>
              </a:extLst>
            </xdr:cNvPr>
            <xdr:cNvSpPr/>
          </xdr:nvSpPr>
          <xdr:spPr>
            <a:xfrm>
              <a:off x="4661648" y="37293177"/>
              <a:ext cx="2330824" cy="2525059"/>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3" name="TextBox 236">
              <a:extLst>
                <a:ext uri="{FF2B5EF4-FFF2-40B4-BE49-F238E27FC236}">
                  <a16:creationId xmlns:a16="http://schemas.microsoft.com/office/drawing/2014/main" id="{00000000-0008-0000-0A00-0000DF000000}"/>
                </a:ext>
              </a:extLst>
            </xdr:cNvPr>
            <xdr:cNvSpPr txBox="1"/>
          </xdr:nvSpPr>
          <xdr:spPr>
            <a:xfrm>
              <a:off x="4855882" y="37681647"/>
              <a:ext cx="1748118"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BANK DETAILS</a:t>
              </a:r>
            </a:p>
          </xdr:txBody>
        </xdr:sp>
        <xdr:cxnSp macro="">
          <xdr:nvCxnSpPr>
            <xdr:cNvPr id="224" name="Straight Connector 16">
              <a:extLst>
                <a:ext uri="{FF2B5EF4-FFF2-40B4-BE49-F238E27FC236}">
                  <a16:creationId xmlns:a16="http://schemas.microsoft.com/office/drawing/2014/main" id="{00000000-0008-0000-0A00-0000E0000000}"/>
                </a:ext>
              </a:extLst>
            </xdr:cNvPr>
            <xdr:cNvCxnSpPr/>
          </xdr:nvCxnSpPr>
          <xdr:spPr>
            <a:xfrm>
              <a:off x="4855882" y="38070118"/>
              <a:ext cx="19423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6</xdr:col>
      <xdr:colOff>2830</xdr:colOff>
      <xdr:row>227</xdr:row>
      <xdr:rowOff>184328</xdr:rowOff>
    </xdr:from>
    <xdr:to>
      <xdr:col>15</xdr:col>
      <xdr:colOff>204</xdr:colOff>
      <xdr:row>238</xdr:row>
      <xdr:rowOff>0</xdr:rowOff>
    </xdr:to>
    <xdr:grpSp>
      <xdr:nvGrpSpPr>
        <xdr:cNvPr id="256" name="Group 255">
          <a:extLst>
            <a:ext uri="{FF2B5EF4-FFF2-40B4-BE49-F238E27FC236}">
              <a16:creationId xmlns:a16="http://schemas.microsoft.com/office/drawing/2014/main" id="{00000000-0008-0000-0A00-000000010000}"/>
            </a:ext>
          </a:extLst>
        </xdr:cNvPr>
        <xdr:cNvGrpSpPr/>
      </xdr:nvGrpSpPr>
      <xdr:grpSpPr>
        <a:xfrm>
          <a:off x="1145830" y="43425923"/>
          <a:ext cx="1711874" cy="1913077"/>
          <a:chOff x="1168242" y="44471600"/>
          <a:chExt cx="1745491" cy="1945183"/>
        </a:xfrm>
      </xdr:grpSpPr>
      <xdr:sp macro="" textlink="">
        <xdr:nvSpPr>
          <xdr:cNvPr id="257" name="Rounded Rectangle 256">
            <a:extLst>
              <a:ext uri="{FF2B5EF4-FFF2-40B4-BE49-F238E27FC236}">
                <a16:creationId xmlns:a16="http://schemas.microsoft.com/office/drawing/2014/main" id="{00000000-0008-0000-0A00-000001010000}"/>
              </a:ext>
            </a:extLst>
          </xdr:cNvPr>
          <xdr:cNvSpPr/>
        </xdr:nvSpPr>
        <xdr:spPr>
          <a:xfrm>
            <a:off x="1168242" y="44471600"/>
            <a:ext cx="1745491"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8" name="TextBox 257">
            <a:extLst>
              <a:ext uri="{FF2B5EF4-FFF2-40B4-BE49-F238E27FC236}">
                <a16:creationId xmlns:a16="http://schemas.microsoft.com/office/drawing/2014/main" id="{00000000-0008-0000-0A00-000002010000}"/>
              </a:ext>
            </a:extLst>
          </xdr:cNvPr>
          <xdr:cNvSpPr txBox="1"/>
        </xdr:nvSpPr>
        <xdr:spPr>
          <a:xfrm>
            <a:off x="1354195" y="45054306"/>
            <a:ext cx="1365099" cy="391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Safety</a:t>
            </a:r>
            <a:r>
              <a:rPr lang="en-US" sz="700" b="0" i="0" u="none" strike="noStrike" baseline="0">
                <a:solidFill>
                  <a:srgbClr val="2A2A2A"/>
                </a:solidFill>
                <a:latin typeface="Overpass" panose="00000500000000000000" pitchFamily="2" charset="0"/>
                <a:ea typeface="+mn-ea"/>
                <a:cs typeface="Calibri"/>
              </a:rPr>
              <a:t> Work Method Statement (SWMS) sign off.</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9" name="TextBox 258">
            <a:extLst>
              <a:ext uri="{FF2B5EF4-FFF2-40B4-BE49-F238E27FC236}">
                <a16:creationId xmlns:a16="http://schemas.microsoft.com/office/drawing/2014/main" id="{00000000-0008-0000-0A00-000003010000}"/>
              </a:ext>
            </a:extLst>
          </xdr:cNvPr>
          <xdr:cNvSpPr txBox="1"/>
        </xdr:nvSpPr>
        <xdr:spPr>
          <a:xfrm>
            <a:off x="1362807" y="45445607"/>
            <a:ext cx="1358135" cy="201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Arrival of stock to site.</a:t>
            </a:r>
          </a:p>
        </xdr:txBody>
      </xdr:sp>
      <xdr:sp macro="" textlink="">
        <xdr:nvSpPr>
          <xdr:cNvPr id="260" name="TextBox 259">
            <a:extLst>
              <a:ext uri="{FF2B5EF4-FFF2-40B4-BE49-F238E27FC236}">
                <a16:creationId xmlns:a16="http://schemas.microsoft.com/office/drawing/2014/main" id="{00000000-0008-0000-0A00-000004010000}"/>
              </a:ext>
            </a:extLst>
          </xdr:cNvPr>
          <xdr:cNvSpPr txBox="1"/>
        </xdr:nvSpPr>
        <xdr:spPr>
          <a:xfrm>
            <a:off x="1362807" y="45646939"/>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Installation team induction.</a:t>
            </a:r>
          </a:p>
        </xdr:txBody>
      </xdr:sp>
      <xdr:sp macro="" textlink="">
        <xdr:nvSpPr>
          <xdr:cNvPr id="261" name="TextBox 260">
            <a:extLst>
              <a:ext uri="{FF2B5EF4-FFF2-40B4-BE49-F238E27FC236}">
                <a16:creationId xmlns:a16="http://schemas.microsoft.com/office/drawing/2014/main" id="{00000000-0008-0000-0A00-000005010000}"/>
              </a:ext>
            </a:extLst>
          </xdr:cNvPr>
          <xdr:cNvSpPr txBox="1"/>
        </xdr:nvSpPr>
        <xdr:spPr>
          <a:xfrm>
            <a:off x="1362807" y="45832892"/>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Carrying out of works.</a:t>
            </a:r>
          </a:p>
        </xdr:txBody>
      </xdr:sp>
      <xdr:sp macro="" textlink="">
        <xdr:nvSpPr>
          <xdr:cNvPr id="262" name="TextBox 261">
            <a:extLst>
              <a:ext uri="{FF2B5EF4-FFF2-40B4-BE49-F238E27FC236}">
                <a16:creationId xmlns:a16="http://schemas.microsoft.com/office/drawing/2014/main" id="{00000000-0008-0000-0A00-000006010000}"/>
              </a:ext>
            </a:extLst>
          </xdr:cNvPr>
          <xdr:cNvSpPr txBox="1"/>
        </xdr:nvSpPr>
        <xdr:spPr>
          <a:xfrm>
            <a:off x="1354195" y="44665835"/>
            <a:ext cx="393923"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04</a:t>
            </a:r>
          </a:p>
        </xdr:txBody>
      </xdr:sp>
      <xdr:sp macro="" textlink="">
        <xdr:nvSpPr>
          <xdr:cNvPr id="263" name="TextBox 262">
            <a:extLst>
              <a:ext uri="{FF2B5EF4-FFF2-40B4-BE49-F238E27FC236}">
                <a16:creationId xmlns:a16="http://schemas.microsoft.com/office/drawing/2014/main" id="{00000000-0008-0000-0A00-000007010000}"/>
              </a:ext>
            </a:extLst>
          </xdr:cNvPr>
          <xdr:cNvSpPr txBox="1"/>
        </xdr:nvSpPr>
        <xdr:spPr>
          <a:xfrm>
            <a:off x="1555529" y="44665836"/>
            <a:ext cx="1163765"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INSTALLATION</a:t>
            </a:r>
          </a:p>
        </xdr:txBody>
      </xdr:sp>
    </xdr:grpSp>
    <xdr:clientData/>
  </xdr:twoCellAnchor>
  <xdr:twoCellAnchor>
    <xdr:from>
      <xdr:col>6</xdr:col>
      <xdr:colOff>0</xdr:colOff>
      <xdr:row>205</xdr:row>
      <xdr:rowOff>187516</xdr:rowOff>
    </xdr:from>
    <xdr:to>
      <xdr:col>36</xdr:col>
      <xdr:colOff>2830</xdr:colOff>
      <xdr:row>238</xdr:row>
      <xdr:rowOff>0</xdr:rowOff>
    </xdr:to>
    <xdr:grpSp>
      <xdr:nvGrpSpPr>
        <xdr:cNvPr id="305" name="Group 304">
          <a:extLst>
            <a:ext uri="{FF2B5EF4-FFF2-40B4-BE49-F238E27FC236}">
              <a16:creationId xmlns:a16="http://schemas.microsoft.com/office/drawing/2014/main" id="{00000000-0008-0000-0A00-000031010000}"/>
            </a:ext>
          </a:extLst>
        </xdr:cNvPr>
        <xdr:cNvGrpSpPr/>
      </xdr:nvGrpSpPr>
      <xdr:grpSpPr>
        <a:xfrm>
          <a:off x="1143000" y="39240016"/>
          <a:ext cx="5717830" cy="6098984"/>
          <a:chOff x="1125101" y="38628456"/>
          <a:chExt cx="5628333" cy="6000537"/>
        </a:xfrm>
      </xdr:grpSpPr>
      <xdr:sp macro="" textlink="">
        <xdr:nvSpPr>
          <xdr:cNvPr id="225" name="TextBox 224">
            <a:extLst>
              <a:ext uri="{FF2B5EF4-FFF2-40B4-BE49-F238E27FC236}">
                <a16:creationId xmlns:a16="http://schemas.microsoft.com/office/drawing/2014/main" id="{00000000-0008-0000-0A00-0000E1000000}"/>
              </a:ext>
            </a:extLst>
          </xdr:cNvPr>
          <xdr:cNvSpPr txBox="1"/>
        </xdr:nvSpPr>
        <xdr:spPr>
          <a:xfrm>
            <a:off x="1406671" y="39003490"/>
            <a:ext cx="2437715" cy="375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Project Milestones</a:t>
            </a:r>
          </a:p>
        </xdr:txBody>
      </xdr:sp>
      <xdr:cxnSp macro="">
        <xdr:nvCxnSpPr>
          <xdr:cNvPr id="226" name="Straight Connector 225">
            <a:extLst>
              <a:ext uri="{FF2B5EF4-FFF2-40B4-BE49-F238E27FC236}">
                <a16:creationId xmlns:a16="http://schemas.microsoft.com/office/drawing/2014/main" id="{00000000-0008-0000-0A00-0000E2000000}"/>
              </a:ext>
            </a:extLst>
          </xdr:cNvPr>
          <xdr:cNvCxnSpPr/>
        </xdr:nvCxnSpPr>
        <xdr:spPr>
          <a:xfrm>
            <a:off x="1215097" y="39003490"/>
            <a:ext cx="0" cy="37503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sp macro="" textlink="">
        <xdr:nvSpPr>
          <xdr:cNvPr id="227" name="TextBox 226">
            <a:extLst>
              <a:ext uri="{FF2B5EF4-FFF2-40B4-BE49-F238E27FC236}">
                <a16:creationId xmlns:a16="http://schemas.microsoft.com/office/drawing/2014/main" id="{00000000-0008-0000-0A00-0000E3000000}"/>
              </a:ext>
            </a:extLst>
          </xdr:cNvPr>
          <xdr:cNvSpPr txBox="1"/>
        </xdr:nvSpPr>
        <xdr:spPr>
          <a:xfrm>
            <a:off x="1127765" y="39573117"/>
            <a:ext cx="3004681" cy="111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 will be assigned a dedicated</a:t>
            </a:r>
            <a:r>
              <a:rPr lang="en-US" sz="1000" b="0" i="0" u="none" strike="noStrike" baseline="0">
                <a:solidFill>
                  <a:srgbClr val="2A2A2A"/>
                </a:solidFill>
                <a:latin typeface="Overpass" panose="00000500000000000000" pitchFamily="2" charset="0"/>
                <a:ea typeface="+mn-ea"/>
                <a:cs typeface="Calibri"/>
              </a:rPr>
              <a:t> project team for the duration of the installation. Your </a:t>
            </a:r>
            <a:r>
              <a:rPr lang="en-US" sz="1000" b="1" i="0" u="none" strike="noStrike" baseline="0">
                <a:solidFill>
                  <a:srgbClr val="28066C"/>
                </a:solidFill>
                <a:latin typeface="Overpass" panose="00000500000000000000" pitchFamily="2" charset="0"/>
                <a:ea typeface="+mn-ea"/>
                <a:cs typeface="Calibri"/>
              </a:rPr>
              <a:t>PROJECT MANAGER </a:t>
            </a:r>
            <a:r>
              <a:rPr lang="en-US" sz="1000" b="0" i="0" u="none" strike="noStrike" baseline="0">
                <a:solidFill>
                  <a:srgbClr val="2A2A2A"/>
                </a:solidFill>
                <a:latin typeface="Overpass" panose="00000500000000000000" pitchFamily="2" charset="0"/>
                <a:ea typeface="+mn-ea"/>
                <a:cs typeface="Calibri"/>
              </a:rPr>
              <a:t>will reach out within a week of signing to introduce themselves and clarify project details.</a:t>
            </a:r>
            <a:endParaRPr lang="en-US" sz="1000" b="0" i="0" u="none" strike="noStrike">
              <a:solidFill>
                <a:srgbClr val="2A2A2A"/>
              </a:solidFill>
              <a:latin typeface="Overpass" panose="00000500000000000000" pitchFamily="2" charset="0"/>
              <a:ea typeface="+mn-ea"/>
              <a:cs typeface="Calibri"/>
            </a:endParaRPr>
          </a:p>
        </xdr:txBody>
      </xdr:sp>
      <xdr:cxnSp macro="">
        <xdr:nvCxnSpPr>
          <xdr:cNvPr id="228" name="Straight Connector 16">
            <a:extLst>
              <a:ext uri="{FF2B5EF4-FFF2-40B4-BE49-F238E27FC236}">
                <a16:creationId xmlns:a16="http://schemas.microsoft.com/office/drawing/2014/main" id="{00000000-0008-0000-0A00-0000E4000000}"/>
              </a:ext>
            </a:extLst>
          </xdr:cNvPr>
          <xdr:cNvCxnSpPr/>
        </xdr:nvCxnSpPr>
        <xdr:spPr>
          <a:xfrm>
            <a:off x="1125101" y="38628456"/>
            <a:ext cx="562550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229" name="TextBox 228">
            <a:extLst>
              <a:ext uri="{FF2B5EF4-FFF2-40B4-BE49-F238E27FC236}">
                <a16:creationId xmlns:a16="http://schemas.microsoft.com/office/drawing/2014/main" id="{00000000-0008-0000-0A00-0000E5000000}"/>
              </a:ext>
            </a:extLst>
          </xdr:cNvPr>
          <xdr:cNvSpPr txBox="1"/>
        </xdr:nvSpPr>
        <xdr:spPr>
          <a:xfrm>
            <a:off x="4312886" y="39573117"/>
            <a:ext cx="2437718" cy="111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Your </a:t>
            </a:r>
            <a:r>
              <a:rPr lang="en-US" sz="1000" b="1" i="0" u="none" strike="noStrike">
                <a:solidFill>
                  <a:srgbClr val="28066C"/>
                </a:solidFill>
                <a:latin typeface="Overpass" panose="00000500000000000000" pitchFamily="2" charset="0"/>
                <a:ea typeface="+mn-ea"/>
                <a:cs typeface="Calibri"/>
              </a:rPr>
              <a:t>PROJECT MANAGER</a:t>
            </a:r>
            <a:r>
              <a:rPr lang="en-US" sz="1000" b="0" i="0" u="none" strike="noStrike">
                <a:solidFill>
                  <a:srgbClr val="28066C"/>
                </a:solidFill>
                <a:latin typeface="Overpass" panose="00000500000000000000" pitchFamily="2" charset="0"/>
                <a:ea typeface="+mn-ea"/>
                <a:cs typeface="Calibri"/>
              </a:rPr>
              <a:t> </a:t>
            </a:r>
            <a:r>
              <a:rPr lang="en-US" sz="1000" b="0" i="0" u="none" strike="noStrike">
                <a:solidFill>
                  <a:srgbClr val="2A2A2A"/>
                </a:solidFill>
                <a:latin typeface="Overpass" panose="00000500000000000000" pitchFamily="2" charset="0"/>
                <a:ea typeface="+mn-ea"/>
                <a:cs typeface="Calibri"/>
              </a:rPr>
              <a:t>is supported by a </a:t>
            </a:r>
            <a:r>
              <a:rPr lang="en-US" sz="1000" b="1" i="0" u="none" strike="noStrike">
                <a:solidFill>
                  <a:srgbClr val="28066C"/>
                </a:solidFill>
                <a:latin typeface="Overpass" panose="00000500000000000000" pitchFamily="2" charset="0"/>
                <a:ea typeface="+mn-ea"/>
                <a:cs typeface="Calibri"/>
              </a:rPr>
              <a:t>PROJECT ENGINEER</a:t>
            </a:r>
            <a:r>
              <a:rPr lang="en-US" sz="1000" b="0" i="0" u="none" strike="noStrike">
                <a:solidFill>
                  <a:srgbClr val="2A2A2A"/>
                </a:solidFill>
                <a:latin typeface="Overpass" panose="00000500000000000000" pitchFamily="2" charset="0"/>
                <a:ea typeface="+mn-ea"/>
                <a:cs typeface="Calibri"/>
              </a:rPr>
              <a:t>.</a:t>
            </a:r>
            <a:r>
              <a:rPr lang="en-US" sz="1000" b="0" i="0" u="none" strike="noStrike" baseline="0">
                <a:solidFill>
                  <a:srgbClr val="2A2A2A"/>
                </a:solidFill>
                <a:latin typeface="Overpass" panose="00000500000000000000" pitchFamily="2" charset="0"/>
                <a:ea typeface="+mn-ea"/>
                <a:cs typeface="Calibri"/>
              </a:rPr>
              <a:t> They may be in correspondence with you at particular points during the installation.</a:t>
            </a:r>
          </a:p>
        </xdr:txBody>
      </xdr:sp>
      <xdr:grpSp>
        <xdr:nvGrpSpPr>
          <xdr:cNvPr id="230" name="Group 229">
            <a:extLst>
              <a:ext uri="{FF2B5EF4-FFF2-40B4-BE49-F238E27FC236}">
                <a16:creationId xmlns:a16="http://schemas.microsoft.com/office/drawing/2014/main" id="{00000000-0008-0000-0A00-0000E6000000}"/>
              </a:ext>
            </a:extLst>
          </xdr:cNvPr>
          <xdr:cNvGrpSpPr/>
        </xdr:nvGrpSpPr>
        <xdr:grpSpPr>
          <a:xfrm>
            <a:off x="1125102" y="40687952"/>
            <a:ext cx="1691385" cy="1875169"/>
            <a:chOff x="1165413" y="42335012"/>
            <a:chExt cx="1748116" cy="1942353"/>
          </a:xfrm>
        </xdr:grpSpPr>
        <xdr:sp macro="" textlink="">
          <xdr:nvSpPr>
            <xdr:cNvPr id="231" name="Rounded Rectangle 230">
              <a:extLst>
                <a:ext uri="{FF2B5EF4-FFF2-40B4-BE49-F238E27FC236}">
                  <a16:creationId xmlns:a16="http://schemas.microsoft.com/office/drawing/2014/main" id="{00000000-0008-0000-0A00-0000E7000000}"/>
                </a:ext>
              </a:extLst>
            </xdr:cNvPr>
            <xdr:cNvSpPr/>
          </xdr:nvSpPr>
          <xdr:spPr>
            <a:xfrm>
              <a:off x="1165413" y="42335012"/>
              <a:ext cx="1748116"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2" name="TextBox 231">
              <a:extLst>
                <a:ext uri="{FF2B5EF4-FFF2-40B4-BE49-F238E27FC236}">
                  <a16:creationId xmlns:a16="http://schemas.microsoft.com/office/drawing/2014/main" id="{00000000-0008-0000-0A00-0000E8000000}"/>
                </a:ext>
              </a:extLst>
            </xdr:cNvPr>
            <xdr:cNvSpPr txBox="1"/>
          </xdr:nvSpPr>
          <xdr:spPr>
            <a:xfrm>
              <a:off x="1362478" y="43111953"/>
              <a:ext cx="135681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Project</a:t>
              </a:r>
              <a:r>
                <a:rPr lang="en-US" sz="700" b="0" i="0" u="none" strike="noStrike" baseline="0">
                  <a:solidFill>
                    <a:srgbClr val="2A2A2A"/>
                  </a:solidFill>
                  <a:latin typeface="Overpass" panose="00000500000000000000" pitchFamily="2" charset="0"/>
                  <a:ea typeface="+mn-ea"/>
                  <a:cs typeface="Calibri"/>
                </a:rPr>
                <a:t> manager handover.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33" name="TextBox 232">
              <a:extLst>
                <a:ext uri="{FF2B5EF4-FFF2-40B4-BE49-F238E27FC236}">
                  <a16:creationId xmlns:a16="http://schemas.microsoft.com/office/drawing/2014/main" id="{00000000-0008-0000-0A00-0000E9000000}"/>
                </a:ext>
              </a:extLst>
            </xdr:cNvPr>
            <xdr:cNvSpPr txBox="1"/>
          </xdr:nvSpPr>
          <xdr:spPr>
            <a:xfrm>
              <a:off x="1361160" y="43306188"/>
              <a:ext cx="1358134"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Creation of Project</a:t>
              </a:r>
              <a:r>
                <a:rPr lang="en-US" sz="700" b="0" i="0" u="none" strike="noStrike" baseline="0">
                  <a:solidFill>
                    <a:srgbClr val="2A2A2A"/>
                  </a:solidFill>
                  <a:latin typeface="Overpass" panose="00000500000000000000" pitchFamily="2" charset="0"/>
                  <a:ea typeface="+mn-ea"/>
                  <a:cs typeface="Calibri"/>
                </a:rPr>
                <a:t> files.</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34" name="TextBox 233">
              <a:extLst>
                <a:ext uri="{FF2B5EF4-FFF2-40B4-BE49-F238E27FC236}">
                  <a16:creationId xmlns:a16="http://schemas.microsoft.com/office/drawing/2014/main" id="{00000000-0008-0000-0A00-0000EA000000}"/>
                </a:ext>
              </a:extLst>
            </xdr:cNvPr>
            <xdr:cNvSpPr txBox="1"/>
          </xdr:nvSpPr>
          <xdr:spPr>
            <a:xfrm>
              <a:off x="1361160" y="43500424"/>
              <a:ext cx="1358134" cy="382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Documentation ready for submission.</a:t>
              </a:r>
            </a:p>
          </xdr:txBody>
        </xdr:sp>
        <xdr:sp macro="" textlink="">
          <xdr:nvSpPr>
            <xdr:cNvPr id="235" name="TextBox 234">
              <a:extLst>
                <a:ext uri="{FF2B5EF4-FFF2-40B4-BE49-F238E27FC236}">
                  <a16:creationId xmlns:a16="http://schemas.microsoft.com/office/drawing/2014/main" id="{00000000-0008-0000-0A00-0000EB000000}"/>
                </a:ext>
              </a:extLst>
            </xdr:cNvPr>
            <xdr:cNvSpPr txBox="1"/>
          </xdr:nvSpPr>
          <xdr:spPr>
            <a:xfrm>
              <a:off x="1361160" y="43888895"/>
              <a:ext cx="1358134"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Update client.</a:t>
              </a:r>
            </a:p>
          </xdr:txBody>
        </xdr:sp>
        <xdr:sp macro="" textlink="">
          <xdr:nvSpPr>
            <xdr:cNvPr id="236" name="TextBox 235">
              <a:extLst>
                <a:ext uri="{FF2B5EF4-FFF2-40B4-BE49-F238E27FC236}">
                  <a16:creationId xmlns:a16="http://schemas.microsoft.com/office/drawing/2014/main" id="{00000000-0008-0000-0A00-0000EC000000}"/>
                </a:ext>
              </a:extLst>
            </xdr:cNvPr>
            <xdr:cNvSpPr txBox="1"/>
          </xdr:nvSpPr>
          <xdr:spPr>
            <a:xfrm>
              <a:off x="1362478" y="42539174"/>
              <a:ext cx="388470" cy="388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01</a:t>
              </a:r>
            </a:p>
          </xdr:txBody>
        </xdr:sp>
        <xdr:sp macro="" textlink="">
          <xdr:nvSpPr>
            <xdr:cNvPr id="237" name="TextBox 236">
              <a:extLst>
                <a:ext uri="{FF2B5EF4-FFF2-40B4-BE49-F238E27FC236}">
                  <a16:creationId xmlns:a16="http://schemas.microsoft.com/office/drawing/2014/main" id="{00000000-0008-0000-0A00-0000ED000000}"/>
                </a:ext>
              </a:extLst>
            </xdr:cNvPr>
            <xdr:cNvSpPr txBox="1"/>
          </xdr:nvSpPr>
          <xdr:spPr>
            <a:xfrm>
              <a:off x="1554336" y="42529247"/>
              <a:ext cx="1359193" cy="582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PROJECT PREPARATION</a:t>
              </a:r>
            </a:p>
          </xdr:txBody>
        </xdr:sp>
      </xdr:grpSp>
      <xdr:grpSp>
        <xdr:nvGrpSpPr>
          <xdr:cNvPr id="238" name="Group 237">
            <a:extLst>
              <a:ext uri="{FF2B5EF4-FFF2-40B4-BE49-F238E27FC236}">
                <a16:creationId xmlns:a16="http://schemas.microsoft.com/office/drawing/2014/main" id="{00000000-0008-0000-0A00-0000EE000000}"/>
              </a:ext>
            </a:extLst>
          </xdr:cNvPr>
          <xdr:cNvGrpSpPr/>
        </xdr:nvGrpSpPr>
        <xdr:grpSpPr>
          <a:xfrm>
            <a:off x="3097385" y="40692858"/>
            <a:ext cx="1687652" cy="1875169"/>
            <a:chOff x="3302001" y="42343294"/>
            <a:chExt cx="1748118" cy="1942353"/>
          </a:xfrm>
        </xdr:grpSpPr>
        <xdr:sp macro="" textlink="">
          <xdr:nvSpPr>
            <xdr:cNvPr id="239" name="Rounded Rectangle 238">
              <a:extLst>
                <a:ext uri="{FF2B5EF4-FFF2-40B4-BE49-F238E27FC236}">
                  <a16:creationId xmlns:a16="http://schemas.microsoft.com/office/drawing/2014/main" id="{00000000-0008-0000-0A00-0000EF000000}"/>
                </a:ext>
              </a:extLst>
            </xdr:cNvPr>
            <xdr:cNvSpPr/>
          </xdr:nvSpPr>
          <xdr:spPr>
            <a:xfrm>
              <a:off x="3302001" y="42343294"/>
              <a:ext cx="174811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40" name="TextBox 239">
              <a:extLst>
                <a:ext uri="{FF2B5EF4-FFF2-40B4-BE49-F238E27FC236}">
                  <a16:creationId xmlns:a16="http://schemas.microsoft.com/office/drawing/2014/main" id="{00000000-0008-0000-0A00-0000F0000000}"/>
                </a:ext>
              </a:extLst>
            </xdr:cNvPr>
            <xdr:cNvSpPr txBox="1"/>
          </xdr:nvSpPr>
          <xdr:spPr>
            <a:xfrm>
              <a:off x="3496236" y="43111954"/>
              <a:ext cx="135964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Engineering</a:t>
              </a:r>
              <a:r>
                <a:rPr lang="en-US" sz="700" b="0" i="0" u="none" strike="noStrike" baseline="0">
                  <a:solidFill>
                    <a:srgbClr val="2A2A2A"/>
                  </a:solidFill>
                  <a:latin typeface="Overpass" panose="00000500000000000000" pitchFamily="2" charset="0"/>
                  <a:ea typeface="+mn-ea"/>
                  <a:cs typeface="Calibri"/>
                </a:rPr>
                <a:t> reports.</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1" name="TextBox 240">
              <a:extLst>
                <a:ext uri="{FF2B5EF4-FFF2-40B4-BE49-F238E27FC236}">
                  <a16:creationId xmlns:a16="http://schemas.microsoft.com/office/drawing/2014/main" id="{00000000-0008-0000-0A00-0000F1000000}"/>
                </a:ext>
              </a:extLst>
            </xdr:cNvPr>
            <xdr:cNvSpPr txBox="1"/>
          </xdr:nvSpPr>
          <xdr:spPr>
            <a:xfrm>
              <a:off x="3499395" y="43306189"/>
              <a:ext cx="1358135"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Detailed system</a:t>
              </a:r>
              <a:r>
                <a:rPr lang="en-US" sz="700" b="0" i="0" u="none" strike="noStrike" baseline="0">
                  <a:solidFill>
                    <a:srgbClr val="2A2A2A"/>
                  </a:solidFill>
                  <a:latin typeface="Overpass" panose="00000500000000000000" pitchFamily="2" charset="0"/>
                  <a:ea typeface="+mn-ea"/>
                  <a:cs typeface="Calibri"/>
                </a:rPr>
                <a:t> design.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2" name="TextBox 241">
              <a:extLst>
                <a:ext uri="{FF2B5EF4-FFF2-40B4-BE49-F238E27FC236}">
                  <a16:creationId xmlns:a16="http://schemas.microsoft.com/office/drawing/2014/main" id="{00000000-0008-0000-0A00-0000F2000000}"/>
                </a:ext>
              </a:extLst>
            </xdr:cNvPr>
            <xdr:cNvSpPr txBox="1"/>
          </xdr:nvSpPr>
          <xdr:spPr>
            <a:xfrm>
              <a:off x="3499395" y="43500425"/>
              <a:ext cx="135813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Grid connect</a:t>
              </a:r>
              <a:r>
                <a:rPr lang="en-US" sz="700" b="0" i="0" u="none" strike="noStrike" baseline="0">
                  <a:solidFill>
                    <a:srgbClr val="2A2A2A"/>
                  </a:solidFill>
                  <a:latin typeface="Overpass" panose="00000500000000000000" pitchFamily="2" charset="0"/>
                  <a:ea typeface="+mn-ea"/>
                  <a:cs typeface="Calibri"/>
                </a:rPr>
                <a:t> application.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3" name="TextBox 242">
              <a:extLst>
                <a:ext uri="{FF2B5EF4-FFF2-40B4-BE49-F238E27FC236}">
                  <a16:creationId xmlns:a16="http://schemas.microsoft.com/office/drawing/2014/main" id="{00000000-0008-0000-0A00-0000F3000000}"/>
                </a:ext>
              </a:extLst>
            </xdr:cNvPr>
            <xdr:cNvSpPr txBox="1"/>
          </xdr:nvSpPr>
          <xdr:spPr>
            <a:xfrm>
              <a:off x="3499395" y="43888896"/>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Client approval.</a:t>
              </a:r>
            </a:p>
          </xdr:txBody>
        </xdr:sp>
        <xdr:sp macro="" textlink="">
          <xdr:nvSpPr>
            <xdr:cNvPr id="244" name="TextBox 243">
              <a:extLst>
                <a:ext uri="{FF2B5EF4-FFF2-40B4-BE49-F238E27FC236}">
                  <a16:creationId xmlns:a16="http://schemas.microsoft.com/office/drawing/2014/main" id="{00000000-0008-0000-0A00-0000F4000000}"/>
                </a:ext>
              </a:extLst>
            </xdr:cNvPr>
            <xdr:cNvSpPr txBox="1"/>
          </xdr:nvSpPr>
          <xdr:spPr>
            <a:xfrm>
              <a:off x="3496235" y="42529247"/>
              <a:ext cx="388472"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02</a:t>
              </a:r>
            </a:p>
          </xdr:txBody>
        </xdr:sp>
        <xdr:sp macro="" textlink="">
          <xdr:nvSpPr>
            <xdr:cNvPr id="245" name="TextBox 244">
              <a:extLst>
                <a:ext uri="{FF2B5EF4-FFF2-40B4-BE49-F238E27FC236}">
                  <a16:creationId xmlns:a16="http://schemas.microsoft.com/office/drawing/2014/main" id="{00000000-0008-0000-0A00-0000F5000000}"/>
                </a:ext>
              </a:extLst>
            </xdr:cNvPr>
            <xdr:cNvSpPr txBox="1"/>
          </xdr:nvSpPr>
          <xdr:spPr>
            <a:xfrm>
              <a:off x="3692118" y="42529248"/>
              <a:ext cx="1352547"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PROJECT</a:t>
              </a:r>
            </a:p>
            <a:p>
              <a:pPr marL="0" indent="0" algn="l"/>
              <a:r>
                <a:rPr lang="en-US" sz="1000" b="0" i="0" u="none" strike="noStrike">
                  <a:solidFill>
                    <a:srgbClr val="28066C"/>
                  </a:solidFill>
                  <a:latin typeface="Barlow" pitchFamily="2" charset="77"/>
                  <a:ea typeface="+mn-ea"/>
                  <a:cs typeface="Calibri"/>
                </a:rPr>
                <a:t>COMMENCEMENT</a:t>
              </a:r>
            </a:p>
          </xdr:txBody>
        </xdr:sp>
        <xdr:sp macro="" textlink="">
          <xdr:nvSpPr>
            <xdr:cNvPr id="246" name="TextBox 245">
              <a:extLst>
                <a:ext uri="{FF2B5EF4-FFF2-40B4-BE49-F238E27FC236}">
                  <a16:creationId xmlns:a16="http://schemas.microsoft.com/office/drawing/2014/main" id="{00000000-0008-0000-0A00-0000F6000000}"/>
                </a:ext>
              </a:extLst>
            </xdr:cNvPr>
            <xdr:cNvSpPr txBox="1"/>
          </xdr:nvSpPr>
          <xdr:spPr>
            <a:xfrm>
              <a:off x="3496235" y="43694659"/>
              <a:ext cx="1362612" cy="204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CDC/DA application.</a:t>
              </a:r>
            </a:p>
          </xdr:txBody>
        </xdr:sp>
      </xdr:grpSp>
      <xdr:grpSp>
        <xdr:nvGrpSpPr>
          <xdr:cNvPr id="247" name="Group 246">
            <a:extLst>
              <a:ext uri="{FF2B5EF4-FFF2-40B4-BE49-F238E27FC236}">
                <a16:creationId xmlns:a16="http://schemas.microsoft.com/office/drawing/2014/main" id="{00000000-0008-0000-0A00-0000F7000000}"/>
              </a:ext>
            </a:extLst>
          </xdr:cNvPr>
          <xdr:cNvGrpSpPr/>
        </xdr:nvGrpSpPr>
        <xdr:grpSpPr>
          <a:xfrm>
            <a:off x="5062953" y="40692858"/>
            <a:ext cx="1690481" cy="1875169"/>
            <a:chOff x="5244353" y="42343294"/>
            <a:chExt cx="1750948" cy="1942353"/>
          </a:xfrm>
        </xdr:grpSpPr>
        <xdr:sp macro="" textlink="">
          <xdr:nvSpPr>
            <xdr:cNvPr id="248" name="Rounded Rectangle 247">
              <a:extLst>
                <a:ext uri="{FF2B5EF4-FFF2-40B4-BE49-F238E27FC236}">
                  <a16:creationId xmlns:a16="http://schemas.microsoft.com/office/drawing/2014/main" id="{00000000-0008-0000-0A00-0000F8000000}"/>
                </a:ext>
              </a:extLst>
            </xdr:cNvPr>
            <xdr:cNvSpPr/>
          </xdr:nvSpPr>
          <xdr:spPr>
            <a:xfrm>
              <a:off x="5244353" y="42343294"/>
              <a:ext cx="175094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49" name="TextBox 248">
              <a:extLst>
                <a:ext uri="{FF2B5EF4-FFF2-40B4-BE49-F238E27FC236}">
                  <a16:creationId xmlns:a16="http://schemas.microsoft.com/office/drawing/2014/main" id="{00000000-0008-0000-0A00-0000F9000000}"/>
                </a:ext>
              </a:extLst>
            </xdr:cNvPr>
            <xdr:cNvSpPr txBox="1"/>
          </xdr:nvSpPr>
          <xdr:spPr>
            <a:xfrm>
              <a:off x="5428662" y="43111954"/>
              <a:ext cx="136957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Safety Management Plan.</a:t>
              </a:r>
            </a:p>
          </xdr:txBody>
        </xdr:sp>
        <xdr:sp macro="" textlink="">
          <xdr:nvSpPr>
            <xdr:cNvPr id="250" name="TextBox 249">
              <a:extLst>
                <a:ext uri="{FF2B5EF4-FFF2-40B4-BE49-F238E27FC236}">
                  <a16:creationId xmlns:a16="http://schemas.microsoft.com/office/drawing/2014/main" id="{00000000-0008-0000-0A00-0000FA000000}"/>
                </a:ext>
              </a:extLst>
            </xdr:cNvPr>
            <xdr:cNvSpPr txBox="1"/>
          </xdr:nvSpPr>
          <xdr:spPr>
            <a:xfrm>
              <a:off x="5431820" y="43306189"/>
              <a:ext cx="156065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Organising</a:t>
              </a:r>
              <a:r>
                <a:rPr lang="en-US" sz="700" b="0" i="0" u="none" strike="noStrike" baseline="0">
                  <a:solidFill>
                    <a:srgbClr val="2A2A2A"/>
                  </a:solidFill>
                  <a:latin typeface="Overpass" panose="00000500000000000000" pitchFamily="2" charset="0"/>
                  <a:ea typeface="+mn-ea"/>
                  <a:cs typeface="Calibri"/>
                </a:rPr>
                <a:t> safety equipment.</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1" name="TextBox 250">
              <a:extLst>
                <a:ext uri="{FF2B5EF4-FFF2-40B4-BE49-F238E27FC236}">
                  <a16:creationId xmlns:a16="http://schemas.microsoft.com/office/drawing/2014/main" id="{00000000-0008-0000-0A00-0000FB000000}"/>
                </a:ext>
              </a:extLst>
            </xdr:cNvPr>
            <xdr:cNvSpPr txBox="1"/>
          </xdr:nvSpPr>
          <xdr:spPr>
            <a:xfrm>
              <a:off x="5431821" y="43500425"/>
              <a:ext cx="136641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Procurement</a:t>
              </a:r>
              <a:r>
                <a:rPr lang="en-US" sz="700" b="0" i="0" u="none" strike="noStrike" baseline="0">
                  <a:solidFill>
                    <a:srgbClr val="2A2A2A"/>
                  </a:solidFill>
                  <a:latin typeface="Overpass" panose="00000500000000000000" pitchFamily="2" charset="0"/>
                  <a:ea typeface="+mn-ea"/>
                  <a:cs typeface="Calibri"/>
                </a:rPr>
                <a:t> of product.</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2" name="TextBox 251">
              <a:extLst>
                <a:ext uri="{FF2B5EF4-FFF2-40B4-BE49-F238E27FC236}">
                  <a16:creationId xmlns:a16="http://schemas.microsoft.com/office/drawing/2014/main" id="{00000000-0008-0000-0A00-0000FC000000}"/>
                </a:ext>
              </a:extLst>
            </xdr:cNvPr>
            <xdr:cNvSpPr txBox="1"/>
          </xdr:nvSpPr>
          <xdr:spPr>
            <a:xfrm>
              <a:off x="5431821" y="43888896"/>
              <a:ext cx="155072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Client approval.</a:t>
              </a:r>
            </a:p>
          </xdr:txBody>
        </xdr:sp>
        <xdr:sp macro="" textlink="">
          <xdr:nvSpPr>
            <xdr:cNvPr id="253" name="TextBox 252">
              <a:extLst>
                <a:ext uri="{FF2B5EF4-FFF2-40B4-BE49-F238E27FC236}">
                  <a16:creationId xmlns:a16="http://schemas.microsoft.com/office/drawing/2014/main" id="{00000000-0008-0000-0A00-0000FD000000}"/>
                </a:ext>
              </a:extLst>
            </xdr:cNvPr>
            <xdr:cNvSpPr txBox="1"/>
          </xdr:nvSpPr>
          <xdr:spPr>
            <a:xfrm>
              <a:off x="5438589" y="42529247"/>
              <a:ext cx="383018"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03</a:t>
              </a:r>
            </a:p>
          </xdr:txBody>
        </xdr:sp>
        <xdr:sp macro="" textlink="">
          <xdr:nvSpPr>
            <xdr:cNvPr id="254" name="TextBox 253">
              <a:extLst>
                <a:ext uri="{FF2B5EF4-FFF2-40B4-BE49-F238E27FC236}">
                  <a16:creationId xmlns:a16="http://schemas.microsoft.com/office/drawing/2014/main" id="{00000000-0008-0000-0A00-0000FE000000}"/>
                </a:ext>
              </a:extLst>
            </xdr:cNvPr>
            <xdr:cNvSpPr txBox="1"/>
          </xdr:nvSpPr>
          <xdr:spPr>
            <a:xfrm>
              <a:off x="5634471" y="42529248"/>
              <a:ext cx="1358454"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SAFETY </a:t>
              </a:r>
            </a:p>
            <a:p>
              <a:pPr marL="0" indent="0" algn="l"/>
              <a:r>
                <a:rPr lang="en-US" sz="1000" b="0" i="0" u="none" strike="noStrike">
                  <a:solidFill>
                    <a:srgbClr val="28066C"/>
                  </a:solidFill>
                  <a:latin typeface="Barlow" pitchFamily="2" charset="77"/>
                  <a:ea typeface="+mn-ea"/>
                  <a:cs typeface="Calibri"/>
                </a:rPr>
                <a:t>&amp; LOGISTICS</a:t>
              </a:r>
            </a:p>
          </xdr:txBody>
        </xdr:sp>
        <xdr:sp macro="" textlink="">
          <xdr:nvSpPr>
            <xdr:cNvPr id="255" name="TextBox 254">
              <a:extLst>
                <a:ext uri="{FF2B5EF4-FFF2-40B4-BE49-F238E27FC236}">
                  <a16:creationId xmlns:a16="http://schemas.microsoft.com/office/drawing/2014/main" id="{00000000-0008-0000-0A00-0000FF000000}"/>
                </a:ext>
              </a:extLst>
            </xdr:cNvPr>
            <xdr:cNvSpPr txBox="1"/>
          </xdr:nvSpPr>
          <xdr:spPr>
            <a:xfrm>
              <a:off x="5438589" y="43694659"/>
              <a:ext cx="1553882" cy="204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Organising lifting equipment.</a:t>
              </a:r>
            </a:p>
          </xdr:txBody>
        </xdr:sp>
      </xdr:grpSp>
      <xdr:grpSp>
        <xdr:nvGrpSpPr>
          <xdr:cNvPr id="264" name="Group 263">
            <a:extLst>
              <a:ext uri="{FF2B5EF4-FFF2-40B4-BE49-F238E27FC236}">
                <a16:creationId xmlns:a16="http://schemas.microsoft.com/office/drawing/2014/main" id="{00000000-0008-0000-0A00-000008010000}"/>
              </a:ext>
            </a:extLst>
          </xdr:cNvPr>
          <xdr:cNvGrpSpPr/>
        </xdr:nvGrpSpPr>
        <xdr:grpSpPr>
          <a:xfrm>
            <a:off x="3092522" y="42750637"/>
            <a:ext cx="1697581" cy="1878356"/>
            <a:chOff x="3296548" y="44471600"/>
            <a:chExt cx="1758047" cy="1945183"/>
          </a:xfrm>
        </xdr:grpSpPr>
        <xdr:sp macro="" textlink="">
          <xdr:nvSpPr>
            <xdr:cNvPr id="265" name="Rounded Rectangle 264">
              <a:extLst>
                <a:ext uri="{FF2B5EF4-FFF2-40B4-BE49-F238E27FC236}">
                  <a16:creationId xmlns:a16="http://schemas.microsoft.com/office/drawing/2014/main" id="{00000000-0008-0000-0A00-000009010000}"/>
                </a:ext>
              </a:extLst>
            </xdr:cNvPr>
            <xdr:cNvSpPr/>
          </xdr:nvSpPr>
          <xdr:spPr>
            <a:xfrm>
              <a:off x="3296548" y="44471600"/>
              <a:ext cx="1753775"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6" name="TextBox 265">
              <a:extLst>
                <a:ext uri="{FF2B5EF4-FFF2-40B4-BE49-F238E27FC236}">
                  <a16:creationId xmlns:a16="http://schemas.microsoft.com/office/drawing/2014/main" id="{00000000-0008-0000-0A00-00000A010000}"/>
                </a:ext>
              </a:extLst>
            </xdr:cNvPr>
            <xdr:cNvSpPr txBox="1"/>
          </xdr:nvSpPr>
          <xdr:spPr>
            <a:xfrm>
              <a:off x="3496235" y="45054306"/>
              <a:ext cx="135964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Final</a:t>
              </a:r>
              <a:r>
                <a:rPr lang="en-US" sz="700" b="0" i="0" u="none" strike="noStrike" baseline="0">
                  <a:solidFill>
                    <a:srgbClr val="2A2A2A"/>
                  </a:solidFill>
                  <a:latin typeface="Overpass" panose="00000500000000000000" pitchFamily="2" charset="0"/>
                  <a:ea typeface="+mn-ea"/>
                  <a:cs typeface="Calibri"/>
                </a:rPr>
                <a:t> site inspection.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7" name="TextBox 266">
              <a:extLst>
                <a:ext uri="{FF2B5EF4-FFF2-40B4-BE49-F238E27FC236}">
                  <a16:creationId xmlns:a16="http://schemas.microsoft.com/office/drawing/2014/main" id="{00000000-0008-0000-0A00-00000B010000}"/>
                </a:ext>
              </a:extLst>
            </xdr:cNvPr>
            <xdr:cNvSpPr txBox="1"/>
          </xdr:nvSpPr>
          <xdr:spPr>
            <a:xfrm>
              <a:off x="3499395" y="45248541"/>
              <a:ext cx="1356488" cy="398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Monitoring</a:t>
              </a:r>
              <a:r>
                <a:rPr lang="en-US" sz="700" b="0" i="0" u="none" strike="noStrike" baseline="0">
                  <a:solidFill>
                    <a:srgbClr val="2A2A2A"/>
                  </a:solidFill>
                  <a:latin typeface="Overpass" panose="00000500000000000000" pitchFamily="2" charset="0"/>
                  <a:ea typeface="+mn-ea"/>
                  <a:cs typeface="Calibri"/>
                </a:rPr>
                <a:t> handover, accounts and logins created.</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8" name="TextBox 267">
              <a:extLst>
                <a:ext uri="{FF2B5EF4-FFF2-40B4-BE49-F238E27FC236}">
                  <a16:creationId xmlns:a16="http://schemas.microsoft.com/office/drawing/2014/main" id="{00000000-0008-0000-0A00-00000C010000}"/>
                </a:ext>
              </a:extLst>
            </xdr:cNvPr>
            <xdr:cNvSpPr txBox="1"/>
          </xdr:nvSpPr>
          <xdr:spPr>
            <a:xfrm>
              <a:off x="3499394" y="45646939"/>
              <a:ext cx="154527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Sign off by Delivery</a:t>
              </a:r>
              <a:r>
                <a:rPr lang="en-US" sz="700" b="0" i="0" u="none" strike="noStrike" baseline="0">
                  <a:solidFill>
                    <a:srgbClr val="2A2A2A"/>
                  </a:solidFill>
                  <a:latin typeface="Overpass" panose="00000500000000000000" pitchFamily="2" charset="0"/>
                  <a:ea typeface="+mn-ea"/>
                  <a:cs typeface="Calibri"/>
                </a:rPr>
                <a:t> Manager.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9" name="TextBox 268">
              <a:extLst>
                <a:ext uri="{FF2B5EF4-FFF2-40B4-BE49-F238E27FC236}">
                  <a16:creationId xmlns:a16="http://schemas.microsoft.com/office/drawing/2014/main" id="{00000000-0008-0000-0A00-00000D010000}"/>
                </a:ext>
              </a:extLst>
            </xdr:cNvPr>
            <xdr:cNvSpPr txBox="1"/>
          </xdr:nvSpPr>
          <xdr:spPr>
            <a:xfrm>
              <a:off x="3499395" y="45831248"/>
              <a:ext cx="1356487" cy="388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System Manual handover to client.</a:t>
              </a:r>
            </a:p>
          </xdr:txBody>
        </xdr:sp>
        <xdr:sp macro="" textlink="">
          <xdr:nvSpPr>
            <xdr:cNvPr id="270" name="TextBox 269">
              <a:extLst>
                <a:ext uri="{FF2B5EF4-FFF2-40B4-BE49-F238E27FC236}">
                  <a16:creationId xmlns:a16="http://schemas.microsoft.com/office/drawing/2014/main" id="{00000000-0008-0000-0A00-00000E010000}"/>
                </a:ext>
              </a:extLst>
            </xdr:cNvPr>
            <xdr:cNvSpPr txBox="1"/>
          </xdr:nvSpPr>
          <xdr:spPr>
            <a:xfrm>
              <a:off x="3496235" y="44665835"/>
              <a:ext cx="388472"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05</a:t>
              </a:r>
            </a:p>
          </xdr:txBody>
        </xdr:sp>
        <xdr:sp macro="" textlink="">
          <xdr:nvSpPr>
            <xdr:cNvPr id="271" name="TextBox 270">
              <a:extLst>
                <a:ext uri="{FF2B5EF4-FFF2-40B4-BE49-F238E27FC236}">
                  <a16:creationId xmlns:a16="http://schemas.microsoft.com/office/drawing/2014/main" id="{00000000-0008-0000-0A00-00000F010000}"/>
                </a:ext>
              </a:extLst>
            </xdr:cNvPr>
            <xdr:cNvSpPr txBox="1"/>
          </xdr:nvSpPr>
          <xdr:spPr>
            <a:xfrm>
              <a:off x="3692117" y="44665836"/>
              <a:ext cx="1362478"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COMISSIONING</a:t>
              </a:r>
            </a:p>
          </xdr:txBody>
        </xdr:sp>
      </xdr:grpSp>
    </xdr:grpSp>
    <xdr:clientData/>
  </xdr:twoCellAnchor>
  <xdr:twoCellAnchor>
    <xdr:from>
      <xdr:col>6</xdr:col>
      <xdr:colOff>0</xdr:colOff>
      <xdr:row>247</xdr:row>
      <xdr:rowOff>0</xdr:rowOff>
    </xdr:from>
    <xdr:to>
      <xdr:col>31</xdr:col>
      <xdr:colOff>2684</xdr:colOff>
      <xdr:row>249</xdr:row>
      <xdr:rowOff>9034</xdr:rowOff>
    </xdr:to>
    <xdr:sp macro="" textlink="">
      <xdr:nvSpPr>
        <xdr:cNvPr id="272" name="TextBox 15">
          <a:extLst>
            <a:ext uri="{FF2B5EF4-FFF2-40B4-BE49-F238E27FC236}">
              <a16:creationId xmlns:a16="http://schemas.microsoft.com/office/drawing/2014/main" id="{00000000-0008-0000-0A00-000010010000}"/>
            </a:ext>
          </a:extLst>
        </xdr:cNvPr>
        <xdr:cNvSpPr txBox="1"/>
      </xdr:nvSpPr>
      <xdr:spPr>
        <a:xfrm>
          <a:off x="1143000" y="47053500"/>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CABLE RUN DISTANCES</a:t>
          </a:r>
        </a:p>
      </xdr:txBody>
    </xdr:sp>
    <xdr:clientData/>
  </xdr:twoCellAnchor>
  <xdr:twoCellAnchor>
    <xdr:from>
      <xdr:col>5</xdr:col>
      <xdr:colOff>185303</xdr:colOff>
      <xdr:row>257</xdr:row>
      <xdr:rowOff>153019</xdr:rowOff>
    </xdr:from>
    <xdr:to>
      <xdr:col>37</xdr:col>
      <xdr:colOff>92480</xdr:colOff>
      <xdr:row>277</xdr:row>
      <xdr:rowOff>1</xdr:rowOff>
    </xdr:to>
    <xdr:grpSp>
      <xdr:nvGrpSpPr>
        <xdr:cNvPr id="306" name="Group 305">
          <a:extLst>
            <a:ext uri="{FF2B5EF4-FFF2-40B4-BE49-F238E27FC236}">
              <a16:creationId xmlns:a16="http://schemas.microsoft.com/office/drawing/2014/main" id="{00000000-0008-0000-0A00-000032010000}"/>
            </a:ext>
          </a:extLst>
        </xdr:cNvPr>
        <xdr:cNvGrpSpPr/>
      </xdr:nvGrpSpPr>
      <xdr:grpSpPr>
        <a:xfrm>
          <a:off x="1135898" y="49111519"/>
          <a:ext cx="6008892" cy="3656982"/>
          <a:chOff x="1122887" y="48344831"/>
          <a:chExt cx="5907714" cy="3597318"/>
        </a:xfrm>
      </xdr:grpSpPr>
      <xdr:sp macro="" textlink="">
        <xdr:nvSpPr>
          <xdr:cNvPr id="95" name="TextBox 94">
            <a:extLst>
              <a:ext uri="{FF2B5EF4-FFF2-40B4-BE49-F238E27FC236}">
                <a16:creationId xmlns:a16="http://schemas.microsoft.com/office/drawing/2014/main" id="{00000000-0008-0000-0A00-00005F000000}"/>
              </a:ext>
            </a:extLst>
          </xdr:cNvPr>
          <xdr:cNvSpPr txBox="1"/>
        </xdr:nvSpPr>
        <xdr:spPr>
          <a:xfrm>
            <a:off x="1125101" y="48532348"/>
            <a:ext cx="59055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Movement of the array location away from proposed designs may incur variations to account for changes in DC cable run distances</a:t>
            </a:r>
            <a:r>
              <a:rPr lang="en-AU" sz="1000" i="0" baseline="0">
                <a:solidFill>
                  <a:srgbClr val="2A2A2A"/>
                </a:solidFill>
                <a:latin typeface="Overpass" pitchFamily="2" charset="77"/>
              </a:rPr>
              <a:t>.</a:t>
            </a:r>
            <a:endParaRPr lang="en-AU" sz="1100" i="0">
              <a:solidFill>
                <a:srgbClr val="2A2A2A"/>
              </a:solidFill>
              <a:latin typeface="Overpass" pitchFamily="2" charset="77"/>
            </a:endParaRPr>
          </a:p>
        </xdr:txBody>
      </xdr:sp>
      <xdr:grpSp>
        <xdr:nvGrpSpPr>
          <xdr:cNvPr id="273" name="Group 272">
            <a:extLst>
              <a:ext uri="{FF2B5EF4-FFF2-40B4-BE49-F238E27FC236}">
                <a16:creationId xmlns:a16="http://schemas.microsoft.com/office/drawing/2014/main" id="{00000000-0008-0000-0A00-000011010000}"/>
              </a:ext>
            </a:extLst>
          </xdr:cNvPr>
          <xdr:cNvGrpSpPr/>
        </xdr:nvGrpSpPr>
        <xdr:grpSpPr>
          <a:xfrm>
            <a:off x="1122887" y="49103935"/>
            <a:ext cx="5629837" cy="2838214"/>
            <a:chOff x="1099678" y="49277903"/>
            <a:chExt cx="5942163" cy="3081677"/>
          </a:xfrm>
        </xdr:grpSpPr>
        <xdr:pic>
          <xdr:nvPicPr>
            <xdr:cNvPr id="274" name="Picture 26" descr="A screenshot of a computer&#10;&#10;Description automatically generated">
              <a:extLst>
                <a:ext uri="{FF2B5EF4-FFF2-40B4-BE49-F238E27FC236}">
                  <a16:creationId xmlns:a16="http://schemas.microsoft.com/office/drawing/2014/main" id="{00000000-0008-0000-0A00-00001201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6863" t="10609" r="-140" b="10862"/>
            <a:stretch/>
          </xdr:blipFill>
          <xdr:spPr>
            <a:xfrm>
              <a:off x="1099678" y="49277903"/>
              <a:ext cx="5160474" cy="3081677"/>
            </a:xfrm>
            <a:prstGeom prst="rect">
              <a:avLst/>
            </a:prstGeom>
          </xdr:spPr>
        </xdr:pic>
        <xdr:sp macro="" textlink="">
          <xdr:nvSpPr>
            <xdr:cNvPr id="275" name="TextBox 274">
              <a:extLst>
                <a:ext uri="{FF2B5EF4-FFF2-40B4-BE49-F238E27FC236}">
                  <a16:creationId xmlns:a16="http://schemas.microsoft.com/office/drawing/2014/main" id="{00000000-0008-0000-0A00-000013010000}"/>
                </a:ext>
              </a:extLst>
            </xdr:cNvPr>
            <xdr:cNvSpPr txBox="1"/>
          </xdr:nvSpPr>
          <xdr:spPr>
            <a:xfrm>
              <a:off x="5484712" y="49277903"/>
              <a:ext cx="1557129" cy="1362147"/>
            </a:xfrm>
            <a:prstGeom prst="roundRect">
              <a:avLst>
                <a:gd name="adj" fmla="val 12082"/>
              </a:avLst>
            </a:prstGeom>
            <a:solidFill>
              <a:sysClr val="window" lastClr="FFFFFF"/>
            </a:solidFill>
            <a:ln w="12700">
              <a:solidFill>
                <a:srgbClr val="ED7D3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000">
                  <a:solidFill>
                    <a:srgbClr val="2A2A2A"/>
                  </a:solidFill>
                  <a:latin typeface="Overpass" panose="00000500000000000000" pitchFamily="2" charset="0"/>
                </a:rPr>
                <a:t>DC cable</a:t>
              </a:r>
              <a:r>
                <a:rPr lang="en-AU" sz="1000" baseline="0">
                  <a:solidFill>
                    <a:srgbClr val="2A2A2A"/>
                  </a:solidFill>
                  <a:latin typeface="Overpass" panose="00000500000000000000" pitchFamily="2" charset="0"/>
                </a:rPr>
                <a:t> run is measured as the distance from the inverter station to the middle of the array, including the vertical distance.</a:t>
              </a:r>
              <a:endParaRPr lang="en-AU" sz="1100">
                <a:solidFill>
                  <a:srgbClr val="2A2A2A"/>
                </a:solidFill>
              </a:endParaRPr>
            </a:p>
          </xdr:txBody>
        </xdr:sp>
        <xdr:cxnSp macro="">
          <xdr:nvCxnSpPr>
            <xdr:cNvPr id="276" name="Elbow Connector 275">
              <a:extLst>
                <a:ext uri="{FF2B5EF4-FFF2-40B4-BE49-F238E27FC236}">
                  <a16:creationId xmlns:a16="http://schemas.microsoft.com/office/drawing/2014/main" id="{00000000-0008-0000-0A00-000014010000}"/>
                </a:ext>
              </a:extLst>
            </xdr:cNvPr>
            <xdr:cNvCxnSpPr>
              <a:stCxn id="275" idx="1"/>
              <a:endCxn id="277" idx="0"/>
            </xdr:cNvCxnSpPr>
          </xdr:nvCxnSpPr>
          <xdr:spPr>
            <a:xfrm rot="10800000" flipV="1">
              <a:off x="5024398" y="49958976"/>
              <a:ext cx="460314" cy="1017015"/>
            </a:xfrm>
            <a:prstGeom prst="bentConnector2">
              <a:avLst/>
            </a:prstGeom>
            <a:ln w="12700">
              <a:solidFill>
                <a:srgbClr val="ED7D31"/>
              </a:solidFill>
            </a:ln>
          </xdr:spPr>
          <xdr:style>
            <a:lnRef idx="1">
              <a:schemeClr val="accent1"/>
            </a:lnRef>
            <a:fillRef idx="0">
              <a:schemeClr val="accent1"/>
            </a:fillRef>
            <a:effectRef idx="0">
              <a:schemeClr val="accent1"/>
            </a:effectRef>
            <a:fontRef idx="minor">
              <a:schemeClr val="tx1"/>
            </a:fontRef>
          </xdr:style>
        </xdr:cxnSp>
        <xdr:sp macro="" textlink="">
          <xdr:nvSpPr>
            <xdr:cNvPr id="277" name="Oval 276">
              <a:extLst>
                <a:ext uri="{FF2B5EF4-FFF2-40B4-BE49-F238E27FC236}">
                  <a16:creationId xmlns:a16="http://schemas.microsoft.com/office/drawing/2014/main" id="{00000000-0008-0000-0A00-000015010000}"/>
                </a:ext>
              </a:extLst>
            </xdr:cNvPr>
            <xdr:cNvSpPr>
              <a:spLocks noChangeAspect="1"/>
            </xdr:cNvSpPr>
          </xdr:nvSpPr>
          <xdr:spPr>
            <a:xfrm>
              <a:off x="4987822" y="50975992"/>
              <a:ext cx="73152" cy="72914"/>
            </a:xfrm>
            <a:prstGeom prst="ellipse">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78" name="TextBox 236">
            <a:extLst>
              <a:ext uri="{FF2B5EF4-FFF2-40B4-BE49-F238E27FC236}">
                <a16:creationId xmlns:a16="http://schemas.microsoft.com/office/drawing/2014/main" id="{00000000-0008-0000-0A00-000016010000}"/>
              </a:ext>
            </a:extLst>
          </xdr:cNvPr>
          <xdr:cNvSpPr txBox="1"/>
        </xdr:nvSpPr>
        <xdr:spPr>
          <a:xfrm>
            <a:off x="1125101" y="48344831"/>
            <a:ext cx="1687651" cy="187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DC CABLE RUN</a:t>
            </a:r>
          </a:p>
        </xdr:txBody>
      </xdr:sp>
    </xdr:grpSp>
    <xdr:clientData/>
  </xdr:twoCellAnchor>
  <xdr:twoCellAnchor>
    <xdr:from>
      <xdr:col>6</xdr:col>
      <xdr:colOff>0</xdr:colOff>
      <xdr:row>278</xdr:row>
      <xdr:rowOff>131747</xdr:rowOff>
    </xdr:from>
    <xdr:to>
      <xdr:col>37</xdr:col>
      <xdr:colOff>92480</xdr:colOff>
      <xdr:row>297</xdr:row>
      <xdr:rowOff>2</xdr:rowOff>
    </xdr:to>
    <xdr:grpSp>
      <xdr:nvGrpSpPr>
        <xdr:cNvPr id="307" name="Group 306">
          <a:extLst>
            <a:ext uri="{FF2B5EF4-FFF2-40B4-BE49-F238E27FC236}">
              <a16:creationId xmlns:a16="http://schemas.microsoft.com/office/drawing/2014/main" id="{00000000-0008-0000-0A00-000033010000}"/>
            </a:ext>
          </a:extLst>
        </xdr:cNvPr>
        <xdr:cNvGrpSpPr/>
      </xdr:nvGrpSpPr>
      <xdr:grpSpPr>
        <a:xfrm>
          <a:off x="1143000" y="53094557"/>
          <a:ext cx="6001790" cy="3483945"/>
          <a:chOff x="1125101" y="52261411"/>
          <a:chExt cx="5905500" cy="3431074"/>
        </a:xfrm>
      </xdr:grpSpPr>
      <xdr:grpSp>
        <xdr:nvGrpSpPr>
          <xdr:cNvPr id="91" name="Group 90">
            <a:extLst>
              <a:ext uri="{FF2B5EF4-FFF2-40B4-BE49-F238E27FC236}">
                <a16:creationId xmlns:a16="http://schemas.microsoft.com/office/drawing/2014/main" id="{00000000-0008-0000-0A00-00005B000000}"/>
              </a:ext>
            </a:extLst>
          </xdr:cNvPr>
          <xdr:cNvGrpSpPr/>
        </xdr:nvGrpSpPr>
        <xdr:grpSpPr>
          <a:xfrm>
            <a:off x="1138660" y="53067250"/>
            <a:ext cx="5614064" cy="2625235"/>
            <a:chOff x="1141573" y="53271564"/>
            <a:chExt cx="5898127" cy="3046039"/>
          </a:xfrm>
        </xdr:grpSpPr>
        <xdr:pic>
          <xdr:nvPicPr>
            <xdr:cNvPr id="92" name="Picture 91" descr="A diagram of a machine&#10;&#10;Description automatically generated">
              <a:extLst>
                <a:ext uri="{FF2B5EF4-FFF2-40B4-BE49-F238E27FC236}">
                  <a16:creationId xmlns:a16="http://schemas.microsoft.com/office/drawing/2014/main" id="{00000000-0008-0000-0A00-00005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4663" t="4368" r="3878" b="30114"/>
            <a:stretch/>
          </xdr:blipFill>
          <xdr:spPr>
            <a:xfrm>
              <a:off x="1141573" y="53271564"/>
              <a:ext cx="5898127" cy="3046039"/>
            </a:xfrm>
            <a:prstGeom prst="rect">
              <a:avLst/>
            </a:prstGeom>
            <a:ln w="12700">
              <a:solidFill>
                <a:srgbClr val="666666"/>
              </a:solidFill>
            </a:ln>
          </xdr:spPr>
        </xdr:pic>
        <xdr:sp macro="" textlink="">
          <xdr:nvSpPr>
            <xdr:cNvPr id="93" name="TextBox 92">
              <a:extLst>
                <a:ext uri="{FF2B5EF4-FFF2-40B4-BE49-F238E27FC236}">
                  <a16:creationId xmlns:a16="http://schemas.microsoft.com/office/drawing/2014/main" id="{00000000-0008-0000-0A00-00005D000000}"/>
                </a:ext>
              </a:extLst>
            </xdr:cNvPr>
            <xdr:cNvSpPr txBox="1"/>
          </xdr:nvSpPr>
          <xdr:spPr>
            <a:xfrm>
              <a:off x="2729089" y="54239802"/>
              <a:ext cx="1667818" cy="945745"/>
            </a:xfrm>
            <a:prstGeom prst="roundRect">
              <a:avLst>
                <a:gd name="adj" fmla="val 11714"/>
              </a:avLst>
            </a:prstGeom>
            <a:solidFill>
              <a:sysClr val="window" lastClr="FFFFFF"/>
            </a:solidFill>
            <a:ln w="1270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AU" sz="1000">
                  <a:solidFill>
                    <a:srgbClr val="2A2A2A"/>
                  </a:solidFill>
                  <a:latin typeface="Overpass" panose="00000500000000000000" pitchFamily="2" charset="0"/>
                </a:rPr>
                <a:t>Inverter to PVDB</a:t>
              </a:r>
              <a:r>
                <a:rPr lang="en-AU" sz="1000" baseline="0">
                  <a:solidFill>
                    <a:srgbClr val="2A2A2A"/>
                  </a:solidFill>
                  <a:latin typeface="Overpass" panose="00000500000000000000" pitchFamily="2" charset="0"/>
                </a:rPr>
                <a:t> cable run measured to midpoint of inverters from PVDB</a:t>
              </a:r>
              <a:endParaRPr lang="en-AU" sz="1100">
                <a:solidFill>
                  <a:srgbClr val="2A2A2A"/>
                </a:solidFill>
              </a:endParaRPr>
            </a:p>
          </xdr:txBody>
        </xdr:sp>
        <xdr:sp macro="" textlink="">
          <xdr:nvSpPr>
            <xdr:cNvPr id="94" name="TextBox 93">
              <a:extLst>
                <a:ext uri="{FF2B5EF4-FFF2-40B4-BE49-F238E27FC236}">
                  <a16:creationId xmlns:a16="http://schemas.microsoft.com/office/drawing/2014/main" id="{00000000-0008-0000-0A00-00005E000000}"/>
                </a:ext>
              </a:extLst>
            </xdr:cNvPr>
            <xdr:cNvSpPr txBox="1"/>
          </xdr:nvSpPr>
          <xdr:spPr>
            <a:xfrm>
              <a:off x="4755441" y="53866144"/>
              <a:ext cx="1324043" cy="1324043"/>
            </a:xfrm>
            <a:prstGeom prst="roundRect">
              <a:avLst>
                <a:gd name="adj" fmla="val 9984"/>
              </a:avLst>
            </a:prstGeom>
            <a:solidFill>
              <a:sysClr val="window" lastClr="FFFFFF"/>
            </a:solidFill>
            <a:ln w="12700">
              <a:solidFill>
                <a:srgbClr val="B9198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AU" sz="1000">
                  <a:solidFill>
                    <a:srgbClr val="2A2A2A"/>
                  </a:solidFill>
                  <a:latin typeface="Overpass" panose="00000500000000000000" pitchFamily="2" charset="0"/>
                </a:rPr>
                <a:t>PVDB to MSB cable run measured as absolute distance between the</a:t>
              </a:r>
              <a:r>
                <a:rPr lang="en-AU" sz="1000" baseline="0">
                  <a:solidFill>
                    <a:srgbClr val="2A2A2A"/>
                  </a:solidFill>
                  <a:latin typeface="Overpass" panose="00000500000000000000" pitchFamily="2" charset="0"/>
                </a:rPr>
                <a:t> two switchboards</a:t>
              </a:r>
              <a:r>
                <a:rPr lang="en-AU" sz="1000">
                  <a:solidFill>
                    <a:srgbClr val="2A2A2A"/>
                  </a:solidFill>
                  <a:latin typeface="Overpass" panose="00000500000000000000" pitchFamily="2" charset="0"/>
                </a:rPr>
                <a:t>. </a:t>
              </a:r>
              <a:endParaRPr lang="en-AU" sz="1100">
                <a:solidFill>
                  <a:srgbClr val="2A2A2A"/>
                </a:solidFill>
              </a:endParaRPr>
            </a:p>
          </xdr:txBody>
        </xdr:sp>
      </xdr:grpSp>
      <xdr:sp macro="" textlink="">
        <xdr:nvSpPr>
          <xdr:cNvPr id="96" name="TextBox 95">
            <a:extLst>
              <a:ext uri="{FF2B5EF4-FFF2-40B4-BE49-F238E27FC236}">
                <a16:creationId xmlns:a16="http://schemas.microsoft.com/office/drawing/2014/main" id="{00000000-0008-0000-0A00-000060000000}"/>
              </a:ext>
            </a:extLst>
          </xdr:cNvPr>
          <xdr:cNvSpPr txBox="1"/>
        </xdr:nvSpPr>
        <xdr:spPr>
          <a:xfrm>
            <a:off x="1125101" y="52448928"/>
            <a:ext cx="59055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Movement of the inverter</a:t>
            </a:r>
            <a:r>
              <a:rPr lang="en-AU" sz="1000" i="0" baseline="0">
                <a:solidFill>
                  <a:srgbClr val="2A2A2A"/>
                </a:solidFill>
                <a:latin typeface="Overpass" pitchFamily="2" charset="77"/>
              </a:rPr>
              <a:t> station and PVDB</a:t>
            </a:r>
            <a:r>
              <a:rPr lang="en-AU" sz="1000" i="0">
                <a:solidFill>
                  <a:srgbClr val="2A2A2A"/>
                </a:solidFill>
                <a:latin typeface="Overpass" pitchFamily="2" charset="77"/>
              </a:rPr>
              <a:t> locations away from proposed designs may incur</a:t>
            </a:r>
            <a:r>
              <a:rPr lang="en-AU" sz="1000" i="0" baseline="0">
                <a:solidFill>
                  <a:srgbClr val="2A2A2A"/>
                </a:solidFill>
                <a:latin typeface="Overpass" pitchFamily="2" charset="77"/>
              </a:rPr>
              <a:t> variations to account for changes in AC cable run distances.</a:t>
            </a:r>
            <a:endParaRPr lang="en-AU" sz="1100" i="0">
              <a:solidFill>
                <a:srgbClr val="2A2A2A"/>
              </a:solidFill>
              <a:latin typeface="Overpass" pitchFamily="2" charset="77"/>
            </a:endParaRPr>
          </a:p>
        </xdr:txBody>
      </xdr:sp>
      <xdr:sp macro="" textlink="">
        <xdr:nvSpPr>
          <xdr:cNvPr id="279" name="TextBox 236">
            <a:extLst>
              <a:ext uri="{FF2B5EF4-FFF2-40B4-BE49-F238E27FC236}">
                <a16:creationId xmlns:a16="http://schemas.microsoft.com/office/drawing/2014/main" id="{00000000-0008-0000-0A00-000017010000}"/>
              </a:ext>
            </a:extLst>
          </xdr:cNvPr>
          <xdr:cNvSpPr txBox="1"/>
        </xdr:nvSpPr>
        <xdr:spPr>
          <a:xfrm>
            <a:off x="1125101" y="52261411"/>
            <a:ext cx="3187785" cy="187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INVERTER</a:t>
            </a:r>
            <a:r>
              <a:rPr lang="en-US" sz="1000" b="1" i="0" u="none" strike="noStrike" baseline="0">
                <a:solidFill>
                  <a:srgbClr val="28066C"/>
                </a:solidFill>
                <a:latin typeface="Overpass" panose="00000500000000000000" pitchFamily="2" charset="0"/>
                <a:ea typeface="+mn-ea"/>
                <a:cs typeface="Calibri"/>
              </a:rPr>
              <a:t> STATION AND PVDB LOCATIONS</a:t>
            </a:r>
            <a:endParaRPr lang="en-US" sz="1000" b="1" i="0" u="none" strike="noStrike">
              <a:solidFill>
                <a:srgbClr val="28066C"/>
              </a:solidFill>
              <a:latin typeface="Overpass" panose="00000500000000000000" pitchFamily="2" charset="0"/>
              <a:ea typeface="+mn-ea"/>
              <a:cs typeface="Calibri"/>
            </a:endParaRPr>
          </a:p>
        </xdr:txBody>
      </xdr:sp>
    </xdr:grpSp>
    <xdr:clientData/>
  </xdr:twoCellAnchor>
  <xdr:twoCellAnchor>
    <xdr:from>
      <xdr:col>5</xdr:col>
      <xdr:colOff>190052</xdr:colOff>
      <xdr:row>196</xdr:row>
      <xdr:rowOff>183874</xdr:rowOff>
    </xdr:from>
    <xdr:to>
      <xdr:col>18</xdr:col>
      <xdr:colOff>2057</xdr:colOff>
      <xdr:row>197</xdr:row>
      <xdr:rowOff>180605</xdr:rowOff>
    </xdr:to>
    <xdr:sp macro="" textlink="'Linking Cells'!C27">
      <xdr:nvSpPr>
        <xdr:cNvPr id="280" name="TextBox 279">
          <a:extLst>
            <a:ext uri="{FF2B5EF4-FFF2-40B4-BE49-F238E27FC236}">
              <a16:creationId xmlns:a16="http://schemas.microsoft.com/office/drawing/2014/main" id="{00000000-0008-0000-0A00-000018010000}"/>
            </a:ext>
          </a:extLst>
        </xdr:cNvPr>
        <xdr:cNvSpPr txBox="1"/>
      </xdr:nvSpPr>
      <xdr:spPr>
        <a:xfrm>
          <a:off x="1142552" y="37521874"/>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9DCAF5A-7868-4CF0-BD7D-29727B411369}" type="TxLink">
            <a:rPr lang="en-US" sz="1000" b="1" i="0" u="none" strike="noStrike">
              <a:solidFill>
                <a:srgbClr val="2A2A2A"/>
              </a:solidFill>
              <a:latin typeface="Overpass"/>
              <a:ea typeface="+mn-ea"/>
              <a:cs typeface="Calibri"/>
            </a:rPr>
            <a:pPr marL="0" indent="0" algn="l"/>
            <a:t>25% Execution of Agreement:</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2057</xdr:colOff>
      <xdr:row>197</xdr:row>
      <xdr:rowOff>98689</xdr:rowOff>
    </xdr:from>
    <xdr:to>
      <xdr:col>18</xdr:col>
      <xdr:colOff>2057</xdr:colOff>
      <xdr:row>200</xdr:row>
      <xdr:rowOff>20955</xdr:rowOff>
    </xdr:to>
    <xdr:sp macro="" textlink="'Linking Cells'!C28">
      <xdr:nvSpPr>
        <xdr:cNvPr id="281" name="TextBox 280">
          <a:extLst>
            <a:ext uri="{FF2B5EF4-FFF2-40B4-BE49-F238E27FC236}">
              <a16:creationId xmlns:a16="http://schemas.microsoft.com/office/drawing/2014/main" id="{00000000-0008-0000-0A00-000019010000}"/>
            </a:ext>
          </a:extLst>
        </xdr:cNvPr>
        <xdr:cNvSpPr txBox="1"/>
      </xdr:nvSpPr>
      <xdr:spPr>
        <a:xfrm>
          <a:off x="1145057" y="37627189"/>
          <a:ext cx="2286000" cy="493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52A0E07-40D7-4D85-8937-EA6EC2B9121B}" type="TxLink">
            <a:rPr lang="en-US" sz="1000" b="1" i="0" u="none" strike="noStrike">
              <a:solidFill>
                <a:srgbClr val="2A2A2A"/>
              </a:solidFill>
              <a:latin typeface="Overpass"/>
              <a:ea typeface="+mn-ea"/>
              <a:cs typeface="Calibri"/>
            </a:rPr>
            <a:pPr marL="0" indent="0" algn="l"/>
            <a:t>10% Submission of Grid Connection Application:</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2057</xdr:colOff>
      <xdr:row>199</xdr:row>
      <xdr:rowOff>111541</xdr:rowOff>
    </xdr:from>
    <xdr:to>
      <xdr:col>18</xdr:col>
      <xdr:colOff>2057</xdr:colOff>
      <xdr:row>200</xdr:row>
      <xdr:rowOff>171450</xdr:rowOff>
    </xdr:to>
    <xdr:sp macro="" textlink="'Linking Cells'!C29">
      <xdr:nvSpPr>
        <xdr:cNvPr id="282" name="TextBox 281">
          <a:extLst>
            <a:ext uri="{FF2B5EF4-FFF2-40B4-BE49-F238E27FC236}">
              <a16:creationId xmlns:a16="http://schemas.microsoft.com/office/drawing/2014/main" id="{00000000-0008-0000-0A00-00001A010000}"/>
            </a:ext>
          </a:extLst>
        </xdr:cNvPr>
        <xdr:cNvSpPr txBox="1"/>
      </xdr:nvSpPr>
      <xdr:spPr>
        <a:xfrm>
          <a:off x="1145057" y="38021041"/>
          <a:ext cx="2286000" cy="25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F1BBFB-1A07-4588-BE8E-649DBA7D1222}" type="TxLink">
            <a:rPr lang="en-US" sz="1000" b="1" i="0" u="none" strike="noStrike">
              <a:solidFill>
                <a:srgbClr val="2A2A2A"/>
              </a:solidFill>
              <a:latin typeface="Overpass"/>
              <a:ea typeface="+mn-ea"/>
              <a:cs typeface="Calibri"/>
            </a:rPr>
            <a:pPr marL="0" indent="0" algn="l"/>
            <a:t>10% Detailed Design Completion:</a:t>
          </a:fld>
          <a:endParaRPr lang="en-AU" sz="1000" b="1" i="0" u="none" strike="noStrike">
            <a:solidFill>
              <a:srgbClr val="2A2A2A"/>
            </a:solidFill>
            <a:latin typeface="Overpass"/>
            <a:ea typeface="+mn-ea"/>
            <a:cs typeface="Calibri"/>
          </a:endParaRPr>
        </a:p>
      </xdr:txBody>
    </xdr:sp>
    <xdr:clientData/>
  </xdr:twoCellAnchor>
  <xdr:twoCellAnchor>
    <xdr:from>
      <xdr:col>5</xdr:col>
      <xdr:colOff>192556</xdr:colOff>
      <xdr:row>200</xdr:row>
      <xdr:rowOff>189646</xdr:rowOff>
    </xdr:from>
    <xdr:to>
      <xdr:col>18</xdr:col>
      <xdr:colOff>193039</xdr:colOff>
      <xdr:row>201</xdr:row>
      <xdr:rowOff>189646</xdr:rowOff>
    </xdr:to>
    <xdr:sp macro="" textlink="'Linking Cells'!C30">
      <xdr:nvSpPr>
        <xdr:cNvPr id="283" name="TextBox 282">
          <a:extLst>
            <a:ext uri="{FF2B5EF4-FFF2-40B4-BE49-F238E27FC236}">
              <a16:creationId xmlns:a16="http://schemas.microsoft.com/office/drawing/2014/main" id="{00000000-0008-0000-0A00-00001B010000}"/>
            </a:ext>
          </a:extLst>
        </xdr:cNvPr>
        <xdr:cNvSpPr txBox="1"/>
      </xdr:nvSpPr>
      <xdr:spPr>
        <a:xfrm>
          <a:off x="1145056" y="38289646"/>
          <a:ext cx="2476983"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68F568D-86D6-4124-A3C9-37421A5A1BA1}" type="TxLink">
            <a:rPr lang="en-US" sz="1000" b="1" i="0" u="none" strike="noStrike">
              <a:solidFill>
                <a:srgbClr val="2A2A2A"/>
              </a:solidFill>
              <a:latin typeface="Overpass"/>
              <a:ea typeface="+mn-ea"/>
              <a:cs typeface="Calibri"/>
            </a:rPr>
            <a:pPr marL="0" indent="0" algn="l"/>
            <a:t>37.5% Commencement of Works Onsite:</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192558</xdr:colOff>
      <xdr:row>201</xdr:row>
      <xdr:rowOff>189646</xdr:rowOff>
    </xdr:from>
    <xdr:to>
      <xdr:col>17</xdr:col>
      <xdr:colOff>192557</xdr:colOff>
      <xdr:row>202</xdr:row>
      <xdr:rowOff>188180</xdr:rowOff>
    </xdr:to>
    <xdr:sp macro="" textlink="'Linking Cells'!C31">
      <xdr:nvSpPr>
        <xdr:cNvPr id="284" name="TextBox 283">
          <a:extLst>
            <a:ext uri="{FF2B5EF4-FFF2-40B4-BE49-F238E27FC236}">
              <a16:creationId xmlns:a16="http://schemas.microsoft.com/office/drawing/2014/main" id="{00000000-0008-0000-0A00-00001C010000}"/>
            </a:ext>
          </a:extLst>
        </xdr:cNvPr>
        <xdr:cNvSpPr txBox="1"/>
      </xdr:nvSpPr>
      <xdr:spPr>
        <a:xfrm>
          <a:off x="1145058" y="38480146"/>
          <a:ext cx="2285999" cy="18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740E93E-FB82-4298-8C42-1E4C816F16EF}" type="TxLink">
            <a:rPr lang="en-US" sz="1000" b="1" i="0" u="none" strike="noStrike">
              <a:solidFill>
                <a:srgbClr val="2A2A2A"/>
              </a:solidFill>
              <a:latin typeface="Overpass"/>
              <a:ea typeface="+mn-ea"/>
              <a:cs typeface="Calibri"/>
            </a:rPr>
            <a:pPr marL="0" indent="0" algn="l"/>
            <a:t>15% Practical Completion:</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192559</xdr:colOff>
      <xdr:row>202</xdr:row>
      <xdr:rowOff>188180</xdr:rowOff>
    </xdr:from>
    <xdr:to>
      <xdr:col>17</xdr:col>
      <xdr:colOff>192558</xdr:colOff>
      <xdr:row>203</xdr:row>
      <xdr:rowOff>188181</xdr:rowOff>
    </xdr:to>
    <xdr:sp macro="" textlink="'Linking Cells'!C32">
      <xdr:nvSpPr>
        <xdr:cNvPr id="285" name="TextBox 284">
          <a:extLst>
            <a:ext uri="{FF2B5EF4-FFF2-40B4-BE49-F238E27FC236}">
              <a16:creationId xmlns:a16="http://schemas.microsoft.com/office/drawing/2014/main" id="{00000000-0008-0000-0A00-00001D010000}"/>
            </a:ext>
          </a:extLst>
        </xdr:cNvPr>
        <xdr:cNvSpPr txBox="1"/>
      </xdr:nvSpPr>
      <xdr:spPr>
        <a:xfrm>
          <a:off x="1145059" y="38669180"/>
          <a:ext cx="22859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D0BD9D6-D6A8-44E5-900B-E87B5506B604}" type="TxLink">
            <a:rPr lang="en-US" sz="1000" b="1" i="0" u="none" strike="noStrike">
              <a:solidFill>
                <a:srgbClr val="2A2A2A"/>
              </a:solidFill>
              <a:latin typeface="Overpass"/>
              <a:ea typeface="+mn-ea"/>
              <a:cs typeface="Calibri"/>
            </a:rPr>
            <a:pPr marL="0" indent="0" algn="l"/>
            <a:t>2.5% Energisation:</a:t>
          </a:fld>
          <a:endParaRPr lang="en-AU" sz="7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1</xdr:colOff>
      <xdr:row>187</xdr:row>
      <xdr:rowOff>6887</xdr:rowOff>
    </xdr:from>
    <xdr:to>
      <xdr:col>77</xdr:col>
      <xdr:colOff>5547</xdr:colOff>
      <xdr:row>238</xdr:row>
      <xdr:rowOff>0</xdr:rowOff>
    </xdr:to>
    <xdr:grpSp>
      <xdr:nvGrpSpPr>
        <xdr:cNvPr id="9" name="Group 8">
          <a:extLst>
            <a:ext uri="{FF2B5EF4-FFF2-40B4-BE49-F238E27FC236}">
              <a16:creationId xmlns:a16="http://schemas.microsoft.com/office/drawing/2014/main" id="{FDE4CD34-802E-FFBC-9BE4-DFE339685479}"/>
            </a:ext>
          </a:extLst>
        </xdr:cNvPr>
        <xdr:cNvGrpSpPr/>
      </xdr:nvGrpSpPr>
      <xdr:grpSpPr>
        <a:xfrm>
          <a:off x="8953501" y="35632292"/>
          <a:ext cx="5722451" cy="9706708"/>
          <a:chOff x="8817842" y="35090637"/>
          <a:chExt cx="5633955" cy="9561408"/>
        </a:xfrm>
      </xdr:grpSpPr>
      <xdr:sp macro="" textlink="">
        <xdr:nvSpPr>
          <xdr:cNvPr id="286" name="TextBox 285">
            <a:extLst>
              <a:ext uri="{FF2B5EF4-FFF2-40B4-BE49-F238E27FC236}">
                <a16:creationId xmlns:a16="http://schemas.microsoft.com/office/drawing/2014/main" id="{00000000-0008-0000-0A00-00001E010000}"/>
              </a:ext>
            </a:extLst>
          </xdr:cNvPr>
          <xdr:cNvSpPr txBox="1"/>
        </xdr:nvSpPr>
        <xdr:spPr>
          <a:xfrm>
            <a:off x="8820108" y="42775910"/>
            <a:ext cx="3752272" cy="1876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400">
                <a:solidFill>
                  <a:srgbClr val="28066C"/>
                </a:solidFill>
                <a:effectLst/>
                <a:latin typeface="Barlow" pitchFamily="2" charset="77"/>
              </a:rPr>
              <a:t>Smart Commercial Energy</a:t>
            </a:r>
            <a:endParaRPr lang="en-AU" sz="1400" baseline="0">
              <a:solidFill>
                <a:srgbClr val="28066C"/>
              </a:solidFill>
              <a:effectLst/>
              <a:latin typeface="Barlow" pitchFamily="2" charset="77"/>
            </a:endParaRPr>
          </a:p>
          <a:p>
            <a:pPr algn="l"/>
            <a:r>
              <a:rPr lang="en-AU" sz="1400">
                <a:solidFill>
                  <a:srgbClr val="28066C"/>
                </a:solidFill>
                <a:effectLst/>
                <a:latin typeface="Barlow" pitchFamily="2" charset="77"/>
              </a:rPr>
              <a:t>Head Office: 6.01</a:t>
            </a:r>
            <a:br>
              <a:rPr lang="en-AU" sz="1400">
                <a:solidFill>
                  <a:srgbClr val="28066C"/>
                </a:solidFill>
                <a:effectLst/>
                <a:latin typeface="Barlow" pitchFamily="2" charset="77"/>
              </a:rPr>
            </a:br>
            <a:r>
              <a:rPr lang="en-AU" sz="1400">
                <a:solidFill>
                  <a:srgbClr val="28066C"/>
                </a:solidFill>
                <a:effectLst/>
                <a:latin typeface="Barlow" pitchFamily="2" charset="77"/>
              </a:rPr>
              <a:t>2 Elizabeth Plaza, North Sydney 2060</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02 9057 9710</a:t>
            </a:r>
            <a:br>
              <a:rPr lang="en-AU" sz="1400">
                <a:solidFill>
                  <a:srgbClr val="28066C"/>
                </a:solidFill>
                <a:effectLst/>
                <a:latin typeface="Barlow" pitchFamily="2" charset="77"/>
              </a:rPr>
            </a:br>
            <a:r>
              <a:rPr lang="en-AU" sz="1400">
                <a:solidFill>
                  <a:srgbClr val="28066C"/>
                </a:solidFill>
                <a:effectLst/>
                <a:latin typeface="Barlow" pitchFamily="2" charset="77"/>
              </a:rPr>
              <a:t>sales@smartcommercialenergy.com.au</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ACN: 155 596 928     BN: 27 155 596 928</a:t>
            </a:r>
            <a:endParaRPr lang="en-GB" sz="1400">
              <a:solidFill>
                <a:srgbClr val="28066C"/>
              </a:solidFill>
              <a:latin typeface="Barlow" pitchFamily="2" charset="77"/>
            </a:endParaRPr>
          </a:p>
        </xdr:txBody>
      </xdr:sp>
      <xdr:pic>
        <xdr:nvPicPr>
          <xdr:cNvPr id="287" name="Picture 286">
            <a:extLst>
              <a:ext uri="{FF2B5EF4-FFF2-40B4-BE49-F238E27FC236}">
                <a16:creationId xmlns:a16="http://schemas.microsoft.com/office/drawing/2014/main" id="{00000000-0008-0000-0A00-00001F01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r="64064"/>
          <a:stretch/>
        </xdr:blipFill>
        <xdr:spPr>
          <a:xfrm>
            <a:off x="8817842" y="35090637"/>
            <a:ext cx="630876" cy="566603"/>
          </a:xfrm>
          <a:prstGeom prst="rect">
            <a:avLst/>
          </a:prstGeom>
        </xdr:spPr>
      </xdr:pic>
      <xdr:pic>
        <xdr:nvPicPr>
          <xdr:cNvPr id="288" name="Picture 287">
            <a:extLst>
              <a:ext uri="{FF2B5EF4-FFF2-40B4-BE49-F238E27FC236}">
                <a16:creationId xmlns:a16="http://schemas.microsoft.com/office/drawing/2014/main" id="{00000000-0008-0000-0A00-00002001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11632045" y="35287666"/>
            <a:ext cx="2819752" cy="8500719"/>
          </a:xfrm>
          <a:prstGeom prst="rect">
            <a:avLst/>
          </a:prstGeom>
        </xdr:spPr>
      </xdr:pic>
    </xdr:grpSp>
    <xdr:clientData/>
  </xdr:twoCellAnchor>
  <xdr:twoCellAnchor editAs="absolute">
    <xdr:from>
      <xdr:col>62</xdr:col>
      <xdr:colOff>5863</xdr:colOff>
      <xdr:row>7</xdr:row>
      <xdr:rowOff>1127</xdr:rowOff>
    </xdr:from>
    <xdr:to>
      <xdr:col>77</xdr:col>
      <xdr:colOff>20787</xdr:colOff>
      <xdr:row>52</xdr:row>
      <xdr:rowOff>75810</xdr:rowOff>
    </xdr:to>
    <xdr:pic>
      <xdr:nvPicPr>
        <xdr:cNvPr id="291" name="Picture 290">
          <a:extLst>
            <a:ext uri="{FF2B5EF4-FFF2-40B4-BE49-F238E27FC236}">
              <a16:creationId xmlns:a16="http://schemas.microsoft.com/office/drawing/2014/main" id="{00000000-0008-0000-0A00-00002301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11811000" y="1334627"/>
          <a:ext cx="2863047" cy="8647183"/>
        </a:xfrm>
        <a:prstGeom prst="rect">
          <a:avLst/>
        </a:prstGeom>
      </xdr:spPr>
    </xdr:pic>
    <xdr:clientData/>
  </xdr:twoCellAnchor>
  <xdr:twoCellAnchor>
    <xdr:from>
      <xdr:col>9</xdr:col>
      <xdr:colOff>4134</xdr:colOff>
      <xdr:row>74</xdr:row>
      <xdr:rowOff>1918</xdr:rowOff>
    </xdr:from>
    <xdr:to>
      <xdr:col>20</xdr:col>
      <xdr:colOff>0</xdr:colOff>
      <xdr:row>76</xdr:row>
      <xdr:rowOff>193039</xdr:rowOff>
    </xdr:to>
    <xdr:sp macro="" textlink="SOLAR!F13">
      <xdr:nvSpPr>
        <xdr:cNvPr id="294" name="TextBox 293">
          <a:extLst>
            <a:ext uri="{FF2B5EF4-FFF2-40B4-BE49-F238E27FC236}">
              <a16:creationId xmlns:a16="http://schemas.microsoft.com/office/drawing/2014/main" id="{00000000-0008-0000-0A00-000026010000}"/>
            </a:ext>
          </a:extLst>
        </xdr:cNvPr>
        <xdr:cNvSpPr txBox="1"/>
      </xdr:nvSpPr>
      <xdr:spPr>
        <a:xfrm>
          <a:off x="1741494" y="14286878"/>
          <a:ext cx="2119306" cy="57720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4CC86615-9575-204B-9CD0-25115CB0A573}" type="TxLink">
            <a:rPr lang="en-US" sz="2000" b="1" i="0" u="none" strike="noStrike">
              <a:solidFill>
                <a:srgbClr val="27056C"/>
              </a:solidFill>
              <a:latin typeface="Overpass" pitchFamily="2" charset="77"/>
              <a:ea typeface="+mn-ea"/>
              <a:cs typeface="Calibri"/>
            </a:rPr>
            <a:pPr marL="0" indent="0" algn="l"/>
            <a:t>100.0 kW</a:t>
          </a:fld>
          <a:endParaRPr lang="en-AU" sz="2000" b="1" i="0" u="none" strike="noStrike">
            <a:solidFill>
              <a:srgbClr val="27056C"/>
            </a:solidFill>
            <a:latin typeface="Overpass" pitchFamily="2" charset="77"/>
            <a:ea typeface="+mn-ea"/>
            <a:cs typeface="Calibri"/>
          </a:endParaRPr>
        </a:p>
      </xdr:txBody>
    </xdr:sp>
    <xdr:clientData/>
  </xdr:twoCellAnchor>
  <xdr:twoCellAnchor>
    <xdr:from>
      <xdr:col>9</xdr:col>
      <xdr:colOff>4134</xdr:colOff>
      <xdr:row>77</xdr:row>
      <xdr:rowOff>0</xdr:rowOff>
    </xdr:from>
    <xdr:to>
      <xdr:col>16</xdr:col>
      <xdr:colOff>1698</xdr:colOff>
      <xdr:row>79</xdr:row>
      <xdr:rowOff>0</xdr:rowOff>
    </xdr:to>
    <xdr:sp macro="" textlink="">
      <xdr:nvSpPr>
        <xdr:cNvPr id="295" name="TextBox 294">
          <a:extLst>
            <a:ext uri="{FF2B5EF4-FFF2-40B4-BE49-F238E27FC236}">
              <a16:creationId xmlns:a16="http://schemas.microsoft.com/office/drawing/2014/main" id="{00000000-0008-0000-0A00-000027010000}"/>
            </a:ext>
          </a:extLst>
        </xdr:cNvPr>
        <xdr:cNvSpPr txBox="1"/>
      </xdr:nvSpPr>
      <xdr:spPr>
        <a:xfrm>
          <a:off x="1741494" y="14864080"/>
          <a:ext cx="1348844" cy="386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800" b="1" i="0" u="none" strike="noStrike">
              <a:solidFill>
                <a:srgbClr val="666666"/>
              </a:solidFill>
              <a:latin typeface="Overpass" panose="00000500000000000000" pitchFamily="2" charset="0"/>
              <a:ea typeface="+mn-ea"/>
              <a:cs typeface="Calibri"/>
            </a:rPr>
            <a:t>SYSTEM SIZE</a:t>
          </a:r>
        </a:p>
      </xdr:txBody>
    </xdr:sp>
    <xdr:clientData/>
  </xdr:twoCellAnchor>
  <xdr:twoCellAnchor>
    <xdr:from>
      <xdr:col>8</xdr:col>
      <xdr:colOff>4482</xdr:colOff>
      <xdr:row>74</xdr:row>
      <xdr:rowOff>1918</xdr:rowOff>
    </xdr:from>
    <xdr:to>
      <xdr:col>8</xdr:col>
      <xdr:colOff>4482</xdr:colOff>
      <xdr:row>78</xdr:row>
      <xdr:rowOff>0</xdr:rowOff>
    </xdr:to>
    <xdr:cxnSp macro="">
      <xdr:nvCxnSpPr>
        <xdr:cNvPr id="296" name="Straight Connector 295">
          <a:extLst>
            <a:ext uri="{FF2B5EF4-FFF2-40B4-BE49-F238E27FC236}">
              <a16:creationId xmlns:a16="http://schemas.microsoft.com/office/drawing/2014/main" id="{00000000-0008-0000-0A00-000028010000}"/>
            </a:ext>
          </a:extLst>
        </xdr:cNvPr>
        <xdr:cNvCxnSpPr/>
      </xdr:nvCxnSpPr>
      <xdr:spPr>
        <a:xfrm>
          <a:off x="1548802" y="14286878"/>
          <a:ext cx="0" cy="77024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xdr:row>
      <xdr:rowOff>0</xdr:rowOff>
    </xdr:from>
    <xdr:to>
      <xdr:col>35</xdr:col>
      <xdr:colOff>0</xdr:colOff>
      <xdr:row>76</xdr:row>
      <xdr:rowOff>0</xdr:rowOff>
    </xdr:to>
    <xdr:sp macro="" textlink="SOLAR!G10">
      <xdr:nvSpPr>
        <xdr:cNvPr id="297" name="TextBox 296">
          <a:extLst>
            <a:ext uri="{FF2B5EF4-FFF2-40B4-BE49-F238E27FC236}">
              <a16:creationId xmlns:a16="http://schemas.microsoft.com/office/drawing/2014/main" id="{00000000-0008-0000-0A00-000029010000}"/>
            </a:ext>
          </a:extLst>
        </xdr:cNvPr>
        <xdr:cNvSpPr txBox="1"/>
      </xdr:nvSpPr>
      <xdr:spPr>
        <a:xfrm>
          <a:off x="4826000" y="14091920"/>
          <a:ext cx="1930400" cy="5791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6B454B0-924F-BA43-BC58-85808F4BD568}" type="TxLink">
            <a:rPr lang="en-US" sz="1200" b="0" i="0" u="none" strike="noStrike">
              <a:solidFill>
                <a:srgbClr val="2A2A2A"/>
              </a:solidFill>
              <a:latin typeface="Overpass" pitchFamily="2" charset="77"/>
              <a:ea typeface="+mn-ea"/>
              <a:cs typeface="Calibri"/>
            </a:rPr>
            <a:pPr marL="0" indent="0" algn="l"/>
            <a:t>10.04.2026</a:t>
          </a:fld>
          <a:endParaRPr lang="en-AU" sz="1200" b="0" i="0" u="none" strike="noStrike">
            <a:solidFill>
              <a:srgbClr val="2A2A2A"/>
            </a:solidFill>
            <a:latin typeface="Overpass" pitchFamily="2" charset="77"/>
            <a:ea typeface="+mn-ea"/>
            <a:cs typeface="Calibri"/>
          </a:endParaRPr>
        </a:p>
      </xdr:txBody>
    </xdr:sp>
    <xdr:clientData/>
  </xdr:twoCellAnchor>
  <xdr:twoCellAnchor>
    <xdr:from>
      <xdr:col>25</xdr:col>
      <xdr:colOff>0</xdr:colOff>
      <xdr:row>76</xdr:row>
      <xdr:rowOff>193038</xdr:rowOff>
    </xdr:from>
    <xdr:to>
      <xdr:col>35</xdr:col>
      <xdr:colOff>0</xdr:colOff>
      <xdr:row>81</xdr:row>
      <xdr:rowOff>0</xdr:rowOff>
    </xdr:to>
    <xdr:sp macro="" textlink="SOLAR!J10">
      <xdr:nvSpPr>
        <xdr:cNvPr id="298" name="TextBox 297">
          <a:extLst>
            <a:ext uri="{FF2B5EF4-FFF2-40B4-BE49-F238E27FC236}">
              <a16:creationId xmlns:a16="http://schemas.microsoft.com/office/drawing/2014/main" id="{00000000-0008-0000-0A00-00002A010000}"/>
            </a:ext>
          </a:extLst>
        </xdr:cNvPr>
        <xdr:cNvSpPr txBox="1"/>
      </xdr:nvSpPr>
      <xdr:spPr>
        <a:xfrm>
          <a:off x="4826000" y="14864078"/>
          <a:ext cx="1930400" cy="7721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8D62D3D-7B7A-1D42-8467-41AFACBA072C}" type="TxLink">
            <a:rPr lang="en-US" sz="1200" b="0" i="0" u="none" strike="noStrike">
              <a:solidFill>
                <a:srgbClr val="2A2A2A"/>
              </a:solidFill>
              <a:latin typeface="Overpass" pitchFamily="2" charset="77"/>
              <a:ea typeface="+mn-ea"/>
              <a:cs typeface="Calibri"/>
            </a:rPr>
            <a:pPr marL="0" indent="0"/>
            <a:t>Q-JV- 100kW </a:t>
          </a:fld>
          <a:endParaRPr lang="en-AU" sz="1200" b="0" i="0" u="none" strike="noStrike">
            <a:solidFill>
              <a:srgbClr val="2A2A2A"/>
            </a:solidFill>
            <a:latin typeface="Overpass" pitchFamily="2" charset="77"/>
            <a:ea typeface="+mn-ea"/>
            <a:cs typeface="Calibri"/>
          </a:endParaRPr>
        </a:p>
      </xdr:txBody>
    </xdr:sp>
    <xdr:clientData/>
  </xdr:twoCellAnchor>
  <xdr:twoCellAnchor>
    <xdr:from>
      <xdr:col>20</xdr:col>
      <xdr:colOff>1</xdr:colOff>
      <xdr:row>73</xdr:row>
      <xdr:rowOff>0</xdr:rowOff>
    </xdr:from>
    <xdr:to>
      <xdr:col>24</xdr:col>
      <xdr:colOff>1</xdr:colOff>
      <xdr:row>75</xdr:row>
      <xdr:rowOff>193039</xdr:rowOff>
    </xdr:to>
    <xdr:sp macro="" textlink="">
      <xdr:nvSpPr>
        <xdr:cNvPr id="299" name="TextBox 298">
          <a:extLst>
            <a:ext uri="{FF2B5EF4-FFF2-40B4-BE49-F238E27FC236}">
              <a16:creationId xmlns:a16="http://schemas.microsoft.com/office/drawing/2014/main" id="{00000000-0008-0000-0A00-00002B010000}"/>
            </a:ext>
          </a:extLst>
        </xdr:cNvPr>
        <xdr:cNvSpPr txBox="1"/>
      </xdr:nvSpPr>
      <xdr:spPr>
        <a:xfrm>
          <a:off x="3860801" y="14091920"/>
          <a:ext cx="772160" cy="579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DATE</a:t>
          </a:r>
        </a:p>
      </xdr:txBody>
    </xdr:sp>
    <xdr:clientData/>
  </xdr:twoCellAnchor>
  <xdr:twoCellAnchor>
    <xdr:from>
      <xdr:col>20</xdr:col>
      <xdr:colOff>1</xdr:colOff>
      <xdr:row>77</xdr:row>
      <xdr:rowOff>1591</xdr:rowOff>
    </xdr:from>
    <xdr:to>
      <xdr:col>24</xdr:col>
      <xdr:colOff>1</xdr:colOff>
      <xdr:row>80</xdr:row>
      <xdr:rowOff>193038</xdr:rowOff>
    </xdr:to>
    <xdr:sp macro="" textlink="">
      <xdr:nvSpPr>
        <xdr:cNvPr id="300" name="TextBox 299">
          <a:extLst>
            <a:ext uri="{FF2B5EF4-FFF2-40B4-BE49-F238E27FC236}">
              <a16:creationId xmlns:a16="http://schemas.microsoft.com/office/drawing/2014/main" id="{00000000-0008-0000-0A00-00002C010000}"/>
            </a:ext>
          </a:extLst>
        </xdr:cNvPr>
        <xdr:cNvSpPr txBox="1"/>
      </xdr:nvSpPr>
      <xdr:spPr>
        <a:xfrm>
          <a:off x="3860801" y="14865671"/>
          <a:ext cx="772160" cy="77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7056C"/>
              </a:solidFill>
              <a:latin typeface="Overpass" panose="00000500000000000000" pitchFamily="2" charset="0"/>
              <a:ea typeface="+mn-ea"/>
              <a:cs typeface="Calibri"/>
            </a:rPr>
            <a:t>QUOTE #</a:t>
          </a:r>
          <a:endParaRPr lang="en-US" sz="650" b="0" i="0" u="none" strike="noStrike">
            <a:solidFill>
              <a:srgbClr val="27056C"/>
            </a:solidFill>
            <a:latin typeface="Overpass" panose="00000500000000000000" pitchFamily="2" charset="0"/>
            <a:ea typeface="+mn-ea"/>
            <a:cs typeface="Calibri"/>
          </a:endParaRPr>
        </a:p>
      </xdr:txBody>
    </xdr:sp>
    <xdr:clientData/>
  </xdr:twoCellAnchor>
  <xdr:twoCellAnchor>
    <xdr:from>
      <xdr:col>19</xdr:col>
      <xdr:colOff>1694</xdr:colOff>
      <xdr:row>143</xdr:row>
      <xdr:rowOff>191698</xdr:rowOff>
    </xdr:from>
    <xdr:to>
      <xdr:col>35</xdr:col>
      <xdr:colOff>192910</xdr:colOff>
      <xdr:row>144</xdr:row>
      <xdr:rowOff>191698</xdr:rowOff>
    </xdr:to>
    <xdr:sp macro="" textlink="'Linking Cells'!C8">
      <xdr:nvSpPr>
        <xdr:cNvPr id="302" name="TextBox 301">
          <a:extLst>
            <a:ext uri="{FF2B5EF4-FFF2-40B4-BE49-F238E27FC236}">
              <a16:creationId xmlns:a16="http://schemas.microsoft.com/office/drawing/2014/main" id="{00000000-0008-0000-0A00-00002E010000}"/>
            </a:ext>
          </a:extLst>
        </xdr:cNvPr>
        <xdr:cNvSpPr txBox="1"/>
      </xdr:nvSpPr>
      <xdr:spPr>
        <a:xfrm>
          <a:off x="3667010" y="27778027"/>
          <a:ext cx="3277799" cy="1929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9692CE8-3D99-493A-A5AB-734255A6019F}" type="TxLink">
            <a:rPr lang="en-US" sz="1000" b="0" i="0" u="none" strike="noStrike">
              <a:solidFill>
                <a:srgbClr val="2A2A2A"/>
              </a:solidFill>
              <a:latin typeface="Overpass" panose="00000500000000000000" pitchFamily="2" charset="0"/>
              <a:ea typeface="Calibri"/>
              <a:cs typeface="Calibri"/>
            </a:rPr>
            <a:pPr marL="0" indent="0" algn="l"/>
            <a:t>Tier 1 Premium Commercial Module</a:t>
          </a:fld>
          <a:endParaRPr lang="en-AU" sz="700" b="0" i="0" u="none" strike="noStrike">
            <a:solidFill>
              <a:srgbClr val="2A2A2A"/>
            </a:solidFill>
            <a:latin typeface="Overpass" panose="00000500000000000000" pitchFamily="2" charset="0"/>
            <a:ea typeface="+mn-ea"/>
            <a:cs typeface="Calibri"/>
          </a:endParaRPr>
        </a:p>
      </xdr:txBody>
    </xdr:sp>
    <xdr:clientData/>
  </xdr:twoCellAnchor>
  <xdr:twoCellAnchor>
    <xdr:from>
      <xdr:col>19</xdr:col>
      <xdr:colOff>1694</xdr:colOff>
      <xdr:row>134</xdr:row>
      <xdr:rowOff>1</xdr:rowOff>
    </xdr:from>
    <xdr:to>
      <xdr:col>35</xdr:col>
      <xdr:colOff>192910</xdr:colOff>
      <xdr:row>135</xdr:row>
      <xdr:rowOff>1</xdr:rowOff>
    </xdr:to>
    <xdr:sp macro="" textlink="SOLAR!E31">
      <xdr:nvSpPr>
        <xdr:cNvPr id="303" name="TextBox 302">
          <a:extLst>
            <a:ext uri="{FF2B5EF4-FFF2-40B4-BE49-F238E27FC236}">
              <a16:creationId xmlns:a16="http://schemas.microsoft.com/office/drawing/2014/main" id="{00000000-0008-0000-0A00-00002F010000}"/>
            </a:ext>
          </a:extLst>
        </xdr:cNvPr>
        <xdr:cNvSpPr txBox="1"/>
      </xdr:nvSpPr>
      <xdr:spPr>
        <a:xfrm>
          <a:off x="3667010" y="25850128"/>
          <a:ext cx="3277799" cy="1929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661125-40DF-4F67-8DAA-C992A05BF3AA}" type="TxLink">
            <a:rPr lang="en-US" sz="1000" b="0" i="0" u="none" strike="noStrike">
              <a:solidFill>
                <a:srgbClr val="2A2A2A"/>
              </a:solidFill>
              <a:latin typeface="Overpass" panose="00000500000000000000" pitchFamily="2" charset="0"/>
              <a:ea typeface="Calibri"/>
              <a:cs typeface="Calibri"/>
            </a:rPr>
            <a:pPr marL="0" indent="0" algn="l"/>
            <a:t>Ausgrid</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15</xdr:col>
      <xdr:colOff>0</xdr:colOff>
      <xdr:row>105</xdr:row>
      <xdr:rowOff>0</xdr:rowOff>
    </xdr:from>
    <xdr:to>
      <xdr:col>36</xdr:col>
      <xdr:colOff>0</xdr:colOff>
      <xdr:row>106</xdr:row>
      <xdr:rowOff>0</xdr:rowOff>
    </xdr:to>
    <xdr:sp macro="" textlink="'Linking Cells'!K4">
      <xdr:nvSpPr>
        <xdr:cNvPr id="316" name="TextBox 315">
          <a:extLst>
            <a:ext uri="{FF2B5EF4-FFF2-40B4-BE49-F238E27FC236}">
              <a16:creationId xmlns:a16="http://schemas.microsoft.com/office/drawing/2014/main" id="{00000000-0008-0000-0A00-00003C010000}"/>
            </a:ext>
          </a:extLst>
        </xdr:cNvPr>
        <xdr:cNvSpPr txBox="1"/>
      </xdr:nvSpPr>
      <xdr:spPr>
        <a:xfrm>
          <a:off x="2895600" y="20269200"/>
          <a:ext cx="4053840" cy="19304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8AD5EE3-8D5B-40E1-81E9-D774D66287CF}" type="TxLink">
            <a:rPr lang="en-US" sz="1000" b="0" i="0" u="none" strike="noStrike">
              <a:solidFill>
                <a:srgbClr val="000000"/>
              </a:solidFill>
              <a:latin typeface="Overpass" panose="00000500000000000000" pitchFamily="2" charset="0"/>
              <a:ea typeface="Calibri"/>
              <a:cs typeface="Calibri"/>
            </a:rPr>
            <a:pPr marL="0" indent="0" algn="l"/>
            <a:t>  ,</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15</xdr:col>
      <xdr:colOff>2772</xdr:colOff>
      <xdr:row>101</xdr:row>
      <xdr:rowOff>10567</xdr:rowOff>
    </xdr:from>
    <xdr:to>
      <xdr:col>36</xdr:col>
      <xdr:colOff>2430</xdr:colOff>
      <xdr:row>102</xdr:row>
      <xdr:rowOff>15123</xdr:rowOff>
    </xdr:to>
    <xdr:sp macro="" textlink="'Linking Cells'!K3">
      <xdr:nvSpPr>
        <xdr:cNvPr id="30" name="TextBox 1">
          <a:extLst>
            <a:ext uri="{FF2B5EF4-FFF2-40B4-BE49-F238E27FC236}">
              <a16:creationId xmlns:a16="http://schemas.microsoft.com/office/drawing/2014/main" id="{00000000-0008-0000-0A00-00001E000000}"/>
            </a:ext>
          </a:extLst>
        </xdr:cNvPr>
        <xdr:cNvSpPr txBox="1"/>
      </xdr:nvSpPr>
      <xdr:spPr>
        <a:xfrm>
          <a:off x="2898372" y="19507607"/>
          <a:ext cx="4053498" cy="19759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AE2B1B3-5712-40C4-890B-7EF3AC410342}" type="TxLink">
            <a:rPr lang="en-US" sz="1000" b="0" i="0" u="none" strike="noStrike">
              <a:solidFill>
                <a:srgbClr val="000000"/>
              </a:solidFill>
              <a:latin typeface="Overpass" panose="00000500000000000000" pitchFamily="2" charset="0"/>
              <a:ea typeface="Calibri"/>
              <a:cs typeface="Calibri"/>
            </a:rPr>
            <a:pPr marL="0" indent="0" algn="l"/>
            <a:t>  NSW, 2000</a:t>
          </a:fld>
          <a:endParaRPr lang="en-AU" sz="600" b="0"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5720</xdr:colOff>
      <xdr:row>172</xdr:row>
      <xdr:rowOff>1830</xdr:rowOff>
    </xdr:from>
    <xdr:to>
      <xdr:col>60</xdr:col>
      <xdr:colOff>9775</xdr:colOff>
      <xdr:row>173</xdr:row>
      <xdr:rowOff>3199</xdr:rowOff>
    </xdr:to>
    <xdr:sp macro="" textlink="">
      <xdr:nvSpPr>
        <xdr:cNvPr id="33" name="TextBox 32">
          <a:extLst>
            <a:ext uri="{FF2B5EF4-FFF2-40B4-BE49-F238E27FC236}">
              <a16:creationId xmlns:a16="http://schemas.microsoft.com/office/drawing/2014/main" id="{00000000-0008-0000-0A00-000021000000}"/>
            </a:ext>
          </a:extLst>
        </xdr:cNvPr>
        <xdr:cNvSpPr txBox="1"/>
      </xdr:nvSpPr>
      <xdr:spPr>
        <a:xfrm>
          <a:off x="8959220" y="32767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ADDITIONS/UPGRADES</a:t>
          </a:r>
        </a:p>
      </xdr:txBody>
    </xdr:sp>
    <xdr:clientData/>
  </xdr:twoCellAnchor>
  <xdr:twoCellAnchor>
    <xdr:from>
      <xdr:col>59</xdr:col>
      <xdr:colOff>183244</xdr:colOff>
      <xdr:row>171</xdr:row>
      <xdr:rowOff>187163</xdr:rowOff>
    </xdr:from>
    <xdr:to>
      <xdr:col>76</xdr:col>
      <xdr:colOff>188578</xdr:colOff>
      <xdr:row>172</xdr:row>
      <xdr:rowOff>187163</xdr:rowOff>
    </xdr:to>
    <xdr:sp macro="" textlink="'Linking Cells'!C38">
      <xdr:nvSpPr>
        <xdr:cNvPr id="147" name="TextBox 146">
          <a:extLst>
            <a:ext uri="{FF2B5EF4-FFF2-40B4-BE49-F238E27FC236}">
              <a16:creationId xmlns:a16="http://schemas.microsoft.com/office/drawing/2014/main" id="{00000000-0008-0000-0A00-000093000000}"/>
            </a:ext>
          </a:extLst>
        </xdr:cNvPr>
        <xdr:cNvSpPr txBox="1"/>
      </xdr:nvSpPr>
      <xdr:spPr>
        <a:xfrm>
          <a:off x="11659010" y="33447433"/>
          <a:ext cx="3311910"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A810402-153C-4D9A-84D1-AC90D3A08867}"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183244</xdr:colOff>
      <xdr:row>172</xdr:row>
      <xdr:rowOff>185003</xdr:rowOff>
    </xdr:from>
    <xdr:to>
      <xdr:col>76</xdr:col>
      <xdr:colOff>188578</xdr:colOff>
      <xdr:row>173</xdr:row>
      <xdr:rowOff>185003</xdr:rowOff>
    </xdr:to>
    <xdr:sp macro="" textlink="'Linking Cells'!C52">
      <xdr:nvSpPr>
        <xdr:cNvPr id="154" name="TextBox 153">
          <a:extLst>
            <a:ext uri="{FF2B5EF4-FFF2-40B4-BE49-F238E27FC236}">
              <a16:creationId xmlns:a16="http://schemas.microsoft.com/office/drawing/2014/main" id="{00000000-0008-0000-0A00-00009A000000}"/>
            </a:ext>
          </a:extLst>
        </xdr:cNvPr>
        <xdr:cNvSpPr txBox="1"/>
      </xdr:nvSpPr>
      <xdr:spPr>
        <a:xfrm>
          <a:off x="11659010" y="33639778"/>
          <a:ext cx="3311910" cy="194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1C2F5A8-F570-4E13-AFDD-284B872DB81E}"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183244</xdr:colOff>
      <xdr:row>173</xdr:row>
      <xdr:rowOff>185003</xdr:rowOff>
    </xdr:from>
    <xdr:to>
      <xdr:col>76</xdr:col>
      <xdr:colOff>188578</xdr:colOff>
      <xdr:row>174</xdr:row>
      <xdr:rowOff>185003</xdr:rowOff>
    </xdr:to>
    <xdr:sp macro="" textlink="'Linking Cells'!C40">
      <xdr:nvSpPr>
        <xdr:cNvPr id="155" name="TextBox 154">
          <a:extLst>
            <a:ext uri="{FF2B5EF4-FFF2-40B4-BE49-F238E27FC236}">
              <a16:creationId xmlns:a16="http://schemas.microsoft.com/office/drawing/2014/main" id="{00000000-0008-0000-0A00-00009B000000}"/>
            </a:ext>
          </a:extLst>
        </xdr:cNvPr>
        <xdr:cNvSpPr txBox="1"/>
      </xdr:nvSpPr>
      <xdr:spPr>
        <a:xfrm>
          <a:off x="11659010" y="33834282"/>
          <a:ext cx="3311910"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0B736DF-0B98-4BAA-9C0F-F5743A49B44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183244</xdr:colOff>
      <xdr:row>174</xdr:row>
      <xdr:rowOff>179836</xdr:rowOff>
    </xdr:from>
    <xdr:to>
      <xdr:col>76</xdr:col>
      <xdr:colOff>188578</xdr:colOff>
      <xdr:row>175</xdr:row>
      <xdr:rowOff>179836</xdr:rowOff>
    </xdr:to>
    <xdr:sp macro="" textlink="'Linking Cells'!C41">
      <xdr:nvSpPr>
        <xdr:cNvPr id="301" name="TextBox 300">
          <a:extLst>
            <a:ext uri="{FF2B5EF4-FFF2-40B4-BE49-F238E27FC236}">
              <a16:creationId xmlns:a16="http://schemas.microsoft.com/office/drawing/2014/main" id="{00000000-0008-0000-0A00-00002D010000}"/>
            </a:ext>
          </a:extLst>
        </xdr:cNvPr>
        <xdr:cNvSpPr txBox="1"/>
      </xdr:nvSpPr>
      <xdr:spPr>
        <a:xfrm>
          <a:off x="11659010" y="34023620"/>
          <a:ext cx="3311910" cy="194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2BAAB7B-2FA3-4BF4-BFEE-FAB005C47E7F}"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5721</xdr:colOff>
      <xdr:row>172</xdr:row>
      <xdr:rowOff>185002</xdr:rowOff>
    </xdr:from>
    <xdr:to>
      <xdr:col>57</xdr:col>
      <xdr:colOff>29309</xdr:colOff>
      <xdr:row>173</xdr:row>
      <xdr:rowOff>185002</xdr:rowOff>
    </xdr:to>
    <xdr:sp macro="" textlink="'Linking Cells'!C51">
      <xdr:nvSpPr>
        <xdr:cNvPr id="311" name="TextBox 310">
          <a:extLst>
            <a:ext uri="{FF2B5EF4-FFF2-40B4-BE49-F238E27FC236}">
              <a16:creationId xmlns:a16="http://schemas.microsoft.com/office/drawing/2014/main" id="{00000000-0008-0000-0A00-000037010000}"/>
            </a:ext>
          </a:extLst>
        </xdr:cNvPr>
        <xdr:cNvSpPr txBox="1"/>
      </xdr:nvSpPr>
      <xdr:spPr>
        <a:xfrm>
          <a:off x="8959221" y="32951002"/>
          <a:ext cx="192858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E28D1D-054C-43F7-BB85-ACFE72DF4E3A}" type="TxLink">
            <a:rPr lang="en-US" sz="1000" b="1" i="0" u="none" strike="noStrike">
              <a:solidFill>
                <a:srgbClr val="2A2A2A"/>
              </a:solidFill>
              <a:latin typeface="Overpass" panose="00000500000000000000" pitchFamily="2" charset="0"/>
              <a:ea typeface="+mn-ea"/>
              <a:cs typeface="Calibri"/>
            </a:rPr>
            <a:pPr marL="0" indent="0" algn="l"/>
            <a:t> </a:t>
          </a:fld>
          <a:endParaRPr lang="en-AU"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5721</xdr:colOff>
      <xdr:row>173</xdr:row>
      <xdr:rowOff>189648</xdr:rowOff>
    </xdr:from>
    <xdr:to>
      <xdr:col>57</xdr:col>
      <xdr:colOff>29309</xdr:colOff>
      <xdr:row>174</xdr:row>
      <xdr:rowOff>189648</xdr:rowOff>
    </xdr:to>
    <xdr:sp macro="" textlink="'Linking Cells'!B40">
      <xdr:nvSpPr>
        <xdr:cNvPr id="315" name="TextBox 314">
          <a:extLst>
            <a:ext uri="{FF2B5EF4-FFF2-40B4-BE49-F238E27FC236}">
              <a16:creationId xmlns:a16="http://schemas.microsoft.com/office/drawing/2014/main" id="{00000000-0008-0000-0A00-00003B010000}"/>
            </a:ext>
          </a:extLst>
        </xdr:cNvPr>
        <xdr:cNvSpPr txBox="1"/>
      </xdr:nvSpPr>
      <xdr:spPr>
        <a:xfrm>
          <a:off x="8959221" y="33146148"/>
          <a:ext cx="1928588"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F3B0FF8-988F-4B89-AA5F-334D0BFB74AE}" type="TxLink">
            <a:rPr lang="en-US" sz="1000" b="1" i="0" u="none" strike="noStrike">
              <a:solidFill>
                <a:srgbClr val="2A2A2A"/>
              </a:solidFill>
              <a:latin typeface="Overpass" panose="00000500000000000000" pitchFamily="2" charset="0"/>
              <a:ea typeface="Calibri"/>
              <a:cs typeface="Calibri"/>
            </a:rPr>
            <a:pPr marL="0" indent="0" algn="l"/>
            <a:t> </a:t>
          </a:fld>
          <a:endParaRPr lang="en-AU" sz="1000" b="1" i="0" u="none" strike="noStrike">
            <a:solidFill>
              <a:srgbClr val="2A2A2A"/>
            </a:solidFill>
            <a:latin typeface="Overpass" panose="00000500000000000000" pitchFamily="2" charset="0"/>
            <a:ea typeface="Calibri"/>
            <a:cs typeface="Calibri"/>
          </a:endParaRPr>
        </a:p>
      </xdr:txBody>
    </xdr:sp>
    <xdr:clientData/>
  </xdr:twoCellAnchor>
  <xdr:twoCellAnchor>
    <xdr:from>
      <xdr:col>47</xdr:col>
      <xdr:colOff>5721</xdr:colOff>
      <xdr:row>174</xdr:row>
      <xdr:rowOff>185002</xdr:rowOff>
    </xdr:from>
    <xdr:to>
      <xdr:col>57</xdr:col>
      <xdr:colOff>29309</xdr:colOff>
      <xdr:row>175</xdr:row>
      <xdr:rowOff>185002</xdr:rowOff>
    </xdr:to>
    <xdr:sp macro="" textlink="'Linking Cells'!B41">
      <xdr:nvSpPr>
        <xdr:cNvPr id="318" name="TextBox 317">
          <a:extLst>
            <a:ext uri="{FF2B5EF4-FFF2-40B4-BE49-F238E27FC236}">
              <a16:creationId xmlns:a16="http://schemas.microsoft.com/office/drawing/2014/main" id="{00000000-0008-0000-0A00-00003E010000}"/>
            </a:ext>
          </a:extLst>
        </xdr:cNvPr>
        <xdr:cNvSpPr txBox="1"/>
      </xdr:nvSpPr>
      <xdr:spPr>
        <a:xfrm>
          <a:off x="8959221" y="33332002"/>
          <a:ext cx="1928588"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1028D64-3136-469C-A9CE-588EA248E746}" type="TxLink">
            <a:rPr lang="en-US" sz="1000" b="1" i="0" u="none" strike="noStrike">
              <a:solidFill>
                <a:srgbClr val="2A2A2A"/>
              </a:solidFill>
              <a:latin typeface="Overpass" panose="00000500000000000000" pitchFamily="2" charset="0"/>
              <a:ea typeface="Calibri"/>
              <a:cs typeface="Calibri"/>
            </a:rPr>
            <a:pPr marL="0" indent="0" algn="l"/>
            <a:t> </a:t>
          </a:fld>
          <a:endParaRPr lang="en-AU" sz="1000" b="1" i="0" u="none" strike="noStrike">
            <a:solidFill>
              <a:srgbClr val="2A2A2A"/>
            </a:solidFill>
            <a:latin typeface="Overpass" panose="00000500000000000000" pitchFamily="2" charset="0"/>
            <a:ea typeface="Calibri"/>
            <a:cs typeface="Calibri"/>
          </a:endParaRPr>
        </a:p>
      </xdr:txBody>
    </xdr:sp>
    <xdr:clientData/>
  </xdr:twoCellAnchor>
  <xdr:twoCellAnchor editAs="oneCell">
    <xdr:from>
      <xdr:col>37</xdr:col>
      <xdr:colOff>182747</xdr:colOff>
      <xdr:row>64</xdr:row>
      <xdr:rowOff>0</xdr:rowOff>
    </xdr:from>
    <xdr:to>
      <xdr:col>40</xdr:col>
      <xdr:colOff>19538</xdr:colOff>
      <xdr:row>66</xdr:row>
      <xdr:rowOff>1699</xdr:rowOff>
    </xdr:to>
    <xdr:pic>
      <xdr:nvPicPr>
        <xdr:cNvPr id="317" name="Picture 316">
          <a:extLst>
            <a:ext uri="{FF2B5EF4-FFF2-40B4-BE49-F238E27FC236}">
              <a16:creationId xmlns:a16="http://schemas.microsoft.com/office/drawing/2014/main" id="{5B2F5E52-3B36-AC4D-A64D-C2D6D673F72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187467" y="12116273"/>
          <a:ext cx="385204" cy="380333"/>
        </a:xfrm>
        <a:prstGeom prst="rect">
          <a:avLst/>
        </a:prstGeom>
      </xdr:spPr>
    </xdr:pic>
    <xdr:clientData/>
  </xdr:twoCellAnchor>
  <xdr:twoCellAnchor editAs="oneCell">
    <xdr:from>
      <xdr:col>79</xdr:col>
      <xdr:colOff>0</xdr:colOff>
      <xdr:row>64</xdr:row>
      <xdr:rowOff>0</xdr:rowOff>
    </xdr:from>
    <xdr:to>
      <xdr:col>81</xdr:col>
      <xdr:colOff>16008</xdr:colOff>
      <xdr:row>66</xdr:row>
      <xdr:rowOff>1699</xdr:rowOff>
    </xdr:to>
    <xdr:pic>
      <xdr:nvPicPr>
        <xdr:cNvPr id="319" name="Picture 318">
          <a:extLst>
            <a:ext uri="{FF2B5EF4-FFF2-40B4-BE49-F238E27FC236}">
              <a16:creationId xmlns:a16="http://schemas.microsoft.com/office/drawing/2014/main" id="{6C3EC61A-3F85-5A42-943F-F91BFD61B5C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250160" y="12354560"/>
          <a:ext cx="396373" cy="387779"/>
        </a:xfrm>
        <a:prstGeom prst="rect">
          <a:avLst/>
        </a:prstGeom>
      </xdr:spPr>
    </xdr:pic>
    <xdr:clientData/>
  </xdr:twoCellAnchor>
  <xdr:twoCellAnchor editAs="oneCell">
    <xdr:from>
      <xdr:col>79</xdr:col>
      <xdr:colOff>0</xdr:colOff>
      <xdr:row>124</xdr:row>
      <xdr:rowOff>0</xdr:rowOff>
    </xdr:from>
    <xdr:to>
      <xdr:col>81</xdr:col>
      <xdr:colOff>16008</xdr:colOff>
      <xdr:row>126</xdr:row>
      <xdr:rowOff>1699</xdr:rowOff>
    </xdr:to>
    <xdr:pic>
      <xdr:nvPicPr>
        <xdr:cNvPr id="320" name="Picture 319">
          <a:extLst>
            <a:ext uri="{FF2B5EF4-FFF2-40B4-BE49-F238E27FC236}">
              <a16:creationId xmlns:a16="http://schemas.microsoft.com/office/drawing/2014/main" id="{6CCE257E-9CD0-5E4B-B711-BA040BC5201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250160" y="23936960"/>
          <a:ext cx="396373" cy="387779"/>
        </a:xfrm>
        <a:prstGeom prst="rect">
          <a:avLst/>
        </a:prstGeom>
      </xdr:spPr>
    </xdr:pic>
    <xdr:clientData/>
  </xdr:twoCellAnchor>
  <xdr:twoCellAnchor editAs="oneCell">
    <xdr:from>
      <xdr:col>38</xdr:col>
      <xdr:colOff>0</xdr:colOff>
      <xdr:row>124</xdr:row>
      <xdr:rowOff>0</xdr:rowOff>
    </xdr:from>
    <xdr:to>
      <xdr:col>40</xdr:col>
      <xdr:colOff>16008</xdr:colOff>
      <xdr:row>126</xdr:row>
      <xdr:rowOff>1699</xdr:rowOff>
    </xdr:to>
    <xdr:pic>
      <xdr:nvPicPr>
        <xdr:cNvPr id="321" name="Picture 320">
          <a:extLst>
            <a:ext uri="{FF2B5EF4-FFF2-40B4-BE49-F238E27FC236}">
              <a16:creationId xmlns:a16="http://schemas.microsoft.com/office/drawing/2014/main" id="{19CD13A5-B15B-434D-9FFD-D3422E7B107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335520" y="23936960"/>
          <a:ext cx="396373" cy="387779"/>
        </a:xfrm>
        <a:prstGeom prst="rect">
          <a:avLst/>
        </a:prstGeom>
      </xdr:spPr>
    </xdr:pic>
    <xdr:clientData/>
  </xdr:twoCellAnchor>
  <xdr:twoCellAnchor editAs="oneCell">
    <xdr:from>
      <xdr:col>38</xdr:col>
      <xdr:colOff>10160</xdr:colOff>
      <xdr:row>183</xdr:row>
      <xdr:rowOff>191341</xdr:rowOff>
    </xdr:from>
    <xdr:to>
      <xdr:col>40</xdr:col>
      <xdr:colOff>20453</xdr:colOff>
      <xdr:row>186</xdr:row>
      <xdr:rowOff>19201</xdr:rowOff>
    </xdr:to>
    <xdr:pic>
      <xdr:nvPicPr>
        <xdr:cNvPr id="322" name="Picture 321">
          <a:extLst>
            <a:ext uri="{FF2B5EF4-FFF2-40B4-BE49-F238E27FC236}">
              <a16:creationId xmlns:a16="http://schemas.microsoft.com/office/drawing/2014/main" id="{FD5BB19F-2989-FC4D-974A-3209B570E23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345680" y="35517661"/>
          <a:ext cx="396373" cy="387779"/>
        </a:xfrm>
        <a:prstGeom prst="rect">
          <a:avLst/>
        </a:prstGeom>
      </xdr:spPr>
    </xdr:pic>
    <xdr:clientData/>
  </xdr:twoCellAnchor>
  <xdr:twoCellAnchor editAs="oneCell">
    <xdr:from>
      <xdr:col>38</xdr:col>
      <xdr:colOff>0</xdr:colOff>
      <xdr:row>244</xdr:row>
      <xdr:rowOff>0</xdr:rowOff>
    </xdr:from>
    <xdr:to>
      <xdr:col>40</xdr:col>
      <xdr:colOff>16008</xdr:colOff>
      <xdr:row>246</xdr:row>
      <xdr:rowOff>1699</xdr:rowOff>
    </xdr:to>
    <xdr:pic>
      <xdr:nvPicPr>
        <xdr:cNvPr id="323" name="Picture 322">
          <a:extLst>
            <a:ext uri="{FF2B5EF4-FFF2-40B4-BE49-F238E27FC236}">
              <a16:creationId xmlns:a16="http://schemas.microsoft.com/office/drawing/2014/main" id="{6A31F42B-67E3-E144-93BE-72B335D7F08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335520" y="47101760"/>
          <a:ext cx="396373" cy="387779"/>
        </a:xfrm>
        <a:prstGeom prst="rect">
          <a:avLst/>
        </a:prstGeom>
      </xdr:spPr>
    </xdr:pic>
    <xdr:clientData/>
  </xdr:twoCellAnchor>
  <xdr:twoCellAnchor>
    <xdr:from>
      <xdr:col>6</xdr:col>
      <xdr:colOff>298</xdr:colOff>
      <xdr:row>70</xdr:row>
      <xdr:rowOff>189906</xdr:rowOff>
    </xdr:from>
    <xdr:to>
      <xdr:col>36</xdr:col>
      <xdr:colOff>0</xdr:colOff>
      <xdr:row>81</xdr:row>
      <xdr:rowOff>0</xdr:rowOff>
    </xdr:to>
    <xdr:sp macro="" textlink="">
      <xdr:nvSpPr>
        <xdr:cNvPr id="292" name="Rounded Rectangle 291">
          <a:extLst>
            <a:ext uri="{FF2B5EF4-FFF2-40B4-BE49-F238E27FC236}">
              <a16:creationId xmlns:a16="http://schemas.microsoft.com/office/drawing/2014/main" id="{00000000-0008-0000-0A00-000024010000}"/>
            </a:ext>
          </a:extLst>
        </xdr:cNvPr>
        <xdr:cNvSpPr/>
      </xdr:nvSpPr>
      <xdr:spPr>
        <a:xfrm>
          <a:off x="1158538" y="13702706"/>
          <a:ext cx="5790902" cy="1933534"/>
        </a:xfrm>
        <a:prstGeom prst="roundRect">
          <a:avLst>
            <a:gd name="adj" fmla="val 14502"/>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173182</xdr:colOff>
      <xdr:row>204</xdr:row>
      <xdr:rowOff>36078</xdr:rowOff>
    </xdr:from>
    <xdr:to>
      <xdr:col>38</xdr:col>
      <xdr:colOff>7215</xdr:colOff>
      <xdr:row>207</xdr:row>
      <xdr:rowOff>33393</xdr:rowOff>
    </xdr:to>
    <xdr:sp macro="" textlink="">
      <xdr:nvSpPr>
        <xdr:cNvPr id="289" name="TextBox 288">
          <a:extLst>
            <a:ext uri="{FF2B5EF4-FFF2-40B4-BE49-F238E27FC236}">
              <a16:creationId xmlns:a16="http://schemas.microsoft.com/office/drawing/2014/main" id="{49173964-EAE3-4D1B-A48F-CD500A746444}"/>
            </a:ext>
          </a:extLst>
        </xdr:cNvPr>
        <xdr:cNvSpPr txBox="1"/>
      </xdr:nvSpPr>
      <xdr:spPr>
        <a:xfrm>
          <a:off x="1111250" y="38309260"/>
          <a:ext cx="6025283" cy="560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AU" sz="900" b="0" i="0">
              <a:solidFill>
                <a:schemeClr val="dk1"/>
              </a:solidFill>
              <a:effectLst/>
              <a:latin typeface="+mn-lt"/>
              <a:ea typeface="+mn-ea"/>
              <a:cs typeface="+mn-cs"/>
            </a:rPr>
            <a:t>All progress claims must be paid by the Customer to the Supplier within seven (7) days from the receipt of an invoice</a:t>
          </a:r>
          <a:endParaRPr lang="en-US" sz="700" b="1" i="0" u="none" strike="noStrike">
            <a:solidFill>
              <a:srgbClr val="666666"/>
            </a:solidFill>
            <a:latin typeface="Overpass" panose="00000500000000000000" pitchFamily="2" charset="0"/>
            <a:ea typeface="+mn-ea"/>
            <a:cs typeface="Calibri"/>
          </a:endParaRPr>
        </a:p>
      </xdr:txBody>
    </xdr:sp>
    <xdr:clientData/>
  </xdr:twoCellAnchor>
  <xdr:twoCellAnchor>
    <xdr:from>
      <xdr:col>47</xdr:col>
      <xdr:colOff>5720</xdr:colOff>
      <xdr:row>161</xdr:row>
      <xdr:rowOff>20880</xdr:rowOff>
    </xdr:from>
    <xdr:to>
      <xdr:col>60</xdr:col>
      <xdr:colOff>9775</xdr:colOff>
      <xdr:row>162</xdr:row>
      <xdr:rowOff>22249</xdr:rowOff>
    </xdr:to>
    <xdr:sp macro="" textlink="'Linking Cells'!C51">
      <xdr:nvSpPr>
        <xdr:cNvPr id="293" name="TextBox 292">
          <a:extLst>
            <a:ext uri="{FF2B5EF4-FFF2-40B4-BE49-F238E27FC236}">
              <a16:creationId xmlns:a16="http://schemas.microsoft.com/office/drawing/2014/main" id="{23CCF8CB-7787-4BF6-AA11-BE897EE9AD0B}"/>
            </a:ext>
          </a:extLst>
        </xdr:cNvPr>
        <xdr:cNvSpPr txBox="1"/>
      </xdr:nvSpPr>
      <xdr:spPr>
        <a:xfrm>
          <a:off x="8959220" y="3069138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E6A52F8-6FBB-4CDC-B7BF-5C9F364A6FE5}"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60</xdr:col>
      <xdr:colOff>6600</xdr:colOff>
      <xdr:row>161</xdr:row>
      <xdr:rowOff>20948</xdr:rowOff>
    </xdr:from>
    <xdr:to>
      <xdr:col>77</xdr:col>
      <xdr:colOff>0</xdr:colOff>
      <xdr:row>162</xdr:row>
      <xdr:rowOff>28240</xdr:rowOff>
    </xdr:to>
    <xdr:sp macro="" textlink="'Linking Cells'!C52">
      <xdr:nvSpPr>
        <xdr:cNvPr id="308" name="TextBox 307">
          <a:extLst>
            <a:ext uri="{FF2B5EF4-FFF2-40B4-BE49-F238E27FC236}">
              <a16:creationId xmlns:a16="http://schemas.microsoft.com/office/drawing/2014/main" id="{EACBB474-DE1D-4A57-8228-445E7725766F}"/>
            </a:ext>
          </a:extLst>
        </xdr:cNvPr>
        <xdr:cNvSpPr txBox="1"/>
      </xdr:nvSpPr>
      <xdr:spPr>
        <a:xfrm>
          <a:off x="11676870" y="31336173"/>
          <a:ext cx="3299977" cy="20179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F1E42D2-B6F4-4C2D-8BBC-546FCDF7CB25}" type="TxLink">
            <a:rPr lang="en-US" sz="1000" b="0" i="0" u="none" strike="noStrike">
              <a:solidFill>
                <a:srgbClr val="2A2A2A"/>
              </a:solidFill>
              <a:latin typeface="Overpass" panose="00000500000000000000" pitchFamily="2" charset="0"/>
              <a:ea typeface="Calibri"/>
              <a:cs typeface="Calibri"/>
            </a:rPr>
            <a:pPr marL="0" indent="0" algn="l"/>
            <a:t> </a:t>
          </a:fld>
          <a:endParaRPr lang="en-AU" sz="1000" b="0" i="0" u="none" strike="noStrike">
            <a:solidFill>
              <a:srgbClr val="2A2A2A"/>
            </a:solidFill>
            <a:latin typeface="Overpass" panose="00000500000000000000" pitchFamily="2" charset="0"/>
            <a:ea typeface="Calibri"/>
            <a:cs typeface="Calibri"/>
          </a:endParaRPr>
        </a:p>
      </xdr:txBody>
    </xdr:sp>
    <xdr:clientData/>
  </xdr:twoCellAnchor>
  <xdr:twoCellAnchor>
    <xdr:from>
      <xdr:col>47</xdr:col>
      <xdr:colOff>0</xdr:colOff>
      <xdr:row>85</xdr:row>
      <xdr:rowOff>0</xdr:rowOff>
    </xdr:from>
    <xdr:to>
      <xdr:col>65</xdr:col>
      <xdr:colOff>128698</xdr:colOff>
      <xdr:row>86</xdr:row>
      <xdr:rowOff>1</xdr:rowOff>
    </xdr:to>
    <xdr:sp macro="" textlink="'Linking Cells'!B17">
      <xdr:nvSpPr>
        <xdr:cNvPr id="326" name="TextBox 237">
          <a:extLst>
            <a:ext uri="{FF2B5EF4-FFF2-40B4-BE49-F238E27FC236}">
              <a16:creationId xmlns:a16="http://schemas.microsoft.com/office/drawing/2014/main" id="{A007E733-5982-478A-84BE-3E301784FF13}"/>
            </a:ext>
          </a:extLst>
        </xdr:cNvPr>
        <xdr:cNvSpPr txBox="1"/>
      </xdr:nvSpPr>
      <xdr:spPr>
        <a:xfrm>
          <a:off x="8953500" y="16192500"/>
          <a:ext cx="3557698"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EBE0867-42C1-4B3E-9FC9-FE85B0192515}" type="TxLink">
            <a:rPr lang="en-US" sz="1000" b="1" i="0" u="none" strike="noStrike">
              <a:solidFill>
                <a:srgbClr val="28066C"/>
              </a:solidFill>
              <a:latin typeface="Overpass" panose="00000500000000000000" pitchFamily="2" charset="0"/>
              <a:ea typeface="+mn-ea"/>
              <a:cs typeface="Calibri"/>
            </a:rPr>
            <a:pPr marL="0" indent="0" algn="l"/>
            <a:t> </a:t>
          </a:fld>
          <a:endParaRPr lang="en-US" sz="1000" b="1" i="0" u="none" strike="noStrike">
            <a:solidFill>
              <a:srgbClr val="28066C"/>
            </a:solidFill>
            <a:latin typeface="Overpass" panose="00000500000000000000" pitchFamily="2" charset="0"/>
            <a:ea typeface="+mn-ea"/>
            <a:cs typeface="Calibri"/>
          </a:endParaRPr>
        </a:p>
      </xdr:txBody>
    </xdr:sp>
    <xdr:clientData/>
  </xdr:twoCellAnchor>
  <xdr:twoCellAnchor>
    <xdr:from>
      <xdr:col>47</xdr:col>
      <xdr:colOff>0</xdr:colOff>
      <xdr:row>86</xdr:row>
      <xdr:rowOff>0</xdr:rowOff>
    </xdr:from>
    <xdr:to>
      <xdr:col>66</xdr:col>
      <xdr:colOff>594</xdr:colOff>
      <xdr:row>87</xdr:row>
      <xdr:rowOff>1</xdr:rowOff>
    </xdr:to>
    <xdr:sp macro="" textlink="'Linking Cells'!B18">
      <xdr:nvSpPr>
        <xdr:cNvPr id="327" name="TextBox 240">
          <a:extLst>
            <a:ext uri="{FF2B5EF4-FFF2-40B4-BE49-F238E27FC236}">
              <a16:creationId xmlns:a16="http://schemas.microsoft.com/office/drawing/2014/main" id="{886BF0CF-6BDD-443A-900E-DA528A3A5618}"/>
            </a:ext>
          </a:extLst>
        </xdr:cNvPr>
        <xdr:cNvSpPr txBox="1"/>
      </xdr:nvSpPr>
      <xdr:spPr>
        <a:xfrm>
          <a:off x="8953500" y="16383000"/>
          <a:ext cx="362009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B7ADB9A-73EC-4F19-BEDD-59B901DD62A4}"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66</xdr:col>
      <xdr:colOff>0</xdr:colOff>
      <xdr:row>86</xdr:row>
      <xdr:rowOff>1</xdr:rowOff>
    </xdr:from>
    <xdr:to>
      <xdr:col>77</xdr:col>
      <xdr:colOff>3174</xdr:colOff>
      <xdr:row>87</xdr:row>
      <xdr:rowOff>3983</xdr:rowOff>
    </xdr:to>
    <xdr:sp macro="" textlink="'Linking Cells'!C18">
      <xdr:nvSpPr>
        <xdr:cNvPr id="328" name="TextBox 167">
          <a:extLst>
            <a:ext uri="{FF2B5EF4-FFF2-40B4-BE49-F238E27FC236}">
              <a16:creationId xmlns:a16="http://schemas.microsoft.com/office/drawing/2014/main" id="{A092085A-F0FA-405C-A2D5-AAAB211F7A26}"/>
            </a:ext>
          </a:extLst>
        </xdr:cNvPr>
        <xdr:cNvSpPr txBox="1"/>
      </xdr:nvSpPr>
      <xdr:spPr>
        <a:xfrm>
          <a:off x="12573000" y="16383001"/>
          <a:ext cx="2098674" cy="19448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C4F8C61-7AA7-4432-BD1E-17F32B13AC5D}"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865</xdr:colOff>
      <xdr:row>85</xdr:row>
      <xdr:rowOff>0</xdr:rowOff>
    </xdr:from>
    <xdr:to>
      <xdr:col>77</xdr:col>
      <xdr:colOff>866</xdr:colOff>
      <xdr:row>86</xdr:row>
      <xdr:rowOff>1222</xdr:rowOff>
    </xdr:to>
    <xdr:sp macro="" textlink="'Linking Cells'!C17">
      <xdr:nvSpPr>
        <xdr:cNvPr id="329" name="TextBox 168">
          <a:extLst>
            <a:ext uri="{FF2B5EF4-FFF2-40B4-BE49-F238E27FC236}">
              <a16:creationId xmlns:a16="http://schemas.microsoft.com/office/drawing/2014/main" id="{7762986C-FE4C-4003-97B2-21E63F7DCB94}"/>
            </a:ext>
          </a:extLst>
        </xdr:cNvPr>
        <xdr:cNvSpPr txBox="1"/>
      </xdr:nvSpPr>
      <xdr:spPr>
        <a:xfrm>
          <a:off x="12573865" y="16192500"/>
          <a:ext cx="2095501"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D1DA219-C776-4D91-88B2-B93DCD60E989}"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0</xdr:colOff>
      <xdr:row>87</xdr:row>
      <xdr:rowOff>1</xdr:rowOff>
    </xdr:from>
    <xdr:to>
      <xdr:col>77</xdr:col>
      <xdr:colOff>3174</xdr:colOff>
      <xdr:row>88</xdr:row>
      <xdr:rowOff>1222</xdr:rowOff>
    </xdr:to>
    <xdr:sp macro="" textlink="'Linking Cells'!C19">
      <xdr:nvSpPr>
        <xdr:cNvPr id="330" name="TextBox 169">
          <a:extLst>
            <a:ext uri="{FF2B5EF4-FFF2-40B4-BE49-F238E27FC236}">
              <a16:creationId xmlns:a16="http://schemas.microsoft.com/office/drawing/2014/main" id="{EAA9E32E-D59D-4C7E-BFC4-BA81C4333166}"/>
            </a:ext>
          </a:extLst>
        </xdr:cNvPr>
        <xdr:cNvSpPr txBox="1"/>
      </xdr:nvSpPr>
      <xdr:spPr>
        <a:xfrm>
          <a:off x="12573000" y="16573501"/>
          <a:ext cx="2098674" cy="19172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E34A369-BA87-43CA-8D7D-04A3BD7AE19E}"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editAs="oneCell">
    <xdr:from>
      <xdr:col>47</xdr:col>
      <xdr:colOff>18956</xdr:colOff>
      <xdr:row>6</xdr:row>
      <xdr:rowOff>18231</xdr:rowOff>
    </xdr:from>
    <xdr:to>
      <xdr:col>55</xdr:col>
      <xdr:colOff>174406</xdr:colOff>
      <xdr:row>8</xdr:row>
      <xdr:rowOff>174953</xdr:rowOff>
    </xdr:to>
    <xdr:pic>
      <xdr:nvPicPr>
        <xdr:cNvPr id="324" name="Picture 323" descr="Smart Logo_RBG-Grey">
          <a:extLst>
            <a:ext uri="{FF2B5EF4-FFF2-40B4-BE49-F238E27FC236}">
              <a16:creationId xmlns:a16="http://schemas.microsoft.com/office/drawing/2014/main" id="{4BD63E28-03AC-6691-50AA-B88E5783C21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72456" y="1161231"/>
          <a:ext cx="1688975" cy="543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66</xdr:col>
      <xdr:colOff>1</xdr:colOff>
      <xdr:row>281</xdr:row>
      <xdr:rowOff>0</xdr:rowOff>
    </xdr:from>
    <xdr:to>
      <xdr:col>69</xdr:col>
      <xdr:colOff>0</xdr:colOff>
      <xdr:row>282</xdr:row>
      <xdr:rowOff>1</xdr:rowOff>
    </xdr:to>
    <xdr:sp macro="" textlink="">
      <xdr:nvSpPr>
        <xdr:cNvPr id="389" name="TextBox 388">
          <a:extLst>
            <a:ext uri="{FF2B5EF4-FFF2-40B4-BE49-F238E27FC236}">
              <a16:creationId xmlns:a16="http://schemas.microsoft.com/office/drawing/2014/main" id="{3FD2EC0C-77F9-7940-AE08-E43F6D2BD780}"/>
            </a:ext>
          </a:extLst>
        </xdr:cNvPr>
        <xdr:cNvSpPr txBox="1"/>
      </xdr:nvSpPr>
      <xdr:spPr>
        <a:xfrm>
          <a:off x="12573001" y="53530500"/>
          <a:ext cx="5714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Date:</a:t>
          </a:r>
        </a:p>
      </xdr:txBody>
    </xdr:sp>
    <xdr:clientData/>
  </xdr:twoCellAnchor>
  <xdr:twoCellAnchor>
    <xdr:from>
      <xdr:col>47</xdr:col>
      <xdr:colOff>0</xdr:colOff>
      <xdr:row>244</xdr:row>
      <xdr:rowOff>0</xdr:rowOff>
    </xdr:from>
    <xdr:to>
      <xdr:col>81</xdr:col>
      <xdr:colOff>2604</xdr:colOff>
      <xdr:row>297</xdr:row>
      <xdr:rowOff>179059</xdr:rowOff>
    </xdr:to>
    <xdr:grpSp>
      <xdr:nvGrpSpPr>
        <xdr:cNvPr id="343" name="Group 342">
          <a:extLst>
            <a:ext uri="{FF2B5EF4-FFF2-40B4-BE49-F238E27FC236}">
              <a16:creationId xmlns:a16="http://schemas.microsoft.com/office/drawing/2014/main" id="{B0AF5F41-026D-F649-D97A-87FEB216641C}"/>
            </a:ext>
          </a:extLst>
        </xdr:cNvPr>
        <xdr:cNvGrpSpPr/>
      </xdr:nvGrpSpPr>
      <xdr:grpSpPr>
        <a:xfrm>
          <a:off x="8953500" y="46482000"/>
          <a:ext cx="6479604" cy="10271749"/>
          <a:chOff x="8718764" y="45263371"/>
          <a:chExt cx="6309795" cy="10010857"/>
        </a:xfrm>
      </xdr:grpSpPr>
      <xdr:sp macro="" textlink="">
        <xdr:nvSpPr>
          <xdr:cNvPr id="325" name="TextBox 15">
            <a:extLst>
              <a:ext uri="{FF2B5EF4-FFF2-40B4-BE49-F238E27FC236}">
                <a16:creationId xmlns:a16="http://schemas.microsoft.com/office/drawing/2014/main" id="{3F5A222D-B5B3-7A4F-99F9-220823C92B77}"/>
              </a:ext>
            </a:extLst>
          </xdr:cNvPr>
          <xdr:cNvSpPr txBox="1"/>
        </xdr:nvSpPr>
        <xdr:spPr>
          <a:xfrm>
            <a:off x="8722128" y="45823253"/>
            <a:ext cx="4622136" cy="367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VEU</a:t>
            </a:r>
            <a:r>
              <a:rPr lang="en-GB" sz="2400" baseline="0">
                <a:solidFill>
                  <a:srgbClr val="28066C"/>
                </a:solidFill>
                <a:latin typeface="Barlow" pitchFamily="2" charset="77"/>
              </a:rPr>
              <a:t> CONTRACT REQUIREMENTS</a:t>
            </a:r>
            <a:endParaRPr lang="en-GB" sz="2400">
              <a:solidFill>
                <a:srgbClr val="28066C"/>
              </a:solidFill>
              <a:latin typeface="Barlow" pitchFamily="2" charset="77"/>
            </a:endParaRPr>
          </a:p>
        </xdr:txBody>
      </xdr:sp>
      <xdr:pic>
        <xdr:nvPicPr>
          <xdr:cNvPr id="331" name="Picture 330">
            <a:extLst>
              <a:ext uri="{FF2B5EF4-FFF2-40B4-BE49-F238E27FC236}">
                <a16:creationId xmlns:a16="http://schemas.microsoft.com/office/drawing/2014/main" id="{3CC92B7F-9990-7E4F-9694-51D6128CD16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640120" y="45263371"/>
            <a:ext cx="388439" cy="372710"/>
          </a:xfrm>
          <a:prstGeom prst="rect">
            <a:avLst/>
          </a:prstGeom>
        </xdr:spPr>
      </xdr:pic>
      <xdr:grpSp>
        <xdr:nvGrpSpPr>
          <xdr:cNvPr id="333" name="Group 332">
            <a:extLst>
              <a:ext uri="{FF2B5EF4-FFF2-40B4-BE49-F238E27FC236}">
                <a16:creationId xmlns:a16="http://schemas.microsoft.com/office/drawing/2014/main" id="{8DCDBD07-B435-C547-ACE5-9BA2FD425F7E}"/>
              </a:ext>
            </a:extLst>
          </xdr:cNvPr>
          <xdr:cNvGrpSpPr/>
        </xdr:nvGrpSpPr>
        <xdr:grpSpPr>
          <a:xfrm>
            <a:off x="8815595" y="47303933"/>
            <a:ext cx="4398113" cy="371011"/>
            <a:chOff x="1257289" y="37002203"/>
            <a:chExt cx="4599264" cy="387458"/>
          </a:xfrm>
        </xdr:grpSpPr>
        <xdr:sp macro="" textlink="">
          <xdr:nvSpPr>
            <xdr:cNvPr id="334" name="TextBox 333">
              <a:extLst>
                <a:ext uri="{FF2B5EF4-FFF2-40B4-BE49-F238E27FC236}">
                  <a16:creationId xmlns:a16="http://schemas.microsoft.com/office/drawing/2014/main" id="{94265E80-93BA-985F-6A8D-967D5584646F}"/>
                </a:ext>
              </a:extLst>
            </xdr:cNvPr>
            <xdr:cNvSpPr txBox="1"/>
          </xdr:nvSpPr>
          <xdr:spPr>
            <a:xfrm>
              <a:off x="1455076" y="37002203"/>
              <a:ext cx="440147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Mandatory</a:t>
              </a:r>
              <a:r>
                <a:rPr lang="en-GB" sz="2000" b="0" i="0" baseline="0">
                  <a:solidFill>
                    <a:srgbClr val="28066C"/>
                  </a:solidFill>
                  <a:latin typeface="Barlow" pitchFamily="2" charset="77"/>
                </a:rPr>
                <a:t> Documentation</a:t>
              </a:r>
              <a:endParaRPr lang="en-GB" sz="2000" b="0" i="0">
                <a:solidFill>
                  <a:srgbClr val="28066C"/>
                </a:solidFill>
                <a:latin typeface="Barlow" pitchFamily="2" charset="77"/>
              </a:endParaRPr>
            </a:p>
          </xdr:txBody>
        </xdr:sp>
        <xdr:cxnSp macro="">
          <xdr:nvCxnSpPr>
            <xdr:cNvPr id="335" name="Straight Connector 334">
              <a:extLst>
                <a:ext uri="{FF2B5EF4-FFF2-40B4-BE49-F238E27FC236}">
                  <a16:creationId xmlns:a16="http://schemas.microsoft.com/office/drawing/2014/main" id="{43F6815F-ECB6-8E87-8198-96C1990EDFA3}"/>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6" name="TextBox 335">
            <a:extLst>
              <a:ext uri="{FF2B5EF4-FFF2-40B4-BE49-F238E27FC236}">
                <a16:creationId xmlns:a16="http://schemas.microsoft.com/office/drawing/2014/main" id="{E0D31341-63D9-E94B-8833-1C01E83D72E1}"/>
              </a:ext>
            </a:extLst>
          </xdr:cNvPr>
          <xdr:cNvSpPr txBox="1"/>
        </xdr:nvSpPr>
        <xdr:spPr>
          <a:xfrm>
            <a:off x="8719446" y="47865443"/>
            <a:ext cx="2417089" cy="37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CONSUMER FACTSHEET</a:t>
            </a:r>
          </a:p>
        </xdr:txBody>
      </xdr:sp>
      <xdr:sp macro="" textlink="">
        <xdr:nvSpPr>
          <xdr:cNvPr id="337" name="TextBox 336">
            <a:extLst>
              <a:ext uri="{FF2B5EF4-FFF2-40B4-BE49-F238E27FC236}">
                <a16:creationId xmlns:a16="http://schemas.microsoft.com/office/drawing/2014/main" id="{295E466D-E275-5E49-BAB7-18D436B6ED68}"/>
              </a:ext>
            </a:extLst>
          </xdr:cNvPr>
          <xdr:cNvSpPr txBox="1"/>
        </xdr:nvSpPr>
        <xdr:spPr>
          <a:xfrm>
            <a:off x="8719446" y="48233201"/>
            <a:ext cx="2417089" cy="37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CONSUMER STATEMENT OF RIGHTS</a:t>
            </a:r>
          </a:p>
        </xdr:txBody>
      </xdr:sp>
      <xdr:sp macro="" textlink="">
        <xdr:nvSpPr>
          <xdr:cNvPr id="338" name="TextBox 337">
            <a:extLst>
              <a:ext uri="{FF2B5EF4-FFF2-40B4-BE49-F238E27FC236}">
                <a16:creationId xmlns:a16="http://schemas.microsoft.com/office/drawing/2014/main" id="{D34B2C92-EDBE-8A4A-8A47-7E0F8A153C3A}"/>
              </a:ext>
            </a:extLst>
          </xdr:cNvPr>
          <xdr:cNvSpPr txBox="1"/>
        </xdr:nvSpPr>
        <xdr:spPr>
          <a:xfrm>
            <a:off x="8719445" y="48604213"/>
            <a:ext cx="2598496" cy="362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VEU PUBLIC REGISTRY</a:t>
            </a:r>
          </a:p>
        </xdr:txBody>
      </xdr:sp>
      <xdr:cxnSp macro="">
        <xdr:nvCxnSpPr>
          <xdr:cNvPr id="339" name="Straight Connector 16">
            <a:extLst>
              <a:ext uri="{FF2B5EF4-FFF2-40B4-BE49-F238E27FC236}">
                <a16:creationId xmlns:a16="http://schemas.microsoft.com/office/drawing/2014/main" id="{A8B8FFB7-69A3-8549-AB78-0B63828F9F7D}"/>
              </a:ext>
            </a:extLst>
          </xdr:cNvPr>
          <xdr:cNvCxnSpPr/>
        </xdr:nvCxnSpPr>
        <xdr:spPr>
          <a:xfrm>
            <a:off x="8722698" y="49152541"/>
            <a:ext cx="55612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68" name="TextBox 367">
            <a:extLst>
              <a:ext uri="{FF2B5EF4-FFF2-40B4-BE49-F238E27FC236}">
                <a16:creationId xmlns:a16="http://schemas.microsoft.com/office/drawing/2014/main" id="{CFB54853-DAE3-0C4E-A107-1F25416EFD5B}"/>
              </a:ext>
            </a:extLst>
          </xdr:cNvPr>
          <xdr:cNvSpPr txBox="1"/>
        </xdr:nvSpPr>
        <xdr:spPr>
          <a:xfrm>
            <a:off x="11132566" y="47865443"/>
            <a:ext cx="3151367" cy="3710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https://bit.ly/veu-factsheet</a:t>
            </a:r>
          </a:p>
        </xdr:txBody>
      </xdr:sp>
      <xdr:sp macro="" textlink="">
        <xdr:nvSpPr>
          <xdr:cNvPr id="369" name="TextBox 368">
            <a:extLst>
              <a:ext uri="{FF2B5EF4-FFF2-40B4-BE49-F238E27FC236}">
                <a16:creationId xmlns:a16="http://schemas.microsoft.com/office/drawing/2014/main" id="{A44A35AE-386C-934E-9450-0D60A8F125DB}"/>
              </a:ext>
            </a:extLst>
          </xdr:cNvPr>
          <xdr:cNvSpPr txBox="1"/>
        </xdr:nvSpPr>
        <xdr:spPr>
          <a:xfrm>
            <a:off x="11132566" y="48236454"/>
            <a:ext cx="3151367" cy="3710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https://bit.ly/veu-consumer-rights</a:t>
            </a:r>
          </a:p>
        </xdr:txBody>
      </xdr:sp>
      <xdr:sp macro="" textlink="">
        <xdr:nvSpPr>
          <xdr:cNvPr id="370" name="TextBox 369">
            <a:extLst>
              <a:ext uri="{FF2B5EF4-FFF2-40B4-BE49-F238E27FC236}">
                <a16:creationId xmlns:a16="http://schemas.microsoft.com/office/drawing/2014/main" id="{822EEBC0-1A04-F14A-88A0-5D80A10116B6}"/>
              </a:ext>
            </a:extLst>
          </xdr:cNvPr>
          <xdr:cNvSpPr txBox="1"/>
        </xdr:nvSpPr>
        <xdr:spPr>
          <a:xfrm>
            <a:off x="11132566" y="48607465"/>
            <a:ext cx="3151367" cy="3710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https://veu.esc.vic.gov.au/vpr/s/public-registry</a:t>
            </a:r>
          </a:p>
        </xdr:txBody>
      </xdr:sp>
      <xdr:grpSp>
        <xdr:nvGrpSpPr>
          <xdr:cNvPr id="383" name="Group 382">
            <a:extLst>
              <a:ext uri="{FF2B5EF4-FFF2-40B4-BE49-F238E27FC236}">
                <a16:creationId xmlns:a16="http://schemas.microsoft.com/office/drawing/2014/main" id="{166ED33E-3E4F-656E-373A-47B19B24559E}"/>
              </a:ext>
            </a:extLst>
          </xdr:cNvPr>
          <xdr:cNvGrpSpPr/>
        </xdr:nvGrpSpPr>
        <xdr:grpSpPr>
          <a:xfrm>
            <a:off x="8718764" y="53048160"/>
            <a:ext cx="5565169" cy="2226068"/>
            <a:chOff x="9141712" y="53877748"/>
            <a:chExt cx="5835135" cy="2334054"/>
          </a:xfrm>
        </xdr:grpSpPr>
        <xdr:grpSp>
          <xdr:nvGrpSpPr>
            <xdr:cNvPr id="355" name="Group 354">
              <a:extLst>
                <a:ext uri="{FF2B5EF4-FFF2-40B4-BE49-F238E27FC236}">
                  <a16:creationId xmlns:a16="http://schemas.microsoft.com/office/drawing/2014/main" id="{F41B24AB-5790-1748-BC62-0B56F7812A8B}"/>
                </a:ext>
              </a:extLst>
            </xdr:cNvPr>
            <xdr:cNvGrpSpPr/>
          </xdr:nvGrpSpPr>
          <xdr:grpSpPr>
            <a:xfrm>
              <a:off x="9236627" y="53877748"/>
              <a:ext cx="3406166" cy="389009"/>
              <a:chOff x="1257289" y="37002203"/>
              <a:chExt cx="3392204" cy="387458"/>
            </a:xfrm>
          </xdr:grpSpPr>
          <xdr:sp macro="" textlink="">
            <xdr:nvSpPr>
              <xdr:cNvPr id="356" name="TextBox 355">
                <a:extLst>
                  <a:ext uri="{FF2B5EF4-FFF2-40B4-BE49-F238E27FC236}">
                    <a16:creationId xmlns:a16="http://schemas.microsoft.com/office/drawing/2014/main" id="{3ABA3624-54F7-50CA-20B6-92C668C1397F}"/>
                  </a:ext>
                </a:extLst>
              </xdr:cNvPr>
              <xdr:cNvSpPr txBox="1"/>
            </xdr:nvSpPr>
            <xdr:spPr>
              <a:xfrm>
                <a:off x="1455076" y="37002203"/>
                <a:ext cx="319441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Operational Details</a:t>
                </a:r>
              </a:p>
            </xdr:txBody>
          </xdr:sp>
          <xdr:cxnSp macro="">
            <xdr:nvCxnSpPr>
              <xdr:cNvPr id="357" name="Straight Connector 356">
                <a:extLst>
                  <a:ext uri="{FF2B5EF4-FFF2-40B4-BE49-F238E27FC236}">
                    <a16:creationId xmlns:a16="http://schemas.microsoft.com/office/drawing/2014/main" id="{4C47E95E-C495-B796-0CDB-CF703964D9E4}"/>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8" name="TextBox 357">
              <a:extLst>
                <a:ext uri="{FF2B5EF4-FFF2-40B4-BE49-F238E27FC236}">
                  <a16:creationId xmlns:a16="http://schemas.microsoft.com/office/drawing/2014/main" id="{AC642989-60CC-7C4F-B440-8EDE893761A7}"/>
                </a:ext>
              </a:extLst>
            </xdr:cNvPr>
            <xdr:cNvSpPr txBox="1"/>
          </xdr:nvSpPr>
          <xdr:spPr>
            <a:xfrm>
              <a:off x="9141712" y="54461262"/>
              <a:ext cx="2535936"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7056C"/>
                  </a:solidFill>
                  <a:latin typeface="Overpass" panose="00000500000000000000" pitchFamily="2" charset="0"/>
                  <a:ea typeface="+mn-ea"/>
                  <a:cs typeface="Calibri"/>
                </a:rPr>
                <a:t>INSTALLER</a:t>
              </a:r>
              <a:r>
                <a:rPr lang="en-US" sz="1200" b="1" i="0" u="none" strike="noStrike" baseline="0">
                  <a:solidFill>
                    <a:srgbClr val="27056C"/>
                  </a:solidFill>
                  <a:latin typeface="Overpass" panose="00000500000000000000" pitchFamily="2" charset="0"/>
                  <a:ea typeface="+mn-ea"/>
                  <a:cs typeface="Calibri"/>
                </a:rPr>
                <a:t> DETAILS</a:t>
              </a:r>
              <a:endParaRPr lang="en-US" sz="1200" b="1" i="0" u="none" strike="noStrike">
                <a:solidFill>
                  <a:srgbClr val="27056C"/>
                </a:solidFill>
                <a:latin typeface="Overpass" panose="00000500000000000000" pitchFamily="2" charset="0"/>
                <a:ea typeface="+mn-ea"/>
                <a:cs typeface="Calibri"/>
              </a:endParaRPr>
            </a:p>
          </xdr:txBody>
        </xdr:sp>
        <xdr:sp macro="" textlink="">
          <xdr:nvSpPr>
            <xdr:cNvPr id="359" name="TextBox 358">
              <a:extLst>
                <a:ext uri="{FF2B5EF4-FFF2-40B4-BE49-F238E27FC236}">
                  <a16:creationId xmlns:a16="http://schemas.microsoft.com/office/drawing/2014/main" id="{494B06DD-2234-0C45-8A11-55B41C86C094}"/>
                </a:ext>
              </a:extLst>
            </xdr:cNvPr>
            <xdr:cNvSpPr txBox="1"/>
          </xdr:nvSpPr>
          <xdr:spPr>
            <a:xfrm>
              <a:off x="9141712" y="55433784"/>
              <a:ext cx="2535936" cy="389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7056C"/>
                  </a:solidFill>
                  <a:latin typeface="Overpass" panose="00000500000000000000" pitchFamily="2" charset="0"/>
                  <a:ea typeface="+mn-ea"/>
                  <a:cs typeface="Calibri"/>
                </a:rPr>
                <a:t>SCHEDULE</a:t>
              </a:r>
            </a:p>
          </xdr:txBody>
        </xdr:sp>
        <xdr:sp macro="" textlink="">
          <xdr:nvSpPr>
            <xdr:cNvPr id="360" name="TextBox 359">
              <a:extLst>
                <a:ext uri="{FF2B5EF4-FFF2-40B4-BE49-F238E27FC236}">
                  <a16:creationId xmlns:a16="http://schemas.microsoft.com/office/drawing/2014/main" id="{6BE4FF00-F95A-4748-9BC4-0A9AF4F92E8C}"/>
                </a:ext>
              </a:extLst>
            </xdr:cNvPr>
            <xdr:cNvSpPr txBox="1"/>
          </xdr:nvSpPr>
          <xdr:spPr>
            <a:xfrm>
              <a:off x="9141712" y="54850271"/>
              <a:ext cx="2535936" cy="194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INSTALLER</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61" name="TextBox 360">
              <a:extLst>
                <a:ext uri="{FF2B5EF4-FFF2-40B4-BE49-F238E27FC236}">
                  <a16:creationId xmlns:a16="http://schemas.microsoft.com/office/drawing/2014/main" id="{F1AA08FA-CFBA-0E46-B3B8-07571510FDE7}"/>
                </a:ext>
              </a:extLst>
            </xdr:cNvPr>
            <xdr:cNvSpPr txBox="1"/>
          </xdr:nvSpPr>
          <xdr:spPr>
            <a:xfrm>
              <a:off x="9141712" y="55044775"/>
              <a:ext cx="2535936" cy="194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INSTALLER</a:t>
              </a:r>
              <a:r>
                <a:rPr lang="en-US" sz="1000" b="1" i="0" u="none" strike="noStrike" baseline="0">
                  <a:solidFill>
                    <a:srgbClr val="2A2A2A"/>
                  </a:solidFill>
                  <a:latin typeface="Overpass" panose="00000500000000000000" pitchFamily="2" charset="0"/>
                  <a:ea typeface="+mn-ea"/>
                  <a:cs typeface="Calibri"/>
                </a:rPr>
                <a:t> CONTACT</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62" name="TextBox 361">
              <a:extLst>
                <a:ext uri="{FF2B5EF4-FFF2-40B4-BE49-F238E27FC236}">
                  <a16:creationId xmlns:a16="http://schemas.microsoft.com/office/drawing/2014/main" id="{169BE3B8-E5C3-A84E-AFF7-EB8B1ED5B283}"/>
                </a:ext>
              </a:extLst>
            </xdr:cNvPr>
            <xdr:cNvSpPr txBox="1"/>
          </xdr:nvSpPr>
          <xdr:spPr>
            <a:xfrm>
              <a:off x="9141712" y="55822793"/>
              <a:ext cx="2535936" cy="194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INDICATIVE</a:t>
              </a:r>
              <a:r>
                <a:rPr lang="en-US" sz="1000" b="1" i="0" u="none" strike="noStrike" baseline="0">
                  <a:solidFill>
                    <a:srgbClr val="2A2A2A"/>
                  </a:solidFill>
                  <a:latin typeface="Overpass" panose="00000500000000000000" pitchFamily="2" charset="0"/>
                  <a:ea typeface="+mn-ea"/>
                  <a:cs typeface="Calibri"/>
                </a:rPr>
                <a:t> START DATE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63" name="TextBox 362">
              <a:extLst>
                <a:ext uri="{FF2B5EF4-FFF2-40B4-BE49-F238E27FC236}">
                  <a16:creationId xmlns:a16="http://schemas.microsoft.com/office/drawing/2014/main" id="{5223E990-1657-E441-9C4D-DD481F3CD218}"/>
                </a:ext>
              </a:extLst>
            </xdr:cNvPr>
            <xdr:cNvSpPr txBox="1"/>
          </xdr:nvSpPr>
          <xdr:spPr>
            <a:xfrm>
              <a:off x="9141712" y="56017297"/>
              <a:ext cx="2535936" cy="194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COMMISSIONING DATE</a:t>
              </a:r>
            </a:p>
          </xdr:txBody>
        </xdr:sp>
        <xdr:sp macro="" textlink="">
          <xdr:nvSpPr>
            <xdr:cNvPr id="373" name="TextBox 372">
              <a:extLst>
                <a:ext uri="{FF2B5EF4-FFF2-40B4-BE49-F238E27FC236}">
                  <a16:creationId xmlns:a16="http://schemas.microsoft.com/office/drawing/2014/main" id="{1635BE81-05CD-D749-B515-BDBDEE176CB5}"/>
                </a:ext>
              </a:extLst>
            </xdr:cNvPr>
            <xdr:cNvSpPr txBox="1"/>
          </xdr:nvSpPr>
          <xdr:spPr>
            <a:xfrm>
              <a:off x="11670270" y="54850270"/>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76" name="TextBox 375">
              <a:extLst>
                <a:ext uri="{FF2B5EF4-FFF2-40B4-BE49-F238E27FC236}">
                  <a16:creationId xmlns:a16="http://schemas.microsoft.com/office/drawing/2014/main" id="{2A063F5B-BAD8-1C46-8561-267604A6B7A0}"/>
                </a:ext>
              </a:extLst>
            </xdr:cNvPr>
            <xdr:cNvSpPr txBox="1"/>
          </xdr:nvSpPr>
          <xdr:spPr>
            <a:xfrm>
              <a:off x="11670270" y="55044775"/>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77" name="TextBox 376">
              <a:extLst>
                <a:ext uri="{FF2B5EF4-FFF2-40B4-BE49-F238E27FC236}">
                  <a16:creationId xmlns:a16="http://schemas.microsoft.com/office/drawing/2014/main" id="{1BB3C5B5-7A32-2C4B-82E5-B4749E40357C}"/>
                </a:ext>
              </a:extLst>
            </xdr:cNvPr>
            <xdr:cNvSpPr txBox="1"/>
          </xdr:nvSpPr>
          <xdr:spPr>
            <a:xfrm>
              <a:off x="11670270" y="55822793"/>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78" name="TextBox 377">
              <a:extLst>
                <a:ext uri="{FF2B5EF4-FFF2-40B4-BE49-F238E27FC236}">
                  <a16:creationId xmlns:a16="http://schemas.microsoft.com/office/drawing/2014/main" id="{A4A1C130-FD0C-3E49-9FDB-0C2606CDEA97}"/>
                </a:ext>
              </a:extLst>
            </xdr:cNvPr>
            <xdr:cNvSpPr txBox="1"/>
          </xdr:nvSpPr>
          <xdr:spPr>
            <a:xfrm>
              <a:off x="11670270" y="56017297"/>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grpSp>
      <xdr:sp macro="" textlink="">
        <xdr:nvSpPr>
          <xdr:cNvPr id="380" name="TextBox 379">
            <a:extLst>
              <a:ext uri="{FF2B5EF4-FFF2-40B4-BE49-F238E27FC236}">
                <a16:creationId xmlns:a16="http://schemas.microsoft.com/office/drawing/2014/main" id="{48EDDE2A-DEDF-CB45-AEA6-7B0B9DD025E7}"/>
              </a:ext>
            </a:extLst>
          </xdr:cNvPr>
          <xdr:cNvSpPr txBox="1"/>
        </xdr:nvSpPr>
        <xdr:spPr>
          <a:xfrm>
            <a:off x="8722768" y="46561911"/>
            <a:ext cx="5565169" cy="55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Northmore Gordon Environmental</a:t>
            </a:r>
            <a:r>
              <a:rPr lang="en-US" sz="1000" b="1" i="0" u="none" strike="noStrike" baseline="0">
                <a:solidFill>
                  <a:srgbClr val="2A2A2A"/>
                </a:solidFill>
                <a:latin typeface="Overpass" panose="00000500000000000000" pitchFamily="2" charset="0"/>
                <a:ea typeface="+mn-ea"/>
                <a:cs typeface="Calibri"/>
              </a:rPr>
              <a:t> </a:t>
            </a:r>
            <a:r>
              <a:rPr lang="en-US" sz="1000" b="0" i="0" u="none" strike="noStrike" baseline="0">
                <a:solidFill>
                  <a:srgbClr val="2A2A2A"/>
                </a:solidFill>
                <a:latin typeface="Overpass" panose="00000500000000000000" pitchFamily="2" charset="0"/>
                <a:ea typeface="+mn-ea"/>
                <a:cs typeface="Calibri"/>
              </a:rPr>
              <a:t>has been identified as the accredited provider that will be processing the certificate incentive. See contract requirements below:</a:t>
            </a:r>
            <a:endParaRPr lang="en-US" sz="1000" b="1" i="0" u="none" strike="noStrike">
              <a:solidFill>
                <a:srgbClr val="2A2A2A"/>
              </a:solidFill>
              <a:latin typeface="Overpass" panose="00000500000000000000" pitchFamily="2" charset="0"/>
              <a:ea typeface="+mn-ea"/>
              <a:cs typeface="Calibri"/>
            </a:endParaRPr>
          </a:p>
        </xdr:txBody>
      </xdr:sp>
      <xdr:grpSp>
        <xdr:nvGrpSpPr>
          <xdr:cNvPr id="290" name="Group 289">
            <a:extLst>
              <a:ext uri="{FF2B5EF4-FFF2-40B4-BE49-F238E27FC236}">
                <a16:creationId xmlns:a16="http://schemas.microsoft.com/office/drawing/2014/main" id="{4C050521-16B7-0F46-AF19-432F5E323BB5}"/>
              </a:ext>
            </a:extLst>
          </xdr:cNvPr>
          <xdr:cNvGrpSpPr/>
        </xdr:nvGrpSpPr>
        <xdr:grpSpPr>
          <a:xfrm>
            <a:off x="8718765" y="49523566"/>
            <a:ext cx="5565168" cy="3153589"/>
            <a:chOff x="8953501" y="50852072"/>
            <a:chExt cx="5714999" cy="3238493"/>
          </a:xfrm>
        </xdr:grpSpPr>
        <xdr:grpSp>
          <xdr:nvGrpSpPr>
            <xdr:cNvPr id="382" name="Group 381">
              <a:extLst>
                <a:ext uri="{FF2B5EF4-FFF2-40B4-BE49-F238E27FC236}">
                  <a16:creationId xmlns:a16="http://schemas.microsoft.com/office/drawing/2014/main" id="{9BE31562-4E3C-3415-76B8-8162EF871FEE}"/>
                </a:ext>
              </a:extLst>
            </xdr:cNvPr>
            <xdr:cNvGrpSpPr/>
          </xdr:nvGrpSpPr>
          <xdr:grpSpPr>
            <a:xfrm>
              <a:off x="8957504" y="50852072"/>
              <a:ext cx="5710996" cy="3238493"/>
              <a:chOff x="9141711" y="51349189"/>
              <a:chExt cx="5835136" cy="3306568"/>
            </a:xfrm>
          </xdr:grpSpPr>
          <xdr:grpSp>
            <xdr:nvGrpSpPr>
              <xdr:cNvPr id="340" name="Group 339">
                <a:extLst>
                  <a:ext uri="{FF2B5EF4-FFF2-40B4-BE49-F238E27FC236}">
                    <a16:creationId xmlns:a16="http://schemas.microsoft.com/office/drawing/2014/main" id="{ECA08E84-48B0-C342-BFA6-3CAD9358470C}"/>
                  </a:ext>
                </a:extLst>
              </xdr:cNvPr>
              <xdr:cNvGrpSpPr/>
            </xdr:nvGrpSpPr>
            <xdr:grpSpPr>
              <a:xfrm>
                <a:off x="9236627" y="51349189"/>
                <a:ext cx="3406166" cy="389009"/>
                <a:chOff x="1257289" y="37002203"/>
                <a:chExt cx="3392204" cy="387458"/>
              </a:xfrm>
            </xdr:grpSpPr>
            <xdr:sp macro="" textlink="">
              <xdr:nvSpPr>
                <xdr:cNvPr id="341" name="TextBox 340">
                  <a:extLst>
                    <a:ext uri="{FF2B5EF4-FFF2-40B4-BE49-F238E27FC236}">
                      <a16:creationId xmlns:a16="http://schemas.microsoft.com/office/drawing/2014/main" id="{F08AD09F-7D56-A849-BFB8-CCB045078F3F}"/>
                    </a:ext>
                  </a:extLst>
                </xdr:cNvPr>
                <xdr:cNvSpPr txBox="1"/>
              </xdr:nvSpPr>
              <xdr:spPr>
                <a:xfrm>
                  <a:off x="1455076" y="37002203"/>
                  <a:ext cx="319441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Consumer Protections</a:t>
                  </a:r>
                </a:p>
              </xdr:txBody>
            </xdr:sp>
            <xdr:cxnSp macro="">
              <xdr:nvCxnSpPr>
                <xdr:cNvPr id="342" name="Straight Connector 341">
                  <a:extLst>
                    <a:ext uri="{FF2B5EF4-FFF2-40B4-BE49-F238E27FC236}">
                      <a16:creationId xmlns:a16="http://schemas.microsoft.com/office/drawing/2014/main" id="{CEA286DD-0F9D-6D8A-4720-68B881247FD9}"/>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1" name="TextBox 350">
                <a:extLst>
                  <a:ext uri="{FF2B5EF4-FFF2-40B4-BE49-F238E27FC236}">
                    <a16:creationId xmlns:a16="http://schemas.microsoft.com/office/drawing/2014/main" id="{09BAFA04-9173-4447-9FC0-2F5F7447C3C1}"/>
                  </a:ext>
                </a:extLst>
              </xdr:cNvPr>
              <xdr:cNvSpPr txBox="1"/>
            </xdr:nvSpPr>
            <xdr:spPr>
              <a:xfrm>
                <a:off x="9141712" y="51932703"/>
                <a:ext cx="2139549"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COOLING</a:t>
                </a:r>
                <a:r>
                  <a:rPr lang="en-US" sz="1000" b="1" i="0" u="none" strike="noStrike" baseline="0">
                    <a:solidFill>
                      <a:srgbClr val="2A2A2A"/>
                    </a:solidFill>
                    <a:latin typeface="Overpass" panose="00000500000000000000" pitchFamily="2" charset="0"/>
                    <a:ea typeface="+mn-ea"/>
                    <a:cs typeface="Calibri"/>
                  </a:rPr>
                  <a:t> OFF PERIOD</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52" name="TextBox 351">
                <a:extLst>
                  <a:ext uri="{FF2B5EF4-FFF2-40B4-BE49-F238E27FC236}">
                    <a16:creationId xmlns:a16="http://schemas.microsoft.com/office/drawing/2014/main" id="{EE833BF6-B284-194F-86E8-0B9F9A0976F8}"/>
                  </a:ext>
                </a:extLst>
              </xdr:cNvPr>
              <xdr:cNvSpPr txBox="1"/>
            </xdr:nvSpPr>
            <xdr:spPr>
              <a:xfrm>
                <a:off x="9141711" y="52321712"/>
                <a:ext cx="5835136" cy="583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AGE</a:t>
                </a:r>
                <a:r>
                  <a:rPr lang="en-US" sz="1000" b="1" i="0" u="none" strike="noStrike" baseline="0">
                    <a:solidFill>
                      <a:srgbClr val="2A2A2A"/>
                    </a:solidFill>
                    <a:latin typeface="Overpass" panose="00000500000000000000" pitchFamily="2" charset="0"/>
                    <a:ea typeface="+mn-ea"/>
                    <a:cs typeface="Calibri"/>
                  </a:rPr>
                  <a:t> VERIFICATION</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signing below, the customer confirms they are 18+ and understands the contract.</a:t>
                </a:r>
              </a:p>
            </xdr:txBody>
          </xdr:sp>
          <xdr:cxnSp macro="">
            <xdr:nvCxnSpPr>
              <xdr:cNvPr id="354" name="Straight Connector 16">
                <a:extLst>
                  <a:ext uri="{FF2B5EF4-FFF2-40B4-BE49-F238E27FC236}">
                    <a16:creationId xmlns:a16="http://schemas.microsoft.com/office/drawing/2014/main" id="{729633FC-DBF4-2B41-B897-0EF3F7DC0815}"/>
                  </a:ext>
                </a:extLst>
              </xdr:cNvPr>
              <xdr:cNvCxnSpPr/>
            </xdr:nvCxnSpPr>
            <xdr:spPr>
              <a:xfrm>
                <a:off x="9141712" y="54655757"/>
                <a:ext cx="58351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71" name="TextBox 370">
                <a:extLst>
                  <a:ext uri="{FF2B5EF4-FFF2-40B4-BE49-F238E27FC236}">
                    <a16:creationId xmlns:a16="http://schemas.microsoft.com/office/drawing/2014/main" id="{FAA1DDBE-95B5-E142-8580-B34576D675B6}"/>
                  </a:ext>
                </a:extLst>
              </xdr:cNvPr>
              <xdr:cNvSpPr txBox="1"/>
            </xdr:nvSpPr>
            <xdr:spPr>
              <a:xfrm>
                <a:off x="11670270" y="51932703"/>
                <a:ext cx="3306577" cy="3890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 days</a:t>
                </a:r>
              </a:p>
            </xdr:txBody>
          </xdr:sp>
        </xdr:grpSp>
        <xdr:cxnSp macro="">
          <xdr:nvCxnSpPr>
            <xdr:cNvPr id="384" name="Straight Connector 16">
              <a:extLst>
                <a:ext uri="{FF2B5EF4-FFF2-40B4-BE49-F238E27FC236}">
                  <a16:creationId xmlns:a16="http://schemas.microsoft.com/office/drawing/2014/main" id="{AD0B5876-8D37-F64F-828C-24BB728C0873}"/>
                </a:ext>
              </a:extLst>
            </xdr:cNvPr>
            <xdr:cNvCxnSpPr/>
          </xdr:nvCxnSpPr>
          <xdr:spPr>
            <a:xfrm>
              <a:off x="9906000" y="53721000"/>
              <a:ext cx="230888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86" name="TextBox 385">
              <a:extLst>
                <a:ext uri="{FF2B5EF4-FFF2-40B4-BE49-F238E27FC236}">
                  <a16:creationId xmlns:a16="http://schemas.microsoft.com/office/drawing/2014/main" id="{DFF1D60B-E325-AE4F-BFEF-2F3FF7CFFD3D}"/>
                </a:ext>
              </a:extLst>
            </xdr:cNvPr>
            <xdr:cNvSpPr txBox="1"/>
          </xdr:nvSpPr>
          <xdr:spPr>
            <a:xfrm>
              <a:off x="8953501" y="53530500"/>
              <a:ext cx="9525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Signature:</a:t>
              </a:r>
            </a:p>
          </xdr:txBody>
        </xdr:sp>
        <xdr:cxnSp macro="">
          <xdr:nvCxnSpPr>
            <xdr:cNvPr id="388" name="Straight Connector 16">
              <a:extLst>
                <a:ext uri="{FF2B5EF4-FFF2-40B4-BE49-F238E27FC236}">
                  <a16:creationId xmlns:a16="http://schemas.microsoft.com/office/drawing/2014/main" id="{3C234654-6D9E-F34D-9022-56539EEF515B}"/>
                </a:ext>
              </a:extLst>
            </xdr:cNvPr>
            <xdr:cNvCxnSpPr/>
          </xdr:nvCxnSpPr>
          <xdr:spPr>
            <a:xfrm>
              <a:off x="13144500" y="53721000"/>
              <a:ext cx="1524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90" name="TextBox 389">
              <a:extLst>
                <a:ext uri="{FF2B5EF4-FFF2-40B4-BE49-F238E27FC236}">
                  <a16:creationId xmlns:a16="http://schemas.microsoft.com/office/drawing/2014/main" id="{E8F4D935-6D8E-BF4B-AC1B-53A156E75178}"/>
                </a:ext>
              </a:extLst>
            </xdr:cNvPr>
            <xdr:cNvSpPr txBox="1"/>
          </xdr:nvSpPr>
          <xdr:spPr>
            <a:xfrm>
              <a:off x="8957504" y="52768500"/>
              <a:ext cx="757996" cy="186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Name:</a:t>
              </a:r>
              <a:endParaRPr lang="en-US" sz="1000" b="0" i="1" u="none" strike="noStrike">
                <a:solidFill>
                  <a:srgbClr val="2A2A2A"/>
                </a:solidFill>
                <a:latin typeface="Overpass" panose="00000500000000000000" pitchFamily="2" charset="0"/>
                <a:ea typeface="+mn-ea"/>
                <a:cs typeface="Calibri"/>
              </a:endParaRPr>
            </a:p>
          </xdr:txBody>
        </xdr:sp>
        <xdr:cxnSp macro="">
          <xdr:nvCxnSpPr>
            <xdr:cNvPr id="396" name="Straight Connector 16">
              <a:extLst>
                <a:ext uri="{FF2B5EF4-FFF2-40B4-BE49-F238E27FC236}">
                  <a16:creationId xmlns:a16="http://schemas.microsoft.com/office/drawing/2014/main" id="{F31840FE-7BD8-A146-B4B2-3DB2A3E76AAA}"/>
                </a:ext>
              </a:extLst>
            </xdr:cNvPr>
            <xdr:cNvCxnSpPr/>
          </xdr:nvCxnSpPr>
          <xdr:spPr>
            <a:xfrm>
              <a:off x="9906000" y="52954996"/>
              <a:ext cx="230888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46</xdr:col>
      <xdr:colOff>189906</xdr:colOff>
      <xdr:row>78</xdr:row>
      <xdr:rowOff>3314</xdr:rowOff>
    </xdr:from>
    <xdr:to>
      <xdr:col>66</xdr:col>
      <xdr:colOff>0</xdr:colOff>
      <xdr:row>79</xdr:row>
      <xdr:rowOff>3315</xdr:rowOff>
    </xdr:to>
    <xdr:sp macro="" textlink="">
      <xdr:nvSpPr>
        <xdr:cNvPr id="2" name="TextBox 240">
          <a:extLst>
            <a:ext uri="{FF2B5EF4-FFF2-40B4-BE49-F238E27FC236}">
              <a16:creationId xmlns:a16="http://schemas.microsoft.com/office/drawing/2014/main" id="{44A273F3-D236-40CC-9E32-461EE9F3F60C}"/>
            </a:ext>
          </a:extLst>
        </xdr:cNvPr>
        <xdr:cNvSpPr txBox="1"/>
      </xdr:nvSpPr>
      <xdr:spPr>
        <a:xfrm>
          <a:off x="8952906" y="14862314"/>
          <a:ext cx="362009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REBATES PROVIDED</a:t>
          </a:r>
          <a:r>
            <a:rPr lang="en-US" sz="1000" b="1" i="0" u="none" strike="noStrike" baseline="0">
              <a:solidFill>
                <a:srgbClr val="2A2A2A"/>
              </a:solidFill>
              <a:latin typeface="Overpass" panose="00000500000000000000" pitchFamily="2" charset="0"/>
              <a:ea typeface="+mn-ea"/>
              <a:cs typeface="Calibri"/>
            </a:rPr>
            <a:t> AS A POINT OF SALE DISCOUNT*:</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4579</xdr:colOff>
      <xdr:row>79</xdr:row>
      <xdr:rowOff>3315</xdr:rowOff>
    </xdr:from>
    <xdr:to>
      <xdr:col>65</xdr:col>
      <xdr:colOff>4579</xdr:colOff>
      <xdr:row>82</xdr:row>
      <xdr:rowOff>3314</xdr:rowOff>
    </xdr:to>
    <xdr:sp macro="" textlink="">
      <xdr:nvSpPr>
        <xdr:cNvPr id="3" name="TextBox 241">
          <a:extLst>
            <a:ext uri="{FF2B5EF4-FFF2-40B4-BE49-F238E27FC236}">
              <a16:creationId xmlns:a16="http://schemas.microsoft.com/office/drawing/2014/main" id="{F9B5B120-8F3C-473F-A493-B8CEDCF08C96}"/>
            </a:ext>
          </a:extLst>
        </xdr:cNvPr>
        <xdr:cNvSpPr txBox="1"/>
      </xdr:nvSpPr>
      <xdr:spPr>
        <a:xfrm>
          <a:off x="8958079" y="15052815"/>
          <a:ext cx="3429000" cy="57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*Subject to market forces, changes over 10% will result in a change to the final invoice.</a:t>
          </a:r>
        </a:p>
      </xdr:txBody>
    </xdr:sp>
    <xdr:clientData/>
  </xdr:twoCellAnchor>
  <xdr:twoCellAnchor>
    <xdr:from>
      <xdr:col>47</xdr:col>
      <xdr:colOff>1</xdr:colOff>
      <xdr:row>81</xdr:row>
      <xdr:rowOff>86140</xdr:rowOff>
    </xdr:from>
    <xdr:to>
      <xdr:col>66</xdr:col>
      <xdr:colOff>1</xdr:colOff>
      <xdr:row>82</xdr:row>
      <xdr:rowOff>86140</xdr:rowOff>
    </xdr:to>
    <xdr:sp macro="" textlink="">
      <xdr:nvSpPr>
        <xdr:cNvPr id="4" name="TextBox 242">
          <a:extLst>
            <a:ext uri="{FF2B5EF4-FFF2-40B4-BE49-F238E27FC236}">
              <a16:creationId xmlns:a16="http://schemas.microsoft.com/office/drawing/2014/main" id="{A0440E98-A3DB-4A14-BA75-DBC5F8B0632A}"/>
            </a:ext>
          </a:extLst>
        </xdr:cNvPr>
        <xdr:cNvSpPr txBox="1"/>
      </xdr:nvSpPr>
      <xdr:spPr>
        <a:xfrm>
          <a:off x="8953501" y="15516640"/>
          <a:ext cx="3619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CURRENT RATE AT TIME OF OFFER**:</a:t>
          </a:r>
        </a:p>
      </xdr:txBody>
    </xdr:sp>
    <xdr:clientData/>
  </xdr:twoCellAnchor>
  <xdr:twoCellAnchor>
    <xdr:from>
      <xdr:col>46</xdr:col>
      <xdr:colOff>189906</xdr:colOff>
      <xdr:row>82</xdr:row>
      <xdr:rowOff>95047</xdr:rowOff>
    </xdr:from>
    <xdr:to>
      <xdr:col>65</xdr:col>
      <xdr:colOff>0</xdr:colOff>
      <xdr:row>88</xdr:row>
      <xdr:rowOff>20484</xdr:rowOff>
    </xdr:to>
    <xdr:sp macro="" textlink="">
      <xdr:nvSpPr>
        <xdr:cNvPr id="5" name="TextBox 243">
          <a:extLst>
            <a:ext uri="{FF2B5EF4-FFF2-40B4-BE49-F238E27FC236}">
              <a16:creationId xmlns:a16="http://schemas.microsoft.com/office/drawing/2014/main" id="{B12B7760-0CC1-4BDE-899D-444EB2E7B320}"/>
            </a:ext>
          </a:extLst>
        </xdr:cNvPr>
        <xdr:cNvSpPr txBox="1"/>
      </xdr:nvSpPr>
      <xdr:spPr>
        <a:xfrm>
          <a:off x="9141358" y="16051982"/>
          <a:ext cx="3507432" cy="1093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**STC rebate applies to systems below 100kW only.</a:t>
          </a:r>
        </a:p>
        <a:p>
          <a:pPr marL="0" indent="0" algn="l"/>
          <a:r>
            <a:rPr lang="en-AU" sz="1000" b="0" i="0" u="none" strike="noStrike">
              <a:solidFill>
                <a:srgbClr val="2A2A2A"/>
              </a:solidFill>
              <a:latin typeface="Overpass" panose="00000500000000000000" pitchFamily="2" charset="0"/>
              <a:ea typeface="+mn-ea"/>
              <a:cs typeface="Calibri"/>
            </a:rPr>
            <a:t>STC rebate applies to BESS systems below 100kWh and is only offered for the first 50kWh of storage.</a:t>
          </a:r>
        </a:p>
        <a:p>
          <a:pPr marL="0" indent="0" algn="l"/>
          <a:endParaRPr lang="en-AU" sz="1000" b="0" i="0" u="none" strike="noStrike">
            <a:solidFill>
              <a:srgbClr val="2A2A2A"/>
            </a:solidFill>
            <a:latin typeface="Overpass" panose="00000500000000000000" pitchFamily="2" charset="0"/>
            <a:ea typeface="+mn-ea"/>
            <a:cs typeface="Calibri"/>
          </a:endParaRPr>
        </a:p>
        <a:p>
          <a:pPr marL="0" indent="0" algn="l"/>
          <a:r>
            <a:rPr lang="en-US" sz="1000" b="0" i="0" u="none" strike="noStrike">
              <a:solidFill>
                <a:srgbClr val="2A2A2A"/>
              </a:solidFill>
              <a:latin typeface="Overpass" panose="00000500000000000000" pitchFamily="2" charset="0"/>
              <a:ea typeface="+mn-ea"/>
              <a:cs typeface="Calibri"/>
            </a:rPr>
            <a:t>Upfront VEEC discount is only offerred on Victorian                 installations with system size 30kWp - 200kWp.</a:t>
          </a:r>
          <a:endParaRPr lang="en-AU"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66</xdr:col>
      <xdr:colOff>1350</xdr:colOff>
      <xdr:row>74</xdr:row>
      <xdr:rowOff>5119</xdr:rowOff>
    </xdr:from>
    <xdr:to>
      <xdr:col>77</xdr:col>
      <xdr:colOff>1350</xdr:colOff>
      <xdr:row>75</xdr:row>
      <xdr:rowOff>5118</xdr:rowOff>
    </xdr:to>
    <xdr:sp macro="" textlink="'Linking Cells'!C12">
      <xdr:nvSpPr>
        <xdr:cNvPr id="6" name="TextBox 120">
          <a:extLst>
            <a:ext uri="{FF2B5EF4-FFF2-40B4-BE49-F238E27FC236}">
              <a16:creationId xmlns:a16="http://schemas.microsoft.com/office/drawing/2014/main" id="{81CEA7A3-FA1D-42E5-9564-FD348A9C4EBD}"/>
            </a:ext>
          </a:extLst>
        </xdr:cNvPr>
        <xdr:cNvSpPr txBox="1"/>
      </xdr:nvSpPr>
      <xdr:spPr>
        <a:xfrm>
          <a:off x="12574350" y="14102119"/>
          <a:ext cx="2095500"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4E488AF-F22F-0545-9743-868FD0598020}" type="TxLink">
            <a:rPr lang="en-US" sz="1000" b="0" i="0" u="none" strike="noStrike">
              <a:solidFill>
                <a:srgbClr val="2A2A2A"/>
              </a:solidFill>
              <a:latin typeface="Overpass" pitchFamily="2" charset="77"/>
              <a:ea typeface="+mn-ea"/>
              <a:cs typeface="Calibri"/>
            </a:rPr>
            <a:pPr marL="0" indent="0" algn="l"/>
            <a:t>$126,928.73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73</xdr:row>
      <xdr:rowOff>5119</xdr:rowOff>
    </xdr:from>
    <xdr:to>
      <xdr:col>77</xdr:col>
      <xdr:colOff>0</xdr:colOff>
      <xdr:row>74</xdr:row>
      <xdr:rowOff>6341</xdr:rowOff>
    </xdr:to>
    <xdr:sp macro="" textlink="'Linking Cells'!C11">
      <xdr:nvSpPr>
        <xdr:cNvPr id="7" name="TextBox 121">
          <a:extLst>
            <a:ext uri="{FF2B5EF4-FFF2-40B4-BE49-F238E27FC236}">
              <a16:creationId xmlns:a16="http://schemas.microsoft.com/office/drawing/2014/main" id="{629FAA72-0076-4A96-84EF-A40E230FBDA8}"/>
            </a:ext>
          </a:extLst>
        </xdr:cNvPr>
        <xdr:cNvSpPr txBox="1"/>
      </xdr:nvSpPr>
      <xdr:spPr>
        <a:xfrm>
          <a:off x="12574411" y="13911619"/>
          <a:ext cx="2094089"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129A223-D6B7-4C4C-9C7B-36E146A0305D}" type="TxLink">
            <a:rPr lang="en-US" sz="1000" b="0" i="0" u="none" strike="noStrike">
              <a:solidFill>
                <a:srgbClr val="2A2A2A"/>
              </a:solidFill>
              <a:latin typeface="Overpass" pitchFamily="2" charset="77"/>
              <a:ea typeface="+mn-ea"/>
              <a:cs typeface="Calibri"/>
            </a:rPr>
            <a:pPr marL="0" indent="0" algn="l"/>
            <a:t>$11,538.98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191405</xdr:colOff>
      <xdr:row>72</xdr:row>
      <xdr:rowOff>9101</xdr:rowOff>
    </xdr:from>
    <xdr:to>
      <xdr:col>77</xdr:col>
      <xdr:colOff>1350</xdr:colOff>
      <xdr:row>73</xdr:row>
      <xdr:rowOff>6340</xdr:rowOff>
    </xdr:to>
    <xdr:sp macro="" textlink="'Linking Cells'!C10">
      <xdr:nvSpPr>
        <xdr:cNvPr id="8" name="TextBox 122">
          <a:extLst>
            <a:ext uri="{FF2B5EF4-FFF2-40B4-BE49-F238E27FC236}">
              <a16:creationId xmlns:a16="http://schemas.microsoft.com/office/drawing/2014/main" id="{417A31E6-7663-41D6-B766-36AE8AFBFE47}"/>
            </a:ext>
          </a:extLst>
        </xdr:cNvPr>
        <xdr:cNvSpPr txBox="1"/>
      </xdr:nvSpPr>
      <xdr:spPr>
        <a:xfrm>
          <a:off x="12573905" y="13725101"/>
          <a:ext cx="2095945" cy="18773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16DFEF-25A6-E24F-99FE-BCB95EC67226}" type="TxLink">
            <a:rPr lang="en-US" sz="1000" b="0" i="0" u="none" strike="noStrike">
              <a:solidFill>
                <a:srgbClr val="2A2A2A"/>
              </a:solidFill>
              <a:latin typeface="Overpass" pitchFamily="2" charset="77"/>
              <a:ea typeface="+mn-ea"/>
              <a:cs typeface="Calibri"/>
            </a:rPr>
            <a:pPr marL="0" indent="0" algn="l"/>
            <a:t>$115,389.76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2138</xdr:colOff>
      <xdr:row>83</xdr:row>
      <xdr:rowOff>5500</xdr:rowOff>
    </xdr:from>
    <xdr:to>
      <xdr:col>15</xdr:col>
      <xdr:colOff>145676</xdr:colOff>
      <xdr:row>84</xdr:row>
      <xdr:rowOff>187367</xdr:rowOff>
    </xdr:to>
    <xdr:sp macro="" textlink="">
      <xdr:nvSpPr>
        <xdr:cNvPr id="9" name="TextBox 195">
          <a:extLst>
            <a:ext uri="{FF2B5EF4-FFF2-40B4-BE49-F238E27FC236}">
              <a16:creationId xmlns:a16="http://schemas.microsoft.com/office/drawing/2014/main" id="{8079FEC2-0582-4AD9-B45B-0EB1C4830A71}"/>
            </a:ext>
          </a:extLst>
        </xdr:cNvPr>
        <xdr:cNvSpPr txBox="1"/>
      </xdr:nvSpPr>
      <xdr:spPr>
        <a:xfrm>
          <a:off x="1145138" y="15817000"/>
          <a:ext cx="1858038" cy="372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SOLAR</a:t>
          </a:r>
          <a:r>
            <a:rPr lang="en-US" sz="1200" b="1" i="0" u="none" strike="noStrike" baseline="0">
              <a:solidFill>
                <a:srgbClr val="28066C"/>
              </a:solidFill>
              <a:latin typeface="Overpass" panose="00000500000000000000" pitchFamily="2" charset="0"/>
              <a:ea typeface="+mn-ea"/>
              <a:cs typeface="Calibri"/>
            </a:rPr>
            <a:t> </a:t>
          </a:r>
          <a:r>
            <a:rPr lang="en-US" sz="1200" b="1" i="0" u="none" strike="noStrike">
              <a:solidFill>
                <a:srgbClr val="28066C"/>
              </a:solidFill>
              <a:latin typeface="Overpass" panose="00000500000000000000" pitchFamily="2" charset="0"/>
              <a:ea typeface="+mn-ea"/>
              <a:cs typeface="Calibri"/>
            </a:rPr>
            <a:t>INSTALL TYPE</a:t>
          </a:r>
        </a:p>
      </xdr:txBody>
    </xdr:sp>
    <xdr:clientData/>
  </xdr:twoCellAnchor>
  <xdr:twoCellAnchor>
    <xdr:from>
      <xdr:col>6</xdr:col>
      <xdr:colOff>1607</xdr:colOff>
      <xdr:row>84</xdr:row>
      <xdr:rowOff>192987</xdr:rowOff>
    </xdr:from>
    <xdr:to>
      <xdr:col>13</xdr:col>
      <xdr:colOff>483</xdr:colOff>
      <xdr:row>86</xdr:row>
      <xdr:rowOff>193025</xdr:rowOff>
    </xdr:to>
    <xdr:sp macro="" textlink="">
      <xdr:nvSpPr>
        <xdr:cNvPr id="10" name="TextBox 196">
          <a:extLst>
            <a:ext uri="{FF2B5EF4-FFF2-40B4-BE49-F238E27FC236}">
              <a16:creationId xmlns:a16="http://schemas.microsoft.com/office/drawing/2014/main" id="{337B8E6F-B0B9-441D-8DA9-DD49F4EAB2E6}"/>
            </a:ext>
          </a:extLst>
        </xdr:cNvPr>
        <xdr:cNvSpPr txBox="1"/>
      </xdr:nvSpPr>
      <xdr:spPr>
        <a:xfrm>
          <a:off x="1144607" y="16194987"/>
          <a:ext cx="1332376" cy="38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PANELS</a:t>
          </a:r>
        </a:p>
      </xdr:txBody>
    </xdr:sp>
    <xdr:clientData/>
  </xdr:twoCellAnchor>
  <xdr:twoCellAnchor>
    <xdr:from>
      <xdr:col>6</xdr:col>
      <xdr:colOff>1</xdr:colOff>
      <xdr:row>87</xdr:row>
      <xdr:rowOff>1380</xdr:rowOff>
    </xdr:from>
    <xdr:to>
      <xdr:col>15</xdr:col>
      <xdr:colOff>66675</xdr:colOff>
      <xdr:row>88</xdr:row>
      <xdr:rowOff>189380</xdr:rowOff>
    </xdr:to>
    <xdr:sp macro="" textlink="">
      <xdr:nvSpPr>
        <xdr:cNvPr id="11" name="TextBox 197">
          <a:extLst>
            <a:ext uri="{FF2B5EF4-FFF2-40B4-BE49-F238E27FC236}">
              <a16:creationId xmlns:a16="http://schemas.microsoft.com/office/drawing/2014/main" id="{FC7809BE-86BA-4B39-8AFA-FD9D61C26995}"/>
            </a:ext>
          </a:extLst>
        </xdr:cNvPr>
        <xdr:cNvSpPr txBox="1"/>
      </xdr:nvSpPr>
      <xdr:spPr>
        <a:xfrm>
          <a:off x="1143001" y="16574880"/>
          <a:ext cx="1781174" cy="37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SOLAR INVERTERS</a:t>
          </a:r>
        </a:p>
      </xdr:txBody>
    </xdr:sp>
    <xdr:clientData/>
  </xdr:twoCellAnchor>
  <xdr:twoCellAnchor>
    <xdr:from>
      <xdr:col>6</xdr:col>
      <xdr:colOff>1607</xdr:colOff>
      <xdr:row>94</xdr:row>
      <xdr:rowOff>56030</xdr:rowOff>
    </xdr:from>
    <xdr:to>
      <xdr:col>17</xdr:col>
      <xdr:colOff>6314</xdr:colOff>
      <xdr:row>98</xdr:row>
      <xdr:rowOff>56030</xdr:rowOff>
    </xdr:to>
    <xdr:sp macro="" textlink="">
      <xdr:nvSpPr>
        <xdr:cNvPr id="12" name="TextBox 198">
          <a:extLst>
            <a:ext uri="{FF2B5EF4-FFF2-40B4-BE49-F238E27FC236}">
              <a16:creationId xmlns:a16="http://schemas.microsoft.com/office/drawing/2014/main" id="{BFB4EB47-7989-4ADC-9FC3-AEE43DBDE80B}"/>
            </a:ext>
          </a:extLst>
        </xdr:cNvPr>
        <xdr:cNvSpPr txBox="1"/>
      </xdr:nvSpPr>
      <xdr:spPr>
        <a:xfrm>
          <a:off x="1144607" y="17963030"/>
          <a:ext cx="2100207"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i="0" u="none" strike="noStrike">
              <a:solidFill>
                <a:srgbClr val="28066C"/>
              </a:solidFill>
              <a:latin typeface="Overpass" panose="00000500000000000000" pitchFamily="2" charset="0"/>
              <a:ea typeface="+mn-ea"/>
              <a:cs typeface="Calibri"/>
            </a:rPr>
            <a:t>YEARS OF SERVICE</a:t>
          </a:r>
        </a:p>
        <a:p>
          <a:pPr marL="0" indent="0" algn="l"/>
          <a:r>
            <a:rPr lang="en-US" sz="1200" b="1" i="0" u="none" strike="noStrike">
              <a:solidFill>
                <a:srgbClr val="28066C"/>
              </a:solidFill>
              <a:latin typeface="Overpass" panose="00000500000000000000" pitchFamily="2" charset="0"/>
              <a:ea typeface="+mn-ea"/>
              <a:cs typeface="Calibri"/>
            </a:rPr>
            <a:t>PACKAGE INCLUDED</a:t>
          </a:r>
        </a:p>
      </xdr:txBody>
    </xdr:sp>
    <xdr:clientData/>
  </xdr:twoCellAnchor>
  <xdr:twoCellAnchor>
    <xdr:from>
      <xdr:col>16</xdr:col>
      <xdr:colOff>191747</xdr:colOff>
      <xdr:row>83</xdr:row>
      <xdr:rowOff>4014</xdr:rowOff>
    </xdr:from>
    <xdr:to>
      <xdr:col>35</xdr:col>
      <xdr:colOff>192975</xdr:colOff>
      <xdr:row>85</xdr:row>
      <xdr:rowOff>2572</xdr:rowOff>
    </xdr:to>
    <xdr:sp macro="" textlink="'Linking Cells'!C3">
      <xdr:nvSpPr>
        <xdr:cNvPr id="13" name="TextBox 199">
          <a:extLst>
            <a:ext uri="{FF2B5EF4-FFF2-40B4-BE49-F238E27FC236}">
              <a16:creationId xmlns:a16="http://schemas.microsoft.com/office/drawing/2014/main" id="{B99BEEFB-8454-4B9A-A333-0B1E7A406E0D}"/>
            </a:ext>
          </a:extLst>
        </xdr:cNvPr>
        <xdr:cNvSpPr txBox="1"/>
      </xdr:nvSpPr>
      <xdr:spPr>
        <a:xfrm>
          <a:off x="3239747" y="15815514"/>
          <a:ext cx="3620728" cy="37955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0EC5CFC-EC94-934F-8B5E-71093982C114}" type="TxLink">
            <a:rPr lang="en-US" sz="1200" b="0" i="0" u="none" strike="noStrike">
              <a:solidFill>
                <a:srgbClr val="000000"/>
              </a:solidFill>
              <a:latin typeface="Overpass" panose="00000500000000000000" pitchFamily="2" charset="0"/>
              <a:ea typeface="+mn-ea"/>
              <a:cs typeface="Calibri"/>
            </a:rPr>
            <a:pPr marL="0" indent="0" algn="l"/>
            <a:t>Trimdek Installation - Flush Mounted</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16</xdr:col>
      <xdr:colOff>191747</xdr:colOff>
      <xdr:row>85</xdr:row>
      <xdr:rowOff>4026</xdr:rowOff>
    </xdr:from>
    <xdr:to>
      <xdr:col>36</xdr:col>
      <xdr:colOff>3947</xdr:colOff>
      <xdr:row>86</xdr:row>
      <xdr:rowOff>193039</xdr:rowOff>
    </xdr:to>
    <xdr:sp macro="" textlink="'Linking Cells'!C5">
      <xdr:nvSpPr>
        <xdr:cNvPr id="14" name="TextBox 200">
          <a:extLst>
            <a:ext uri="{FF2B5EF4-FFF2-40B4-BE49-F238E27FC236}">
              <a16:creationId xmlns:a16="http://schemas.microsoft.com/office/drawing/2014/main" id="{F453E647-AB21-46E5-A614-C70112993D7B}"/>
            </a:ext>
          </a:extLst>
        </xdr:cNvPr>
        <xdr:cNvSpPr txBox="1"/>
      </xdr:nvSpPr>
      <xdr:spPr>
        <a:xfrm>
          <a:off x="3239747" y="16196526"/>
          <a:ext cx="3622200" cy="3795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3BEE98F-A629-AF4B-B672-E175DBCC69E4}" type="TxLink">
            <a:rPr lang="en-US" sz="1200" b="0" i="0" u="none" strike="noStrike">
              <a:solidFill>
                <a:srgbClr val="000000"/>
              </a:solidFill>
              <a:latin typeface="Overpass" panose="00000500000000000000" pitchFamily="2" charset="0"/>
              <a:ea typeface="+mn-ea"/>
              <a:cs typeface="Calibri"/>
            </a:rPr>
            <a:pPr marL="0" indent="0" algn="l"/>
            <a:t>100kW Premium Commercial Module</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17</xdr:col>
      <xdr:colOff>1247</xdr:colOff>
      <xdr:row>87</xdr:row>
      <xdr:rowOff>2919</xdr:rowOff>
    </xdr:from>
    <xdr:to>
      <xdr:col>36</xdr:col>
      <xdr:colOff>3947</xdr:colOff>
      <xdr:row>88</xdr:row>
      <xdr:rowOff>189380</xdr:rowOff>
    </xdr:to>
    <xdr:sp macro="" textlink="'Linking Cells'!C6">
      <xdr:nvSpPr>
        <xdr:cNvPr id="15" name="TextBox 201">
          <a:extLst>
            <a:ext uri="{FF2B5EF4-FFF2-40B4-BE49-F238E27FC236}">
              <a16:creationId xmlns:a16="http://schemas.microsoft.com/office/drawing/2014/main" id="{898554A7-5334-4833-ABEE-DC7A95956CA8}"/>
            </a:ext>
          </a:extLst>
        </xdr:cNvPr>
        <xdr:cNvSpPr txBox="1"/>
      </xdr:nvSpPr>
      <xdr:spPr>
        <a:xfrm>
          <a:off x="3239747" y="16576419"/>
          <a:ext cx="3622200" cy="3769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E4013D-C9EE-094D-827E-F5DE4912909E}" type="TxLink">
            <a:rPr lang="en-US" sz="1200" b="0" i="0" u="none" strike="noStrike">
              <a:solidFill>
                <a:srgbClr val="000000"/>
              </a:solidFill>
              <a:latin typeface="Overpass" panose="00000500000000000000" pitchFamily="2" charset="0"/>
              <a:ea typeface="+mn-ea"/>
              <a:cs typeface="Calibri"/>
            </a:rPr>
            <a:pPr marL="0" indent="0" algn="l"/>
            <a:t>1 x Sungrow SG110CX-P2</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xdr:from>
      <xdr:col>17</xdr:col>
      <xdr:colOff>4056</xdr:colOff>
      <xdr:row>94</xdr:row>
      <xdr:rowOff>56030</xdr:rowOff>
    </xdr:from>
    <xdr:to>
      <xdr:col>36</xdr:col>
      <xdr:colOff>2475</xdr:colOff>
      <xdr:row>96</xdr:row>
      <xdr:rowOff>56030</xdr:rowOff>
    </xdr:to>
    <xdr:sp macro="" textlink="'Linking Cells'!C7">
      <xdr:nvSpPr>
        <xdr:cNvPr id="16" name="TextBox 202">
          <a:extLst>
            <a:ext uri="{FF2B5EF4-FFF2-40B4-BE49-F238E27FC236}">
              <a16:creationId xmlns:a16="http://schemas.microsoft.com/office/drawing/2014/main" id="{D53D46A9-6B31-440A-A20C-EE0793D5CDC8}"/>
            </a:ext>
          </a:extLst>
        </xdr:cNvPr>
        <xdr:cNvSpPr txBox="1"/>
      </xdr:nvSpPr>
      <xdr:spPr>
        <a:xfrm>
          <a:off x="3242556" y="17963030"/>
          <a:ext cx="3617919" cy="381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4BE4BF-4979-8A48-A354-E0C64F5DBE32}" type="TxLink">
            <a:rPr lang="en-US" sz="1200" b="0" i="0" u="none" strike="noStrike">
              <a:solidFill>
                <a:srgbClr val="000000"/>
              </a:solidFill>
              <a:latin typeface="Overpass" panose="00000500000000000000" pitchFamily="2" charset="0"/>
              <a:ea typeface="+mn-ea"/>
              <a:cs typeface="Calibri"/>
            </a:rPr>
            <a:pPr marL="0" indent="0" algn="l"/>
            <a:t>1 year</a:t>
          </a:fld>
          <a:endParaRPr lang="en-AU" sz="1400" b="0" i="0" u="none" strike="noStrike">
            <a:solidFill>
              <a:srgbClr val="2A2A2A"/>
            </a:solidFill>
            <a:latin typeface="Overpass" panose="00000500000000000000" pitchFamily="2" charset="0"/>
            <a:ea typeface="+mn-ea"/>
            <a:cs typeface="Calibri"/>
          </a:endParaRPr>
        </a:p>
      </xdr:txBody>
    </xdr:sp>
    <xdr:clientData/>
  </xdr:twoCellAnchor>
  <xdr:twoCellAnchor editAs="oneCell">
    <xdr:from>
      <xdr:col>87</xdr:col>
      <xdr:colOff>355202</xdr:colOff>
      <xdr:row>680</xdr:row>
      <xdr:rowOff>134833</xdr:rowOff>
    </xdr:from>
    <xdr:to>
      <xdr:col>88</xdr:col>
      <xdr:colOff>16782</xdr:colOff>
      <xdr:row>692</xdr:row>
      <xdr:rowOff>132564</xdr:rowOff>
    </xdr:to>
    <xdr:pic>
      <xdr:nvPicPr>
        <xdr:cNvPr id="17" name="Picture 16">
          <a:extLst>
            <a:ext uri="{FF2B5EF4-FFF2-40B4-BE49-F238E27FC236}">
              <a16:creationId xmlns:a16="http://schemas.microsoft.com/office/drawing/2014/main" id="{ADE2C632-416B-48F2-B372-D1183237C214}"/>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119202" y="129674833"/>
          <a:ext cx="6385" cy="2279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73</xdr:col>
      <xdr:colOff>113270</xdr:colOff>
      <xdr:row>380</xdr:row>
      <xdr:rowOff>5149</xdr:rowOff>
    </xdr:from>
    <xdr:to>
      <xdr:col>75</xdr:col>
      <xdr:colOff>123243</xdr:colOff>
      <xdr:row>381</xdr:row>
      <xdr:rowOff>5150</xdr:rowOff>
    </xdr:to>
    <xdr:sp macro="" textlink="">
      <xdr:nvSpPr>
        <xdr:cNvPr id="18" name="Rectangle 17">
          <a:extLst>
            <a:ext uri="{FF2B5EF4-FFF2-40B4-BE49-F238E27FC236}">
              <a16:creationId xmlns:a16="http://schemas.microsoft.com/office/drawing/2014/main" id="{9121297A-530F-4D4E-A10D-D75B2C6F3B22}"/>
            </a:ext>
          </a:extLst>
        </xdr:cNvPr>
        <xdr:cNvSpPr/>
      </xdr:nvSpPr>
      <xdr:spPr>
        <a:xfrm>
          <a:off x="14019770" y="7239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108121</xdr:colOff>
      <xdr:row>440</xdr:row>
      <xdr:rowOff>7723</xdr:rowOff>
    </xdr:from>
    <xdr:to>
      <xdr:col>75</xdr:col>
      <xdr:colOff>118094</xdr:colOff>
      <xdr:row>441</xdr:row>
      <xdr:rowOff>7724</xdr:rowOff>
    </xdr:to>
    <xdr:sp macro="" textlink="">
      <xdr:nvSpPr>
        <xdr:cNvPr id="19" name="Rectangle 18">
          <a:extLst>
            <a:ext uri="{FF2B5EF4-FFF2-40B4-BE49-F238E27FC236}">
              <a16:creationId xmlns:a16="http://schemas.microsoft.com/office/drawing/2014/main" id="{CE217B54-3C38-4705-AFC7-18C2254EF842}"/>
            </a:ext>
          </a:extLst>
        </xdr:cNvPr>
        <xdr:cNvSpPr/>
      </xdr:nvSpPr>
      <xdr:spPr>
        <a:xfrm>
          <a:off x="14014621" y="8382772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114249</xdr:colOff>
      <xdr:row>500</xdr:row>
      <xdr:rowOff>5222</xdr:rowOff>
    </xdr:from>
    <xdr:to>
      <xdr:col>75</xdr:col>
      <xdr:colOff>124222</xdr:colOff>
      <xdr:row>501</xdr:row>
      <xdr:rowOff>5223</xdr:rowOff>
    </xdr:to>
    <xdr:sp macro="" textlink="">
      <xdr:nvSpPr>
        <xdr:cNvPr id="20" name="Rectangle 19">
          <a:extLst>
            <a:ext uri="{FF2B5EF4-FFF2-40B4-BE49-F238E27FC236}">
              <a16:creationId xmlns:a16="http://schemas.microsoft.com/office/drawing/2014/main" id="{892949A8-DB37-4F55-AD0A-974A54B07661}"/>
            </a:ext>
          </a:extLst>
        </xdr:cNvPr>
        <xdr:cNvSpPr/>
      </xdr:nvSpPr>
      <xdr:spPr>
        <a:xfrm>
          <a:off x="14020749" y="95255222"/>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121538</xdr:colOff>
      <xdr:row>560</xdr:row>
      <xdr:rowOff>20668</xdr:rowOff>
    </xdr:from>
    <xdr:to>
      <xdr:col>75</xdr:col>
      <xdr:colOff>131511</xdr:colOff>
      <xdr:row>561</xdr:row>
      <xdr:rowOff>20669</xdr:rowOff>
    </xdr:to>
    <xdr:sp macro="" textlink="">
      <xdr:nvSpPr>
        <xdr:cNvPr id="21" name="Rectangle 20">
          <a:extLst>
            <a:ext uri="{FF2B5EF4-FFF2-40B4-BE49-F238E27FC236}">
              <a16:creationId xmlns:a16="http://schemas.microsoft.com/office/drawing/2014/main" id="{759D85E3-F021-43E2-9B91-6BCF5E80127B}"/>
            </a:ext>
          </a:extLst>
        </xdr:cNvPr>
        <xdr:cNvSpPr/>
      </xdr:nvSpPr>
      <xdr:spPr>
        <a:xfrm>
          <a:off x="14028038" y="10670066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127013</xdr:colOff>
      <xdr:row>559</xdr:row>
      <xdr:rowOff>187888</xdr:rowOff>
    </xdr:from>
    <xdr:to>
      <xdr:col>34</xdr:col>
      <xdr:colOff>136986</xdr:colOff>
      <xdr:row>560</xdr:row>
      <xdr:rowOff>187889</xdr:rowOff>
    </xdr:to>
    <xdr:sp macro="" textlink="">
      <xdr:nvSpPr>
        <xdr:cNvPr id="22" name="Rectangle 21">
          <a:extLst>
            <a:ext uri="{FF2B5EF4-FFF2-40B4-BE49-F238E27FC236}">
              <a16:creationId xmlns:a16="http://schemas.microsoft.com/office/drawing/2014/main" id="{11DE6090-40B6-460E-A4C5-FC13ED40DF2D}"/>
            </a:ext>
          </a:extLst>
        </xdr:cNvPr>
        <xdr:cNvSpPr/>
      </xdr:nvSpPr>
      <xdr:spPr>
        <a:xfrm>
          <a:off x="6223013" y="10667738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128826</xdr:colOff>
      <xdr:row>499</xdr:row>
      <xdr:rowOff>184553</xdr:rowOff>
    </xdr:from>
    <xdr:to>
      <xdr:col>34</xdr:col>
      <xdr:colOff>138799</xdr:colOff>
      <xdr:row>500</xdr:row>
      <xdr:rowOff>184554</xdr:rowOff>
    </xdr:to>
    <xdr:sp macro="" textlink="">
      <xdr:nvSpPr>
        <xdr:cNvPr id="23" name="Rectangle 22">
          <a:extLst>
            <a:ext uri="{FF2B5EF4-FFF2-40B4-BE49-F238E27FC236}">
              <a16:creationId xmlns:a16="http://schemas.microsoft.com/office/drawing/2014/main" id="{CA742817-DC40-425D-BF7F-957EC98DBA78}"/>
            </a:ext>
          </a:extLst>
        </xdr:cNvPr>
        <xdr:cNvSpPr/>
      </xdr:nvSpPr>
      <xdr:spPr>
        <a:xfrm>
          <a:off x="6224826" y="9524405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126142</xdr:colOff>
      <xdr:row>440</xdr:row>
      <xdr:rowOff>5149</xdr:rowOff>
    </xdr:from>
    <xdr:to>
      <xdr:col>34</xdr:col>
      <xdr:colOff>136115</xdr:colOff>
      <xdr:row>441</xdr:row>
      <xdr:rowOff>5150</xdr:rowOff>
    </xdr:to>
    <xdr:sp macro="" textlink="">
      <xdr:nvSpPr>
        <xdr:cNvPr id="24" name="Rectangle 23">
          <a:extLst>
            <a:ext uri="{FF2B5EF4-FFF2-40B4-BE49-F238E27FC236}">
              <a16:creationId xmlns:a16="http://schemas.microsoft.com/office/drawing/2014/main" id="{8E1D0D9C-211D-4675-AB46-C583F9794261}"/>
            </a:ext>
          </a:extLst>
        </xdr:cNvPr>
        <xdr:cNvSpPr/>
      </xdr:nvSpPr>
      <xdr:spPr>
        <a:xfrm>
          <a:off x="6222142" y="8382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131291</xdr:colOff>
      <xdr:row>380</xdr:row>
      <xdr:rowOff>20595</xdr:rowOff>
    </xdr:from>
    <xdr:to>
      <xdr:col>34</xdr:col>
      <xdr:colOff>141264</xdr:colOff>
      <xdr:row>381</xdr:row>
      <xdr:rowOff>20596</xdr:rowOff>
    </xdr:to>
    <xdr:sp macro="" textlink="">
      <xdr:nvSpPr>
        <xdr:cNvPr id="25" name="Rectangle 24">
          <a:extLst>
            <a:ext uri="{FF2B5EF4-FFF2-40B4-BE49-F238E27FC236}">
              <a16:creationId xmlns:a16="http://schemas.microsoft.com/office/drawing/2014/main" id="{F724C359-08C7-4AC2-A0D8-7A66E8AB6F9E}"/>
            </a:ext>
          </a:extLst>
        </xdr:cNvPr>
        <xdr:cNvSpPr/>
      </xdr:nvSpPr>
      <xdr:spPr>
        <a:xfrm>
          <a:off x="6227291" y="72410595"/>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41294</xdr:colOff>
      <xdr:row>379</xdr:row>
      <xdr:rowOff>151999</xdr:rowOff>
    </xdr:from>
    <xdr:to>
      <xdr:col>75</xdr:col>
      <xdr:colOff>153106</xdr:colOff>
      <xdr:row>381</xdr:row>
      <xdr:rowOff>77456</xdr:rowOff>
    </xdr:to>
    <xdr:sp macro="" textlink="">
      <xdr:nvSpPr>
        <xdr:cNvPr id="26" name="TextBox 25">
          <a:extLst>
            <a:ext uri="{FF2B5EF4-FFF2-40B4-BE49-F238E27FC236}">
              <a16:creationId xmlns:a16="http://schemas.microsoft.com/office/drawing/2014/main" id="{DC845257-56BE-4C62-B302-56705F5C3F77}"/>
            </a:ext>
          </a:extLst>
        </xdr:cNvPr>
        <xdr:cNvSpPr txBox="1"/>
      </xdr:nvSpPr>
      <xdr:spPr>
        <a:xfrm>
          <a:off x="13947794" y="72351499"/>
          <a:ext cx="492812"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0D52B7-B838-4034-95FA-6B351E989F6E}" type="TxLink">
            <a:rPr lang="en-US" sz="950" b="0" i="0" u="none" strike="noStrike">
              <a:solidFill>
                <a:schemeClr val="accent3">
                  <a:lumMod val="50000"/>
                </a:schemeClr>
              </a:solidFill>
              <a:latin typeface="Overpass" panose="00000500000000000000" pitchFamily="2" charset="0"/>
              <a:cs typeface="Calibri"/>
            </a:rPr>
            <a:pPr/>
            <a:t> </a:t>
          </a:fld>
          <a:endParaRPr lang="en-AU" sz="950">
            <a:solidFill>
              <a:schemeClr val="accent3">
                <a:lumMod val="50000"/>
              </a:schemeClr>
            </a:solidFill>
            <a:latin typeface="Overpass" panose="00000500000000000000" pitchFamily="2" charset="0"/>
          </a:endParaRPr>
        </a:p>
      </xdr:txBody>
    </xdr:sp>
    <xdr:clientData/>
  </xdr:twoCellAnchor>
  <xdr:oneCellAnchor>
    <xdr:from>
      <xdr:col>47</xdr:col>
      <xdr:colOff>0</xdr:colOff>
      <xdr:row>47</xdr:row>
      <xdr:rowOff>3190</xdr:rowOff>
    </xdr:from>
    <xdr:ext cx="3071628" cy="1734170"/>
    <xdr:sp macro="" textlink="SOLAR!D10">
      <xdr:nvSpPr>
        <xdr:cNvPr id="27" name="TextBox 26">
          <a:extLst>
            <a:ext uri="{FF2B5EF4-FFF2-40B4-BE49-F238E27FC236}">
              <a16:creationId xmlns:a16="http://schemas.microsoft.com/office/drawing/2014/main" id="{235F1D1B-E2C9-461B-A3ED-A0EC65873414}"/>
            </a:ext>
          </a:extLst>
        </xdr:cNvPr>
        <xdr:cNvSpPr txBox="1"/>
      </xdr:nvSpPr>
      <xdr:spPr>
        <a:xfrm>
          <a:off x="8953500" y="8956690"/>
          <a:ext cx="3071628" cy="173417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D77BD3A-7CD7-934F-8B8D-AE2E00C70A6D}" type="TxLink">
            <a:rPr lang="en-US" sz="2000" b="1" i="0" u="none" strike="noStrike">
              <a:solidFill>
                <a:srgbClr val="27056C"/>
              </a:solidFill>
              <a:latin typeface="Overpass" pitchFamily="2" charset="77"/>
              <a:cs typeface="Calibri"/>
            </a:rPr>
            <a:pPr/>
            <a:t> </a:t>
          </a:fld>
          <a:endParaRPr lang="en-AU" sz="2000" b="1">
            <a:solidFill>
              <a:srgbClr val="27056C"/>
            </a:solidFill>
            <a:latin typeface="Overpass" pitchFamily="2" charset="77"/>
          </a:endParaRPr>
        </a:p>
      </xdr:txBody>
    </xdr:sp>
    <xdr:clientData/>
  </xdr:oneCellAnchor>
  <xdr:oneCellAnchor>
    <xdr:from>
      <xdr:col>63</xdr:col>
      <xdr:colOff>0</xdr:colOff>
      <xdr:row>35</xdr:row>
      <xdr:rowOff>0</xdr:rowOff>
    </xdr:from>
    <xdr:ext cx="2771775" cy="762000"/>
    <xdr:sp macro="" textlink="">
      <xdr:nvSpPr>
        <xdr:cNvPr id="28" name="TextBox 27">
          <a:extLst>
            <a:ext uri="{FF2B5EF4-FFF2-40B4-BE49-F238E27FC236}">
              <a16:creationId xmlns:a16="http://schemas.microsoft.com/office/drawing/2014/main" id="{E4B87897-50E0-4D4D-8A1B-044C2127EFEC}"/>
            </a:ext>
          </a:extLst>
        </xdr:cNvPr>
        <xdr:cNvSpPr txBox="1"/>
      </xdr:nvSpPr>
      <xdr:spPr>
        <a:xfrm>
          <a:off x="12001500" y="6667500"/>
          <a:ext cx="2771775" cy="76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AU" sz="1100"/>
        </a:p>
      </xdr:txBody>
    </xdr:sp>
    <xdr:clientData/>
  </xdr:oneCellAnchor>
  <xdr:twoCellAnchor>
    <xdr:from>
      <xdr:col>18</xdr:col>
      <xdr:colOff>192910</xdr:colOff>
      <xdr:row>135</xdr:row>
      <xdr:rowOff>2636</xdr:rowOff>
    </xdr:from>
    <xdr:to>
      <xdr:col>36</xdr:col>
      <xdr:colOff>2426</xdr:colOff>
      <xdr:row>136</xdr:row>
      <xdr:rowOff>1180</xdr:rowOff>
    </xdr:to>
    <xdr:sp macro="" textlink="SOLAR!D32">
      <xdr:nvSpPr>
        <xdr:cNvPr id="29" name="TextBox 28">
          <a:extLst>
            <a:ext uri="{FF2B5EF4-FFF2-40B4-BE49-F238E27FC236}">
              <a16:creationId xmlns:a16="http://schemas.microsoft.com/office/drawing/2014/main" id="{0D8DBC1F-27A8-4BF9-A97B-036321A75E96}"/>
            </a:ext>
          </a:extLst>
        </xdr:cNvPr>
        <xdr:cNvSpPr txBox="1"/>
      </xdr:nvSpPr>
      <xdr:spPr>
        <a:xfrm>
          <a:off x="3621910" y="25720136"/>
          <a:ext cx="3238516" cy="189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288311A-B4D0-7046-939E-A5BF0A1645C7}" type="TxLink">
            <a:rPr lang="en-US" sz="1000" b="0" i="0" u="none" strike="noStrike">
              <a:solidFill>
                <a:srgbClr val="2A2A2A"/>
              </a:solidFill>
              <a:latin typeface="Overpass" pitchFamily="2" charset="77"/>
              <a:ea typeface="+mn-ea"/>
              <a:cs typeface="Calibri"/>
            </a:rPr>
            <a:pPr marL="0" indent="0" algn="l"/>
            <a:t>By Others/ N/A</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136</xdr:row>
      <xdr:rowOff>2635</xdr:rowOff>
    </xdr:from>
    <xdr:to>
      <xdr:col>36</xdr:col>
      <xdr:colOff>0</xdr:colOff>
      <xdr:row>136</xdr:row>
      <xdr:rowOff>190450</xdr:rowOff>
    </xdr:to>
    <xdr:sp macro="" textlink="SOLAR!D33">
      <xdr:nvSpPr>
        <xdr:cNvPr id="30" name="TextBox 29">
          <a:extLst>
            <a:ext uri="{FF2B5EF4-FFF2-40B4-BE49-F238E27FC236}">
              <a16:creationId xmlns:a16="http://schemas.microsoft.com/office/drawing/2014/main" id="{73034D7C-09C8-447E-9220-E609D86D1E59}"/>
            </a:ext>
          </a:extLst>
        </xdr:cNvPr>
        <xdr:cNvSpPr txBox="1"/>
      </xdr:nvSpPr>
      <xdr:spPr>
        <a:xfrm>
          <a:off x="3618338" y="25910635"/>
          <a:ext cx="3239662" cy="18781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4B7BAD-26E9-D34F-9CAA-9008B0DEAF50}" type="TxLink">
            <a:rPr lang="en-US" sz="1000" b="0" i="0" u="none" strike="noStrike">
              <a:solidFill>
                <a:srgbClr val="2A2A2A"/>
              </a:solidFill>
              <a:latin typeface="Overpass" pitchFamily="2" charset="77"/>
              <a:ea typeface="+mn-ea"/>
              <a:cs typeface="Calibri"/>
            </a:rPr>
            <a:pPr marL="0" indent="0" algn="l"/>
            <a:t>Included (Inspection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145</xdr:row>
      <xdr:rowOff>2635</xdr:rowOff>
    </xdr:from>
    <xdr:to>
      <xdr:col>36</xdr:col>
      <xdr:colOff>0</xdr:colOff>
      <xdr:row>146</xdr:row>
      <xdr:rowOff>7518</xdr:rowOff>
    </xdr:to>
    <xdr:sp macro="" textlink="SOLAR!F38">
      <xdr:nvSpPr>
        <xdr:cNvPr id="31" name="TextBox 30">
          <a:extLst>
            <a:ext uri="{FF2B5EF4-FFF2-40B4-BE49-F238E27FC236}">
              <a16:creationId xmlns:a16="http://schemas.microsoft.com/office/drawing/2014/main" id="{88E7FEEA-9587-4DB9-BE68-1AB6408D6001}"/>
            </a:ext>
          </a:extLst>
        </xdr:cNvPr>
        <xdr:cNvSpPr txBox="1"/>
      </xdr:nvSpPr>
      <xdr:spPr>
        <a:xfrm>
          <a:off x="3618338" y="27625135"/>
          <a:ext cx="3239662" cy="19538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42103CA-B3FA-BC4C-9729-B346D06C8BC4}" type="TxLink">
            <a:rPr lang="en-US" sz="1000" b="0" i="0" u="none" strike="noStrike">
              <a:solidFill>
                <a:srgbClr val="2A2A2A"/>
              </a:solidFill>
              <a:latin typeface="Overpass" pitchFamily="2" charset="77"/>
              <a:ea typeface="+mn-ea"/>
              <a:cs typeface="Calibri"/>
            </a:rPr>
            <a:pPr marL="0" indent="0" algn="l"/>
            <a:t>200</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146</xdr:row>
      <xdr:rowOff>7518</xdr:rowOff>
    </xdr:from>
    <xdr:to>
      <xdr:col>36</xdr:col>
      <xdr:colOff>2426</xdr:colOff>
      <xdr:row>147</xdr:row>
      <xdr:rowOff>7519</xdr:rowOff>
    </xdr:to>
    <xdr:sp macro="" textlink="SOLAR!E39">
      <xdr:nvSpPr>
        <xdr:cNvPr id="32" name="TextBox 31">
          <a:extLst>
            <a:ext uri="{FF2B5EF4-FFF2-40B4-BE49-F238E27FC236}">
              <a16:creationId xmlns:a16="http://schemas.microsoft.com/office/drawing/2014/main" id="{DEC946CE-17F7-4530-9503-6F0D57106BA8}"/>
            </a:ext>
          </a:extLst>
        </xdr:cNvPr>
        <xdr:cNvSpPr txBox="1"/>
      </xdr:nvSpPr>
      <xdr:spPr>
        <a:xfrm>
          <a:off x="3621910" y="27820518"/>
          <a:ext cx="3238516"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66C161-602D-0143-B823-BFA51CE2E01B}" type="TxLink">
            <a:rPr lang="en-US" sz="1000" b="0" i="0" u="none" strike="noStrike">
              <a:solidFill>
                <a:srgbClr val="2A2A2A"/>
              </a:solidFill>
              <a:latin typeface="Overpass" pitchFamily="2" charset="77"/>
              <a:ea typeface="+mn-ea"/>
              <a:cs typeface="Calibri"/>
            </a:rPr>
            <a:pPr marL="0" indent="0" algn="l"/>
            <a:t>Sungrow SG110CX-P2</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189197</xdr:colOff>
      <xdr:row>147</xdr:row>
      <xdr:rowOff>7519</xdr:rowOff>
    </xdr:from>
    <xdr:to>
      <xdr:col>36</xdr:col>
      <xdr:colOff>2287</xdr:colOff>
      <xdr:row>148</xdr:row>
      <xdr:rowOff>7518</xdr:rowOff>
    </xdr:to>
    <xdr:sp macro="" textlink="SOLAR!D40">
      <xdr:nvSpPr>
        <xdr:cNvPr id="33" name="TextBox 32">
          <a:extLst>
            <a:ext uri="{FF2B5EF4-FFF2-40B4-BE49-F238E27FC236}">
              <a16:creationId xmlns:a16="http://schemas.microsoft.com/office/drawing/2014/main" id="{45F4A93D-7706-44E8-8EB1-D3746196B5CB}"/>
            </a:ext>
          </a:extLst>
        </xdr:cNvPr>
        <xdr:cNvSpPr txBox="1"/>
      </xdr:nvSpPr>
      <xdr:spPr>
        <a:xfrm>
          <a:off x="3618197" y="28011019"/>
          <a:ext cx="3242090"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14DDF00-B627-A849-8490-49728847D354}" type="TxLink">
            <a:rPr lang="en-US" sz="1000" b="0" i="0" u="none" strike="noStrike">
              <a:solidFill>
                <a:srgbClr val="2A2A2A"/>
              </a:solidFill>
              <a:latin typeface="Overpass" pitchFamily="2" charset="77"/>
              <a:ea typeface="+mn-ea"/>
              <a:cs typeface="Calibri"/>
            </a:rPr>
            <a:pPr marL="0" indent="0" algn="l"/>
            <a:t>Standard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149</xdr:row>
      <xdr:rowOff>1179</xdr:rowOff>
    </xdr:from>
    <xdr:to>
      <xdr:col>36</xdr:col>
      <xdr:colOff>0</xdr:colOff>
      <xdr:row>150</xdr:row>
      <xdr:rowOff>2635</xdr:rowOff>
    </xdr:to>
    <xdr:sp macro="" textlink="SOLAR!D42">
      <xdr:nvSpPr>
        <xdr:cNvPr id="34" name="TextBox 33">
          <a:extLst>
            <a:ext uri="{FF2B5EF4-FFF2-40B4-BE49-F238E27FC236}">
              <a16:creationId xmlns:a16="http://schemas.microsoft.com/office/drawing/2014/main" id="{C93F25FD-95B7-41D9-B43D-943DFDD43593}"/>
            </a:ext>
          </a:extLst>
        </xdr:cNvPr>
        <xdr:cNvSpPr txBox="1"/>
      </xdr:nvSpPr>
      <xdr:spPr>
        <a:xfrm>
          <a:off x="3618338" y="28385679"/>
          <a:ext cx="3239662" cy="19195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BC78EB4-CE5B-6045-9C03-D58F06F18841}"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150</xdr:row>
      <xdr:rowOff>2635</xdr:rowOff>
    </xdr:from>
    <xdr:to>
      <xdr:col>36</xdr:col>
      <xdr:colOff>2426</xdr:colOff>
      <xdr:row>151</xdr:row>
      <xdr:rowOff>2635</xdr:rowOff>
    </xdr:to>
    <xdr:sp macro="" textlink="SOLAR!D43">
      <xdr:nvSpPr>
        <xdr:cNvPr id="35" name="TextBox 34">
          <a:extLst>
            <a:ext uri="{FF2B5EF4-FFF2-40B4-BE49-F238E27FC236}">
              <a16:creationId xmlns:a16="http://schemas.microsoft.com/office/drawing/2014/main" id="{22703B9C-29E3-4078-8CFF-F2F936D67D2B}"/>
            </a:ext>
          </a:extLst>
        </xdr:cNvPr>
        <xdr:cNvSpPr txBox="1"/>
      </xdr:nvSpPr>
      <xdr:spPr>
        <a:xfrm>
          <a:off x="3621910" y="28577635"/>
          <a:ext cx="32385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6B89327-0415-DB4F-BDF4-090245F69982}"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151</xdr:row>
      <xdr:rowOff>2635</xdr:rowOff>
    </xdr:from>
    <xdr:to>
      <xdr:col>36</xdr:col>
      <xdr:colOff>2426</xdr:colOff>
      <xdr:row>152</xdr:row>
      <xdr:rowOff>7518</xdr:rowOff>
    </xdr:to>
    <xdr:sp macro="" textlink="'Linking Cells'!C59">
      <xdr:nvSpPr>
        <xdr:cNvPr id="36" name="TextBox 35">
          <a:extLst>
            <a:ext uri="{FF2B5EF4-FFF2-40B4-BE49-F238E27FC236}">
              <a16:creationId xmlns:a16="http://schemas.microsoft.com/office/drawing/2014/main" id="{3F31560F-6BA1-496B-A335-C3E3977A7510}"/>
            </a:ext>
          </a:extLst>
        </xdr:cNvPr>
        <xdr:cNvSpPr txBox="1"/>
      </xdr:nvSpPr>
      <xdr:spPr>
        <a:xfrm>
          <a:off x="3621910" y="28768135"/>
          <a:ext cx="3238516" cy="19538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968F43A-2406-4FEC-BF0E-A6BAA81D9758}" type="TxLink">
            <a:rPr lang="en-US" sz="1000" b="0" i="0" u="none" strike="noStrike">
              <a:solidFill>
                <a:srgbClr val="2A2A2A"/>
              </a:solidFill>
              <a:latin typeface="Overpass" pitchFamily="2" charset="77"/>
              <a:ea typeface="+mn-ea"/>
              <a:cs typeface="Calibri"/>
            </a:rPr>
            <a:pPr marL="0" indent="0" algn="l"/>
            <a:t>107 kWh - BC107DE2 x 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88</xdr:col>
      <xdr:colOff>121758</xdr:colOff>
      <xdr:row>93</xdr:row>
      <xdr:rowOff>144009</xdr:rowOff>
    </xdr:from>
    <xdr:to>
      <xdr:col>90</xdr:col>
      <xdr:colOff>393779</xdr:colOff>
      <xdr:row>94</xdr:row>
      <xdr:rowOff>182109</xdr:rowOff>
    </xdr:to>
    <xdr:sp macro="" textlink="'[1]Cost Calculator'!#REF!">
      <xdr:nvSpPr>
        <xdr:cNvPr id="37" name="TextBox 36">
          <a:extLst>
            <a:ext uri="{FF2B5EF4-FFF2-40B4-BE49-F238E27FC236}">
              <a16:creationId xmlns:a16="http://schemas.microsoft.com/office/drawing/2014/main" id="{F8E804E3-D2FF-4BF6-9E14-AEBE5B52E471}"/>
            </a:ext>
          </a:extLst>
        </xdr:cNvPr>
        <xdr:cNvSpPr txBox="1"/>
      </xdr:nvSpPr>
      <xdr:spPr>
        <a:xfrm>
          <a:off x="17238183" y="17860509"/>
          <a:ext cx="45299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11CD9E3-6C6B-46F9-8990-1C8518B40A70}"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60</xdr:col>
      <xdr:colOff>7936</xdr:colOff>
      <xdr:row>134</xdr:row>
      <xdr:rowOff>419</xdr:rowOff>
    </xdr:from>
    <xdr:to>
      <xdr:col>77</xdr:col>
      <xdr:colOff>2</xdr:colOff>
      <xdr:row>135</xdr:row>
      <xdr:rowOff>419</xdr:rowOff>
    </xdr:to>
    <xdr:sp macro="" textlink="SOLAR!D72">
      <xdr:nvSpPr>
        <xdr:cNvPr id="38" name="TextBox 37">
          <a:extLst>
            <a:ext uri="{FF2B5EF4-FFF2-40B4-BE49-F238E27FC236}">
              <a16:creationId xmlns:a16="http://schemas.microsoft.com/office/drawing/2014/main" id="{FF29C38F-FAE8-47CD-A92D-6DB4455C2B0F}"/>
            </a:ext>
          </a:extLst>
        </xdr:cNvPr>
        <xdr:cNvSpPr txBox="1"/>
      </xdr:nvSpPr>
      <xdr:spPr>
        <a:xfrm>
          <a:off x="11437936" y="25527419"/>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5BA62EC-6E64-6346-91BD-2E4C4D42F723}"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135</xdr:row>
      <xdr:rowOff>419</xdr:rowOff>
    </xdr:from>
    <xdr:to>
      <xdr:col>77</xdr:col>
      <xdr:colOff>1753</xdr:colOff>
      <xdr:row>136</xdr:row>
      <xdr:rowOff>419</xdr:rowOff>
    </xdr:to>
    <xdr:sp macro="" textlink="SOLAR!D73">
      <xdr:nvSpPr>
        <xdr:cNvPr id="39" name="TextBox 38">
          <a:extLst>
            <a:ext uri="{FF2B5EF4-FFF2-40B4-BE49-F238E27FC236}">
              <a16:creationId xmlns:a16="http://schemas.microsoft.com/office/drawing/2014/main" id="{F7406594-DDCB-466F-8636-D77D92043356}"/>
            </a:ext>
          </a:extLst>
        </xdr:cNvPr>
        <xdr:cNvSpPr txBox="1"/>
      </xdr:nvSpPr>
      <xdr:spPr>
        <a:xfrm>
          <a:off x="11430000" y="25717919"/>
          <a:ext cx="324025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002DB4-AD5B-AD41-BAA8-57016D5B0581}"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136</xdr:row>
      <xdr:rowOff>419</xdr:rowOff>
    </xdr:from>
    <xdr:to>
      <xdr:col>77</xdr:col>
      <xdr:colOff>1753</xdr:colOff>
      <xdr:row>136</xdr:row>
      <xdr:rowOff>185341</xdr:rowOff>
    </xdr:to>
    <xdr:sp macro="" textlink="SOLAR!D74">
      <xdr:nvSpPr>
        <xdr:cNvPr id="40" name="TextBox 39">
          <a:extLst>
            <a:ext uri="{FF2B5EF4-FFF2-40B4-BE49-F238E27FC236}">
              <a16:creationId xmlns:a16="http://schemas.microsoft.com/office/drawing/2014/main" id="{5B90E0BF-5BAA-4979-A418-86D2AC2E60AD}"/>
            </a:ext>
          </a:extLst>
        </xdr:cNvPr>
        <xdr:cNvSpPr txBox="1"/>
      </xdr:nvSpPr>
      <xdr:spPr>
        <a:xfrm>
          <a:off x="11430000" y="25908419"/>
          <a:ext cx="3240253" cy="1849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F7445F-F2FD-0148-B9BF-70553A9DEC21}"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136</xdr:row>
      <xdr:rowOff>185341</xdr:rowOff>
    </xdr:from>
    <xdr:to>
      <xdr:col>77</xdr:col>
      <xdr:colOff>2</xdr:colOff>
      <xdr:row>138</xdr:row>
      <xdr:rowOff>419</xdr:rowOff>
    </xdr:to>
    <xdr:sp macro="" textlink="SOLAR!D75">
      <xdr:nvSpPr>
        <xdr:cNvPr id="41" name="TextBox 40">
          <a:extLst>
            <a:ext uri="{FF2B5EF4-FFF2-40B4-BE49-F238E27FC236}">
              <a16:creationId xmlns:a16="http://schemas.microsoft.com/office/drawing/2014/main" id="{81C36BA0-15A7-4065-B00D-EFC3E2680A15}"/>
            </a:ext>
          </a:extLst>
        </xdr:cNvPr>
        <xdr:cNvSpPr txBox="1"/>
      </xdr:nvSpPr>
      <xdr:spPr>
        <a:xfrm>
          <a:off x="11437936" y="26093341"/>
          <a:ext cx="3230566" cy="19607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7F4C08C-BA28-614C-8921-EAD323139504}"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138</xdr:row>
      <xdr:rowOff>420</xdr:rowOff>
    </xdr:from>
    <xdr:to>
      <xdr:col>77</xdr:col>
      <xdr:colOff>1753</xdr:colOff>
      <xdr:row>139</xdr:row>
      <xdr:rowOff>420</xdr:rowOff>
    </xdr:to>
    <xdr:sp macro="" textlink="SOLAR!D76">
      <xdr:nvSpPr>
        <xdr:cNvPr id="42" name="TextBox 41">
          <a:extLst>
            <a:ext uri="{FF2B5EF4-FFF2-40B4-BE49-F238E27FC236}">
              <a16:creationId xmlns:a16="http://schemas.microsoft.com/office/drawing/2014/main" id="{C5586E32-AA81-49C8-BC3B-A065B79338CC}"/>
            </a:ext>
          </a:extLst>
        </xdr:cNvPr>
        <xdr:cNvSpPr txBox="1"/>
      </xdr:nvSpPr>
      <xdr:spPr>
        <a:xfrm>
          <a:off x="11430000" y="26289420"/>
          <a:ext cx="324025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F80E68-8D4E-AC46-9B9D-98CA4EDE0971}"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145</xdr:row>
      <xdr:rowOff>185342</xdr:rowOff>
    </xdr:from>
    <xdr:to>
      <xdr:col>77</xdr:col>
      <xdr:colOff>1753</xdr:colOff>
      <xdr:row>147</xdr:row>
      <xdr:rowOff>419</xdr:rowOff>
    </xdr:to>
    <xdr:sp macro="" textlink="SOLAR!D88">
      <xdr:nvSpPr>
        <xdr:cNvPr id="43" name="TextBox 42">
          <a:extLst>
            <a:ext uri="{FF2B5EF4-FFF2-40B4-BE49-F238E27FC236}">
              <a16:creationId xmlns:a16="http://schemas.microsoft.com/office/drawing/2014/main" id="{D726089A-DE3A-4CAE-A0FD-2617DF13C270}"/>
            </a:ext>
          </a:extLst>
        </xdr:cNvPr>
        <xdr:cNvSpPr txBox="1"/>
      </xdr:nvSpPr>
      <xdr:spPr>
        <a:xfrm>
          <a:off x="11430000" y="27807842"/>
          <a:ext cx="3240253" cy="196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8683DF9-0C9A-D64F-8FFC-066C81BB53E0}" type="TxLink">
            <a:rPr lang="en-US" sz="1000" b="0" i="0" u="none" strike="noStrike">
              <a:solidFill>
                <a:srgbClr val="2A2A2A"/>
              </a:solidFill>
              <a:latin typeface="Overpass" pitchFamily="2" charset="77"/>
              <a:ea typeface="+mn-ea"/>
              <a:cs typeface="Calibri"/>
            </a:rPr>
            <a:pPr marL="0" indent="0" algn="l"/>
            <a:t>12 Year Panel Product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0</xdr:colOff>
      <xdr:row>147</xdr:row>
      <xdr:rowOff>420</xdr:rowOff>
    </xdr:from>
    <xdr:to>
      <xdr:col>77</xdr:col>
      <xdr:colOff>1753</xdr:colOff>
      <xdr:row>148</xdr:row>
      <xdr:rowOff>419</xdr:rowOff>
    </xdr:to>
    <xdr:sp macro="" textlink="SOLAR!D89">
      <xdr:nvSpPr>
        <xdr:cNvPr id="44" name="TextBox 43">
          <a:extLst>
            <a:ext uri="{FF2B5EF4-FFF2-40B4-BE49-F238E27FC236}">
              <a16:creationId xmlns:a16="http://schemas.microsoft.com/office/drawing/2014/main" id="{A514B082-BAAB-4764-BEDF-AC67D9F08632}"/>
            </a:ext>
          </a:extLst>
        </xdr:cNvPr>
        <xdr:cNvSpPr txBox="1"/>
      </xdr:nvSpPr>
      <xdr:spPr>
        <a:xfrm>
          <a:off x="11430000" y="28003920"/>
          <a:ext cx="324025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42A46EB-E296-0E4E-A7DA-2CE4EB865F03}" type="TxLink">
            <a:rPr lang="en-US" sz="1000" b="0" i="0" u="none" strike="noStrike">
              <a:solidFill>
                <a:srgbClr val="2A2A2A"/>
              </a:solidFill>
              <a:latin typeface="Overpass" pitchFamily="2" charset="77"/>
              <a:ea typeface="+mn-ea"/>
              <a:cs typeface="Calibri"/>
            </a:rPr>
            <a:pPr marL="0" indent="0" algn="l"/>
            <a:t>25 Year Panel Performance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148</xdr:row>
      <xdr:rowOff>420</xdr:rowOff>
    </xdr:from>
    <xdr:to>
      <xdr:col>77</xdr:col>
      <xdr:colOff>2</xdr:colOff>
      <xdr:row>149</xdr:row>
      <xdr:rowOff>419</xdr:rowOff>
    </xdr:to>
    <xdr:sp macro="" textlink="SOLAR!D90">
      <xdr:nvSpPr>
        <xdr:cNvPr id="45" name="TextBox 44">
          <a:extLst>
            <a:ext uri="{FF2B5EF4-FFF2-40B4-BE49-F238E27FC236}">
              <a16:creationId xmlns:a16="http://schemas.microsoft.com/office/drawing/2014/main" id="{F6CD0410-F721-41AF-B80A-07CB90C7487A}"/>
            </a:ext>
          </a:extLst>
        </xdr:cNvPr>
        <xdr:cNvSpPr txBox="1"/>
      </xdr:nvSpPr>
      <xdr:spPr>
        <a:xfrm>
          <a:off x="11437936" y="28194420"/>
          <a:ext cx="3230566"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B424EC0-FD50-2943-BDB6-4132FBB0C268}" type="TxLink">
            <a:rPr lang="en-US" sz="1000" b="0" i="0" u="none" strike="noStrike">
              <a:solidFill>
                <a:srgbClr val="2A2A2A"/>
              </a:solidFill>
              <a:latin typeface="Overpass" pitchFamily="2" charset="77"/>
              <a:ea typeface="+mn-ea"/>
              <a:cs typeface="Calibri"/>
            </a:rPr>
            <a:pPr marL="0" indent="0" algn="l"/>
            <a:t>10 Year Inverter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149</xdr:row>
      <xdr:rowOff>419</xdr:rowOff>
    </xdr:from>
    <xdr:to>
      <xdr:col>77</xdr:col>
      <xdr:colOff>2</xdr:colOff>
      <xdr:row>150</xdr:row>
      <xdr:rowOff>420</xdr:rowOff>
    </xdr:to>
    <xdr:sp macro="" textlink="SOLAR!D91">
      <xdr:nvSpPr>
        <xdr:cNvPr id="46" name="TextBox 45">
          <a:extLst>
            <a:ext uri="{FF2B5EF4-FFF2-40B4-BE49-F238E27FC236}">
              <a16:creationId xmlns:a16="http://schemas.microsoft.com/office/drawing/2014/main" id="{36F7C668-CBA9-431B-A873-CE2B35BD61F9}"/>
            </a:ext>
          </a:extLst>
        </xdr:cNvPr>
        <xdr:cNvSpPr txBox="1"/>
      </xdr:nvSpPr>
      <xdr:spPr>
        <a:xfrm>
          <a:off x="11437936" y="28384919"/>
          <a:ext cx="3230566"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7671C-CACA-0644-94DE-EDB780173A53}"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150</xdr:row>
      <xdr:rowOff>420</xdr:rowOff>
    </xdr:from>
    <xdr:to>
      <xdr:col>77</xdr:col>
      <xdr:colOff>2</xdr:colOff>
      <xdr:row>151</xdr:row>
      <xdr:rowOff>420</xdr:rowOff>
    </xdr:to>
    <xdr:sp macro="" textlink="SOLAR!D92">
      <xdr:nvSpPr>
        <xdr:cNvPr id="47" name="TextBox 46">
          <a:extLst>
            <a:ext uri="{FF2B5EF4-FFF2-40B4-BE49-F238E27FC236}">
              <a16:creationId xmlns:a16="http://schemas.microsoft.com/office/drawing/2014/main" id="{807B9AD9-94C0-445E-8598-7F12390F6503}"/>
            </a:ext>
          </a:extLst>
        </xdr:cNvPr>
        <xdr:cNvSpPr txBox="1"/>
      </xdr:nvSpPr>
      <xdr:spPr>
        <a:xfrm>
          <a:off x="11437936" y="28575420"/>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06906A-093A-484D-B52C-84696E5ED6E7}"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60</xdr:col>
      <xdr:colOff>7936</xdr:colOff>
      <xdr:row>151</xdr:row>
      <xdr:rowOff>9945</xdr:rowOff>
    </xdr:from>
    <xdr:to>
      <xdr:col>77</xdr:col>
      <xdr:colOff>2</xdr:colOff>
      <xdr:row>152</xdr:row>
      <xdr:rowOff>9945</xdr:rowOff>
    </xdr:to>
    <xdr:sp macro="" textlink="SOLAR!D93">
      <xdr:nvSpPr>
        <xdr:cNvPr id="48" name="TextBox 47">
          <a:extLst>
            <a:ext uri="{FF2B5EF4-FFF2-40B4-BE49-F238E27FC236}">
              <a16:creationId xmlns:a16="http://schemas.microsoft.com/office/drawing/2014/main" id="{86FBBE83-1A6E-4753-B811-765930A19968}"/>
            </a:ext>
          </a:extLst>
        </xdr:cNvPr>
        <xdr:cNvSpPr txBox="1"/>
      </xdr:nvSpPr>
      <xdr:spPr>
        <a:xfrm>
          <a:off x="11437936" y="28775445"/>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6A0748A-F38F-584A-881F-12B1FCD99B2F}" type="TxLink">
            <a:rPr lang="en-US" sz="1000" b="0" i="0" u="none" strike="noStrike">
              <a:solidFill>
                <a:srgbClr val="2A2A2A"/>
              </a:solidFill>
              <a:latin typeface="Overpass" pitchFamily="2" charset="77"/>
              <a:ea typeface="+mn-ea"/>
              <a:cs typeface="Calibri"/>
            </a:rPr>
            <a:pPr marL="0" indent="0" algn="l"/>
            <a:t>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10502</xdr:colOff>
      <xdr:row>162</xdr:row>
      <xdr:rowOff>39785</xdr:rowOff>
    </xdr:from>
    <xdr:to>
      <xdr:col>76</xdr:col>
      <xdr:colOff>5545</xdr:colOff>
      <xdr:row>163</xdr:row>
      <xdr:rowOff>32942</xdr:rowOff>
    </xdr:to>
    <xdr:sp macro="" textlink="SOLAR!D81">
      <xdr:nvSpPr>
        <xdr:cNvPr id="49" name="TextBox 48">
          <a:extLst>
            <a:ext uri="{FF2B5EF4-FFF2-40B4-BE49-F238E27FC236}">
              <a16:creationId xmlns:a16="http://schemas.microsoft.com/office/drawing/2014/main" id="{F6BE523F-71D6-48FD-8BF0-B69D6839EA7B}"/>
            </a:ext>
          </a:extLst>
        </xdr:cNvPr>
        <xdr:cNvSpPr txBox="1"/>
      </xdr:nvSpPr>
      <xdr:spPr>
        <a:xfrm>
          <a:off x="11250002" y="30900785"/>
          <a:ext cx="3233543" cy="1836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1F10B1-9FCB-0E44-A04B-8BEB077117CD}" type="TxLink">
            <a:rPr lang="en-US" sz="1000" b="0" i="0" u="none" strike="noStrike">
              <a:solidFill>
                <a:srgbClr val="2A2A2A"/>
              </a:solidFill>
              <a:latin typeface="Overpass" pitchFamily="2" charset="77"/>
              <a:ea typeface="+mn-ea"/>
              <a:cs typeface="Calibri"/>
            </a:rPr>
            <a:pPr marL="0" indent="0" algn="l"/>
            <a:t>Solar Analytics Generation + Consumption</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84</xdr:col>
      <xdr:colOff>591965</xdr:colOff>
      <xdr:row>135</xdr:row>
      <xdr:rowOff>72533</xdr:rowOff>
    </xdr:from>
    <xdr:to>
      <xdr:col>87</xdr:col>
      <xdr:colOff>182295</xdr:colOff>
      <xdr:row>136</xdr:row>
      <xdr:rowOff>110634</xdr:rowOff>
    </xdr:to>
    <xdr:sp macro="" textlink="'[1]Cost Calculator'!#REF!">
      <xdr:nvSpPr>
        <xdr:cNvPr id="50" name="TextBox 49">
          <a:extLst>
            <a:ext uri="{FF2B5EF4-FFF2-40B4-BE49-F238E27FC236}">
              <a16:creationId xmlns:a16="http://schemas.microsoft.com/office/drawing/2014/main" id="{2541B14C-B8A0-4D9C-9795-218E4F1B3421}"/>
            </a:ext>
          </a:extLst>
        </xdr:cNvPr>
        <xdr:cNvSpPr txBox="1"/>
      </xdr:nvSpPr>
      <xdr:spPr>
        <a:xfrm>
          <a:off x="16193915" y="25790033"/>
          <a:ext cx="91430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E304DD-D616-4CC6-9837-2F9CA18ECB06}"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598688</xdr:colOff>
      <xdr:row>136</xdr:row>
      <xdr:rowOff>90464</xdr:rowOff>
    </xdr:from>
    <xdr:to>
      <xdr:col>87</xdr:col>
      <xdr:colOff>189018</xdr:colOff>
      <xdr:row>137</xdr:row>
      <xdr:rowOff>128564</xdr:rowOff>
    </xdr:to>
    <xdr:sp macro="" textlink="'[1]Cost Calculator'!#REF!">
      <xdr:nvSpPr>
        <xdr:cNvPr id="51" name="TextBox 50">
          <a:extLst>
            <a:ext uri="{FF2B5EF4-FFF2-40B4-BE49-F238E27FC236}">
              <a16:creationId xmlns:a16="http://schemas.microsoft.com/office/drawing/2014/main" id="{3E3582EA-66F5-44EC-81D3-8883386F08C3}"/>
            </a:ext>
          </a:extLst>
        </xdr:cNvPr>
        <xdr:cNvSpPr txBox="1"/>
      </xdr:nvSpPr>
      <xdr:spPr>
        <a:xfrm>
          <a:off x="16191113" y="25998464"/>
          <a:ext cx="92383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78B7200-4165-43A5-972E-C42CCF3CBC05}"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571795</xdr:colOff>
      <xdr:row>137</xdr:row>
      <xdr:rowOff>142010</xdr:rowOff>
    </xdr:from>
    <xdr:to>
      <xdr:col>87</xdr:col>
      <xdr:colOff>162125</xdr:colOff>
      <xdr:row>138</xdr:row>
      <xdr:rowOff>180109</xdr:rowOff>
    </xdr:to>
    <xdr:sp macro="" textlink="'[1]Cost Calculator'!#REF!">
      <xdr:nvSpPr>
        <xdr:cNvPr id="52" name="TextBox 51">
          <a:extLst>
            <a:ext uri="{FF2B5EF4-FFF2-40B4-BE49-F238E27FC236}">
              <a16:creationId xmlns:a16="http://schemas.microsoft.com/office/drawing/2014/main" id="{D20FB9C1-A9E7-464C-9E89-B401EBAEC924}"/>
            </a:ext>
          </a:extLst>
        </xdr:cNvPr>
        <xdr:cNvSpPr txBox="1"/>
      </xdr:nvSpPr>
      <xdr:spPr>
        <a:xfrm>
          <a:off x="16192795" y="26240510"/>
          <a:ext cx="895255"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61FEB589-07ED-40B6-BF60-6F40CAD50CDC}"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19</xdr:col>
      <xdr:colOff>2410</xdr:colOff>
      <xdr:row>157</xdr:row>
      <xdr:rowOff>38049</xdr:rowOff>
    </xdr:from>
    <xdr:to>
      <xdr:col>36</xdr:col>
      <xdr:colOff>2426</xdr:colOff>
      <xdr:row>158</xdr:row>
      <xdr:rowOff>30480</xdr:rowOff>
    </xdr:to>
    <xdr:sp macro="" textlink="'Linking Cells'!B47">
      <xdr:nvSpPr>
        <xdr:cNvPr id="53" name="TextBox 52">
          <a:extLst>
            <a:ext uri="{FF2B5EF4-FFF2-40B4-BE49-F238E27FC236}">
              <a16:creationId xmlns:a16="http://schemas.microsoft.com/office/drawing/2014/main" id="{1747A606-370F-4FA5-96EB-F5FDF13487C4}"/>
            </a:ext>
          </a:extLst>
        </xdr:cNvPr>
        <xdr:cNvSpPr txBox="1"/>
      </xdr:nvSpPr>
      <xdr:spPr>
        <a:xfrm>
          <a:off x="3621910" y="29946549"/>
          <a:ext cx="3238516" cy="1829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7A65ACD-2650-CB48-9D62-B38EBE99CF05}" type="TxLink">
            <a:rPr lang="en-US" sz="1000" b="0" i="0" u="none" strike="noStrike">
              <a:solidFill>
                <a:srgbClr val="2A2A2A"/>
              </a:solidFill>
              <a:latin typeface="Overpass" pitchFamily="2" charset="77"/>
              <a:ea typeface="Calibri"/>
              <a:cs typeface="Calibri"/>
            </a:rPr>
            <a:pPr marL="0" indent="0" algn="l"/>
            <a:t>Included - Standard Cable with 50m Average Run</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192910</xdr:colOff>
      <xdr:row>148</xdr:row>
      <xdr:rowOff>7518</xdr:rowOff>
    </xdr:from>
    <xdr:to>
      <xdr:col>36</xdr:col>
      <xdr:colOff>2426</xdr:colOff>
      <xdr:row>149</xdr:row>
      <xdr:rowOff>1179</xdr:rowOff>
    </xdr:to>
    <xdr:sp macro="" textlink="'Linking Cells'!C3">
      <xdr:nvSpPr>
        <xdr:cNvPr id="54" name="TextBox 53">
          <a:extLst>
            <a:ext uri="{FF2B5EF4-FFF2-40B4-BE49-F238E27FC236}">
              <a16:creationId xmlns:a16="http://schemas.microsoft.com/office/drawing/2014/main" id="{E0DC6910-2E9F-4D00-91E5-74E70D67181D}"/>
            </a:ext>
          </a:extLst>
        </xdr:cNvPr>
        <xdr:cNvSpPr txBox="1"/>
      </xdr:nvSpPr>
      <xdr:spPr>
        <a:xfrm>
          <a:off x="3621910" y="28201518"/>
          <a:ext cx="3238516" cy="1841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D04EC4B-A49F-6947-A026-45C2D0502F18}" type="TxLink">
            <a:rPr lang="en-US" sz="1000" b="0" i="0" u="none" strike="noStrike">
              <a:solidFill>
                <a:srgbClr val="2A2A2A"/>
              </a:solidFill>
              <a:latin typeface="Overpass" pitchFamily="2" charset="77"/>
              <a:ea typeface="+mn-ea"/>
              <a:cs typeface="Calibri"/>
            </a:rPr>
            <a:pPr marL="0" indent="0" algn="l"/>
            <a:t>Trimdek Installation - Flush Mounted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189338</xdr:colOff>
      <xdr:row>158</xdr:row>
      <xdr:rowOff>30480</xdr:rowOff>
    </xdr:from>
    <xdr:to>
      <xdr:col>36</xdr:col>
      <xdr:colOff>0</xdr:colOff>
      <xdr:row>159</xdr:row>
      <xdr:rowOff>30480</xdr:rowOff>
    </xdr:to>
    <xdr:sp macro="" textlink="SOLAR!D49">
      <xdr:nvSpPr>
        <xdr:cNvPr id="55" name="TextBox 54">
          <a:extLst>
            <a:ext uri="{FF2B5EF4-FFF2-40B4-BE49-F238E27FC236}">
              <a16:creationId xmlns:a16="http://schemas.microsoft.com/office/drawing/2014/main" id="{835B57E8-5EB0-43DF-B76C-AC4334C62C15}"/>
            </a:ext>
          </a:extLst>
        </xdr:cNvPr>
        <xdr:cNvSpPr txBox="1"/>
      </xdr:nvSpPr>
      <xdr:spPr>
        <a:xfrm>
          <a:off x="3618338" y="30129480"/>
          <a:ext cx="3239662"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FD8FAB8-C939-8642-80F6-220217C2F21B}" type="TxLink">
            <a:rPr lang="en-US" sz="1000" b="0" i="0" u="none" strike="noStrike">
              <a:solidFill>
                <a:srgbClr val="2A2A2A"/>
              </a:solidFill>
              <a:latin typeface="Overpass" pitchFamily="2" charset="77"/>
              <a:ea typeface="+mn-ea"/>
              <a:cs typeface="Calibri"/>
            </a:rPr>
            <a:pPr marL="0" indent="0" algn="l"/>
            <a:t>Included - Copper</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159</xdr:row>
      <xdr:rowOff>38049</xdr:rowOff>
    </xdr:from>
    <xdr:to>
      <xdr:col>36</xdr:col>
      <xdr:colOff>2426</xdr:colOff>
      <xdr:row>160</xdr:row>
      <xdr:rowOff>30479</xdr:rowOff>
    </xdr:to>
    <xdr:sp macro="" textlink="'Linking Cells'!B49">
      <xdr:nvSpPr>
        <xdr:cNvPr id="56" name="TextBox 55">
          <a:extLst>
            <a:ext uri="{FF2B5EF4-FFF2-40B4-BE49-F238E27FC236}">
              <a16:creationId xmlns:a16="http://schemas.microsoft.com/office/drawing/2014/main" id="{6C115777-D457-4481-BD3A-FA1E57031EDF}"/>
            </a:ext>
          </a:extLst>
        </xdr:cNvPr>
        <xdr:cNvSpPr txBox="1"/>
      </xdr:nvSpPr>
      <xdr:spPr>
        <a:xfrm>
          <a:off x="3621910" y="30327549"/>
          <a:ext cx="3238516" cy="1829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DF9D44-D9C6-834F-BA4D-A70DA06D08A7}" type="TxLink">
            <a:rPr lang="en-US" sz="1000" b="0" i="0" u="none" strike="noStrike">
              <a:solidFill>
                <a:srgbClr val="2A2A2A"/>
              </a:solidFill>
              <a:latin typeface="Overpass" pitchFamily="2" charset="77"/>
              <a:ea typeface="Calibri"/>
              <a:cs typeface="Calibri"/>
            </a:rPr>
            <a:pPr marL="0" indent="0" algn="l"/>
            <a:t>GAL Cable Tray, 110m Total Length</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1547</xdr:colOff>
      <xdr:row>162</xdr:row>
      <xdr:rowOff>30478</xdr:rowOff>
    </xdr:from>
    <xdr:to>
      <xdr:col>36</xdr:col>
      <xdr:colOff>2428</xdr:colOff>
      <xdr:row>163</xdr:row>
      <xdr:rowOff>30479</xdr:rowOff>
    </xdr:to>
    <xdr:sp macro="" textlink="'Linking Cells'!B43">
      <xdr:nvSpPr>
        <xdr:cNvPr id="57" name="TextBox 56">
          <a:extLst>
            <a:ext uri="{FF2B5EF4-FFF2-40B4-BE49-F238E27FC236}">
              <a16:creationId xmlns:a16="http://schemas.microsoft.com/office/drawing/2014/main" id="{3B9F14D9-7D7B-4FD5-8ED6-3217D0C08C5C}"/>
            </a:ext>
          </a:extLst>
        </xdr:cNvPr>
        <xdr:cNvSpPr txBox="1"/>
      </xdr:nvSpPr>
      <xdr:spPr>
        <a:xfrm>
          <a:off x="3621047" y="30891478"/>
          <a:ext cx="3239381"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D8C23-C64F-8F47-9296-ED9DAB7376ED}" type="TxLink">
            <a:rPr lang="en-US" sz="1000" b="0" i="0" u="none" strike="noStrike">
              <a:solidFill>
                <a:srgbClr val="2A2A2A"/>
              </a:solidFill>
              <a:latin typeface="Overpass" pitchFamily="2" charset="77"/>
              <a:ea typeface="Calibri"/>
              <a:cs typeface="Calibri"/>
            </a:rPr>
            <a:pPr marL="0" indent="0" algn="l"/>
            <a:t>GPU - Full Export </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1547</xdr:colOff>
      <xdr:row>176</xdr:row>
      <xdr:rowOff>107410</xdr:rowOff>
    </xdr:from>
    <xdr:to>
      <xdr:col>36</xdr:col>
      <xdr:colOff>2428</xdr:colOff>
      <xdr:row>177</xdr:row>
      <xdr:rowOff>107410</xdr:rowOff>
    </xdr:to>
    <xdr:sp macro="" textlink="SOLAR!D64">
      <xdr:nvSpPr>
        <xdr:cNvPr id="58" name="TextBox 57">
          <a:extLst>
            <a:ext uri="{FF2B5EF4-FFF2-40B4-BE49-F238E27FC236}">
              <a16:creationId xmlns:a16="http://schemas.microsoft.com/office/drawing/2014/main" id="{B73AF2FE-1921-4880-B85B-C027E0C2C451}"/>
            </a:ext>
          </a:extLst>
        </xdr:cNvPr>
        <xdr:cNvSpPr txBox="1"/>
      </xdr:nvSpPr>
      <xdr:spPr>
        <a:xfrm>
          <a:off x="3621047" y="33635410"/>
          <a:ext cx="3239381"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51EFA8F-A700-5340-8904-4999160A2033}" type="TxLink">
            <a:rPr lang="en-US" sz="1000" b="0" i="0" u="none" strike="noStrike">
              <a:solidFill>
                <a:srgbClr val="2A2A2A"/>
              </a:solidFill>
              <a:latin typeface="Overpass" pitchFamily="2" charset="77"/>
              <a:ea typeface="+mn-ea"/>
              <a:cs typeface="Calibri"/>
            </a:rPr>
            <a:pPr marL="0" indent="0" algn="l"/>
            <a:t>Scissor Lift + Forklift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177</xdr:row>
      <xdr:rowOff>107410</xdr:rowOff>
    </xdr:from>
    <xdr:to>
      <xdr:col>36</xdr:col>
      <xdr:colOff>2426</xdr:colOff>
      <xdr:row>178</xdr:row>
      <xdr:rowOff>107410</xdr:rowOff>
    </xdr:to>
    <xdr:sp macro="" textlink="SOLAR!D65">
      <xdr:nvSpPr>
        <xdr:cNvPr id="59" name="TextBox 58">
          <a:extLst>
            <a:ext uri="{FF2B5EF4-FFF2-40B4-BE49-F238E27FC236}">
              <a16:creationId xmlns:a16="http://schemas.microsoft.com/office/drawing/2014/main" id="{0CD4E7D8-64DA-4C2C-B6C2-DF4800612172}"/>
            </a:ext>
          </a:extLst>
        </xdr:cNvPr>
        <xdr:cNvSpPr txBox="1"/>
      </xdr:nvSpPr>
      <xdr:spPr>
        <a:xfrm>
          <a:off x="3621910" y="33825910"/>
          <a:ext cx="32385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F178E4C-F7B0-D246-A9B3-48B94DBD0973}" type="TxLink">
            <a:rPr lang="en-US" sz="1000" b="0" i="0" u="none" strike="noStrike">
              <a:solidFill>
                <a:srgbClr val="2A2A2A"/>
              </a:solidFill>
              <a:latin typeface="Overpass" pitchFamily="2" charset="77"/>
              <a:ea typeface="+mn-ea"/>
              <a:cs typeface="Calibri"/>
            </a:rPr>
            <a:pPr marL="0" indent="0" algn="l"/>
            <a:t>Scissor Lift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59</xdr:col>
      <xdr:colOff>13955</xdr:colOff>
      <xdr:row>163</xdr:row>
      <xdr:rowOff>32942</xdr:rowOff>
    </xdr:from>
    <xdr:to>
      <xdr:col>76</xdr:col>
      <xdr:colOff>7356</xdr:colOff>
      <xdr:row>164</xdr:row>
      <xdr:rowOff>40234</xdr:rowOff>
    </xdr:to>
    <xdr:sp macro="" textlink="SOLAR!D85">
      <xdr:nvSpPr>
        <xdr:cNvPr id="60" name="TextBox 59">
          <a:extLst>
            <a:ext uri="{FF2B5EF4-FFF2-40B4-BE49-F238E27FC236}">
              <a16:creationId xmlns:a16="http://schemas.microsoft.com/office/drawing/2014/main" id="{7EAD7831-4AA9-4584-B9C0-F8FDE3285D59}"/>
            </a:ext>
          </a:extLst>
        </xdr:cNvPr>
        <xdr:cNvSpPr txBox="1"/>
      </xdr:nvSpPr>
      <xdr:spPr>
        <a:xfrm>
          <a:off x="11253455" y="31084442"/>
          <a:ext cx="3231901" cy="1977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9356F04-F7A5-49B5-A7A2-628AD20C58CF}" type="TxLink">
            <a:rPr lang="en-US" sz="1000" b="0" i="0" u="none" strike="noStrike">
              <a:solidFill>
                <a:srgbClr val="2A2A2A"/>
              </a:solidFill>
              <a:latin typeface="Overpass" panose="00000500000000000000" pitchFamily="2" charset="0"/>
              <a:ea typeface="Calibri"/>
              <a:cs typeface="Calibri"/>
            </a:rPr>
            <a:pPr marL="0" indent="0" algn="l"/>
            <a:t>Not Included</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59</xdr:col>
      <xdr:colOff>10503</xdr:colOff>
      <xdr:row>172</xdr:row>
      <xdr:rowOff>95670</xdr:rowOff>
    </xdr:from>
    <xdr:to>
      <xdr:col>76</xdr:col>
      <xdr:colOff>5546</xdr:colOff>
      <xdr:row>173</xdr:row>
      <xdr:rowOff>95670</xdr:rowOff>
    </xdr:to>
    <xdr:sp macro="" textlink="SOLAR!D96">
      <xdr:nvSpPr>
        <xdr:cNvPr id="61" name="TextBox 60">
          <a:extLst>
            <a:ext uri="{FF2B5EF4-FFF2-40B4-BE49-F238E27FC236}">
              <a16:creationId xmlns:a16="http://schemas.microsoft.com/office/drawing/2014/main" id="{2DE286B5-A0E9-40F3-B7A6-0E28020C3737}"/>
            </a:ext>
          </a:extLst>
        </xdr:cNvPr>
        <xdr:cNvSpPr txBox="1"/>
      </xdr:nvSpPr>
      <xdr:spPr>
        <a:xfrm>
          <a:off x="11250003" y="32861670"/>
          <a:ext cx="32335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2EE1CEC-A669-2F48-83D3-CF6AC751A8D0}"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10502</xdr:colOff>
      <xdr:row>171</xdr:row>
      <xdr:rowOff>96935</xdr:rowOff>
    </xdr:from>
    <xdr:to>
      <xdr:col>76</xdr:col>
      <xdr:colOff>5545</xdr:colOff>
      <xdr:row>172</xdr:row>
      <xdr:rowOff>96937</xdr:rowOff>
    </xdr:to>
    <xdr:sp macro="" textlink="SOLAR!D56">
      <xdr:nvSpPr>
        <xdr:cNvPr id="62" name="TextBox 61">
          <a:extLst>
            <a:ext uri="{FF2B5EF4-FFF2-40B4-BE49-F238E27FC236}">
              <a16:creationId xmlns:a16="http://schemas.microsoft.com/office/drawing/2014/main" id="{AAAC6D00-7785-4594-81E6-78BD44A3593B}"/>
            </a:ext>
          </a:extLst>
        </xdr:cNvPr>
        <xdr:cNvSpPr txBox="1"/>
      </xdr:nvSpPr>
      <xdr:spPr>
        <a:xfrm>
          <a:off x="11250002" y="32672435"/>
          <a:ext cx="3233543" cy="19050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E2AADF-5FFA-7F4A-8A7E-6E5D68AFE1F1}" type="TxLink">
            <a:rPr lang="en-US" sz="1000" b="0" i="0" u="none" strike="noStrike">
              <a:solidFill>
                <a:srgbClr val="2A2A2A"/>
              </a:solidFill>
              <a:latin typeface="Overpass" pitchFamily="2" charset="77"/>
              <a:ea typeface="+mn-ea"/>
              <a:cs typeface="Calibri"/>
            </a:rPr>
            <a:pPr marL="0" indent="0" algn="l"/>
            <a:t>May Require Upgrade (Excluded from quote)</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160</xdr:row>
      <xdr:rowOff>30479</xdr:rowOff>
    </xdr:from>
    <xdr:to>
      <xdr:col>36</xdr:col>
      <xdr:colOff>2426</xdr:colOff>
      <xdr:row>161</xdr:row>
      <xdr:rowOff>30480</xdr:rowOff>
    </xdr:to>
    <xdr:sp macro="" textlink="SOLAR!#REF!">
      <xdr:nvSpPr>
        <xdr:cNvPr id="63" name="TextBox 62">
          <a:extLst>
            <a:ext uri="{FF2B5EF4-FFF2-40B4-BE49-F238E27FC236}">
              <a16:creationId xmlns:a16="http://schemas.microsoft.com/office/drawing/2014/main" id="{AAED5E87-0A07-4F85-9D80-B2EDDFCB8844}"/>
            </a:ext>
          </a:extLst>
        </xdr:cNvPr>
        <xdr:cNvSpPr txBox="1"/>
      </xdr:nvSpPr>
      <xdr:spPr>
        <a:xfrm>
          <a:off x="3621910" y="30510479"/>
          <a:ext cx="3238516"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4192F71-0C63-2B4C-A4BA-727B7AE58DD6}" type="TxLink">
            <a:rPr lang="en-US" sz="1000" b="0" i="0" u="none" strike="noStrike">
              <a:solidFill>
                <a:srgbClr val="2A2A2A"/>
              </a:solidFill>
              <a:latin typeface="Overpass" pitchFamily="2" charset="77"/>
              <a:ea typeface="+mn-ea"/>
              <a:cs typeface="Calibri"/>
            </a:rPr>
            <a:pPr marL="0" indent="0" algn="l"/>
            <a:t>Not Required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161</xdr:row>
      <xdr:rowOff>30480</xdr:rowOff>
    </xdr:from>
    <xdr:to>
      <xdr:col>36</xdr:col>
      <xdr:colOff>2426</xdr:colOff>
      <xdr:row>162</xdr:row>
      <xdr:rowOff>30478</xdr:rowOff>
    </xdr:to>
    <xdr:sp macro="" textlink="SOLAR!D57">
      <xdr:nvSpPr>
        <xdr:cNvPr id="64" name="TextBox 63">
          <a:extLst>
            <a:ext uri="{FF2B5EF4-FFF2-40B4-BE49-F238E27FC236}">
              <a16:creationId xmlns:a16="http://schemas.microsoft.com/office/drawing/2014/main" id="{CCD4AA73-511C-4254-83DB-3D88A07686CA}"/>
            </a:ext>
          </a:extLst>
        </xdr:cNvPr>
        <xdr:cNvSpPr txBox="1"/>
      </xdr:nvSpPr>
      <xdr:spPr>
        <a:xfrm>
          <a:off x="3621910" y="30700980"/>
          <a:ext cx="3238516" cy="19049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BCB9255-3A45-4E4B-A190-EC7542F74A16}" type="TxLink">
            <a:rPr lang="en-US" sz="1000" b="0" i="0" u="none" strike="noStrike">
              <a:solidFill>
                <a:srgbClr val="2A2A2A"/>
              </a:solidFill>
              <a:latin typeface="Overpass" pitchFamily="2" charset="77"/>
              <a:ea typeface="+mn-ea"/>
              <a:cs typeface="Calibri"/>
            </a:rPr>
            <a:pPr marL="0" indent="0" algn="l"/>
            <a:t>New AC Solar Main Switch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196</xdr:row>
      <xdr:rowOff>65822</xdr:rowOff>
    </xdr:from>
    <xdr:to>
      <xdr:col>23</xdr:col>
      <xdr:colOff>0</xdr:colOff>
      <xdr:row>197</xdr:row>
      <xdr:rowOff>65821</xdr:rowOff>
    </xdr:to>
    <xdr:sp macro="" textlink="'Linking Cells'!B147">
      <xdr:nvSpPr>
        <xdr:cNvPr id="65" name="TextBox 64">
          <a:extLst>
            <a:ext uri="{FF2B5EF4-FFF2-40B4-BE49-F238E27FC236}">
              <a16:creationId xmlns:a16="http://schemas.microsoft.com/office/drawing/2014/main" id="{855AB9C1-A1DD-457E-B496-68F456DF2E84}"/>
            </a:ext>
          </a:extLst>
        </xdr:cNvPr>
        <xdr:cNvSpPr txBox="1"/>
      </xdr:nvSpPr>
      <xdr:spPr>
        <a:xfrm>
          <a:off x="3431057" y="37403822"/>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71C1BC-F9CE-4A75-B168-EAF3AC650DD1}" type="TxLink">
            <a:rPr lang="en-US" sz="1000" b="0" i="0" u="none" strike="noStrike">
              <a:solidFill>
                <a:srgbClr val="2A2A2A"/>
              </a:solidFill>
              <a:latin typeface="Overpass" pitchFamily="2" charset="77"/>
              <a:ea typeface="+mn-ea"/>
              <a:cs typeface="Calibri"/>
            </a:rPr>
            <a:pPr marL="0" indent="0" algn="l"/>
            <a:t>$17,936.91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200</xdr:row>
      <xdr:rowOff>117257</xdr:rowOff>
    </xdr:from>
    <xdr:to>
      <xdr:col>23</xdr:col>
      <xdr:colOff>0</xdr:colOff>
      <xdr:row>201</xdr:row>
      <xdr:rowOff>117257</xdr:rowOff>
    </xdr:to>
    <xdr:sp macro="" textlink="'Linking Cells'!B149">
      <xdr:nvSpPr>
        <xdr:cNvPr id="66" name="TextBox 65">
          <a:extLst>
            <a:ext uri="{FF2B5EF4-FFF2-40B4-BE49-F238E27FC236}">
              <a16:creationId xmlns:a16="http://schemas.microsoft.com/office/drawing/2014/main" id="{E8C759DF-5929-4749-97BD-74118113658A}"/>
            </a:ext>
          </a:extLst>
        </xdr:cNvPr>
        <xdr:cNvSpPr txBox="1"/>
      </xdr:nvSpPr>
      <xdr:spPr>
        <a:xfrm>
          <a:off x="3431057" y="38217257"/>
          <a:ext cx="9504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C5FEA06-36E1-46A5-ADB8-ED9B1911AA38}" type="TxLink">
            <a:rPr lang="en-US" sz="1000" b="0" i="0" u="none" strike="noStrike">
              <a:solidFill>
                <a:srgbClr val="2A2A2A"/>
              </a:solidFill>
              <a:latin typeface="Overpass" pitchFamily="2" charset="77"/>
              <a:ea typeface="+mn-ea"/>
              <a:cs typeface="Calibri"/>
            </a:rPr>
            <a:pPr marL="0" indent="0" algn="l"/>
            <a:t>$13,452.68</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2058</xdr:colOff>
      <xdr:row>198</xdr:row>
      <xdr:rowOff>69631</xdr:rowOff>
    </xdr:from>
    <xdr:to>
      <xdr:col>23</xdr:col>
      <xdr:colOff>623</xdr:colOff>
      <xdr:row>200</xdr:row>
      <xdr:rowOff>65625</xdr:rowOff>
    </xdr:to>
    <xdr:sp macro="" textlink="'Linking Cells'!B150">
      <xdr:nvSpPr>
        <xdr:cNvPr id="67" name="TextBox 66">
          <a:extLst>
            <a:ext uri="{FF2B5EF4-FFF2-40B4-BE49-F238E27FC236}">
              <a16:creationId xmlns:a16="http://schemas.microsoft.com/office/drawing/2014/main" id="{0F68EBE8-913E-4FED-85E6-B3FBB674BC5D}"/>
            </a:ext>
          </a:extLst>
        </xdr:cNvPr>
        <xdr:cNvSpPr txBox="1"/>
      </xdr:nvSpPr>
      <xdr:spPr>
        <a:xfrm>
          <a:off x="3431058" y="37788631"/>
          <a:ext cx="951065" cy="37699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6FF728B-1CE0-47DA-A66A-5C6367C4E9D7}" type="TxLink">
            <a:rPr lang="en-US" sz="1000" b="0" i="0" u="none" strike="noStrike">
              <a:solidFill>
                <a:srgbClr val="2A2A2A"/>
              </a:solidFill>
              <a:latin typeface="Overpass" pitchFamily="2" charset="77"/>
              <a:ea typeface="+mn-ea"/>
              <a:cs typeface="Calibri"/>
            </a:rPr>
            <a:pPr marL="0" indent="0" algn="l"/>
            <a:t>$8,968.46</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2058</xdr:colOff>
      <xdr:row>201</xdr:row>
      <xdr:rowOff>132226</xdr:rowOff>
    </xdr:from>
    <xdr:to>
      <xdr:col>23</xdr:col>
      <xdr:colOff>2338</xdr:colOff>
      <xdr:row>202</xdr:row>
      <xdr:rowOff>132496</xdr:rowOff>
    </xdr:to>
    <xdr:sp macro="" textlink="'Linking Cells'!B151">
      <xdr:nvSpPr>
        <xdr:cNvPr id="68" name="TextBox 67">
          <a:extLst>
            <a:ext uri="{FF2B5EF4-FFF2-40B4-BE49-F238E27FC236}">
              <a16:creationId xmlns:a16="http://schemas.microsoft.com/office/drawing/2014/main" id="{6EC92E34-8C7E-4A72-9DBE-D79D9C9CA162}"/>
            </a:ext>
          </a:extLst>
        </xdr:cNvPr>
        <xdr:cNvSpPr txBox="1"/>
      </xdr:nvSpPr>
      <xdr:spPr>
        <a:xfrm>
          <a:off x="3431058" y="38422726"/>
          <a:ext cx="952780" cy="19077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8B2E2BC-E2A8-4BB9-9D1F-D1B97B893DD0}" type="TxLink">
            <a:rPr lang="en-US" sz="1000" b="0" i="0" u="none" strike="noStrike">
              <a:solidFill>
                <a:srgbClr val="2A2A2A"/>
              </a:solidFill>
              <a:latin typeface="Overpass" pitchFamily="2" charset="77"/>
              <a:ea typeface="+mn-ea"/>
              <a:cs typeface="Calibri"/>
            </a:rPr>
            <a:pPr marL="0" indent="0" algn="l"/>
            <a:t>$33,631.71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92</xdr:row>
      <xdr:rowOff>6154</xdr:rowOff>
    </xdr:from>
    <xdr:to>
      <xdr:col>77</xdr:col>
      <xdr:colOff>0</xdr:colOff>
      <xdr:row>93</xdr:row>
      <xdr:rowOff>4646</xdr:rowOff>
    </xdr:to>
    <xdr:sp macro="" textlink="'Linking Cells'!C22">
      <xdr:nvSpPr>
        <xdr:cNvPr id="69" name="TextBox 163">
          <a:extLst>
            <a:ext uri="{FF2B5EF4-FFF2-40B4-BE49-F238E27FC236}">
              <a16:creationId xmlns:a16="http://schemas.microsoft.com/office/drawing/2014/main" id="{8EB1181E-1792-484E-99B3-DC018B898AB8}"/>
            </a:ext>
          </a:extLst>
        </xdr:cNvPr>
        <xdr:cNvSpPr txBox="1"/>
      </xdr:nvSpPr>
      <xdr:spPr>
        <a:xfrm>
          <a:off x="12574411" y="17532154"/>
          <a:ext cx="2094089" cy="1889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55B77E9-0027-9A4E-A6A2-99B306709D3F}" type="TxLink">
            <a:rPr lang="en-US" sz="1000" b="0" i="0" u="none" strike="noStrike">
              <a:solidFill>
                <a:srgbClr val="2A2A2A"/>
              </a:solidFill>
              <a:latin typeface="Overpass" pitchFamily="2" charset="77"/>
              <a:ea typeface="+mn-ea"/>
              <a:cs typeface="Calibri"/>
            </a:rPr>
            <a:pPr marL="0" indent="0" algn="l"/>
            <a:t>$98,653.01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91</xdr:row>
      <xdr:rowOff>4646</xdr:rowOff>
    </xdr:from>
    <xdr:to>
      <xdr:col>77</xdr:col>
      <xdr:colOff>0</xdr:colOff>
      <xdr:row>92</xdr:row>
      <xdr:rowOff>6154</xdr:rowOff>
    </xdr:to>
    <xdr:sp macro="" textlink="'Linking Cells'!C21">
      <xdr:nvSpPr>
        <xdr:cNvPr id="70" name="TextBox 164">
          <a:extLst>
            <a:ext uri="{FF2B5EF4-FFF2-40B4-BE49-F238E27FC236}">
              <a16:creationId xmlns:a16="http://schemas.microsoft.com/office/drawing/2014/main" id="{AEBB17D9-A2D1-4F80-9268-E6C573A04F14}"/>
            </a:ext>
          </a:extLst>
        </xdr:cNvPr>
        <xdr:cNvSpPr txBox="1"/>
      </xdr:nvSpPr>
      <xdr:spPr>
        <a:xfrm>
          <a:off x="12574411" y="17340146"/>
          <a:ext cx="2094089" cy="19200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B0F1C6-5460-3248-BE64-53C995919FB6}" type="TxLink">
            <a:rPr lang="en-US" sz="1000" b="0" i="0" u="none" strike="noStrike">
              <a:solidFill>
                <a:srgbClr val="2A2A2A"/>
              </a:solidFill>
              <a:latin typeface="Overpass" pitchFamily="2" charset="77"/>
              <a:ea typeface="+mn-ea"/>
              <a:cs typeface="Calibri"/>
            </a:rPr>
            <a:pPr marL="0" indent="0" algn="l"/>
            <a:t>$8,968.46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1411</xdr:colOff>
      <xdr:row>90</xdr:row>
      <xdr:rowOff>4647</xdr:rowOff>
    </xdr:from>
    <xdr:to>
      <xdr:col>77</xdr:col>
      <xdr:colOff>0</xdr:colOff>
      <xdr:row>91</xdr:row>
      <xdr:rowOff>10988</xdr:rowOff>
    </xdr:to>
    <xdr:sp macro="" textlink="'Linking Cells'!C20">
      <xdr:nvSpPr>
        <xdr:cNvPr id="71" name="TextBox 165">
          <a:extLst>
            <a:ext uri="{FF2B5EF4-FFF2-40B4-BE49-F238E27FC236}">
              <a16:creationId xmlns:a16="http://schemas.microsoft.com/office/drawing/2014/main" id="{640F8D0A-3955-4AA6-B4E6-7CAB785F840A}"/>
            </a:ext>
          </a:extLst>
        </xdr:cNvPr>
        <xdr:cNvSpPr txBox="1"/>
      </xdr:nvSpPr>
      <xdr:spPr>
        <a:xfrm>
          <a:off x="12574411" y="17149647"/>
          <a:ext cx="2094089" cy="19684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125BC4-35C0-ED4A-BBA5-59C92408257D}" type="TxLink">
            <a:rPr lang="en-US" sz="1000" b="0" i="0" u="none" strike="noStrike">
              <a:solidFill>
                <a:srgbClr val="2A2A2A"/>
              </a:solidFill>
              <a:latin typeface="Overpass" pitchFamily="2" charset="77"/>
              <a:ea typeface="+mn-ea"/>
              <a:cs typeface="Calibri"/>
            </a:rPr>
            <a:pPr marL="0" indent="0" algn="l"/>
            <a:t>$89,684.56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1405</xdr:colOff>
      <xdr:row>78</xdr:row>
      <xdr:rowOff>5119</xdr:rowOff>
    </xdr:from>
    <xdr:to>
      <xdr:col>77</xdr:col>
      <xdr:colOff>4579</xdr:colOff>
      <xdr:row>79</xdr:row>
      <xdr:rowOff>9101</xdr:rowOff>
    </xdr:to>
    <xdr:sp macro="" textlink="'Linking Cells'!C14">
      <xdr:nvSpPr>
        <xdr:cNvPr id="72" name="TextBox 167">
          <a:extLst>
            <a:ext uri="{FF2B5EF4-FFF2-40B4-BE49-F238E27FC236}">
              <a16:creationId xmlns:a16="http://schemas.microsoft.com/office/drawing/2014/main" id="{C5E9B9D0-93F8-4039-AB7F-C0B172E07860}"/>
            </a:ext>
          </a:extLst>
        </xdr:cNvPr>
        <xdr:cNvSpPr txBox="1"/>
      </xdr:nvSpPr>
      <xdr:spPr>
        <a:xfrm>
          <a:off x="12574405" y="14864119"/>
          <a:ext cx="2098674" cy="19448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223179-EE4D-3045-A720-BFCDCA281C43}" type="TxLink">
            <a:rPr lang="en-US" sz="1000" b="0" i="0" u="none" strike="noStrike">
              <a:solidFill>
                <a:srgbClr val="2A2A2A"/>
              </a:solidFill>
              <a:latin typeface="Overpass" pitchFamily="2" charset="77"/>
              <a:ea typeface="+mn-ea"/>
              <a:cs typeface="Calibri"/>
            </a:rPr>
            <a:pPr marL="0" indent="0" algn="l"/>
            <a:t>$2,570.52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2270</xdr:colOff>
      <xdr:row>77</xdr:row>
      <xdr:rowOff>5118</xdr:rowOff>
    </xdr:from>
    <xdr:to>
      <xdr:col>77</xdr:col>
      <xdr:colOff>2271</xdr:colOff>
      <xdr:row>78</xdr:row>
      <xdr:rowOff>6340</xdr:rowOff>
    </xdr:to>
    <xdr:sp macro="" textlink="'Linking Cells'!C13">
      <xdr:nvSpPr>
        <xdr:cNvPr id="73" name="TextBox 168">
          <a:extLst>
            <a:ext uri="{FF2B5EF4-FFF2-40B4-BE49-F238E27FC236}">
              <a16:creationId xmlns:a16="http://schemas.microsoft.com/office/drawing/2014/main" id="{5149ACA8-9993-4665-BC12-A22BEC3FF17B}"/>
            </a:ext>
          </a:extLst>
        </xdr:cNvPr>
        <xdr:cNvSpPr txBox="1"/>
      </xdr:nvSpPr>
      <xdr:spPr>
        <a:xfrm>
          <a:off x="12575270" y="14673618"/>
          <a:ext cx="2095501"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54E20DB-5ACA-2F41-996D-9FFAB9A9EE42}" type="TxLink">
            <a:rPr lang="en-US" sz="1000" b="0" i="0" u="none" strike="noStrike">
              <a:solidFill>
                <a:srgbClr val="2A2A2A"/>
              </a:solidFill>
              <a:latin typeface="Overpass" pitchFamily="2" charset="77"/>
              <a:ea typeface="+mn-ea"/>
              <a:cs typeface="Calibri"/>
            </a:rPr>
            <a:pPr marL="0" indent="0" algn="l"/>
            <a:t>$25,705.20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1405</xdr:colOff>
      <xdr:row>79</xdr:row>
      <xdr:rowOff>5119</xdr:rowOff>
    </xdr:from>
    <xdr:to>
      <xdr:col>77</xdr:col>
      <xdr:colOff>4579</xdr:colOff>
      <xdr:row>80</xdr:row>
      <xdr:rowOff>6340</xdr:rowOff>
    </xdr:to>
    <xdr:sp macro="" textlink="'Linking Cells'!C16">
      <xdr:nvSpPr>
        <xdr:cNvPr id="74" name="TextBox 169">
          <a:extLst>
            <a:ext uri="{FF2B5EF4-FFF2-40B4-BE49-F238E27FC236}">
              <a16:creationId xmlns:a16="http://schemas.microsoft.com/office/drawing/2014/main" id="{A562C85F-3953-4C7C-808B-437C82BF933D}"/>
            </a:ext>
          </a:extLst>
        </xdr:cNvPr>
        <xdr:cNvSpPr txBox="1"/>
      </xdr:nvSpPr>
      <xdr:spPr>
        <a:xfrm>
          <a:off x="12574405" y="15054619"/>
          <a:ext cx="2098674" cy="19172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036B141-4E47-134B-9C75-0FF3288DA6A6}" type="TxLink">
            <a:rPr lang="en-US" sz="1000" b="0" i="0" u="none" strike="noStrike">
              <a:solidFill>
                <a:srgbClr val="2A2A2A"/>
              </a:solidFill>
              <a:latin typeface="Overpass" pitchFamily="2" charset="77"/>
              <a:ea typeface="+mn-ea"/>
              <a:cs typeface="Calibri"/>
            </a:rPr>
            <a:pPr marL="0" indent="0" algn="l"/>
            <a:t>$28,275.72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186796</xdr:colOff>
      <xdr:row>81</xdr:row>
      <xdr:rowOff>72601</xdr:rowOff>
    </xdr:from>
    <xdr:to>
      <xdr:col>76</xdr:col>
      <xdr:colOff>186797</xdr:colOff>
      <xdr:row>82</xdr:row>
      <xdr:rowOff>60489</xdr:rowOff>
    </xdr:to>
    <xdr:sp macro="" textlink="'Linking Cells'!C15">
      <xdr:nvSpPr>
        <xdr:cNvPr id="75" name="TextBox 170">
          <a:extLst>
            <a:ext uri="{FF2B5EF4-FFF2-40B4-BE49-F238E27FC236}">
              <a16:creationId xmlns:a16="http://schemas.microsoft.com/office/drawing/2014/main" id="{67AEBF00-1A66-4C8E-8E7A-A6CE625A3F7A}"/>
            </a:ext>
          </a:extLst>
        </xdr:cNvPr>
        <xdr:cNvSpPr txBox="1"/>
      </xdr:nvSpPr>
      <xdr:spPr>
        <a:xfrm>
          <a:off x="12569296" y="15503101"/>
          <a:ext cx="2095501" cy="17838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E8A4F05-20C0-8E4E-8FB9-DD7AC2DF9275}" type="TxLink">
            <a:rPr lang="en-US" sz="1000" b="0" i="0" u="none" strike="noStrike">
              <a:solidFill>
                <a:srgbClr val="2A2A2A"/>
              </a:solidFill>
              <a:latin typeface="Overpass" pitchFamily="2" charset="77"/>
              <a:ea typeface="+mn-ea"/>
              <a:cs typeface="Calibri"/>
            </a:rPr>
            <a:pPr marL="0" indent="0" algn="l"/>
            <a:t>$37.2 per STC</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202</xdr:row>
      <xdr:rowOff>132978</xdr:rowOff>
    </xdr:from>
    <xdr:to>
      <xdr:col>23</xdr:col>
      <xdr:colOff>0</xdr:colOff>
      <xdr:row>203</xdr:row>
      <xdr:rowOff>131030</xdr:rowOff>
    </xdr:to>
    <xdr:sp macro="" textlink="'Linking Cells'!B152">
      <xdr:nvSpPr>
        <xdr:cNvPr id="76" name="TextBox 75">
          <a:extLst>
            <a:ext uri="{FF2B5EF4-FFF2-40B4-BE49-F238E27FC236}">
              <a16:creationId xmlns:a16="http://schemas.microsoft.com/office/drawing/2014/main" id="{A727454E-406B-4914-9E57-B1D47978A4FE}"/>
            </a:ext>
          </a:extLst>
        </xdr:cNvPr>
        <xdr:cNvSpPr txBox="1"/>
      </xdr:nvSpPr>
      <xdr:spPr>
        <a:xfrm>
          <a:off x="3431057" y="38613978"/>
          <a:ext cx="950443" cy="18855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061E52-1220-4637-AEF7-E4D6A515CA16}" type="TxLink">
            <a:rPr lang="en-US" sz="1000" b="0" i="0" u="none" strike="noStrike">
              <a:solidFill>
                <a:srgbClr val="2A2A2A"/>
              </a:solidFill>
              <a:latin typeface="Overpass" pitchFamily="2" charset="77"/>
              <a:ea typeface="+mn-ea"/>
              <a:cs typeface="Calibri"/>
            </a:rPr>
            <a:pPr marL="0" indent="0" algn="l"/>
            <a:t>$4,484.23</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6314</xdr:colOff>
      <xdr:row>203</xdr:row>
      <xdr:rowOff>131030</xdr:rowOff>
    </xdr:from>
    <xdr:to>
      <xdr:col>23</xdr:col>
      <xdr:colOff>1331</xdr:colOff>
      <xdr:row>204</xdr:row>
      <xdr:rowOff>131031</xdr:rowOff>
    </xdr:to>
    <xdr:sp macro="" textlink="'Linking Cells'!B153">
      <xdr:nvSpPr>
        <xdr:cNvPr id="77" name="TextBox 76">
          <a:extLst>
            <a:ext uri="{FF2B5EF4-FFF2-40B4-BE49-F238E27FC236}">
              <a16:creationId xmlns:a16="http://schemas.microsoft.com/office/drawing/2014/main" id="{691992F1-D9B7-4B7F-AE95-E8F2FA1BB64B}"/>
            </a:ext>
          </a:extLst>
        </xdr:cNvPr>
        <xdr:cNvSpPr txBox="1"/>
      </xdr:nvSpPr>
      <xdr:spPr>
        <a:xfrm>
          <a:off x="3435314" y="38802530"/>
          <a:ext cx="947517"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0FF69E-224D-4863-A86D-5976D2B863AE}" type="TxLink">
            <a:rPr lang="en-US" sz="1000" b="0" i="0" u="none" strike="noStrike">
              <a:solidFill>
                <a:srgbClr val="2A2A2A"/>
              </a:solidFill>
              <a:latin typeface="Overpass" pitchFamily="2" charset="77"/>
              <a:ea typeface="+mn-ea"/>
              <a:cs typeface="Calibri"/>
            </a:rPr>
            <a:pPr marL="0" indent="0" algn="l"/>
            <a:t>$2,242.11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187817</xdr:colOff>
      <xdr:row>165</xdr:row>
      <xdr:rowOff>190450</xdr:rowOff>
    </xdr:from>
    <xdr:to>
      <xdr:col>36</xdr:col>
      <xdr:colOff>1</xdr:colOff>
      <xdr:row>168</xdr:row>
      <xdr:rowOff>2634</xdr:rowOff>
    </xdr:to>
    <xdr:sp macro="" textlink="'[1]Linking Cells'!B32">
      <xdr:nvSpPr>
        <xdr:cNvPr id="78" name="TextBox 77">
          <a:extLst>
            <a:ext uri="{FF2B5EF4-FFF2-40B4-BE49-F238E27FC236}">
              <a16:creationId xmlns:a16="http://schemas.microsoft.com/office/drawing/2014/main" id="{86766ED3-68D2-4829-9D0C-F03C870349E1}"/>
            </a:ext>
          </a:extLst>
        </xdr:cNvPr>
        <xdr:cNvSpPr txBox="1"/>
      </xdr:nvSpPr>
      <xdr:spPr>
        <a:xfrm>
          <a:off x="1140317" y="31622950"/>
          <a:ext cx="5717684" cy="383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4CC6332-FFD8-4467-BBC3-0EC4B0EC0097}" type="TxLink">
            <a:rPr lang="en-US" sz="800" b="0" i="0" u="none" strike="noStrike">
              <a:solidFill>
                <a:srgbClr val="666666"/>
              </a:solidFill>
              <a:latin typeface="Overpass" panose="00000500000000000000" pitchFamily="2" charset="0"/>
              <a:ea typeface="+mn-ea"/>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59</xdr:col>
      <xdr:colOff>10502</xdr:colOff>
      <xdr:row>173</xdr:row>
      <xdr:rowOff>95669</xdr:rowOff>
    </xdr:from>
    <xdr:to>
      <xdr:col>76</xdr:col>
      <xdr:colOff>5545</xdr:colOff>
      <xdr:row>174</xdr:row>
      <xdr:rowOff>95669</xdr:rowOff>
    </xdr:to>
    <xdr:sp macro="" textlink="'Linking Cells'!B45">
      <xdr:nvSpPr>
        <xdr:cNvPr id="79" name="TextBox 78">
          <a:extLst>
            <a:ext uri="{FF2B5EF4-FFF2-40B4-BE49-F238E27FC236}">
              <a16:creationId xmlns:a16="http://schemas.microsoft.com/office/drawing/2014/main" id="{1DD71134-6186-4B89-9596-5B05C9CC08EF}"/>
            </a:ext>
          </a:extLst>
        </xdr:cNvPr>
        <xdr:cNvSpPr txBox="1"/>
      </xdr:nvSpPr>
      <xdr:spPr>
        <a:xfrm>
          <a:off x="11250002" y="33052169"/>
          <a:ext cx="32335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C673C4-A857-8749-944E-AF487D567FEA}" type="TxLink">
            <a:rPr lang="en-US" sz="1000" b="0" i="0" u="none" strike="noStrike">
              <a:solidFill>
                <a:srgbClr val="2A2A2A"/>
              </a:solidFill>
              <a:latin typeface="Overpass" pitchFamily="2" charset="77"/>
              <a:ea typeface="Calibri"/>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10502</xdr:colOff>
      <xdr:row>174</xdr:row>
      <xdr:rowOff>95669</xdr:rowOff>
    </xdr:from>
    <xdr:to>
      <xdr:col>76</xdr:col>
      <xdr:colOff>5545</xdr:colOff>
      <xdr:row>175</xdr:row>
      <xdr:rowOff>95669</xdr:rowOff>
    </xdr:to>
    <xdr:sp macro="" textlink="'Linking Cells'!C37">
      <xdr:nvSpPr>
        <xdr:cNvPr id="80" name="TextBox 79">
          <a:extLst>
            <a:ext uri="{FF2B5EF4-FFF2-40B4-BE49-F238E27FC236}">
              <a16:creationId xmlns:a16="http://schemas.microsoft.com/office/drawing/2014/main" id="{B53C207A-F96E-4AA0-8BAD-75370AE216DE}"/>
            </a:ext>
          </a:extLst>
        </xdr:cNvPr>
        <xdr:cNvSpPr txBox="1"/>
      </xdr:nvSpPr>
      <xdr:spPr>
        <a:xfrm>
          <a:off x="11250002" y="33242669"/>
          <a:ext cx="32335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D33D870-9CF2-F744-9B36-EC161CF4AE24}" type="TxLink">
            <a:rPr lang="en-US" sz="1000" b="0" i="0" u="none" strike="noStrike">
              <a:solidFill>
                <a:srgbClr val="2A2A2A"/>
              </a:solidFill>
              <a:latin typeface="Overpass" pitchFamily="2" charset="77"/>
              <a:ea typeface="+mn-ea"/>
              <a:cs typeface="Calibri"/>
            </a:rPr>
            <a:pPr marL="0" indent="0" algn="l"/>
            <a:t>Not Included</a:t>
          </a:fld>
          <a:endParaRPr lang="en-AU" sz="1000" b="0" i="0" u="none" strike="noStrike">
            <a:solidFill>
              <a:srgbClr val="2A2A2A"/>
            </a:solidFill>
            <a:latin typeface="Overpass" pitchFamily="2" charset="77"/>
            <a:ea typeface="+mn-ea"/>
            <a:cs typeface="Calibri"/>
          </a:endParaRPr>
        </a:p>
      </xdr:txBody>
    </xdr:sp>
    <xdr:clientData/>
  </xdr:twoCellAnchor>
  <xdr:oneCellAnchor>
    <xdr:from>
      <xdr:col>6</xdr:col>
      <xdr:colOff>2</xdr:colOff>
      <xdr:row>251</xdr:row>
      <xdr:rowOff>0</xdr:rowOff>
    </xdr:from>
    <xdr:ext cx="5678364" cy="946394"/>
    <xdr:sp macro="" textlink="">
      <xdr:nvSpPr>
        <xdr:cNvPr id="81" name="TextBox 80">
          <a:extLst>
            <a:ext uri="{FF2B5EF4-FFF2-40B4-BE49-F238E27FC236}">
              <a16:creationId xmlns:a16="http://schemas.microsoft.com/office/drawing/2014/main" id="{1593E9EA-2C8A-4E0E-9436-7C634817329A}"/>
            </a:ext>
          </a:extLst>
        </xdr:cNvPr>
        <xdr:cNvSpPr txBox="1"/>
      </xdr:nvSpPr>
      <xdr:spPr>
        <a:xfrm>
          <a:off x="1143002" y="47815500"/>
          <a:ext cx="5678364" cy="946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b="0">
              <a:solidFill>
                <a:srgbClr val="2A2A2A"/>
              </a:solidFill>
              <a:latin typeface="Overpass" pitchFamily="2" charset="77"/>
            </a:rPr>
            <a:t>The pricing and inclusions above are based on</a:t>
          </a:r>
          <a:r>
            <a:rPr lang="en-AU" sz="1000" b="0" baseline="0">
              <a:solidFill>
                <a:srgbClr val="2A2A2A"/>
              </a:solidFill>
              <a:latin typeface="Overpass" pitchFamily="2" charset="77"/>
            </a:rPr>
            <a:t> locations of key equipment including panels, inverters, PVDB and MSB. The relative locations of these items are used to determine costs based on the measurements outlined below. We do our best to make sure locations are suitable before we finalise pricing, but if there is a change needed, we'll be using the methods below to assess the change.</a:t>
          </a:r>
          <a:endParaRPr lang="en-AU" sz="1000" b="0">
            <a:solidFill>
              <a:srgbClr val="2A2A2A"/>
            </a:solidFill>
            <a:latin typeface="Overpass" pitchFamily="2" charset="77"/>
          </a:endParaRPr>
        </a:p>
      </xdr:txBody>
    </xdr:sp>
    <xdr:clientData/>
  </xdr:oneCellAnchor>
  <xdr:twoCellAnchor>
    <xdr:from>
      <xdr:col>5</xdr:col>
      <xdr:colOff>187816</xdr:colOff>
      <xdr:row>152</xdr:row>
      <xdr:rowOff>2634</xdr:rowOff>
    </xdr:from>
    <xdr:to>
      <xdr:col>19</xdr:col>
      <xdr:colOff>0</xdr:colOff>
      <xdr:row>153</xdr:row>
      <xdr:rowOff>2635</xdr:rowOff>
    </xdr:to>
    <xdr:sp macro="" textlink="'[1]Linking Cells'!C4">
      <xdr:nvSpPr>
        <xdr:cNvPr id="82" name="TextBox 81">
          <a:extLst>
            <a:ext uri="{FF2B5EF4-FFF2-40B4-BE49-F238E27FC236}">
              <a16:creationId xmlns:a16="http://schemas.microsoft.com/office/drawing/2014/main" id="{2220B80D-D5B0-43AB-82C2-1291A09B6CE7}"/>
            </a:ext>
          </a:extLst>
        </xdr:cNvPr>
        <xdr:cNvSpPr txBox="1"/>
      </xdr:nvSpPr>
      <xdr:spPr>
        <a:xfrm>
          <a:off x="1140316" y="28958634"/>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941018-53BC-4B1B-B3EF-DA9E40010E1C}" type="TxLink">
            <a:rPr lang="en-US" sz="800" b="0" i="0" u="none" strike="noStrike">
              <a:solidFill>
                <a:srgbClr val="666666"/>
              </a:solidFill>
              <a:latin typeface="Overpass" panose="00000500000000000000" pitchFamily="2" charset="0"/>
              <a:ea typeface="Calibri"/>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6</xdr:col>
      <xdr:colOff>0</xdr:colOff>
      <xdr:row>67</xdr:row>
      <xdr:rowOff>0</xdr:rowOff>
    </xdr:from>
    <xdr:to>
      <xdr:col>25</xdr:col>
      <xdr:colOff>189149</xdr:colOff>
      <xdr:row>69</xdr:row>
      <xdr:rowOff>6350</xdr:rowOff>
    </xdr:to>
    <xdr:sp macro="" textlink="">
      <xdr:nvSpPr>
        <xdr:cNvPr id="83" name="TextBox 15">
          <a:extLst>
            <a:ext uri="{FF2B5EF4-FFF2-40B4-BE49-F238E27FC236}">
              <a16:creationId xmlns:a16="http://schemas.microsoft.com/office/drawing/2014/main" id="{D048F085-A4DC-486C-8EB4-1CD1FC6869A2}"/>
            </a:ext>
          </a:extLst>
        </xdr:cNvPr>
        <xdr:cNvSpPr txBox="1"/>
      </xdr:nvSpPr>
      <xdr:spPr>
        <a:xfrm>
          <a:off x="1143000" y="12763500"/>
          <a:ext cx="3808649"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PROJECT DETAILS</a:t>
          </a:r>
        </a:p>
      </xdr:txBody>
    </xdr:sp>
    <xdr:clientData/>
  </xdr:twoCellAnchor>
  <xdr:twoCellAnchor>
    <xdr:from>
      <xdr:col>47</xdr:col>
      <xdr:colOff>0</xdr:colOff>
      <xdr:row>38</xdr:row>
      <xdr:rowOff>3190</xdr:rowOff>
    </xdr:from>
    <xdr:to>
      <xdr:col>63</xdr:col>
      <xdr:colOff>0</xdr:colOff>
      <xdr:row>45</xdr:row>
      <xdr:rowOff>3190</xdr:rowOff>
    </xdr:to>
    <xdr:sp macro="" textlink="">
      <xdr:nvSpPr>
        <xdr:cNvPr id="84" name="TextBox 83">
          <a:extLst>
            <a:ext uri="{FF2B5EF4-FFF2-40B4-BE49-F238E27FC236}">
              <a16:creationId xmlns:a16="http://schemas.microsoft.com/office/drawing/2014/main" id="{ED293764-706B-426A-A37B-0720C4E8D4F9}"/>
            </a:ext>
          </a:extLst>
        </xdr:cNvPr>
        <xdr:cNvSpPr txBox="1"/>
      </xdr:nvSpPr>
      <xdr:spPr>
        <a:xfrm>
          <a:off x="8953500" y="7242190"/>
          <a:ext cx="3048000" cy="1333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3000" b="0" i="0">
              <a:solidFill>
                <a:srgbClr val="28066C"/>
              </a:solidFill>
              <a:latin typeface="Barlow Light" pitchFamily="2" charset="77"/>
            </a:rPr>
            <a:t>SOLAR &amp;</a:t>
          </a:r>
          <a:r>
            <a:rPr lang="en-GB" sz="3000" b="0" i="0" baseline="0">
              <a:solidFill>
                <a:srgbClr val="28066C"/>
              </a:solidFill>
              <a:latin typeface="Barlow Light" pitchFamily="2" charset="77"/>
            </a:rPr>
            <a:t> BESS</a:t>
          </a:r>
          <a:r>
            <a:rPr lang="en-GB" sz="3000" b="0" i="0">
              <a:solidFill>
                <a:srgbClr val="28066C"/>
              </a:solidFill>
              <a:latin typeface="Barlow Light" pitchFamily="2" charset="77"/>
            </a:rPr>
            <a:t> </a:t>
          </a:r>
        </a:p>
        <a:p>
          <a:pPr algn="l"/>
          <a:r>
            <a:rPr lang="en-GB" sz="3000" b="0" i="0">
              <a:solidFill>
                <a:srgbClr val="28066C"/>
              </a:solidFill>
              <a:latin typeface="Barlow Light" pitchFamily="2" charset="77"/>
            </a:rPr>
            <a:t>AGREEMENT</a:t>
          </a:r>
        </a:p>
      </xdr:txBody>
    </xdr:sp>
    <xdr:clientData/>
  </xdr:twoCellAnchor>
  <xdr:twoCellAnchor>
    <xdr:from>
      <xdr:col>47</xdr:col>
      <xdr:colOff>0</xdr:colOff>
      <xdr:row>45</xdr:row>
      <xdr:rowOff>13350</xdr:rowOff>
    </xdr:from>
    <xdr:to>
      <xdr:col>63</xdr:col>
      <xdr:colOff>0</xdr:colOff>
      <xdr:row>45</xdr:row>
      <xdr:rowOff>13350</xdr:rowOff>
    </xdr:to>
    <xdr:cxnSp macro="">
      <xdr:nvCxnSpPr>
        <xdr:cNvPr id="85" name="Straight Connector 84">
          <a:extLst>
            <a:ext uri="{FF2B5EF4-FFF2-40B4-BE49-F238E27FC236}">
              <a16:creationId xmlns:a16="http://schemas.microsoft.com/office/drawing/2014/main" id="{33EA9301-95D3-402F-AB2D-45712B936D01}"/>
            </a:ext>
          </a:extLst>
        </xdr:cNvPr>
        <xdr:cNvCxnSpPr/>
      </xdr:nvCxnSpPr>
      <xdr:spPr>
        <a:xfrm>
          <a:off x="8953500" y="8585850"/>
          <a:ext cx="3048000" cy="0"/>
        </a:xfrm>
        <a:prstGeom prst="line">
          <a:avLst/>
        </a:prstGeom>
        <a:ln w="12700">
          <a:solidFill>
            <a:srgbClr val="28066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xdr:row>
      <xdr:rowOff>0</xdr:rowOff>
    </xdr:from>
    <xdr:to>
      <xdr:col>67</xdr:col>
      <xdr:colOff>0</xdr:colOff>
      <xdr:row>69</xdr:row>
      <xdr:rowOff>0</xdr:rowOff>
    </xdr:to>
    <xdr:sp macro="" textlink="">
      <xdr:nvSpPr>
        <xdr:cNvPr id="86" name="TextBox 213">
          <a:extLst>
            <a:ext uri="{FF2B5EF4-FFF2-40B4-BE49-F238E27FC236}">
              <a16:creationId xmlns:a16="http://schemas.microsoft.com/office/drawing/2014/main" id="{598B0172-9EC8-4B49-84A3-980E0D8EC162}"/>
            </a:ext>
          </a:extLst>
        </xdr:cNvPr>
        <xdr:cNvSpPr txBox="1"/>
      </xdr:nvSpPr>
      <xdr:spPr>
        <a:xfrm>
          <a:off x="8953500" y="12763500"/>
          <a:ext cx="3810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rgbClr val="28066C"/>
              </a:solidFill>
              <a:latin typeface="Barlow" pitchFamily="2" charset="77"/>
            </a:rPr>
            <a:t>ACCEPTANCE</a:t>
          </a:r>
        </a:p>
      </xdr:txBody>
    </xdr:sp>
    <xdr:clientData/>
  </xdr:twoCellAnchor>
  <xdr:twoCellAnchor>
    <xdr:from>
      <xdr:col>46</xdr:col>
      <xdr:colOff>189906</xdr:colOff>
      <xdr:row>72</xdr:row>
      <xdr:rowOff>0</xdr:rowOff>
    </xdr:from>
    <xdr:to>
      <xdr:col>56</xdr:col>
      <xdr:colOff>0</xdr:colOff>
      <xdr:row>73</xdr:row>
      <xdr:rowOff>0</xdr:rowOff>
    </xdr:to>
    <xdr:sp macro="" textlink="">
      <xdr:nvSpPr>
        <xdr:cNvPr id="87" name="TextBox 236">
          <a:extLst>
            <a:ext uri="{FF2B5EF4-FFF2-40B4-BE49-F238E27FC236}">
              <a16:creationId xmlns:a16="http://schemas.microsoft.com/office/drawing/2014/main" id="{57EBD40F-D51C-4085-89C1-C7A9CB1C7B63}"/>
            </a:ext>
          </a:extLst>
        </xdr:cNvPr>
        <xdr:cNvSpPr txBox="1"/>
      </xdr:nvSpPr>
      <xdr:spPr>
        <a:xfrm>
          <a:off x="8952906" y="13716000"/>
          <a:ext cx="171509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TOTAL SYSTEM VALUE</a:t>
          </a:r>
        </a:p>
      </xdr:txBody>
    </xdr:sp>
    <xdr:clientData/>
  </xdr:twoCellAnchor>
  <xdr:twoCellAnchor>
    <xdr:from>
      <xdr:col>47</xdr:col>
      <xdr:colOff>2271</xdr:colOff>
      <xdr:row>77</xdr:row>
      <xdr:rowOff>0</xdr:rowOff>
    </xdr:from>
    <xdr:to>
      <xdr:col>57</xdr:col>
      <xdr:colOff>2271</xdr:colOff>
      <xdr:row>78</xdr:row>
      <xdr:rowOff>1</xdr:rowOff>
    </xdr:to>
    <xdr:sp macro="" textlink="">
      <xdr:nvSpPr>
        <xdr:cNvPr id="88" name="TextBox 237">
          <a:extLst>
            <a:ext uri="{FF2B5EF4-FFF2-40B4-BE49-F238E27FC236}">
              <a16:creationId xmlns:a16="http://schemas.microsoft.com/office/drawing/2014/main" id="{1BD48E49-FE45-46F0-BB1D-7F7967C6101A}"/>
            </a:ext>
          </a:extLst>
        </xdr:cNvPr>
        <xdr:cNvSpPr txBox="1"/>
      </xdr:nvSpPr>
      <xdr:spPr>
        <a:xfrm>
          <a:off x="8955771" y="14668500"/>
          <a:ext cx="19050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RENEWABLE CERTIFICATES</a:t>
          </a:r>
        </a:p>
      </xdr:txBody>
    </xdr:sp>
    <xdr:clientData/>
  </xdr:twoCellAnchor>
  <xdr:twoCellAnchor>
    <xdr:from>
      <xdr:col>47</xdr:col>
      <xdr:colOff>2309</xdr:colOff>
      <xdr:row>91</xdr:row>
      <xdr:rowOff>6954</xdr:rowOff>
    </xdr:from>
    <xdr:to>
      <xdr:col>66</xdr:col>
      <xdr:colOff>2309</xdr:colOff>
      <xdr:row>92</xdr:row>
      <xdr:rowOff>6954</xdr:rowOff>
    </xdr:to>
    <xdr:sp macro="" textlink="">
      <xdr:nvSpPr>
        <xdr:cNvPr id="89" name="TextBox 240">
          <a:extLst>
            <a:ext uri="{FF2B5EF4-FFF2-40B4-BE49-F238E27FC236}">
              <a16:creationId xmlns:a16="http://schemas.microsoft.com/office/drawing/2014/main" id="{FC3C24A9-6C08-4D21-B879-AF3A4356FE8E}"/>
            </a:ext>
          </a:extLst>
        </xdr:cNvPr>
        <xdr:cNvSpPr txBox="1"/>
      </xdr:nvSpPr>
      <xdr:spPr>
        <a:xfrm>
          <a:off x="8955809" y="17342454"/>
          <a:ext cx="3619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YOUR OUT OF POCKET INVESTMENT</a:t>
          </a:r>
        </a:p>
      </xdr:txBody>
    </xdr:sp>
    <xdr:clientData/>
  </xdr:twoCellAnchor>
  <xdr:twoCellAnchor>
    <xdr:from>
      <xdr:col>46</xdr:col>
      <xdr:colOff>189906</xdr:colOff>
      <xdr:row>90</xdr:row>
      <xdr:rowOff>4646</xdr:rowOff>
    </xdr:from>
    <xdr:to>
      <xdr:col>57</xdr:col>
      <xdr:colOff>1</xdr:colOff>
      <xdr:row>91</xdr:row>
      <xdr:rowOff>10988</xdr:rowOff>
    </xdr:to>
    <xdr:sp macro="" textlink="">
      <xdr:nvSpPr>
        <xdr:cNvPr id="90" name="TextBox 422">
          <a:extLst>
            <a:ext uri="{FF2B5EF4-FFF2-40B4-BE49-F238E27FC236}">
              <a16:creationId xmlns:a16="http://schemas.microsoft.com/office/drawing/2014/main" id="{35FC7B7E-FE02-468C-BE49-87156C6DB584}"/>
            </a:ext>
          </a:extLst>
        </xdr:cNvPr>
        <xdr:cNvSpPr txBox="1"/>
      </xdr:nvSpPr>
      <xdr:spPr>
        <a:xfrm>
          <a:off x="8952906" y="17149646"/>
          <a:ext cx="1905595" cy="196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NET SYSTEM VALUE</a:t>
          </a:r>
        </a:p>
      </xdr:txBody>
    </xdr:sp>
    <xdr:clientData/>
  </xdr:twoCellAnchor>
  <xdr:twoCellAnchor>
    <xdr:from>
      <xdr:col>47</xdr:col>
      <xdr:colOff>1758</xdr:colOff>
      <xdr:row>97</xdr:row>
      <xdr:rowOff>188146</xdr:rowOff>
    </xdr:from>
    <xdr:to>
      <xdr:col>78</xdr:col>
      <xdr:colOff>3254</xdr:colOff>
      <xdr:row>118</xdr:row>
      <xdr:rowOff>188149</xdr:rowOff>
    </xdr:to>
    <xdr:grpSp>
      <xdr:nvGrpSpPr>
        <xdr:cNvPr id="91" name="Group 90">
          <a:extLst>
            <a:ext uri="{FF2B5EF4-FFF2-40B4-BE49-F238E27FC236}">
              <a16:creationId xmlns:a16="http://schemas.microsoft.com/office/drawing/2014/main" id="{58F6B5A2-A656-4B2D-A702-822689D2F75C}"/>
            </a:ext>
          </a:extLst>
        </xdr:cNvPr>
        <xdr:cNvGrpSpPr/>
      </xdr:nvGrpSpPr>
      <xdr:grpSpPr>
        <a:xfrm>
          <a:off x="8955258" y="18666646"/>
          <a:ext cx="5906996" cy="4000503"/>
          <a:chOff x="9069746" y="18917900"/>
          <a:chExt cx="5990628" cy="4053417"/>
        </a:xfrm>
      </xdr:grpSpPr>
      <xdr:sp macro="" textlink="">
        <xdr:nvSpPr>
          <xdr:cNvPr id="92" name="TextBox 146">
            <a:extLst>
              <a:ext uri="{FF2B5EF4-FFF2-40B4-BE49-F238E27FC236}">
                <a16:creationId xmlns:a16="http://schemas.microsoft.com/office/drawing/2014/main" id="{EBBF7AD2-226A-4B81-EC27-E88E7F013CAE}"/>
              </a:ext>
            </a:extLst>
          </xdr:cNvPr>
          <xdr:cNvSpPr txBox="1"/>
        </xdr:nvSpPr>
        <xdr:spPr>
          <a:xfrm>
            <a:off x="9076155" y="19497020"/>
            <a:ext cx="5772686" cy="19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i="0" u="none" strike="noStrike">
                <a:solidFill>
                  <a:srgbClr val="2A2A2A"/>
                </a:solidFill>
                <a:latin typeface="Overpass" panose="00000500000000000000" pitchFamily="2" charset="0"/>
                <a:ea typeface="+mn-ea"/>
                <a:cs typeface="Calibri"/>
              </a:rPr>
              <a:t>EXECUTED AS AN AGREEMENT</a:t>
            </a:r>
          </a:p>
        </xdr:txBody>
      </xdr:sp>
      <xdr:sp macro="" textlink="">
        <xdr:nvSpPr>
          <xdr:cNvPr id="93" name="TextBox 92">
            <a:hlinkClick xmlns:r="http://schemas.openxmlformats.org/officeDocument/2006/relationships" r:id="rId2"/>
            <a:extLst>
              <a:ext uri="{FF2B5EF4-FFF2-40B4-BE49-F238E27FC236}">
                <a16:creationId xmlns:a16="http://schemas.microsoft.com/office/drawing/2014/main" id="{108E68FC-A011-1B1E-9569-5AE61E5FCF63}"/>
              </a:ext>
            </a:extLst>
          </xdr:cNvPr>
          <xdr:cNvSpPr txBox="1"/>
        </xdr:nvSpPr>
        <xdr:spPr>
          <a:xfrm>
            <a:off x="9072881" y="22199178"/>
            <a:ext cx="5791200" cy="772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executing this quote</a:t>
            </a:r>
            <a:r>
              <a:rPr lang="en-US" sz="1000" b="0" i="1" u="none" strike="noStrike" baseline="0">
                <a:solidFill>
                  <a:srgbClr val="2A2A2A"/>
                </a:solidFill>
                <a:latin typeface="Overpass" panose="00000500000000000000" pitchFamily="2" charset="0"/>
                <a:ea typeface="+mn-ea"/>
                <a:cs typeface="Calibri"/>
              </a:rPr>
              <a:t> I acknowledge that I have read and understood the terms and conditions to which apply to this quote located at </a:t>
            </a:r>
            <a:r>
              <a:rPr lang="en-US" sz="1000" b="0" i="0" u="sng" strike="noStrike" baseline="0">
                <a:solidFill>
                  <a:srgbClr val="27056C"/>
                </a:solidFill>
                <a:latin typeface="Overpass" panose="00000500000000000000" pitchFamily="2" charset="0"/>
                <a:ea typeface="+mn-ea"/>
                <a:cs typeface="Calibri"/>
              </a:rPr>
              <a:t>www.smartcommercialenergy.com.au/terms-and-conditions</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sp macro="" textlink="">
        <xdr:nvSpPr>
          <xdr:cNvPr id="94" name="TextBox 177">
            <a:extLst>
              <a:ext uri="{FF2B5EF4-FFF2-40B4-BE49-F238E27FC236}">
                <a16:creationId xmlns:a16="http://schemas.microsoft.com/office/drawing/2014/main" id="{F766FD74-6D42-32B3-8BC4-756ED4AC53B0}"/>
              </a:ext>
            </a:extLst>
          </xdr:cNvPr>
          <xdr:cNvSpPr txBox="1"/>
        </xdr:nvSpPr>
        <xdr:spPr>
          <a:xfrm>
            <a:off x="9073200" y="19691826"/>
            <a:ext cx="5987174" cy="193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2A2A2A"/>
                </a:solidFill>
                <a:latin typeface="Overpass" panose="00000500000000000000" pitchFamily="2" charset="0"/>
                <a:ea typeface="+mn-ea"/>
                <a:cs typeface="Calibri"/>
              </a:rPr>
              <a:t>Signed for the </a:t>
            </a:r>
            <a:r>
              <a:rPr lang="en-US" sz="900" b="1" i="0" u="none" strike="noStrike">
                <a:solidFill>
                  <a:srgbClr val="2A2A2A"/>
                </a:solidFill>
                <a:latin typeface="Overpass" panose="00000500000000000000" pitchFamily="2" charset="0"/>
                <a:ea typeface="+mn-ea"/>
                <a:cs typeface="Calibri"/>
              </a:rPr>
              <a:t>Customer</a:t>
            </a:r>
            <a:r>
              <a:rPr lang="en-US" sz="900" b="0" i="0" u="none" strike="noStrike">
                <a:solidFill>
                  <a:srgbClr val="2A2A2A"/>
                </a:solidFill>
                <a:latin typeface="Overpass" panose="00000500000000000000" pitchFamily="2" charset="0"/>
                <a:ea typeface="+mn-ea"/>
                <a:cs typeface="Calibri"/>
              </a:rPr>
              <a:t> in accordance with section 126 of the </a:t>
            </a:r>
            <a:r>
              <a:rPr lang="en-US" sz="900" b="0" i="1" u="none" strike="noStrike">
                <a:solidFill>
                  <a:srgbClr val="2A2A2A"/>
                </a:solidFill>
                <a:latin typeface="Overpass" panose="00000500000000000000" pitchFamily="2" charset="0"/>
                <a:ea typeface="+mn-ea"/>
                <a:cs typeface="Calibri"/>
              </a:rPr>
              <a:t>Corporations Act 2001 </a:t>
            </a:r>
            <a:r>
              <a:rPr lang="en-US" sz="900" b="0" i="0" u="none" strike="noStrike">
                <a:solidFill>
                  <a:srgbClr val="2A2A2A"/>
                </a:solidFill>
                <a:latin typeface="Overpass" panose="00000500000000000000" pitchFamily="2" charset="0"/>
                <a:ea typeface="+mn-ea"/>
                <a:cs typeface="Calibri"/>
              </a:rPr>
              <a:t>(Cth) by: </a:t>
            </a:r>
          </a:p>
        </xdr:txBody>
      </xdr:sp>
      <xdr:sp macro="" textlink="">
        <xdr:nvSpPr>
          <xdr:cNvPr id="95" name="TextBox 423">
            <a:extLst>
              <a:ext uri="{FF2B5EF4-FFF2-40B4-BE49-F238E27FC236}">
                <a16:creationId xmlns:a16="http://schemas.microsoft.com/office/drawing/2014/main" id="{00103E2C-7247-2464-2FBE-055489372E81}"/>
              </a:ext>
            </a:extLst>
          </xdr:cNvPr>
          <xdr:cNvSpPr txBox="1"/>
        </xdr:nvSpPr>
        <xdr:spPr>
          <a:xfrm>
            <a:off x="9364158" y="18917900"/>
            <a:ext cx="1837550" cy="392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Execution</a:t>
            </a:r>
          </a:p>
        </xdr:txBody>
      </xdr:sp>
      <xdr:cxnSp macro="">
        <xdr:nvCxnSpPr>
          <xdr:cNvPr id="96" name="Straight Connector 424">
            <a:extLst>
              <a:ext uri="{FF2B5EF4-FFF2-40B4-BE49-F238E27FC236}">
                <a16:creationId xmlns:a16="http://schemas.microsoft.com/office/drawing/2014/main" id="{CDB224BA-6CA1-E3E6-9C70-25790B1A2290}"/>
              </a:ext>
            </a:extLst>
          </xdr:cNvPr>
          <xdr:cNvCxnSpPr/>
        </xdr:nvCxnSpPr>
        <xdr:spPr>
          <a:xfrm>
            <a:off x="9171114" y="18917900"/>
            <a:ext cx="0" cy="39242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nvGrpSpPr>
          <xdr:cNvPr id="97" name="Group 96">
            <a:extLst>
              <a:ext uri="{FF2B5EF4-FFF2-40B4-BE49-F238E27FC236}">
                <a16:creationId xmlns:a16="http://schemas.microsoft.com/office/drawing/2014/main" id="{1F1A8976-BCFC-7B0C-C9DC-39D48A33F445}"/>
              </a:ext>
            </a:extLst>
          </xdr:cNvPr>
          <xdr:cNvGrpSpPr/>
        </xdr:nvGrpSpPr>
        <xdr:grpSpPr>
          <a:xfrm>
            <a:off x="12354560" y="21620459"/>
            <a:ext cx="2509520" cy="207934"/>
            <a:chOff x="12354560" y="21620459"/>
            <a:chExt cx="2509520" cy="207934"/>
          </a:xfrm>
        </xdr:grpSpPr>
        <xdr:sp macro="" textlink="">
          <xdr:nvSpPr>
            <xdr:cNvPr id="107" name="TextBox 179">
              <a:extLst>
                <a:ext uri="{FF2B5EF4-FFF2-40B4-BE49-F238E27FC236}">
                  <a16:creationId xmlns:a16="http://schemas.microsoft.com/office/drawing/2014/main" id="{7CD6FA2E-A00D-0846-29F6-8F29966549EB}"/>
                </a:ext>
              </a:extLst>
            </xdr:cNvPr>
            <xdr:cNvSpPr txBox="1"/>
          </xdr:nvSpPr>
          <xdr:spPr>
            <a:xfrm>
              <a:off x="12354560" y="21636089"/>
              <a:ext cx="2509520"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Date</a:t>
              </a:r>
            </a:p>
          </xdr:txBody>
        </xdr:sp>
        <xdr:cxnSp macro="">
          <xdr:nvCxnSpPr>
            <xdr:cNvPr id="108" name="Straight Connector 14">
              <a:extLst>
                <a:ext uri="{FF2B5EF4-FFF2-40B4-BE49-F238E27FC236}">
                  <a16:creationId xmlns:a16="http://schemas.microsoft.com/office/drawing/2014/main" id="{29DBB260-8690-36E6-D2CA-72ABEAF7D8E5}"/>
                </a:ext>
              </a:extLst>
            </xdr:cNvPr>
            <xdr:cNvCxnSpPr/>
          </xdr:nvCxnSpPr>
          <xdr:spPr>
            <a:xfrm>
              <a:off x="12354560" y="21620459"/>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98" name="Group 97">
            <a:extLst>
              <a:ext uri="{FF2B5EF4-FFF2-40B4-BE49-F238E27FC236}">
                <a16:creationId xmlns:a16="http://schemas.microsoft.com/office/drawing/2014/main" id="{2346825B-B807-161F-B28C-8FE74C6528F2}"/>
              </a:ext>
            </a:extLst>
          </xdr:cNvPr>
          <xdr:cNvGrpSpPr/>
        </xdr:nvGrpSpPr>
        <xdr:grpSpPr>
          <a:xfrm>
            <a:off x="9069746" y="20656723"/>
            <a:ext cx="2512655" cy="205633"/>
            <a:chOff x="9069746" y="20656723"/>
            <a:chExt cx="2512655" cy="205633"/>
          </a:xfrm>
        </xdr:grpSpPr>
        <xdr:sp macro="" textlink="">
          <xdr:nvSpPr>
            <xdr:cNvPr id="105" name="TextBox 180">
              <a:extLst>
                <a:ext uri="{FF2B5EF4-FFF2-40B4-BE49-F238E27FC236}">
                  <a16:creationId xmlns:a16="http://schemas.microsoft.com/office/drawing/2014/main" id="{3185CEA8-D5AB-C46D-DC63-71FDE9DDC384}"/>
                </a:ext>
              </a:extLst>
            </xdr:cNvPr>
            <xdr:cNvSpPr txBox="1"/>
          </xdr:nvSpPr>
          <xdr:spPr>
            <a:xfrm>
              <a:off x="9072881" y="20659835"/>
              <a:ext cx="2509520" cy="202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Signature of Authorised Representative</a:t>
              </a:r>
            </a:p>
          </xdr:txBody>
        </xdr:sp>
        <xdr:cxnSp macro="">
          <xdr:nvCxnSpPr>
            <xdr:cNvPr id="106" name="Straight Connector 16">
              <a:extLst>
                <a:ext uri="{FF2B5EF4-FFF2-40B4-BE49-F238E27FC236}">
                  <a16:creationId xmlns:a16="http://schemas.microsoft.com/office/drawing/2014/main" id="{4E6BE0EC-0382-4A64-96EA-820EB2AFA3F3}"/>
                </a:ext>
              </a:extLst>
            </xdr:cNvPr>
            <xdr:cNvCxnSpPr/>
          </xdr:nvCxnSpPr>
          <xdr:spPr>
            <a:xfrm>
              <a:off x="9069746" y="20656723"/>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99" name="Group 98">
            <a:extLst>
              <a:ext uri="{FF2B5EF4-FFF2-40B4-BE49-F238E27FC236}">
                <a16:creationId xmlns:a16="http://schemas.microsoft.com/office/drawing/2014/main" id="{B1F1196B-5F20-8F9E-849E-71BBCCE807F7}"/>
              </a:ext>
            </a:extLst>
          </xdr:cNvPr>
          <xdr:cNvGrpSpPr/>
        </xdr:nvGrpSpPr>
        <xdr:grpSpPr>
          <a:xfrm>
            <a:off x="9069746" y="21623465"/>
            <a:ext cx="2715032" cy="204928"/>
            <a:chOff x="9069746" y="21623465"/>
            <a:chExt cx="2715032" cy="204928"/>
          </a:xfrm>
        </xdr:grpSpPr>
        <xdr:sp macro="" textlink="">
          <xdr:nvSpPr>
            <xdr:cNvPr id="103" name="TextBox 181">
              <a:extLst>
                <a:ext uri="{FF2B5EF4-FFF2-40B4-BE49-F238E27FC236}">
                  <a16:creationId xmlns:a16="http://schemas.microsoft.com/office/drawing/2014/main" id="{587280F0-B2D8-18FA-F001-955AD5FB67CA}"/>
                </a:ext>
              </a:extLst>
            </xdr:cNvPr>
            <xdr:cNvSpPr txBox="1"/>
          </xdr:nvSpPr>
          <xdr:spPr>
            <a:xfrm>
              <a:off x="9073615" y="21636089"/>
              <a:ext cx="2711163"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Name of Authorised Representative (Print)</a:t>
              </a:r>
            </a:p>
          </xdr:txBody>
        </xdr:sp>
        <xdr:cxnSp macro="">
          <xdr:nvCxnSpPr>
            <xdr:cNvPr id="104" name="Straight Connector 4">
              <a:extLst>
                <a:ext uri="{FF2B5EF4-FFF2-40B4-BE49-F238E27FC236}">
                  <a16:creationId xmlns:a16="http://schemas.microsoft.com/office/drawing/2014/main" id="{F06B1221-9B89-07BE-F3C5-C4CD92C98E14}"/>
                </a:ext>
              </a:extLst>
            </xdr:cNvPr>
            <xdr:cNvCxnSpPr/>
          </xdr:nvCxnSpPr>
          <xdr:spPr>
            <a:xfrm>
              <a:off x="9069746" y="21623465"/>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100" name="Group 99">
            <a:extLst>
              <a:ext uri="{FF2B5EF4-FFF2-40B4-BE49-F238E27FC236}">
                <a16:creationId xmlns:a16="http://schemas.microsoft.com/office/drawing/2014/main" id="{2F808853-AEA3-F892-62CB-E4FA202848BA}"/>
              </a:ext>
            </a:extLst>
          </xdr:cNvPr>
          <xdr:cNvGrpSpPr/>
        </xdr:nvGrpSpPr>
        <xdr:grpSpPr>
          <a:xfrm>
            <a:off x="12354560" y="20659835"/>
            <a:ext cx="2509520" cy="195163"/>
            <a:chOff x="12354560" y="20659835"/>
            <a:chExt cx="2509520" cy="195163"/>
          </a:xfrm>
        </xdr:grpSpPr>
        <xdr:sp macro="" textlink="">
          <xdr:nvSpPr>
            <xdr:cNvPr id="101" name="TextBox 178">
              <a:extLst>
                <a:ext uri="{FF2B5EF4-FFF2-40B4-BE49-F238E27FC236}">
                  <a16:creationId xmlns:a16="http://schemas.microsoft.com/office/drawing/2014/main" id="{075F7ED4-C63E-522B-840C-3D415526B366}"/>
                </a:ext>
              </a:extLst>
            </xdr:cNvPr>
            <xdr:cNvSpPr txBox="1"/>
          </xdr:nvSpPr>
          <xdr:spPr>
            <a:xfrm>
              <a:off x="12354560" y="20659835"/>
              <a:ext cx="2509520" cy="195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Position</a:t>
              </a:r>
            </a:p>
          </xdr:txBody>
        </xdr:sp>
        <xdr:cxnSp macro="">
          <xdr:nvCxnSpPr>
            <xdr:cNvPr id="102" name="Straight Connector 26">
              <a:extLst>
                <a:ext uri="{FF2B5EF4-FFF2-40B4-BE49-F238E27FC236}">
                  <a16:creationId xmlns:a16="http://schemas.microsoft.com/office/drawing/2014/main" id="{90C2356F-542A-9ADC-F8E0-9CB29ECD003B}"/>
                </a:ext>
              </a:extLst>
            </xdr:cNvPr>
            <xdr:cNvCxnSpPr/>
          </xdr:nvCxnSpPr>
          <xdr:spPr>
            <a:xfrm>
              <a:off x="12354560" y="20660228"/>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46</xdr:col>
      <xdr:colOff>189906</xdr:colOff>
      <xdr:row>76</xdr:row>
      <xdr:rowOff>0</xdr:rowOff>
    </xdr:from>
    <xdr:to>
      <xdr:col>77</xdr:col>
      <xdr:colOff>0</xdr:colOff>
      <xdr:row>76</xdr:row>
      <xdr:rowOff>6341</xdr:rowOff>
    </xdr:to>
    <xdr:cxnSp macro="">
      <xdr:nvCxnSpPr>
        <xdr:cNvPr id="109" name="Straight Connector 16">
          <a:extLst>
            <a:ext uri="{FF2B5EF4-FFF2-40B4-BE49-F238E27FC236}">
              <a16:creationId xmlns:a16="http://schemas.microsoft.com/office/drawing/2014/main" id="{AAEE2EB4-C23F-43D7-841A-3CDAA99C30CD}"/>
            </a:ext>
          </a:extLst>
        </xdr:cNvPr>
        <xdr:cNvCxnSpPr/>
      </xdr:nvCxnSpPr>
      <xdr:spPr>
        <a:xfrm>
          <a:off x="8952906" y="14478000"/>
          <a:ext cx="5715594" cy="6341"/>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89</xdr:row>
      <xdr:rowOff>4646</xdr:rowOff>
    </xdr:from>
    <xdr:to>
      <xdr:col>77</xdr:col>
      <xdr:colOff>0</xdr:colOff>
      <xdr:row>89</xdr:row>
      <xdr:rowOff>4646</xdr:rowOff>
    </xdr:to>
    <xdr:cxnSp macro="">
      <xdr:nvCxnSpPr>
        <xdr:cNvPr id="110" name="Straight Connector 16">
          <a:extLst>
            <a:ext uri="{FF2B5EF4-FFF2-40B4-BE49-F238E27FC236}">
              <a16:creationId xmlns:a16="http://schemas.microsoft.com/office/drawing/2014/main" id="{2AC18DD3-7D4A-431C-887F-C86861B2D385}"/>
            </a:ext>
          </a:extLst>
        </xdr:cNvPr>
        <xdr:cNvCxnSpPr/>
      </xdr:nvCxnSpPr>
      <xdr:spPr>
        <a:xfrm>
          <a:off x="8952906" y="1695914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97</xdr:row>
      <xdr:rowOff>11639</xdr:rowOff>
    </xdr:from>
    <xdr:to>
      <xdr:col>77</xdr:col>
      <xdr:colOff>0</xdr:colOff>
      <xdr:row>97</xdr:row>
      <xdr:rowOff>11639</xdr:rowOff>
    </xdr:to>
    <xdr:cxnSp macro="">
      <xdr:nvCxnSpPr>
        <xdr:cNvPr id="111" name="Straight Connector 16">
          <a:extLst>
            <a:ext uri="{FF2B5EF4-FFF2-40B4-BE49-F238E27FC236}">
              <a16:creationId xmlns:a16="http://schemas.microsoft.com/office/drawing/2014/main" id="{3C65530E-B551-4CDC-8C15-04FC7ACFA1AC}"/>
            </a:ext>
          </a:extLst>
        </xdr:cNvPr>
        <xdr:cNvCxnSpPr/>
      </xdr:nvCxnSpPr>
      <xdr:spPr>
        <a:xfrm>
          <a:off x="8952906" y="18490139"/>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94</xdr:row>
      <xdr:rowOff>4646</xdr:rowOff>
    </xdr:from>
    <xdr:to>
      <xdr:col>77</xdr:col>
      <xdr:colOff>0</xdr:colOff>
      <xdr:row>94</xdr:row>
      <xdr:rowOff>10986</xdr:rowOff>
    </xdr:to>
    <xdr:cxnSp macro="">
      <xdr:nvCxnSpPr>
        <xdr:cNvPr id="112" name="Straight Connector 16">
          <a:extLst>
            <a:ext uri="{FF2B5EF4-FFF2-40B4-BE49-F238E27FC236}">
              <a16:creationId xmlns:a16="http://schemas.microsoft.com/office/drawing/2014/main" id="{D3CC962F-DF83-48B2-B44B-CC75589D68E6}"/>
            </a:ext>
          </a:extLst>
        </xdr:cNvPr>
        <xdr:cNvCxnSpPr/>
      </xdr:nvCxnSpPr>
      <xdr:spPr>
        <a:xfrm>
          <a:off x="8952906" y="17911646"/>
          <a:ext cx="5715594" cy="634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70</xdr:row>
      <xdr:rowOff>189906</xdr:rowOff>
    </xdr:from>
    <xdr:to>
      <xdr:col>77</xdr:col>
      <xdr:colOff>0</xdr:colOff>
      <xdr:row>70</xdr:row>
      <xdr:rowOff>189906</xdr:rowOff>
    </xdr:to>
    <xdr:cxnSp macro="">
      <xdr:nvCxnSpPr>
        <xdr:cNvPr id="113" name="Straight Connector 16">
          <a:extLst>
            <a:ext uri="{FF2B5EF4-FFF2-40B4-BE49-F238E27FC236}">
              <a16:creationId xmlns:a16="http://schemas.microsoft.com/office/drawing/2014/main" id="{A0C7A537-E9C4-4062-A931-E959DBC456C2}"/>
            </a:ext>
          </a:extLst>
        </xdr:cNvPr>
        <xdr:cNvCxnSpPr/>
      </xdr:nvCxnSpPr>
      <xdr:spPr>
        <a:xfrm>
          <a:off x="8952906" y="1352490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126</xdr:row>
      <xdr:rowOff>187816</xdr:rowOff>
    </xdr:from>
    <xdr:to>
      <xdr:col>31</xdr:col>
      <xdr:colOff>0</xdr:colOff>
      <xdr:row>129</xdr:row>
      <xdr:rowOff>6350</xdr:rowOff>
    </xdr:to>
    <xdr:sp macro="" textlink="">
      <xdr:nvSpPr>
        <xdr:cNvPr id="114" name="TextBox 15">
          <a:extLst>
            <a:ext uri="{FF2B5EF4-FFF2-40B4-BE49-F238E27FC236}">
              <a16:creationId xmlns:a16="http://schemas.microsoft.com/office/drawing/2014/main" id="{91EEB25D-00B5-46EC-9C19-D71C627EF0D0}"/>
            </a:ext>
          </a:extLst>
        </xdr:cNvPr>
        <xdr:cNvSpPr txBox="1"/>
      </xdr:nvSpPr>
      <xdr:spPr>
        <a:xfrm>
          <a:off x="1140316" y="24190816"/>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6</xdr:col>
      <xdr:colOff>1</xdr:colOff>
      <xdr:row>126</xdr:row>
      <xdr:rowOff>0</xdr:rowOff>
    </xdr:from>
    <xdr:to>
      <xdr:col>31</xdr:col>
      <xdr:colOff>17888</xdr:colOff>
      <xdr:row>126</xdr:row>
      <xdr:rowOff>187816</xdr:rowOff>
    </xdr:to>
    <xdr:sp macro="" textlink="">
      <xdr:nvSpPr>
        <xdr:cNvPr id="115" name="TextBox 15">
          <a:extLst>
            <a:ext uri="{FF2B5EF4-FFF2-40B4-BE49-F238E27FC236}">
              <a16:creationId xmlns:a16="http://schemas.microsoft.com/office/drawing/2014/main" id="{DA25BB39-0601-4190-AA7F-379B6216E0B6}"/>
            </a:ext>
          </a:extLst>
        </xdr:cNvPr>
        <xdr:cNvSpPr txBox="1"/>
      </xdr:nvSpPr>
      <xdr:spPr>
        <a:xfrm>
          <a:off x="1143001" y="24003000"/>
          <a:ext cx="478038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1/2</a:t>
          </a:r>
        </a:p>
      </xdr:txBody>
    </xdr:sp>
    <xdr:clientData/>
  </xdr:twoCellAnchor>
  <xdr:twoCellAnchor>
    <xdr:from>
      <xdr:col>7</xdr:col>
      <xdr:colOff>91370</xdr:colOff>
      <xdr:row>131</xdr:row>
      <xdr:rowOff>0</xdr:rowOff>
    </xdr:from>
    <xdr:to>
      <xdr:col>16</xdr:col>
      <xdr:colOff>181051</xdr:colOff>
      <xdr:row>133</xdr:row>
      <xdr:rowOff>0</xdr:rowOff>
    </xdr:to>
    <xdr:sp macro="" textlink="">
      <xdr:nvSpPr>
        <xdr:cNvPr id="116" name="TextBox 115">
          <a:extLst>
            <a:ext uri="{FF2B5EF4-FFF2-40B4-BE49-F238E27FC236}">
              <a16:creationId xmlns:a16="http://schemas.microsoft.com/office/drawing/2014/main" id="{8C6C99F3-E4AA-441D-A397-FE9CD5BFED47}"/>
            </a:ext>
          </a:extLst>
        </xdr:cNvPr>
        <xdr:cNvSpPr txBox="1"/>
      </xdr:nvSpPr>
      <xdr:spPr>
        <a:xfrm>
          <a:off x="1424870" y="24955500"/>
          <a:ext cx="180418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Preliminaries</a:t>
          </a:r>
        </a:p>
      </xdr:txBody>
    </xdr:sp>
    <xdr:clientData/>
  </xdr:twoCellAnchor>
  <xdr:twoCellAnchor>
    <xdr:from>
      <xdr:col>6</xdr:col>
      <xdr:colOff>87312</xdr:colOff>
      <xdr:row>131</xdr:row>
      <xdr:rowOff>0</xdr:rowOff>
    </xdr:from>
    <xdr:to>
      <xdr:col>6</xdr:col>
      <xdr:colOff>87312</xdr:colOff>
      <xdr:row>133</xdr:row>
      <xdr:rowOff>0</xdr:rowOff>
    </xdr:to>
    <xdr:cxnSp macro="">
      <xdr:nvCxnSpPr>
        <xdr:cNvPr id="117" name="Straight Connector 116">
          <a:extLst>
            <a:ext uri="{FF2B5EF4-FFF2-40B4-BE49-F238E27FC236}">
              <a16:creationId xmlns:a16="http://schemas.microsoft.com/office/drawing/2014/main" id="{36DF1221-D080-4F53-94FC-B88C7920222D}"/>
            </a:ext>
          </a:extLst>
        </xdr:cNvPr>
        <xdr:cNvCxnSpPr/>
      </xdr:nvCxnSpPr>
      <xdr:spPr>
        <a:xfrm>
          <a:off x="1230312"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134</xdr:row>
      <xdr:rowOff>2635</xdr:rowOff>
    </xdr:from>
    <xdr:to>
      <xdr:col>19</xdr:col>
      <xdr:colOff>0</xdr:colOff>
      <xdr:row>135</xdr:row>
      <xdr:rowOff>2635</xdr:rowOff>
    </xdr:to>
    <xdr:sp macro="" textlink="">
      <xdr:nvSpPr>
        <xdr:cNvPr id="118" name="TextBox 117">
          <a:extLst>
            <a:ext uri="{FF2B5EF4-FFF2-40B4-BE49-F238E27FC236}">
              <a16:creationId xmlns:a16="http://schemas.microsoft.com/office/drawing/2014/main" id="{A4B9D8B1-5556-44E5-B66E-7ECD06F7726C}"/>
            </a:ext>
          </a:extLst>
        </xdr:cNvPr>
        <xdr:cNvSpPr txBox="1"/>
      </xdr:nvSpPr>
      <xdr:spPr>
        <a:xfrm>
          <a:off x="1140316" y="255296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CONNECT APPLICATIONS</a:t>
          </a:r>
        </a:p>
      </xdr:txBody>
    </xdr:sp>
    <xdr:clientData/>
  </xdr:twoCellAnchor>
  <xdr:twoCellAnchor>
    <xdr:from>
      <xdr:col>5</xdr:col>
      <xdr:colOff>187816</xdr:colOff>
      <xdr:row>135</xdr:row>
      <xdr:rowOff>2635</xdr:rowOff>
    </xdr:from>
    <xdr:to>
      <xdr:col>19</xdr:col>
      <xdr:colOff>0</xdr:colOff>
      <xdr:row>136</xdr:row>
      <xdr:rowOff>2634</xdr:rowOff>
    </xdr:to>
    <xdr:sp macro="" textlink="">
      <xdr:nvSpPr>
        <xdr:cNvPr id="119" name="TextBox 118">
          <a:extLst>
            <a:ext uri="{FF2B5EF4-FFF2-40B4-BE49-F238E27FC236}">
              <a16:creationId xmlns:a16="http://schemas.microsoft.com/office/drawing/2014/main" id="{20D92C67-9AF1-4647-9277-9F17149EB78C}"/>
            </a:ext>
          </a:extLst>
        </xdr:cNvPr>
        <xdr:cNvSpPr txBox="1"/>
      </xdr:nvSpPr>
      <xdr:spPr>
        <a:xfrm>
          <a:off x="1140316" y="25720135"/>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COUNCIL PERMISSION</a:t>
          </a:r>
        </a:p>
      </xdr:txBody>
    </xdr:sp>
    <xdr:clientData/>
  </xdr:twoCellAnchor>
  <xdr:twoCellAnchor>
    <xdr:from>
      <xdr:col>5</xdr:col>
      <xdr:colOff>187816</xdr:colOff>
      <xdr:row>135</xdr:row>
      <xdr:rowOff>190451</xdr:rowOff>
    </xdr:from>
    <xdr:to>
      <xdr:col>19</xdr:col>
      <xdr:colOff>0</xdr:colOff>
      <xdr:row>136</xdr:row>
      <xdr:rowOff>190450</xdr:rowOff>
    </xdr:to>
    <xdr:sp macro="" textlink="">
      <xdr:nvSpPr>
        <xdr:cNvPr id="120" name="TextBox 119">
          <a:extLst>
            <a:ext uri="{FF2B5EF4-FFF2-40B4-BE49-F238E27FC236}">
              <a16:creationId xmlns:a16="http://schemas.microsoft.com/office/drawing/2014/main" id="{D0A51C2B-C9DE-4469-B952-A2EF0FC37598}"/>
            </a:ext>
          </a:extLst>
        </xdr:cNvPr>
        <xdr:cNvSpPr txBox="1"/>
      </xdr:nvSpPr>
      <xdr:spPr>
        <a:xfrm>
          <a:off x="1140316" y="25907951"/>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STRUCTURAL ENGINEERING</a:t>
          </a:r>
        </a:p>
      </xdr:txBody>
    </xdr:sp>
    <xdr:clientData/>
  </xdr:twoCellAnchor>
  <xdr:twoCellAnchor>
    <xdr:from>
      <xdr:col>7</xdr:col>
      <xdr:colOff>91370</xdr:colOff>
      <xdr:row>141</xdr:row>
      <xdr:rowOff>7519</xdr:rowOff>
    </xdr:from>
    <xdr:to>
      <xdr:col>17</xdr:col>
      <xdr:colOff>0</xdr:colOff>
      <xdr:row>143</xdr:row>
      <xdr:rowOff>7519</xdr:rowOff>
    </xdr:to>
    <xdr:sp macro="" textlink="">
      <xdr:nvSpPr>
        <xdr:cNvPr id="121" name="TextBox 120">
          <a:extLst>
            <a:ext uri="{FF2B5EF4-FFF2-40B4-BE49-F238E27FC236}">
              <a16:creationId xmlns:a16="http://schemas.microsoft.com/office/drawing/2014/main" id="{5925A317-BA27-4EFE-BE8C-312E24F93512}"/>
            </a:ext>
          </a:extLst>
        </xdr:cNvPr>
        <xdr:cNvSpPr txBox="1"/>
      </xdr:nvSpPr>
      <xdr:spPr>
        <a:xfrm>
          <a:off x="1424870" y="26868019"/>
          <a:ext cx="181363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Components</a:t>
          </a:r>
        </a:p>
      </xdr:txBody>
    </xdr:sp>
    <xdr:clientData/>
  </xdr:twoCellAnchor>
  <xdr:twoCellAnchor>
    <xdr:from>
      <xdr:col>6</xdr:col>
      <xdr:colOff>87312</xdr:colOff>
      <xdr:row>141</xdr:row>
      <xdr:rowOff>7519</xdr:rowOff>
    </xdr:from>
    <xdr:to>
      <xdr:col>6</xdr:col>
      <xdr:colOff>87312</xdr:colOff>
      <xdr:row>143</xdr:row>
      <xdr:rowOff>7519</xdr:rowOff>
    </xdr:to>
    <xdr:cxnSp macro="">
      <xdr:nvCxnSpPr>
        <xdr:cNvPr id="122" name="Straight Connector 121">
          <a:extLst>
            <a:ext uri="{FF2B5EF4-FFF2-40B4-BE49-F238E27FC236}">
              <a16:creationId xmlns:a16="http://schemas.microsoft.com/office/drawing/2014/main" id="{B16B7ADA-2664-4BC3-8EBC-18E57D87AF1C}"/>
            </a:ext>
          </a:extLst>
        </xdr:cNvPr>
        <xdr:cNvCxnSpPr/>
      </xdr:nvCxnSpPr>
      <xdr:spPr>
        <a:xfrm>
          <a:off x="1230312" y="26868019"/>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144</xdr:row>
      <xdr:rowOff>7518</xdr:rowOff>
    </xdr:from>
    <xdr:to>
      <xdr:col>19</xdr:col>
      <xdr:colOff>0</xdr:colOff>
      <xdr:row>145</xdr:row>
      <xdr:rowOff>2635</xdr:rowOff>
    </xdr:to>
    <xdr:sp macro="" textlink="">
      <xdr:nvSpPr>
        <xdr:cNvPr id="123" name="TextBox 122">
          <a:extLst>
            <a:ext uri="{FF2B5EF4-FFF2-40B4-BE49-F238E27FC236}">
              <a16:creationId xmlns:a16="http://schemas.microsoft.com/office/drawing/2014/main" id="{87088BCA-8F18-4AA0-A6DD-A092C55E7C42}"/>
            </a:ext>
          </a:extLst>
        </xdr:cNvPr>
        <xdr:cNvSpPr txBox="1"/>
      </xdr:nvSpPr>
      <xdr:spPr>
        <a:xfrm>
          <a:off x="1140316" y="27439518"/>
          <a:ext cx="2479184" cy="185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a:t>
          </a:r>
        </a:p>
      </xdr:txBody>
    </xdr:sp>
    <xdr:clientData/>
  </xdr:twoCellAnchor>
  <xdr:twoCellAnchor>
    <xdr:from>
      <xdr:col>5</xdr:col>
      <xdr:colOff>187816</xdr:colOff>
      <xdr:row>145</xdr:row>
      <xdr:rowOff>2635</xdr:rowOff>
    </xdr:from>
    <xdr:to>
      <xdr:col>19</xdr:col>
      <xdr:colOff>0</xdr:colOff>
      <xdr:row>146</xdr:row>
      <xdr:rowOff>7518</xdr:rowOff>
    </xdr:to>
    <xdr:sp macro="" textlink="">
      <xdr:nvSpPr>
        <xdr:cNvPr id="124" name="TextBox 123">
          <a:extLst>
            <a:ext uri="{FF2B5EF4-FFF2-40B4-BE49-F238E27FC236}">
              <a16:creationId xmlns:a16="http://schemas.microsoft.com/office/drawing/2014/main" id="{DE16B6C5-2018-4E99-94CA-AF11B2B7A0C2}"/>
            </a:ext>
          </a:extLst>
        </xdr:cNvPr>
        <xdr:cNvSpPr txBox="1"/>
      </xdr:nvSpPr>
      <xdr:spPr>
        <a:xfrm>
          <a:off x="1140316" y="27625135"/>
          <a:ext cx="2479184" cy="195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 OF PANELS</a:t>
          </a:r>
        </a:p>
      </xdr:txBody>
    </xdr:sp>
    <xdr:clientData/>
  </xdr:twoCellAnchor>
  <xdr:twoCellAnchor>
    <xdr:from>
      <xdr:col>5</xdr:col>
      <xdr:colOff>187816</xdr:colOff>
      <xdr:row>146</xdr:row>
      <xdr:rowOff>7518</xdr:rowOff>
    </xdr:from>
    <xdr:to>
      <xdr:col>19</xdr:col>
      <xdr:colOff>0</xdr:colOff>
      <xdr:row>147</xdr:row>
      <xdr:rowOff>7519</xdr:rowOff>
    </xdr:to>
    <xdr:sp macro="" textlink="">
      <xdr:nvSpPr>
        <xdr:cNvPr id="125" name="TextBox 124">
          <a:extLst>
            <a:ext uri="{FF2B5EF4-FFF2-40B4-BE49-F238E27FC236}">
              <a16:creationId xmlns:a16="http://schemas.microsoft.com/office/drawing/2014/main" id="{D82ABCEA-C9F2-4086-B98C-2E7BA7861B37}"/>
            </a:ext>
          </a:extLst>
        </xdr:cNvPr>
        <xdr:cNvSpPr txBox="1"/>
      </xdr:nvSpPr>
      <xdr:spPr>
        <a:xfrm>
          <a:off x="1140316" y="27820518"/>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a:t>
          </a:r>
        </a:p>
      </xdr:txBody>
    </xdr:sp>
    <xdr:clientData/>
  </xdr:twoCellAnchor>
  <xdr:twoCellAnchor>
    <xdr:from>
      <xdr:col>5</xdr:col>
      <xdr:colOff>187816</xdr:colOff>
      <xdr:row>147</xdr:row>
      <xdr:rowOff>7519</xdr:rowOff>
    </xdr:from>
    <xdr:to>
      <xdr:col>19</xdr:col>
      <xdr:colOff>0</xdr:colOff>
      <xdr:row>148</xdr:row>
      <xdr:rowOff>7518</xdr:rowOff>
    </xdr:to>
    <xdr:sp macro="" textlink="">
      <xdr:nvSpPr>
        <xdr:cNvPr id="126" name="TextBox 125">
          <a:extLst>
            <a:ext uri="{FF2B5EF4-FFF2-40B4-BE49-F238E27FC236}">
              <a16:creationId xmlns:a16="http://schemas.microsoft.com/office/drawing/2014/main" id="{FD9787AE-E238-4CD2-BC29-DD2991F5DD2A}"/>
            </a:ext>
          </a:extLst>
        </xdr:cNvPr>
        <xdr:cNvSpPr txBox="1"/>
      </xdr:nvSpPr>
      <xdr:spPr>
        <a:xfrm>
          <a:off x="1140316" y="280110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 STATION</a:t>
          </a:r>
        </a:p>
      </xdr:txBody>
    </xdr:sp>
    <xdr:clientData/>
  </xdr:twoCellAnchor>
  <xdr:twoCellAnchor>
    <xdr:from>
      <xdr:col>5</xdr:col>
      <xdr:colOff>187816</xdr:colOff>
      <xdr:row>148</xdr:row>
      <xdr:rowOff>7518</xdr:rowOff>
    </xdr:from>
    <xdr:to>
      <xdr:col>19</xdr:col>
      <xdr:colOff>0</xdr:colOff>
      <xdr:row>149</xdr:row>
      <xdr:rowOff>2635</xdr:rowOff>
    </xdr:to>
    <xdr:sp macro="" textlink="">
      <xdr:nvSpPr>
        <xdr:cNvPr id="127" name="TextBox 126">
          <a:extLst>
            <a:ext uri="{FF2B5EF4-FFF2-40B4-BE49-F238E27FC236}">
              <a16:creationId xmlns:a16="http://schemas.microsoft.com/office/drawing/2014/main" id="{057892B4-E394-441D-A5AF-849AA8B4252F}"/>
            </a:ext>
          </a:extLst>
        </xdr:cNvPr>
        <xdr:cNvSpPr txBox="1"/>
      </xdr:nvSpPr>
      <xdr:spPr>
        <a:xfrm>
          <a:off x="1140316" y="28201518"/>
          <a:ext cx="2479184" cy="185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MOUNTING METHOD</a:t>
          </a:r>
        </a:p>
      </xdr:txBody>
    </xdr:sp>
    <xdr:clientData/>
  </xdr:twoCellAnchor>
  <xdr:twoCellAnchor>
    <xdr:from>
      <xdr:col>5</xdr:col>
      <xdr:colOff>187816</xdr:colOff>
      <xdr:row>148</xdr:row>
      <xdr:rowOff>190449</xdr:rowOff>
    </xdr:from>
    <xdr:to>
      <xdr:col>19</xdr:col>
      <xdr:colOff>0</xdr:colOff>
      <xdr:row>150</xdr:row>
      <xdr:rowOff>2634</xdr:rowOff>
    </xdr:to>
    <xdr:sp macro="" textlink="">
      <xdr:nvSpPr>
        <xdr:cNvPr id="128" name="TextBox 127">
          <a:extLst>
            <a:ext uri="{FF2B5EF4-FFF2-40B4-BE49-F238E27FC236}">
              <a16:creationId xmlns:a16="http://schemas.microsoft.com/office/drawing/2014/main" id="{33C50B02-799E-4DD9-A717-50B0A2DC610B}"/>
            </a:ext>
          </a:extLst>
        </xdr:cNvPr>
        <xdr:cNvSpPr txBox="1"/>
      </xdr:nvSpPr>
      <xdr:spPr>
        <a:xfrm>
          <a:off x="1140316" y="28384449"/>
          <a:ext cx="2479184" cy="193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OPTIMISER</a:t>
          </a:r>
        </a:p>
      </xdr:txBody>
    </xdr:sp>
    <xdr:clientData/>
  </xdr:twoCellAnchor>
  <xdr:twoCellAnchor>
    <xdr:from>
      <xdr:col>5</xdr:col>
      <xdr:colOff>187816</xdr:colOff>
      <xdr:row>150</xdr:row>
      <xdr:rowOff>2634</xdr:rowOff>
    </xdr:from>
    <xdr:to>
      <xdr:col>19</xdr:col>
      <xdr:colOff>0</xdr:colOff>
      <xdr:row>151</xdr:row>
      <xdr:rowOff>7519</xdr:rowOff>
    </xdr:to>
    <xdr:sp macro="" textlink="">
      <xdr:nvSpPr>
        <xdr:cNvPr id="129" name="TextBox 128">
          <a:extLst>
            <a:ext uri="{FF2B5EF4-FFF2-40B4-BE49-F238E27FC236}">
              <a16:creationId xmlns:a16="http://schemas.microsoft.com/office/drawing/2014/main" id="{B2CEA8DC-54C8-4452-A83D-47BADBF42D45}"/>
            </a:ext>
          </a:extLst>
        </xdr:cNvPr>
        <xdr:cNvSpPr txBox="1"/>
      </xdr:nvSpPr>
      <xdr:spPr>
        <a:xfrm>
          <a:off x="1140316" y="28577634"/>
          <a:ext cx="2479184" cy="195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POWER FACTOR CORRECTION</a:t>
          </a:r>
        </a:p>
      </xdr:txBody>
    </xdr:sp>
    <xdr:clientData/>
  </xdr:twoCellAnchor>
  <xdr:twoCellAnchor>
    <xdr:from>
      <xdr:col>5</xdr:col>
      <xdr:colOff>187816</xdr:colOff>
      <xdr:row>151</xdr:row>
      <xdr:rowOff>7519</xdr:rowOff>
    </xdr:from>
    <xdr:to>
      <xdr:col>19</xdr:col>
      <xdr:colOff>0</xdr:colOff>
      <xdr:row>152</xdr:row>
      <xdr:rowOff>7518</xdr:rowOff>
    </xdr:to>
    <xdr:sp macro="" textlink="">
      <xdr:nvSpPr>
        <xdr:cNvPr id="130" name="TextBox 129">
          <a:extLst>
            <a:ext uri="{FF2B5EF4-FFF2-40B4-BE49-F238E27FC236}">
              <a16:creationId xmlns:a16="http://schemas.microsoft.com/office/drawing/2014/main" id="{2D5DBC6D-2E88-484C-B94B-264AA3E434BA}"/>
            </a:ext>
          </a:extLst>
        </xdr:cNvPr>
        <xdr:cNvSpPr txBox="1"/>
      </xdr:nvSpPr>
      <xdr:spPr>
        <a:xfrm>
          <a:off x="1140316" y="287730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p>
      </xdr:txBody>
    </xdr:sp>
    <xdr:clientData/>
  </xdr:twoCellAnchor>
  <xdr:twoCellAnchor>
    <xdr:from>
      <xdr:col>7</xdr:col>
      <xdr:colOff>91370</xdr:colOff>
      <xdr:row>154</xdr:row>
      <xdr:rowOff>116203</xdr:rowOff>
    </xdr:from>
    <xdr:to>
      <xdr:col>27</xdr:col>
      <xdr:colOff>38100</xdr:colOff>
      <xdr:row>156</xdr:row>
      <xdr:rowOff>116204</xdr:rowOff>
    </xdr:to>
    <xdr:sp macro="" textlink="">
      <xdr:nvSpPr>
        <xdr:cNvPr id="131" name="TextBox 130">
          <a:extLst>
            <a:ext uri="{FF2B5EF4-FFF2-40B4-BE49-F238E27FC236}">
              <a16:creationId xmlns:a16="http://schemas.microsoft.com/office/drawing/2014/main" id="{0286312F-B549-4094-9AC8-C9CC028ED2C3}"/>
            </a:ext>
          </a:extLst>
        </xdr:cNvPr>
        <xdr:cNvSpPr txBox="1"/>
      </xdr:nvSpPr>
      <xdr:spPr>
        <a:xfrm>
          <a:off x="1424870" y="29453203"/>
          <a:ext cx="375673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Balance of System - Solar</a:t>
          </a:r>
        </a:p>
      </xdr:txBody>
    </xdr:sp>
    <xdr:clientData/>
  </xdr:twoCellAnchor>
  <xdr:twoCellAnchor>
    <xdr:from>
      <xdr:col>6</xdr:col>
      <xdr:colOff>87312</xdr:colOff>
      <xdr:row>154</xdr:row>
      <xdr:rowOff>116203</xdr:rowOff>
    </xdr:from>
    <xdr:to>
      <xdr:col>6</xdr:col>
      <xdr:colOff>87312</xdr:colOff>
      <xdr:row>156</xdr:row>
      <xdr:rowOff>116204</xdr:rowOff>
    </xdr:to>
    <xdr:cxnSp macro="">
      <xdr:nvCxnSpPr>
        <xdr:cNvPr id="132" name="Straight Connector 131">
          <a:extLst>
            <a:ext uri="{FF2B5EF4-FFF2-40B4-BE49-F238E27FC236}">
              <a16:creationId xmlns:a16="http://schemas.microsoft.com/office/drawing/2014/main" id="{CE107D5F-420C-4EDA-BED8-7FA16F84E7E7}"/>
            </a:ext>
          </a:extLst>
        </xdr:cNvPr>
        <xdr:cNvCxnSpPr/>
      </xdr:nvCxnSpPr>
      <xdr:spPr>
        <a:xfrm>
          <a:off x="1230312" y="29453203"/>
          <a:ext cx="0" cy="381001"/>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157</xdr:row>
      <xdr:rowOff>30480</xdr:rowOff>
    </xdr:from>
    <xdr:to>
      <xdr:col>19</xdr:col>
      <xdr:colOff>0</xdr:colOff>
      <xdr:row>158</xdr:row>
      <xdr:rowOff>30480</xdr:rowOff>
    </xdr:to>
    <xdr:sp macro="" textlink="">
      <xdr:nvSpPr>
        <xdr:cNvPr id="133" name="TextBox 132">
          <a:extLst>
            <a:ext uri="{FF2B5EF4-FFF2-40B4-BE49-F238E27FC236}">
              <a16:creationId xmlns:a16="http://schemas.microsoft.com/office/drawing/2014/main" id="{FB1AC58F-0C30-469A-A994-AB2610278175}"/>
            </a:ext>
          </a:extLst>
        </xdr:cNvPr>
        <xdr:cNvSpPr txBox="1"/>
      </xdr:nvSpPr>
      <xdr:spPr>
        <a:xfrm>
          <a:off x="1140316" y="29938980"/>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CABLE</a:t>
          </a:r>
        </a:p>
      </xdr:txBody>
    </xdr:sp>
    <xdr:clientData/>
  </xdr:twoCellAnchor>
  <xdr:twoCellAnchor>
    <xdr:from>
      <xdr:col>5</xdr:col>
      <xdr:colOff>187816</xdr:colOff>
      <xdr:row>158</xdr:row>
      <xdr:rowOff>30479</xdr:rowOff>
    </xdr:from>
    <xdr:to>
      <xdr:col>19</xdr:col>
      <xdr:colOff>0</xdr:colOff>
      <xdr:row>159</xdr:row>
      <xdr:rowOff>30479</xdr:rowOff>
    </xdr:to>
    <xdr:sp macro="" textlink="">
      <xdr:nvSpPr>
        <xdr:cNvPr id="134" name="TextBox 133">
          <a:extLst>
            <a:ext uri="{FF2B5EF4-FFF2-40B4-BE49-F238E27FC236}">
              <a16:creationId xmlns:a16="http://schemas.microsoft.com/office/drawing/2014/main" id="{B8EA14B4-944C-4BBC-B596-64D46A166737}"/>
            </a:ext>
          </a:extLst>
        </xdr:cNvPr>
        <xdr:cNvSpPr txBox="1"/>
      </xdr:nvSpPr>
      <xdr:spPr>
        <a:xfrm>
          <a:off x="1140316" y="30129479"/>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CABLE</a:t>
          </a:r>
        </a:p>
      </xdr:txBody>
    </xdr:sp>
    <xdr:clientData/>
  </xdr:twoCellAnchor>
  <xdr:twoCellAnchor>
    <xdr:from>
      <xdr:col>5</xdr:col>
      <xdr:colOff>187816</xdr:colOff>
      <xdr:row>159</xdr:row>
      <xdr:rowOff>30479</xdr:rowOff>
    </xdr:from>
    <xdr:to>
      <xdr:col>19</xdr:col>
      <xdr:colOff>0</xdr:colOff>
      <xdr:row>160</xdr:row>
      <xdr:rowOff>30478</xdr:rowOff>
    </xdr:to>
    <xdr:sp macro="" textlink="">
      <xdr:nvSpPr>
        <xdr:cNvPr id="135" name="TextBox 134">
          <a:extLst>
            <a:ext uri="{FF2B5EF4-FFF2-40B4-BE49-F238E27FC236}">
              <a16:creationId xmlns:a16="http://schemas.microsoft.com/office/drawing/2014/main" id="{89D9B420-0319-46A8-9D05-C65EE9C0E5CA}"/>
            </a:ext>
          </a:extLst>
        </xdr:cNvPr>
        <xdr:cNvSpPr txBox="1"/>
      </xdr:nvSpPr>
      <xdr:spPr>
        <a:xfrm>
          <a:off x="1140316" y="3031997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CABLE TRAY</a:t>
          </a:r>
        </a:p>
      </xdr:txBody>
    </xdr:sp>
    <xdr:clientData/>
  </xdr:twoCellAnchor>
  <xdr:twoCellAnchor>
    <xdr:from>
      <xdr:col>5</xdr:col>
      <xdr:colOff>187816</xdr:colOff>
      <xdr:row>160</xdr:row>
      <xdr:rowOff>30478</xdr:rowOff>
    </xdr:from>
    <xdr:to>
      <xdr:col>19</xdr:col>
      <xdr:colOff>0</xdr:colOff>
      <xdr:row>161</xdr:row>
      <xdr:rowOff>30480</xdr:rowOff>
    </xdr:to>
    <xdr:sp macro="" textlink="">
      <xdr:nvSpPr>
        <xdr:cNvPr id="136" name="TextBox 135">
          <a:extLst>
            <a:ext uri="{FF2B5EF4-FFF2-40B4-BE49-F238E27FC236}">
              <a16:creationId xmlns:a16="http://schemas.microsoft.com/office/drawing/2014/main" id="{54F4A899-A8BF-47EB-B473-C57C66DDDC9E}"/>
            </a:ext>
          </a:extLst>
        </xdr:cNvPr>
        <xdr:cNvSpPr txBox="1"/>
      </xdr:nvSpPr>
      <xdr:spPr>
        <a:xfrm>
          <a:off x="1140316" y="30510478"/>
          <a:ext cx="2479184" cy="190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SWITCH</a:t>
          </a:r>
        </a:p>
      </xdr:txBody>
    </xdr:sp>
    <xdr:clientData/>
  </xdr:twoCellAnchor>
  <xdr:twoCellAnchor>
    <xdr:from>
      <xdr:col>5</xdr:col>
      <xdr:colOff>187816</xdr:colOff>
      <xdr:row>161</xdr:row>
      <xdr:rowOff>30480</xdr:rowOff>
    </xdr:from>
    <xdr:to>
      <xdr:col>19</xdr:col>
      <xdr:colOff>0</xdr:colOff>
      <xdr:row>162</xdr:row>
      <xdr:rowOff>30478</xdr:rowOff>
    </xdr:to>
    <xdr:sp macro="" textlink="">
      <xdr:nvSpPr>
        <xdr:cNvPr id="137" name="TextBox 136">
          <a:extLst>
            <a:ext uri="{FF2B5EF4-FFF2-40B4-BE49-F238E27FC236}">
              <a16:creationId xmlns:a16="http://schemas.microsoft.com/office/drawing/2014/main" id="{056B096A-E5EE-46E5-A9F7-60062182B61C}"/>
            </a:ext>
          </a:extLst>
        </xdr:cNvPr>
        <xdr:cNvSpPr txBox="1"/>
      </xdr:nvSpPr>
      <xdr:spPr>
        <a:xfrm>
          <a:off x="1140316" y="30700980"/>
          <a:ext cx="2479184" cy="190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SWITCH</a:t>
          </a:r>
        </a:p>
      </xdr:txBody>
    </xdr:sp>
    <xdr:clientData/>
  </xdr:twoCellAnchor>
  <xdr:twoCellAnchor>
    <xdr:from>
      <xdr:col>5</xdr:col>
      <xdr:colOff>187816</xdr:colOff>
      <xdr:row>162</xdr:row>
      <xdr:rowOff>30478</xdr:rowOff>
    </xdr:from>
    <xdr:to>
      <xdr:col>19</xdr:col>
      <xdr:colOff>0</xdr:colOff>
      <xdr:row>163</xdr:row>
      <xdr:rowOff>30479</xdr:rowOff>
    </xdr:to>
    <xdr:sp macro="" textlink="">
      <xdr:nvSpPr>
        <xdr:cNvPr id="138" name="TextBox 137">
          <a:extLst>
            <a:ext uri="{FF2B5EF4-FFF2-40B4-BE49-F238E27FC236}">
              <a16:creationId xmlns:a16="http://schemas.microsoft.com/office/drawing/2014/main" id="{AD3D0E5D-2B8A-461E-A617-3FEEB573FB8A}"/>
            </a:ext>
          </a:extLst>
        </xdr:cNvPr>
        <xdr:cNvSpPr txBox="1"/>
      </xdr:nvSpPr>
      <xdr:spPr>
        <a:xfrm>
          <a:off x="1140316" y="30891478"/>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PROTECTION UNIT (GPU)</a:t>
          </a:r>
        </a:p>
      </xdr:txBody>
    </xdr:sp>
    <xdr:clientData/>
  </xdr:twoCellAnchor>
  <xdr:twoCellAnchor>
    <xdr:from>
      <xdr:col>7</xdr:col>
      <xdr:colOff>91370</xdr:colOff>
      <xdr:row>173</xdr:row>
      <xdr:rowOff>107409</xdr:rowOff>
    </xdr:from>
    <xdr:to>
      <xdr:col>20</xdr:col>
      <xdr:colOff>91366</xdr:colOff>
      <xdr:row>175</xdr:row>
      <xdr:rowOff>107409</xdr:rowOff>
    </xdr:to>
    <xdr:sp macro="" textlink="">
      <xdr:nvSpPr>
        <xdr:cNvPr id="139" name="TextBox 138">
          <a:extLst>
            <a:ext uri="{FF2B5EF4-FFF2-40B4-BE49-F238E27FC236}">
              <a16:creationId xmlns:a16="http://schemas.microsoft.com/office/drawing/2014/main" id="{D718A58E-A0AF-4386-8134-5790DBAC24B0}"/>
            </a:ext>
          </a:extLst>
        </xdr:cNvPr>
        <xdr:cNvSpPr txBox="1"/>
      </xdr:nvSpPr>
      <xdr:spPr>
        <a:xfrm>
          <a:off x="1424870" y="33063909"/>
          <a:ext cx="247649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Lifting and Access</a:t>
          </a:r>
        </a:p>
      </xdr:txBody>
    </xdr:sp>
    <xdr:clientData/>
  </xdr:twoCellAnchor>
  <xdr:twoCellAnchor>
    <xdr:from>
      <xdr:col>6</xdr:col>
      <xdr:colOff>87312</xdr:colOff>
      <xdr:row>173</xdr:row>
      <xdr:rowOff>107409</xdr:rowOff>
    </xdr:from>
    <xdr:to>
      <xdr:col>6</xdr:col>
      <xdr:colOff>87312</xdr:colOff>
      <xdr:row>175</xdr:row>
      <xdr:rowOff>107409</xdr:rowOff>
    </xdr:to>
    <xdr:cxnSp macro="">
      <xdr:nvCxnSpPr>
        <xdr:cNvPr id="140" name="Straight Connector 139">
          <a:extLst>
            <a:ext uri="{FF2B5EF4-FFF2-40B4-BE49-F238E27FC236}">
              <a16:creationId xmlns:a16="http://schemas.microsoft.com/office/drawing/2014/main" id="{1B32BAF0-E704-4285-8081-6033BBAA3FC2}"/>
            </a:ext>
          </a:extLst>
        </xdr:cNvPr>
        <xdr:cNvCxnSpPr/>
      </xdr:nvCxnSpPr>
      <xdr:spPr>
        <a:xfrm>
          <a:off x="1230312" y="33063909"/>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176</xdr:row>
      <xdr:rowOff>107410</xdr:rowOff>
    </xdr:from>
    <xdr:to>
      <xdr:col>19</xdr:col>
      <xdr:colOff>0</xdr:colOff>
      <xdr:row>177</xdr:row>
      <xdr:rowOff>107410</xdr:rowOff>
    </xdr:to>
    <xdr:sp macro="" textlink="">
      <xdr:nvSpPr>
        <xdr:cNvPr id="141" name="TextBox 140">
          <a:extLst>
            <a:ext uri="{FF2B5EF4-FFF2-40B4-BE49-F238E27FC236}">
              <a16:creationId xmlns:a16="http://schemas.microsoft.com/office/drawing/2014/main" id="{46355696-D0D7-4520-8667-B8787B2C5517}"/>
            </a:ext>
          </a:extLst>
        </xdr:cNvPr>
        <xdr:cNvSpPr txBox="1"/>
      </xdr:nvSpPr>
      <xdr:spPr>
        <a:xfrm>
          <a:off x="1140316" y="33635410"/>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LIFTING OF</a:t>
          </a:r>
          <a:r>
            <a:rPr lang="en-US" sz="1000" b="1" i="0" u="none" strike="noStrike" baseline="0">
              <a:solidFill>
                <a:srgbClr val="2A2A2A"/>
              </a:solidFill>
              <a:latin typeface="Overpass" panose="00000500000000000000" pitchFamily="2" charset="0"/>
              <a:ea typeface="+mn-ea"/>
              <a:cs typeface="Calibri"/>
            </a:rPr>
            <a:t> MATERIALS</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187816</xdr:colOff>
      <xdr:row>177</xdr:row>
      <xdr:rowOff>107410</xdr:rowOff>
    </xdr:from>
    <xdr:to>
      <xdr:col>19</xdr:col>
      <xdr:colOff>0</xdr:colOff>
      <xdr:row>178</xdr:row>
      <xdr:rowOff>107410</xdr:rowOff>
    </xdr:to>
    <xdr:sp macro="" textlink="">
      <xdr:nvSpPr>
        <xdr:cNvPr id="142" name="TextBox 141">
          <a:extLst>
            <a:ext uri="{FF2B5EF4-FFF2-40B4-BE49-F238E27FC236}">
              <a16:creationId xmlns:a16="http://schemas.microsoft.com/office/drawing/2014/main" id="{A59E36C0-A6E2-40B7-8193-E3294F1023E9}"/>
            </a:ext>
          </a:extLst>
        </xdr:cNvPr>
        <xdr:cNvSpPr txBox="1"/>
      </xdr:nvSpPr>
      <xdr:spPr>
        <a:xfrm>
          <a:off x="1140316" y="33825910"/>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ACCESS TO ROOFTOP</a:t>
          </a:r>
        </a:p>
      </xdr:txBody>
    </xdr:sp>
    <xdr:clientData/>
  </xdr:twoCellAnchor>
  <xdr:twoCellAnchor>
    <xdr:from>
      <xdr:col>5</xdr:col>
      <xdr:colOff>187816</xdr:colOff>
      <xdr:row>97</xdr:row>
      <xdr:rowOff>30922</xdr:rowOff>
    </xdr:from>
    <xdr:to>
      <xdr:col>36</xdr:col>
      <xdr:colOff>2962</xdr:colOff>
      <xdr:row>97</xdr:row>
      <xdr:rowOff>30922</xdr:rowOff>
    </xdr:to>
    <xdr:cxnSp macro="">
      <xdr:nvCxnSpPr>
        <xdr:cNvPr id="143" name="Straight Connector 16">
          <a:extLst>
            <a:ext uri="{FF2B5EF4-FFF2-40B4-BE49-F238E27FC236}">
              <a16:creationId xmlns:a16="http://schemas.microsoft.com/office/drawing/2014/main" id="{530EA4EA-8D45-4036-B3FA-9FAC88D51305}"/>
            </a:ext>
          </a:extLst>
        </xdr:cNvPr>
        <xdr:cNvCxnSpPr/>
      </xdr:nvCxnSpPr>
      <xdr:spPr>
        <a:xfrm>
          <a:off x="1140316" y="18509422"/>
          <a:ext cx="5720646"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2772</xdr:colOff>
      <xdr:row>104</xdr:row>
      <xdr:rowOff>157924</xdr:rowOff>
    </xdr:from>
    <xdr:to>
      <xdr:col>36</xdr:col>
      <xdr:colOff>2430</xdr:colOff>
      <xdr:row>105</xdr:row>
      <xdr:rowOff>162480</xdr:rowOff>
    </xdr:to>
    <xdr:sp macro="" textlink="SOLAR!D14">
      <xdr:nvSpPr>
        <xdr:cNvPr id="144" name="TextBox 1">
          <a:extLst>
            <a:ext uri="{FF2B5EF4-FFF2-40B4-BE49-F238E27FC236}">
              <a16:creationId xmlns:a16="http://schemas.microsoft.com/office/drawing/2014/main" id="{D8CBA92C-2F6C-4E31-8297-5C001B81AB4F}"/>
            </a:ext>
          </a:extLst>
        </xdr:cNvPr>
        <xdr:cNvSpPr txBox="1"/>
      </xdr:nvSpPr>
      <xdr:spPr>
        <a:xfrm>
          <a:off x="2860272" y="19969924"/>
          <a:ext cx="4000158" cy="19505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460F2A-9630-3B40-A671-A98A5C154ED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2772</xdr:colOff>
      <xdr:row>105</xdr:row>
      <xdr:rowOff>162481</xdr:rowOff>
    </xdr:from>
    <xdr:to>
      <xdr:col>36</xdr:col>
      <xdr:colOff>1062</xdr:colOff>
      <xdr:row>106</xdr:row>
      <xdr:rowOff>162454</xdr:rowOff>
    </xdr:to>
    <xdr:sp macro="" textlink="SOLAR!D16">
      <xdr:nvSpPr>
        <xdr:cNvPr id="145" name="TextBox 28">
          <a:extLst>
            <a:ext uri="{FF2B5EF4-FFF2-40B4-BE49-F238E27FC236}">
              <a16:creationId xmlns:a16="http://schemas.microsoft.com/office/drawing/2014/main" id="{7B08F6DB-41AC-4437-8900-17CC41BA0BE6}"/>
            </a:ext>
          </a:extLst>
        </xdr:cNvPr>
        <xdr:cNvSpPr txBox="1"/>
      </xdr:nvSpPr>
      <xdr:spPr>
        <a:xfrm>
          <a:off x="2860272" y="20164981"/>
          <a:ext cx="3998790" cy="19047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2816D4-733A-7044-BEF8-7185500A6EFB}" type="TxLink">
            <a:rPr lang="en-US" sz="1000" b="0" i="0" u="sng"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289</xdr:colOff>
      <xdr:row>106</xdr:row>
      <xdr:rowOff>162453</xdr:rowOff>
    </xdr:from>
    <xdr:to>
      <xdr:col>36</xdr:col>
      <xdr:colOff>1556</xdr:colOff>
      <xdr:row>107</xdr:row>
      <xdr:rowOff>162426</xdr:rowOff>
    </xdr:to>
    <xdr:sp macro="" textlink="SOLAR!D15">
      <xdr:nvSpPr>
        <xdr:cNvPr id="146" name="TextBox 29">
          <a:extLst>
            <a:ext uri="{FF2B5EF4-FFF2-40B4-BE49-F238E27FC236}">
              <a16:creationId xmlns:a16="http://schemas.microsoft.com/office/drawing/2014/main" id="{08047547-E3F1-492A-AA9B-F5C950638465}"/>
            </a:ext>
          </a:extLst>
        </xdr:cNvPr>
        <xdr:cNvSpPr txBox="1"/>
      </xdr:nvSpPr>
      <xdr:spPr>
        <a:xfrm>
          <a:off x="2857789" y="20355453"/>
          <a:ext cx="4001767" cy="19047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8CE719-7F72-D141-9181-E9F2724160D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1693</xdr:colOff>
      <xdr:row>99</xdr:row>
      <xdr:rowOff>157124</xdr:rowOff>
    </xdr:from>
    <xdr:to>
      <xdr:col>36</xdr:col>
      <xdr:colOff>2962</xdr:colOff>
      <xdr:row>102</xdr:row>
      <xdr:rowOff>157043</xdr:rowOff>
    </xdr:to>
    <xdr:sp macro="" textlink="SOLAR!D10">
      <xdr:nvSpPr>
        <xdr:cNvPr id="147" name="TextBox 30">
          <a:extLst>
            <a:ext uri="{FF2B5EF4-FFF2-40B4-BE49-F238E27FC236}">
              <a16:creationId xmlns:a16="http://schemas.microsoft.com/office/drawing/2014/main" id="{64A1F0A7-E2A3-4282-B951-982A2BC074D2}"/>
            </a:ext>
          </a:extLst>
        </xdr:cNvPr>
        <xdr:cNvSpPr txBox="1"/>
      </xdr:nvSpPr>
      <xdr:spPr>
        <a:xfrm>
          <a:off x="2859193" y="19016624"/>
          <a:ext cx="4001769" cy="57141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C7D87B1-F727-7E47-88A0-798C36E31D61}" type="TxLink">
            <a:rPr lang="en-US" sz="1200" b="0" i="0" u="none" strike="noStrike">
              <a:solidFill>
                <a:srgbClr val="27056C"/>
              </a:solidFill>
              <a:latin typeface="Overpass" pitchFamily="2" charset="77"/>
              <a:ea typeface="+mn-ea"/>
              <a:cs typeface="Calibri"/>
            </a:rPr>
            <a:pPr marL="0" indent="0" algn="l"/>
            <a:t> </a:t>
          </a:fld>
          <a:endParaRPr lang="en-AU" sz="1200" b="0" i="0" u="none" strike="noStrike">
            <a:solidFill>
              <a:srgbClr val="27056C"/>
            </a:solidFill>
            <a:latin typeface="Overpass" pitchFamily="2" charset="77"/>
            <a:ea typeface="+mn-ea"/>
            <a:cs typeface="Calibri"/>
          </a:endParaRPr>
        </a:p>
      </xdr:txBody>
    </xdr:sp>
    <xdr:clientData/>
  </xdr:twoCellAnchor>
  <xdr:twoCellAnchor>
    <xdr:from>
      <xdr:col>15</xdr:col>
      <xdr:colOff>2773</xdr:colOff>
      <xdr:row>102</xdr:row>
      <xdr:rowOff>157043</xdr:rowOff>
    </xdr:from>
    <xdr:to>
      <xdr:col>36</xdr:col>
      <xdr:colOff>1126</xdr:colOff>
      <xdr:row>103</xdr:row>
      <xdr:rowOff>162533</xdr:rowOff>
    </xdr:to>
    <xdr:sp macro="" textlink="SOLAR!D17">
      <xdr:nvSpPr>
        <xdr:cNvPr id="148" name="TextBox 114">
          <a:extLst>
            <a:ext uri="{FF2B5EF4-FFF2-40B4-BE49-F238E27FC236}">
              <a16:creationId xmlns:a16="http://schemas.microsoft.com/office/drawing/2014/main" id="{1345DD17-59A4-4A85-A860-C879E1D12448}"/>
            </a:ext>
          </a:extLst>
        </xdr:cNvPr>
        <xdr:cNvSpPr txBox="1"/>
      </xdr:nvSpPr>
      <xdr:spPr>
        <a:xfrm>
          <a:off x="2860273" y="19588043"/>
          <a:ext cx="3998853" cy="19599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70CDDC-DA9C-174D-96CE-D4FCD9697D68}"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187816</xdr:colOff>
      <xdr:row>100</xdr:row>
      <xdr:rowOff>157108</xdr:rowOff>
    </xdr:from>
    <xdr:to>
      <xdr:col>14</xdr:col>
      <xdr:colOff>1506</xdr:colOff>
      <xdr:row>101</xdr:row>
      <xdr:rowOff>157082</xdr:rowOff>
    </xdr:to>
    <xdr:sp macro="" textlink="">
      <xdr:nvSpPr>
        <xdr:cNvPr id="149" name="TextBox 76">
          <a:extLst>
            <a:ext uri="{FF2B5EF4-FFF2-40B4-BE49-F238E27FC236}">
              <a16:creationId xmlns:a16="http://schemas.microsoft.com/office/drawing/2014/main" id="{982A2933-B0F1-48B2-92BD-5905A5320FF1}"/>
            </a:ext>
          </a:extLst>
        </xdr:cNvPr>
        <xdr:cNvSpPr txBox="1"/>
      </xdr:nvSpPr>
      <xdr:spPr>
        <a:xfrm>
          <a:off x="1140316" y="19207108"/>
          <a:ext cx="1528190" cy="19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PROJECT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2162</xdr:colOff>
      <xdr:row>102</xdr:row>
      <xdr:rowOff>162560</xdr:rowOff>
    </xdr:from>
    <xdr:to>
      <xdr:col>14</xdr:col>
      <xdr:colOff>1626</xdr:colOff>
      <xdr:row>103</xdr:row>
      <xdr:rowOff>162531</xdr:rowOff>
    </xdr:to>
    <xdr:sp macro="" textlink="">
      <xdr:nvSpPr>
        <xdr:cNvPr id="150" name="TextBox 119">
          <a:extLst>
            <a:ext uri="{FF2B5EF4-FFF2-40B4-BE49-F238E27FC236}">
              <a16:creationId xmlns:a16="http://schemas.microsoft.com/office/drawing/2014/main" id="{61F78FBF-A729-4C2A-90A0-1119DC0F129E}"/>
            </a:ext>
          </a:extLst>
        </xdr:cNvPr>
        <xdr:cNvSpPr txBox="1"/>
      </xdr:nvSpPr>
      <xdr:spPr>
        <a:xfrm>
          <a:off x="1145162" y="19593560"/>
          <a:ext cx="1523464" cy="190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NMI</a:t>
          </a:r>
        </a:p>
      </xdr:txBody>
    </xdr:sp>
    <xdr:clientData/>
  </xdr:twoCellAnchor>
  <xdr:twoCellAnchor>
    <xdr:from>
      <xdr:col>6</xdr:col>
      <xdr:colOff>2162</xdr:colOff>
      <xdr:row>103</xdr:row>
      <xdr:rowOff>162532</xdr:rowOff>
    </xdr:from>
    <xdr:to>
      <xdr:col>14</xdr:col>
      <xdr:colOff>1626</xdr:colOff>
      <xdr:row>104</xdr:row>
      <xdr:rowOff>162508</xdr:rowOff>
    </xdr:to>
    <xdr:sp macro="" textlink="">
      <xdr:nvSpPr>
        <xdr:cNvPr id="151" name="TextBox 123">
          <a:extLst>
            <a:ext uri="{FF2B5EF4-FFF2-40B4-BE49-F238E27FC236}">
              <a16:creationId xmlns:a16="http://schemas.microsoft.com/office/drawing/2014/main" id="{A3601133-1C2C-40BA-A58F-6D7274735F18}"/>
            </a:ext>
          </a:extLst>
        </xdr:cNvPr>
        <xdr:cNvSpPr txBox="1"/>
      </xdr:nvSpPr>
      <xdr:spPr>
        <a:xfrm>
          <a:off x="1145162" y="19784032"/>
          <a:ext cx="1523464" cy="19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 ADDRESS</a:t>
          </a:r>
        </a:p>
      </xdr:txBody>
    </xdr:sp>
    <xdr:clientData/>
  </xdr:twoCellAnchor>
  <xdr:twoCellAnchor>
    <xdr:from>
      <xdr:col>6</xdr:col>
      <xdr:colOff>2162</xdr:colOff>
      <xdr:row>104</xdr:row>
      <xdr:rowOff>162508</xdr:rowOff>
    </xdr:from>
    <xdr:to>
      <xdr:col>14</xdr:col>
      <xdr:colOff>1626</xdr:colOff>
      <xdr:row>105</xdr:row>
      <xdr:rowOff>150827</xdr:rowOff>
    </xdr:to>
    <xdr:sp macro="" textlink="">
      <xdr:nvSpPr>
        <xdr:cNvPr id="152" name="TextBox 128">
          <a:extLst>
            <a:ext uri="{FF2B5EF4-FFF2-40B4-BE49-F238E27FC236}">
              <a16:creationId xmlns:a16="http://schemas.microsoft.com/office/drawing/2014/main" id="{6DD85795-B711-4712-B829-330D4E51BCE0}"/>
            </a:ext>
          </a:extLst>
        </xdr:cNvPr>
        <xdr:cNvSpPr txBox="1"/>
      </xdr:nvSpPr>
      <xdr:spPr>
        <a:xfrm>
          <a:off x="1145162" y="19974508"/>
          <a:ext cx="1523464" cy="178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CLIENT</a:t>
          </a:r>
        </a:p>
      </xdr:txBody>
    </xdr:sp>
    <xdr:clientData/>
  </xdr:twoCellAnchor>
  <xdr:twoCellAnchor>
    <xdr:from>
      <xdr:col>6</xdr:col>
      <xdr:colOff>2162</xdr:colOff>
      <xdr:row>105</xdr:row>
      <xdr:rowOff>163844</xdr:rowOff>
    </xdr:from>
    <xdr:to>
      <xdr:col>14</xdr:col>
      <xdr:colOff>1626</xdr:colOff>
      <xdr:row>106</xdr:row>
      <xdr:rowOff>161867</xdr:rowOff>
    </xdr:to>
    <xdr:sp macro="" textlink="">
      <xdr:nvSpPr>
        <xdr:cNvPr id="153" name="TextBox 145">
          <a:extLst>
            <a:ext uri="{FF2B5EF4-FFF2-40B4-BE49-F238E27FC236}">
              <a16:creationId xmlns:a16="http://schemas.microsoft.com/office/drawing/2014/main" id="{DFDFF569-AF1E-4402-A33A-8631841A1CA4}"/>
            </a:ext>
          </a:extLst>
        </xdr:cNvPr>
        <xdr:cNvSpPr txBox="1"/>
      </xdr:nvSpPr>
      <xdr:spPr>
        <a:xfrm>
          <a:off x="1145162" y="20166344"/>
          <a:ext cx="1523464" cy="188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2657</xdr:colOff>
      <xdr:row>106</xdr:row>
      <xdr:rowOff>159466</xdr:rowOff>
    </xdr:from>
    <xdr:to>
      <xdr:col>14</xdr:col>
      <xdr:colOff>2121</xdr:colOff>
      <xdr:row>107</xdr:row>
      <xdr:rowOff>162426</xdr:rowOff>
    </xdr:to>
    <xdr:sp macro="" textlink="">
      <xdr:nvSpPr>
        <xdr:cNvPr id="154" name="TextBox 153">
          <a:extLst>
            <a:ext uri="{FF2B5EF4-FFF2-40B4-BE49-F238E27FC236}">
              <a16:creationId xmlns:a16="http://schemas.microsoft.com/office/drawing/2014/main" id="{EC7A8839-7C44-4DDC-874C-8EFE261F924C}"/>
            </a:ext>
          </a:extLst>
        </xdr:cNvPr>
        <xdr:cNvSpPr txBox="1"/>
      </xdr:nvSpPr>
      <xdr:spPr>
        <a:xfrm>
          <a:off x="1145657" y="20352466"/>
          <a:ext cx="1523464" cy="193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2162</xdr:colOff>
      <xdr:row>107</xdr:row>
      <xdr:rowOff>159437</xdr:rowOff>
    </xdr:from>
    <xdr:to>
      <xdr:col>14</xdr:col>
      <xdr:colOff>1626</xdr:colOff>
      <xdr:row>108</xdr:row>
      <xdr:rowOff>156882</xdr:rowOff>
    </xdr:to>
    <xdr:sp macro="" textlink="">
      <xdr:nvSpPr>
        <xdr:cNvPr id="155" name="TextBox 185">
          <a:extLst>
            <a:ext uri="{FF2B5EF4-FFF2-40B4-BE49-F238E27FC236}">
              <a16:creationId xmlns:a16="http://schemas.microsoft.com/office/drawing/2014/main" id="{8ADFCC6E-1F97-4D70-A275-7614EEA3521E}"/>
            </a:ext>
          </a:extLst>
        </xdr:cNvPr>
        <xdr:cNvSpPr txBox="1"/>
      </xdr:nvSpPr>
      <xdr:spPr>
        <a:xfrm>
          <a:off x="1145162" y="20542937"/>
          <a:ext cx="1523464" cy="187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BILLING ADDRESS</a:t>
          </a:r>
        </a:p>
      </xdr:txBody>
    </xdr:sp>
    <xdr:clientData/>
  </xdr:twoCellAnchor>
  <xdr:twoCellAnchor>
    <xdr:from>
      <xdr:col>7</xdr:col>
      <xdr:colOff>97280</xdr:colOff>
      <xdr:row>97</xdr:row>
      <xdr:rowOff>151294</xdr:rowOff>
    </xdr:from>
    <xdr:to>
      <xdr:col>17</xdr:col>
      <xdr:colOff>6377</xdr:colOff>
      <xdr:row>99</xdr:row>
      <xdr:rowOff>151241</xdr:rowOff>
    </xdr:to>
    <xdr:sp macro="" textlink="">
      <xdr:nvSpPr>
        <xdr:cNvPr id="156" name="TextBox 190">
          <a:extLst>
            <a:ext uri="{FF2B5EF4-FFF2-40B4-BE49-F238E27FC236}">
              <a16:creationId xmlns:a16="http://schemas.microsoft.com/office/drawing/2014/main" id="{9FFA71B7-EB41-440C-AD6C-330DBD63D326}"/>
            </a:ext>
          </a:extLst>
        </xdr:cNvPr>
        <xdr:cNvSpPr txBox="1"/>
      </xdr:nvSpPr>
      <xdr:spPr>
        <a:xfrm>
          <a:off x="1430780" y="18629794"/>
          <a:ext cx="1814097" cy="38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for</a:t>
          </a:r>
        </a:p>
      </xdr:txBody>
    </xdr:sp>
    <xdr:clientData/>
  </xdr:twoCellAnchor>
  <xdr:twoCellAnchor>
    <xdr:from>
      <xdr:col>6</xdr:col>
      <xdr:colOff>97211</xdr:colOff>
      <xdr:row>97</xdr:row>
      <xdr:rowOff>151294</xdr:rowOff>
    </xdr:from>
    <xdr:to>
      <xdr:col>6</xdr:col>
      <xdr:colOff>97211</xdr:colOff>
      <xdr:row>99</xdr:row>
      <xdr:rowOff>151241</xdr:rowOff>
    </xdr:to>
    <xdr:cxnSp macro="">
      <xdr:nvCxnSpPr>
        <xdr:cNvPr id="157" name="Straight Connector 205">
          <a:extLst>
            <a:ext uri="{FF2B5EF4-FFF2-40B4-BE49-F238E27FC236}">
              <a16:creationId xmlns:a16="http://schemas.microsoft.com/office/drawing/2014/main" id="{E4C04E7A-E4D8-4724-B1E4-832723460E78}"/>
            </a:ext>
          </a:extLst>
        </xdr:cNvPr>
        <xdr:cNvCxnSpPr/>
      </xdr:nvCxnSpPr>
      <xdr:spPr>
        <a:xfrm>
          <a:off x="1240211" y="18629794"/>
          <a:ext cx="0" cy="380947"/>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2769</xdr:colOff>
      <xdr:row>113</xdr:row>
      <xdr:rowOff>10742</xdr:rowOff>
    </xdr:from>
    <xdr:to>
      <xdr:col>36</xdr:col>
      <xdr:colOff>2464</xdr:colOff>
      <xdr:row>114</xdr:row>
      <xdr:rowOff>10729</xdr:rowOff>
    </xdr:to>
    <xdr:sp macro="" textlink="SOLAR!D24">
      <xdr:nvSpPr>
        <xdr:cNvPr id="158" name="TextBox 157">
          <a:extLst>
            <a:ext uri="{FF2B5EF4-FFF2-40B4-BE49-F238E27FC236}">
              <a16:creationId xmlns:a16="http://schemas.microsoft.com/office/drawing/2014/main" id="{B2EF4DD2-2AED-4AF3-B8DB-02670CBEC1A2}"/>
            </a:ext>
          </a:extLst>
        </xdr:cNvPr>
        <xdr:cNvSpPr txBox="1"/>
      </xdr:nvSpPr>
      <xdr:spPr>
        <a:xfrm>
          <a:off x="2860269" y="21537242"/>
          <a:ext cx="4000195" cy="1904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65D8CF8-4B24-044F-9E7D-7AB616DADFDD}" type="TxLink">
            <a:rPr lang="en-US" sz="1000" b="0" i="0" u="none" strike="noStrike">
              <a:solidFill>
                <a:srgbClr val="2A2A2A"/>
              </a:solidFill>
              <a:latin typeface="Overpass" pitchFamily="2" charset="77"/>
              <a:ea typeface="+mn-ea"/>
              <a:cs typeface="Calibri"/>
            </a:rPr>
            <a:pPr marL="0" indent="0" algn="l"/>
            <a:t>Jon Vlatko</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1741</xdr:colOff>
      <xdr:row>114</xdr:row>
      <xdr:rowOff>10993</xdr:rowOff>
    </xdr:from>
    <xdr:to>
      <xdr:col>36</xdr:col>
      <xdr:colOff>2992</xdr:colOff>
      <xdr:row>115</xdr:row>
      <xdr:rowOff>9430</xdr:rowOff>
    </xdr:to>
    <xdr:sp macro="" textlink="SOLAR!D25">
      <xdr:nvSpPr>
        <xdr:cNvPr id="159" name="TextBox 158">
          <a:extLst>
            <a:ext uri="{FF2B5EF4-FFF2-40B4-BE49-F238E27FC236}">
              <a16:creationId xmlns:a16="http://schemas.microsoft.com/office/drawing/2014/main" id="{6D4F7F62-52A6-41A3-BEAC-40BE76461C11}"/>
            </a:ext>
          </a:extLst>
        </xdr:cNvPr>
        <xdr:cNvSpPr txBox="1"/>
      </xdr:nvSpPr>
      <xdr:spPr>
        <a:xfrm>
          <a:off x="2859241" y="21727993"/>
          <a:ext cx="4001751" cy="18893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FF96C6-E1BE-D24C-A0F4-DFD4FBE5C0AE}" type="TxLink">
            <a:rPr lang="en-US" sz="1000" b="0" i="0" u="none" strike="noStrike">
              <a:solidFill>
                <a:srgbClr val="2A2A2A"/>
              </a:solidFill>
              <a:latin typeface="Overpass" pitchFamily="2" charset="77"/>
              <a:ea typeface="+mn-ea"/>
              <a:cs typeface="Calibri"/>
            </a:rPr>
            <a:pPr marL="0" indent="0" algn="l"/>
            <a:t>0431 294 241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7355</xdr:colOff>
      <xdr:row>115</xdr:row>
      <xdr:rowOff>12336</xdr:rowOff>
    </xdr:from>
    <xdr:to>
      <xdr:col>36</xdr:col>
      <xdr:colOff>5426</xdr:colOff>
      <xdr:row>116</xdr:row>
      <xdr:rowOff>8550</xdr:rowOff>
    </xdr:to>
    <xdr:sp macro="" textlink="SOLAR!D26">
      <xdr:nvSpPr>
        <xdr:cNvPr id="160" name="TextBox 159">
          <a:extLst>
            <a:ext uri="{FF2B5EF4-FFF2-40B4-BE49-F238E27FC236}">
              <a16:creationId xmlns:a16="http://schemas.microsoft.com/office/drawing/2014/main" id="{B82FFA85-45B8-42DA-AE4A-816B1A5CA653}"/>
            </a:ext>
          </a:extLst>
        </xdr:cNvPr>
        <xdr:cNvSpPr txBox="1"/>
      </xdr:nvSpPr>
      <xdr:spPr>
        <a:xfrm>
          <a:off x="2864855" y="21919836"/>
          <a:ext cx="3998571" cy="1867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E7C31C6-6953-554E-A191-F17A8844D6D1}" type="TxLink">
            <a:rPr lang="en-US" sz="1000" b="0" i="0" u="none" strike="noStrike">
              <a:solidFill>
                <a:srgbClr val="2A2A2A"/>
              </a:solidFill>
              <a:latin typeface="Overpass" pitchFamily="2" charset="77"/>
              <a:ea typeface="+mn-ea"/>
              <a:cs typeface="Calibri"/>
            </a:rPr>
            <a:pPr marL="0" indent="0" algn="l"/>
            <a:t>jon@smartcommercialenergy.com.au</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1609</xdr:colOff>
      <xdr:row>116</xdr:row>
      <xdr:rowOff>8549</xdr:rowOff>
    </xdr:from>
    <xdr:to>
      <xdr:col>36</xdr:col>
      <xdr:colOff>5193</xdr:colOff>
      <xdr:row>117</xdr:row>
      <xdr:rowOff>0</xdr:rowOff>
    </xdr:to>
    <xdr:sp macro="" textlink="">
      <xdr:nvSpPr>
        <xdr:cNvPr id="161" name="TextBox 160">
          <a:extLst>
            <a:ext uri="{FF2B5EF4-FFF2-40B4-BE49-F238E27FC236}">
              <a16:creationId xmlns:a16="http://schemas.microsoft.com/office/drawing/2014/main" id="{91CFD6CB-B6E9-4CF1-84DE-3D66CDA662A6}"/>
            </a:ext>
          </a:extLst>
        </xdr:cNvPr>
        <xdr:cNvSpPr txBox="1"/>
      </xdr:nvSpPr>
      <xdr:spPr>
        <a:xfrm>
          <a:off x="2859109" y="22106549"/>
          <a:ext cx="4004084" cy="18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Suite 6.01, 2 Elizabeth Plaza,</a:t>
          </a:r>
          <a:r>
            <a:rPr lang="en-US" sz="1000" b="0" i="0" u="none" strike="noStrike" baseline="0">
              <a:solidFill>
                <a:srgbClr val="2A2A2A"/>
              </a:solidFill>
              <a:latin typeface="Overpass" panose="00000500000000000000" pitchFamily="2" charset="0"/>
              <a:ea typeface="+mn-ea"/>
              <a:cs typeface="Calibri"/>
            </a:rPr>
            <a:t> North Sydney 2060</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658</xdr:colOff>
      <xdr:row>113</xdr:row>
      <xdr:rowOff>10742</xdr:rowOff>
    </xdr:from>
    <xdr:to>
      <xdr:col>14</xdr:col>
      <xdr:colOff>1930</xdr:colOff>
      <xdr:row>114</xdr:row>
      <xdr:rowOff>10724</xdr:rowOff>
    </xdr:to>
    <xdr:sp macro="" textlink="">
      <xdr:nvSpPr>
        <xdr:cNvPr id="162" name="TextBox 161">
          <a:extLst>
            <a:ext uri="{FF2B5EF4-FFF2-40B4-BE49-F238E27FC236}">
              <a16:creationId xmlns:a16="http://schemas.microsoft.com/office/drawing/2014/main" id="{344FA51C-A924-4D3E-95FC-B4528C600A9B}"/>
            </a:ext>
          </a:extLst>
        </xdr:cNvPr>
        <xdr:cNvSpPr txBox="1"/>
      </xdr:nvSpPr>
      <xdr:spPr>
        <a:xfrm>
          <a:off x="1143658" y="21537242"/>
          <a:ext cx="1525272" cy="190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CONSULTANT</a:t>
          </a:r>
        </a:p>
      </xdr:txBody>
    </xdr:sp>
    <xdr:clientData/>
  </xdr:twoCellAnchor>
  <xdr:twoCellAnchor>
    <xdr:from>
      <xdr:col>6</xdr:col>
      <xdr:colOff>658</xdr:colOff>
      <xdr:row>114</xdr:row>
      <xdr:rowOff>8054</xdr:rowOff>
    </xdr:from>
    <xdr:to>
      <xdr:col>14</xdr:col>
      <xdr:colOff>1930</xdr:colOff>
      <xdr:row>115</xdr:row>
      <xdr:rowOff>11244</xdr:rowOff>
    </xdr:to>
    <xdr:sp macro="" textlink="">
      <xdr:nvSpPr>
        <xdr:cNvPr id="163" name="TextBox 162">
          <a:extLst>
            <a:ext uri="{FF2B5EF4-FFF2-40B4-BE49-F238E27FC236}">
              <a16:creationId xmlns:a16="http://schemas.microsoft.com/office/drawing/2014/main" id="{FAF68EE7-8240-435B-8EB2-9AD5F1058E5E}"/>
            </a:ext>
          </a:extLst>
        </xdr:cNvPr>
        <xdr:cNvSpPr txBox="1"/>
      </xdr:nvSpPr>
      <xdr:spPr>
        <a:xfrm>
          <a:off x="1143658" y="21725054"/>
          <a:ext cx="1525272" cy="193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3564</xdr:colOff>
      <xdr:row>115</xdr:row>
      <xdr:rowOff>8300</xdr:rowOff>
    </xdr:from>
    <xdr:to>
      <xdr:col>14</xdr:col>
      <xdr:colOff>1929</xdr:colOff>
      <xdr:row>115</xdr:row>
      <xdr:rowOff>192790</xdr:rowOff>
    </xdr:to>
    <xdr:sp macro="" textlink="">
      <xdr:nvSpPr>
        <xdr:cNvPr id="164" name="TextBox 163">
          <a:extLst>
            <a:ext uri="{FF2B5EF4-FFF2-40B4-BE49-F238E27FC236}">
              <a16:creationId xmlns:a16="http://schemas.microsoft.com/office/drawing/2014/main" id="{63F75397-0ABD-4ED8-A7DF-210F446E1DC9}"/>
            </a:ext>
          </a:extLst>
        </xdr:cNvPr>
        <xdr:cNvSpPr txBox="1"/>
      </xdr:nvSpPr>
      <xdr:spPr>
        <a:xfrm>
          <a:off x="1146564" y="21915800"/>
          <a:ext cx="1522365" cy="184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3564</xdr:colOff>
      <xdr:row>116</xdr:row>
      <xdr:rowOff>8549</xdr:rowOff>
    </xdr:from>
    <xdr:to>
      <xdr:col>14</xdr:col>
      <xdr:colOff>1929</xdr:colOff>
      <xdr:row>117</xdr:row>
      <xdr:rowOff>0</xdr:rowOff>
    </xdr:to>
    <xdr:sp macro="" textlink="">
      <xdr:nvSpPr>
        <xdr:cNvPr id="165" name="TextBox 164">
          <a:extLst>
            <a:ext uri="{FF2B5EF4-FFF2-40B4-BE49-F238E27FC236}">
              <a16:creationId xmlns:a16="http://schemas.microsoft.com/office/drawing/2014/main" id="{2EDE177F-1D7C-4EC6-9EDB-D4D9871331E7}"/>
            </a:ext>
          </a:extLst>
        </xdr:cNvPr>
        <xdr:cNvSpPr txBox="1"/>
      </xdr:nvSpPr>
      <xdr:spPr>
        <a:xfrm>
          <a:off x="1146564" y="22106549"/>
          <a:ext cx="1522365" cy="18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HQ</a:t>
          </a:r>
        </a:p>
      </xdr:txBody>
    </xdr:sp>
    <xdr:clientData/>
  </xdr:twoCellAnchor>
  <xdr:twoCellAnchor>
    <xdr:from>
      <xdr:col>7</xdr:col>
      <xdr:colOff>98307</xdr:colOff>
      <xdr:row>110</xdr:row>
      <xdr:rowOff>14976</xdr:rowOff>
    </xdr:from>
    <xdr:to>
      <xdr:col>17</xdr:col>
      <xdr:colOff>5144</xdr:colOff>
      <xdr:row>112</xdr:row>
      <xdr:rowOff>15478</xdr:rowOff>
    </xdr:to>
    <xdr:sp macro="" textlink="">
      <xdr:nvSpPr>
        <xdr:cNvPr id="166" name="TextBox 165">
          <a:extLst>
            <a:ext uri="{FF2B5EF4-FFF2-40B4-BE49-F238E27FC236}">
              <a16:creationId xmlns:a16="http://schemas.microsoft.com/office/drawing/2014/main" id="{C4653A69-21BB-44EF-BEEB-704F4518A920}"/>
            </a:ext>
          </a:extLst>
        </xdr:cNvPr>
        <xdr:cNvSpPr txBox="1"/>
      </xdr:nvSpPr>
      <xdr:spPr>
        <a:xfrm>
          <a:off x="1431807" y="20969976"/>
          <a:ext cx="1811837" cy="381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by</a:t>
          </a:r>
        </a:p>
      </xdr:txBody>
    </xdr:sp>
    <xdr:clientData/>
  </xdr:twoCellAnchor>
  <xdr:twoCellAnchor>
    <xdr:from>
      <xdr:col>6</xdr:col>
      <xdr:colOff>98316</xdr:colOff>
      <xdr:row>110</xdr:row>
      <xdr:rowOff>14976</xdr:rowOff>
    </xdr:from>
    <xdr:to>
      <xdr:col>6</xdr:col>
      <xdr:colOff>98316</xdr:colOff>
      <xdr:row>112</xdr:row>
      <xdr:rowOff>15478</xdr:rowOff>
    </xdr:to>
    <xdr:cxnSp macro="">
      <xdr:nvCxnSpPr>
        <xdr:cNvPr id="167" name="Straight Connector 166">
          <a:extLst>
            <a:ext uri="{FF2B5EF4-FFF2-40B4-BE49-F238E27FC236}">
              <a16:creationId xmlns:a16="http://schemas.microsoft.com/office/drawing/2014/main" id="{9094FBD6-DF8D-40FE-AF3E-A2D76DC3ACE4}"/>
            </a:ext>
          </a:extLst>
        </xdr:cNvPr>
        <xdr:cNvCxnSpPr/>
      </xdr:nvCxnSpPr>
      <xdr:spPr>
        <a:xfrm>
          <a:off x="1241316" y="20969976"/>
          <a:ext cx="0" cy="38150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658</xdr:colOff>
      <xdr:row>109</xdr:row>
      <xdr:rowOff>96453</xdr:rowOff>
    </xdr:from>
    <xdr:to>
      <xdr:col>36</xdr:col>
      <xdr:colOff>2993</xdr:colOff>
      <xdr:row>109</xdr:row>
      <xdr:rowOff>96453</xdr:rowOff>
    </xdr:to>
    <xdr:cxnSp macro="">
      <xdr:nvCxnSpPr>
        <xdr:cNvPr id="168" name="Straight Connector 16">
          <a:extLst>
            <a:ext uri="{FF2B5EF4-FFF2-40B4-BE49-F238E27FC236}">
              <a16:creationId xmlns:a16="http://schemas.microsoft.com/office/drawing/2014/main" id="{31A2A9AA-4DCD-4489-9081-40DDC46144B5}"/>
            </a:ext>
          </a:extLst>
        </xdr:cNvPr>
        <xdr:cNvCxnSpPr/>
      </xdr:nvCxnSpPr>
      <xdr:spPr>
        <a:xfrm>
          <a:off x="1143658" y="20860953"/>
          <a:ext cx="57173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172</xdr:row>
      <xdr:rowOff>155034</xdr:rowOff>
    </xdr:from>
    <xdr:to>
      <xdr:col>36</xdr:col>
      <xdr:colOff>0</xdr:colOff>
      <xdr:row>172</xdr:row>
      <xdr:rowOff>155034</xdr:rowOff>
    </xdr:to>
    <xdr:cxnSp macro="">
      <xdr:nvCxnSpPr>
        <xdr:cNvPr id="169" name="Straight Connector 16">
          <a:extLst>
            <a:ext uri="{FF2B5EF4-FFF2-40B4-BE49-F238E27FC236}">
              <a16:creationId xmlns:a16="http://schemas.microsoft.com/office/drawing/2014/main" id="{AD8E6AF1-7965-41C9-A120-901F907667C8}"/>
            </a:ext>
          </a:extLst>
        </xdr:cNvPr>
        <xdr:cNvCxnSpPr/>
      </xdr:nvCxnSpPr>
      <xdr:spPr>
        <a:xfrm>
          <a:off x="1140316" y="32921034"/>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154</xdr:row>
      <xdr:rowOff>12160</xdr:rowOff>
    </xdr:from>
    <xdr:to>
      <xdr:col>36</xdr:col>
      <xdr:colOff>0</xdr:colOff>
      <xdr:row>154</xdr:row>
      <xdr:rowOff>12160</xdr:rowOff>
    </xdr:to>
    <xdr:cxnSp macro="">
      <xdr:nvCxnSpPr>
        <xdr:cNvPr id="170" name="Straight Connector 16">
          <a:extLst>
            <a:ext uri="{FF2B5EF4-FFF2-40B4-BE49-F238E27FC236}">
              <a16:creationId xmlns:a16="http://schemas.microsoft.com/office/drawing/2014/main" id="{0FA51DB3-A12B-4087-8A91-9266767EC35E}"/>
            </a:ext>
          </a:extLst>
        </xdr:cNvPr>
        <xdr:cNvCxnSpPr/>
      </xdr:nvCxnSpPr>
      <xdr:spPr>
        <a:xfrm>
          <a:off x="1140316" y="2934916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138</xdr:row>
      <xdr:rowOff>190450</xdr:rowOff>
    </xdr:from>
    <xdr:to>
      <xdr:col>36</xdr:col>
      <xdr:colOff>0</xdr:colOff>
      <xdr:row>138</xdr:row>
      <xdr:rowOff>190450</xdr:rowOff>
    </xdr:to>
    <xdr:cxnSp macro="">
      <xdr:nvCxnSpPr>
        <xdr:cNvPr id="171" name="Straight Connector 16">
          <a:extLst>
            <a:ext uri="{FF2B5EF4-FFF2-40B4-BE49-F238E27FC236}">
              <a16:creationId xmlns:a16="http://schemas.microsoft.com/office/drawing/2014/main" id="{F6603781-D051-439A-9165-2CF54A751491}"/>
            </a:ext>
          </a:extLst>
        </xdr:cNvPr>
        <xdr:cNvCxnSpPr/>
      </xdr:nvCxnSpPr>
      <xdr:spPr>
        <a:xfrm>
          <a:off x="1140316" y="2647945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0</xdr:colOff>
      <xdr:row>126</xdr:row>
      <xdr:rowOff>187816</xdr:rowOff>
    </xdr:from>
    <xdr:to>
      <xdr:col>72</xdr:col>
      <xdr:colOff>2684</xdr:colOff>
      <xdr:row>129</xdr:row>
      <xdr:rowOff>6350</xdr:rowOff>
    </xdr:to>
    <xdr:sp macro="" textlink="">
      <xdr:nvSpPr>
        <xdr:cNvPr id="172" name="TextBox 15">
          <a:extLst>
            <a:ext uri="{FF2B5EF4-FFF2-40B4-BE49-F238E27FC236}">
              <a16:creationId xmlns:a16="http://schemas.microsoft.com/office/drawing/2014/main" id="{5EDA117B-FEC1-4A17-B4A0-9EDEB8758A94}"/>
            </a:ext>
          </a:extLst>
        </xdr:cNvPr>
        <xdr:cNvSpPr txBox="1"/>
      </xdr:nvSpPr>
      <xdr:spPr>
        <a:xfrm>
          <a:off x="8953500" y="24190816"/>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47</xdr:col>
      <xdr:colOff>2685</xdr:colOff>
      <xdr:row>126</xdr:row>
      <xdr:rowOff>0</xdr:rowOff>
    </xdr:from>
    <xdr:to>
      <xdr:col>72</xdr:col>
      <xdr:colOff>20572</xdr:colOff>
      <xdr:row>126</xdr:row>
      <xdr:rowOff>187816</xdr:rowOff>
    </xdr:to>
    <xdr:sp macro="" textlink="">
      <xdr:nvSpPr>
        <xdr:cNvPr id="173" name="TextBox 15">
          <a:extLst>
            <a:ext uri="{FF2B5EF4-FFF2-40B4-BE49-F238E27FC236}">
              <a16:creationId xmlns:a16="http://schemas.microsoft.com/office/drawing/2014/main" id="{962B0FA4-6F8B-4D40-BFDB-509ABAA84B4C}"/>
            </a:ext>
          </a:extLst>
        </xdr:cNvPr>
        <xdr:cNvSpPr txBox="1"/>
      </xdr:nvSpPr>
      <xdr:spPr>
        <a:xfrm>
          <a:off x="8956185" y="24003000"/>
          <a:ext cx="478038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2/2</a:t>
          </a:r>
        </a:p>
      </xdr:txBody>
    </xdr:sp>
    <xdr:clientData/>
  </xdr:twoCellAnchor>
  <xdr:twoCellAnchor>
    <xdr:from>
      <xdr:col>48</xdr:col>
      <xdr:colOff>98975</xdr:colOff>
      <xdr:row>131</xdr:row>
      <xdr:rowOff>0</xdr:rowOff>
    </xdr:from>
    <xdr:to>
      <xdr:col>57</xdr:col>
      <xdr:colOff>186481</xdr:colOff>
      <xdr:row>133</xdr:row>
      <xdr:rowOff>0</xdr:rowOff>
    </xdr:to>
    <xdr:sp macro="" textlink="">
      <xdr:nvSpPr>
        <xdr:cNvPr id="174" name="TextBox 173">
          <a:extLst>
            <a:ext uri="{FF2B5EF4-FFF2-40B4-BE49-F238E27FC236}">
              <a16:creationId xmlns:a16="http://schemas.microsoft.com/office/drawing/2014/main" id="{1EA199CE-4898-415E-8954-B5DE7E000367}"/>
            </a:ext>
          </a:extLst>
        </xdr:cNvPr>
        <xdr:cNvSpPr txBox="1"/>
      </xdr:nvSpPr>
      <xdr:spPr>
        <a:xfrm>
          <a:off x="9242975" y="24955500"/>
          <a:ext cx="18020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Safety</a:t>
          </a:r>
        </a:p>
      </xdr:txBody>
    </xdr:sp>
    <xdr:clientData/>
  </xdr:twoCellAnchor>
  <xdr:twoCellAnchor>
    <xdr:from>
      <xdr:col>47</xdr:col>
      <xdr:colOff>94916</xdr:colOff>
      <xdr:row>131</xdr:row>
      <xdr:rowOff>0</xdr:rowOff>
    </xdr:from>
    <xdr:to>
      <xdr:col>47</xdr:col>
      <xdr:colOff>94916</xdr:colOff>
      <xdr:row>133</xdr:row>
      <xdr:rowOff>0</xdr:rowOff>
    </xdr:to>
    <xdr:cxnSp macro="">
      <xdr:nvCxnSpPr>
        <xdr:cNvPr id="175" name="Straight Connector 174">
          <a:extLst>
            <a:ext uri="{FF2B5EF4-FFF2-40B4-BE49-F238E27FC236}">
              <a16:creationId xmlns:a16="http://schemas.microsoft.com/office/drawing/2014/main" id="{A73274A8-647A-4A08-82A1-4B4F8BD9DACC}"/>
            </a:ext>
          </a:extLst>
        </xdr:cNvPr>
        <xdr:cNvCxnSpPr/>
      </xdr:nvCxnSpPr>
      <xdr:spPr>
        <a:xfrm>
          <a:off x="9048416"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133</xdr:row>
      <xdr:rowOff>192331</xdr:rowOff>
    </xdr:from>
    <xdr:to>
      <xdr:col>60</xdr:col>
      <xdr:colOff>4055</xdr:colOff>
      <xdr:row>134</xdr:row>
      <xdr:rowOff>189695</xdr:rowOff>
    </xdr:to>
    <xdr:sp macro="" textlink="">
      <xdr:nvSpPr>
        <xdr:cNvPr id="176" name="TextBox 175">
          <a:extLst>
            <a:ext uri="{FF2B5EF4-FFF2-40B4-BE49-F238E27FC236}">
              <a16:creationId xmlns:a16="http://schemas.microsoft.com/office/drawing/2014/main" id="{176EC3BE-CF84-44C0-A8A5-0CEA9354717C}"/>
            </a:ext>
          </a:extLst>
        </xdr:cNvPr>
        <xdr:cNvSpPr txBox="1"/>
      </xdr:nvSpPr>
      <xdr:spPr>
        <a:xfrm>
          <a:off x="8953500" y="25528831"/>
          <a:ext cx="2480555" cy="187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SKYLIGHT</a:t>
          </a:r>
          <a:r>
            <a:rPr lang="en-US" sz="1000" b="1" i="0" u="none" strike="noStrike" baseline="0">
              <a:solidFill>
                <a:srgbClr val="2A2A2A"/>
              </a:solidFill>
              <a:latin typeface="Overpass" panose="00000500000000000000" pitchFamily="2" charset="0"/>
              <a:ea typeface="+mn-ea"/>
              <a:cs typeface="Calibri"/>
            </a:rPr>
            <a:t> SAFETY</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134</xdr:row>
      <xdr:rowOff>192330</xdr:rowOff>
    </xdr:from>
    <xdr:to>
      <xdr:col>60</xdr:col>
      <xdr:colOff>4055</xdr:colOff>
      <xdr:row>135</xdr:row>
      <xdr:rowOff>194490</xdr:rowOff>
    </xdr:to>
    <xdr:sp macro="" textlink="">
      <xdr:nvSpPr>
        <xdr:cNvPr id="177" name="TextBox 176">
          <a:extLst>
            <a:ext uri="{FF2B5EF4-FFF2-40B4-BE49-F238E27FC236}">
              <a16:creationId xmlns:a16="http://schemas.microsoft.com/office/drawing/2014/main" id="{10C2BCDA-C527-4B8E-9742-DEE845C64C84}"/>
            </a:ext>
          </a:extLst>
        </xdr:cNvPr>
        <xdr:cNvSpPr txBox="1"/>
      </xdr:nvSpPr>
      <xdr:spPr>
        <a:xfrm>
          <a:off x="8953500" y="25719330"/>
          <a:ext cx="2480555" cy="192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WALKWAY</a:t>
          </a:r>
        </a:p>
      </xdr:txBody>
    </xdr:sp>
    <xdr:clientData/>
  </xdr:twoCellAnchor>
  <xdr:twoCellAnchor>
    <xdr:from>
      <xdr:col>47</xdr:col>
      <xdr:colOff>0</xdr:colOff>
      <xdr:row>135</xdr:row>
      <xdr:rowOff>187535</xdr:rowOff>
    </xdr:from>
    <xdr:to>
      <xdr:col>60</xdr:col>
      <xdr:colOff>4055</xdr:colOff>
      <xdr:row>136</xdr:row>
      <xdr:rowOff>194489</xdr:rowOff>
    </xdr:to>
    <xdr:sp macro="" textlink="">
      <xdr:nvSpPr>
        <xdr:cNvPr id="178" name="TextBox 177">
          <a:extLst>
            <a:ext uri="{FF2B5EF4-FFF2-40B4-BE49-F238E27FC236}">
              <a16:creationId xmlns:a16="http://schemas.microsoft.com/office/drawing/2014/main" id="{469351F0-4FEA-42FC-B26E-E2C06C62B07C}"/>
            </a:ext>
          </a:extLst>
        </xdr:cNvPr>
        <xdr:cNvSpPr txBox="1"/>
      </xdr:nvSpPr>
      <xdr:spPr>
        <a:xfrm>
          <a:off x="8953500" y="25905035"/>
          <a:ext cx="2480555" cy="197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TEMPORARY</a:t>
          </a:r>
          <a:r>
            <a:rPr lang="en-US" sz="1000" b="1" i="0" u="none" strike="noStrike" baseline="0">
              <a:solidFill>
                <a:srgbClr val="2A2A2A"/>
              </a:solidFill>
              <a:latin typeface="Overpass" panose="00000500000000000000" pitchFamily="2" charset="0"/>
              <a:ea typeface="+mn-ea"/>
              <a:cs typeface="Calibri"/>
            </a:rPr>
            <a:t> HAND RAIL</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136</xdr:row>
      <xdr:rowOff>192330</xdr:rowOff>
    </xdr:from>
    <xdr:to>
      <xdr:col>60</xdr:col>
      <xdr:colOff>4055</xdr:colOff>
      <xdr:row>137</xdr:row>
      <xdr:rowOff>194489</xdr:rowOff>
    </xdr:to>
    <xdr:sp macro="" textlink="">
      <xdr:nvSpPr>
        <xdr:cNvPr id="179" name="TextBox 178">
          <a:extLst>
            <a:ext uri="{FF2B5EF4-FFF2-40B4-BE49-F238E27FC236}">
              <a16:creationId xmlns:a16="http://schemas.microsoft.com/office/drawing/2014/main" id="{AC89123C-25A3-475E-AE22-BB43997FC027}"/>
            </a:ext>
          </a:extLst>
        </xdr:cNvPr>
        <xdr:cNvSpPr txBox="1"/>
      </xdr:nvSpPr>
      <xdr:spPr>
        <a:xfrm>
          <a:off x="8953500" y="26100330"/>
          <a:ext cx="2480555" cy="192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PERMANENT HAND RAIL</a:t>
          </a:r>
        </a:p>
      </xdr:txBody>
    </xdr:sp>
    <xdr:clientData/>
  </xdr:twoCellAnchor>
  <xdr:twoCellAnchor>
    <xdr:from>
      <xdr:col>47</xdr:col>
      <xdr:colOff>0</xdr:colOff>
      <xdr:row>137</xdr:row>
      <xdr:rowOff>192330</xdr:rowOff>
    </xdr:from>
    <xdr:to>
      <xdr:col>60</xdr:col>
      <xdr:colOff>4055</xdr:colOff>
      <xdr:row>138</xdr:row>
      <xdr:rowOff>194490</xdr:rowOff>
    </xdr:to>
    <xdr:sp macro="" textlink="">
      <xdr:nvSpPr>
        <xdr:cNvPr id="180" name="TextBox 179">
          <a:extLst>
            <a:ext uri="{FF2B5EF4-FFF2-40B4-BE49-F238E27FC236}">
              <a16:creationId xmlns:a16="http://schemas.microsoft.com/office/drawing/2014/main" id="{F794C56F-2D8B-4F92-AA0B-0906417C7502}"/>
            </a:ext>
          </a:extLst>
        </xdr:cNvPr>
        <xdr:cNvSpPr txBox="1"/>
      </xdr:nvSpPr>
      <xdr:spPr>
        <a:xfrm>
          <a:off x="8953500" y="26290830"/>
          <a:ext cx="2480555" cy="192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THIRD PARTY SAFETY</a:t>
          </a:r>
        </a:p>
      </xdr:txBody>
    </xdr:sp>
    <xdr:clientData/>
  </xdr:twoCellAnchor>
  <xdr:twoCellAnchor>
    <xdr:from>
      <xdr:col>47</xdr:col>
      <xdr:colOff>0</xdr:colOff>
      <xdr:row>140</xdr:row>
      <xdr:rowOff>191085</xdr:rowOff>
    </xdr:from>
    <xdr:to>
      <xdr:col>77</xdr:col>
      <xdr:colOff>0</xdr:colOff>
      <xdr:row>140</xdr:row>
      <xdr:rowOff>191085</xdr:rowOff>
    </xdr:to>
    <xdr:cxnSp macro="">
      <xdr:nvCxnSpPr>
        <xdr:cNvPr id="181" name="Straight Connector 16">
          <a:extLst>
            <a:ext uri="{FF2B5EF4-FFF2-40B4-BE49-F238E27FC236}">
              <a16:creationId xmlns:a16="http://schemas.microsoft.com/office/drawing/2014/main" id="{1D78CF57-C5A4-4B76-A162-8543CF93FD82}"/>
            </a:ext>
          </a:extLst>
        </xdr:cNvPr>
        <xdr:cNvCxnSpPr/>
      </xdr:nvCxnSpPr>
      <xdr:spPr>
        <a:xfrm>
          <a:off x="8953500" y="26861085"/>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102994</xdr:colOff>
      <xdr:row>142</xdr:row>
      <xdr:rowOff>192330</xdr:rowOff>
    </xdr:from>
    <xdr:to>
      <xdr:col>58</xdr:col>
      <xdr:colOff>0</xdr:colOff>
      <xdr:row>144</xdr:row>
      <xdr:rowOff>192330</xdr:rowOff>
    </xdr:to>
    <xdr:sp macro="" textlink="">
      <xdr:nvSpPr>
        <xdr:cNvPr id="182" name="TextBox 181">
          <a:extLst>
            <a:ext uri="{FF2B5EF4-FFF2-40B4-BE49-F238E27FC236}">
              <a16:creationId xmlns:a16="http://schemas.microsoft.com/office/drawing/2014/main" id="{098AB7A5-AA67-4041-AEEC-44790B26A1A7}"/>
            </a:ext>
          </a:extLst>
        </xdr:cNvPr>
        <xdr:cNvSpPr txBox="1"/>
      </xdr:nvSpPr>
      <xdr:spPr>
        <a:xfrm>
          <a:off x="9246994" y="27243330"/>
          <a:ext cx="180200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Warranties</a:t>
          </a:r>
        </a:p>
      </xdr:txBody>
    </xdr:sp>
    <xdr:clientData/>
  </xdr:twoCellAnchor>
  <xdr:twoCellAnchor>
    <xdr:from>
      <xdr:col>47</xdr:col>
      <xdr:colOff>98935</xdr:colOff>
      <xdr:row>142</xdr:row>
      <xdr:rowOff>192330</xdr:rowOff>
    </xdr:from>
    <xdr:to>
      <xdr:col>47</xdr:col>
      <xdr:colOff>98935</xdr:colOff>
      <xdr:row>144</xdr:row>
      <xdr:rowOff>192330</xdr:rowOff>
    </xdr:to>
    <xdr:cxnSp macro="">
      <xdr:nvCxnSpPr>
        <xdr:cNvPr id="183" name="Straight Connector 182">
          <a:extLst>
            <a:ext uri="{FF2B5EF4-FFF2-40B4-BE49-F238E27FC236}">
              <a16:creationId xmlns:a16="http://schemas.microsoft.com/office/drawing/2014/main" id="{22276BB3-6686-4FBA-B816-8361C66B94F8}"/>
            </a:ext>
          </a:extLst>
        </xdr:cNvPr>
        <xdr:cNvCxnSpPr/>
      </xdr:nvCxnSpPr>
      <xdr:spPr>
        <a:xfrm>
          <a:off x="9052435" y="272433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145</xdr:row>
      <xdr:rowOff>192330</xdr:rowOff>
    </xdr:from>
    <xdr:to>
      <xdr:col>60</xdr:col>
      <xdr:colOff>4055</xdr:colOff>
      <xdr:row>146</xdr:row>
      <xdr:rowOff>193699</xdr:rowOff>
    </xdr:to>
    <xdr:sp macro="" textlink="">
      <xdr:nvSpPr>
        <xdr:cNvPr id="184" name="TextBox 183">
          <a:extLst>
            <a:ext uri="{FF2B5EF4-FFF2-40B4-BE49-F238E27FC236}">
              <a16:creationId xmlns:a16="http://schemas.microsoft.com/office/drawing/2014/main" id="{CC909C77-606B-45C2-9D1F-117F6BBEF90D}"/>
            </a:ext>
          </a:extLst>
        </xdr:cNvPr>
        <xdr:cNvSpPr txBox="1"/>
      </xdr:nvSpPr>
      <xdr:spPr>
        <a:xfrm>
          <a:off x="8953500" y="27814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a:t>
          </a:r>
          <a:r>
            <a:rPr lang="en-US" sz="1000" b="1" i="0" u="none" strike="noStrike" baseline="0">
              <a:solidFill>
                <a:srgbClr val="2A2A2A"/>
              </a:solidFill>
              <a:latin typeface="Overpass" panose="00000500000000000000" pitchFamily="2" charset="0"/>
              <a:ea typeface="+mn-ea"/>
              <a:cs typeface="Calibri"/>
            </a:rPr>
            <a:t> PRODUCT</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146</xdr:row>
      <xdr:rowOff>192330</xdr:rowOff>
    </xdr:from>
    <xdr:to>
      <xdr:col>60</xdr:col>
      <xdr:colOff>4055</xdr:colOff>
      <xdr:row>147</xdr:row>
      <xdr:rowOff>193699</xdr:rowOff>
    </xdr:to>
    <xdr:sp macro="" textlink="">
      <xdr:nvSpPr>
        <xdr:cNvPr id="185" name="TextBox 184">
          <a:extLst>
            <a:ext uri="{FF2B5EF4-FFF2-40B4-BE49-F238E27FC236}">
              <a16:creationId xmlns:a16="http://schemas.microsoft.com/office/drawing/2014/main" id="{BF9499EF-C869-4071-9A04-41C42DEDFDC0}"/>
            </a:ext>
          </a:extLst>
        </xdr:cNvPr>
        <xdr:cNvSpPr txBox="1"/>
      </xdr:nvSpPr>
      <xdr:spPr>
        <a:xfrm>
          <a:off x="8953500" y="28005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PANEL PERFORMANCE</a:t>
          </a:r>
        </a:p>
      </xdr:txBody>
    </xdr:sp>
    <xdr:clientData/>
  </xdr:twoCellAnchor>
  <xdr:twoCellAnchor>
    <xdr:from>
      <xdr:col>47</xdr:col>
      <xdr:colOff>0</xdr:colOff>
      <xdr:row>147</xdr:row>
      <xdr:rowOff>192330</xdr:rowOff>
    </xdr:from>
    <xdr:to>
      <xdr:col>60</xdr:col>
      <xdr:colOff>4055</xdr:colOff>
      <xdr:row>148</xdr:row>
      <xdr:rowOff>193699</xdr:rowOff>
    </xdr:to>
    <xdr:sp macro="" textlink="">
      <xdr:nvSpPr>
        <xdr:cNvPr id="186" name="TextBox 185">
          <a:extLst>
            <a:ext uri="{FF2B5EF4-FFF2-40B4-BE49-F238E27FC236}">
              <a16:creationId xmlns:a16="http://schemas.microsoft.com/office/drawing/2014/main" id="{C2A5CB65-9FE4-47CF-9BCC-323FD7F3FCBA}"/>
            </a:ext>
          </a:extLst>
        </xdr:cNvPr>
        <xdr:cNvSpPr txBox="1"/>
      </xdr:nvSpPr>
      <xdr:spPr>
        <a:xfrm>
          <a:off x="8953500" y="28195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a:t>
          </a:r>
        </a:p>
      </xdr:txBody>
    </xdr:sp>
    <xdr:clientData/>
  </xdr:twoCellAnchor>
  <xdr:twoCellAnchor>
    <xdr:from>
      <xdr:col>47</xdr:col>
      <xdr:colOff>0</xdr:colOff>
      <xdr:row>148</xdr:row>
      <xdr:rowOff>192330</xdr:rowOff>
    </xdr:from>
    <xdr:to>
      <xdr:col>60</xdr:col>
      <xdr:colOff>4055</xdr:colOff>
      <xdr:row>149</xdr:row>
      <xdr:rowOff>193699</xdr:rowOff>
    </xdr:to>
    <xdr:sp macro="" textlink="">
      <xdr:nvSpPr>
        <xdr:cNvPr id="187" name="TextBox 186">
          <a:extLst>
            <a:ext uri="{FF2B5EF4-FFF2-40B4-BE49-F238E27FC236}">
              <a16:creationId xmlns:a16="http://schemas.microsoft.com/office/drawing/2014/main" id="{00126920-2DE2-40F9-96FC-494622A447F8}"/>
            </a:ext>
          </a:extLst>
        </xdr:cNvPr>
        <xdr:cNvSpPr txBox="1"/>
      </xdr:nvSpPr>
      <xdr:spPr>
        <a:xfrm>
          <a:off x="8953500" y="283863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INVERTER EXTENSION</a:t>
          </a:r>
        </a:p>
      </xdr:txBody>
    </xdr:sp>
    <xdr:clientData/>
  </xdr:twoCellAnchor>
  <xdr:twoCellAnchor>
    <xdr:from>
      <xdr:col>47</xdr:col>
      <xdr:colOff>0</xdr:colOff>
      <xdr:row>149</xdr:row>
      <xdr:rowOff>192330</xdr:rowOff>
    </xdr:from>
    <xdr:to>
      <xdr:col>60</xdr:col>
      <xdr:colOff>4055</xdr:colOff>
      <xdr:row>150</xdr:row>
      <xdr:rowOff>193699</xdr:rowOff>
    </xdr:to>
    <xdr:sp macro="" textlink="">
      <xdr:nvSpPr>
        <xdr:cNvPr id="188" name="TextBox 187">
          <a:extLst>
            <a:ext uri="{FF2B5EF4-FFF2-40B4-BE49-F238E27FC236}">
              <a16:creationId xmlns:a16="http://schemas.microsoft.com/office/drawing/2014/main" id="{AC3B8E00-49ED-48E6-8655-0C31733CC5F7}"/>
            </a:ext>
          </a:extLst>
        </xdr:cNvPr>
        <xdr:cNvSpPr txBox="1"/>
      </xdr:nvSpPr>
      <xdr:spPr>
        <a:xfrm>
          <a:off x="8953500" y="285768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WORKMANSHIP</a:t>
          </a:r>
        </a:p>
      </xdr:txBody>
    </xdr:sp>
    <xdr:clientData/>
  </xdr:twoCellAnchor>
  <xdr:twoCellAnchor>
    <xdr:from>
      <xdr:col>47</xdr:col>
      <xdr:colOff>1</xdr:colOff>
      <xdr:row>150</xdr:row>
      <xdr:rowOff>135180</xdr:rowOff>
    </xdr:from>
    <xdr:to>
      <xdr:col>59</xdr:col>
      <xdr:colOff>123825</xdr:colOff>
      <xdr:row>153</xdr:row>
      <xdr:rowOff>66675</xdr:rowOff>
    </xdr:to>
    <xdr:sp macro="" textlink="">
      <xdr:nvSpPr>
        <xdr:cNvPr id="189" name="TextBox 188">
          <a:extLst>
            <a:ext uri="{FF2B5EF4-FFF2-40B4-BE49-F238E27FC236}">
              <a16:creationId xmlns:a16="http://schemas.microsoft.com/office/drawing/2014/main" id="{B2A7EDD8-96F1-418E-9E5A-043BC304CF6B}"/>
            </a:ext>
          </a:extLst>
        </xdr:cNvPr>
        <xdr:cNvSpPr txBox="1"/>
      </xdr:nvSpPr>
      <xdr:spPr>
        <a:xfrm>
          <a:off x="8953501" y="28710180"/>
          <a:ext cx="2409824" cy="502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12</a:t>
          </a:r>
          <a:r>
            <a:rPr lang="en-US" sz="1000" b="1" i="0" u="none" strike="noStrike" baseline="0">
              <a:solidFill>
                <a:srgbClr val="2A2A2A"/>
              </a:solidFill>
              <a:latin typeface="Overpass" panose="00000500000000000000" pitchFamily="2" charset="0"/>
              <a:ea typeface="+mn-ea"/>
              <a:cs typeface="Calibri"/>
            </a:rPr>
            <a:t> MONTHS </a:t>
          </a:r>
          <a:r>
            <a:rPr lang="en-US" sz="1000" b="1" i="0" u="none" strike="noStrike">
              <a:solidFill>
                <a:srgbClr val="2A2A2A"/>
              </a:solidFill>
              <a:latin typeface="Overpass" panose="00000500000000000000" pitchFamily="2" charset="0"/>
              <a:ea typeface="+mn-ea"/>
              <a:cs typeface="Calibri"/>
            </a:rPr>
            <a:t>SMART INVESTMENT PROTECTION</a:t>
          </a:r>
        </a:p>
      </xdr:txBody>
    </xdr:sp>
    <xdr:clientData/>
  </xdr:twoCellAnchor>
  <xdr:twoCellAnchor>
    <xdr:from>
      <xdr:col>47</xdr:col>
      <xdr:colOff>0</xdr:colOff>
      <xdr:row>157</xdr:row>
      <xdr:rowOff>163755</xdr:rowOff>
    </xdr:from>
    <xdr:to>
      <xdr:col>77</xdr:col>
      <xdr:colOff>0</xdr:colOff>
      <xdr:row>157</xdr:row>
      <xdr:rowOff>163755</xdr:rowOff>
    </xdr:to>
    <xdr:cxnSp macro="">
      <xdr:nvCxnSpPr>
        <xdr:cNvPr id="190" name="Straight Connector 16">
          <a:extLst>
            <a:ext uri="{FF2B5EF4-FFF2-40B4-BE49-F238E27FC236}">
              <a16:creationId xmlns:a16="http://schemas.microsoft.com/office/drawing/2014/main" id="{B89D8A7B-F9BC-4390-B1BF-B0C84EB0D868}"/>
            </a:ext>
          </a:extLst>
        </xdr:cNvPr>
        <xdr:cNvCxnSpPr/>
      </xdr:nvCxnSpPr>
      <xdr:spPr>
        <a:xfrm>
          <a:off x="8953500" y="30072255"/>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108713</xdr:colOff>
      <xdr:row>159</xdr:row>
      <xdr:rowOff>39930</xdr:rowOff>
    </xdr:from>
    <xdr:to>
      <xdr:col>68</xdr:col>
      <xdr:colOff>5720</xdr:colOff>
      <xdr:row>161</xdr:row>
      <xdr:rowOff>39930</xdr:rowOff>
    </xdr:to>
    <xdr:sp macro="" textlink="">
      <xdr:nvSpPr>
        <xdr:cNvPr id="191" name="TextBox 190">
          <a:extLst>
            <a:ext uri="{FF2B5EF4-FFF2-40B4-BE49-F238E27FC236}">
              <a16:creationId xmlns:a16="http://schemas.microsoft.com/office/drawing/2014/main" id="{76EA183E-B44C-4808-B0DD-449FB72B4ED1}"/>
            </a:ext>
          </a:extLst>
        </xdr:cNvPr>
        <xdr:cNvSpPr txBox="1"/>
      </xdr:nvSpPr>
      <xdr:spPr>
        <a:xfrm>
          <a:off x="9252713" y="30329430"/>
          <a:ext cx="370700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Commissioning</a:t>
          </a:r>
          <a:r>
            <a:rPr lang="en-GB" sz="2000" b="0" i="0" baseline="0">
              <a:solidFill>
                <a:srgbClr val="28066C"/>
              </a:solidFill>
              <a:latin typeface="Barlow" pitchFamily="2" charset="77"/>
            </a:rPr>
            <a:t> &amp; Monitoring</a:t>
          </a:r>
          <a:endParaRPr lang="en-GB" sz="2000" b="0" i="0">
            <a:solidFill>
              <a:srgbClr val="28066C"/>
            </a:solidFill>
            <a:latin typeface="Barlow" pitchFamily="2" charset="77"/>
          </a:endParaRPr>
        </a:p>
      </xdr:txBody>
    </xdr:sp>
    <xdr:clientData/>
  </xdr:twoCellAnchor>
  <xdr:twoCellAnchor>
    <xdr:from>
      <xdr:col>47</xdr:col>
      <xdr:colOff>104655</xdr:colOff>
      <xdr:row>159</xdr:row>
      <xdr:rowOff>39930</xdr:rowOff>
    </xdr:from>
    <xdr:to>
      <xdr:col>47</xdr:col>
      <xdr:colOff>104655</xdr:colOff>
      <xdr:row>161</xdr:row>
      <xdr:rowOff>39930</xdr:rowOff>
    </xdr:to>
    <xdr:cxnSp macro="">
      <xdr:nvCxnSpPr>
        <xdr:cNvPr id="192" name="Straight Connector 191">
          <a:extLst>
            <a:ext uri="{FF2B5EF4-FFF2-40B4-BE49-F238E27FC236}">
              <a16:creationId xmlns:a16="http://schemas.microsoft.com/office/drawing/2014/main" id="{89964BE7-4BE4-4B4F-8F7C-20538CE3FEA3}"/>
            </a:ext>
          </a:extLst>
        </xdr:cNvPr>
        <xdr:cNvCxnSpPr/>
      </xdr:nvCxnSpPr>
      <xdr:spPr>
        <a:xfrm>
          <a:off x="9058155" y="3032943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5720</xdr:colOff>
      <xdr:row>162</xdr:row>
      <xdr:rowOff>5633</xdr:rowOff>
    </xdr:from>
    <xdr:to>
      <xdr:col>60</xdr:col>
      <xdr:colOff>9775</xdr:colOff>
      <xdr:row>163</xdr:row>
      <xdr:rowOff>12724</xdr:rowOff>
    </xdr:to>
    <xdr:sp macro="" textlink="">
      <xdr:nvSpPr>
        <xdr:cNvPr id="193" name="TextBox 192">
          <a:extLst>
            <a:ext uri="{FF2B5EF4-FFF2-40B4-BE49-F238E27FC236}">
              <a16:creationId xmlns:a16="http://schemas.microsoft.com/office/drawing/2014/main" id="{F33C5858-10BA-404E-A785-A763597FD0B2}"/>
            </a:ext>
          </a:extLst>
        </xdr:cNvPr>
        <xdr:cNvSpPr txBox="1"/>
      </xdr:nvSpPr>
      <xdr:spPr>
        <a:xfrm>
          <a:off x="8959220" y="30866633"/>
          <a:ext cx="2480555" cy="197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SYSTEM MONITORING</a:t>
          </a:r>
        </a:p>
      </xdr:txBody>
    </xdr:sp>
    <xdr:clientData/>
  </xdr:twoCellAnchor>
  <xdr:twoCellAnchor>
    <xdr:from>
      <xdr:col>47</xdr:col>
      <xdr:colOff>5720</xdr:colOff>
      <xdr:row>163</xdr:row>
      <xdr:rowOff>39930</xdr:rowOff>
    </xdr:from>
    <xdr:to>
      <xdr:col>60</xdr:col>
      <xdr:colOff>9775</xdr:colOff>
      <xdr:row>164</xdr:row>
      <xdr:rowOff>41299</xdr:rowOff>
    </xdr:to>
    <xdr:sp macro="" textlink="">
      <xdr:nvSpPr>
        <xdr:cNvPr id="194" name="TextBox 193">
          <a:extLst>
            <a:ext uri="{FF2B5EF4-FFF2-40B4-BE49-F238E27FC236}">
              <a16:creationId xmlns:a16="http://schemas.microsoft.com/office/drawing/2014/main" id="{712F181B-5813-4EE7-A35E-425EAED93C1A}"/>
            </a:ext>
          </a:extLst>
        </xdr:cNvPr>
        <xdr:cNvSpPr txBox="1"/>
      </xdr:nvSpPr>
      <xdr:spPr>
        <a:xfrm>
          <a:off x="8959220" y="310914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LGC CONTRACT ESTABLISHMENT</a:t>
          </a:r>
        </a:p>
      </xdr:txBody>
    </xdr:sp>
    <xdr:clientData/>
  </xdr:twoCellAnchor>
  <xdr:twoCellAnchor>
    <xdr:from>
      <xdr:col>47</xdr:col>
      <xdr:colOff>19050</xdr:colOff>
      <xdr:row>167</xdr:row>
      <xdr:rowOff>154230</xdr:rowOff>
    </xdr:from>
    <xdr:to>
      <xdr:col>77</xdr:col>
      <xdr:colOff>19050</xdr:colOff>
      <xdr:row>167</xdr:row>
      <xdr:rowOff>154230</xdr:rowOff>
    </xdr:to>
    <xdr:cxnSp macro="">
      <xdr:nvCxnSpPr>
        <xdr:cNvPr id="195" name="Straight Connector 16">
          <a:extLst>
            <a:ext uri="{FF2B5EF4-FFF2-40B4-BE49-F238E27FC236}">
              <a16:creationId xmlns:a16="http://schemas.microsoft.com/office/drawing/2014/main" id="{8FADD660-5FE1-40F2-A2D3-1843D8A6946E}"/>
            </a:ext>
          </a:extLst>
        </xdr:cNvPr>
        <xdr:cNvCxnSpPr/>
      </xdr:nvCxnSpPr>
      <xdr:spPr>
        <a:xfrm>
          <a:off x="8972550" y="31967730"/>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108713</xdr:colOff>
      <xdr:row>168</xdr:row>
      <xdr:rowOff>97080</xdr:rowOff>
    </xdr:from>
    <xdr:to>
      <xdr:col>68</xdr:col>
      <xdr:colOff>5720</xdr:colOff>
      <xdr:row>170</xdr:row>
      <xdr:rowOff>97080</xdr:rowOff>
    </xdr:to>
    <xdr:sp macro="" textlink="">
      <xdr:nvSpPr>
        <xdr:cNvPr id="196" name="TextBox 195">
          <a:extLst>
            <a:ext uri="{FF2B5EF4-FFF2-40B4-BE49-F238E27FC236}">
              <a16:creationId xmlns:a16="http://schemas.microsoft.com/office/drawing/2014/main" id="{DF13457E-1294-4873-A89B-1AF02BA7119D}"/>
            </a:ext>
          </a:extLst>
        </xdr:cNvPr>
        <xdr:cNvSpPr txBox="1"/>
      </xdr:nvSpPr>
      <xdr:spPr>
        <a:xfrm>
          <a:off x="9252713" y="32101080"/>
          <a:ext cx="370700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Additionals</a:t>
          </a:r>
        </a:p>
      </xdr:txBody>
    </xdr:sp>
    <xdr:clientData/>
  </xdr:twoCellAnchor>
  <xdr:twoCellAnchor>
    <xdr:from>
      <xdr:col>47</xdr:col>
      <xdr:colOff>104655</xdr:colOff>
      <xdr:row>168</xdr:row>
      <xdr:rowOff>97080</xdr:rowOff>
    </xdr:from>
    <xdr:to>
      <xdr:col>47</xdr:col>
      <xdr:colOff>104655</xdr:colOff>
      <xdr:row>170</xdr:row>
      <xdr:rowOff>97080</xdr:rowOff>
    </xdr:to>
    <xdr:cxnSp macro="">
      <xdr:nvCxnSpPr>
        <xdr:cNvPr id="197" name="Straight Connector 196">
          <a:extLst>
            <a:ext uri="{FF2B5EF4-FFF2-40B4-BE49-F238E27FC236}">
              <a16:creationId xmlns:a16="http://schemas.microsoft.com/office/drawing/2014/main" id="{F51584D6-A3C4-4B01-ADF2-7B3A01052E82}"/>
            </a:ext>
          </a:extLst>
        </xdr:cNvPr>
        <xdr:cNvCxnSpPr/>
      </xdr:nvCxnSpPr>
      <xdr:spPr>
        <a:xfrm>
          <a:off x="9058155" y="3210108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5720</xdr:colOff>
      <xdr:row>171</xdr:row>
      <xdr:rowOff>91359</xdr:rowOff>
    </xdr:from>
    <xdr:to>
      <xdr:col>60</xdr:col>
      <xdr:colOff>9775</xdr:colOff>
      <xdr:row>172</xdr:row>
      <xdr:rowOff>98449</xdr:rowOff>
    </xdr:to>
    <xdr:sp macro="" textlink="">
      <xdr:nvSpPr>
        <xdr:cNvPr id="198" name="TextBox 197">
          <a:extLst>
            <a:ext uri="{FF2B5EF4-FFF2-40B4-BE49-F238E27FC236}">
              <a16:creationId xmlns:a16="http://schemas.microsoft.com/office/drawing/2014/main" id="{751846A2-4734-49BB-A90E-78E710C8CAA3}"/>
            </a:ext>
          </a:extLst>
        </xdr:cNvPr>
        <xdr:cNvSpPr txBox="1"/>
      </xdr:nvSpPr>
      <xdr:spPr>
        <a:xfrm>
          <a:off x="8959220" y="32666859"/>
          <a:ext cx="2480555" cy="19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MSB UBGRADE</a:t>
          </a:r>
        </a:p>
      </xdr:txBody>
    </xdr:sp>
    <xdr:clientData/>
  </xdr:twoCellAnchor>
  <xdr:twoCellAnchor>
    <xdr:from>
      <xdr:col>47</xdr:col>
      <xdr:colOff>5720</xdr:colOff>
      <xdr:row>172</xdr:row>
      <xdr:rowOff>91359</xdr:rowOff>
    </xdr:from>
    <xdr:to>
      <xdr:col>60</xdr:col>
      <xdr:colOff>9775</xdr:colOff>
      <xdr:row>173</xdr:row>
      <xdr:rowOff>98449</xdr:rowOff>
    </xdr:to>
    <xdr:sp macro="" textlink="">
      <xdr:nvSpPr>
        <xdr:cNvPr id="199" name="TextBox 198">
          <a:extLst>
            <a:ext uri="{FF2B5EF4-FFF2-40B4-BE49-F238E27FC236}">
              <a16:creationId xmlns:a16="http://schemas.microsoft.com/office/drawing/2014/main" id="{49F9356D-0519-453D-AB50-E86F5F45F193}"/>
            </a:ext>
          </a:extLst>
        </xdr:cNvPr>
        <xdr:cNvSpPr txBox="1"/>
      </xdr:nvSpPr>
      <xdr:spPr>
        <a:xfrm>
          <a:off x="8959220" y="32857359"/>
          <a:ext cx="2480555" cy="19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KIOSK MONITORING</a:t>
          </a:r>
        </a:p>
      </xdr:txBody>
    </xdr:sp>
    <xdr:clientData/>
  </xdr:twoCellAnchor>
  <xdr:twoCellAnchor>
    <xdr:from>
      <xdr:col>47</xdr:col>
      <xdr:colOff>5720</xdr:colOff>
      <xdr:row>173</xdr:row>
      <xdr:rowOff>97080</xdr:rowOff>
    </xdr:from>
    <xdr:to>
      <xdr:col>60</xdr:col>
      <xdr:colOff>9775</xdr:colOff>
      <xdr:row>174</xdr:row>
      <xdr:rowOff>98449</xdr:rowOff>
    </xdr:to>
    <xdr:sp macro="" textlink="">
      <xdr:nvSpPr>
        <xdr:cNvPr id="200" name="TextBox 199">
          <a:extLst>
            <a:ext uri="{FF2B5EF4-FFF2-40B4-BE49-F238E27FC236}">
              <a16:creationId xmlns:a16="http://schemas.microsoft.com/office/drawing/2014/main" id="{99540187-7E5B-440A-92DC-897D5227886D}"/>
            </a:ext>
          </a:extLst>
        </xdr:cNvPr>
        <xdr:cNvSpPr txBox="1"/>
      </xdr:nvSpPr>
      <xdr:spPr>
        <a:xfrm>
          <a:off x="8959220" y="3305358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SOLAR TRENCHING</a:t>
          </a:r>
        </a:p>
      </xdr:txBody>
    </xdr:sp>
    <xdr:clientData/>
  </xdr:twoCellAnchor>
  <xdr:twoCellAnchor>
    <xdr:from>
      <xdr:col>47</xdr:col>
      <xdr:colOff>5720</xdr:colOff>
      <xdr:row>174</xdr:row>
      <xdr:rowOff>78030</xdr:rowOff>
    </xdr:from>
    <xdr:to>
      <xdr:col>60</xdr:col>
      <xdr:colOff>9775</xdr:colOff>
      <xdr:row>175</xdr:row>
      <xdr:rowOff>79399</xdr:rowOff>
    </xdr:to>
    <xdr:sp macro="" textlink="">
      <xdr:nvSpPr>
        <xdr:cNvPr id="201" name="TextBox 200">
          <a:extLst>
            <a:ext uri="{FF2B5EF4-FFF2-40B4-BE49-F238E27FC236}">
              <a16:creationId xmlns:a16="http://schemas.microsoft.com/office/drawing/2014/main" id="{D32E9BCB-42D9-49F0-B6BC-C17C77347A52}"/>
            </a:ext>
          </a:extLst>
        </xdr:cNvPr>
        <xdr:cNvSpPr txBox="1"/>
      </xdr:nvSpPr>
      <xdr:spPr>
        <a:xfrm>
          <a:off x="8959220" y="3322503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EV CHARGERS</a:t>
          </a:r>
        </a:p>
      </xdr:txBody>
    </xdr:sp>
    <xdr:clientData/>
  </xdr:twoCellAnchor>
  <xdr:twoCellAnchor>
    <xdr:from>
      <xdr:col>6</xdr:col>
      <xdr:colOff>0</xdr:colOff>
      <xdr:row>187</xdr:row>
      <xdr:rowOff>0</xdr:rowOff>
    </xdr:from>
    <xdr:to>
      <xdr:col>31</xdr:col>
      <xdr:colOff>2684</xdr:colOff>
      <xdr:row>189</xdr:row>
      <xdr:rowOff>9034</xdr:rowOff>
    </xdr:to>
    <xdr:sp macro="" textlink="">
      <xdr:nvSpPr>
        <xdr:cNvPr id="202" name="TextBox 15">
          <a:extLst>
            <a:ext uri="{FF2B5EF4-FFF2-40B4-BE49-F238E27FC236}">
              <a16:creationId xmlns:a16="http://schemas.microsoft.com/office/drawing/2014/main" id="{DE721320-784B-46F6-A2FE-245D0DA78915}"/>
            </a:ext>
          </a:extLst>
        </xdr:cNvPr>
        <xdr:cNvSpPr txBox="1"/>
      </xdr:nvSpPr>
      <xdr:spPr>
        <a:xfrm>
          <a:off x="1143000" y="35623500"/>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NEXT STEPS</a:t>
          </a:r>
        </a:p>
      </xdr:txBody>
    </xdr:sp>
    <xdr:clientData/>
  </xdr:twoCellAnchor>
  <xdr:twoCellAnchor>
    <xdr:from>
      <xdr:col>7</xdr:col>
      <xdr:colOff>98975</xdr:colOff>
      <xdr:row>191</xdr:row>
      <xdr:rowOff>0</xdr:rowOff>
    </xdr:from>
    <xdr:to>
      <xdr:col>22</xdr:col>
      <xdr:colOff>1</xdr:colOff>
      <xdr:row>193</xdr:row>
      <xdr:rowOff>0</xdr:rowOff>
    </xdr:to>
    <xdr:sp macro="" textlink="">
      <xdr:nvSpPr>
        <xdr:cNvPr id="203" name="TextBox 202">
          <a:extLst>
            <a:ext uri="{FF2B5EF4-FFF2-40B4-BE49-F238E27FC236}">
              <a16:creationId xmlns:a16="http://schemas.microsoft.com/office/drawing/2014/main" id="{D8A38316-70F7-4982-99A8-1BAC773AAB7D}"/>
            </a:ext>
          </a:extLst>
        </xdr:cNvPr>
        <xdr:cNvSpPr txBox="1"/>
      </xdr:nvSpPr>
      <xdr:spPr>
        <a:xfrm>
          <a:off x="1432475" y="36385500"/>
          <a:ext cx="275852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Payment Schedule</a:t>
          </a:r>
        </a:p>
      </xdr:txBody>
    </xdr:sp>
    <xdr:clientData/>
  </xdr:twoCellAnchor>
  <xdr:twoCellAnchor>
    <xdr:from>
      <xdr:col>6</xdr:col>
      <xdr:colOff>94916</xdr:colOff>
      <xdr:row>191</xdr:row>
      <xdr:rowOff>0</xdr:rowOff>
    </xdr:from>
    <xdr:to>
      <xdr:col>6</xdr:col>
      <xdr:colOff>94916</xdr:colOff>
      <xdr:row>193</xdr:row>
      <xdr:rowOff>0</xdr:rowOff>
    </xdr:to>
    <xdr:cxnSp macro="">
      <xdr:nvCxnSpPr>
        <xdr:cNvPr id="204" name="Straight Connector 203">
          <a:extLst>
            <a:ext uri="{FF2B5EF4-FFF2-40B4-BE49-F238E27FC236}">
              <a16:creationId xmlns:a16="http://schemas.microsoft.com/office/drawing/2014/main" id="{8F916DA0-3AC9-40A3-B2C7-8A63715905A0}"/>
            </a:ext>
          </a:extLst>
        </xdr:cNvPr>
        <xdr:cNvCxnSpPr/>
      </xdr:nvCxnSpPr>
      <xdr:spPr>
        <a:xfrm>
          <a:off x="1237916" y="3638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483</xdr:colOff>
      <xdr:row>193</xdr:row>
      <xdr:rowOff>192331</xdr:rowOff>
    </xdr:from>
    <xdr:to>
      <xdr:col>20</xdr:col>
      <xdr:colOff>0</xdr:colOff>
      <xdr:row>196</xdr:row>
      <xdr:rowOff>189646</xdr:rowOff>
    </xdr:to>
    <xdr:sp macro="" textlink="">
      <xdr:nvSpPr>
        <xdr:cNvPr id="205" name="TextBox 204">
          <a:extLst>
            <a:ext uri="{FF2B5EF4-FFF2-40B4-BE49-F238E27FC236}">
              <a16:creationId xmlns:a16="http://schemas.microsoft.com/office/drawing/2014/main" id="{C9BE906A-0C17-46AB-9F76-50A966A09F1C}"/>
            </a:ext>
          </a:extLst>
        </xdr:cNvPr>
        <xdr:cNvSpPr txBox="1"/>
      </xdr:nvSpPr>
      <xdr:spPr>
        <a:xfrm>
          <a:off x="1143483" y="36958831"/>
          <a:ext cx="2666517" cy="56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666666"/>
              </a:solidFill>
              <a:latin typeface="Overpass" panose="00000500000000000000" pitchFamily="2" charset="0"/>
              <a:ea typeface="+mn-ea"/>
              <a:cs typeface="Calibri"/>
            </a:rPr>
            <a:t>SMART</a:t>
          </a:r>
          <a:r>
            <a:rPr lang="en-US" sz="1000" b="1" i="0" u="none" strike="noStrike" baseline="0">
              <a:solidFill>
                <a:srgbClr val="666666"/>
              </a:solidFill>
              <a:latin typeface="Overpass" panose="00000500000000000000" pitchFamily="2" charset="0"/>
              <a:ea typeface="+mn-ea"/>
              <a:cs typeface="Calibri"/>
            </a:rPr>
            <a:t> STANDARD TERMS OF PAYMENT ARE AS FOLLOWS.</a:t>
          </a:r>
          <a:endParaRPr lang="en-US" sz="1000" b="1" i="0" u="none" strike="noStrike">
            <a:solidFill>
              <a:srgbClr val="666666"/>
            </a:solidFill>
            <a:latin typeface="Overpass" panose="00000500000000000000" pitchFamily="2" charset="0"/>
            <a:ea typeface="+mn-ea"/>
            <a:cs typeface="Calibri"/>
          </a:endParaRPr>
        </a:p>
      </xdr:txBody>
    </xdr:sp>
    <xdr:clientData/>
  </xdr:twoCellAnchor>
  <xdr:twoCellAnchor>
    <xdr:from>
      <xdr:col>24</xdr:col>
      <xdr:colOff>1</xdr:colOff>
      <xdr:row>190</xdr:row>
      <xdr:rowOff>190499</xdr:rowOff>
    </xdr:from>
    <xdr:to>
      <xdr:col>36</xdr:col>
      <xdr:colOff>1</xdr:colOff>
      <xdr:row>204</xdr:row>
      <xdr:rowOff>161924</xdr:rowOff>
    </xdr:to>
    <xdr:grpSp>
      <xdr:nvGrpSpPr>
        <xdr:cNvPr id="206" name="Group 205">
          <a:extLst>
            <a:ext uri="{FF2B5EF4-FFF2-40B4-BE49-F238E27FC236}">
              <a16:creationId xmlns:a16="http://schemas.microsoft.com/office/drawing/2014/main" id="{390E57FF-E8C2-49AC-B22C-05961AD91029}"/>
            </a:ext>
          </a:extLst>
        </xdr:cNvPr>
        <xdr:cNvGrpSpPr/>
      </xdr:nvGrpSpPr>
      <xdr:grpSpPr>
        <a:xfrm>
          <a:off x="4572001" y="36385499"/>
          <a:ext cx="2286000" cy="2640330"/>
          <a:chOff x="4500404" y="35815705"/>
          <a:chExt cx="2250201" cy="2441722"/>
        </a:xfrm>
      </xdr:grpSpPr>
      <xdr:sp macro="" textlink="">
        <xdr:nvSpPr>
          <xdr:cNvPr id="207" name="TextBox 206">
            <a:extLst>
              <a:ext uri="{FF2B5EF4-FFF2-40B4-BE49-F238E27FC236}">
                <a16:creationId xmlns:a16="http://schemas.microsoft.com/office/drawing/2014/main" id="{A7FF3139-6A23-73BA-D4F9-F93D45E98BDC}"/>
              </a:ext>
            </a:extLst>
          </xdr:cNvPr>
          <xdr:cNvSpPr txBox="1"/>
        </xdr:nvSpPr>
        <xdr:spPr>
          <a:xfrm>
            <a:off x="5625504" y="36753289"/>
            <a:ext cx="1125100" cy="750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Smart Commercial</a:t>
            </a:r>
            <a:r>
              <a:rPr lang="en-US" sz="1000" b="0" i="0" u="none" strike="noStrike" baseline="0">
                <a:solidFill>
                  <a:srgbClr val="2A2A2A"/>
                </a:solidFill>
                <a:latin typeface="Overpass" panose="00000500000000000000" pitchFamily="2" charset="0"/>
                <a:ea typeface="+mn-ea"/>
                <a:cs typeface="Calibri"/>
              </a:rPr>
              <a:t> Solar Pty Ltd.</a:t>
            </a:r>
            <a:endParaRPr lang="en-US" sz="1000" b="0" i="0" u="none" strike="noStrike">
              <a:solidFill>
                <a:srgbClr val="2A2A2A"/>
              </a:solidFill>
              <a:latin typeface="Overpass" panose="00000500000000000000" pitchFamily="2" charset="0"/>
              <a:ea typeface="+mn-ea"/>
              <a:cs typeface="Calibri"/>
            </a:endParaRPr>
          </a:p>
        </xdr:txBody>
      </xdr:sp>
      <xdr:grpSp>
        <xdr:nvGrpSpPr>
          <xdr:cNvPr id="208" name="Group 207">
            <a:extLst>
              <a:ext uri="{FF2B5EF4-FFF2-40B4-BE49-F238E27FC236}">
                <a16:creationId xmlns:a16="http://schemas.microsoft.com/office/drawing/2014/main" id="{43DE0F8F-AD2A-4DB6-8E3C-AFE29B5FE08E}"/>
              </a:ext>
            </a:extLst>
          </xdr:cNvPr>
          <xdr:cNvGrpSpPr/>
        </xdr:nvGrpSpPr>
        <xdr:grpSpPr>
          <a:xfrm>
            <a:off x="4500404" y="35815705"/>
            <a:ext cx="2250201" cy="2441722"/>
            <a:chOff x="4661648" y="37293177"/>
            <a:chExt cx="2330824" cy="2525059"/>
          </a:xfrm>
        </xdr:grpSpPr>
        <xdr:sp macro="" textlink="">
          <xdr:nvSpPr>
            <xdr:cNvPr id="209" name="TextBox 208">
              <a:extLst>
                <a:ext uri="{FF2B5EF4-FFF2-40B4-BE49-F238E27FC236}">
                  <a16:creationId xmlns:a16="http://schemas.microsoft.com/office/drawing/2014/main" id="{95E214A3-C10E-D71B-B249-3A5D3D0D1AB5}"/>
                </a:ext>
              </a:extLst>
            </xdr:cNvPr>
            <xdr:cNvSpPr txBox="1"/>
          </xdr:nvSpPr>
          <xdr:spPr>
            <a:xfrm>
              <a:off x="4855883" y="38260617"/>
              <a:ext cx="971176" cy="780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210" name="TextBox 209">
              <a:extLst>
                <a:ext uri="{FF2B5EF4-FFF2-40B4-BE49-F238E27FC236}">
                  <a16:creationId xmlns:a16="http://schemas.microsoft.com/office/drawing/2014/main" id="{CAB1D73D-0E7E-9D10-D731-3C32B93E6BCE}"/>
                </a:ext>
              </a:extLst>
            </xdr:cNvPr>
            <xdr:cNvSpPr txBox="1"/>
          </xdr:nvSpPr>
          <xdr:spPr>
            <a:xfrm>
              <a:off x="4855882" y="38847059"/>
              <a:ext cx="1362186" cy="188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BSB #</a:t>
              </a:r>
            </a:p>
          </xdr:txBody>
        </xdr:sp>
        <xdr:sp macro="" textlink="">
          <xdr:nvSpPr>
            <xdr:cNvPr id="211" name="TextBox 210">
              <a:extLst>
                <a:ext uri="{FF2B5EF4-FFF2-40B4-BE49-F238E27FC236}">
                  <a16:creationId xmlns:a16="http://schemas.microsoft.com/office/drawing/2014/main" id="{3E9CD611-C6A7-6F3D-47CF-0CE7850574F9}"/>
                </a:ext>
              </a:extLst>
            </xdr:cNvPr>
            <xdr:cNvSpPr txBox="1"/>
          </xdr:nvSpPr>
          <xdr:spPr>
            <a:xfrm>
              <a:off x="4855882" y="39041294"/>
              <a:ext cx="155388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212" name="TextBox 211">
              <a:extLst>
                <a:ext uri="{FF2B5EF4-FFF2-40B4-BE49-F238E27FC236}">
                  <a16:creationId xmlns:a16="http://schemas.microsoft.com/office/drawing/2014/main" id="{6276CFC0-7B27-8C68-23C0-A2C6BACC9A30}"/>
                </a:ext>
              </a:extLst>
            </xdr:cNvPr>
            <xdr:cNvSpPr txBox="1"/>
          </xdr:nvSpPr>
          <xdr:spPr>
            <a:xfrm>
              <a:off x="4855882" y="39237702"/>
              <a:ext cx="1553883"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ABN</a:t>
              </a:r>
            </a:p>
          </xdr:txBody>
        </xdr:sp>
        <xdr:sp macro="" textlink="">
          <xdr:nvSpPr>
            <xdr:cNvPr id="213" name="TextBox 212">
              <a:extLst>
                <a:ext uri="{FF2B5EF4-FFF2-40B4-BE49-F238E27FC236}">
                  <a16:creationId xmlns:a16="http://schemas.microsoft.com/office/drawing/2014/main" id="{391FCCF1-4EBD-8428-423A-F4876FB2BCF6}"/>
                </a:ext>
              </a:extLst>
            </xdr:cNvPr>
            <xdr:cNvSpPr txBox="1"/>
          </xdr:nvSpPr>
          <xdr:spPr>
            <a:xfrm>
              <a:off x="5827059" y="38847059"/>
              <a:ext cx="97117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062 313</a:t>
              </a:r>
            </a:p>
          </xdr:txBody>
        </xdr:sp>
        <xdr:sp macro="" textlink="">
          <xdr:nvSpPr>
            <xdr:cNvPr id="214" name="TextBox 213">
              <a:extLst>
                <a:ext uri="{FF2B5EF4-FFF2-40B4-BE49-F238E27FC236}">
                  <a16:creationId xmlns:a16="http://schemas.microsoft.com/office/drawing/2014/main" id="{F8505D72-C067-8C66-6DA8-0E21373E3B41}"/>
                </a:ext>
              </a:extLst>
            </xdr:cNvPr>
            <xdr:cNvSpPr txBox="1"/>
          </xdr:nvSpPr>
          <xdr:spPr>
            <a:xfrm>
              <a:off x="5827059" y="39041983"/>
              <a:ext cx="776941"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1026 1167</a:t>
              </a:r>
            </a:p>
          </xdr:txBody>
        </xdr:sp>
        <xdr:sp macro="" textlink="">
          <xdr:nvSpPr>
            <xdr:cNvPr id="215" name="TextBox 214">
              <a:extLst>
                <a:ext uri="{FF2B5EF4-FFF2-40B4-BE49-F238E27FC236}">
                  <a16:creationId xmlns:a16="http://schemas.microsoft.com/office/drawing/2014/main" id="{7FF33197-CE58-B1E0-94FD-6A2D9F9EBE5A}"/>
                </a:ext>
              </a:extLst>
            </xdr:cNvPr>
            <xdr:cNvSpPr txBox="1"/>
          </xdr:nvSpPr>
          <xdr:spPr>
            <a:xfrm>
              <a:off x="5827059" y="39237702"/>
              <a:ext cx="1165412"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27 155 596 928</a:t>
              </a:r>
            </a:p>
          </xdr:txBody>
        </xdr:sp>
        <xdr:sp macro="" textlink="">
          <xdr:nvSpPr>
            <xdr:cNvPr id="216" name="Rounded Rectangle 221">
              <a:extLst>
                <a:ext uri="{FF2B5EF4-FFF2-40B4-BE49-F238E27FC236}">
                  <a16:creationId xmlns:a16="http://schemas.microsoft.com/office/drawing/2014/main" id="{C93E756C-CD91-AACA-4E56-0A8DFE065AC0}"/>
                </a:ext>
              </a:extLst>
            </xdr:cNvPr>
            <xdr:cNvSpPr/>
          </xdr:nvSpPr>
          <xdr:spPr>
            <a:xfrm>
              <a:off x="4661648" y="37293177"/>
              <a:ext cx="2330824" cy="2525059"/>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17" name="TextBox 236">
              <a:extLst>
                <a:ext uri="{FF2B5EF4-FFF2-40B4-BE49-F238E27FC236}">
                  <a16:creationId xmlns:a16="http://schemas.microsoft.com/office/drawing/2014/main" id="{73B6BEF2-7E11-E4A3-5FD6-766FC6A19B5F}"/>
                </a:ext>
              </a:extLst>
            </xdr:cNvPr>
            <xdr:cNvSpPr txBox="1"/>
          </xdr:nvSpPr>
          <xdr:spPr>
            <a:xfrm>
              <a:off x="4855882" y="37681647"/>
              <a:ext cx="1748118"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BANK DETAILS</a:t>
              </a:r>
            </a:p>
          </xdr:txBody>
        </xdr:sp>
        <xdr:cxnSp macro="">
          <xdr:nvCxnSpPr>
            <xdr:cNvPr id="218" name="Straight Connector 16">
              <a:extLst>
                <a:ext uri="{FF2B5EF4-FFF2-40B4-BE49-F238E27FC236}">
                  <a16:creationId xmlns:a16="http://schemas.microsoft.com/office/drawing/2014/main" id="{E0F27FEA-8B23-A3E9-0D0A-6CE7BB947944}"/>
                </a:ext>
              </a:extLst>
            </xdr:cNvPr>
            <xdr:cNvCxnSpPr/>
          </xdr:nvCxnSpPr>
          <xdr:spPr>
            <a:xfrm>
              <a:off x="4855882" y="38070118"/>
              <a:ext cx="19423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6</xdr:col>
      <xdr:colOff>2830</xdr:colOff>
      <xdr:row>227</xdr:row>
      <xdr:rowOff>184328</xdr:rowOff>
    </xdr:from>
    <xdr:to>
      <xdr:col>15</xdr:col>
      <xdr:colOff>204</xdr:colOff>
      <xdr:row>238</xdr:row>
      <xdr:rowOff>0</xdr:rowOff>
    </xdr:to>
    <xdr:grpSp>
      <xdr:nvGrpSpPr>
        <xdr:cNvPr id="219" name="Group 218">
          <a:extLst>
            <a:ext uri="{FF2B5EF4-FFF2-40B4-BE49-F238E27FC236}">
              <a16:creationId xmlns:a16="http://schemas.microsoft.com/office/drawing/2014/main" id="{C4DD0DC8-4DB8-4157-8281-5AAD9EF9678E}"/>
            </a:ext>
          </a:extLst>
        </xdr:cNvPr>
        <xdr:cNvGrpSpPr/>
      </xdr:nvGrpSpPr>
      <xdr:grpSpPr>
        <a:xfrm>
          <a:off x="1145830" y="43425923"/>
          <a:ext cx="1711874" cy="1913077"/>
          <a:chOff x="1168242" y="44471600"/>
          <a:chExt cx="1745491" cy="1945183"/>
        </a:xfrm>
      </xdr:grpSpPr>
      <xdr:sp macro="" textlink="">
        <xdr:nvSpPr>
          <xdr:cNvPr id="220" name="Rounded Rectangle 256">
            <a:extLst>
              <a:ext uri="{FF2B5EF4-FFF2-40B4-BE49-F238E27FC236}">
                <a16:creationId xmlns:a16="http://schemas.microsoft.com/office/drawing/2014/main" id="{0C3934A5-310C-E494-A82D-114431C1248A}"/>
              </a:ext>
            </a:extLst>
          </xdr:cNvPr>
          <xdr:cNvSpPr/>
        </xdr:nvSpPr>
        <xdr:spPr>
          <a:xfrm>
            <a:off x="1168242" y="44471600"/>
            <a:ext cx="1745491"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1" name="TextBox 220">
            <a:extLst>
              <a:ext uri="{FF2B5EF4-FFF2-40B4-BE49-F238E27FC236}">
                <a16:creationId xmlns:a16="http://schemas.microsoft.com/office/drawing/2014/main" id="{55B6FAE7-A689-EB98-D490-C10985162765}"/>
              </a:ext>
            </a:extLst>
          </xdr:cNvPr>
          <xdr:cNvSpPr txBox="1"/>
        </xdr:nvSpPr>
        <xdr:spPr>
          <a:xfrm>
            <a:off x="1354195" y="45054306"/>
            <a:ext cx="1365099" cy="391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Safety</a:t>
            </a:r>
            <a:r>
              <a:rPr lang="en-US" sz="700" b="0" i="0" u="none" strike="noStrike" baseline="0">
                <a:solidFill>
                  <a:srgbClr val="2A2A2A"/>
                </a:solidFill>
                <a:latin typeface="Overpass" panose="00000500000000000000" pitchFamily="2" charset="0"/>
                <a:ea typeface="+mn-ea"/>
                <a:cs typeface="Calibri"/>
              </a:rPr>
              <a:t> Work Method Statement (SWMS) sign off.</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22" name="TextBox 221">
            <a:extLst>
              <a:ext uri="{FF2B5EF4-FFF2-40B4-BE49-F238E27FC236}">
                <a16:creationId xmlns:a16="http://schemas.microsoft.com/office/drawing/2014/main" id="{31A7CA58-A8AB-9ED0-C070-BC07276DB98A}"/>
              </a:ext>
            </a:extLst>
          </xdr:cNvPr>
          <xdr:cNvSpPr txBox="1"/>
        </xdr:nvSpPr>
        <xdr:spPr>
          <a:xfrm>
            <a:off x="1362807" y="45445607"/>
            <a:ext cx="1358135" cy="201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Arrival of stock to site.</a:t>
            </a:r>
          </a:p>
        </xdr:txBody>
      </xdr:sp>
      <xdr:sp macro="" textlink="">
        <xdr:nvSpPr>
          <xdr:cNvPr id="223" name="TextBox 222">
            <a:extLst>
              <a:ext uri="{FF2B5EF4-FFF2-40B4-BE49-F238E27FC236}">
                <a16:creationId xmlns:a16="http://schemas.microsoft.com/office/drawing/2014/main" id="{58038269-0AA3-35CE-ED09-2424AAD26CC4}"/>
              </a:ext>
            </a:extLst>
          </xdr:cNvPr>
          <xdr:cNvSpPr txBox="1"/>
        </xdr:nvSpPr>
        <xdr:spPr>
          <a:xfrm>
            <a:off x="1362807" y="45646939"/>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Installation team induction.</a:t>
            </a:r>
          </a:p>
        </xdr:txBody>
      </xdr:sp>
      <xdr:sp macro="" textlink="">
        <xdr:nvSpPr>
          <xdr:cNvPr id="224" name="TextBox 223">
            <a:extLst>
              <a:ext uri="{FF2B5EF4-FFF2-40B4-BE49-F238E27FC236}">
                <a16:creationId xmlns:a16="http://schemas.microsoft.com/office/drawing/2014/main" id="{E8F8B893-80D8-E5E6-5C24-9E7E7EE35102}"/>
              </a:ext>
            </a:extLst>
          </xdr:cNvPr>
          <xdr:cNvSpPr txBox="1"/>
        </xdr:nvSpPr>
        <xdr:spPr>
          <a:xfrm>
            <a:off x="1362807" y="45832892"/>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Carrying out of works.</a:t>
            </a:r>
          </a:p>
        </xdr:txBody>
      </xdr:sp>
      <xdr:sp macro="" textlink="">
        <xdr:nvSpPr>
          <xdr:cNvPr id="225" name="TextBox 224">
            <a:extLst>
              <a:ext uri="{FF2B5EF4-FFF2-40B4-BE49-F238E27FC236}">
                <a16:creationId xmlns:a16="http://schemas.microsoft.com/office/drawing/2014/main" id="{2FDF7E49-B300-3AB4-28BE-2CED706BD5CD}"/>
              </a:ext>
            </a:extLst>
          </xdr:cNvPr>
          <xdr:cNvSpPr txBox="1"/>
        </xdr:nvSpPr>
        <xdr:spPr>
          <a:xfrm>
            <a:off x="1354195" y="44665835"/>
            <a:ext cx="393923"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04</a:t>
            </a:r>
          </a:p>
        </xdr:txBody>
      </xdr:sp>
      <xdr:sp macro="" textlink="">
        <xdr:nvSpPr>
          <xdr:cNvPr id="226" name="TextBox 225">
            <a:extLst>
              <a:ext uri="{FF2B5EF4-FFF2-40B4-BE49-F238E27FC236}">
                <a16:creationId xmlns:a16="http://schemas.microsoft.com/office/drawing/2014/main" id="{F3F7A2DC-2BA6-6665-649A-D8816E95E10F}"/>
              </a:ext>
            </a:extLst>
          </xdr:cNvPr>
          <xdr:cNvSpPr txBox="1"/>
        </xdr:nvSpPr>
        <xdr:spPr>
          <a:xfrm>
            <a:off x="1555529" y="44665836"/>
            <a:ext cx="1163765"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INSTALLATION</a:t>
            </a:r>
          </a:p>
        </xdr:txBody>
      </xdr:sp>
    </xdr:grpSp>
    <xdr:clientData/>
  </xdr:twoCellAnchor>
  <xdr:twoCellAnchor>
    <xdr:from>
      <xdr:col>6</xdr:col>
      <xdr:colOff>0</xdr:colOff>
      <xdr:row>207</xdr:row>
      <xdr:rowOff>63693</xdr:rowOff>
    </xdr:from>
    <xdr:to>
      <xdr:col>36</xdr:col>
      <xdr:colOff>2830</xdr:colOff>
      <xdr:row>238</xdr:row>
      <xdr:rowOff>2</xdr:rowOff>
    </xdr:to>
    <xdr:grpSp>
      <xdr:nvGrpSpPr>
        <xdr:cNvPr id="227" name="Group 226">
          <a:extLst>
            <a:ext uri="{FF2B5EF4-FFF2-40B4-BE49-F238E27FC236}">
              <a16:creationId xmlns:a16="http://schemas.microsoft.com/office/drawing/2014/main" id="{43B08036-1834-493C-BAEC-A21A9799801B}"/>
            </a:ext>
          </a:extLst>
        </xdr:cNvPr>
        <xdr:cNvGrpSpPr/>
      </xdr:nvGrpSpPr>
      <xdr:grpSpPr>
        <a:xfrm>
          <a:off x="1143000" y="39493383"/>
          <a:ext cx="5717830" cy="5845619"/>
          <a:chOff x="1125101" y="38881480"/>
          <a:chExt cx="5628333" cy="5747513"/>
        </a:xfrm>
      </xdr:grpSpPr>
      <xdr:sp macro="" textlink="">
        <xdr:nvSpPr>
          <xdr:cNvPr id="228" name="TextBox 227">
            <a:extLst>
              <a:ext uri="{FF2B5EF4-FFF2-40B4-BE49-F238E27FC236}">
                <a16:creationId xmlns:a16="http://schemas.microsoft.com/office/drawing/2014/main" id="{4767A2FE-7BB6-346C-17C5-092C9FC1E475}"/>
              </a:ext>
            </a:extLst>
          </xdr:cNvPr>
          <xdr:cNvSpPr txBox="1"/>
        </xdr:nvSpPr>
        <xdr:spPr>
          <a:xfrm>
            <a:off x="1406671" y="39003490"/>
            <a:ext cx="2437715" cy="375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Project Milestones</a:t>
            </a:r>
          </a:p>
        </xdr:txBody>
      </xdr:sp>
      <xdr:cxnSp macro="">
        <xdr:nvCxnSpPr>
          <xdr:cNvPr id="229" name="Straight Connector 228">
            <a:extLst>
              <a:ext uri="{FF2B5EF4-FFF2-40B4-BE49-F238E27FC236}">
                <a16:creationId xmlns:a16="http://schemas.microsoft.com/office/drawing/2014/main" id="{46EF8294-A27A-28CB-D915-A994358D8B42}"/>
              </a:ext>
            </a:extLst>
          </xdr:cNvPr>
          <xdr:cNvCxnSpPr/>
        </xdr:nvCxnSpPr>
        <xdr:spPr>
          <a:xfrm>
            <a:off x="1215097" y="39003490"/>
            <a:ext cx="0" cy="37503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TextBox 229">
            <a:extLst>
              <a:ext uri="{FF2B5EF4-FFF2-40B4-BE49-F238E27FC236}">
                <a16:creationId xmlns:a16="http://schemas.microsoft.com/office/drawing/2014/main" id="{A7FD55BA-0E69-96F4-CCA6-869D99931C79}"/>
              </a:ext>
            </a:extLst>
          </xdr:cNvPr>
          <xdr:cNvSpPr txBox="1"/>
        </xdr:nvSpPr>
        <xdr:spPr>
          <a:xfrm>
            <a:off x="1127765" y="39573117"/>
            <a:ext cx="3004681" cy="111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 will be assigned a dedicated</a:t>
            </a:r>
            <a:r>
              <a:rPr lang="en-US" sz="1000" b="0" i="0" u="none" strike="noStrike" baseline="0">
                <a:solidFill>
                  <a:srgbClr val="2A2A2A"/>
                </a:solidFill>
                <a:latin typeface="Overpass" panose="00000500000000000000" pitchFamily="2" charset="0"/>
                <a:ea typeface="+mn-ea"/>
                <a:cs typeface="Calibri"/>
              </a:rPr>
              <a:t> project team for the duration of the installation. Your </a:t>
            </a:r>
            <a:r>
              <a:rPr lang="en-US" sz="1000" b="1" i="0" u="none" strike="noStrike" baseline="0">
                <a:solidFill>
                  <a:srgbClr val="28066C"/>
                </a:solidFill>
                <a:latin typeface="Overpass" panose="00000500000000000000" pitchFamily="2" charset="0"/>
                <a:ea typeface="+mn-ea"/>
                <a:cs typeface="Calibri"/>
              </a:rPr>
              <a:t>PROJECT MANAGER </a:t>
            </a:r>
            <a:r>
              <a:rPr lang="en-US" sz="1000" b="0" i="0" u="none" strike="noStrike" baseline="0">
                <a:solidFill>
                  <a:srgbClr val="2A2A2A"/>
                </a:solidFill>
                <a:latin typeface="Overpass" panose="00000500000000000000" pitchFamily="2" charset="0"/>
                <a:ea typeface="+mn-ea"/>
                <a:cs typeface="Calibri"/>
              </a:rPr>
              <a:t>will reach out within a week of signing to introduce themselves and clarify project details.</a:t>
            </a:r>
            <a:endParaRPr lang="en-US" sz="1000" b="0" i="0" u="none" strike="noStrike">
              <a:solidFill>
                <a:srgbClr val="2A2A2A"/>
              </a:solidFill>
              <a:latin typeface="Overpass" panose="00000500000000000000" pitchFamily="2" charset="0"/>
              <a:ea typeface="+mn-ea"/>
              <a:cs typeface="Calibri"/>
            </a:endParaRPr>
          </a:p>
        </xdr:txBody>
      </xdr:sp>
      <xdr:cxnSp macro="">
        <xdr:nvCxnSpPr>
          <xdr:cNvPr id="231" name="Straight Connector 16">
            <a:extLst>
              <a:ext uri="{FF2B5EF4-FFF2-40B4-BE49-F238E27FC236}">
                <a16:creationId xmlns:a16="http://schemas.microsoft.com/office/drawing/2014/main" id="{2302E4E3-4617-E210-FB76-384978A9C406}"/>
              </a:ext>
            </a:extLst>
          </xdr:cNvPr>
          <xdr:cNvCxnSpPr/>
        </xdr:nvCxnSpPr>
        <xdr:spPr>
          <a:xfrm>
            <a:off x="1125101" y="38881480"/>
            <a:ext cx="562550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232" name="TextBox 231">
            <a:extLst>
              <a:ext uri="{FF2B5EF4-FFF2-40B4-BE49-F238E27FC236}">
                <a16:creationId xmlns:a16="http://schemas.microsoft.com/office/drawing/2014/main" id="{FC9B723D-5FBD-6F44-878E-9F528F148D14}"/>
              </a:ext>
            </a:extLst>
          </xdr:cNvPr>
          <xdr:cNvSpPr txBox="1"/>
        </xdr:nvSpPr>
        <xdr:spPr>
          <a:xfrm>
            <a:off x="4312886" y="39573117"/>
            <a:ext cx="2437718" cy="1118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Your </a:t>
            </a:r>
            <a:r>
              <a:rPr lang="en-US" sz="1000" b="1" i="0" u="none" strike="noStrike">
                <a:solidFill>
                  <a:srgbClr val="28066C"/>
                </a:solidFill>
                <a:latin typeface="Overpass" panose="00000500000000000000" pitchFamily="2" charset="0"/>
                <a:ea typeface="+mn-ea"/>
                <a:cs typeface="Calibri"/>
              </a:rPr>
              <a:t>PROJECT MANAGER</a:t>
            </a:r>
            <a:r>
              <a:rPr lang="en-US" sz="1000" b="0" i="0" u="none" strike="noStrike">
                <a:solidFill>
                  <a:srgbClr val="28066C"/>
                </a:solidFill>
                <a:latin typeface="Overpass" panose="00000500000000000000" pitchFamily="2" charset="0"/>
                <a:ea typeface="+mn-ea"/>
                <a:cs typeface="Calibri"/>
              </a:rPr>
              <a:t> </a:t>
            </a:r>
            <a:r>
              <a:rPr lang="en-US" sz="1000" b="0" i="0" u="none" strike="noStrike">
                <a:solidFill>
                  <a:srgbClr val="2A2A2A"/>
                </a:solidFill>
                <a:latin typeface="Overpass" panose="00000500000000000000" pitchFamily="2" charset="0"/>
                <a:ea typeface="+mn-ea"/>
                <a:cs typeface="Calibri"/>
              </a:rPr>
              <a:t>is supported by a </a:t>
            </a:r>
            <a:r>
              <a:rPr lang="en-US" sz="1000" b="1" i="0" u="none" strike="noStrike">
                <a:solidFill>
                  <a:srgbClr val="28066C"/>
                </a:solidFill>
                <a:latin typeface="Overpass" panose="00000500000000000000" pitchFamily="2" charset="0"/>
                <a:ea typeface="+mn-ea"/>
                <a:cs typeface="Calibri"/>
              </a:rPr>
              <a:t>PROJECT ENGINEER</a:t>
            </a:r>
            <a:r>
              <a:rPr lang="en-US" sz="1000" b="0" i="0" u="none" strike="noStrike">
                <a:solidFill>
                  <a:srgbClr val="2A2A2A"/>
                </a:solidFill>
                <a:latin typeface="Overpass" panose="00000500000000000000" pitchFamily="2" charset="0"/>
                <a:ea typeface="+mn-ea"/>
                <a:cs typeface="Calibri"/>
              </a:rPr>
              <a:t>.</a:t>
            </a:r>
            <a:r>
              <a:rPr lang="en-US" sz="1000" b="0" i="0" u="none" strike="noStrike" baseline="0">
                <a:solidFill>
                  <a:srgbClr val="2A2A2A"/>
                </a:solidFill>
                <a:latin typeface="Overpass" panose="00000500000000000000" pitchFamily="2" charset="0"/>
                <a:ea typeface="+mn-ea"/>
                <a:cs typeface="Calibri"/>
              </a:rPr>
              <a:t> They may be in correspondence with you at particular points during the installation.</a:t>
            </a:r>
          </a:p>
        </xdr:txBody>
      </xdr:sp>
      <xdr:grpSp>
        <xdr:nvGrpSpPr>
          <xdr:cNvPr id="233" name="Group 232">
            <a:extLst>
              <a:ext uri="{FF2B5EF4-FFF2-40B4-BE49-F238E27FC236}">
                <a16:creationId xmlns:a16="http://schemas.microsoft.com/office/drawing/2014/main" id="{B468918E-163C-E741-B2AE-AB1C7503FBDC}"/>
              </a:ext>
            </a:extLst>
          </xdr:cNvPr>
          <xdr:cNvGrpSpPr/>
        </xdr:nvGrpSpPr>
        <xdr:grpSpPr>
          <a:xfrm>
            <a:off x="1125102" y="40687952"/>
            <a:ext cx="1691385" cy="1875169"/>
            <a:chOff x="1165413" y="42335012"/>
            <a:chExt cx="1748116" cy="1942353"/>
          </a:xfrm>
        </xdr:grpSpPr>
        <xdr:sp macro="" textlink="">
          <xdr:nvSpPr>
            <xdr:cNvPr id="260" name="Rounded Rectangle 230">
              <a:extLst>
                <a:ext uri="{FF2B5EF4-FFF2-40B4-BE49-F238E27FC236}">
                  <a16:creationId xmlns:a16="http://schemas.microsoft.com/office/drawing/2014/main" id="{F2D8357D-37A1-4947-FBF7-69A130CB711B}"/>
                </a:ext>
              </a:extLst>
            </xdr:cNvPr>
            <xdr:cNvSpPr/>
          </xdr:nvSpPr>
          <xdr:spPr>
            <a:xfrm>
              <a:off x="1165413" y="42335012"/>
              <a:ext cx="1748116"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1" name="TextBox 260">
              <a:extLst>
                <a:ext uri="{FF2B5EF4-FFF2-40B4-BE49-F238E27FC236}">
                  <a16:creationId xmlns:a16="http://schemas.microsoft.com/office/drawing/2014/main" id="{EA59F3E9-E134-C0AF-51E8-767A956F0E77}"/>
                </a:ext>
              </a:extLst>
            </xdr:cNvPr>
            <xdr:cNvSpPr txBox="1"/>
          </xdr:nvSpPr>
          <xdr:spPr>
            <a:xfrm>
              <a:off x="1362478" y="43111953"/>
              <a:ext cx="135681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Project</a:t>
              </a:r>
              <a:r>
                <a:rPr lang="en-US" sz="700" b="0" i="0" u="none" strike="noStrike" baseline="0">
                  <a:solidFill>
                    <a:srgbClr val="2A2A2A"/>
                  </a:solidFill>
                  <a:latin typeface="Overpass" panose="00000500000000000000" pitchFamily="2" charset="0"/>
                  <a:ea typeface="+mn-ea"/>
                  <a:cs typeface="Calibri"/>
                </a:rPr>
                <a:t> manager handover.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2" name="TextBox 261">
              <a:extLst>
                <a:ext uri="{FF2B5EF4-FFF2-40B4-BE49-F238E27FC236}">
                  <a16:creationId xmlns:a16="http://schemas.microsoft.com/office/drawing/2014/main" id="{9609E388-D740-447B-5044-1B2C9559E41C}"/>
                </a:ext>
              </a:extLst>
            </xdr:cNvPr>
            <xdr:cNvSpPr txBox="1"/>
          </xdr:nvSpPr>
          <xdr:spPr>
            <a:xfrm>
              <a:off x="1361160" y="43306188"/>
              <a:ext cx="1358134"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Creation of Project</a:t>
              </a:r>
              <a:r>
                <a:rPr lang="en-US" sz="700" b="0" i="0" u="none" strike="noStrike" baseline="0">
                  <a:solidFill>
                    <a:srgbClr val="2A2A2A"/>
                  </a:solidFill>
                  <a:latin typeface="Overpass" panose="00000500000000000000" pitchFamily="2" charset="0"/>
                  <a:ea typeface="+mn-ea"/>
                  <a:cs typeface="Calibri"/>
                </a:rPr>
                <a:t> files.</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3" name="TextBox 262">
              <a:extLst>
                <a:ext uri="{FF2B5EF4-FFF2-40B4-BE49-F238E27FC236}">
                  <a16:creationId xmlns:a16="http://schemas.microsoft.com/office/drawing/2014/main" id="{BD453132-B7B3-115D-A766-CFDE9A575A98}"/>
                </a:ext>
              </a:extLst>
            </xdr:cNvPr>
            <xdr:cNvSpPr txBox="1"/>
          </xdr:nvSpPr>
          <xdr:spPr>
            <a:xfrm>
              <a:off x="1361160" y="43500424"/>
              <a:ext cx="1358134" cy="382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Documentation ready for submission.</a:t>
              </a:r>
            </a:p>
          </xdr:txBody>
        </xdr:sp>
        <xdr:sp macro="" textlink="">
          <xdr:nvSpPr>
            <xdr:cNvPr id="264" name="TextBox 263">
              <a:extLst>
                <a:ext uri="{FF2B5EF4-FFF2-40B4-BE49-F238E27FC236}">
                  <a16:creationId xmlns:a16="http://schemas.microsoft.com/office/drawing/2014/main" id="{C6C85EB5-3920-BD74-4A50-1A0ECB9ECEA6}"/>
                </a:ext>
              </a:extLst>
            </xdr:cNvPr>
            <xdr:cNvSpPr txBox="1"/>
          </xdr:nvSpPr>
          <xdr:spPr>
            <a:xfrm>
              <a:off x="1361160" y="43888895"/>
              <a:ext cx="1358134"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Detailed</a:t>
              </a:r>
              <a:r>
                <a:rPr lang="en-US" sz="700" b="0" i="0" u="none" strike="noStrike" baseline="0">
                  <a:solidFill>
                    <a:srgbClr val="2A2A2A"/>
                  </a:solidFill>
                  <a:latin typeface="Overpass" panose="00000500000000000000" pitchFamily="2" charset="0"/>
                  <a:ea typeface="+mn-ea"/>
                  <a:cs typeface="Calibri"/>
                </a:rPr>
                <a:t> Design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65" name="TextBox 264">
              <a:extLst>
                <a:ext uri="{FF2B5EF4-FFF2-40B4-BE49-F238E27FC236}">
                  <a16:creationId xmlns:a16="http://schemas.microsoft.com/office/drawing/2014/main" id="{2B8F7308-112E-C153-1D32-975F11DB042A}"/>
                </a:ext>
              </a:extLst>
            </xdr:cNvPr>
            <xdr:cNvSpPr txBox="1"/>
          </xdr:nvSpPr>
          <xdr:spPr>
            <a:xfrm>
              <a:off x="1362478" y="42539174"/>
              <a:ext cx="388470" cy="388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01</a:t>
              </a:r>
            </a:p>
          </xdr:txBody>
        </xdr:sp>
        <xdr:sp macro="" textlink="">
          <xdr:nvSpPr>
            <xdr:cNvPr id="266" name="TextBox 265">
              <a:extLst>
                <a:ext uri="{FF2B5EF4-FFF2-40B4-BE49-F238E27FC236}">
                  <a16:creationId xmlns:a16="http://schemas.microsoft.com/office/drawing/2014/main" id="{4216F2CF-7FCF-1441-F3E7-E7F34DE7C45D}"/>
                </a:ext>
              </a:extLst>
            </xdr:cNvPr>
            <xdr:cNvSpPr txBox="1"/>
          </xdr:nvSpPr>
          <xdr:spPr>
            <a:xfrm>
              <a:off x="1554336" y="42529247"/>
              <a:ext cx="1359193" cy="582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PRELIMINARY</a:t>
              </a:r>
            </a:p>
          </xdr:txBody>
        </xdr:sp>
      </xdr:grpSp>
      <xdr:grpSp>
        <xdr:nvGrpSpPr>
          <xdr:cNvPr id="234" name="Group 233">
            <a:extLst>
              <a:ext uri="{FF2B5EF4-FFF2-40B4-BE49-F238E27FC236}">
                <a16:creationId xmlns:a16="http://schemas.microsoft.com/office/drawing/2014/main" id="{6747534B-3A7B-37BC-C110-DA38CD8E9B10}"/>
              </a:ext>
            </a:extLst>
          </xdr:cNvPr>
          <xdr:cNvGrpSpPr/>
        </xdr:nvGrpSpPr>
        <xdr:grpSpPr>
          <a:xfrm>
            <a:off x="3097385" y="40692858"/>
            <a:ext cx="1687652" cy="1875169"/>
            <a:chOff x="3302001" y="42343294"/>
            <a:chExt cx="1748118" cy="1942353"/>
          </a:xfrm>
        </xdr:grpSpPr>
        <xdr:sp macro="" textlink="">
          <xdr:nvSpPr>
            <xdr:cNvPr id="252" name="Rounded Rectangle 238">
              <a:extLst>
                <a:ext uri="{FF2B5EF4-FFF2-40B4-BE49-F238E27FC236}">
                  <a16:creationId xmlns:a16="http://schemas.microsoft.com/office/drawing/2014/main" id="{A5A375FA-B1E2-BB48-1D69-455F0DC02136}"/>
                </a:ext>
              </a:extLst>
            </xdr:cNvPr>
            <xdr:cNvSpPr/>
          </xdr:nvSpPr>
          <xdr:spPr>
            <a:xfrm>
              <a:off x="3302001" y="42343294"/>
              <a:ext cx="174811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53" name="TextBox 252">
              <a:extLst>
                <a:ext uri="{FF2B5EF4-FFF2-40B4-BE49-F238E27FC236}">
                  <a16:creationId xmlns:a16="http://schemas.microsoft.com/office/drawing/2014/main" id="{275BBE65-4911-B29B-4BD5-205D3BBB99B1}"/>
                </a:ext>
              </a:extLst>
            </xdr:cNvPr>
            <xdr:cNvSpPr txBox="1"/>
          </xdr:nvSpPr>
          <xdr:spPr>
            <a:xfrm>
              <a:off x="3496236" y="43111954"/>
              <a:ext cx="135964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Engineering</a:t>
              </a:r>
              <a:r>
                <a:rPr lang="en-US" sz="700" b="0" i="0" u="none" strike="noStrike" baseline="0">
                  <a:solidFill>
                    <a:srgbClr val="2A2A2A"/>
                  </a:solidFill>
                  <a:latin typeface="Overpass" panose="00000500000000000000" pitchFamily="2" charset="0"/>
                  <a:ea typeface="+mn-ea"/>
                  <a:cs typeface="Calibri"/>
                </a:rPr>
                <a:t> reports.</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4" name="TextBox 253">
              <a:extLst>
                <a:ext uri="{FF2B5EF4-FFF2-40B4-BE49-F238E27FC236}">
                  <a16:creationId xmlns:a16="http://schemas.microsoft.com/office/drawing/2014/main" id="{8B12D512-6A40-54EE-BB4D-D0E9891272EA}"/>
                </a:ext>
              </a:extLst>
            </xdr:cNvPr>
            <xdr:cNvSpPr txBox="1"/>
          </xdr:nvSpPr>
          <xdr:spPr>
            <a:xfrm>
              <a:off x="3499395" y="43306189"/>
              <a:ext cx="1358135"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Detailed system</a:t>
              </a:r>
              <a:r>
                <a:rPr lang="en-US" sz="700" b="0" i="0" u="none" strike="noStrike" baseline="0">
                  <a:solidFill>
                    <a:srgbClr val="2A2A2A"/>
                  </a:solidFill>
                  <a:latin typeface="Overpass" panose="00000500000000000000" pitchFamily="2" charset="0"/>
                  <a:ea typeface="+mn-ea"/>
                  <a:cs typeface="Calibri"/>
                </a:rPr>
                <a:t> design.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5" name="TextBox 254">
              <a:extLst>
                <a:ext uri="{FF2B5EF4-FFF2-40B4-BE49-F238E27FC236}">
                  <a16:creationId xmlns:a16="http://schemas.microsoft.com/office/drawing/2014/main" id="{57F8DC97-350B-FF68-1A0F-362B9CA59300}"/>
                </a:ext>
              </a:extLst>
            </xdr:cNvPr>
            <xdr:cNvSpPr txBox="1"/>
          </xdr:nvSpPr>
          <xdr:spPr>
            <a:xfrm>
              <a:off x="3499395" y="43500425"/>
              <a:ext cx="135813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Grid connect</a:t>
              </a:r>
              <a:r>
                <a:rPr lang="en-US" sz="700" b="0" i="0" u="none" strike="noStrike" baseline="0">
                  <a:solidFill>
                    <a:srgbClr val="2A2A2A"/>
                  </a:solidFill>
                  <a:latin typeface="Overpass" panose="00000500000000000000" pitchFamily="2" charset="0"/>
                  <a:ea typeface="+mn-ea"/>
                  <a:cs typeface="Calibri"/>
                </a:rPr>
                <a:t> application.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56" name="TextBox 255">
              <a:extLst>
                <a:ext uri="{FF2B5EF4-FFF2-40B4-BE49-F238E27FC236}">
                  <a16:creationId xmlns:a16="http://schemas.microsoft.com/office/drawing/2014/main" id="{69E9179E-B60E-FD4D-6FBD-8F6694910CF4}"/>
                </a:ext>
              </a:extLst>
            </xdr:cNvPr>
            <xdr:cNvSpPr txBox="1"/>
          </xdr:nvSpPr>
          <xdr:spPr>
            <a:xfrm>
              <a:off x="3499395" y="43888896"/>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Site Setup</a:t>
              </a:r>
            </a:p>
          </xdr:txBody>
        </xdr:sp>
        <xdr:sp macro="" textlink="">
          <xdr:nvSpPr>
            <xdr:cNvPr id="257" name="TextBox 256">
              <a:extLst>
                <a:ext uri="{FF2B5EF4-FFF2-40B4-BE49-F238E27FC236}">
                  <a16:creationId xmlns:a16="http://schemas.microsoft.com/office/drawing/2014/main" id="{CEED5E95-D3A2-4CB7-A786-F25C43B0F2ED}"/>
                </a:ext>
              </a:extLst>
            </xdr:cNvPr>
            <xdr:cNvSpPr txBox="1"/>
          </xdr:nvSpPr>
          <xdr:spPr>
            <a:xfrm>
              <a:off x="3496235" y="42529247"/>
              <a:ext cx="388472"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02</a:t>
              </a:r>
            </a:p>
          </xdr:txBody>
        </xdr:sp>
        <xdr:sp macro="" textlink="">
          <xdr:nvSpPr>
            <xdr:cNvPr id="258" name="TextBox 257">
              <a:extLst>
                <a:ext uri="{FF2B5EF4-FFF2-40B4-BE49-F238E27FC236}">
                  <a16:creationId xmlns:a16="http://schemas.microsoft.com/office/drawing/2014/main" id="{2DD612FD-B514-113D-3D5C-4CE6FD3C3C95}"/>
                </a:ext>
              </a:extLst>
            </xdr:cNvPr>
            <xdr:cNvSpPr txBox="1"/>
          </xdr:nvSpPr>
          <xdr:spPr>
            <a:xfrm>
              <a:off x="3692118" y="42529248"/>
              <a:ext cx="1352547"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PROJECT</a:t>
              </a:r>
            </a:p>
            <a:p>
              <a:pPr marL="0" indent="0" algn="l"/>
              <a:r>
                <a:rPr lang="en-US" sz="1000" b="0" i="0" u="none" strike="noStrike">
                  <a:solidFill>
                    <a:srgbClr val="28066C"/>
                  </a:solidFill>
                  <a:latin typeface="Barlow" pitchFamily="2" charset="77"/>
                  <a:ea typeface="+mn-ea"/>
                  <a:cs typeface="Calibri"/>
                </a:rPr>
                <a:t>COMMENCEMENT</a:t>
              </a:r>
            </a:p>
          </xdr:txBody>
        </xdr:sp>
        <xdr:sp macro="" textlink="">
          <xdr:nvSpPr>
            <xdr:cNvPr id="259" name="TextBox 258">
              <a:extLst>
                <a:ext uri="{FF2B5EF4-FFF2-40B4-BE49-F238E27FC236}">
                  <a16:creationId xmlns:a16="http://schemas.microsoft.com/office/drawing/2014/main" id="{E58D7DD1-F55E-B5E7-1F42-69A477D94C76}"/>
                </a:ext>
              </a:extLst>
            </xdr:cNvPr>
            <xdr:cNvSpPr txBox="1"/>
          </xdr:nvSpPr>
          <xdr:spPr>
            <a:xfrm>
              <a:off x="3496235" y="43694659"/>
              <a:ext cx="1362612" cy="204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CDC/DA application.</a:t>
              </a:r>
            </a:p>
          </xdr:txBody>
        </xdr:sp>
      </xdr:grpSp>
      <xdr:grpSp>
        <xdr:nvGrpSpPr>
          <xdr:cNvPr id="235" name="Group 234">
            <a:extLst>
              <a:ext uri="{FF2B5EF4-FFF2-40B4-BE49-F238E27FC236}">
                <a16:creationId xmlns:a16="http://schemas.microsoft.com/office/drawing/2014/main" id="{A3A4AE53-2B12-767E-9672-3A65D836BEBA}"/>
              </a:ext>
            </a:extLst>
          </xdr:cNvPr>
          <xdr:cNvGrpSpPr/>
        </xdr:nvGrpSpPr>
        <xdr:grpSpPr>
          <a:xfrm>
            <a:off x="5062953" y="40692858"/>
            <a:ext cx="1690481" cy="1875169"/>
            <a:chOff x="5244353" y="42343294"/>
            <a:chExt cx="1750948" cy="1942353"/>
          </a:xfrm>
        </xdr:grpSpPr>
        <xdr:sp macro="" textlink="">
          <xdr:nvSpPr>
            <xdr:cNvPr id="244" name="Rounded Rectangle 247">
              <a:extLst>
                <a:ext uri="{FF2B5EF4-FFF2-40B4-BE49-F238E27FC236}">
                  <a16:creationId xmlns:a16="http://schemas.microsoft.com/office/drawing/2014/main" id="{37F7D339-87A5-E739-6FCA-B56C3EDF4168}"/>
                </a:ext>
              </a:extLst>
            </xdr:cNvPr>
            <xdr:cNvSpPr/>
          </xdr:nvSpPr>
          <xdr:spPr>
            <a:xfrm>
              <a:off x="5244353" y="42343294"/>
              <a:ext cx="175094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45" name="TextBox 244">
              <a:extLst>
                <a:ext uri="{FF2B5EF4-FFF2-40B4-BE49-F238E27FC236}">
                  <a16:creationId xmlns:a16="http://schemas.microsoft.com/office/drawing/2014/main" id="{6EB3DCE7-5AFE-B35E-B641-7D732CC51C60}"/>
                </a:ext>
              </a:extLst>
            </xdr:cNvPr>
            <xdr:cNvSpPr txBox="1"/>
          </xdr:nvSpPr>
          <xdr:spPr>
            <a:xfrm>
              <a:off x="5428662" y="43111954"/>
              <a:ext cx="136957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Safety Management Plan.</a:t>
              </a:r>
            </a:p>
          </xdr:txBody>
        </xdr:sp>
        <xdr:sp macro="" textlink="">
          <xdr:nvSpPr>
            <xdr:cNvPr id="246" name="TextBox 245">
              <a:extLst>
                <a:ext uri="{FF2B5EF4-FFF2-40B4-BE49-F238E27FC236}">
                  <a16:creationId xmlns:a16="http://schemas.microsoft.com/office/drawing/2014/main" id="{AC8E4D60-7FEC-12F6-F765-84F8F12F2892}"/>
                </a:ext>
              </a:extLst>
            </xdr:cNvPr>
            <xdr:cNvSpPr txBox="1"/>
          </xdr:nvSpPr>
          <xdr:spPr>
            <a:xfrm>
              <a:off x="5431820" y="43306189"/>
              <a:ext cx="156065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Organising</a:t>
              </a:r>
              <a:r>
                <a:rPr lang="en-US" sz="700" b="0" i="0" u="none" strike="noStrike" baseline="0">
                  <a:solidFill>
                    <a:srgbClr val="2A2A2A"/>
                  </a:solidFill>
                  <a:latin typeface="Overpass" panose="00000500000000000000" pitchFamily="2" charset="0"/>
                  <a:ea typeface="+mn-ea"/>
                  <a:cs typeface="Calibri"/>
                </a:rPr>
                <a:t> safety equipment.</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7" name="TextBox 246">
              <a:extLst>
                <a:ext uri="{FF2B5EF4-FFF2-40B4-BE49-F238E27FC236}">
                  <a16:creationId xmlns:a16="http://schemas.microsoft.com/office/drawing/2014/main" id="{E983BA68-C785-8208-D0AE-96168A8C2736}"/>
                </a:ext>
              </a:extLst>
            </xdr:cNvPr>
            <xdr:cNvSpPr txBox="1"/>
          </xdr:nvSpPr>
          <xdr:spPr>
            <a:xfrm>
              <a:off x="5431821" y="43500425"/>
              <a:ext cx="136641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Procurement</a:t>
              </a:r>
              <a:r>
                <a:rPr lang="en-US" sz="700" b="0" i="0" u="none" strike="noStrike" baseline="0">
                  <a:solidFill>
                    <a:srgbClr val="2A2A2A"/>
                  </a:solidFill>
                  <a:latin typeface="Overpass" panose="00000500000000000000" pitchFamily="2" charset="0"/>
                  <a:ea typeface="+mn-ea"/>
                  <a:cs typeface="Calibri"/>
                </a:rPr>
                <a:t> of product.</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8" name="TextBox 247">
              <a:extLst>
                <a:ext uri="{FF2B5EF4-FFF2-40B4-BE49-F238E27FC236}">
                  <a16:creationId xmlns:a16="http://schemas.microsoft.com/office/drawing/2014/main" id="{0EB8A382-F43E-4A86-9747-47A3FDB2C5A7}"/>
                </a:ext>
              </a:extLst>
            </xdr:cNvPr>
            <xdr:cNvSpPr txBox="1"/>
          </xdr:nvSpPr>
          <xdr:spPr>
            <a:xfrm>
              <a:off x="5431821" y="43888896"/>
              <a:ext cx="155072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Cable Tray &amp; Caling Installation</a:t>
              </a:r>
            </a:p>
          </xdr:txBody>
        </xdr:sp>
        <xdr:sp macro="" textlink="">
          <xdr:nvSpPr>
            <xdr:cNvPr id="249" name="TextBox 248">
              <a:extLst>
                <a:ext uri="{FF2B5EF4-FFF2-40B4-BE49-F238E27FC236}">
                  <a16:creationId xmlns:a16="http://schemas.microsoft.com/office/drawing/2014/main" id="{FDBCD421-CFFE-16D3-9A26-2970D84AB52C}"/>
                </a:ext>
              </a:extLst>
            </xdr:cNvPr>
            <xdr:cNvSpPr txBox="1"/>
          </xdr:nvSpPr>
          <xdr:spPr>
            <a:xfrm>
              <a:off x="5438589" y="42529247"/>
              <a:ext cx="383018"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03</a:t>
              </a:r>
            </a:p>
          </xdr:txBody>
        </xdr:sp>
        <xdr:sp macro="" textlink="">
          <xdr:nvSpPr>
            <xdr:cNvPr id="250" name="TextBox 249">
              <a:extLst>
                <a:ext uri="{FF2B5EF4-FFF2-40B4-BE49-F238E27FC236}">
                  <a16:creationId xmlns:a16="http://schemas.microsoft.com/office/drawing/2014/main" id="{283D3B65-4F27-9D32-B0CC-95CA8B68226E}"/>
                </a:ext>
              </a:extLst>
            </xdr:cNvPr>
            <xdr:cNvSpPr txBox="1"/>
          </xdr:nvSpPr>
          <xdr:spPr>
            <a:xfrm>
              <a:off x="5634471" y="42529248"/>
              <a:ext cx="1358454"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SAFETY </a:t>
              </a:r>
            </a:p>
            <a:p>
              <a:pPr marL="0" indent="0" algn="l"/>
              <a:r>
                <a:rPr lang="en-US" sz="1000" b="0" i="0" u="none" strike="noStrike">
                  <a:solidFill>
                    <a:srgbClr val="28066C"/>
                  </a:solidFill>
                  <a:latin typeface="Barlow" pitchFamily="2" charset="77"/>
                  <a:ea typeface="+mn-ea"/>
                  <a:cs typeface="Calibri"/>
                </a:rPr>
                <a:t>&amp; LOGISTICS</a:t>
              </a:r>
            </a:p>
          </xdr:txBody>
        </xdr:sp>
        <xdr:sp macro="" textlink="">
          <xdr:nvSpPr>
            <xdr:cNvPr id="251" name="TextBox 250">
              <a:extLst>
                <a:ext uri="{FF2B5EF4-FFF2-40B4-BE49-F238E27FC236}">
                  <a16:creationId xmlns:a16="http://schemas.microsoft.com/office/drawing/2014/main" id="{C381D0B9-6155-7F02-C445-529B3DCF1495}"/>
                </a:ext>
              </a:extLst>
            </xdr:cNvPr>
            <xdr:cNvSpPr txBox="1"/>
          </xdr:nvSpPr>
          <xdr:spPr>
            <a:xfrm>
              <a:off x="5438589" y="43694659"/>
              <a:ext cx="1553882" cy="204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Organising lifting equipment.</a:t>
              </a:r>
            </a:p>
          </xdr:txBody>
        </xdr:sp>
      </xdr:grpSp>
      <xdr:grpSp>
        <xdr:nvGrpSpPr>
          <xdr:cNvPr id="236" name="Group 235">
            <a:extLst>
              <a:ext uri="{FF2B5EF4-FFF2-40B4-BE49-F238E27FC236}">
                <a16:creationId xmlns:a16="http://schemas.microsoft.com/office/drawing/2014/main" id="{EA17FA2A-112F-6D56-7B14-812AE9074CF9}"/>
              </a:ext>
            </a:extLst>
          </xdr:cNvPr>
          <xdr:cNvGrpSpPr/>
        </xdr:nvGrpSpPr>
        <xdr:grpSpPr>
          <a:xfrm>
            <a:off x="3092522" y="42750637"/>
            <a:ext cx="3647770" cy="1878356"/>
            <a:chOff x="3296548" y="44471600"/>
            <a:chExt cx="3777700" cy="1945183"/>
          </a:xfrm>
        </xdr:grpSpPr>
        <xdr:sp macro="" textlink="">
          <xdr:nvSpPr>
            <xdr:cNvPr id="237" name="Rounded Rectangle 264">
              <a:extLst>
                <a:ext uri="{FF2B5EF4-FFF2-40B4-BE49-F238E27FC236}">
                  <a16:creationId xmlns:a16="http://schemas.microsoft.com/office/drawing/2014/main" id="{5C22A680-6BB0-81AE-EC6A-4FDB9C44B857}"/>
                </a:ext>
              </a:extLst>
            </xdr:cNvPr>
            <xdr:cNvSpPr/>
          </xdr:nvSpPr>
          <xdr:spPr>
            <a:xfrm>
              <a:off x="3296548" y="44471600"/>
              <a:ext cx="1753775"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8" name="TextBox 237">
              <a:extLst>
                <a:ext uri="{FF2B5EF4-FFF2-40B4-BE49-F238E27FC236}">
                  <a16:creationId xmlns:a16="http://schemas.microsoft.com/office/drawing/2014/main" id="{B7F2F91A-2FC7-3B90-865B-B26F5D0CE158}"/>
                </a:ext>
              </a:extLst>
            </xdr:cNvPr>
            <xdr:cNvSpPr txBox="1"/>
          </xdr:nvSpPr>
          <xdr:spPr>
            <a:xfrm>
              <a:off x="3496234" y="45106652"/>
              <a:ext cx="1404017" cy="349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Fire Rated</a:t>
              </a:r>
              <a:r>
                <a:rPr lang="en-US" sz="700" b="0" i="0" u="none" strike="noStrike" baseline="0">
                  <a:solidFill>
                    <a:srgbClr val="2A2A2A"/>
                  </a:solidFill>
                  <a:latin typeface="Overpass" panose="00000500000000000000" pitchFamily="2" charset="0"/>
                  <a:ea typeface="+mn-ea"/>
                  <a:cs typeface="Calibri"/>
                </a:rPr>
                <a:t> Enclosure Installation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39" name="TextBox 238">
              <a:extLst>
                <a:ext uri="{FF2B5EF4-FFF2-40B4-BE49-F238E27FC236}">
                  <a16:creationId xmlns:a16="http://schemas.microsoft.com/office/drawing/2014/main" id="{3E375573-F5D0-77F8-C267-3DA23B59A933}"/>
                </a:ext>
              </a:extLst>
            </xdr:cNvPr>
            <xdr:cNvSpPr txBox="1"/>
          </xdr:nvSpPr>
          <xdr:spPr>
            <a:xfrm>
              <a:off x="3499395" y="45394111"/>
              <a:ext cx="1356488" cy="398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Monitoring</a:t>
              </a:r>
              <a:r>
                <a:rPr lang="en-US" sz="700" b="0" i="0" u="none" strike="noStrike" baseline="0">
                  <a:solidFill>
                    <a:srgbClr val="2A2A2A"/>
                  </a:solidFill>
                  <a:latin typeface="Overpass" panose="00000500000000000000" pitchFamily="2" charset="0"/>
                  <a:ea typeface="+mn-ea"/>
                  <a:cs typeface="Calibri"/>
                </a:rPr>
                <a:t> handover, accounts and logins created.</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0" name="TextBox 239">
              <a:extLst>
                <a:ext uri="{FF2B5EF4-FFF2-40B4-BE49-F238E27FC236}">
                  <a16:creationId xmlns:a16="http://schemas.microsoft.com/office/drawing/2014/main" id="{5F420246-B689-3989-ABEA-476DB9DCE4D4}"/>
                </a:ext>
              </a:extLst>
            </xdr:cNvPr>
            <xdr:cNvSpPr txBox="1"/>
          </xdr:nvSpPr>
          <xdr:spPr>
            <a:xfrm>
              <a:off x="3499394" y="45792509"/>
              <a:ext cx="154527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Sign off by Delivery</a:t>
              </a:r>
              <a:r>
                <a:rPr lang="en-US" sz="700" b="0" i="0" u="none" strike="noStrike" baseline="0">
                  <a:solidFill>
                    <a:srgbClr val="2A2A2A"/>
                  </a:solidFill>
                  <a:latin typeface="Overpass" panose="00000500000000000000" pitchFamily="2" charset="0"/>
                  <a:ea typeface="+mn-ea"/>
                  <a:cs typeface="Calibri"/>
                </a:rPr>
                <a:t> Manager.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41" name="TextBox 240">
              <a:extLst>
                <a:ext uri="{FF2B5EF4-FFF2-40B4-BE49-F238E27FC236}">
                  <a16:creationId xmlns:a16="http://schemas.microsoft.com/office/drawing/2014/main" id="{15D148B3-8A64-9ECC-8802-220818DFA337}"/>
                </a:ext>
              </a:extLst>
            </xdr:cNvPr>
            <xdr:cNvSpPr txBox="1"/>
          </xdr:nvSpPr>
          <xdr:spPr>
            <a:xfrm>
              <a:off x="3499395" y="45976818"/>
              <a:ext cx="1356487" cy="388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System Manual handover to client.</a:t>
              </a:r>
            </a:p>
          </xdr:txBody>
        </xdr:sp>
        <xdr:sp macro="" textlink="">
          <xdr:nvSpPr>
            <xdr:cNvPr id="242" name="TextBox 241">
              <a:extLst>
                <a:ext uri="{FF2B5EF4-FFF2-40B4-BE49-F238E27FC236}">
                  <a16:creationId xmlns:a16="http://schemas.microsoft.com/office/drawing/2014/main" id="{661ED18A-1C11-35C2-97BF-8B8368FF4FBA}"/>
                </a:ext>
              </a:extLst>
            </xdr:cNvPr>
            <xdr:cNvSpPr txBox="1"/>
          </xdr:nvSpPr>
          <xdr:spPr>
            <a:xfrm>
              <a:off x="3496235" y="44665835"/>
              <a:ext cx="388472"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05</a:t>
              </a:r>
            </a:p>
          </xdr:txBody>
        </xdr:sp>
        <xdr:sp macro="" textlink="">
          <xdr:nvSpPr>
            <xdr:cNvPr id="243" name="TextBox 242">
              <a:extLst>
                <a:ext uri="{FF2B5EF4-FFF2-40B4-BE49-F238E27FC236}">
                  <a16:creationId xmlns:a16="http://schemas.microsoft.com/office/drawing/2014/main" id="{327871EF-111C-0AA8-E581-72A96EC8722D}"/>
                </a:ext>
              </a:extLst>
            </xdr:cNvPr>
            <xdr:cNvSpPr txBox="1"/>
          </xdr:nvSpPr>
          <xdr:spPr>
            <a:xfrm>
              <a:off x="3692117" y="44631124"/>
              <a:ext cx="1362478" cy="423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COMISSIONING &amp; SAFETY</a:t>
              </a:r>
            </a:p>
          </xdr:txBody>
        </xdr:sp>
        <xdr:sp macro="" textlink="">
          <xdr:nvSpPr>
            <xdr:cNvPr id="331" name="Rounded Rectangle 264">
              <a:extLst>
                <a:ext uri="{FF2B5EF4-FFF2-40B4-BE49-F238E27FC236}">
                  <a16:creationId xmlns:a16="http://schemas.microsoft.com/office/drawing/2014/main" id="{39D1A12E-3667-35DF-FAD4-3AE151B99593}"/>
                </a:ext>
              </a:extLst>
            </xdr:cNvPr>
            <xdr:cNvSpPr/>
          </xdr:nvSpPr>
          <xdr:spPr>
            <a:xfrm>
              <a:off x="5316202" y="44471600"/>
              <a:ext cx="1753775"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32" name="TextBox 331">
              <a:extLst>
                <a:ext uri="{FF2B5EF4-FFF2-40B4-BE49-F238E27FC236}">
                  <a16:creationId xmlns:a16="http://schemas.microsoft.com/office/drawing/2014/main" id="{BA7979BF-EBD3-B7AE-8390-2D0C67556E6D}"/>
                </a:ext>
              </a:extLst>
            </xdr:cNvPr>
            <xdr:cNvSpPr txBox="1"/>
          </xdr:nvSpPr>
          <xdr:spPr>
            <a:xfrm>
              <a:off x="5515889" y="45067835"/>
              <a:ext cx="1359647" cy="335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Final</a:t>
              </a:r>
              <a:r>
                <a:rPr lang="en-US" sz="700" b="0" i="0" u="none" strike="noStrike" baseline="0">
                  <a:solidFill>
                    <a:srgbClr val="2A2A2A"/>
                  </a:solidFill>
                  <a:latin typeface="Overpass" panose="00000500000000000000" pitchFamily="2" charset="0"/>
                  <a:ea typeface="+mn-ea"/>
                  <a:cs typeface="Calibri"/>
                </a:rPr>
                <a:t> site inspection &amp; DNSP Approval</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333" name="TextBox 332">
              <a:extLst>
                <a:ext uri="{FF2B5EF4-FFF2-40B4-BE49-F238E27FC236}">
                  <a16:creationId xmlns:a16="http://schemas.microsoft.com/office/drawing/2014/main" id="{1C2306E7-3C43-4538-D28C-8A2C35EDECCA}"/>
                </a:ext>
              </a:extLst>
            </xdr:cNvPr>
            <xdr:cNvSpPr txBox="1"/>
          </xdr:nvSpPr>
          <xdr:spPr>
            <a:xfrm>
              <a:off x="5519049" y="45355292"/>
              <a:ext cx="1356488" cy="398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Monitoring</a:t>
              </a:r>
              <a:r>
                <a:rPr lang="en-US" sz="700" b="0" i="0" u="none" strike="noStrike" baseline="0">
                  <a:solidFill>
                    <a:srgbClr val="2A2A2A"/>
                  </a:solidFill>
                  <a:latin typeface="Overpass" panose="00000500000000000000" pitchFamily="2" charset="0"/>
                  <a:ea typeface="+mn-ea"/>
                  <a:cs typeface="Calibri"/>
                </a:rPr>
                <a:t> handover, accounts and logins created.</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361" name="TextBox 360">
              <a:extLst>
                <a:ext uri="{FF2B5EF4-FFF2-40B4-BE49-F238E27FC236}">
                  <a16:creationId xmlns:a16="http://schemas.microsoft.com/office/drawing/2014/main" id="{9F3D1C92-A27A-D3C5-CBD3-36B01294EF06}"/>
                </a:ext>
              </a:extLst>
            </xdr:cNvPr>
            <xdr:cNvSpPr txBox="1"/>
          </xdr:nvSpPr>
          <xdr:spPr>
            <a:xfrm>
              <a:off x="5519048" y="45753691"/>
              <a:ext cx="154527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Sign off by Delivery</a:t>
              </a:r>
              <a:r>
                <a:rPr lang="en-US" sz="700" b="0" i="0" u="none" strike="noStrike" baseline="0">
                  <a:solidFill>
                    <a:srgbClr val="2A2A2A"/>
                  </a:solidFill>
                  <a:latin typeface="Overpass" panose="00000500000000000000" pitchFamily="2" charset="0"/>
                  <a:ea typeface="+mn-ea"/>
                  <a:cs typeface="Calibri"/>
                </a:rPr>
                <a:t> Manager.</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362" name="TextBox 361">
              <a:extLst>
                <a:ext uri="{FF2B5EF4-FFF2-40B4-BE49-F238E27FC236}">
                  <a16:creationId xmlns:a16="http://schemas.microsoft.com/office/drawing/2014/main" id="{657FFD37-B409-3818-F9B9-B052E4B584B9}"/>
                </a:ext>
              </a:extLst>
            </xdr:cNvPr>
            <xdr:cNvSpPr txBox="1"/>
          </xdr:nvSpPr>
          <xdr:spPr>
            <a:xfrm>
              <a:off x="5519049" y="45938000"/>
              <a:ext cx="1356487" cy="388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System Manual handover to client.</a:t>
              </a:r>
            </a:p>
          </xdr:txBody>
        </xdr:sp>
        <xdr:sp macro="" textlink="">
          <xdr:nvSpPr>
            <xdr:cNvPr id="363" name="TextBox 362">
              <a:extLst>
                <a:ext uri="{FF2B5EF4-FFF2-40B4-BE49-F238E27FC236}">
                  <a16:creationId xmlns:a16="http://schemas.microsoft.com/office/drawing/2014/main" id="{39D44169-6228-B2BA-96C4-F72AFEE4F0F3}"/>
                </a:ext>
              </a:extLst>
            </xdr:cNvPr>
            <xdr:cNvSpPr txBox="1"/>
          </xdr:nvSpPr>
          <xdr:spPr>
            <a:xfrm>
              <a:off x="5515889" y="44665835"/>
              <a:ext cx="388472"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06</a:t>
              </a:r>
            </a:p>
          </xdr:txBody>
        </xdr:sp>
        <xdr:sp macro="" textlink="">
          <xdr:nvSpPr>
            <xdr:cNvPr id="364" name="TextBox 363">
              <a:extLst>
                <a:ext uri="{FF2B5EF4-FFF2-40B4-BE49-F238E27FC236}">
                  <a16:creationId xmlns:a16="http://schemas.microsoft.com/office/drawing/2014/main" id="{7F52EFA8-7CA2-E1C5-DF92-8A314220102F}"/>
                </a:ext>
              </a:extLst>
            </xdr:cNvPr>
            <xdr:cNvSpPr txBox="1"/>
          </xdr:nvSpPr>
          <xdr:spPr>
            <a:xfrm>
              <a:off x="5711770" y="44665836"/>
              <a:ext cx="1362478"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COMISSIONING</a:t>
              </a:r>
            </a:p>
          </xdr:txBody>
        </xdr:sp>
      </xdr:grpSp>
    </xdr:grpSp>
    <xdr:clientData/>
  </xdr:twoCellAnchor>
  <xdr:twoCellAnchor>
    <xdr:from>
      <xdr:col>6</xdr:col>
      <xdr:colOff>0</xdr:colOff>
      <xdr:row>247</xdr:row>
      <xdr:rowOff>0</xdr:rowOff>
    </xdr:from>
    <xdr:to>
      <xdr:col>31</xdr:col>
      <xdr:colOff>2684</xdr:colOff>
      <xdr:row>249</xdr:row>
      <xdr:rowOff>9034</xdr:rowOff>
    </xdr:to>
    <xdr:sp macro="" textlink="">
      <xdr:nvSpPr>
        <xdr:cNvPr id="267" name="TextBox 15">
          <a:extLst>
            <a:ext uri="{FF2B5EF4-FFF2-40B4-BE49-F238E27FC236}">
              <a16:creationId xmlns:a16="http://schemas.microsoft.com/office/drawing/2014/main" id="{7A967705-ECB2-4B28-977E-AFFD3F086D3E}"/>
            </a:ext>
          </a:extLst>
        </xdr:cNvPr>
        <xdr:cNvSpPr txBox="1"/>
      </xdr:nvSpPr>
      <xdr:spPr>
        <a:xfrm>
          <a:off x="1143000" y="47053500"/>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CABLE RUN DISTANCES</a:t>
          </a:r>
        </a:p>
      </xdr:txBody>
    </xdr:sp>
    <xdr:clientData/>
  </xdr:twoCellAnchor>
  <xdr:twoCellAnchor>
    <xdr:from>
      <xdr:col>5</xdr:col>
      <xdr:colOff>185303</xdr:colOff>
      <xdr:row>257</xdr:row>
      <xdr:rowOff>153019</xdr:rowOff>
    </xdr:from>
    <xdr:to>
      <xdr:col>37</xdr:col>
      <xdr:colOff>92480</xdr:colOff>
      <xdr:row>277</xdr:row>
      <xdr:rowOff>1</xdr:rowOff>
    </xdr:to>
    <xdr:grpSp>
      <xdr:nvGrpSpPr>
        <xdr:cNvPr id="268" name="Group 267">
          <a:extLst>
            <a:ext uri="{FF2B5EF4-FFF2-40B4-BE49-F238E27FC236}">
              <a16:creationId xmlns:a16="http://schemas.microsoft.com/office/drawing/2014/main" id="{4C371B0D-CF20-43E9-9B90-11C66445242F}"/>
            </a:ext>
          </a:extLst>
        </xdr:cNvPr>
        <xdr:cNvGrpSpPr/>
      </xdr:nvGrpSpPr>
      <xdr:grpSpPr>
        <a:xfrm>
          <a:off x="1135898" y="49111519"/>
          <a:ext cx="6008892" cy="3656982"/>
          <a:chOff x="1122887" y="48344831"/>
          <a:chExt cx="5907714" cy="3597318"/>
        </a:xfrm>
      </xdr:grpSpPr>
      <xdr:sp macro="" textlink="">
        <xdr:nvSpPr>
          <xdr:cNvPr id="269" name="TextBox 268">
            <a:extLst>
              <a:ext uri="{FF2B5EF4-FFF2-40B4-BE49-F238E27FC236}">
                <a16:creationId xmlns:a16="http://schemas.microsoft.com/office/drawing/2014/main" id="{A18AD51C-9CD5-58FD-22AA-4D291DF7F68B}"/>
              </a:ext>
            </a:extLst>
          </xdr:cNvPr>
          <xdr:cNvSpPr txBox="1"/>
        </xdr:nvSpPr>
        <xdr:spPr>
          <a:xfrm>
            <a:off x="1125101" y="48532348"/>
            <a:ext cx="59055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Movement of the array location away from proposed designs may incur variations to account for changes in DC cable run distances</a:t>
            </a:r>
            <a:r>
              <a:rPr lang="en-AU" sz="1000" i="0" baseline="0">
                <a:solidFill>
                  <a:srgbClr val="2A2A2A"/>
                </a:solidFill>
                <a:latin typeface="Overpass" pitchFamily="2" charset="77"/>
              </a:rPr>
              <a:t>.</a:t>
            </a:r>
            <a:endParaRPr lang="en-AU" sz="1100" i="0">
              <a:solidFill>
                <a:srgbClr val="2A2A2A"/>
              </a:solidFill>
              <a:latin typeface="Overpass" pitchFamily="2" charset="77"/>
            </a:endParaRPr>
          </a:p>
        </xdr:txBody>
      </xdr:sp>
      <xdr:grpSp>
        <xdr:nvGrpSpPr>
          <xdr:cNvPr id="270" name="Group 269">
            <a:extLst>
              <a:ext uri="{FF2B5EF4-FFF2-40B4-BE49-F238E27FC236}">
                <a16:creationId xmlns:a16="http://schemas.microsoft.com/office/drawing/2014/main" id="{D2848950-F513-D981-2715-2B5BA0127D77}"/>
              </a:ext>
            </a:extLst>
          </xdr:cNvPr>
          <xdr:cNvGrpSpPr/>
        </xdr:nvGrpSpPr>
        <xdr:grpSpPr>
          <a:xfrm>
            <a:off x="1122887" y="49103935"/>
            <a:ext cx="5629837" cy="2838214"/>
            <a:chOff x="1099678" y="49277903"/>
            <a:chExt cx="5942163" cy="3081677"/>
          </a:xfrm>
        </xdr:grpSpPr>
        <xdr:pic>
          <xdr:nvPicPr>
            <xdr:cNvPr id="272" name="Picture 26" descr="A screenshot of a computer&#10;&#10;Description automatically generated">
              <a:extLst>
                <a:ext uri="{FF2B5EF4-FFF2-40B4-BE49-F238E27FC236}">
                  <a16:creationId xmlns:a16="http://schemas.microsoft.com/office/drawing/2014/main" id="{26AFC93C-4122-EC6C-6F9D-4498343BDF1E}"/>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6863" t="10609" r="-140" b="10862"/>
            <a:stretch/>
          </xdr:blipFill>
          <xdr:spPr>
            <a:xfrm>
              <a:off x="1099678" y="49277903"/>
              <a:ext cx="5160474" cy="3081677"/>
            </a:xfrm>
            <a:prstGeom prst="rect">
              <a:avLst/>
            </a:prstGeom>
          </xdr:spPr>
        </xdr:pic>
        <xdr:sp macro="" textlink="">
          <xdr:nvSpPr>
            <xdr:cNvPr id="273" name="TextBox 272">
              <a:extLst>
                <a:ext uri="{FF2B5EF4-FFF2-40B4-BE49-F238E27FC236}">
                  <a16:creationId xmlns:a16="http://schemas.microsoft.com/office/drawing/2014/main" id="{799DD99A-AB8D-9462-8151-E23C736870F2}"/>
                </a:ext>
              </a:extLst>
            </xdr:cNvPr>
            <xdr:cNvSpPr txBox="1"/>
          </xdr:nvSpPr>
          <xdr:spPr>
            <a:xfrm>
              <a:off x="5484712" y="49277903"/>
              <a:ext cx="1557129" cy="1362147"/>
            </a:xfrm>
            <a:prstGeom prst="roundRect">
              <a:avLst>
                <a:gd name="adj" fmla="val 12082"/>
              </a:avLst>
            </a:prstGeom>
            <a:solidFill>
              <a:sysClr val="window" lastClr="FFFFFF"/>
            </a:solidFill>
            <a:ln w="12700">
              <a:solidFill>
                <a:srgbClr val="ED7D3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000">
                  <a:solidFill>
                    <a:srgbClr val="2A2A2A"/>
                  </a:solidFill>
                  <a:latin typeface="Overpass" panose="00000500000000000000" pitchFamily="2" charset="0"/>
                </a:rPr>
                <a:t>DC cable</a:t>
              </a:r>
              <a:r>
                <a:rPr lang="en-AU" sz="1000" baseline="0">
                  <a:solidFill>
                    <a:srgbClr val="2A2A2A"/>
                  </a:solidFill>
                  <a:latin typeface="Overpass" panose="00000500000000000000" pitchFamily="2" charset="0"/>
                </a:rPr>
                <a:t> run is measured as the distance from the inverter station to the middle of the array, including the vertical distance.</a:t>
              </a:r>
              <a:endParaRPr lang="en-AU" sz="1100">
                <a:solidFill>
                  <a:srgbClr val="2A2A2A"/>
                </a:solidFill>
              </a:endParaRPr>
            </a:p>
          </xdr:txBody>
        </xdr:sp>
        <xdr:cxnSp macro="">
          <xdr:nvCxnSpPr>
            <xdr:cNvPr id="274" name="Elbow Connector 275">
              <a:extLst>
                <a:ext uri="{FF2B5EF4-FFF2-40B4-BE49-F238E27FC236}">
                  <a16:creationId xmlns:a16="http://schemas.microsoft.com/office/drawing/2014/main" id="{230535B8-7144-FEC1-13CF-15F5159E889E}"/>
                </a:ext>
              </a:extLst>
            </xdr:cNvPr>
            <xdr:cNvCxnSpPr>
              <a:stCxn id="273" idx="1"/>
              <a:endCxn id="275" idx="0"/>
            </xdr:cNvCxnSpPr>
          </xdr:nvCxnSpPr>
          <xdr:spPr>
            <a:xfrm rot="10800000" flipV="1">
              <a:off x="5024398" y="49958976"/>
              <a:ext cx="460314" cy="1017015"/>
            </a:xfrm>
            <a:prstGeom prst="bentConnector2">
              <a:avLst/>
            </a:prstGeom>
            <a:ln w="12700">
              <a:solidFill>
                <a:srgbClr val="ED7D31"/>
              </a:solidFill>
            </a:ln>
          </xdr:spPr>
          <xdr:style>
            <a:lnRef idx="1">
              <a:schemeClr val="accent1"/>
            </a:lnRef>
            <a:fillRef idx="0">
              <a:schemeClr val="accent1"/>
            </a:fillRef>
            <a:effectRef idx="0">
              <a:schemeClr val="accent1"/>
            </a:effectRef>
            <a:fontRef idx="minor">
              <a:schemeClr val="tx1"/>
            </a:fontRef>
          </xdr:style>
        </xdr:cxnSp>
        <xdr:sp macro="" textlink="">
          <xdr:nvSpPr>
            <xdr:cNvPr id="275" name="Oval 274">
              <a:extLst>
                <a:ext uri="{FF2B5EF4-FFF2-40B4-BE49-F238E27FC236}">
                  <a16:creationId xmlns:a16="http://schemas.microsoft.com/office/drawing/2014/main" id="{A8E5EE3A-0FA2-AB92-DB8B-5051DB88DBF5}"/>
                </a:ext>
              </a:extLst>
            </xdr:cNvPr>
            <xdr:cNvSpPr>
              <a:spLocks noChangeAspect="1"/>
            </xdr:cNvSpPr>
          </xdr:nvSpPr>
          <xdr:spPr>
            <a:xfrm>
              <a:off x="4987822" y="50975992"/>
              <a:ext cx="73152" cy="72914"/>
            </a:xfrm>
            <a:prstGeom prst="ellipse">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71" name="TextBox 236">
            <a:extLst>
              <a:ext uri="{FF2B5EF4-FFF2-40B4-BE49-F238E27FC236}">
                <a16:creationId xmlns:a16="http://schemas.microsoft.com/office/drawing/2014/main" id="{953318BB-20F4-162F-B260-F1483C4815EA}"/>
              </a:ext>
            </a:extLst>
          </xdr:cNvPr>
          <xdr:cNvSpPr txBox="1"/>
        </xdr:nvSpPr>
        <xdr:spPr>
          <a:xfrm>
            <a:off x="1125101" y="48344831"/>
            <a:ext cx="1687651" cy="187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DC CABLE RUN</a:t>
            </a:r>
          </a:p>
        </xdr:txBody>
      </xdr:sp>
    </xdr:grpSp>
    <xdr:clientData/>
  </xdr:twoCellAnchor>
  <xdr:twoCellAnchor>
    <xdr:from>
      <xdr:col>6</xdr:col>
      <xdr:colOff>0</xdr:colOff>
      <xdr:row>278</xdr:row>
      <xdr:rowOff>131747</xdr:rowOff>
    </xdr:from>
    <xdr:to>
      <xdr:col>37</xdr:col>
      <xdr:colOff>92480</xdr:colOff>
      <xdr:row>297</xdr:row>
      <xdr:rowOff>2</xdr:rowOff>
    </xdr:to>
    <xdr:grpSp>
      <xdr:nvGrpSpPr>
        <xdr:cNvPr id="276" name="Group 275">
          <a:extLst>
            <a:ext uri="{FF2B5EF4-FFF2-40B4-BE49-F238E27FC236}">
              <a16:creationId xmlns:a16="http://schemas.microsoft.com/office/drawing/2014/main" id="{7B06A831-1B05-48CE-96D2-B09C74588B6C}"/>
            </a:ext>
          </a:extLst>
        </xdr:cNvPr>
        <xdr:cNvGrpSpPr/>
      </xdr:nvGrpSpPr>
      <xdr:grpSpPr>
        <a:xfrm>
          <a:off x="1143000" y="53094557"/>
          <a:ext cx="6001790" cy="3483945"/>
          <a:chOff x="1125101" y="52261411"/>
          <a:chExt cx="5905500" cy="3431074"/>
        </a:xfrm>
      </xdr:grpSpPr>
      <xdr:grpSp>
        <xdr:nvGrpSpPr>
          <xdr:cNvPr id="277" name="Group 276">
            <a:extLst>
              <a:ext uri="{FF2B5EF4-FFF2-40B4-BE49-F238E27FC236}">
                <a16:creationId xmlns:a16="http://schemas.microsoft.com/office/drawing/2014/main" id="{A52C3DAE-73DC-0AA2-CCA8-A9F45FF84B3D}"/>
              </a:ext>
            </a:extLst>
          </xdr:cNvPr>
          <xdr:cNvGrpSpPr/>
        </xdr:nvGrpSpPr>
        <xdr:grpSpPr>
          <a:xfrm>
            <a:off x="1138660" y="53067250"/>
            <a:ext cx="5614064" cy="2625235"/>
            <a:chOff x="1141573" y="53271564"/>
            <a:chExt cx="5898127" cy="3046039"/>
          </a:xfrm>
        </xdr:grpSpPr>
        <xdr:pic>
          <xdr:nvPicPr>
            <xdr:cNvPr id="280" name="Picture 279" descr="A diagram of a machine&#10;&#10;Description automatically generated">
              <a:extLst>
                <a:ext uri="{FF2B5EF4-FFF2-40B4-BE49-F238E27FC236}">
                  <a16:creationId xmlns:a16="http://schemas.microsoft.com/office/drawing/2014/main" id="{11988AA0-B875-4FD1-EA4A-4A641A39C1A4}"/>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4663" t="4368" r="3878" b="30114"/>
            <a:stretch/>
          </xdr:blipFill>
          <xdr:spPr>
            <a:xfrm>
              <a:off x="1141573" y="53271564"/>
              <a:ext cx="5898127" cy="3046039"/>
            </a:xfrm>
            <a:prstGeom prst="rect">
              <a:avLst/>
            </a:prstGeom>
            <a:ln w="12700">
              <a:solidFill>
                <a:srgbClr val="666666"/>
              </a:solidFill>
            </a:ln>
          </xdr:spPr>
        </xdr:pic>
        <xdr:sp macro="" textlink="">
          <xdr:nvSpPr>
            <xdr:cNvPr id="281" name="TextBox 280">
              <a:extLst>
                <a:ext uri="{FF2B5EF4-FFF2-40B4-BE49-F238E27FC236}">
                  <a16:creationId xmlns:a16="http://schemas.microsoft.com/office/drawing/2014/main" id="{CD93E4C1-7C27-3A7C-C41F-EC077F8DE3A7}"/>
                </a:ext>
              </a:extLst>
            </xdr:cNvPr>
            <xdr:cNvSpPr txBox="1"/>
          </xdr:nvSpPr>
          <xdr:spPr>
            <a:xfrm>
              <a:off x="2729089" y="54239802"/>
              <a:ext cx="1667818" cy="945745"/>
            </a:xfrm>
            <a:prstGeom prst="roundRect">
              <a:avLst>
                <a:gd name="adj" fmla="val 11714"/>
              </a:avLst>
            </a:prstGeom>
            <a:solidFill>
              <a:sysClr val="window" lastClr="FFFFFF"/>
            </a:solidFill>
            <a:ln w="1270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AU" sz="1000">
                  <a:solidFill>
                    <a:srgbClr val="2A2A2A"/>
                  </a:solidFill>
                  <a:latin typeface="Overpass" panose="00000500000000000000" pitchFamily="2" charset="0"/>
                </a:rPr>
                <a:t>Inverter to PVDB</a:t>
              </a:r>
              <a:r>
                <a:rPr lang="en-AU" sz="1000" baseline="0">
                  <a:solidFill>
                    <a:srgbClr val="2A2A2A"/>
                  </a:solidFill>
                  <a:latin typeface="Overpass" panose="00000500000000000000" pitchFamily="2" charset="0"/>
                </a:rPr>
                <a:t> cable run measured to midpoint of inverters from PVDB</a:t>
              </a:r>
              <a:endParaRPr lang="en-AU" sz="1100">
                <a:solidFill>
                  <a:srgbClr val="2A2A2A"/>
                </a:solidFill>
              </a:endParaRPr>
            </a:p>
          </xdr:txBody>
        </xdr:sp>
        <xdr:sp macro="" textlink="">
          <xdr:nvSpPr>
            <xdr:cNvPr id="282" name="TextBox 281">
              <a:extLst>
                <a:ext uri="{FF2B5EF4-FFF2-40B4-BE49-F238E27FC236}">
                  <a16:creationId xmlns:a16="http://schemas.microsoft.com/office/drawing/2014/main" id="{68888912-57A2-3D90-B3E2-CD0CA4267F87}"/>
                </a:ext>
              </a:extLst>
            </xdr:cNvPr>
            <xdr:cNvSpPr txBox="1"/>
          </xdr:nvSpPr>
          <xdr:spPr>
            <a:xfrm>
              <a:off x="4755441" y="53866144"/>
              <a:ext cx="1324043" cy="1324043"/>
            </a:xfrm>
            <a:prstGeom prst="roundRect">
              <a:avLst>
                <a:gd name="adj" fmla="val 9984"/>
              </a:avLst>
            </a:prstGeom>
            <a:solidFill>
              <a:sysClr val="window" lastClr="FFFFFF"/>
            </a:solidFill>
            <a:ln w="12700">
              <a:solidFill>
                <a:srgbClr val="B9198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AU" sz="1000">
                  <a:solidFill>
                    <a:srgbClr val="2A2A2A"/>
                  </a:solidFill>
                  <a:latin typeface="Overpass" panose="00000500000000000000" pitchFamily="2" charset="0"/>
                </a:rPr>
                <a:t>PVDB to MSB cable run measured as absolute distance between the</a:t>
              </a:r>
              <a:r>
                <a:rPr lang="en-AU" sz="1000" baseline="0">
                  <a:solidFill>
                    <a:srgbClr val="2A2A2A"/>
                  </a:solidFill>
                  <a:latin typeface="Overpass" panose="00000500000000000000" pitchFamily="2" charset="0"/>
                </a:rPr>
                <a:t> two switchboards</a:t>
              </a:r>
              <a:r>
                <a:rPr lang="en-AU" sz="1000">
                  <a:solidFill>
                    <a:srgbClr val="2A2A2A"/>
                  </a:solidFill>
                  <a:latin typeface="Overpass" panose="00000500000000000000" pitchFamily="2" charset="0"/>
                </a:rPr>
                <a:t>. </a:t>
              </a:r>
              <a:endParaRPr lang="en-AU" sz="1100">
                <a:solidFill>
                  <a:srgbClr val="2A2A2A"/>
                </a:solidFill>
              </a:endParaRPr>
            </a:p>
          </xdr:txBody>
        </xdr:sp>
      </xdr:grpSp>
      <xdr:sp macro="" textlink="">
        <xdr:nvSpPr>
          <xdr:cNvPr id="278" name="TextBox 277">
            <a:extLst>
              <a:ext uri="{FF2B5EF4-FFF2-40B4-BE49-F238E27FC236}">
                <a16:creationId xmlns:a16="http://schemas.microsoft.com/office/drawing/2014/main" id="{12E7C8F0-062B-4FF5-6D4D-608B40BE8B79}"/>
              </a:ext>
            </a:extLst>
          </xdr:cNvPr>
          <xdr:cNvSpPr txBox="1"/>
        </xdr:nvSpPr>
        <xdr:spPr>
          <a:xfrm>
            <a:off x="1125101" y="52448928"/>
            <a:ext cx="59055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Movement of the inverter</a:t>
            </a:r>
            <a:r>
              <a:rPr lang="en-AU" sz="1000" i="0" baseline="0">
                <a:solidFill>
                  <a:srgbClr val="2A2A2A"/>
                </a:solidFill>
                <a:latin typeface="Overpass" pitchFamily="2" charset="77"/>
              </a:rPr>
              <a:t> station and PVDB</a:t>
            </a:r>
            <a:r>
              <a:rPr lang="en-AU" sz="1000" i="0">
                <a:solidFill>
                  <a:srgbClr val="2A2A2A"/>
                </a:solidFill>
                <a:latin typeface="Overpass" pitchFamily="2" charset="77"/>
              </a:rPr>
              <a:t> locations away from proposed designs may incur</a:t>
            </a:r>
            <a:r>
              <a:rPr lang="en-AU" sz="1000" i="0" baseline="0">
                <a:solidFill>
                  <a:srgbClr val="2A2A2A"/>
                </a:solidFill>
                <a:latin typeface="Overpass" pitchFamily="2" charset="77"/>
              </a:rPr>
              <a:t> variations to account for changes in AC cable run distances.</a:t>
            </a:r>
            <a:endParaRPr lang="en-AU" sz="1100" i="0">
              <a:solidFill>
                <a:srgbClr val="2A2A2A"/>
              </a:solidFill>
              <a:latin typeface="Overpass" pitchFamily="2" charset="77"/>
            </a:endParaRPr>
          </a:p>
        </xdr:txBody>
      </xdr:sp>
      <xdr:sp macro="" textlink="">
        <xdr:nvSpPr>
          <xdr:cNvPr id="279" name="TextBox 236">
            <a:extLst>
              <a:ext uri="{FF2B5EF4-FFF2-40B4-BE49-F238E27FC236}">
                <a16:creationId xmlns:a16="http://schemas.microsoft.com/office/drawing/2014/main" id="{AABCA422-D13D-D01C-AB9E-8BAB9F0D252A}"/>
              </a:ext>
            </a:extLst>
          </xdr:cNvPr>
          <xdr:cNvSpPr txBox="1"/>
        </xdr:nvSpPr>
        <xdr:spPr>
          <a:xfrm>
            <a:off x="1125101" y="52261411"/>
            <a:ext cx="3187785" cy="187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INVERTER</a:t>
            </a:r>
            <a:r>
              <a:rPr lang="en-US" sz="1000" b="1" i="0" u="none" strike="noStrike" baseline="0">
                <a:solidFill>
                  <a:srgbClr val="28066C"/>
                </a:solidFill>
                <a:latin typeface="Overpass" panose="00000500000000000000" pitchFamily="2" charset="0"/>
                <a:ea typeface="+mn-ea"/>
                <a:cs typeface="Calibri"/>
              </a:rPr>
              <a:t> STATION AND PVDB LOCATIONS</a:t>
            </a:r>
            <a:endParaRPr lang="en-US" sz="1000" b="1" i="0" u="none" strike="noStrike">
              <a:solidFill>
                <a:srgbClr val="28066C"/>
              </a:solidFill>
              <a:latin typeface="Overpass" panose="00000500000000000000" pitchFamily="2" charset="0"/>
              <a:ea typeface="+mn-ea"/>
              <a:cs typeface="Calibri"/>
            </a:endParaRPr>
          </a:p>
        </xdr:txBody>
      </xdr:sp>
    </xdr:grpSp>
    <xdr:clientData/>
  </xdr:twoCellAnchor>
  <xdr:twoCellAnchor>
    <xdr:from>
      <xdr:col>5</xdr:col>
      <xdr:colOff>190052</xdr:colOff>
      <xdr:row>196</xdr:row>
      <xdr:rowOff>60049</xdr:rowOff>
    </xdr:from>
    <xdr:to>
      <xdr:col>18</xdr:col>
      <xdr:colOff>2057</xdr:colOff>
      <xdr:row>197</xdr:row>
      <xdr:rowOff>56780</xdr:rowOff>
    </xdr:to>
    <xdr:sp macro="" textlink="">
      <xdr:nvSpPr>
        <xdr:cNvPr id="283" name="TextBox 282">
          <a:extLst>
            <a:ext uri="{FF2B5EF4-FFF2-40B4-BE49-F238E27FC236}">
              <a16:creationId xmlns:a16="http://schemas.microsoft.com/office/drawing/2014/main" id="{4F626A7E-DFBE-4CF1-9FF5-82382C274983}"/>
            </a:ext>
          </a:extLst>
        </xdr:cNvPr>
        <xdr:cNvSpPr txBox="1"/>
      </xdr:nvSpPr>
      <xdr:spPr>
        <a:xfrm>
          <a:off x="1142552" y="37398049"/>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20% Execution of Agreement</a:t>
          </a:r>
        </a:p>
      </xdr:txBody>
    </xdr:sp>
    <xdr:clientData/>
  </xdr:twoCellAnchor>
  <xdr:twoCellAnchor>
    <xdr:from>
      <xdr:col>6</xdr:col>
      <xdr:colOff>2057</xdr:colOff>
      <xdr:row>200</xdr:row>
      <xdr:rowOff>89165</xdr:rowOff>
    </xdr:from>
    <xdr:to>
      <xdr:col>18</xdr:col>
      <xdr:colOff>2057</xdr:colOff>
      <xdr:row>201</xdr:row>
      <xdr:rowOff>88681</xdr:rowOff>
    </xdr:to>
    <xdr:sp macro="" textlink="">
      <xdr:nvSpPr>
        <xdr:cNvPr id="284" name="TextBox 283">
          <a:extLst>
            <a:ext uri="{FF2B5EF4-FFF2-40B4-BE49-F238E27FC236}">
              <a16:creationId xmlns:a16="http://schemas.microsoft.com/office/drawing/2014/main" id="{2994E23E-648F-4618-8B67-30A3EB67C4D2}"/>
            </a:ext>
          </a:extLst>
        </xdr:cNvPr>
        <xdr:cNvSpPr txBox="1"/>
      </xdr:nvSpPr>
      <xdr:spPr>
        <a:xfrm>
          <a:off x="1145057" y="38189165"/>
          <a:ext cx="2286000" cy="190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15% Detailed Design Completion</a:t>
          </a:r>
        </a:p>
      </xdr:txBody>
    </xdr:sp>
    <xdr:clientData/>
  </xdr:twoCellAnchor>
  <xdr:twoCellAnchor>
    <xdr:from>
      <xdr:col>6</xdr:col>
      <xdr:colOff>2057</xdr:colOff>
      <xdr:row>197</xdr:row>
      <xdr:rowOff>159166</xdr:rowOff>
    </xdr:from>
    <xdr:to>
      <xdr:col>18</xdr:col>
      <xdr:colOff>2057</xdr:colOff>
      <xdr:row>200</xdr:row>
      <xdr:rowOff>159166</xdr:rowOff>
    </xdr:to>
    <xdr:sp macro="" textlink="">
      <xdr:nvSpPr>
        <xdr:cNvPr id="285" name="TextBox 284">
          <a:extLst>
            <a:ext uri="{FF2B5EF4-FFF2-40B4-BE49-F238E27FC236}">
              <a16:creationId xmlns:a16="http://schemas.microsoft.com/office/drawing/2014/main" id="{99D7F364-20D1-4746-B84F-043EF09CA292}"/>
            </a:ext>
          </a:extLst>
        </xdr:cNvPr>
        <xdr:cNvSpPr txBox="1"/>
      </xdr:nvSpPr>
      <xdr:spPr>
        <a:xfrm>
          <a:off x="1145057" y="37687666"/>
          <a:ext cx="22860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10% Submission of Grid Connection Application</a:t>
          </a:r>
        </a:p>
      </xdr:txBody>
    </xdr:sp>
    <xdr:clientData/>
  </xdr:twoCellAnchor>
  <xdr:twoCellAnchor>
    <xdr:from>
      <xdr:col>6</xdr:col>
      <xdr:colOff>2056</xdr:colOff>
      <xdr:row>201</xdr:row>
      <xdr:rowOff>132496</xdr:rowOff>
    </xdr:from>
    <xdr:to>
      <xdr:col>19</xdr:col>
      <xdr:colOff>2539</xdr:colOff>
      <xdr:row>202</xdr:row>
      <xdr:rowOff>132496</xdr:rowOff>
    </xdr:to>
    <xdr:sp macro="" textlink="">
      <xdr:nvSpPr>
        <xdr:cNvPr id="286" name="TextBox 285">
          <a:extLst>
            <a:ext uri="{FF2B5EF4-FFF2-40B4-BE49-F238E27FC236}">
              <a16:creationId xmlns:a16="http://schemas.microsoft.com/office/drawing/2014/main" id="{BFEFF040-13E6-4B2C-B269-759A7665FC04}"/>
            </a:ext>
          </a:extLst>
        </xdr:cNvPr>
        <xdr:cNvSpPr txBox="1"/>
      </xdr:nvSpPr>
      <xdr:spPr>
        <a:xfrm>
          <a:off x="1145056" y="38422996"/>
          <a:ext cx="2476983"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37.5% Commencement of Works</a:t>
          </a:r>
        </a:p>
      </xdr:txBody>
    </xdr:sp>
    <xdr:clientData/>
  </xdr:twoCellAnchor>
  <xdr:twoCellAnchor>
    <xdr:from>
      <xdr:col>6</xdr:col>
      <xdr:colOff>2058</xdr:colOff>
      <xdr:row>202</xdr:row>
      <xdr:rowOff>132496</xdr:rowOff>
    </xdr:from>
    <xdr:to>
      <xdr:col>18</xdr:col>
      <xdr:colOff>2057</xdr:colOff>
      <xdr:row>203</xdr:row>
      <xdr:rowOff>131030</xdr:rowOff>
    </xdr:to>
    <xdr:sp macro="" textlink="">
      <xdr:nvSpPr>
        <xdr:cNvPr id="287" name="TextBox 286">
          <a:extLst>
            <a:ext uri="{FF2B5EF4-FFF2-40B4-BE49-F238E27FC236}">
              <a16:creationId xmlns:a16="http://schemas.microsoft.com/office/drawing/2014/main" id="{96C44C4E-9EC2-4E77-A45D-9A2857CBA090}"/>
            </a:ext>
          </a:extLst>
        </xdr:cNvPr>
        <xdr:cNvSpPr txBox="1"/>
      </xdr:nvSpPr>
      <xdr:spPr>
        <a:xfrm>
          <a:off x="1145058" y="38613496"/>
          <a:ext cx="2285999" cy="18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5% Practical Completion</a:t>
          </a:r>
        </a:p>
      </xdr:txBody>
    </xdr:sp>
    <xdr:clientData/>
  </xdr:twoCellAnchor>
  <xdr:twoCellAnchor>
    <xdr:from>
      <xdr:col>6</xdr:col>
      <xdr:colOff>2059</xdr:colOff>
      <xdr:row>203</xdr:row>
      <xdr:rowOff>131030</xdr:rowOff>
    </xdr:from>
    <xdr:to>
      <xdr:col>18</xdr:col>
      <xdr:colOff>2058</xdr:colOff>
      <xdr:row>204</xdr:row>
      <xdr:rowOff>131031</xdr:rowOff>
    </xdr:to>
    <xdr:sp macro="" textlink="">
      <xdr:nvSpPr>
        <xdr:cNvPr id="288" name="TextBox 287">
          <a:extLst>
            <a:ext uri="{FF2B5EF4-FFF2-40B4-BE49-F238E27FC236}">
              <a16:creationId xmlns:a16="http://schemas.microsoft.com/office/drawing/2014/main" id="{1BCEA8AF-AE62-4457-9E89-CB9136E4768A}"/>
            </a:ext>
          </a:extLst>
        </xdr:cNvPr>
        <xdr:cNvSpPr txBox="1"/>
      </xdr:nvSpPr>
      <xdr:spPr>
        <a:xfrm>
          <a:off x="1145059" y="38802530"/>
          <a:ext cx="22859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2.5% Energisation</a:t>
          </a:r>
        </a:p>
      </xdr:txBody>
    </xdr:sp>
    <xdr:clientData/>
  </xdr:twoCellAnchor>
  <xdr:twoCellAnchor>
    <xdr:from>
      <xdr:col>47</xdr:col>
      <xdr:colOff>1</xdr:colOff>
      <xdr:row>187</xdr:row>
      <xdr:rowOff>6887</xdr:rowOff>
    </xdr:from>
    <xdr:to>
      <xdr:col>77</xdr:col>
      <xdr:colOff>5547</xdr:colOff>
      <xdr:row>238</xdr:row>
      <xdr:rowOff>0</xdr:rowOff>
    </xdr:to>
    <xdr:grpSp>
      <xdr:nvGrpSpPr>
        <xdr:cNvPr id="289" name="Group 288">
          <a:extLst>
            <a:ext uri="{FF2B5EF4-FFF2-40B4-BE49-F238E27FC236}">
              <a16:creationId xmlns:a16="http://schemas.microsoft.com/office/drawing/2014/main" id="{B34293E6-A231-4245-94F4-368508DB1932}"/>
            </a:ext>
          </a:extLst>
        </xdr:cNvPr>
        <xdr:cNvGrpSpPr/>
      </xdr:nvGrpSpPr>
      <xdr:grpSpPr>
        <a:xfrm>
          <a:off x="8953501" y="35632292"/>
          <a:ext cx="5722451" cy="9706708"/>
          <a:chOff x="8817842" y="35090637"/>
          <a:chExt cx="5633955" cy="9561408"/>
        </a:xfrm>
      </xdr:grpSpPr>
      <xdr:sp macro="" textlink="">
        <xdr:nvSpPr>
          <xdr:cNvPr id="290" name="TextBox 289">
            <a:extLst>
              <a:ext uri="{FF2B5EF4-FFF2-40B4-BE49-F238E27FC236}">
                <a16:creationId xmlns:a16="http://schemas.microsoft.com/office/drawing/2014/main" id="{0FB3F046-4FB2-4D66-B142-8416C3F462B7}"/>
              </a:ext>
            </a:extLst>
          </xdr:cNvPr>
          <xdr:cNvSpPr txBox="1"/>
        </xdr:nvSpPr>
        <xdr:spPr>
          <a:xfrm>
            <a:off x="8820108" y="42775910"/>
            <a:ext cx="3752272" cy="1876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400">
                <a:solidFill>
                  <a:srgbClr val="28066C"/>
                </a:solidFill>
                <a:effectLst/>
                <a:latin typeface="Barlow" pitchFamily="2" charset="77"/>
              </a:rPr>
              <a:t>Smart Commercial Energy</a:t>
            </a:r>
            <a:endParaRPr lang="en-AU" sz="1400" baseline="0">
              <a:solidFill>
                <a:srgbClr val="28066C"/>
              </a:solidFill>
              <a:effectLst/>
              <a:latin typeface="Barlow" pitchFamily="2" charset="77"/>
            </a:endParaRPr>
          </a:p>
          <a:p>
            <a:pPr algn="l"/>
            <a:r>
              <a:rPr lang="en-AU" sz="1400">
                <a:solidFill>
                  <a:srgbClr val="28066C"/>
                </a:solidFill>
                <a:effectLst/>
                <a:latin typeface="Barlow" pitchFamily="2" charset="77"/>
              </a:rPr>
              <a:t>Head Office: 6.01</a:t>
            </a:r>
            <a:br>
              <a:rPr lang="en-AU" sz="1400">
                <a:solidFill>
                  <a:srgbClr val="28066C"/>
                </a:solidFill>
                <a:effectLst/>
                <a:latin typeface="Barlow" pitchFamily="2" charset="77"/>
              </a:rPr>
            </a:br>
            <a:r>
              <a:rPr lang="en-AU" sz="1400">
                <a:solidFill>
                  <a:srgbClr val="28066C"/>
                </a:solidFill>
                <a:effectLst/>
                <a:latin typeface="Barlow" pitchFamily="2" charset="77"/>
              </a:rPr>
              <a:t>2 Elizabeth Plaza, North Sydney 2060</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02 9057 9710</a:t>
            </a:r>
            <a:br>
              <a:rPr lang="en-AU" sz="1400">
                <a:solidFill>
                  <a:srgbClr val="28066C"/>
                </a:solidFill>
                <a:effectLst/>
                <a:latin typeface="Barlow" pitchFamily="2" charset="77"/>
              </a:rPr>
            </a:br>
            <a:r>
              <a:rPr lang="en-AU" sz="1400">
                <a:solidFill>
                  <a:srgbClr val="28066C"/>
                </a:solidFill>
                <a:effectLst/>
                <a:latin typeface="Barlow" pitchFamily="2" charset="77"/>
              </a:rPr>
              <a:t>sales@smartcommercialenergy.com.au</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ACN: 155 596 928     BN: 27 155 596 928</a:t>
            </a:r>
            <a:endParaRPr lang="en-GB" sz="1400">
              <a:solidFill>
                <a:srgbClr val="28066C"/>
              </a:solidFill>
              <a:latin typeface="Barlow" pitchFamily="2" charset="77"/>
            </a:endParaRPr>
          </a:p>
        </xdr:txBody>
      </xdr:sp>
      <xdr:pic>
        <xdr:nvPicPr>
          <xdr:cNvPr id="291" name="Picture 290">
            <a:extLst>
              <a:ext uri="{FF2B5EF4-FFF2-40B4-BE49-F238E27FC236}">
                <a16:creationId xmlns:a16="http://schemas.microsoft.com/office/drawing/2014/main" id="{8AA46EEB-1693-5488-D626-66EE09B88374}"/>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r="64064"/>
          <a:stretch/>
        </xdr:blipFill>
        <xdr:spPr>
          <a:xfrm>
            <a:off x="8817842" y="35090637"/>
            <a:ext cx="630876" cy="566603"/>
          </a:xfrm>
          <a:prstGeom prst="rect">
            <a:avLst/>
          </a:prstGeom>
        </xdr:spPr>
      </xdr:pic>
      <xdr:pic>
        <xdr:nvPicPr>
          <xdr:cNvPr id="292" name="Picture 291">
            <a:extLst>
              <a:ext uri="{FF2B5EF4-FFF2-40B4-BE49-F238E27FC236}">
                <a16:creationId xmlns:a16="http://schemas.microsoft.com/office/drawing/2014/main" id="{6828D410-11F9-F2CC-A05C-2CAB6D8EF27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11632045" y="35287666"/>
            <a:ext cx="2819752" cy="8500719"/>
          </a:xfrm>
          <a:prstGeom prst="rect">
            <a:avLst/>
          </a:prstGeom>
        </xdr:spPr>
      </xdr:pic>
    </xdr:grpSp>
    <xdr:clientData/>
  </xdr:twoCellAnchor>
  <xdr:twoCellAnchor editAs="absolute">
    <xdr:from>
      <xdr:col>62</xdr:col>
      <xdr:colOff>0</xdr:colOff>
      <xdr:row>7</xdr:row>
      <xdr:rowOff>1127</xdr:rowOff>
    </xdr:from>
    <xdr:to>
      <xdr:col>77</xdr:col>
      <xdr:colOff>11262</xdr:colOff>
      <xdr:row>52</xdr:row>
      <xdr:rowOff>75810</xdr:rowOff>
    </xdr:to>
    <xdr:pic>
      <xdr:nvPicPr>
        <xdr:cNvPr id="294" name="Picture 293">
          <a:extLst>
            <a:ext uri="{FF2B5EF4-FFF2-40B4-BE49-F238E27FC236}">
              <a16:creationId xmlns:a16="http://schemas.microsoft.com/office/drawing/2014/main" id="{93793AD6-95F3-4B09-838F-D1534D485D3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11811000" y="1334627"/>
          <a:ext cx="2863047" cy="8647183"/>
        </a:xfrm>
        <a:prstGeom prst="rect">
          <a:avLst/>
        </a:prstGeom>
      </xdr:spPr>
    </xdr:pic>
    <xdr:clientData/>
  </xdr:twoCellAnchor>
  <xdr:twoCellAnchor>
    <xdr:from>
      <xdr:col>9</xdr:col>
      <xdr:colOff>4134</xdr:colOff>
      <xdr:row>72</xdr:row>
      <xdr:rowOff>156882</xdr:rowOff>
    </xdr:from>
    <xdr:to>
      <xdr:col>21</xdr:col>
      <xdr:colOff>19050</xdr:colOff>
      <xdr:row>77</xdr:row>
      <xdr:rowOff>2539</xdr:rowOff>
    </xdr:to>
    <xdr:sp macro="" textlink="'Linking Cells'!B121">
      <xdr:nvSpPr>
        <xdr:cNvPr id="295" name="TextBox 294">
          <a:extLst>
            <a:ext uri="{FF2B5EF4-FFF2-40B4-BE49-F238E27FC236}">
              <a16:creationId xmlns:a16="http://schemas.microsoft.com/office/drawing/2014/main" id="{91110F1F-5DBB-4390-A569-4A2B97159CAA}"/>
            </a:ext>
          </a:extLst>
        </xdr:cNvPr>
        <xdr:cNvSpPr txBox="1"/>
      </xdr:nvSpPr>
      <xdr:spPr>
        <a:xfrm>
          <a:off x="1718634" y="13872882"/>
          <a:ext cx="2300916" cy="7981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8FE9E1AE-D035-46B3-8AE1-AA75CF0D0954}" type="TxLink">
            <a:rPr lang="en-US" sz="2000" b="1" i="0" u="none" strike="noStrike">
              <a:solidFill>
                <a:srgbClr val="27056C"/>
              </a:solidFill>
              <a:latin typeface="Overpass" panose="00000500000000000000" pitchFamily="2" charset="0"/>
              <a:ea typeface="Calibri"/>
              <a:cs typeface="Calibri"/>
            </a:rPr>
            <a:pPr marL="0" indent="0" algn="l"/>
            <a:t>100 kW &amp; 107 kWh / 50 kVA</a:t>
          </a:fld>
          <a:endParaRPr lang="en-AU" sz="2000" b="1" i="0" u="none" strike="noStrike">
            <a:solidFill>
              <a:srgbClr val="27056C"/>
            </a:solidFill>
            <a:latin typeface="Overpass" panose="00000500000000000000" pitchFamily="2" charset="0"/>
            <a:ea typeface="+mn-ea"/>
            <a:cs typeface="Calibri"/>
          </a:endParaRPr>
        </a:p>
      </xdr:txBody>
    </xdr:sp>
    <xdr:clientData/>
  </xdr:twoCellAnchor>
  <xdr:twoCellAnchor>
    <xdr:from>
      <xdr:col>9</xdr:col>
      <xdr:colOff>4134</xdr:colOff>
      <xdr:row>77</xdr:row>
      <xdr:rowOff>0</xdr:rowOff>
    </xdr:from>
    <xdr:to>
      <xdr:col>16</xdr:col>
      <xdr:colOff>1698</xdr:colOff>
      <xdr:row>79</xdr:row>
      <xdr:rowOff>0</xdr:rowOff>
    </xdr:to>
    <xdr:sp macro="" textlink="">
      <xdr:nvSpPr>
        <xdr:cNvPr id="296" name="TextBox 295">
          <a:extLst>
            <a:ext uri="{FF2B5EF4-FFF2-40B4-BE49-F238E27FC236}">
              <a16:creationId xmlns:a16="http://schemas.microsoft.com/office/drawing/2014/main" id="{BE615775-A586-46C0-A6ED-40F50187F2C4}"/>
            </a:ext>
          </a:extLst>
        </xdr:cNvPr>
        <xdr:cNvSpPr txBox="1"/>
      </xdr:nvSpPr>
      <xdr:spPr>
        <a:xfrm>
          <a:off x="1718634" y="14668500"/>
          <a:ext cx="1331064"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800" b="1" i="0" u="none" strike="noStrike">
              <a:solidFill>
                <a:srgbClr val="666666"/>
              </a:solidFill>
              <a:latin typeface="Overpass" panose="00000500000000000000" pitchFamily="2" charset="0"/>
              <a:ea typeface="+mn-ea"/>
              <a:cs typeface="Calibri"/>
            </a:rPr>
            <a:t>SYSTEM SIZE</a:t>
          </a:r>
        </a:p>
      </xdr:txBody>
    </xdr:sp>
    <xdr:clientData/>
  </xdr:twoCellAnchor>
  <xdr:twoCellAnchor>
    <xdr:from>
      <xdr:col>8</xdr:col>
      <xdr:colOff>4482</xdr:colOff>
      <xdr:row>73</xdr:row>
      <xdr:rowOff>66675</xdr:rowOff>
    </xdr:from>
    <xdr:to>
      <xdr:col>8</xdr:col>
      <xdr:colOff>4482</xdr:colOff>
      <xdr:row>78</xdr:row>
      <xdr:rowOff>0</xdr:rowOff>
    </xdr:to>
    <xdr:cxnSp macro="">
      <xdr:nvCxnSpPr>
        <xdr:cNvPr id="297" name="Straight Connector 296">
          <a:extLst>
            <a:ext uri="{FF2B5EF4-FFF2-40B4-BE49-F238E27FC236}">
              <a16:creationId xmlns:a16="http://schemas.microsoft.com/office/drawing/2014/main" id="{7C7CF7DB-7075-4C8E-B359-70B9658E4FEA}"/>
            </a:ext>
          </a:extLst>
        </xdr:cNvPr>
        <xdr:cNvCxnSpPr/>
      </xdr:nvCxnSpPr>
      <xdr:spPr>
        <a:xfrm>
          <a:off x="1528482" y="13973175"/>
          <a:ext cx="0" cy="885825"/>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xdr:row>
      <xdr:rowOff>0</xdr:rowOff>
    </xdr:from>
    <xdr:to>
      <xdr:col>35</xdr:col>
      <xdr:colOff>0</xdr:colOff>
      <xdr:row>76</xdr:row>
      <xdr:rowOff>0</xdr:rowOff>
    </xdr:to>
    <xdr:sp macro="" textlink="SOLAR!G10">
      <xdr:nvSpPr>
        <xdr:cNvPr id="298" name="TextBox 297">
          <a:extLst>
            <a:ext uri="{FF2B5EF4-FFF2-40B4-BE49-F238E27FC236}">
              <a16:creationId xmlns:a16="http://schemas.microsoft.com/office/drawing/2014/main" id="{2F354F96-A5AA-4A24-A3C3-436E5276E357}"/>
            </a:ext>
          </a:extLst>
        </xdr:cNvPr>
        <xdr:cNvSpPr txBox="1"/>
      </xdr:nvSpPr>
      <xdr:spPr>
        <a:xfrm>
          <a:off x="4762500" y="13906500"/>
          <a:ext cx="1905000" cy="571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6B454B0-924F-BA43-BC58-85808F4BD568}" type="TxLink">
            <a:rPr lang="en-US" sz="1200" b="0" i="0" u="none" strike="noStrike">
              <a:solidFill>
                <a:srgbClr val="2A2A2A"/>
              </a:solidFill>
              <a:latin typeface="Overpass" pitchFamily="2" charset="77"/>
              <a:ea typeface="+mn-ea"/>
              <a:cs typeface="Calibri"/>
            </a:rPr>
            <a:pPr marL="0" indent="0" algn="l"/>
            <a:t>10.04.2026</a:t>
          </a:fld>
          <a:endParaRPr lang="en-AU" sz="1200" b="0" i="0" u="none" strike="noStrike">
            <a:solidFill>
              <a:srgbClr val="2A2A2A"/>
            </a:solidFill>
            <a:latin typeface="Overpass" pitchFamily="2" charset="77"/>
            <a:ea typeface="+mn-ea"/>
            <a:cs typeface="Calibri"/>
          </a:endParaRPr>
        </a:p>
      </xdr:txBody>
    </xdr:sp>
    <xdr:clientData/>
  </xdr:twoCellAnchor>
  <xdr:twoCellAnchor>
    <xdr:from>
      <xdr:col>25</xdr:col>
      <xdr:colOff>0</xdr:colOff>
      <xdr:row>76</xdr:row>
      <xdr:rowOff>193038</xdr:rowOff>
    </xdr:from>
    <xdr:to>
      <xdr:col>35</xdr:col>
      <xdr:colOff>0</xdr:colOff>
      <xdr:row>81</xdr:row>
      <xdr:rowOff>0</xdr:rowOff>
    </xdr:to>
    <xdr:sp macro="" textlink="'Linking Cells'!C122">
      <xdr:nvSpPr>
        <xdr:cNvPr id="299" name="TextBox 298">
          <a:extLst>
            <a:ext uri="{FF2B5EF4-FFF2-40B4-BE49-F238E27FC236}">
              <a16:creationId xmlns:a16="http://schemas.microsoft.com/office/drawing/2014/main" id="{0C2093AA-4343-4BC8-8AC0-5BE6FA8A2694}"/>
            </a:ext>
          </a:extLst>
        </xdr:cNvPr>
        <xdr:cNvSpPr txBox="1"/>
      </xdr:nvSpPr>
      <xdr:spPr>
        <a:xfrm>
          <a:off x="4762500" y="14671038"/>
          <a:ext cx="1905000" cy="759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E1B5D25-1BFB-4A79-8161-0B153318E307}" type="TxLink">
            <a:rPr lang="en-US" sz="1200" b="0" i="0" u="none" strike="noStrike">
              <a:solidFill>
                <a:srgbClr val="2A2A2A"/>
              </a:solidFill>
              <a:latin typeface="Overpass" pitchFamily="2" charset="77"/>
              <a:ea typeface="+mn-ea"/>
              <a:cs typeface="Calibri"/>
            </a:rPr>
            <a:pPr marL="0" indent="0" algn="l"/>
            <a:t>Q-JV- 100kW -107 kWh</a:t>
          </a:fld>
          <a:endParaRPr lang="en-AU" sz="1200" b="0" i="0" u="none" strike="noStrike">
            <a:solidFill>
              <a:srgbClr val="2A2A2A"/>
            </a:solidFill>
            <a:latin typeface="Overpass" pitchFamily="2" charset="77"/>
            <a:ea typeface="+mn-ea"/>
            <a:cs typeface="Calibri"/>
          </a:endParaRPr>
        </a:p>
      </xdr:txBody>
    </xdr:sp>
    <xdr:clientData/>
  </xdr:twoCellAnchor>
  <xdr:twoCellAnchor>
    <xdr:from>
      <xdr:col>21</xdr:col>
      <xdr:colOff>85726</xdr:colOff>
      <xdr:row>73</xdr:row>
      <xdr:rowOff>0</xdr:rowOff>
    </xdr:from>
    <xdr:to>
      <xdr:col>25</xdr:col>
      <xdr:colOff>85726</xdr:colOff>
      <xdr:row>76</xdr:row>
      <xdr:rowOff>2539</xdr:rowOff>
    </xdr:to>
    <xdr:sp macro="" textlink="">
      <xdr:nvSpPr>
        <xdr:cNvPr id="300" name="TextBox 299">
          <a:extLst>
            <a:ext uri="{FF2B5EF4-FFF2-40B4-BE49-F238E27FC236}">
              <a16:creationId xmlns:a16="http://schemas.microsoft.com/office/drawing/2014/main" id="{A1D580EC-4264-45AF-A75A-07453E36A3F5}"/>
            </a:ext>
          </a:extLst>
        </xdr:cNvPr>
        <xdr:cNvSpPr txBox="1"/>
      </xdr:nvSpPr>
      <xdr:spPr>
        <a:xfrm>
          <a:off x="4086226" y="13906500"/>
          <a:ext cx="762000" cy="574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DATE</a:t>
          </a:r>
        </a:p>
      </xdr:txBody>
    </xdr:sp>
    <xdr:clientData/>
  </xdr:twoCellAnchor>
  <xdr:twoCellAnchor>
    <xdr:from>
      <xdr:col>21</xdr:col>
      <xdr:colOff>85726</xdr:colOff>
      <xdr:row>77</xdr:row>
      <xdr:rowOff>1591</xdr:rowOff>
    </xdr:from>
    <xdr:to>
      <xdr:col>25</xdr:col>
      <xdr:colOff>85726</xdr:colOff>
      <xdr:row>81</xdr:row>
      <xdr:rowOff>2538</xdr:rowOff>
    </xdr:to>
    <xdr:sp macro="" textlink="">
      <xdr:nvSpPr>
        <xdr:cNvPr id="301" name="TextBox 300">
          <a:extLst>
            <a:ext uri="{FF2B5EF4-FFF2-40B4-BE49-F238E27FC236}">
              <a16:creationId xmlns:a16="http://schemas.microsoft.com/office/drawing/2014/main" id="{FC82BDFD-E841-4EBE-B08A-876F78207369}"/>
            </a:ext>
          </a:extLst>
        </xdr:cNvPr>
        <xdr:cNvSpPr txBox="1"/>
      </xdr:nvSpPr>
      <xdr:spPr>
        <a:xfrm>
          <a:off x="4086226" y="14670091"/>
          <a:ext cx="762000" cy="762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7056C"/>
              </a:solidFill>
              <a:latin typeface="Overpass" panose="00000500000000000000" pitchFamily="2" charset="0"/>
              <a:ea typeface="+mn-ea"/>
              <a:cs typeface="Calibri"/>
            </a:rPr>
            <a:t>QUOTE #</a:t>
          </a:r>
          <a:endParaRPr lang="en-US" sz="650" b="0" i="0" u="none" strike="noStrike">
            <a:solidFill>
              <a:srgbClr val="27056C"/>
            </a:solidFill>
            <a:latin typeface="Overpass" panose="00000500000000000000" pitchFamily="2" charset="0"/>
            <a:ea typeface="+mn-ea"/>
            <a:cs typeface="Calibri"/>
          </a:endParaRPr>
        </a:p>
      </xdr:txBody>
    </xdr:sp>
    <xdr:clientData/>
  </xdr:twoCellAnchor>
  <xdr:twoCellAnchor>
    <xdr:from>
      <xdr:col>19</xdr:col>
      <xdr:colOff>1694</xdr:colOff>
      <xdr:row>143</xdr:row>
      <xdr:rowOff>191698</xdr:rowOff>
    </xdr:from>
    <xdr:to>
      <xdr:col>35</xdr:col>
      <xdr:colOff>192910</xdr:colOff>
      <xdr:row>144</xdr:row>
      <xdr:rowOff>191698</xdr:rowOff>
    </xdr:to>
    <xdr:sp macro="" textlink="'Linking Cells'!C8">
      <xdr:nvSpPr>
        <xdr:cNvPr id="302" name="TextBox 301">
          <a:extLst>
            <a:ext uri="{FF2B5EF4-FFF2-40B4-BE49-F238E27FC236}">
              <a16:creationId xmlns:a16="http://schemas.microsoft.com/office/drawing/2014/main" id="{42276B4B-7BE6-435A-9BD8-E665D6259DDA}"/>
            </a:ext>
          </a:extLst>
        </xdr:cNvPr>
        <xdr:cNvSpPr txBox="1"/>
      </xdr:nvSpPr>
      <xdr:spPr>
        <a:xfrm>
          <a:off x="3621194" y="27433198"/>
          <a:ext cx="32392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9692CE8-3D99-493A-A5AB-734255A6019F}" type="TxLink">
            <a:rPr lang="en-US" sz="1000" b="0" i="0" u="none" strike="noStrike">
              <a:solidFill>
                <a:srgbClr val="2A2A2A"/>
              </a:solidFill>
              <a:latin typeface="Overpass" panose="00000500000000000000" pitchFamily="2" charset="0"/>
              <a:ea typeface="Calibri"/>
              <a:cs typeface="Calibri"/>
            </a:rPr>
            <a:pPr marL="0" indent="0" algn="l"/>
            <a:t>Tier 1 Premium Commercial Module</a:t>
          </a:fld>
          <a:endParaRPr lang="en-AU" sz="700" b="0" i="0" u="none" strike="noStrike">
            <a:solidFill>
              <a:srgbClr val="2A2A2A"/>
            </a:solidFill>
            <a:latin typeface="Overpass" panose="00000500000000000000" pitchFamily="2" charset="0"/>
            <a:ea typeface="+mn-ea"/>
            <a:cs typeface="Calibri"/>
          </a:endParaRPr>
        </a:p>
      </xdr:txBody>
    </xdr:sp>
    <xdr:clientData/>
  </xdr:twoCellAnchor>
  <xdr:twoCellAnchor>
    <xdr:from>
      <xdr:col>19</xdr:col>
      <xdr:colOff>1694</xdr:colOff>
      <xdr:row>134</xdr:row>
      <xdr:rowOff>1</xdr:rowOff>
    </xdr:from>
    <xdr:to>
      <xdr:col>35</xdr:col>
      <xdr:colOff>192910</xdr:colOff>
      <xdr:row>135</xdr:row>
      <xdr:rowOff>1</xdr:rowOff>
    </xdr:to>
    <xdr:sp macro="" textlink="SOLAR!E31">
      <xdr:nvSpPr>
        <xdr:cNvPr id="303" name="TextBox 302">
          <a:extLst>
            <a:ext uri="{FF2B5EF4-FFF2-40B4-BE49-F238E27FC236}">
              <a16:creationId xmlns:a16="http://schemas.microsoft.com/office/drawing/2014/main" id="{FEFE0F2E-2F60-4841-909D-A8A5F0EE51EB}"/>
            </a:ext>
          </a:extLst>
        </xdr:cNvPr>
        <xdr:cNvSpPr txBox="1"/>
      </xdr:nvSpPr>
      <xdr:spPr>
        <a:xfrm>
          <a:off x="3621194" y="25527001"/>
          <a:ext cx="32392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661125-40DF-4F67-8DAA-C992A05BF3AA}" type="TxLink">
            <a:rPr lang="en-US" sz="1000" b="0" i="0" u="none" strike="noStrike">
              <a:solidFill>
                <a:srgbClr val="2A2A2A"/>
              </a:solidFill>
              <a:latin typeface="Overpass" panose="00000500000000000000" pitchFamily="2" charset="0"/>
              <a:ea typeface="Calibri"/>
              <a:cs typeface="Calibri"/>
            </a:rPr>
            <a:pPr marL="0" indent="0" algn="l"/>
            <a:t>Ausgrid</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15</xdr:col>
      <xdr:colOff>0</xdr:colOff>
      <xdr:row>107</xdr:row>
      <xdr:rowOff>156882</xdr:rowOff>
    </xdr:from>
    <xdr:to>
      <xdr:col>36</xdr:col>
      <xdr:colOff>0</xdr:colOff>
      <xdr:row>108</xdr:row>
      <xdr:rowOff>156882</xdr:rowOff>
    </xdr:to>
    <xdr:sp macro="" textlink="'Linking Cells'!K4">
      <xdr:nvSpPr>
        <xdr:cNvPr id="304" name="TextBox 303">
          <a:extLst>
            <a:ext uri="{FF2B5EF4-FFF2-40B4-BE49-F238E27FC236}">
              <a16:creationId xmlns:a16="http://schemas.microsoft.com/office/drawing/2014/main" id="{131BD407-142E-4D53-A590-3C6DD9C4E4FF}"/>
            </a:ext>
          </a:extLst>
        </xdr:cNvPr>
        <xdr:cNvSpPr txBox="1"/>
      </xdr:nvSpPr>
      <xdr:spPr>
        <a:xfrm>
          <a:off x="2857500" y="20540382"/>
          <a:ext cx="4000500"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8AD5EE3-8D5B-40E1-81E9-D774D66287CF}" type="TxLink">
            <a:rPr lang="en-US" sz="1000" b="0" i="0" u="none" strike="noStrike">
              <a:solidFill>
                <a:srgbClr val="000000"/>
              </a:solidFill>
              <a:latin typeface="Overpass" panose="00000500000000000000" pitchFamily="2" charset="0"/>
              <a:ea typeface="Calibri"/>
              <a:cs typeface="Calibri"/>
            </a:rPr>
            <a:pPr marL="0" indent="0" algn="l"/>
            <a:t>  ,</a:t>
          </a:fld>
          <a:endParaRPr lang="en-AU" sz="800" b="0" i="0" u="none" strike="noStrike">
            <a:solidFill>
              <a:srgbClr val="2A2A2A"/>
            </a:solidFill>
            <a:latin typeface="Overpass" panose="00000500000000000000" pitchFamily="2" charset="0"/>
            <a:ea typeface="+mn-ea"/>
            <a:cs typeface="Calibri"/>
          </a:endParaRPr>
        </a:p>
      </xdr:txBody>
    </xdr:sp>
    <xdr:clientData/>
  </xdr:twoCellAnchor>
  <xdr:twoCellAnchor>
    <xdr:from>
      <xdr:col>15</xdr:col>
      <xdr:colOff>2772</xdr:colOff>
      <xdr:row>103</xdr:row>
      <xdr:rowOff>167449</xdr:rowOff>
    </xdr:from>
    <xdr:to>
      <xdr:col>36</xdr:col>
      <xdr:colOff>2430</xdr:colOff>
      <xdr:row>104</xdr:row>
      <xdr:rowOff>172005</xdr:rowOff>
    </xdr:to>
    <xdr:sp macro="" textlink="'Linking Cells'!K3">
      <xdr:nvSpPr>
        <xdr:cNvPr id="305" name="TextBox 1">
          <a:extLst>
            <a:ext uri="{FF2B5EF4-FFF2-40B4-BE49-F238E27FC236}">
              <a16:creationId xmlns:a16="http://schemas.microsoft.com/office/drawing/2014/main" id="{8D18C069-03F8-486A-BAA7-69D99D1D97EB}"/>
            </a:ext>
          </a:extLst>
        </xdr:cNvPr>
        <xdr:cNvSpPr txBox="1"/>
      </xdr:nvSpPr>
      <xdr:spPr>
        <a:xfrm>
          <a:off x="2860272" y="19788949"/>
          <a:ext cx="4000158" cy="19505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AE2B1B3-5712-40C4-890B-7EF3AC410342}" type="TxLink">
            <a:rPr lang="en-US" sz="1000" b="0" i="0" u="none" strike="noStrike">
              <a:solidFill>
                <a:srgbClr val="000000"/>
              </a:solidFill>
              <a:latin typeface="Overpass" panose="00000500000000000000" pitchFamily="2" charset="0"/>
              <a:ea typeface="Calibri"/>
              <a:cs typeface="Calibri"/>
            </a:rPr>
            <a:pPr marL="0" indent="0" algn="l"/>
            <a:t>  NSW, 2000</a:t>
          </a:fld>
          <a:endParaRPr lang="en-AU" sz="600" b="0"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5720</xdr:colOff>
      <xdr:row>175</xdr:row>
      <xdr:rowOff>97080</xdr:rowOff>
    </xdr:from>
    <xdr:to>
      <xdr:col>60</xdr:col>
      <xdr:colOff>9775</xdr:colOff>
      <xdr:row>176</xdr:row>
      <xdr:rowOff>98449</xdr:rowOff>
    </xdr:to>
    <xdr:sp macro="" textlink="">
      <xdr:nvSpPr>
        <xdr:cNvPr id="306" name="TextBox 305">
          <a:extLst>
            <a:ext uri="{FF2B5EF4-FFF2-40B4-BE49-F238E27FC236}">
              <a16:creationId xmlns:a16="http://schemas.microsoft.com/office/drawing/2014/main" id="{CA1E7DBB-64E8-4BA9-87B3-4D93E092E77C}"/>
            </a:ext>
          </a:extLst>
        </xdr:cNvPr>
        <xdr:cNvSpPr txBox="1"/>
      </xdr:nvSpPr>
      <xdr:spPr>
        <a:xfrm>
          <a:off x="8959220" y="3343458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ADDITIONS/UPGRADES</a:t>
          </a:r>
        </a:p>
      </xdr:txBody>
    </xdr:sp>
    <xdr:clientData/>
  </xdr:twoCellAnchor>
  <xdr:twoCellAnchor>
    <xdr:from>
      <xdr:col>59</xdr:col>
      <xdr:colOff>211</xdr:colOff>
      <xdr:row>175</xdr:row>
      <xdr:rowOff>91913</xdr:rowOff>
    </xdr:from>
    <xdr:to>
      <xdr:col>76</xdr:col>
      <xdr:colOff>5545</xdr:colOff>
      <xdr:row>176</xdr:row>
      <xdr:rowOff>91913</xdr:rowOff>
    </xdr:to>
    <xdr:sp macro="" textlink="'Linking Cells'!C38">
      <xdr:nvSpPr>
        <xdr:cNvPr id="307" name="TextBox 306">
          <a:extLst>
            <a:ext uri="{FF2B5EF4-FFF2-40B4-BE49-F238E27FC236}">
              <a16:creationId xmlns:a16="http://schemas.microsoft.com/office/drawing/2014/main" id="{C9D4D543-1882-401C-B8F4-07AF0733A3E8}"/>
            </a:ext>
          </a:extLst>
        </xdr:cNvPr>
        <xdr:cNvSpPr txBox="1"/>
      </xdr:nvSpPr>
      <xdr:spPr>
        <a:xfrm>
          <a:off x="11239711" y="33429413"/>
          <a:ext cx="3243834"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A810402-153C-4D9A-84D1-AC90D3A08867}"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211</xdr:colOff>
      <xdr:row>176</xdr:row>
      <xdr:rowOff>89753</xdr:rowOff>
    </xdr:from>
    <xdr:to>
      <xdr:col>76</xdr:col>
      <xdr:colOff>5545</xdr:colOff>
      <xdr:row>177</xdr:row>
      <xdr:rowOff>89753</xdr:rowOff>
    </xdr:to>
    <xdr:sp macro="" textlink="'Linking Cells'!C52">
      <xdr:nvSpPr>
        <xdr:cNvPr id="308" name="TextBox 307">
          <a:extLst>
            <a:ext uri="{FF2B5EF4-FFF2-40B4-BE49-F238E27FC236}">
              <a16:creationId xmlns:a16="http://schemas.microsoft.com/office/drawing/2014/main" id="{96985912-3E91-4A89-A9A2-D832817436F0}"/>
            </a:ext>
          </a:extLst>
        </xdr:cNvPr>
        <xdr:cNvSpPr txBox="1"/>
      </xdr:nvSpPr>
      <xdr:spPr>
        <a:xfrm>
          <a:off x="11239711" y="33617753"/>
          <a:ext cx="3243834"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1C2F5A8-F570-4E13-AFDD-284B872DB81E}"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211</xdr:colOff>
      <xdr:row>177</xdr:row>
      <xdr:rowOff>89753</xdr:rowOff>
    </xdr:from>
    <xdr:to>
      <xdr:col>76</xdr:col>
      <xdr:colOff>5545</xdr:colOff>
      <xdr:row>178</xdr:row>
      <xdr:rowOff>89753</xdr:rowOff>
    </xdr:to>
    <xdr:sp macro="" textlink="'Linking Cells'!C40">
      <xdr:nvSpPr>
        <xdr:cNvPr id="309" name="TextBox 308">
          <a:extLst>
            <a:ext uri="{FF2B5EF4-FFF2-40B4-BE49-F238E27FC236}">
              <a16:creationId xmlns:a16="http://schemas.microsoft.com/office/drawing/2014/main" id="{CE060B89-2EC1-4D43-9774-7A0DCF20DCD2}"/>
            </a:ext>
          </a:extLst>
        </xdr:cNvPr>
        <xdr:cNvSpPr txBox="1"/>
      </xdr:nvSpPr>
      <xdr:spPr>
        <a:xfrm>
          <a:off x="11239711" y="33808253"/>
          <a:ext cx="3243834"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0B736DF-0B98-4BAA-9C0F-F5743A49B44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59</xdr:col>
      <xdr:colOff>211</xdr:colOff>
      <xdr:row>178</xdr:row>
      <xdr:rowOff>84586</xdr:rowOff>
    </xdr:from>
    <xdr:to>
      <xdr:col>76</xdr:col>
      <xdr:colOff>5545</xdr:colOff>
      <xdr:row>179</xdr:row>
      <xdr:rowOff>84586</xdr:rowOff>
    </xdr:to>
    <xdr:sp macro="" textlink="'Linking Cells'!C41">
      <xdr:nvSpPr>
        <xdr:cNvPr id="310" name="TextBox 309">
          <a:extLst>
            <a:ext uri="{FF2B5EF4-FFF2-40B4-BE49-F238E27FC236}">
              <a16:creationId xmlns:a16="http://schemas.microsoft.com/office/drawing/2014/main" id="{D32F8BF3-3B30-462A-AC91-EAC912580F36}"/>
            </a:ext>
          </a:extLst>
        </xdr:cNvPr>
        <xdr:cNvSpPr txBox="1"/>
      </xdr:nvSpPr>
      <xdr:spPr>
        <a:xfrm>
          <a:off x="11239711" y="33993586"/>
          <a:ext cx="3243834"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2BAAB7B-2FA3-4BF4-BFEE-FAB005C47E7F}"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5721</xdr:colOff>
      <xdr:row>174</xdr:row>
      <xdr:rowOff>80227</xdr:rowOff>
    </xdr:from>
    <xdr:to>
      <xdr:col>57</xdr:col>
      <xdr:colOff>29309</xdr:colOff>
      <xdr:row>175</xdr:row>
      <xdr:rowOff>80227</xdr:rowOff>
    </xdr:to>
    <xdr:sp macro="" textlink="'Linking Cells'!C51">
      <xdr:nvSpPr>
        <xdr:cNvPr id="311" name="TextBox 310">
          <a:extLst>
            <a:ext uri="{FF2B5EF4-FFF2-40B4-BE49-F238E27FC236}">
              <a16:creationId xmlns:a16="http://schemas.microsoft.com/office/drawing/2014/main" id="{F1614C32-BD9E-45AB-A5FC-C0C6F970C161}"/>
            </a:ext>
          </a:extLst>
        </xdr:cNvPr>
        <xdr:cNvSpPr txBox="1"/>
      </xdr:nvSpPr>
      <xdr:spPr>
        <a:xfrm>
          <a:off x="8959221" y="33227227"/>
          <a:ext cx="192858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E28D1D-054C-43F7-BB85-ACFE72DF4E3A}" type="TxLink">
            <a:rPr lang="en-US" sz="1000" b="1" i="0" u="none" strike="noStrike">
              <a:solidFill>
                <a:srgbClr val="2A2A2A"/>
              </a:solidFill>
              <a:latin typeface="Overpass" panose="00000500000000000000" pitchFamily="2" charset="0"/>
              <a:ea typeface="+mn-ea"/>
              <a:cs typeface="Calibri"/>
            </a:rPr>
            <a:pPr marL="0" indent="0" algn="l"/>
            <a:t> </a:t>
          </a:fld>
          <a:endParaRPr lang="en-AU" sz="1000" b="1"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5721</xdr:colOff>
      <xdr:row>177</xdr:row>
      <xdr:rowOff>94398</xdr:rowOff>
    </xdr:from>
    <xdr:to>
      <xdr:col>57</xdr:col>
      <xdr:colOff>29309</xdr:colOff>
      <xdr:row>178</xdr:row>
      <xdr:rowOff>94398</xdr:rowOff>
    </xdr:to>
    <xdr:sp macro="" textlink="'Linking Cells'!B40">
      <xdr:nvSpPr>
        <xdr:cNvPr id="312" name="TextBox 311">
          <a:extLst>
            <a:ext uri="{FF2B5EF4-FFF2-40B4-BE49-F238E27FC236}">
              <a16:creationId xmlns:a16="http://schemas.microsoft.com/office/drawing/2014/main" id="{61554E36-C0A9-4AEA-BA3F-19467D76D968}"/>
            </a:ext>
          </a:extLst>
        </xdr:cNvPr>
        <xdr:cNvSpPr txBox="1"/>
      </xdr:nvSpPr>
      <xdr:spPr>
        <a:xfrm>
          <a:off x="8959221" y="33812898"/>
          <a:ext cx="1928588"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F3B0FF8-988F-4B89-AA5F-334D0BFB74AE}" type="TxLink">
            <a:rPr lang="en-US" sz="1000" b="1" i="0" u="none" strike="noStrike">
              <a:solidFill>
                <a:srgbClr val="2A2A2A"/>
              </a:solidFill>
              <a:latin typeface="Overpass" panose="00000500000000000000" pitchFamily="2" charset="0"/>
              <a:ea typeface="Calibri"/>
              <a:cs typeface="Calibri"/>
            </a:rPr>
            <a:pPr marL="0" indent="0" algn="l"/>
            <a:t> </a:t>
          </a:fld>
          <a:endParaRPr lang="en-AU" sz="1000" b="1" i="0" u="none" strike="noStrike">
            <a:solidFill>
              <a:srgbClr val="2A2A2A"/>
            </a:solidFill>
            <a:latin typeface="Overpass" panose="00000500000000000000" pitchFamily="2" charset="0"/>
            <a:ea typeface="Calibri"/>
            <a:cs typeface="Calibri"/>
          </a:endParaRPr>
        </a:p>
      </xdr:txBody>
    </xdr:sp>
    <xdr:clientData/>
  </xdr:twoCellAnchor>
  <xdr:twoCellAnchor>
    <xdr:from>
      <xdr:col>47</xdr:col>
      <xdr:colOff>5721</xdr:colOff>
      <xdr:row>178</xdr:row>
      <xdr:rowOff>89752</xdr:rowOff>
    </xdr:from>
    <xdr:to>
      <xdr:col>57</xdr:col>
      <xdr:colOff>29309</xdr:colOff>
      <xdr:row>179</xdr:row>
      <xdr:rowOff>89752</xdr:rowOff>
    </xdr:to>
    <xdr:sp macro="" textlink="'Linking Cells'!B41">
      <xdr:nvSpPr>
        <xdr:cNvPr id="313" name="TextBox 312">
          <a:extLst>
            <a:ext uri="{FF2B5EF4-FFF2-40B4-BE49-F238E27FC236}">
              <a16:creationId xmlns:a16="http://schemas.microsoft.com/office/drawing/2014/main" id="{4F892620-97B8-4988-9303-C5AE34669B56}"/>
            </a:ext>
          </a:extLst>
        </xdr:cNvPr>
        <xdr:cNvSpPr txBox="1"/>
      </xdr:nvSpPr>
      <xdr:spPr>
        <a:xfrm>
          <a:off x="8959221" y="33998752"/>
          <a:ext cx="1928588"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1028D64-3136-469C-A9CE-588EA248E746}" type="TxLink">
            <a:rPr lang="en-US" sz="1000" b="1" i="0" u="none" strike="noStrike">
              <a:solidFill>
                <a:srgbClr val="2A2A2A"/>
              </a:solidFill>
              <a:latin typeface="Overpass" panose="00000500000000000000" pitchFamily="2" charset="0"/>
              <a:ea typeface="Calibri"/>
              <a:cs typeface="Calibri"/>
            </a:rPr>
            <a:pPr marL="0" indent="0" algn="l"/>
            <a:t> </a:t>
          </a:fld>
          <a:endParaRPr lang="en-AU" sz="1000" b="1" i="0" u="none" strike="noStrike">
            <a:solidFill>
              <a:srgbClr val="2A2A2A"/>
            </a:solidFill>
            <a:latin typeface="Overpass" panose="00000500000000000000" pitchFamily="2" charset="0"/>
            <a:ea typeface="Calibri"/>
            <a:cs typeface="Calibri"/>
          </a:endParaRPr>
        </a:p>
      </xdr:txBody>
    </xdr:sp>
    <xdr:clientData/>
  </xdr:twoCellAnchor>
  <xdr:twoCellAnchor editAs="oneCell">
    <xdr:from>
      <xdr:col>37</xdr:col>
      <xdr:colOff>182747</xdr:colOff>
      <xdr:row>64</xdr:row>
      <xdr:rowOff>0</xdr:rowOff>
    </xdr:from>
    <xdr:to>
      <xdr:col>40</xdr:col>
      <xdr:colOff>10013</xdr:colOff>
      <xdr:row>66</xdr:row>
      <xdr:rowOff>1699</xdr:rowOff>
    </xdr:to>
    <xdr:pic>
      <xdr:nvPicPr>
        <xdr:cNvPr id="314" name="Picture 313">
          <a:extLst>
            <a:ext uri="{FF2B5EF4-FFF2-40B4-BE49-F238E27FC236}">
              <a16:creationId xmlns:a16="http://schemas.microsoft.com/office/drawing/2014/main" id="{5511AC3E-1EAF-435D-B3D5-AD60ACA99F9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31247" y="12192000"/>
          <a:ext cx="393051" cy="382699"/>
        </a:xfrm>
        <a:prstGeom prst="rect">
          <a:avLst/>
        </a:prstGeom>
      </xdr:spPr>
    </xdr:pic>
    <xdr:clientData/>
  </xdr:twoCellAnchor>
  <xdr:twoCellAnchor editAs="oneCell">
    <xdr:from>
      <xdr:col>79</xdr:col>
      <xdr:colOff>0</xdr:colOff>
      <xdr:row>64</xdr:row>
      <xdr:rowOff>0</xdr:rowOff>
    </xdr:from>
    <xdr:to>
      <xdr:col>81</xdr:col>
      <xdr:colOff>19818</xdr:colOff>
      <xdr:row>66</xdr:row>
      <xdr:rowOff>1699</xdr:rowOff>
    </xdr:to>
    <xdr:pic>
      <xdr:nvPicPr>
        <xdr:cNvPr id="315" name="Picture 314">
          <a:extLst>
            <a:ext uri="{FF2B5EF4-FFF2-40B4-BE49-F238E27FC236}">
              <a16:creationId xmlns:a16="http://schemas.microsoft.com/office/drawing/2014/main" id="{47EC789C-A336-4983-A9F7-4C8BD6FCC5C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049500" y="12192000"/>
          <a:ext cx="391293" cy="382699"/>
        </a:xfrm>
        <a:prstGeom prst="rect">
          <a:avLst/>
        </a:prstGeom>
      </xdr:spPr>
    </xdr:pic>
    <xdr:clientData/>
  </xdr:twoCellAnchor>
  <xdr:twoCellAnchor editAs="oneCell">
    <xdr:from>
      <xdr:col>79</xdr:col>
      <xdr:colOff>0</xdr:colOff>
      <xdr:row>124</xdr:row>
      <xdr:rowOff>0</xdr:rowOff>
    </xdr:from>
    <xdr:to>
      <xdr:col>81</xdr:col>
      <xdr:colOff>19818</xdr:colOff>
      <xdr:row>126</xdr:row>
      <xdr:rowOff>1699</xdr:rowOff>
    </xdr:to>
    <xdr:pic>
      <xdr:nvPicPr>
        <xdr:cNvPr id="316" name="Picture 315">
          <a:extLst>
            <a:ext uri="{FF2B5EF4-FFF2-40B4-BE49-F238E27FC236}">
              <a16:creationId xmlns:a16="http://schemas.microsoft.com/office/drawing/2014/main" id="{DD6BF60D-DA40-4E02-B8FB-1A4DC1EB301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5049500" y="23622000"/>
          <a:ext cx="391293" cy="382699"/>
        </a:xfrm>
        <a:prstGeom prst="rect">
          <a:avLst/>
        </a:prstGeom>
      </xdr:spPr>
    </xdr:pic>
    <xdr:clientData/>
  </xdr:twoCellAnchor>
  <xdr:twoCellAnchor editAs="oneCell">
    <xdr:from>
      <xdr:col>38</xdr:col>
      <xdr:colOff>0</xdr:colOff>
      <xdr:row>124</xdr:row>
      <xdr:rowOff>0</xdr:rowOff>
    </xdr:from>
    <xdr:to>
      <xdr:col>40</xdr:col>
      <xdr:colOff>19818</xdr:colOff>
      <xdr:row>126</xdr:row>
      <xdr:rowOff>1699</xdr:rowOff>
    </xdr:to>
    <xdr:pic>
      <xdr:nvPicPr>
        <xdr:cNvPr id="317" name="Picture 316">
          <a:extLst>
            <a:ext uri="{FF2B5EF4-FFF2-40B4-BE49-F238E27FC236}">
              <a16:creationId xmlns:a16="http://schemas.microsoft.com/office/drawing/2014/main" id="{2D003384-98F1-46DA-9A94-7AD73D4CA2E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39000" y="23622000"/>
          <a:ext cx="391293" cy="382699"/>
        </a:xfrm>
        <a:prstGeom prst="rect">
          <a:avLst/>
        </a:prstGeom>
      </xdr:spPr>
    </xdr:pic>
    <xdr:clientData/>
  </xdr:twoCellAnchor>
  <xdr:twoCellAnchor editAs="oneCell">
    <xdr:from>
      <xdr:col>38</xdr:col>
      <xdr:colOff>10160</xdr:colOff>
      <xdr:row>183</xdr:row>
      <xdr:rowOff>191341</xdr:rowOff>
    </xdr:from>
    <xdr:to>
      <xdr:col>40</xdr:col>
      <xdr:colOff>16643</xdr:colOff>
      <xdr:row>186</xdr:row>
      <xdr:rowOff>15391</xdr:rowOff>
    </xdr:to>
    <xdr:pic>
      <xdr:nvPicPr>
        <xdr:cNvPr id="318" name="Picture 317">
          <a:extLst>
            <a:ext uri="{FF2B5EF4-FFF2-40B4-BE49-F238E27FC236}">
              <a16:creationId xmlns:a16="http://schemas.microsoft.com/office/drawing/2014/main" id="{A84645A0-486B-4981-8F72-779BB0187F2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49160" y="35052841"/>
          <a:ext cx="391293" cy="387930"/>
        </a:xfrm>
        <a:prstGeom prst="rect">
          <a:avLst/>
        </a:prstGeom>
      </xdr:spPr>
    </xdr:pic>
    <xdr:clientData/>
  </xdr:twoCellAnchor>
  <xdr:twoCellAnchor editAs="oneCell">
    <xdr:from>
      <xdr:col>38</xdr:col>
      <xdr:colOff>0</xdr:colOff>
      <xdr:row>244</xdr:row>
      <xdr:rowOff>0</xdr:rowOff>
    </xdr:from>
    <xdr:to>
      <xdr:col>40</xdr:col>
      <xdr:colOff>19818</xdr:colOff>
      <xdr:row>246</xdr:row>
      <xdr:rowOff>1699</xdr:rowOff>
    </xdr:to>
    <xdr:pic>
      <xdr:nvPicPr>
        <xdr:cNvPr id="319" name="Picture 318">
          <a:extLst>
            <a:ext uri="{FF2B5EF4-FFF2-40B4-BE49-F238E27FC236}">
              <a16:creationId xmlns:a16="http://schemas.microsoft.com/office/drawing/2014/main" id="{90126983-97A4-4ACD-9809-83E6937BD01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39000" y="46482000"/>
          <a:ext cx="391293" cy="382699"/>
        </a:xfrm>
        <a:prstGeom prst="rect">
          <a:avLst/>
        </a:prstGeom>
      </xdr:spPr>
    </xdr:pic>
    <xdr:clientData/>
  </xdr:twoCellAnchor>
  <xdr:twoCellAnchor>
    <xdr:from>
      <xdr:col>6</xdr:col>
      <xdr:colOff>298</xdr:colOff>
      <xdr:row>70</xdr:row>
      <xdr:rowOff>189906</xdr:rowOff>
    </xdr:from>
    <xdr:to>
      <xdr:col>36</xdr:col>
      <xdr:colOff>0</xdr:colOff>
      <xdr:row>81</xdr:row>
      <xdr:rowOff>0</xdr:rowOff>
    </xdr:to>
    <xdr:sp macro="" textlink="">
      <xdr:nvSpPr>
        <xdr:cNvPr id="320" name="Rounded Rectangle 291">
          <a:extLst>
            <a:ext uri="{FF2B5EF4-FFF2-40B4-BE49-F238E27FC236}">
              <a16:creationId xmlns:a16="http://schemas.microsoft.com/office/drawing/2014/main" id="{D9DE50DC-CDF6-474E-8349-21E17F5C8000}"/>
            </a:ext>
          </a:extLst>
        </xdr:cNvPr>
        <xdr:cNvSpPr/>
      </xdr:nvSpPr>
      <xdr:spPr>
        <a:xfrm>
          <a:off x="1143298" y="13524906"/>
          <a:ext cx="5714702" cy="1905594"/>
        </a:xfrm>
        <a:prstGeom prst="roundRect">
          <a:avLst>
            <a:gd name="adj" fmla="val 14502"/>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173182</xdr:colOff>
      <xdr:row>205</xdr:row>
      <xdr:rowOff>74178</xdr:rowOff>
    </xdr:from>
    <xdr:to>
      <xdr:col>38</xdr:col>
      <xdr:colOff>7215</xdr:colOff>
      <xdr:row>208</xdr:row>
      <xdr:rowOff>171450</xdr:rowOff>
    </xdr:to>
    <xdr:sp macro="" textlink="">
      <xdr:nvSpPr>
        <xdr:cNvPr id="321" name="TextBox 320">
          <a:extLst>
            <a:ext uri="{FF2B5EF4-FFF2-40B4-BE49-F238E27FC236}">
              <a16:creationId xmlns:a16="http://schemas.microsoft.com/office/drawing/2014/main" id="{18F041A5-DB9E-4E87-AAF6-CF9798EED4A0}"/>
            </a:ext>
          </a:extLst>
        </xdr:cNvPr>
        <xdr:cNvSpPr txBox="1"/>
      </xdr:nvSpPr>
      <xdr:spPr>
        <a:xfrm>
          <a:off x="1125682" y="39126678"/>
          <a:ext cx="6120533" cy="668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AU" sz="900" b="0" i="0">
              <a:solidFill>
                <a:schemeClr val="dk1"/>
              </a:solidFill>
              <a:effectLst/>
              <a:latin typeface="+mn-lt"/>
              <a:ea typeface="+mn-ea"/>
              <a:cs typeface="+mn-cs"/>
            </a:rPr>
            <a:t>All progress claims must be paid by the Customer to the Supplier within seven (7) days from the receipt of an invoice</a:t>
          </a:r>
          <a:endParaRPr lang="en-US" sz="700" b="1" i="0" u="none" strike="noStrike">
            <a:solidFill>
              <a:srgbClr val="666666"/>
            </a:solidFill>
            <a:latin typeface="Overpass" panose="00000500000000000000" pitchFamily="2" charset="0"/>
            <a:ea typeface="+mn-ea"/>
            <a:cs typeface="Calibri"/>
          </a:endParaRPr>
        </a:p>
      </xdr:txBody>
    </xdr:sp>
    <xdr:clientData/>
  </xdr:twoCellAnchor>
  <xdr:twoCellAnchor>
    <xdr:from>
      <xdr:col>47</xdr:col>
      <xdr:colOff>5720</xdr:colOff>
      <xdr:row>162</xdr:row>
      <xdr:rowOff>49455</xdr:rowOff>
    </xdr:from>
    <xdr:to>
      <xdr:col>60</xdr:col>
      <xdr:colOff>9775</xdr:colOff>
      <xdr:row>163</xdr:row>
      <xdr:rowOff>50824</xdr:rowOff>
    </xdr:to>
    <xdr:sp macro="" textlink="'Linking Cells'!C51">
      <xdr:nvSpPr>
        <xdr:cNvPr id="322" name="TextBox 321">
          <a:extLst>
            <a:ext uri="{FF2B5EF4-FFF2-40B4-BE49-F238E27FC236}">
              <a16:creationId xmlns:a16="http://schemas.microsoft.com/office/drawing/2014/main" id="{D292DD92-2259-4C4C-A924-8D354980D597}"/>
            </a:ext>
          </a:extLst>
        </xdr:cNvPr>
        <xdr:cNvSpPr txBox="1"/>
      </xdr:nvSpPr>
      <xdr:spPr>
        <a:xfrm>
          <a:off x="8959220" y="30910455"/>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E6A52F8-6FBB-4CDC-B7BF-5C9F364A6FE5}"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1607</xdr:colOff>
      <xdr:row>89</xdr:row>
      <xdr:rowOff>55154</xdr:rowOff>
    </xdr:from>
    <xdr:to>
      <xdr:col>13</xdr:col>
      <xdr:colOff>483</xdr:colOff>
      <xdr:row>91</xdr:row>
      <xdr:rowOff>55192</xdr:rowOff>
    </xdr:to>
    <xdr:sp macro="" textlink="">
      <xdr:nvSpPr>
        <xdr:cNvPr id="329" name="TextBox 196">
          <a:extLst>
            <a:ext uri="{FF2B5EF4-FFF2-40B4-BE49-F238E27FC236}">
              <a16:creationId xmlns:a16="http://schemas.microsoft.com/office/drawing/2014/main" id="{06338131-371B-CFE0-1248-5957C2E1B8EC}"/>
            </a:ext>
          </a:extLst>
        </xdr:cNvPr>
        <xdr:cNvSpPr txBox="1"/>
      </xdr:nvSpPr>
      <xdr:spPr>
        <a:xfrm>
          <a:off x="1144607" y="17009654"/>
          <a:ext cx="1332376" cy="38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BATTERY</a:t>
          </a:r>
        </a:p>
      </xdr:txBody>
    </xdr:sp>
    <xdr:clientData/>
  </xdr:twoCellAnchor>
  <xdr:twoCellAnchor>
    <xdr:from>
      <xdr:col>17</xdr:col>
      <xdr:colOff>1247</xdr:colOff>
      <xdr:row>89</xdr:row>
      <xdr:rowOff>56693</xdr:rowOff>
    </xdr:from>
    <xdr:to>
      <xdr:col>36</xdr:col>
      <xdr:colOff>3947</xdr:colOff>
      <xdr:row>91</xdr:row>
      <xdr:rowOff>55206</xdr:rowOff>
    </xdr:to>
    <xdr:sp macro="" textlink="'Linking Cells'!C123">
      <xdr:nvSpPr>
        <xdr:cNvPr id="330" name="TextBox 200">
          <a:extLst>
            <a:ext uri="{FF2B5EF4-FFF2-40B4-BE49-F238E27FC236}">
              <a16:creationId xmlns:a16="http://schemas.microsoft.com/office/drawing/2014/main" id="{1710A6E9-B18C-ED0A-F57B-0DC0DB460750}"/>
            </a:ext>
          </a:extLst>
        </xdr:cNvPr>
        <xdr:cNvSpPr txBox="1"/>
      </xdr:nvSpPr>
      <xdr:spPr>
        <a:xfrm>
          <a:off x="3239747" y="17011193"/>
          <a:ext cx="3622200" cy="3795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D154D13-A46F-4C8D-A800-BCB628502E22}" type="TxLink">
            <a:rPr lang="en-US" sz="1200" b="0" i="0" u="none" strike="noStrike">
              <a:solidFill>
                <a:srgbClr val="000000"/>
              </a:solidFill>
              <a:latin typeface="Overpass" panose="00000500000000000000" pitchFamily="2" charset="0"/>
              <a:ea typeface="+mn-ea"/>
              <a:cs typeface="Calibri"/>
            </a:rPr>
            <a:pPr marL="0" indent="0" algn="l"/>
            <a:t>107 kWh - BC107DE2 x 1</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xdr:from>
      <xdr:col>6</xdr:col>
      <xdr:colOff>1606</xdr:colOff>
      <xdr:row>91</xdr:row>
      <xdr:rowOff>111184</xdr:rowOff>
    </xdr:from>
    <xdr:to>
      <xdr:col>15</xdr:col>
      <xdr:colOff>33617</xdr:colOff>
      <xdr:row>93</xdr:row>
      <xdr:rowOff>111222</xdr:rowOff>
    </xdr:to>
    <xdr:sp macro="" textlink="">
      <xdr:nvSpPr>
        <xdr:cNvPr id="337" name="TextBox 196">
          <a:extLst>
            <a:ext uri="{FF2B5EF4-FFF2-40B4-BE49-F238E27FC236}">
              <a16:creationId xmlns:a16="http://schemas.microsoft.com/office/drawing/2014/main" id="{81CF3D50-2A49-E412-C6C0-FD84A8FF65BE}"/>
            </a:ext>
          </a:extLst>
        </xdr:cNvPr>
        <xdr:cNvSpPr txBox="1"/>
      </xdr:nvSpPr>
      <xdr:spPr>
        <a:xfrm>
          <a:off x="1144606" y="17446684"/>
          <a:ext cx="1746511" cy="38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BATTERY INVERTER</a:t>
          </a:r>
        </a:p>
      </xdr:txBody>
    </xdr:sp>
    <xdr:clientData/>
  </xdr:twoCellAnchor>
  <xdr:twoCellAnchor>
    <xdr:from>
      <xdr:col>17</xdr:col>
      <xdr:colOff>1247</xdr:colOff>
      <xdr:row>91</xdr:row>
      <xdr:rowOff>112723</xdr:rowOff>
    </xdr:from>
    <xdr:to>
      <xdr:col>36</xdr:col>
      <xdr:colOff>3947</xdr:colOff>
      <xdr:row>93</xdr:row>
      <xdr:rowOff>111236</xdr:rowOff>
    </xdr:to>
    <xdr:sp macro="" textlink="'Linking Cells'!C124">
      <xdr:nvSpPr>
        <xdr:cNvPr id="338" name="TextBox 200">
          <a:extLst>
            <a:ext uri="{FF2B5EF4-FFF2-40B4-BE49-F238E27FC236}">
              <a16:creationId xmlns:a16="http://schemas.microsoft.com/office/drawing/2014/main" id="{D3F3D0EC-C0A4-8830-A5D6-99B554AD1FBB}"/>
            </a:ext>
          </a:extLst>
        </xdr:cNvPr>
        <xdr:cNvSpPr txBox="1"/>
      </xdr:nvSpPr>
      <xdr:spPr>
        <a:xfrm>
          <a:off x="3239747" y="17448223"/>
          <a:ext cx="3622200" cy="3795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501ED2E-F2ED-407B-AFB2-D464CE630A56}" type="TxLink">
            <a:rPr lang="en-US" sz="1200" b="0" i="0" u="none" strike="noStrike">
              <a:solidFill>
                <a:srgbClr val="000000"/>
              </a:solidFill>
              <a:latin typeface="Overpass" panose="00000500000000000000" pitchFamily="2" charset="0"/>
              <a:ea typeface="+mn-ea"/>
              <a:cs typeface="Calibri"/>
            </a:rPr>
            <a:pPr marL="0" indent="0" algn="l"/>
            <a:t>50 kVA - KAC50DP2  x 1</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xdr:from>
      <xdr:col>18</xdr:col>
      <xdr:colOff>2057</xdr:colOff>
      <xdr:row>197</xdr:row>
      <xdr:rowOff>84872</xdr:rowOff>
    </xdr:from>
    <xdr:to>
      <xdr:col>23</xdr:col>
      <xdr:colOff>0</xdr:colOff>
      <xdr:row>198</xdr:row>
      <xdr:rowOff>84871</xdr:rowOff>
    </xdr:to>
    <xdr:sp macro="" textlink="'Linking Cells'!B148">
      <xdr:nvSpPr>
        <xdr:cNvPr id="339" name="TextBox 338">
          <a:extLst>
            <a:ext uri="{FF2B5EF4-FFF2-40B4-BE49-F238E27FC236}">
              <a16:creationId xmlns:a16="http://schemas.microsoft.com/office/drawing/2014/main" id="{F237912B-29CF-3EF0-56C1-D94000886A60}"/>
            </a:ext>
          </a:extLst>
        </xdr:cNvPr>
        <xdr:cNvSpPr txBox="1"/>
      </xdr:nvSpPr>
      <xdr:spPr>
        <a:xfrm>
          <a:off x="3431057" y="37613372"/>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8875386-5B56-4FB9-B811-896F3CC97802}" type="TxLink">
            <a:rPr lang="en-US" sz="1000" b="0" i="0" u="none" strike="noStrike">
              <a:solidFill>
                <a:srgbClr val="2A2A2A"/>
              </a:solidFill>
              <a:latin typeface="Overpass" pitchFamily="2" charset="77"/>
              <a:ea typeface="+mn-ea"/>
              <a:cs typeface="Calibri"/>
            </a:rPr>
            <a:pPr marL="0" indent="0" algn="l"/>
            <a:t>$8,968.46</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190052</xdr:colOff>
      <xdr:row>197</xdr:row>
      <xdr:rowOff>79099</xdr:rowOff>
    </xdr:from>
    <xdr:to>
      <xdr:col>18</xdr:col>
      <xdr:colOff>2057</xdr:colOff>
      <xdr:row>198</xdr:row>
      <xdr:rowOff>75830</xdr:rowOff>
    </xdr:to>
    <xdr:sp macro="" textlink="">
      <xdr:nvSpPr>
        <xdr:cNvPr id="340" name="TextBox 339">
          <a:extLst>
            <a:ext uri="{FF2B5EF4-FFF2-40B4-BE49-F238E27FC236}">
              <a16:creationId xmlns:a16="http://schemas.microsoft.com/office/drawing/2014/main" id="{55EC7342-0A48-E78B-2D71-B9E4FECEE30B}"/>
            </a:ext>
          </a:extLst>
        </xdr:cNvPr>
        <xdr:cNvSpPr txBox="1"/>
      </xdr:nvSpPr>
      <xdr:spPr>
        <a:xfrm>
          <a:off x="1142552" y="37607599"/>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a:ea typeface="+mn-ea"/>
              <a:cs typeface="Calibri"/>
            </a:rPr>
            <a:t>10% Order Battery</a:t>
          </a:r>
        </a:p>
      </xdr:txBody>
    </xdr:sp>
    <xdr:clientData/>
  </xdr:twoCellAnchor>
  <xdr:twoCellAnchor>
    <xdr:from>
      <xdr:col>5</xdr:col>
      <xdr:colOff>171450</xdr:colOff>
      <xdr:row>168</xdr:row>
      <xdr:rowOff>123829</xdr:rowOff>
    </xdr:from>
    <xdr:to>
      <xdr:col>18</xdr:col>
      <xdr:colOff>174008</xdr:colOff>
      <xdr:row>169</xdr:row>
      <xdr:rowOff>123827</xdr:rowOff>
    </xdr:to>
    <xdr:sp macro="" textlink="">
      <xdr:nvSpPr>
        <xdr:cNvPr id="341" name="TextBox 340">
          <a:extLst>
            <a:ext uri="{FF2B5EF4-FFF2-40B4-BE49-F238E27FC236}">
              <a16:creationId xmlns:a16="http://schemas.microsoft.com/office/drawing/2014/main" id="{991AFBC4-D318-4526-B9D5-54AEEFF9BBB0}"/>
            </a:ext>
          </a:extLst>
        </xdr:cNvPr>
        <xdr:cNvSpPr txBox="1"/>
      </xdr:nvSpPr>
      <xdr:spPr>
        <a:xfrm>
          <a:off x="1123950" y="32127829"/>
          <a:ext cx="2479058" cy="190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 STATION</a:t>
          </a:r>
        </a:p>
      </xdr:txBody>
    </xdr:sp>
    <xdr:clientData/>
  </xdr:twoCellAnchor>
  <xdr:twoCellAnchor>
    <xdr:from>
      <xdr:col>18</xdr:col>
      <xdr:colOff>171435</xdr:colOff>
      <xdr:row>168</xdr:row>
      <xdr:rowOff>123825</xdr:rowOff>
    </xdr:from>
    <xdr:to>
      <xdr:col>35</xdr:col>
      <xdr:colOff>169974</xdr:colOff>
      <xdr:row>169</xdr:row>
      <xdr:rowOff>125300</xdr:rowOff>
    </xdr:to>
    <xdr:sp macro="" textlink="'Linking Cells'!B100">
      <xdr:nvSpPr>
        <xdr:cNvPr id="342" name="TextBox 341">
          <a:extLst>
            <a:ext uri="{FF2B5EF4-FFF2-40B4-BE49-F238E27FC236}">
              <a16:creationId xmlns:a16="http://schemas.microsoft.com/office/drawing/2014/main" id="{28DBF8B5-A041-4D57-8452-07A84632BC97}"/>
            </a:ext>
          </a:extLst>
        </xdr:cNvPr>
        <xdr:cNvSpPr txBox="1"/>
      </xdr:nvSpPr>
      <xdr:spPr>
        <a:xfrm>
          <a:off x="3600435" y="32127825"/>
          <a:ext cx="3237039" cy="19197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72C38E3-1564-4DCD-849D-5A7D53DBAC07}" type="TxLink">
            <a:rPr lang="en-US" sz="1000" b="0" i="0" u="none" strike="noStrike">
              <a:solidFill>
                <a:srgbClr val="2A2A2A"/>
              </a:solidFill>
              <a:latin typeface="Overpass" pitchFamily="2" charset="77"/>
              <a:ea typeface="+mn-ea"/>
              <a:cs typeface="Calibri"/>
            </a:rPr>
            <a:pPr marL="0" indent="0" algn="l"/>
            <a:t>Bollards</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5</xdr:col>
      <xdr:colOff>185197</xdr:colOff>
      <xdr:row>169</xdr:row>
      <xdr:rowOff>148868</xdr:rowOff>
    </xdr:from>
    <xdr:to>
      <xdr:col>18</xdr:col>
      <xdr:colOff>185304</xdr:colOff>
      <xdr:row>170</xdr:row>
      <xdr:rowOff>147391</xdr:rowOff>
    </xdr:to>
    <xdr:sp macro="" textlink="">
      <xdr:nvSpPr>
        <xdr:cNvPr id="343" name="TextBox 342">
          <a:extLst>
            <a:ext uri="{FF2B5EF4-FFF2-40B4-BE49-F238E27FC236}">
              <a16:creationId xmlns:a16="http://schemas.microsoft.com/office/drawing/2014/main" id="{D1ED68EC-78DD-461C-B89B-AA19333752DB}"/>
            </a:ext>
          </a:extLst>
        </xdr:cNvPr>
        <xdr:cNvSpPr txBox="1"/>
      </xdr:nvSpPr>
      <xdr:spPr>
        <a:xfrm>
          <a:off x="1137697" y="32343368"/>
          <a:ext cx="2476607" cy="18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TRENCHING</a:t>
          </a:r>
        </a:p>
      </xdr:txBody>
    </xdr:sp>
    <xdr:clientData/>
  </xdr:twoCellAnchor>
  <xdr:twoCellAnchor>
    <xdr:from>
      <xdr:col>18</xdr:col>
      <xdr:colOff>175363</xdr:colOff>
      <xdr:row>169</xdr:row>
      <xdr:rowOff>139048</xdr:rowOff>
    </xdr:from>
    <xdr:to>
      <xdr:col>35</xdr:col>
      <xdr:colOff>169974</xdr:colOff>
      <xdr:row>170</xdr:row>
      <xdr:rowOff>137696</xdr:rowOff>
    </xdr:to>
    <xdr:sp macro="" textlink="'Linking Cells'!B103">
      <xdr:nvSpPr>
        <xdr:cNvPr id="344" name="TextBox 343">
          <a:extLst>
            <a:ext uri="{FF2B5EF4-FFF2-40B4-BE49-F238E27FC236}">
              <a16:creationId xmlns:a16="http://schemas.microsoft.com/office/drawing/2014/main" id="{E7295734-9CF1-41DD-950C-972ED8A1A990}"/>
            </a:ext>
          </a:extLst>
        </xdr:cNvPr>
        <xdr:cNvSpPr txBox="1"/>
      </xdr:nvSpPr>
      <xdr:spPr>
        <a:xfrm>
          <a:off x="3604363" y="32333548"/>
          <a:ext cx="3233111" cy="189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F432748-36C8-40E7-816E-27608A145E27}" type="TxLink">
            <a:rPr lang="en-US" sz="1000" b="0" i="0" u="none" strike="noStrike">
              <a:solidFill>
                <a:srgbClr val="2A2A2A"/>
              </a:solidFill>
              <a:latin typeface="Overpass" pitchFamily="2" charset="77"/>
              <a:ea typeface="+mn-ea"/>
              <a:cs typeface="Calibri"/>
            </a:rPr>
            <a:pPr marL="0" indent="0" algn="l"/>
            <a:t>Not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5</xdr:col>
      <xdr:colOff>171450</xdr:colOff>
      <xdr:row>167</xdr:row>
      <xdr:rowOff>114302</xdr:rowOff>
    </xdr:from>
    <xdr:to>
      <xdr:col>18</xdr:col>
      <xdr:colOff>172657</xdr:colOff>
      <xdr:row>168</xdr:row>
      <xdr:rowOff>114301</xdr:rowOff>
    </xdr:to>
    <xdr:sp macro="" textlink="">
      <xdr:nvSpPr>
        <xdr:cNvPr id="345" name="TextBox 344">
          <a:extLst>
            <a:ext uri="{FF2B5EF4-FFF2-40B4-BE49-F238E27FC236}">
              <a16:creationId xmlns:a16="http://schemas.microsoft.com/office/drawing/2014/main" id="{08E1F8AC-C9BD-4A1F-8AA1-41D634458DF2}"/>
            </a:ext>
          </a:extLst>
        </xdr:cNvPr>
        <xdr:cNvSpPr txBox="1"/>
      </xdr:nvSpPr>
      <xdr:spPr>
        <a:xfrm>
          <a:off x="1123950" y="31927802"/>
          <a:ext cx="2477707"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a:t>
          </a:r>
          <a:r>
            <a:rPr lang="en-US" sz="1000" b="1" i="0" u="none" strike="noStrike" baseline="0">
              <a:solidFill>
                <a:srgbClr val="2A2A2A"/>
              </a:solidFill>
              <a:latin typeface="Overpass" panose="00000500000000000000" pitchFamily="2" charset="0"/>
              <a:ea typeface="+mn-ea"/>
              <a:cs typeface="Calibri"/>
            </a:rPr>
            <a:t> MAIN SWITCH</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18</xdr:col>
      <xdr:colOff>171309</xdr:colOff>
      <xdr:row>167</xdr:row>
      <xdr:rowOff>104775</xdr:rowOff>
    </xdr:from>
    <xdr:to>
      <xdr:col>35</xdr:col>
      <xdr:colOff>169974</xdr:colOff>
      <xdr:row>168</xdr:row>
      <xdr:rowOff>95425</xdr:rowOff>
    </xdr:to>
    <xdr:sp macro="" textlink="'Linking Cells'!B98">
      <xdr:nvSpPr>
        <xdr:cNvPr id="346" name="TextBox 345">
          <a:extLst>
            <a:ext uri="{FF2B5EF4-FFF2-40B4-BE49-F238E27FC236}">
              <a16:creationId xmlns:a16="http://schemas.microsoft.com/office/drawing/2014/main" id="{9A7325EB-4BC4-4482-B16B-55088F2E7240}"/>
            </a:ext>
          </a:extLst>
        </xdr:cNvPr>
        <xdr:cNvSpPr txBox="1"/>
      </xdr:nvSpPr>
      <xdr:spPr>
        <a:xfrm>
          <a:off x="3600309" y="31918275"/>
          <a:ext cx="3237165" cy="1811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B3B1975-CB91-47FE-82D2-C0AC274BDF8A}" type="TxLink">
            <a:rPr lang="en-US" sz="1000" b="0" i="0" u="none" strike="noStrike">
              <a:solidFill>
                <a:srgbClr val="2A2A2A"/>
              </a:solidFill>
              <a:latin typeface="Overpass" pitchFamily="2" charset="77"/>
              <a:ea typeface="+mn-ea"/>
              <a:cs typeface="Calibri"/>
            </a:rPr>
            <a:pPr marL="0" indent="0" algn="l"/>
            <a:t>New AC Solar Main Switch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2410</xdr:colOff>
      <xdr:row>152</xdr:row>
      <xdr:rowOff>2635</xdr:rowOff>
    </xdr:from>
    <xdr:to>
      <xdr:col>36</xdr:col>
      <xdr:colOff>2426</xdr:colOff>
      <xdr:row>153</xdr:row>
      <xdr:rowOff>7518</xdr:rowOff>
    </xdr:to>
    <xdr:sp macro="" textlink="'Linking Cells'!C60">
      <xdr:nvSpPr>
        <xdr:cNvPr id="347" name="TextBox 346">
          <a:extLst>
            <a:ext uri="{FF2B5EF4-FFF2-40B4-BE49-F238E27FC236}">
              <a16:creationId xmlns:a16="http://schemas.microsoft.com/office/drawing/2014/main" id="{80E9F5A9-ACCE-64BB-1187-BAA4E3C0B1DE}"/>
            </a:ext>
          </a:extLst>
        </xdr:cNvPr>
        <xdr:cNvSpPr txBox="1"/>
      </xdr:nvSpPr>
      <xdr:spPr>
        <a:xfrm>
          <a:off x="3621910" y="28958635"/>
          <a:ext cx="3238516" cy="19538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F683AEE-13D7-4D73-A24D-CB4BD54A9FCE}" type="TxLink">
            <a:rPr lang="en-US" sz="1000" b="0" i="0" u="none" strike="noStrike">
              <a:solidFill>
                <a:srgbClr val="2A2A2A"/>
              </a:solidFill>
              <a:latin typeface="Overpass" pitchFamily="2" charset="77"/>
              <a:ea typeface="+mn-ea"/>
              <a:cs typeface="Calibri"/>
            </a:rPr>
            <a:pPr marL="0" indent="0" algn="l"/>
            <a:t>50 kVA - KAC50DP2  x 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187816</xdr:colOff>
      <xdr:row>152</xdr:row>
      <xdr:rowOff>7519</xdr:rowOff>
    </xdr:from>
    <xdr:to>
      <xdr:col>19</xdr:col>
      <xdr:colOff>0</xdr:colOff>
      <xdr:row>153</xdr:row>
      <xdr:rowOff>7518</xdr:rowOff>
    </xdr:to>
    <xdr:sp macro="" textlink="">
      <xdr:nvSpPr>
        <xdr:cNvPr id="348" name="TextBox 347">
          <a:extLst>
            <a:ext uri="{FF2B5EF4-FFF2-40B4-BE49-F238E27FC236}">
              <a16:creationId xmlns:a16="http://schemas.microsoft.com/office/drawing/2014/main" id="{AFEEF9C7-D9AD-4A2C-9A40-F5E1545A15AE}"/>
            </a:ext>
          </a:extLst>
        </xdr:cNvPr>
        <xdr:cNvSpPr txBox="1"/>
      </xdr:nvSpPr>
      <xdr:spPr>
        <a:xfrm>
          <a:off x="1140316" y="28963519"/>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INVERTER</a:t>
          </a:r>
        </a:p>
      </xdr:txBody>
    </xdr:sp>
    <xdr:clientData/>
  </xdr:twoCellAnchor>
  <xdr:twoCellAnchor>
    <xdr:from>
      <xdr:col>18</xdr:col>
      <xdr:colOff>189338</xdr:colOff>
      <xdr:row>137</xdr:row>
      <xdr:rowOff>2635</xdr:rowOff>
    </xdr:from>
    <xdr:to>
      <xdr:col>36</xdr:col>
      <xdr:colOff>0</xdr:colOff>
      <xdr:row>137</xdr:row>
      <xdr:rowOff>190450</xdr:rowOff>
    </xdr:to>
    <xdr:sp macro="" textlink="'Linking Cells'!C99">
      <xdr:nvSpPr>
        <xdr:cNvPr id="349" name="TextBox 348">
          <a:extLst>
            <a:ext uri="{FF2B5EF4-FFF2-40B4-BE49-F238E27FC236}">
              <a16:creationId xmlns:a16="http://schemas.microsoft.com/office/drawing/2014/main" id="{81228366-B931-7643-0432-43D99EF61174}"/>
            </a:ext>
          </a:extLst>
        </xdr:cNvPr>
        <xdr:cNvSpPr txBox="1"/>
      </xdr:nvSpPr>
      <xdr:spPr>
        <a:xfrm>
          <a:off x="3618338" y="26101135"/>
          <a:ext cx="3239662" cy="18781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D1A664B-C589-4118-B2F1-733606435372}" type="TxLink">
            <a:rPr lang="en-US" sz="1000" b="0" i="0" u="none" strike="noStrike">
              <a:solidFill>
                <a:srgbClr val="2A2A2A"/>
              </a:solidFill>
              <a:latin typeface="Overpass" pitchFamily="2" charset="77"/>
              <a:ea typeface="+mn-ea"/>
              <a:cs typeface="Calibri"/>
            </a:rPr>
            <a:pPr marL="0" indent="0" algn="l"/>
            <a:t>Excluded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5</xdr:col>
      <xdr:colOff>187816</xdr:colOff>
      <xdr:row>136</xdr:row>
      <xdr:rowOff>190451</xdr:rowOff>
    </xdr:from>
    <xdr:to>
      <xdr:col>19</xdr:col>
      <xdr:colOff>0</xdr:colOff>
      <xdr:row>137</xdr:row>
      <xdr:rowOff>190450</xdr:rowOff>
    </xdr:to>
    <xdr:sp macro="" textlink="">
      <xdr:nvSpPr>
        <xdr:cNvPr id="350" name="TextBox 349">
          <a:extLst>
            <a:ext uri="{FF2B5EF4-FFF2-40B4-BE49-F238E27FC236}">
              <a16:creationId xmlns:a16="http://schemas.microsoft.com/office/drawing/2014/main" id="{60B675BF-D722-59B3-BD35-B76D6FB64D04}"/>
            </a:ext>
          </a:extLst>
        </xdr:cNvPr>
        <xdr:cNvSpPr txBox="1"/>
      </xdr:nvSpPr>
      <xdr:spPr>
        <a:xfrm>
          <a:off x="1140316" y="26098451"/>
          <a:ext cx="2479184"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UNDERGROUND SCANNING</a:t>
          </a:r>
        </a:p>
      </xdr:txBody>
    </xdr:sp>
    <xdr:clientData/>
  </xdr:twoCellAnchor>
  <xdr:twoCellAnchor>
    <xdr:from>
      <xdr:col>60</xdr:col>
      <xdr:colOff>7936</xdr:colOff>
      <xdr:row>153</xdr:row>
      <xdr:rowOff>9945</xdr:rowOff>
    </xdr:from>
    <xdr:to>
      <xdr:col>77</xdr:col>
      <xdr:colOff>2</xdr:colOff>
      <xdr:row>154</xdr:row>
      <xdr:rowOff>9945</xdr:rowOff>
    </xdr:to>
    <xdr:sp macro="" textlink="'Linking Cells'!C67">
      <xdr:nvSpPr>
        <xdr:cNvPr id="351" name="TextBox 350">
          <a:extLst>
            <a:ext uri="{FF2B5EF4-FFF2-40B4-BE49-F238E27FC236}">
              <a16:creationId xmlns:a16="http://schemas.microsoft.com/office/drawing/2014/main" id="{AC302D83-6A77-5379-6D12-6CC165A21F1C}"/>
            </a:ext>
          </a:extLst>
        </xdr:cNvPr>
        <xdr:cNvSpPr txBox="1"/>
      </xdr:nvSpPr>
      <xdr:spPr>
        <a:xfrm>
          <a:off x="11437936" y="29156445"/>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2917474-F132-4A9C-9158-C49231ACC6A9}" type="TxLink">
            <a:rPr lang="en-US" sz="1000" b="0" i="0" u="none" strike="noStrike">
              <a:solidFill>
                <a:srgbClr val="2A2A2A"/>
              </a:solidFill>
              <a:latin typeface="Overpass" pitchFamily="2" charset="77"/>
              <a:ea typeface="+mn-ea"/>
              <a:cs typeface="Calibri"/>
            </a:rPr>
            <a:pPr marL="0" indent="0" algn="l"/>
            <a:t>5 Years Performance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0</xdr:colOff>
      <xdr:row>153</xdr:row>
      <xdr:rowOff>11355</xdr:rowOff>
    </xdr:from>
    <xdr:to>
      <xdr:col>60</xdr:col>
      <xdr:colOff>4055</xdr:colOff>
      <xdr:row>154</xdr:row>
      <xdr:rowOff>12724</xdr:rowOff>
    </xdr:to>
    <xdr:sp macro="" textlink="">
      <xdr:nvSpPr>
        <xdr:cNvPr id="352" name="TextBox 351">
          <a:extLst>
            <a:ext uri="{FF2B5EF4-FFF2-40B4-BE49-F238E27FC236}">
              <a16:creationId xmlns:a16="http://schemas.microsoft.com/office/drawing/2014/main" id="{45B6A834-59B5-CB67-0027-383C61933777}"/>
            </a:ext>
          </a:extLst>
        </xdr:cNvPr>
        <xdr:cNvSpPr txBox="1"/>
      </xdr:nvSpPr>
      <xdr:spPr>
        <a:xfrm>
          <a:off x="8953500" y="29157855"/>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PRODUCT</a:t>
          </a:r>
        </a:p>
      </xdr:txBody>
    </xdr:sp>
    <xdr:clientData/>
  </xdr:twoCellAnchor>
  <xdr:twoCellAnchor>
    <xdr:from>
      <xdr:col>60</xdr:col>
      <xdr:colOff>7936</xdr:colOff>
      <xdr:row>154</xdr:row>
      <xdr:rowOff>19470</xdr:rowOff>
    </xdr:from>
    <xdr:to>
      <xdr:col>77</xdr:col>
      <xdr:colOff>2</xdr:colOff>
      <xdr:row>155</xdr:row>
      <xdr:rowOff>19470</xdr:rowOff>
    </xdr:to>
    <xdr:sp macro="" textlink="'Linking Cells'!C68">
      <xdr:nvSpPr>
        <xdr:cNvPr id="353" name="TextBox 352">
          <a:extLst>
            <a:ext uri="{FF2B5EF4-FFF2-40B4-BE49-F238E27FC236}">
              <a16:creationId xmlns:a16="http://schemas.microsoft.com/office/drawing/2014/main" id="{32F7A56E-0081-BB19-CA31-4B40B5D6F149}"/>
            </a:ext>
          </a:extLst>
        </xdr:cNvPr>
        <xdr:cNvSpPr txBox="1"/>
      </xdr:nvSpPr>
      <xdr:spPr>
        <a:xfrm>
          <a:off x="11437936" y="29356470"/>
          <a:ext cx="323056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7E03CE0-F829-47DE-8CDA-37A512EF16D1}" type="TxLink">
            <a:rPr lang="en-US" sz="1000" b="0" i="0" u="none" strike="noStrike">
              <a:solidFill>
                <a:srgbClr val="2A2A2A"/>
              </a:solidFill>
              <a:latin typeface="Overpass" pitchFamily="2" charset="77"/>
              <a:ea typeface="+mn-ea"/>
              <a:cs typeface="Calibri"/>
            </a:rPr>
            <a:pPr marL="0" indent="0" algn="l"/>
            <a:t>10 Years Product Warranty</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0</xdr:colOff>
      <xdr:row>154</xdr:row>
      <xdr:rowOff>20880</xdr:rowOff>
    </xdr:from>
    <xdr:to>
      <xdr:col>60</xdr:col>
      <xdr:colOff>4055</xdr:colOff>
      <xdr:row>155</xdr:row>
      <xdr:rowOff>22249</xdr:rowOff>
    </xdr:to>
    <xdr:sp macro="" textlink="">
      <xdr:nvSpPr>
        <xdr:cNvPr id="354" name="TextBox 353">
          <a:extLst>
            <a:ext uri="{FF2B5EF4-FFF2-40B4-BE49-F238E27FC236}">
              <a16:creationId xmlns:a16="http://schemas.microsoft.com/office/drawing/2014/main" id="{E9955884-4139-9195-8441-B546A0113108}"/>
            </a:ext>
          </a:extLst>
        </xdr:cNvPr>
        <xdr:cNvSpPr txBox="1"/>
      </xdr:nvSpPr>
      <xdr:spPr>
        <a:xfrm>
          <a:off x="8953500" y="29357880"/>
          <a:ext cx="2480555" cy="191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PERFORMANCE</a:t>
          </a:r>
        </a:p>
      </xdr:txBody>
    </xdr:sp>
    <xdr:clientData/>
  </xdr:twoCellAnchor>
  <xdr:twoCellAnchor>
    <xdr:from>
      <xdr:col>59</xdr:col>
      <xdr:colOff>18071</xdr:colOff>
      <xdr:row>164</xdr:row>
      <xdr:rowOff>154298</xdr:rowOff>
    </xdr:from>
    <xdr:to>
      <xdr:col>76</xdr:col>
      <xdr:colOff>11472</xdr:colOff>
      <xdr:row>165</xdr:row>
      <xdr:rowOff>161590</xdr:rowOff>
    </xdr:to>
    <xdr:sp macro="" textlink="'Linking Cells'!B85">
      <xdr:nvSpPr>
        <xdr:cNvPr id="358" name="TextBox 357">
          <a:extLst>
            <a:ext uri="{FF2B5EF4-FFF2-40B4-BE49-F238E27FC236}">
              <a16:creationId xmlns:a16="http://schemas.microsoft.com/office/drawing/2014/main" id="{4256C0EC-CBAA-75ED-8E14-F4DBB8D68A97}"/>
            </a:ext>
          </a:extLst>
        </xdr:cNvPr>
        <xdr:cNvSpPr txBox="1"/>
      </xdr:nvSpPr>
      <xdr:spPr>
        <a:xfrm>
          <a:off x="11257571" y="31396298"/>
          <a:ext cx="3231901" cy="1977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43BC01E-3119-46E2-A050-2A69311A70E5}" type="TxLink">
            <a:rPr lang="en-US" sz="1000" b="0" i="0" u="none" strike="noStrike">
              <a:solidFill>
                <a:srgbClr val="2A2A2A"/>
              </a:solidFill>
              <a:latin typeface="Overpass" panose="00000500000000000000" pitchFamily="2" charset="0"/>
              <a:ea typeface="Calibri"/>
              <a:cs typeface="Calibri"/>
            </a:rPr>
            <a:pPr marL="0" indent="0" algn="l"/>
            <a:t>Not Required</a:t>
          </a:fld>
          <a:endParaRPr lang="en-AU" sz="1000" b="0" i="0" u="none" strike="noStrike">
            <a:solidFill>
              <a:srgbClr val="2A2A2A"/>
            </a:solidFill>
            <a:latin typeface="Overpass" panose="00000500000000000000" pitchFamily="2" charset="0"/>
            <a:ea typeface="Calibri"/>
            <a:cs typeface="Calibri"/>
          </a:endParaRPr>
        </a:p>
      </xdr:txBody>
    </xdr:sp>
    <xdr:clientData/>
  </xdr:twoCellAnchor>
  <xdr:twoCellAnchor>
    <xdr:from>
      <xdr:col>47</xdr:col>
      <xdr:colOff>5721</xdr:colOff>
      <xdr:row>164</xdr:row>
      <xdr:rowOff>38100</xdr:rowOff>
    </xdr:from>
    <xdr:to>
      <xdr:col>59</xdr:col>
      <xdr:colOff>114301</xdr:colOff>
      <xdr:row>166</xdr:row>
      <xdr:rowOff>161925</xdr:rowOff>
    </xdr:to>
    <xdr:sp macro="" textlink="">
      <xdr:nvSpPr>
        <xdr:cNvPr id="359" name="TextBox 358">
          <a:extLst>
            <a:ext uri="{FF2B5EF4-FFF2-40B4-BE49-F238E27FC236}">
              <a16:creationId xmlns:a16="http://schemas.microsoft.com/office/drawing/2014/main" id="{4C6C457C-B79B-C5CF-57F4-2A9D9EF8CB61}"/>
            </a:ext>
          </a:extLst>
        </xdr:cNvPr>
        <xdr:cNvSpPr txBox="1"/>
      </xdr:nvSpPr>
      <xdr:spPr>
        <a:xfrm>
          <a:off x="8959221" y="31280100"/>
          <a:ext cx="239458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1" i="0" u="none" strike="noStrike">
              <a:solidFill>
                <a:srgbClr val="2A2A2A"/>
              </a:solidFill>
              <a:latin typeface="Overpass" panose="00000500000000000000" pitchFamily="2" charset="0"/>
              <a:ea typeface="+mn-ea"/>
              <a:cs typeface="Calibri"/>
            </a:rPr>
            <a:t>POWERSYNC MARKET CONTRACT ESTABLISHMENT</a:t>
          </a:r>
          <a:endParaRPr lang="en-AU" sz="1000" b="1" i="0" u="none" strike="noStrike">
            <a:solidFill>
              <a:srgbClr val="2A2A2A"/>
            </a:solidFill>
            <a:latin typeface="Overpass" panose="00000500000000000000" pitchFamily="2" charset="0"/>
            <a:ea typeface="+mn-ea"/>
            <a:cs typeface="Calibri"/>
          </a:endParaRPr>
        </a:p>
        <a:p>
          <a:pPr marL="0" indent="0" algn="l"/>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7</xdr:col>
      <xdr:colOff>91370</xdr:colOff>
      <xdr:row>163</xdr:row>
      <xdr:rowOff>125728</xdr:rowOff>
    </xdr:from>
    <xdr:to>
      <xdr:col>27</xdr:col>
      <xdr:colOff>38100</xdr:colOff>
      <xdr:row>165</xdr:row>
      <xdr:rowOff>125729</xdr:rowOff>
    </xdr:to>
    <xdr:sp macro="" textlink="">
      <xdr:nvSpPr>
        <xdr:cNvPr id="334" name="TextBox 333">
          <a:extLst>
            <a:ext uri="{FF2B5EF4-FFF2-40B4-BE49-F238E27FC236}">
              <a16:creationId xmlns:a16="http://schemas.microsoft.com/office/drawing/2014/main" id="{C45642D0-0390-A3E7-B714-55CF471148D5}"/>
            </a:ext>
          </a:extLst>
        </xdr:cNvPr>
        <xdr:cNvSpPr txBox="1"/>
      </xdr:nvSpPr>
      <xdr:spPr>
        <a:xfrm>
          <a:off x="1424870" y="31177228"/>
          <a:ext cx="3756730"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Balance of System - BESS</a:t>
          </a:r>
        </a:p>
      </xdr:txBody>
    </xdr:sp>
    <xdr:clientData/>
  </xdr:twoCellAnchor>
  <xdr:twoCellAnchor>
    <xdr:from>
      <xdr:col>6</xdr:col>
      <xdr:colOff>87312</xdr:colOff>
      <xdr:row>163</xdr:row>
      <xdr:rowOff>144778</xdr:rowOff>
    </xdr:from>
    <xdr:to>
      <xdr:col>6</xdr:col>
      <xdr:colOff>87312</xdr:colOff>
      <xdr:row>165</xdr:row>
      <xdr:rowOff>144779</xdr:rowOff>
    </xdr:to>
    <xdr:cxnSp macro="">
      <xdr:nvCxnSpPr>
        <xdr:cNvPr id="335" name="Straight Connector 334">
          <a:extLst>
            <a:ext uri="{FF2B5EF4-FFF2-40B4-BE49-F238E27FC236}">
              <a16:creationId xmlns:a16="http://schemas.microsoft.com/office/drawing/2014/main" id="{A9E1507C-41A9-AC77-2A08-A5B8995514ED}"/>
            </a:ext>
          </a:extLst>
        </xdr:cNvPr>
        <xdr:cNvCxnSpPr/>
      </xdr:nvCxnSpPr>
      <xdr:spPr>
        <a:xfrm>
          <a:off x="1230312" y="31196278"/>
          <a:ext cx="0" cy="381001"/>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171450</xdr:colOff>
      <xdr:row>166</xdr:row>
      <xdr:rowOff>114302</xdr:rowOff>
    </xdr:from>
    <xdr:to>
      <xdr:col>18</xdr:col>
      <xdr:colOff>172657</xdr:colOff>
      <xdr:row>167</xdr:row>
      <xdr:rowOff>114301</xdr:rowOff>
    </xdr:to>
    <xdr:sp macro="" textlink="">
      <xdr:nvSpPr>
        <xdr:cNvPr id="336" name="TextBox 335">
          <a:extLst>
            <a:ext uri="{FF2B5EF4-FFF2-40B4-BE49-F238E27FC236}">
              <a16:creationId xmlns:a16="http://schemas.microsoft.com/office/drawing/2014/main" id="{95FBFA88-CAE2-1344-7E91-DD69432D5E44}"/>
            </a:ext>
          </a:extLst>
        </xdr:cNvPr>
        <xdr:cNvSpPr txBox="1"/>
      </xdr:nvSpPr>
      <xdr:spPr>
        <a:xfrm>
          <a:off x="1123950" y="31737302"/>
          <a:ext cx="2477707"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CABLE</a:t>
          </a:r>
        </a:p>
      </xdr:txBody>
    </xdr:sp>
    <xdr:clientData/>
  </xdr:twoCellAnchor>
  <xdr:twoCellAnchor>
    <xdr:from>
      <xdr:col>18</xdr:col>
      <xdr:colOff>171309</xdr:colOff>
      <xdr:row>166</xdr:row>
      <xdr:rowOff>104775</xdr:rowOff>
    </xdr:from>
    <xdr:to>
      <xdr:col>35</xdr:col>
      <xdr:colOff>169974</xdr:colOff>
      <xdr:row>167</xdr:row>
      <xdr:rowOff>95425</xdr:rowOff>
    </xdr:to>
    <xdr:sp macro="" textlink="'Linking Cells'!C132">
      <xdr:nvSpPr>
        <xdr:cNvPr id="360" name="TextBox 359">
          <a:extLst>
            <a:ext uri="{FF2B5EF4-FFF2-40B4-BE49-F238E27FC236}">
              <a16:creationId xmlns:a16="http://schemas.microsoft.com/office/drawing/2014/main" id="{E0CA756E-8C14-BF00-B5F2-8100B4335331}"/>
            </a:ext>
          </a:extLst>
        </xdr:cNvPr>
        <xdr:cNvSpPr txBox="1"/>
      </xdr:nvSpPr>
      <xdr:spPr>
        <a:xfrm>
          <a:off x="3600309" y="31727775"/>
          <a:ext cx="3237165" cy="1811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50D4686-8897-400E-8644-879E9CD6003A}" type="TxLink">
            <a:rPr lang="en-US" sz="1000" b="0" i="0" u="none" strike="noStrike">
              <a:solidFill>
                <a:srgbClr val="2A2A2A"/>
              </a:solidFill>
              <a:latin typeface="Overpass" pitchFamily="2" charset="77"/>
              <a:ea typeface="+mn-ea"/>
              <a:cs typeface="Calibri"/>
            </a:rPr>
            <a:pPr marL="0" indent="0" algn="l"/>
            <a:t>15m Allowed - 4 x 25mm²</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5</xdr:col>
      <xdr:colOff>185197</xdr:colOff>
      <xdr:row>170</xdr:row>
      <xdr:rowOff>167918</xdr:rowOff>
    </xdr:from>
    <xdr:to>
      <xdr:col>18</xdr:col>
      <xdr:colOff>185304</xdr:colOff>
      <xdr:row>171</xdr:row>
      <xdr:rowOff>166441</xdr:rowOff>
    </xdr:to>
    <xdr:sp macro="" textlink="">
      <xdr:nvSpPr>
        <xdr:cNvPr id="365" name="TextBox 364">
          <a:extLst>
            <a:ext uri="{FF2B5EF4-FFF2-40B4-BE49-F238E27FC236}">
              <a16:creationId xmlns:a16="http://schemas.microsoft.com/office/drawing/2014/main" id="{C4657942-CCC0-B932-9675-6F21E23EDC26}"/>
            </a:ext>
          </a:extLst>
        </xdr:cNvPr>
        <xdr:cNvSpPr txBox="1"/>
      </xdr:nvSpPr>
      <xdr:spPr>
        <a:xfrm>
          <a:off x="1137697" y="32552918"/>
          <a:ext cx="2476607" cy="18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SLAB</a:t>
          </a:r>
        </a:p>
      </xdr:txBody>
    </xdr:sp>
    <xdr:clientData/>
  </xdr:twoCellAnchor>
  <xdr:twoCellAnchor>
    <xdr:from>
      <xdr:col>18</xdr:col>
      <xdr:colOff>175363</xdr:colOff>
      <xdr:row>170</xdr:row>
      <xdr:rowOff>158098</xdr:rowOff>
    </xdr:from>
    <xdr:to>
      <xdr:col>35</xdr:col>
      <xdr:colOff>169974</xdr:colOff>
      <xdr:row>171</xdr:row>
      <xdr:rowOff>156746</xdr:rowOff>
    </xdr:to>
    <xdr:sp macro="" textlink="'Linking Cells'!B104">
      <xdr:nvSpPr>
        <xdr:cNvPr id="366" name="TextBox 365">
          <a:extLst>
            <a:ext uri="{FF2B5EF4-FFF2-40B4-BE49-F238E27FC236}">
              <a16:creationId xmlns:a16="http://schemas.microsoft.com/office/drawing/2014/main" id="{5AB420C0-0364-E67C-43DB-C1ABD25D84C0}"/>
            </a:ext>
          </a:extLst>
        </xdr:cNvPr>
        <xdr:cNvSpPr txBox="1"/>
      </xdr:nvSpPr>
      <xdr:spPr>
        <a:xfrm>
          <a:off x="3604363" y="32543098"/>
          <a:ext cx="3233111" cy="1891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2F50D1F-C124-4242-915B-90968B007458}" type="TxLink">
            <a:rPr lang="en-US" sz="1000" b="0" i="0" u="none" strike="noStrike">
              <a:solidFill>
                <a:srgbClr val="2A2A2A"/>
              </a:solidFill>
              <a:latin typeface="Overpass" pitchFamily="2" charset="77"/>
              <a:ea typeface="+mn-ea"/>
              <a:cs typeface="Calibri"/>
            </a:rPr>
            <a:pPr marL="0" indent="0" algn="l"/>
            <a:t>Not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47</xdr:col>
      <xdr:colOff>0</xdr:colOff>
      <xdr:row>139</xdr:row>
      <xdr:rowOff>11355</xdr:rowOff>
    </xdr:from>
    <xdr:to>
      <xdr:col>60</xdr:col>
      <xdr:colOff>5960</xdr:colOff>
      <xdr:row>140</xdr:row>
      <xdr:rowOff>5895</xdr:rowOff>
    </xdr:to>
    <xdr:sp macro="" textlink="">
      <xdr:nvSpPr>
        <xdr:cNvPr id="323" name="TextBox 322">
          <a:extLst>
            <a:ext uri="{FF2B5EF4-FFF2-40B4-BE49-F238E27FC236}">
              <a16:creationId xmlns:a16="http://schemas.microsoft.com/office/drawing/2014/main" id="{3C66BBEE-BEB4-ADFF-FDBA-EFAFF68A6B8C}"/>
            </a:ext>
          </a:extLst>
        </xdr:cNvPr>
        <xdr:cNvSpPr txBox="1"/>
      </xdr:nvSpPr>
      <xdr:spPr>
        <a:xfrm>
          <a:off x="8953500" y="26490855"/>
          <a:ext cx="2482460" cy="18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FIRE</a:t>
          </a:r>
          <a:r>
            <a:rPr lang="en-US" sz="1000" b="1" i="0" u="none" strike="noStrike" baseline="0">
              <a:solidFill>
                <a:srgbClr val="2A2A2A"/>
              </a:solidFill>
              <a:latin typeface="Overpass" panose="00000500000000000000" pitchFamily="2" charset="0"/>
              <a:ea typeface="+mn-ea"/>
              <a:cs typeface="Calibri"/>
            </a:rPr>
            <a:t> BMS INTEGRATION</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60</xdr:col>
      <xdr:colOff>209</xdr:colOff>
      <xdr:row>138</xdr:row>
      <xdr:rowOff>172444</xdr:rowOff>
    </xdr:from>
    <xdr:to>
      <xdr:col>71</xdr:col>
      <xdr:colOff>189404</xdr:colOff>
      <xdr:row>139</xdr:row>
      <xdr:rowOff>161555</xdr:rowOff>
    </xdr:to>
    <xdr:sp macro="" textlink="">
      <xdr:nvSpPr>
        <xdr:cNvPr id="356" name="TextBox 355">
          <a:extLst>
            <a:ext uri="{FF2B5EF4-FFF2-40B4-BE49-F238E27FC236}">
              <a16:creationId xmlns:a16="http://schemas.microsoft.com/office/drawing/2014/main" id="{B798C0D4-B6F7-4B5D-44D1-3E4D3817F0CA}"/>
            </a:ext>
          </a:extLst>
        </xdr:cNvPr>
        <xdr:cNvSpPr txBox="1"/>
      </xdr:nvSpPr>
      <xdr:spPr>
        <a:xfrm>
          <a:off x="11430209" y="26461444"/>
          <a:ext cx="2284695" cy="1796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Not Included</a:t>
          </a:r>
        </a:p>
      </xdr:txBody>
    </xdr:sp>
    <xdr:clientData/>
  </xdr:twoCellAnchor>
  <xdr:twoCellAnchor editAs="oneCell">
    <xdr:from>
      <xdr:col>47</xdr:col>
      <xdr:colOff>2722</xdr:colOff>
      <xdr:row>6</xdr:row>
      <xdr:rowOff>10885</xdr:rowOff>
    </xdr:from>
    <xdr:to>
      <xdr:col>55</xdr:col>
      <xdr:colOff>171507</xdr:colOff>
      <xdr:row>8</xdr:row>
      <xdr:rowOff>169512</xdr:rowOff>
    </xdr:to>
    <xdr:pic>
      <xdr:nvPicPr>
        <xdr:cNvPr id="357" name="Picture 356" descr="Smart Logo_RBG-Grey">
          <a:extLst>
            <a:ext uri="{FF2B5EF4-FFF2-40B4-BE49-F238E27FC236}">
              <a16:creationId xmlns:a16="http://schemas.microsoft.com/office/drawing/2014/main" id="{F9AC8964-6DE1-403B-8B5E-0638D12DDE89}"/>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956222" y="1153885"/>
          <a:ext cx="1688975" cy="543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47</xdr:col>
      <xdr:colOff>0</xdr:colOff>
      <xdr:row>244</xdr:row>
      <xdr:rowOff>0</xdr:rowOff>
    </xdr:from>
    <xdr:to>
      <xdr:col>80</xdr:col>
      <xdr:colOff>762</xdr:colOff>
      <xdr:row>296</xdr:row>
      <xdr:rowOff>69351</xdr:rowOff>
    </xdr:to>
    <xdr:grpSp>
      <xdr:nvGrpSpPr>
        <xdr:cNvPr id="324" name="Group 323">
          <a:extLst>
            <a:ext uri="{FF2B5EF4-FFF2-40B4-BE49-F238E27FC236}">
              <a16:creationId xmlns:a16="http://schemas.microsoft.com/office/drawing/2014/main" id="{20EB7AF5-0B2D-CD46-A618-FAB3778DC112}"/>
            </a:ext>
          </a:extLst>
        </xdr:cNvPr>
        <xdr:cNvGrpSpPr/>
      </xdr:nvGrpSpPr>
      <xdr:grpSpPr>
        <a:xfrm>
          <a:off x="8953500" y="46482000"/>
          <a:ext cx="6287262" cy="9973446"/>
          <a:chOff x="8718764" y="45263371"/>
          <a:chExt cx="6309795" cy="10010857"/>
        </a:xfrm>
      </xdr:grpSpPr>
      <xdr:sp macro="" textlink="">
        <xdr:nvSpPr>
          <xdr:cNvPr id="325" name="TextBox 15">
            <a:extLst>
              <a:ext uri="{FF2B5EF4-FFF2-40B4-BE49-F238E27FC236}">
                <a16:creationId xmlns:a16="http://schemas.microsoft.com/office/drawing/2014/main" id="{15528881-6D25-51FD-BD40-565932AFE144}"/>
              </a:ext>
            </a:extLst>
          </xdr:cNvPr>
          <xdr:cNvSpPr txBox="1"/>
        </xdr:nvSpPr>
        <xdr:spPr>
          <a:xfrm>
            <a:off x="8722128" y="45823253"/>
            <a:ext cx="4622136" cy="367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VEU</a:t>
            </a:r>
            <a:r>
              <a:rPr lang="en-GB" sz="2400" baseline="0">
                <a:solidFill>
                  <a:srgbClr val="28066C"/>
                </a:solidFill>
                <a:latin typeface="Barlow" pitchFamily="2" charset="77"/>
              </a:rPr>
              <a:t> CONTRACT REQUIREMENTS</a:t>
            </a:r>
            <a:endParaRPr lang="en-GB" sz="2400">
              <a:solidFill>
                <a:srgbClr val="28066C"/>
              </a:solidFill>
              <a:latin typeface="Barlow" pitchFamily="2" charset="77"/>
            </a:endParaRPr>
          </a:p>
        </xdr:txBody>
      </xdr:sp>
      <xdr:pic>
        <xdr:nvPicPr>
          <xdr:cNvPr id="326" name="Picture 325">
            <a:extLst>
              <a:ext uri="{FF2B5EF4-FFF2-40B4-BE49-F238E27FC236}">
                <a16:creationId xmlns:a16="http://schemas.microsoft.com/office/drawing/2014/main" id="{989CE926-291F-A538-A714-EF9C7AC0385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640120" y="45263371"/>
            <a:ext cx="388439" cy="372710"/>
          </a:xfrm>
          <a:prstGeom prst="rect">
            <a:avLst/>
          </a:prstGeom>
        </xdr:spPr>
      </xdr:pic>
      <xdr:grpSp>
        <xdr:nvGrpSpPr>
          <xdr:cNvPr id="327" name="Group 326">
            <a:extLst>
              <a:ext uri="{FF2B5EF4-FFF2-40B4-BE49-F238E27FC236}">
                <a16:creationId xmlns:a16="http://schemas.microsoft.com/office/drawing/2014/main" id="{97753018-914F-46D6-787F-1CE4882694F0}"/>
              </a:ext>
            </a:extLst>
          </xdr:cNvPr>
          <xdr:cNvGrpSpPr/>
        </xdr:nvGrpSpPr>
        <xdr:grpSpPr>
          <a:xfrm>
            <a:off x="8815595" y="47303933"/>
            <a:ext cx="4398113" cy="371011"/>
            <a:chOff x="1257289" y="37002203"/>
            <a:chExt cx="4599264" cy="387458"/>
          </a:xfrm>
        </xdr:grpSpPr>
        <xdr:sp macro="" textlink="">
          <xdr:nvSpPr>
            <xdr:cNvPr id="401" name="TextBox 400">
              <a:extLst>
                <a:ext uri="{FF2B5EF4-FFF2-40B4-BE49-F238E27FC236}">
                  <a16:creationId xmlns:a16="http://schemas.microsoft.com/office/drawing/2014/main" id="{CC7B489A-FAAD-2A9D-BC0F-A61DC6ADB4D8}"/>
                </a:ext>
              </a:extLst>
            </xdr:cNvPr>
            <xdr:cNvSpPr txBox="1"/>
          </xdr:nvSpPr>
          <xdr:spPr>
            <a:xfrm>
              <a:off x="1455076" y="37002203"/>
              <a:ext cx="440147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Mandatory</a:t>
              </a:r>
              <a:r>
                <a:rPr lang="en-GB" sz="2000" b="0" i="0" baseline="0">
                  <a:solidFill>
                    <a:srgbClr val="28066C"/>
                  </a:solidFill>
                  <a:latin typeface="Barlow" pitchFamily="2" charset="77"/>
                </a:rPr>
                <a:t> Documentation</a:t>
              </a:r>
              <a:endParaRPr lang="en-GB" sz="2000" b="0" i="0">
                <a:solidFill>
                  <a:srgbClr val="28066C"/>
                </a:solidFill>
                <a:latin typeface="Barlow" pitchFamily="2" charset="77"/>
              </a:endParaRPr>
            </a:p>
          </xdr:txBody>
        </xdr:sp>
        <xdr:cxnSp macro="">
          <xdr:nvCxnSpPr>
            <xdr:cNvPr id="402" name="Straight Connector 401">
              <a:extLst>
                <a:ext uri="{FF2B5EF4-FFF2-40B4-BE49-F238E27FC236}">
                  <a16:creationId xmlns:a16="http://schemas.microsoft.com/office/drawing/2014/main" id="{C330D5E1-D9A6-EE25-9013-FBE2AC3DF560}"/>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8" name="TextBox 327">
            <a:extLst>
              <a:ext uri="{FF2B5EF4-FFF2-40B4-BE49-F238E27FC236}">
                <a16:creationId xmlns:a16="http://schemas.microsoft.com/office/drawing/2014/main" id="{CDCB50EC-EB63-4573-95ED-3FB6A7923315}"/>
              </a:ext>
            </a:extLst>
          </xdr:cNvPr>
          <xdr:cNvSpPr txBox="1"/>
        </xdr:nvSpPr>
        <xdr:spPr>
          <a:xfrm>
            <a:off x="8719446" y="47865443"/>
            <a:ext cx="2417089" cy="37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CONSUMER FACTSHEET</a:t>
            </a:r>
          </a:p>
        </xdr:txBody>
      </xdr:sp>
      <xdr:sp macro="" textlink="">
        <xdr:nvSpPr>
          <xdr:cNvPr id="355" name="TextBox 354">
            <a:extLst>
              <a:ext uri="{FF2B5EF4-FFF2-40B4-BE49-F238E27FC236}">
                <a16:creationId xmlns:a16="http://schemas.microsoft.com/office/drawing/2014/main" id="{C056B2ED-38F2-D595-4794-F05BFD011C7E}"/>
              </a:ext>
            </a:extLst>
          </xdr:cNvPr>
          <xdr:cNvSpPr txBox="1"/>
        </xdr:nvSpPr>
        <xdr:spPr>
          <a:xfrm>
            <a:off x="8719446" y="48233201"/>
            <a:ext cx="2417089" cy="37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CONSUMER STATEMENT OF RIGHTS</a:t>
            </a:r>
          </a:p>
        </xdr:txBody>
      </xdr:sp>
      <xdr:sp macro="" textlink="">
        <xdr:nvSpPr>
          <xdr:cNvPr id="367" name="TextBox 366">
            <a:extLst>
              <a:ext uri="{FF2B5EF4-FFF2-40B4-BE49-F238E27FC236}">
                <a16:creationId xmlns:a16="http://schemas.microsoft.com/office/drawing/2014/main" id="{6CA853AB-55B8-47FD-B339-89A0C3A53F77}"/>
              </a:ext>
            </a:extLst>
          </xdr:cNvPr>
          <xdr:cNvSpPr txBox="1"/>
        </xdr:nvSpPr>
        <xdr:spPr>
          <a:xfrm>
            <a:off x="8719445" y="48604213"/>
            <a:ext cx="2598496" cy="362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VEU PUBLIC REGISTRY</a:t>
            </a:r>
          </a:p>
        </xdr:txBody>
      </xdr:sp>
      <xdr:cxnSp macro="">
        <xdr:nvCxnSpPr>
          <xdr:cNvPr id="368" name="Straight Connector 16">
            <a:extLst>
              <a:ext uri="{FF2B5EF4-FFF2-40B4-BE49-F238E27FC236}">
                <a16:creationId xmlns:a16="http://schemas.microsoft.com/office/drawing/2014/main" id="{FC2F76DF-EC3C-3571-9B72-1D205E7BCA37}"/>
              </a:ext>
            </a:extLst>
          </xdr:cNvPr>
          <xdr:cNvCxnSpPr/>
        </xdr:nvCxnSpPr>
        <xdr:spPr>
          <a:xfrm>
            <a:off x="8722698" y="49152541"/>
            <a:ext cx="55612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69" name="TextBox 368">
            <a:extLst>
              <a:ext uri="{FF2B5EF4-FFF2-40B4-BE49-F238E27FC236}">
                <a16:creationId xmlns:a16="http://schemas.microsoft.com/office/drawing/2014/main" id="{88BB2D7B-5F44-5AB8-DDD1-C8D8EC7F761B}"/>
              </a:ext>
            </a:extLst>
          </xdr:cNvPr>
          <xdr:cNvSpPr txBox="1"/>
        </xdr:nvSpPr>
        <xdr:spPr>
          <a:xfrm>
            <a:off x="11132566" y="47865443"/>
            <a:ext cx="3151367" cy="3710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https://bit.ly/veu-factsheet</a:t>
            </a:r>
          </a:p>
        </xdr:txBody>
      </xdr:sp>
      <xdr:sp macro="" textlink="">
        <xdr:nvSpPr>
          <xdr:cNvPr id="370" name="TextBox 369">
            <a:extLst>
              <a:ext uri="{FF2B5EF4-FFF2-40B4-BE49-F238E27FC236}">
                <a16:creationId xmlns:a16="http://schemas.microsoft.com/office/drawing/2014/main" id="{43371F6F-738C-F242-91C5-09CFD4454757}"/>
              </a:ext>
            </a:extLst>
          </xdr:cNvPr>
          <xdr:cNvSpPr txBox="1"/>
        </xdr:nvSpPr>
        <xdr:spPr>
          <a:xfrm>
            <a:off x="11132566" y="48236454"/>
            <a:ext cx="3151367" cy="37101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https://bit.ly/veu-consumer-rights</a:t>
            </a:r>
          </a:p>
        </xdr:txBody>
      </xdr:sp>
      <xdr:sp macro="" textlink="">
        <xdr:nvSpPr>
          <xdr:cNvPr id="371" name="TextBox 370">
            <a:extLst>
              <a:ext uri="{FF2B5EF4-FFF2-40B4-BE49-F238E27FC236}">
                <a16:creationId xmlns:a16="http://schemas.microsoft.com/office/drawing/2014/main" id="{4E34F0AC-9227-544A-6011-484D863AB1DC}"/>
              </a:ext>
            </a:extLst>
          </xdr:cNvPr>
          <xdr:cNvSpPr txBox="1"/>
        </xdr:nvSpPr>
        <xdr:spPr>
          <a:xfrm>
            <a:off x="11132566" y="48607465"/>
            <a:ext cx="3151367" cy="3710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sng" strike="noStrike">
                <a:solidFill>
                  <a:srgbClr val="27056C"/>
                </a:solidFill>
                <a:latin typeface="Overpass" panose="00000500000000000000" pitchFamily="2" charset="0"/>
                <a:ea typeface="+mn-ea"/>
                <a:cs typeface="Calibri"/>
              </a:rPr>
              <a:t>https://veu.esc.vic.gov.au/vpr/s/public-registry</a:t>
            </a:r>
          </a:p>
        </xdr:txBody>
      </xdr:sp>
      <xdr:grpSp>
        <xdr:nvGrpSpPr>
          <xdr:cNvPr id="372" name="Group 371">
            <a:extLst>
              <a:ext uri="{FF2B5EF4-FFF2-40B4-BE49-F238E27FC236}">
                <a16:creationId xmlns:a16="http://schemas.microsoft.com/office/drawing/2014/main" id="{ED12F4A4-B217-C6A6-7CD7-8B173E0BCAB3}"/>
              </a:ext>
            </a:extLst>
          </xdr:cNvPr>
          <xdr:cNvGrpSpPr/>
        </xdr:nvGrpSpPr>
        <xdr:grpSpPr>
          <a:xfrm>
            <a:off x="8718764" y="53048160"/>
            <a:ext cx="5565169" cy="2226068"/>
            <a:chOff x="9141712" y="53877748"/>
            <a:chExt cx="5835135" cy="2334054"/>
          </a:xfrm>
        </xdr:grpSpPr>
        <xdr:grpSp>
          <xdr:nvGrpSpPr>
            <xdr:cNvPr id="388" name="Group 387">
              <a:extLst>
                <a:ext uri="{FF2B5EF4-FFF2-40B4-BE49-F238E27FC236}">
                  <a16:creationId xmlns:a16="http://schemas.microsoft.com/office/drawing/2014/main" id="{B0959E9C-F12E-DE5F-DD91-E46F02ECD48C}"/>
                </a:ext>
              </a:extLst>
            </xdr:cNvPr>
            <xdr:cNvGrpSpPr/>
          </xdr:nvGrpSpPr>
          <xdr:grpSpPr>
            <a:xfrm>
              <a:off x="9236627" y="53877748"/>
              <a:ext cx="3406166" cy="389009"/>
              <a:chOff x="1257289" y="37002203"/>
              <a:chExt cx="3392204" cy="387458"/>
            </a:xfrm>
          </xdr:grpSpPr>
          <xdr:sp macro="" textlink="">
            <xdr:nvSpPr>
              <xdr:cNvPr id="399" name="TextBox 398">
                <a:extLst>
                  <a:ext uri="{FF2B5EF4-FFF2-40B4-BE49-F238E27FC236}">
                    <a16:creationId xmlns:a16="http://schemas.microsoft.com/office/drawing/2014/main" id="{4BD9F3BE-93F3-09C4-18E4-C5442C5A2F26}"/>
                  </a:ext>
                </a:extLst>
              </xdr:cNvPr>
              <xdr:cNvSpPr txBox="1"/>
            </xdr:nvSpPr>
            <xdr:spPr>
              <a:xfrm>
                <a:off x="1455076" y="37002203"/>
                <a:ext cx="319441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Operational Details</a:t>
                </a:r>
              </a:p>
            </xdr:txBody>
          </xdr:sp>
          <xdr:cxnSp macro="">
            <xdr:nvCxnSpPr>
              <xdr:cNvPr id="400" name="Straight Connector 399">
                <a:extLst>
                  <a:ext uri="{FF2B5EF4-FFF2-40B4-BE49-F238E27FC236}">
                    <a16:creationId xmlns:a16="http://schemas.microsoft.com/office/drawing/2014/main" id="{00DF6E3E-1A9D-6E02-EF0A-1B4F6197AFEF}"/>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89" name="TextBox 388">
              <a:extLst>
                <a:ext uri="{FF2B5EF4-FFF2-40B4-BE49-F238E27FC236}">
                  <a16:creationId xmlns:a16="http://schemas.microsoft.com/office/drawing/2014/main" id="{D51807F1-E1AA-3FA6-13F9-490452451B4C}"/>
                </a:ext>
              </a:extLst>
            </xdr:cNvPr>
            <xdr:cNvSpPr txBox="1"/>
          </xdr:nvSpPr>
          <xdr:spPr>
            <a:xfrm>
              <a:off x="9141712" y="54461262"/>
              <a:ext cx="2535936"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7056C"/>
                  </a:solidFill>
                  <a:latin typeface="Overpass" panose="00000500000000000000" pitchFamily="2" charset="0"/>
                  <a:ea typeface="+mn-ea"/>
                  <a:cs typeface="Calibri"/>
                </a:rPr>
                <a:t>INSTALLER</a:t>
              </a:r>
              <a:r>
                <a:rPr lang="en-US" sz="1200" b="1" i="0" u="none" strike="noStrike" baseline="0">
                  <a:solidFill>
                    <a:srgbClr val="27056C"/>
                  </a:solidFill>
                  <a:latin typeface="Overpass" panose="00000500000000000000" pitchFamily="2" charset="0"/>
                  <a:ea typeface="+mn-ea"/>
                  <a:cs typeface="Calibri"/>
                </a:rPr>
                <a:t> DETAILS</a:t>
              </a:r>
              <a:endParaRPr lang="en-US" sz="1200" b="1" i="0" u="none" strike="noStrike">
                <a:solidFill>
                  <a:srgbClr val="27056C"/>
                </a:solidFill>
                <a:latin typeface="Overpass" panose="00000500000000000000" pitchFamily="2" charset="0"/>
                <a:ea typeface="+mn-ea"/>
                <a:cs typeface="Calibri"/>
              </a:endParaRPr>
            </a:p>
          </xdr:txBody>
        </xdr:sp>
        <xdr:sp macro="" textlink="">
          <xdr:nvSpPr>
            <xdr:cNvPr id="390" name="TextBox 389">
              <a:extLst>
                <a:ext uri="{FF2B5EF4-FFF2-40B4-BE49-F238E27FC236}">
                  <a16:creationId xmlns:a16="http://schemas.microsoft.com/office/drawing/2014/main" id="{CBC37FE0-92A9-0D63-FC4B-697F00CEFA6C}"/>
                </a:ext>
              </a:extLst>
            </xdr:cNvPr>
            <xdr:cNvSpPr txBox="1"/>
          </xdr:nvSpPr>
          <xdr:spPr>
            <a:xfrm>
              <a:off x="9141712" y="55433784"/>
              <a:ext cx="2535936" cy="389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7056C"/>
                  </a:solidFill>
                  <a:latin typeface="Overpass" panose="00000500000000000000" pitchFamily="2" charset="0"/>
                  <a:ea typeface="+mn-ea"/>
                  <a:cs typeface="Calibri"/>
                </a:rPr>
                <a:t>SCHEDULE</a:t>
              </a:r>
            </a:p>
          </xdr:txBody>
        </xdr:sp>
        <xdr:sp macro="" textlink="">
          <xdr:nvSpPr>
            <xdr:cNvPr id="391" name="TextBox 390">
              <a:extLst>
                <a:ext uri="{FF2B5EF4-FFF2-40B4-BE49-F238E27FC236}">
                  <a16:creationId xmlns:a16="http://schemas.microsoft.com/office/drawing/2014/main" id="{0D4616AE-F7AA-9B0C-D2A3-1BF94138DE75}"/>
                </a:ext>
              </a:extLst>
            </xdr:cNvPr>
            <xdr:cNvSpPr txBox="1"/>
          </xdr:nvSpPr>
          <xdr:spPr>
            <a:xfrm>
              <a:off x="9141712" y="54850271"/>
              <a:ext cx="2535936" cy="194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INSTALLER</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92" name="TextBox 391">
              <a:extLst>
                <a:ext uri="{FF2B5EF4-FFF2-40B4-BE49-F238E27FC236}">
                  <a16:creationId xmlns:a16="http://schemas.microsoft.com/office/drawing/2014/main" id="{83147F2F-6B2D-6860-A3CC-7A965301C7D1}"/>
                </a:ext>
              </a:extLst>
            </xdr:cNvPr>
            <xdr:cNvSpPr txBox="1"/>
          </xdr:nvSpPr>
          <xdr:spPr>
            <a:xfrm>
              <a:off x="9141712" y="55044775"/>
              <a:ext cx="2535936" cy="194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INSTALLER</a:t>
              </a:r>
              <a:r>
                <a:rPr lang="en-US" sz="1000" b="1" i="0" u="none" strike="noStrike" baseline="0">
                  <a:solidFill>
                    <a:srgbClr val="2A2A2A"/>
                  </a:solidFill>
                  <a:latin typeface="Overpass" panose="00000500000000000000" pitchFamily="2" charset="0"/>
                  <a:ea typeface="+mn-ea"/>
                  <a:cs typeface="Calibri"/>
                </a:rPr>
                <a:t> CONTACT</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93" name="TextBox 392">
              <a:extLst>
                <a:ext uri="{FF2B5EF4-FFF2-40B4-BE49-F238E27FC236}">
                  <a16:creationId xmlns:a16="http://schemas.microsoft.com/office/drawing/2014/main" id="{B7C787DE-520C-041C-2173-10845455B726}"/>
                </a:ext>
              </a:extLst>
            </xdr:cNvPr>
            <xdr:cNvSpPr txBox="1"/>
          </xdr:nvSpPr>
          <xdr:spPr>
            <a:xfrm>
              <a:off x="9141712" y="55822793"/>
              <a:ext cx="2535936" cy="194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INDICATIVE</a:t>
              </a:r>
              <a:r>
                <a:rPr lang="en-US" sz="1000" b="1" i="0" u="none" strike="noStrike" baseline="0">
                  <a:solidFill>
                    <a:srgbClr val="2A2A2A"/>
                  </a:solidFill>
                  <a:latin typeface="Overpass" panose="00000500000000000000" pitchFamily="2" charset="0"/>
                  <a:ea typeface="+mn-ea"/>
                  <a:cs typeface="Calibri"/>
                </a:rPr>
                <a:t> START DATE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94" name="TextBox 393">
              <a:extLst>
                <a:ext uri="{FF2B5EF4-FFF2-40B4-BE49-F238E27FC236}">
                  <a16:creationId xmlns:a16="http://schemas.microsoft.com/office/drawing/2014/main" id="{B436AADC-D347-DE3A-C193-1E5EC538CA40}"/>
                </a:ext>
              </a:extLst>
            </xdr:cNvPr>
            <xdr:cNvSpPr txBox="1"/>
          </xdr:nvSpPr>
          <xdr:spPr>
            <a:xfrm>
              <a:off x="9141712" y="56017297"/>
              <a:ext cx="2535936" cy="194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COMISSIONING DATE</a:t>
              </a:r>
            </a:p>
          </xdr:txBody>
        </xdr:sp>
        <xdr:sp macro="" textlink="">
          <xdr:nvSpPr>
            <xdr:cNvPr id="395" name="TextBox 394">
              <a:extLst>
                <a:ext uri="{FF2B5EF4-FFF2-40B4-BE49-F238E27FC236}">
                  <a16:creationId xmlns:a16="http://schemas.microsoft.com/office/drawing/2014/main" id="{8BB848CA-0187-C46D-9486-1F35B9FC5F56}"/>
                </a:ext>
              </a:extLst>
            </xdr:cNvPr>
            <xdr:cNvSpPr txBox="1"/>
          </xdr:nvSpPr>
          <xdr:spPr>
            <a:xfrm>
              <a:off x="11670270" y="54850270"/>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96" name="TextBox 395">
              <a:extLst>
                <a:ext uri="{FF2B5EF4-FFF2-40B4-BE49-F238E27FC236}">
                  <a16:creationId xmlns:a16="http://schemas.microsoft.com/office/drawing/2014/main" id="{0F2AC526-1D10-DBFD-5C37-9A9F83FD1D83}"/>
                </a:ext>
              </a:extLst>
            </xdr:cNvPr>
            <xdr:cNvSpPr txBox="1"/>
          </xdr:nvSpPr>
          <xdr:spPr>
            <a:xfrm>
              <a:off x="11670270" y="55044775"/>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97" name="TextBox 396">
              <a:extLst>
                <a:ext uri="{FF2B5EF4-FFF2-40B4-BE49-F238E27FC236}">
                  <a16:creationId xmlns:a16="http://schemas.microsoft.com/office/drawing/2014/main" id="{69A24E15-EAE7-7618-7FFE-B81E1C28BB38}"/>
                </a:ext>
              </a:extLst>
            </xdr:cNvPr>
            <xdr:cNvSpPr txBox="1"/>
          </xdr:nvSpPr>
          <xdr:spPr>
            <a:xfrm>
              <a:off x="11670270" y="55822793"/>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398" name="TextBox 397">
              <a:extLst>
                <a:ext uri="{FF2B5EF4-FFF2-40B4-BE49-F238E27FC236}">
                  <a16:creationId xmlns:a16="http://schemas.microsoft.com/office/drawing/2014/main" id="{257870DA-B68D-A6A0-A138-7700EEA5D4E1}"/>
                </a:ext>
              </a:extLst>
            </xdr:cNvPr>
            <xdr:cNvSpPr txBox="1"/>
          </xdr:nvSpPr>
          <xdr:spPr>
            <a:xfrm>
              <a:off x="11670270" y="56017297"/>
              <a:ext cx="3306577" cy="194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Insert name</a:t>
              </a:r>
              <a:r>
                <a:rPr lang="en-US" sz="1000" b="0" i="0" u="none" strike="noStrike" baseline="0">
                  <a:solidFill>
                    <a:srgbClr val="2A2A2A"/>
                  </a:solidFill>
                  <a:latin typeface="Overpass" panose="00000500000000000000" pitchFamily="2" charset="0"/>
                  <a:ea typeface="+mn-ea"/>
                  <a:cs typeface="Calibri"/>
                </a:rPr>
                <a:t> here</a:t>
              </a:r>
              <a:endParaRPr lang="en-US" sz="1000" b="0" i="0" u="none" strike="noStrike">
                <a:solidFill>
                  <a:srgbClr val="2A2A2A"/>
                </a:solidFill>
                <a:latin typeface="Overpass" panose="00000500000000000000" pitchFamily="2" charset="0"/>
                <a:ea typeface="+mn-ea"/>
                <a:cs typeface="Calibri"/>
              </a:endParaRPr>
            </a:p>
          </xdr:txBody>
        </xdr:sp>
      </xdr:grpSp>
      <xdr:sp macro="" textlink="">
        <xdr:nvSpPr>
          <xdr:cNvPr id="373" name="TextBox 372">
            <a:extLst>
              <a:ext uri="{FF2B5EF4-FFF2-40B4-BE49-F238E27FC236}">
                <a16:creationId xmlns:a16="http://schemas.microsoft.com/office/drawing/2014/main" id="{ED52B268-A828-37FD-0800-66352ED9985E}"/>
              </a:ext>
            </a:extLst>
          </xdr:cNvPr>
          <xdr:cNvSpPr txBox="1"/>
        </xdr:nvSpPr>
        <xdr:spPr>
          <a:xfrm>
            <a:off x="8722768" y="46561911"/>
            <a:ext cx="5565169" cy="55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Northmore Gordon Environmental</a:t>
            </a:r>
            <a:r>
              <a:rPr lang="en-US" sz="1000" b="1" i="0" u="none" strike="noStrike" baseline="0">
                <a:solidFill>
                  <a:srgbClr val="2A2A2A"/>
                </a:solidFill>
                <a:latin typeface="Overpass" panose="00000500000000000000" pitchFamily="2" charset="0"/>
                <a:ea typeface="+mn-ea"/>
                <a:cs typeface="Calibri"/>
              </a:rPr>
              <a:t> </a:t>
            </a:r>
            <a:r>
              <a:rPr lang="en-US" sz="1000" b="0" i="0" u="none" strike="noStrike" baseline="0">
                <a:solidFill>
                  <a:srgbClr val="2A2A2A"/>
                </a:solidFill>
                <a:latin typeface="Overpass" panose="00000500000000000000" pitchFamily="2" charset="0"/>
                <a:ea typeface="+mn-ea"/>
                <a:cs typeface="Calibri"/>
              </a:rPr>
              <a:t>has been identified as the accredited provider that will be processing the certificate incentive. See contract requirements below:</a:t>
            </a:r>
            <a:endParaRPr lang="en-US" sz="1000" b="1" i="0" u="none" strike="noStrike">
              <a:solidFill>
                <a:srgbClr val="2A2A2A"/>
              </a:solidFill>
              <a:latin typeface="Overpass" panose="00000500000000000000" pitchFamily="2" charset="0"/>
              <a:ea typeface="+mn-ea"/>
              <a:cs typeface="Calibri"/>
            </a:endParaRPr>
          </a:p>
        </xdr:txBody>
      </xdr:sp>
      <xdr:grpSp>
        <xdr:nvGrpSpPr>
          <xdr:cNvPr id="374" name="Group 373">
            <a:extLst>
              <a:ext uri="{FF2B5EF4-FFF2-40B4-BE49-F238E27FC236}">
                <a16:creationId xmlns:a16="http://schemas.microsoft.com/office/drawing/2014/main" id="{01418486-2BBD-F5B4-EE9A-27C91E013C0D}"/>
              </a:ext>
            </a:extLst>
          </xdr:cNvPr>
          <xdr:cNvGrpSpPr/>
        </xdr:nvGrpSpPr>
        <xdr:grpSpPr>
          <a:xfrm>
            <a:off x="8718765" y="49523566"/>
            <a:ext cx="5565168" cy="3153589"/>
            <a:chOff x="8953501" y="50852072"/>
            <a:chExt cx="5714999" cy="3238493"/>
          </a:xfrm>
        </xdr:grpSpPr>
        <xdr:grpSp>
          <xdr:nvGrpSpPr>
            <xdr:cNvPr id="375" name="Group 374">
              <a:extLst>
                <a:ext uri="{FF2B5EF4-FFF2-40B4-BE49-F238E27FC236}">
                  <a16:creationId xmlns:a16="http://schemas.microsoft.com/office/drawing/2014/main" id="{9783BB8B-FD9A-1DF5-2FEF-EDE8FD7BB566}"/>
                </a:ext>
              </a:extLst>
            </xdr:cNvPr>
            <xdr:cNvGrpSpPr/>
          </xdr:nvGrpSpPr>
          <xdr:grpSpPr>
            <a:xfrm>
              <a:off x="8957504" y="50852072"/>
              <a:ext cx="5710996" cy="3238493"/>
              <a:chOff x="9141711" y="51349189"/>
              <a:chExt cx="5835136" cy="3306568"/>
            </a:xfrm>
          </xdr:grpSpPr>
          <xdr:grpSp>
            <xdr:nvGrpSpPr>
              <xdr:cNvPr id="381" name="Group 380">
                <a:extLst>
                  <a:ext uri="{FF2B5EF4-FFF2-40B4-BE49-F238E27FC236}">
                    <a16:creationId xmlns:a16="http://schemas.microsoft.com/office/drawing/2014/main" id="{FAC1EADF-2DDB-AFB2-3D13-9A5390C7461A}"/>
                  </a:ext>
                </a:extLst>
              </xdr:cNvPr>
              <xdr:cNvGrpSpPr/>
            </xdr:nvGrpSpPr>
            <xdr:grpSpPr>
              <a:xfrm>
                <a:off x="9236627" y="51349189"/>
                <a:ext cx="3406166" cy="389009"/>
                <a:chOff x="1257289" y="37002203"/>
                <a:chExt cx="3392204" cy="387458"/>
              </a:xfrm>
            </xdr:grpSpPr>
            <xdr:sp macro="" textlink="">
              <xdr:nvSpPr>
                <xdr:cNvPr id="386" name="TextBox 385">
                  <a:extLst>
                    <a:ext uri="{FF2B5EF4-FFF2-40B4-BE49-F238E27FC236}">
                      <a16:creationId xmlns:a16="http://schemas.microsoft.com/office/drawing/2014/main" id="{4754C0E7-94D2-7D11-309D-E4A4073D6FD7}"/>
                    </a:ext>
                  </a:extLst>
                </xdr:cNvPr>
                <xdr:cNvSpPr txBox="1"/>
              </xdr:nvSpPr>
              <xdr:spPr>
                <a:xfrm>
                  <a:off x="1455076" y="37002203"/>
                  <a:ext cx="3194417" cy="38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Consumer Protections</a:t>
                  </a:r>
                </a:p>
              </xdr:txBody>
            </xdr:sp>
            <xdr:cxnSp macro="">
              <xdr:nvCxnSpPr>
                <xdr:cNvPr id="387" name="Straight Connector 386">
                  <a:extLst>
                    <a:ext uri="{FF2B5EF4-FFF2-40B4-BE49-F238E27FC236}">
                      <a16:creationId xmlns:a16="http://schemas.microsoft.com/office/drawing/2014/main" id="{95E4E269-B07B-19F1-578A-68708E7C7B34}"/>
                    </a:ext>
                  </a:extLst>
                </xdr:cNvPr>
                <xdr:cNvCxnSpPr/>
              </xdr:nvCxnSpPr>
              <xdr:spPr>
                <a:xfrm>
                  <a:off x="1257289" y="37002203"/>
                  <a:ext cx="0" cy="38745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82" name="TextBox 381">
                <a:extLst>
                  <a:ext uri="{FF2B5EF4-FFF2-40B4-BE49-F238E27FC236}">
                    <a16:creationId xmlns:a16="http://schemas.microsoft.com/office/drawing/2014/main" id="{9350E14C-C6E0-2478-5BFE-7D78243D0BA3}"/>
                  </a:ext>
                </a:extLst>
              </xdr:cNvPr>
              <xdr:cNvSpPr txBox="1"/>
            </xdr:nvSpPr>
            <xdr:spPr>
              <a:xfrm>
                <a:off x="9141712" y="51932703"/>
                <a:ext cx="2139549"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COOLING</a:t>
                </a:r>
                <a:r>
                  <a:rPr lang="en-US" sz="1000" b="1" i="0" u="none" strike="noStrike" baseline="0">
                    <a:solidFill>
                      <a:srgbClr val="2A2A2A"/>
                    </a:solidFill>
                    <a:latin typeface="Overpass" panose="00000500000000000000" pitchFamily="2" charset="0"/>
                    <a:ea typeface="+mn-ea"/>
                    <a:cs typeface="Calibri"/>
                  </a:rPr>
                  <a:t> OFF PERIOD</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383" name="TextBox 382">
                <a:extLst>
                  <a:ext uri="{FF2B5EF4-FFF2-40B4-BE49-F238E27FC236}">
                    <a16:creationId xmlns:a16="http://schemas.microsoft.com/office/drawing/2014/main" id="{1D05DCCD-D23C-7401-E019-6DD57C56544A}"/>
                  </a:ext>
                </a:extLst>
              </xdr:cNvPr>
              <xdr:cNvSpPr txBox="1"/>
            </xdr:nvSpPr>
            <xdr:spPr>
              <a:xfrm>
                <a:off x="9141711" y="52321712"/>
                <a:ext cx="5835136" cy="583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AGE</a:t>
                </a:r>
                <a:r>
                  <a:rPr lang="en-US" sz="1000" b="1" i="0" u="none" strike="noStrike" baseline="0">
                    <a:solidFill>
                      <a:srgbClr val="2A2A2A"/>
                    </a:solidFill>
                    <a:latin typeface="Overpass" panose="00000500000000000000" pitchFamily="2" charset="0"/>
                    <a:ea typeface="+mn-ea"/>
                    <a:cs typeface="Calibri"/>
                  </a:rPr>
                  <a:t> VERIFICATION</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signing below, the customer confirms they are 18+ and understands the contract.</a:t>
                </a:r>
              </a:p>
            </xdr:txBody>
          </xdr:sp>
          <xdr:cxnSp macro="">
            <xdr:nvCxnSpPr>
              <xdr:cNvPr id="384" name="Straight Connector 16">
                <a:extLst>
                  <a:ext uri="{FF2B5EF4-FFF2-40B4-BE49-F238E27FC236}">
                    <a16:creationId xmlns:a16="http://schemas.microsoft.com/office/drawing/2014/main" id="{5324C8B1-77FA-DF9D-3E29-81FB02C0170E}"/>
                  </a:ext>
                </a:extLst>
              </xdr:cNvPr>
              <xdr:cNvCxnSpPr/>
            </xdr:nvCxnSpPr>
            <xdr:spPr>
              <a:xfrm>
                <a:off x="9141712" y="54655757"/>
                <a:ext cx="58351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85" name="TextBox 384">
                <a:extLst>
                  <a:ext uri="{FF2B5EF4-FFF2-40B4-BE49-F238E27FC236}">
                    <a16:creationId xmlns:a16="http://schemas.microsoft.com/office/drawing/2014/main" id="{E380A12E-7346-7F5A-1418-D280E261EAEB}"/>
                  </a:ext>
                </a:extLst>
              </xdr:cNvPr>
              <xdr:cNvSpPr txBox="1"/>
            </xdr:nvSpPr>
            <xdr:spPr>
              <a:xfrm>
                <a:off x="11670270" y="51932703"/>
                <a:ext cx="3306577" cy="3890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 days</a:t>
                </a:r>
              </a:p>
            </xdr:txBody>
          </xdr:sp>
        </xdr:grpSp>
        <xdr:cxnSp macro="">
          <xdr:nvCxnSpPr>
            <xdr:cNvPr id="376" name="Straight Connector 16">
              <a:extLst>
                <a:ext uri="{FF2B5EF4-FFF2-40B4-BE49-F238E27FC236}">
                  <a16:creationId xmlns:a16="http://schemas.microsoft.com/office/drawing/2014/main" id="{BC3F576D-725C-B664-A1A8-51FE7FF8B509}"/>
                </a:ext>
              </a:extLst>
            </xdr:cNvPr>
            <xdr:cNvCxnSpPr/>
          </xdr:nvCxnSpPr>
          <xdr:spPr>
            <a:xfrm>
              <a:off x="9906000" y="53721000"/>
              <a:ext cx="230888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77" name="TextBox 376">
              <a:extLst>
                <a:ext uri="{FF2B5EF4-FFF2-40B4-BE49-F238E27FC236}">
                  <a16:creationId xmlns:a16="http://schemas.microsoft.com/office/drawing/2014/main" id="{BADAE02E-241A-103C-CAF1-F5D5541F5EF4}"/>
                </a:ext>
              </a:extLst>
            </xdr:cNvPr>
            <xdr:cNvSpPr txBox="1"/>
          </xdr:nvSpPr>
          <xdr:spPr>
            <a:xfrm>
              <a:off x="8953501" y="53530500"/>
              <a:ext cx="9525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Signature:</a:t>
              </a:r>
            </a:p>
          </xdr:txBody>
        </xdr:sp>
        <xdr:cxnSp macro="">
          <xdr:nvCxnSpPr>
            <xdr:cNvPr id="378" name="Straight Connector 16">
              <a:extLst>
                <a:ext uri="{FF2B5EF4-FFF2-40B4-BE49-F238E27FC236}">
                  <a16:creationId xmlns:a16="http://schemas.microsoft.com/office/drawing/2014/main" id="{742079C5-01E0-B3D0-73CC-771EF39C995C}"/>
                </a:ext>
              </a:extLst>
            </xdr:cNvPr>
            <xdr:cNvCxnSpPr/>
          </xdr:nvCxnSpPr>
          <xdr:spPr>
            <a:xfrm>
              <a:off x="13144500" y="53721000"/>
              <a:ext cx="1524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
          <xdr:nvSpPr>
            <xdr:cNvPr id="379" name="TextBox 378">
              <a:extLst>
                <a:ext uri="{FF2B5EF4-FFF2-40B4-BE49-F238E27FC236}">
                  <a16:creationId xmlns:a16="http://schemas.microsoft.com/office/drawing/2014/main" id="{5B9C67D4-A4C6-0EA2-1814-52DBB0F2DC67}"/>
                </a:ext>
              </a:extLst>
            </xdr:cNvPr>
            <xdr:cNvSpPr txBox="1"/>
          </xdr:nvSpPr>
          <xdr:spPr>
            <a:xfrm>
              <a:off x="8957504" y="52768500"/>
              <a:ext cx="757996" cy="186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Name:</a:t>
              </a:r>
              <a:endParaRPr lang="en-US" sz="1000" b="0" i="1" u="none" strike="noStrike">
                <a:solidFill>
                  <a:srgbClr val="2A2A2A"/>
                </a:solidFill>
                <a:latin typeface="Overpass" panose="00000500000000000000" pitchFamily="2" charset="0"/>
                <a:ea typeface="+mn-ea"/>
                <a:cs typeface="Calibri"/>
              </a:endParaRPr>
            </a:p>
          </xdr:txBody>
        </xdr:sp>
        <xdr:cxnSp macro="">
          <xdr:nvCxnSpPr>
            <xdr:cNvPr id="380" name="Straight Connector 16">
              <a:extLst>
                <a:ext uri="{FF2B5EF4-FFF2-40B4-BE49-F238E27FC236}">
                  <a16:creationId xmlns:a16="http://schemas.microsoft.com/office/drawing/2014/main" id="{4182CC7D-54EE-6158-181A-C68188FBA763}"/>
                </a:ext>
              </a:extLst>
            </xdr:cNvPr>
            <xdr:cNvCxnSpPr/>
          </xdr:nvCxnSpPr>
          <xdr:spPr>
            <a:xfrm>
              <a:off x="9906000" y="52954996"/>
              <a:ext cx="230888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83</xdr:col>
      <xdr:colOff>138616</xdr:colOff>
      <xdr:row>78</xdr:row>
      <xdr:rowOff>1221</xdr:rowOff>
    </xdr:from>
    <xdr:to>
      <xdr:col>95</xdr:col>
      <xdr:colOff>91127</xdr:colOff>
      <xdr:row>79</xdr:row>
      <xdr:rowOff>8768</xdr:rowOff>
    </xdr:to>
    <xdr:sp macro="" textlink="">
      <xdr:nvSpPr>
        <xdr:cNvPr id="109" name="TextBox 240">
          <a:extLst>
            <a:ext uri="{FF2B5EF4-FFF2-40B4-BE49-F238E27FC236}">
              <a16:creationId xmlns:a16="http://schemas.microsoft.com/office/drawing/2014/main" id="{8492EE0D-C187-4474-9FBA-AFF96F299C6A}"/>
            </a:ext>
          </a:extLst>
        </xdr:cNvPr>
        <xdr:cNvSpPr txBox="1"/>
      </xdr:nvSpPr>
      <xdr:spPr>
        <a:xfrm>
          <a:off x="15950116" y="14860221"/>
          <a:ext cx="2590203" cy="198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SERVICE</a:t>
          </a:r>
          <a:r>
            <a:rPr lang="en-US" sz="1000" b="1" i="0" u="none" strike="noStrike" baseline="0">
              <a:solidFill>
                <a:srgbClr val="27056C"/>
              </a:solidFill>
              <a:latin typeface="Overpass" panose="00000500000000000000" pitchFamily="2" charset="0"/>
              <a:ea typeface="+mn-ea"/>
              <a:cs typeface="Calibri"/>
            </a:rPr>
            <a:t> CONTRACT PERIOD</a:t>
          </a:r>
          <a:endParaRPr lang="en-US" sz="1000" b="1" i="0" u="none" strike="noStrike">
            <a:solidFill>
              <a:srgbClr val="27056C"/>
            </a:solidFill>
            <a:latin typeface="Overpass" panose="00000500000000000000" pitchFamily="2" charset="0"/>
            <a:ea typeface="+mn-ea"/>
            <a:cs typeface="Calibri"/>
          </a:endParaRPr>
        </a:p>
      </xdr:txBody>
    </xdr:sp>
    <xdr:clientData/>
  </xdr:twoCellAnchor>
  <xdr:twoCellAnchor>
    <xdr:from>
      <xdr:col>47</xdr:col>
      <xdr:colOff>1</xdr:colOff>
      <xdr:row>81</xdr:row>
      <xdr:rowOff>0</xdr:rowOff>
    </xdr:from>
    <xdr:to>
      <xdr:col>61</xdr:col>
      <xdr:colOff>0</xdr:colOff>
      <xdr:row>82</xdr:row>
      <xdr:rowOff>1</xdr:rowOff>
    </xdr:to>
    <xdr:sp macro="" textlink="'Linking Cells'!A88">
      <xdr:nvSpPr>
        <xdr:cNvPr id="3" name="TextBox 242">
          <a:extLst>
            <a:ext uri="{FF2B5EF4-FFF2-40B4-BE49-F238E27FC236}">
              <a16:creationId xmlns:a16="http://schemas.microsoft.com/office/drawing/2014/main" id="{D5F65C7D-6F10-45F6-AEC0-BF12EF192C92}"/>
            </a:ext>
          </a:extLst>
        </xdr:cNvPr>
        <xdr:cNvSpPr txBox="1"/>
      </xdr:nvSpPr>
      <xdr:spPr>
        <a:xfrm>
          <a:off x="8953501" y="15430500"/>
          <a:ext cx="26669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A135C86-6875-4251-89C7-2E15D1CD9A22}" type="TxLink">
            <a:rPr lang="en-US" sz="1000" b="1" i="0" u="none" strike="noStrike">
              <a:solidFill>
                <a:srgbClr val="27056C"/>
              </a:solidFill>
              <a:latin typeface="Overpass" panose="00000500000000000000" pitchFamily="2" charset="0"/>
              <a:ea typeface="+mn-ea"/>
              <a:cs typeface="Calibri"/>
            </a:rPr>
            <a:pPr marL="0" indent="0" algn="l"/>
            <a:t>FEDERAL BATTERY REBATE</a:t>
          </a:fld>
          <a:endParaRPr lang="en-US" sz="1000" b="1" i="0" u="none" strike="noStrike">
            <a:solidFill>
              <a:srgbClr val="27056C"/>
            </a:solidFill>
            <a:latin typeface="Overpass" panose="00000500000000000000" pitchFamily="2" charset="0"/>
            <a:ea typeface="+mn-ea"/>
            <a:cs typeface="Calibri"/>
          </a:endParaRPr>
        </a:p>
      </xdr:txBody>
    </xdr:sp>
    <xdr:clientData/>
  </xdr:twoCellAnchor>
  <xdr:twoCellAnchor>
    <xdr:from>
      <xdr:col>66</xdr:col>
      <xdr:colOff>905</xdr:colOff>
      <xdr:row>74</xdr:row>
      <xdr:rowOff>5119</xdr:rowOff>
    </xdr:from>
    <xdr:to>
      <xdr:col>77</xdr:col>
      <xdr:colOff>905</xdr:colOff>
      <xdr:row>75</xdr:row>
      <xdr:rowOff>5118</xdr:rowOff>
    </xdr:to>
    <xdr:sp macro="" textlink="'Linking Cells'!C66">
      <xdr:nvSpPr>
        <xdr:cNvPr id="4" name="TextBox 120">
          <a:extLst>
            <a:ext uri="{FF2B5EF4-FFF2-40B4-BE49-F238E27FC236}">
              <a16:creationId xmlns:a16="http://schemas.microsoft.com/office/drawing/2014/main" id="{AF07902B-8E3D-4A72-B796-AA054E3FFE7C}"/>
            </a:ext>
          </a:extLst>
        </xdr:cNvPr>
        <xdr:cNvSpPr txBox="1"/>
      </xdr:nvSpPr>
      <xdr:spPr>
        <a:xfrm>
          <a:off x="12573905" y="14104024"/>
          <a:ext cx="2095500"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0A33373-D2DC-43BF-9DA5-AC26F81D794D}" type="TxLink">
            <a:rPr lang="en-US" sz="1000" b="0" i="0" u="none" strike="noStrike">
              <a:solidFill>
                <a:srgbClr val="2A2A2A"/>
              </a:solidFill>
              <a:latin typeface="Overpass" pitchFamily="2" charset="77"/>
              <a:ea typeface="+mn-ea"/>
              <a:cs typeface="Calibri"/>
            </a:rPr>
            <a:pPr marL="0" indent="0" algn="l"/>
            <a:t>$60,806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905</xdr:colOff>
      <xdr:row>73</xdr:row>
      <xdr:rowOff>5119</xdr:rowOff>
    </xdr:from>
    <xdr:to>
      <xdr:col>76</xdr:col>
      <xdr:colOff>189994</xdr:colOff>
      <xdr:row>74</xdr:row>
      <xdr:rowOff>6341</xdr:rowOff>
    </xdr:to>
    <xdr:sp macro="" textlink="'Linking Cells'!C65">
      <xdr:nvSpPr>
        <xdr:cNvPr id="5" name="TextBox 121">
          <a:extLst>
            <a:ext uri="{FF2B5EF4-FFF2-40B4-BE49-F238E27FC236}">
              <a16:creationId xmlns:a16="http://schemas.microsoft.com/office/drawing/2014/main" id="{2DC95686-6D9E-4041-B342-B2DB761DE99B}"/>
            </a:ext>
          </a:extLst>
        </xdr:cNvPr>
        <xdr:cNvSpPr txBox="1"/>
      </xdr:nvSpPr>
      <xdr:spPr>
        <a:xfrm>
          <a:off x="12573905" y="13913524"/>
          <a:ext cx="2094089"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202D1D2-4D29-4C16-894F-2FA983EB6E62}" type="TxLink">
            <a:rPr lang="en-US" sz="1000" b="0" i="0" u="none" strike="noStrike">
              <a:solidFill>
                <a:srgbClr val="2A2A2A"/>
              </a:solidFill>
              <a:latin typeface="Overpass" pitchFamily="2" charset="77"/>
              <a:ea typeface="+mn-ea"/>
              <a:cs typeface="Calibri"/>
            </a:rPr>
            <a:pPr marL="0" indent="0" algn="l"/>
            <a:t>$5,528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905</xdr:colOff>
      <xdr:row>72</xdr:row>
      <xdr:rowOff>9101</xdr:rowOff>
    </xdr:from>
    <xdr:to>
      <xdr:col>77</xdr:col>
      <xdr:colOff>1350</xdr:colOff>
      <xdr:row>73</xdr:row>
      <xdr:rowOff>6340</xdr:rowOff>
    </xdr:to>
    <xdr:sp macro="" textlink="'Linking Cells'!C64">
      <xdr:nvSpPr>
        <xdr:cNvPr id="6" name="TextBox 122">
          <a:extLst>
            <a:ext uri="{FF2B5EF4-FFF2-40B4-BE49-F238E27FC236}">
              <a16:creationId xmlns:a16="http://schemas.microsoft.com/office/drawing/2014/main" id="{BEA9342F-E72C-456A-864A-96F6D73B9A12}"/>
            </a:ext>
          </a:extLst>
        </xdr:cNvPr>
        <xdr:cNvSpPr txBox="1"/>
      </xdr:nvSpPr>
      <xdr:spPr>
        <a:xfrm>
          <a:off x="12573905" y="13727006"/>
          <a:ext cx="2095945" cy="18773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AA4E58-04F0-40E6-B074-49D174E06DE0}" type="TxLink">
            <a:rPr lang="en-US" sz="1000" b="0" i="0" u="none" strike="noStrike">
              <a:solidFill>
                <a:srgbClr val="2A2A2A"/>
              </a:solidFill>
              <a:latin typeface="Overpass" pitchFamily="2" charset="77"/>
              <a:ea typeface="+mn-ea"/>
              <a:cs typeface="Calibri"/>
            </a:rPr>
            <a:pPr marL="0" indent="0" algn="l"/>
            <a:t>$55,278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1607</xdr:colOff>
      <xdr:row>83</xdr:row>
      <xdr:rowOff>2458</xdr:rowOff>
    </xdr:from>
    <xdr:to>
      <xdr:col>16</xdr:col>
      <xdr:colOff>142875</xdr:colOff>
      <xdr:row>85</xdr:row>
      <xdr:rowOff>2496</xdr:rowOff>
    </xdr:to>
    <xdr:sp macro="" textlink="">
      <xdr:nvSpPr>
        <xdr:cNvPr id="7" name="TextBox 196">
          <a:extLst>
            <a:ext uri="{FF2B5EF4-FFF2-40B4-BE49-F238E27FC236}">
              <a16:creationId xmlns:a16="http://schemas.microsoft.com/office/drawing/2014/main" id="{D104D6B4-6D82-4390-BD44-D7F1B1FFCE92}"/>
            </a:ext>
          </a:extLst>
        </xdr:cNvPr>
        <xdr:cNvSpPr txBox="1"/>
      </xdr:nvSpPr>
      <xdr:spPr>
        <a:xfrm>
          <a:off x="1144607" y="15813958"/>
          <a:ext cx="2046268" cy="381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BATTERY</a:t>
          </a:r>
        </a:p>
      </xdr:txBody>
    </xdr:sp>
    <xdr:clientData/>
  </xdr:twoCellAnchor>
  <xdr:twoCellAnchor>
    <xdr:from>
      <xdr:col>6</xdr:col>
      <xdr:colOff>1</xdr:colOff>
      <xdr:row>86</xdr:row>
      <xdr:rowOff>2458</xdr:rowOff>
    </xdr:from>
    <xdr:to>
      <xdr:col>16</xdr:col>
      <xdr:colOff>171450</xdr:colOff>
      <xdr:row>87</xdr:row>
      <xdr:rowOff>178655</xdr:rowOff>
    </xdr:to>
    <xdr:sp macro="" textlink="">
      <xdr:nvSpPr>
        <xdr:cNvPr id="8" name="TextBox 197">
          <a:extLst>
            <a:ext uri="{FF2B5EF4-FFF2-40B4-BE49-F238E27FC236}">
              <a16:creationId xmlns:a16="http://schemas.microsoft.com/office/drawing/2014/main" id="{8E563962-AE97-4C3E-8966-33BDF436FA3D}"/>
            </a:ext>
          </a:extLst>
        </xdr:cNvPr>
        <xdr:cNvSpPr txBox="1"/>
      </xdr:nvSpPr>
      <xdr:spPr>
        <a:xfrm>
          <a:off x="1143001" y="16385458"/>
          <a:ext cx="2076449" cy="366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28066C"/>
              </a:solidFill>
              <a:latin typeface="Overpass" panose="00000500000000000000" pitchFamily="2" charset="0"/>
              <a:ea typeface="+mn-ea"/>
              <a:cs typeface="Calibri"/>
            </a:rPr>
            <a:t>BATTERY</a:t>
          </a:r>
          <a:r>
            <a:rPr lang="en-US" sz="1200" b="1" i="0" u="none" strike="noStrike" baseline="0">
              <a:solidFill>
                <a:srgbClr val="28066C"/>
              </a:solidFill>
              <a:latin typeface="Overpass" panose="00000500000000000000" pitchFamily="2" charset="0"/>
              <a:ea typeface="+mn-ea"/>
              <a:cs typeface="Calibri"/>
            </a:rPr>
            <a:t> INVERTER</a:t>
          </a:r>
          <a:endParaRPr lang="en-US" sz="1200" b="1" i="0" u="none" strike="noStrike">
            <a:solidFill>
              <a:srgbClr val="28066C"/>
            </a:solidFill>
            <a:latin typeface="Overpass" panose="00000500000000000000" pitchFamily="2" charset="0"/>
            <a:ea typeface="+mn-ea"/>
            <a:cs typeface="Calibri"/>
          </a:endParaRPr>
        </a:p>
      </xdr:txBody>
    </xdr:sp>
    <xdr:clientData/>
  </xdr:twoCellAnchor>
  <xdr:twoCellAnchor>
    <xdr:from>
      <xdr:col>6</xdr:col>
      <xdr:colOff>1607</xdr:colOff>
      <xdr:row>89</xdr:row>
      <xdr:rowOff>0</xdr:rowOff>
    </xdr:from>
    <xdr:to>
      <xdr:col>17</xdr:col>
      <xdr:colOff>6314</xdr:colOff>
      <xdr:row>93</xdr:row>
      <xdr:rowOff>0</xdr:rowOff>
    </xdr:to>
    <xdr:sp macro="" textlink="">
      <xdr:nvSpPr>
        <xdr:cNvPr id="9" name="TextBox 198">
          <a:extLst>
            <a:ext uri="{FF2B5EF4-FFF2-40B4-BE49-F238E27FC236}">
              <a16:creationId xmlns:a16="http://schemas.microsoft.com/office/drawing/2014/main" id="{FE78DE99-E502-42A7-AA71-57ACD5103E61}"/>
            </a:ext>
          </a:extLst>
        </xdr:cNvPr>
        <xdr:cNvSpPr txBox="1"/>
      </xdr:nvSpPr>
      <xdr:spPr>
        <a:xfrm>
          <a:off x="1144607" y="16954500"/>
          <a:ext cx="2102112"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1" i="0" u="none" strike="noStrike">
              <a:solidFill>
                <a:srgbClr val="28066C"/>
              </a:solidFill>
              <a:latin typeface="Overpass" panose="00000500000000000000" pitchFamily="2" charset="0"/>
              <a:ea typeface="+mn-ea"/>
              <a:cs typeface="Calibri"/>
            </a:rPr>
            <a:t>YEARS OF SERVICE</a:t>
          </a:r>
        </a:p>
        <a:p>
          <a:pPr marL="0" indent="0" algn="l"/>
          <a:r>
            <a:rPr lang="en-US" sz="1200" b="1" i="0" u="none" strike="noStrike">
              <a:solidFill>
                <a:srgbClr val="28066C"/>
              </a:solidFill>
              <a:latin typeface="Overpass" panose="00000500000000000000" pitchFamily="2" charset="0"/>
              <a:ea typeface="+mn-ea"/>
              <a:cs typeface="Calibri"/>
            </a:rPr>
            <a:t>PACKAGE INCLUDED</a:t>
          </a:r>
        </a:p>
      </xdr:txBody>
    </xdr:sp>
    <xdr:clientData/>
  </xdr:twoCellAnchor>
  <xdr:twoCellAnchor>
    <xdr:from>
      <xdr:col>17</xdr:col>
      <xdr:colOff>5244</xdr:colOff>
      <xdr:row>83</xdr:row>
      <xdr:rowOff>0</xdr:rowOff>
    </xdr:from>
    <xdr:to>
      <xdr:col>36</xdr:col>
      <xdr:colOff>3947</xdr:colOff>
      <xdr:row>85</xdr:row>
      <xdr:rowOff>2510</xdr:rowOff>
    </xdr:to>
    <xdr:sp macro="" textlink="'Linking Cells'!C59">
      <xdr:nvSpPr>
        <xdr:cNvPr id="10" name="TextBox 200">
          <a:extLst>
            <a:ext uri="{FF2B5EF4-FFF2-40B4-BE49-F238E27FC236}">
              <a16:creationId xmlns:a16="http://schemas.microsoft.com/office/drawing/2014/main" id="{D9107A00-6B8C-47CF-B373-5CA0C4D2948A}"/>
            </a:ext>
          </a:extLst>
        </xdr:cNvPr>
        <xdr:cNvSpPr txBox="1"/>
      </xdr:nvSpPr>
      <xdr:spPr>
        <a:xfrm>
          <a:off x="3245649" y="15811500"/>
          <a:ext cx="3618203" cy="38351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6F0EAB-6A44-4425-86D9-F05016B7BA07}" type="TxLink">
            <a:rPr lang="en-US" sz="1200" b="0" i="0" u="none" strike="noStrike">
              <a:solidFill>
                <a:srgbClr val="000000"/>
              </a:solidFill>
              <a:latin typeface="Calibri"/>
              <a:ea typeface="Calibri"/>
              <a:cs typeface="Calibri"/>
            </a:rPr>
            <a:pPr marL="0" indent="0" algn="l"/>
            <a:t>107 kWh - BC107DE2 x 1</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xdr:from>
      <xdr:col>17</xdr:col>
      <xdr:colOff>5244</xdr:colOff>
      <xdr:row>86</xdr:row>
      <xdr:rowOff>0</xdr:rowOff>
    </xdr:from>
    <xdr:to>
      <xdr:col>36</xdr:col>
      <xdr:colOff>3947</xdr:colOff>
      <xdr:row>87</xdr:row>
      <xdr:rowOff>182465</xdr:rowOff>
    </xdr:to>
    <xdr:sp macro="" textlink="'Linking Cells'!C60">
      <xdr:nvSpPr>
        <xdr:cNvPr id="11" name="TextBox 201">
          <a:extLst>
            <a:ext uri="{FF2B5EF4-FFF2-40B4-BE49-F238E27FC236}">
              <a16:creationId xmlns:a16="http://schemas.microsoft.com/office/drawing/2014/main" id="{ECAF41F1-C8EE-4D34-9D44-404156EB8364}"/>
            </a:ext>
          </a:extLst>
        </xdr:cNvPr>
        <xdr:cNvSpPr txBox="1"/>
      </xdr:nvSpPr>
      <xdr:spPr>
        <a:xfrm>
          <a:off x="3245649" y="16383000"/>
          <a:ext cx="3618203" cy="3710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BDC9C1-8CED-4D38-A9B9-762F6A4DA1A5}" type="TxLink">
            <a:rPr lang="en-US" sz="1200" b="0" i="0" u="none" strike="noStrike">
              <a:solidFill>
                <a:srgbClr val="000000"/>
              </a:solidFill>
              <a:latin typeface="Calibri"/>
              <a:ea typeface="Calibri"/>
              <a:cs typeface="Calibri"/>
            </a:rPr>
            <a:pPr marL="0" indent="0" algn="l"/>
            <a:t>50 kVA - KAC50DP2  x 1</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xdr:from>
      <xdr:col>17</xdr:col>
      <xdr:colOff>4056</xdr:colOff>
      <xdr:row>89</xdr:row>
      <xdr:rowOff>0</xdr:rowOff>
    </xdr:from>
    <xdr:to>
      <xdr:col>35</xdr:col>
      <xdr:colOff>192975</xdr:colOff>
      <xdr:row>91</xdr:row>
      <xdr:rowOff>0</xdr:rowOff>
    </xdr:to>
    <xdr:sp macro="" textlink="'Linking Cells'!B70">
      <xdr:nvSpPr>
        <xdr:cNvPr id="12" name="TextBox 202">
          <a:extLst>
            <a:ext uri="{FF2B5EF4-FFF2-40B4-BE49-F238E27FC236}">
              <a16:creationId xmlns:a16="http://schemas.microsoft.com/office/drawing/2014/main" id="{DFCFD3D4-3C48-4F60-B5B0-D8B0FC491F15}"/>
            </a:ext>
          </a:extLst>
        </xdr:cNvPr>
        <xdr:cNvSpPr txBox="1"/>
      </xdr:nvSpPr>
      <xdr:spPr>
        <a:xfrm>
          <a:off x="3244461" y="16954500"/>
          <a:ext cx="3616014" cy="381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90AE92-DC00-4215-91ED-C771DD5530BC}" type="TxLink">
            <a:rPr lang="en-US" sz="1200" b="0" i="0" u="none" strike="noStrike">
              <a:solidFill>
                <a:srgbClr val="000000"/>
              </a:solidFill>
              <a:latin typeface="Overpass" panose="00000500000000000000" pitchFamily="2" charset="0"/>
              <a:ea typeface="+mn-ea"/>
              <a:cs typeface="Calibri"/>
            </a:rPr>
            <a:pPr marL="0" indent="0" algn="l"/>
            <a:t>1 Years</a:t>
          </a:fld>
          <a:endParaRPr lang="en-AU" sz="1200" b="0" i="0" u="none" strike="noStrike">
            <a:solidFill>
              <a:srgbClr val="000000"/>
            </a:solidFill>
            <a:latin typeface="Overpass" panose="00000500000000000000" pitchFamily="2" charset="0"/>
            <a:ea typeface="+mn-ea"/>
            <a:cs typeface="Calibri"/>
          </a:endParaRPr>
        </a:p>
      </xdr:txBody>
    </xdr:sp>
    <xdr:clientData/>
  </xdr:twoCellAnchor>
  <xdr:twoCellAnchor editAs="oneCell">
    <xdr:from>
      <xdr:col>87</xdr:col>
      <xdr:colOff>355202</xdr:colOff>
      <xdr:row>680</xdr:row>
      <xdr:rowOff>134833</xdr:rowOff>
    </xdr:from>
    <xdr:to>
      <xdr:col>88</xdr:col>
      <xdr:colOff>16782</xdr:colOff>
      <xdr:row>692</xdr:row>
      <xdr:rowOff>132564</xdr:rowOff>
    </xdr:to>
    <xdr:pic>
      <xdr:nvPicPr>
        <xdr:cNvPr id="13" name="Picture 12">
          <a:extLst>
            <a:ext uri="{FF2B5EF4-FFF2-40B4-BE49-F238E27FC236}">
              <a16:creationId xmlns:a16="http://schemas.microsoft.com/office/drawing/2014/main" id="{40B808FA-5C4C-4E57-9E30-DDE42A52E3D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113487" y="129671023"/>
          <a:ext cx="14005" cy="2287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73</xdr:col>
      <xdr:colOff>113270</xdr:colOff>
      <xdr:row>380</xdr:row>
      <xdr:rowOff>5149</xdr:rowOff>
    </xdr:from>
    <xdr:to>
      <xdr:col>75</xdr:col>
      <xdr:colOff>123243</xdr:colOff>
      <xdr:row>381</xdr:row>
      <xdr:rowOff>5150</xdr:rowOff>
    </xdr:to>
    <xdr:sp macro="" textlink="">
      <xdr:nvSpPr>
        <xdr:cNvPr id="14" name="Rectangle 13">
          <a:extLst>
            <a:ext uri="{FF2B5EF4-FFF2-40B4-BE49-F238E27FC236}">
              <a16:creationId xmlns:a16="http://schemas.microsoft.com/office/drawing/2014/main" id="{18F61BD0-762B-493E-A455-C2110E0ADCE5}"/>
            </a:ext>
          </a:extLst>
        </xdr:cNvPr>
        <xdr:cNvSpPr/>
      </xdr:nvSpPr>
      <xdr:spPr>
        <a:xfrm>
          <a:off x="14019770" y="72397054"/>
          <a:ext cx="39287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108121</xdr:colOff>
      <xdr:row>440</xdr:row>
      <xdr:rowOff>7723</xdr:rowOff>
    </xdr:from>
    <xdr:to>
      <xdr:col>75</xdr:col>
      <xdr:colOff>118094</xdr:colOff>
      <xdr:row>441</xdr:row>
      <xdr:rowOff>7724</xdr:rowOff>
    </xdr:to>
    <xdr:sp macro="" textlink="">
      <xdr:nvSpPr>
        <xdr:cNvPr id="15" name="Rectangle 14">
          <a:extLst>
            <a:ext uri="{FF2B5EF4-FFF2-40B4-BE49-F238E27FC236}">
              <a16:creationId xmlns:a16="http://schemas.microsoft.com/office/drawing/2014/main" id="{1D547058-87EE-4EE2-92B8-33FA36154F12}"/>
            </a:ext>
          </a:extLst>
        </xdr:cNvPr>
        <xdr:cNvSpPr/>
      </xdr:nvSpPr>
      <xdr:spPr>
        <a:xfrm>
          <a:off x="14012716" y="83829628"/>
          <a:ext cx="39287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114249</xdr:colOff>
      <xdr:row>500</xdr:row>
      <xdr:rowOff>5222</xdr:rowOff>
    </xdr:from>
    <xdr:to>
      <xdr:col>75</xdr:col>
      <xdr:colOff>124222</xdr:colOff>
      <xdr:row>501</xdr:row>
      <xdr:rowOff>5223</xdr:rowOff>
    </xdr:to>
    <xdr:sp macro="" textlink="">
      <xdr:nvSpPr>
        <xdr:cNvPr id="16" name="Rectangle 15">
          <a:extLst>
            <a:ext uri="{FF2B5EF4-FFF2-40B4-BE49-F238E27FC236}">
              <a16:creationId xmlns:a16="http://schemas.microsoft.com/office/drawing/2014/main" id="{0EEBBF0A-BD61-4F09-AFE4-7CF058D27D3F}"/>
            </a:ext>
          </a:extLst>
        </xdr:cNvPr>
        <xdr:cNvSpPr/>
      </xdr:nvSpPr>
      <xdr:spPr>
        <a:xfrm>
          <a:off x="14020749" y="95257127"/>
          <a:ext cx="39287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121538</xdr:colOff>
      <xdr:row>560</xdr:row>
      <xdr:rowOff>20668</xdr:rowOff>
    </xdr:from>
    <xdr:to>
      <xdr:col>75</xdr:col>
      <xdr:colOff>131511</xdr:colOff>
      <xdr:row>561</xdr:row>
      <xdr:rowOff>20669</xdr:rowOff>
    </xdr:to>
    <xdr:sp macro="" textlink="">
      <xdr:nvSpPr>
        <xdr:cNvPr id="17" name="Rectangle 16">
          <a:extLst>
            <a:ext uri="{FF2B5EF4-FFF2-40B4-BE49-F238E27FC236}">
              <a16:creationId xmlns:a16="http://schemas.microsoft.com/office/drawing/2014/main" id="{E4EC6A62-4E79-4897-BB22-F118650F71CE}"/>
            </a:ext>
          </a:extLst>
        </xdr:cNvPr>
        <xdr:cNvSpPr/>
      </xdr:nvSpPr>
      <xdr:spPr>
        <a:xfrm>
          <a:off x="14029943" y="106696858"/>
          <a:ext cx="39287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127013</xdr:colOff>
      <xdr:row>559</xdr:row>
      <xdr:rowOff>187888</xdr:rowOff>
    </xdr:from>
    <xdr:to>
      <xdr:col>34</xdr:col>
      <xdr:colOff>136986</xdr:colOff>
      <xdr:row>560</xdr:row>
      <xdr:rowOff>187889</xdr:rowOff>
    </xdr:to>
    <xdr:sp macro="" textlink="">
      <xdr:nvSpPr>
        <xdr:cNvPr id="18" name="Rectangle 17">
          <a:extLst>
            <a:ext uri="{FF2B5EF4-FFF2-40B4-BE49-F238E27FC236}">
              <a16:creationId xmlns:a16="http://schemas.microsoft.com/office/drawing/2014/main" id="{12298903-64CD-4980-9257-53AF5F9A9376}"/>
            </a:ext>
          </a:extLst>
        </xdr:cNvPr>
        <xdr:cNvSpPr/>
      </xdr:nvSpPr>
      <xdr:spPr>
        <a:xfrm>
          <a:off x="6226823" y="106677388"/>
          <a:ext cx="38335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128826</xdr:colOff>
      <xdr:row>499</xdr:row>
      <xdr:rowOff>184553</xdr:rowOff>
    </xdr:from>
    <xdr:to>
      <xdr:col>34</xdr:col>
      <xdr:colOff>138799</xdr:colOff>
      <xdr:row>500</xdr:row>
      <xdr:rowOff>184554</xdr:rowOff>
    </xdr:to>
    <xdr:sp macro="" textlink="">
      <xdr:nvSpPr>
        <xdr:cNvPr id="19" name="Rectangle 18">
          <a:extLst>
            <a:ext uri="{FF2B5EF4-FFF2-40B4-BE49-F238E27FC236}">
              <a16:creationId xmlns:a16="http://schemas.microsoft.com/office/drawing/2014/main" id="{A22BC049-C528-46D1-BFDB-DBC47538F2A9}"/>
            </a:ext>
          </a:extLst>
        </xdr:cNvPr>
        <xdr:cNvSpPr/>
      </xdr:nvSpPr>
      <xdr:spPr>
        <a:xfrm>
          <a:off x="6228636" y="95242148"/>
          <a:ext cx="38335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126142</xdr:colOff>
      <xdr:row>440</xdr:row>
      <xdr:rowOff>5149</xdr:rowOff>
    </xdr:from>
    <xdr:to>
      <xdr:col>34</xdr:col>
      <xdr:colOff>136115</xdr:colOff>
      <xdr:row>441</xdr:row>
      <xdr:rowOff>5150</xdr:rowOff>
    </xdr:to>
    <xdr:sp macro="" textlink="">
      <xdr:nvSpPr>
        <xdr:cNvPr id="20" name="Rectangle 19">
          <a:extLst>
            <a:ext uri="{FF2B5EF4-FFF2-40B4-BE49-F238E27FC236}">
              <a16:creationId xmlns:a16="http://schemas.microsoft.com/office/drawing/2014/main" id="{CB0C786C-2B9A-4BFA-9AD4-B672530CFC9B}"/>
            </a:ext>
          </a:extLst>
        </xdr:cNvPr>
        <xdr:cNvSpPr/>
      </xdr:nvSpPr>
      <xdr:spPr>
        <a:xfrm>
          <a:off x="6225952" y="83827054"/>
          <a:ext cx="38335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131291</xdr:colOff>
      <xdr:row>380</xdr:row>
      <xdr:rowOff>20595</xdr:rowOff>
    </xdr:from>
    <xdr:to>
      <xdr:col>34</xdr:col>
      <xdr:colOff>141264</xdr:colOff>
      <xdr:row>381</xdr:row>
      <xdr:rowOff>20596</xdr:rowOff>
    </xdr:to>
    <xdr:sp macro="" textlink="">
      <xdr:nvSpPr>
        <xdr:cNvPr id="21" name="Rectangle 20">
          <a:extLst>
            <a:ext uri="{FF2B5EF4-FFF2-40B4-BE49-F238E27FC236}">
              <a16:creationId xmlns:a16="http://schemas.microsoft.com/office/drawing/2014/main" id="{F70EE233-3811-4804-98C4-11339DFCE0BD}"/>
            </a:ext>
          </a:extLst>
        </xdr:cNvPr>
        <xdr:cNvSpPr/>
      </xdr:nvSpPr>
      <xdr:spPr>
        <a:xfrm>
          <a:off x="6231101" y="72406785"/>
          <a:ext cx="385258"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73</xdr:col>
      <xdr:colOff>41294</xdr:colOff>
      <xdr:row>379</xdr:row>
      <xdr:rowOff>151999</xdr:rowOff>
    </xdr:from>
    <xdr:to>
      <xdr:col>75</xdr:col>
      <xdr:colOff>153106</xdr:colOff>
      <xdr:row>381</xdr:row>
      <xdr:rowOff>77456</xdr:rowOff>
    </xdr:to>
    <xdr:sp macro="" textlink="">
      <xdr:nvSpPr>
        <xdr:cNvPr id="22" name="TextBox 21">
          <a:extLst>
            <a:ext uri="{FF2B5EF4-FFF2-40B4-BE49-F238E27FC236}">
              <a16:creationId xmlns:a16="http://schemas.microsoft.com/office/drawing/2014/main" id="{53CEC3B5-9BAE-498E-B8AA-31A72CF80339}"/>
            </a:ext>
          </a:extLst>
        </xdr:cNvPr>
        <xdr:cNvSpPr txBox="1"/>
      </xdr:nvSpPr>
      <xdr:spPr>
        <a:xfrm>
          <a:off x="13947794" y="72351499"/>
          <a:ext cx="492812"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0D52B7-B838-4034-95FA-6B351E989F6E}" type="TxLink">
            <a:rPr lang="en-US" sz="950" b="0" i="0" u="none" strike="noStrike">
              <a:solidFill>
                <a:schemeClr val="accent3">
                  <a:lumMod val="50000"/>
                </a:schemeClr>
              </a:solidFill>
              <a:latin typeface="Overpass" panose="00000500000000000000" pitchFamily="2" charset="0"/>
              <a:cs typeface="Calibri"/>
            </a:rPr>
            <a:pPr/>
            <a:t> </a:t>
          </a:fld>
          <a:endParaRPr lang="en-AU" sz="950">
            <a:solidFill>
              <a:schemeClr val="accent3">
                <a:lumMod val="50000"/>
              </a:schemeClr>
            </a:solidFill>
            <a:latin typeface="Overpass" panose="00000500000000000000" pitchFamily="2" charset="0"/>
          </a:endParaRPr>
        </a:p>
      </xdr:txBody>
    </xdr:sp>
    <xdr:clientData/>
  </xdr:twoCellAnchor>
  <xdr:oneCellAnchor>
    <xdr:from>
      <xdr:col>47</xdr:col>
      <xdr:colOff>0</xdr:colOff>
      <xdr:row>47</xdr:row>
      <xdr:rowOff>3190</xdr:rowOff>
    </xdr:from>
    <xdr:ext cx="3071628" cy="1734170"/>
    <xdr:sp macro="" textlink="SOLAR!D10">
      <xdr:nvSpPr>
        <xdr:cNvPr id="23" name="TextBox 22">
          <a:extLst>
            <a:ext uri="{FF2B5EF4-FFF2-40B4-BE49-F238E27FC236}">
              <a16:creationId xmlns:a16="http://schemas.microsoft.com/office/drawing/2014/main" id="{0559B41E-E5EB-45F5-97EF-2D8FBF80E770}"/>
            </a:ext>
          </a:extLst>
        </xdr:cNvPr>
        <xdr:cNvSpPr txBox="1"/>
      </xdr:nvSpPr>
      <xdr:spPr>
        <a:xfrm>
          <a:off x="8953500" y="8956690"/>
          <a:ext cx="3071628" cy="173417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862BF709-331D-4872-9F2A-B117866943D2}" type="TxLink">
            <a:rPr lang="en-US" sz="2000" b="1" i="0" u="none" strike="noStrike">
              <a:solidFill>
                <a:srgbClr val="27056C"/>
              </a:solidFill>
              <a:latin typeface="Overpass" pitchFamily="2" charset="77"/>
              <a:ea typeface="+mn-ea"/>
              <a:cs typeface="Calibri"/>
            </a:rPr>
            <a:pPr marL="0" indent="0"/>
            <a:t> </a:t>
          </a:fld>
          <a:endParaRPr lang="en-AU" sz="2000" b="1" i="0" u="none" strike="noStrike">
            <a:solidFill>
              <a:srgbClr val="27056C"/>
            </a:solidFill>
            <a:latin typeface="Overpass" pitchFamily="2" charset="77"/>
            <a:ea typeface="+mn-ea"/>
            <a:cs typeface="Calibri"/>
          </a:endParaRPr>
        </a:p>
      </xdr:txBody>
    </xdr:sp>
    <xdr:clientData/>
  </xdr:oneCellAnchor>
  <xdr:oneCellAnchor>
    <xdr:from>
      <xdr:col>63</xdr:col>
      <xdr:colOff>0</xdr:colOff>
      <xdr:row>35</xdr:row>
      <xdr:rowOff>0</xdr:rowOff>
    </xdr:from>
    <xdr:ext cx="2771775" cy="762000"/>
    <xdr:sp macro="" textlink="">
      <xdr:nvSpPr>
        <xdr:cNvPr id="24" name="TextBox 23">
          <a:extLst>
            <a:ext uri="{FF2B5EF4-FFF2-40B4-BE49-F238E27FC236}">
              <a16:creationId xmlns:a16="http://schemas.microsoft.com/office/drawing/2014/main" id="{425E718A-B72F-4A1C-8563-A25107190155}"/>
            </a:ext>
          </a:extLst>
        </xdr:cNvPr>
        <xdr:cNvSpPr txBox="1"/>
      </xdr:nvSpPr>
      <xdr:spPr>
        <a:xfrm>
          <a:off x="12001500" y="6667500"/>
          <a:ext cx="2771775" cy="76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AU" sz="1100"/>
        </a:p>
      </xdr:txBody>
    </xdr:sp>
    <xdr:clientData/>
  </xdr:oneCellAnchor>
  <xdr:twoCellAnchor>
    <xdr:from>
      <xdr:col>18</xdr:col>
      <xdr:colOff>192910</xdr:colOff>
      <xdr:row>135</xdr:row>
      <xdr:rowOff>2636</xdr:rowOff>
    </xdr:from>
    <xdr:to>
      <xdr:col>36</xdr:col>
      <xdr:colOff>2426</xdr:colOff>
      <xdr:row>136</xdr:row>
      <xdr:rowOff>1180</xdr:rowOff>
    </xdr:to>
    <xdr:sp macro="" textlink="'Linking Cells'!C99">
      <xdr:nvSpPr>
        <xdr:cNvPr id="25" name="TextBox 24">
          <a:extLst>
            <a:ext uri="{FF2B5EF4-FFF2-40B4-BE49-F238E27FC236}">
              <a16:creationId xmlns:a16="http://schemas.microsoft.com/office/drawing/2014/main" id="{12A35AAC-1C9C-4173-9FC8-8CCFF739B6CB}"/>
            </a:ext>
          </a:extLst>
        </xdr:cNvPr>
        <xdr:cNvSpPr txBox="1"/>
      </xdr:nvSpPr>
      <xdr:spPr>
        <a:xfrm>
          <a:off x="3621910" y="25720136"/>
          <a:ext cx="3238516" cy="189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66DCE3-E843-4172-9CD8-62A101B735C6}" type="TxLink">
            <a:rPr lang="en-US" sz="1000" b="0" i="0" u="none" strike="noStrike">
              <a:solidFill>
                <a:srgbClr val="2A2A2A"/>
              </a:solidFill>
              <a:latin typeface="Overpass" pitchFamily="2" charset="77"/>
              <a:ea typeface="+mn-ea"/>
              <a:cs typeface="Calibri"/>
            </a:rPr>
            <a:pPr marL="0" indent="0" algn="l"/>
            <a:t>Excluded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189</xdr:colOff>
      <xdr:row>143</xdr:row>
      <xdr:rowOff>184265</xdr:rowOff>
    </xdr:from>
    <xdr:to>
      <xdr:col>36</xdr:col>
      <xdr:colOff>0</xdr:colOff>
      <xdr:row>145</xdr:row>
      <xdr:rowOff>2576</xdr:rowOff>
    </xdr:to>
    <xdr:sp macro="" textlink="'Linking Cells'!C60">
      <xdr:nvSpPr>
        <xdr:cNvPr id="26" name="TextBox 25">
          <a:extLst>
            <a:ext uri="{FF2B5EF4-FFF2-40B4-BE49-F238E27FC236}">
              <a16:creationId xmlns:a16="http://schemas.microsoft.com/office/drawing/2014/main" id="{EDC2C29C-453E-4D59-B8CD-7E14088BAE40}"/>
            </a:ext>
          </a:extLst>
        </xdr:cNvPr>
        <xdr:cNvSpPr txBox="1"/>
      </xdr:nvSpPr>
      <xdr:spPr>
        <a:xfrm>
          <a:off x="3545060" y="26864085"/>
          <a:ext cx="3171538" cy="19145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6B66A5F-2B59-4327-A411-956A5AF888BE}" type="TxLink">
            <a:rPr lang="en-US" sz="1000" b="0" i="0" u="none" strike="noStrike">
              <a:solidFill>
                <a:srgbClr val="2A2A2A"/>
              </a:solidFill>
              <a:latin typeface="Overpass" pitchFamily="2" charset="77"/>
              <a:ea typeface="+mn-ea"/>
              <a:cs typeface="Calibri"/>
            </a:rPr>
            <a:pPr marL="0" indent="0" algn="l"/>
            <a:t>50 kVA - KAC50DP2  x 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88</xdr:col>
      <xdr:colOff>121758</xdr:colOff>
      <xdr:row>93</xdr:row>
      <xdr:rowOff>144009</xdr:rowOff>
    </xdr:from>
    <xdr:to>
      <xdr:col>90</xdr:col>
      <xdr:colOff>393779</xdr:colOff>
      <xdr:row>94</xdr:row>
      <xdr:rowOff>182109</xdr:rowOff>
    </xdr:to>
    <xdr:sp macro="" textlink="'[1]Cost Calculator'!#REF!">
      <xdr:nvSpPr>
        <xdr:cNvPr id="32" name="TextBox 31">
          <a:extLst>
            <a:ext uri="{FF2B5EF4-FFF2-40B4-BE49-F238E27FC236}">
              <a16:creationId xmlns:a16="http://schemas.microsoft.com/office/drawing/2014/main" id="{B91B4B67-ABDC-4331-8426-699D3B55B9E4}"/>
            </a:ext>
          </a:extLst>
        </xdr:cNvPr>
        <xdr:cNvSpPr txBox="1"/>
      </xdr:nvSpPr>
      <xdr:spPr>
        <a:xfrm>
          <a:off x="17240088" y="17858604"/>
          <a:ext cx="4453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211CD9E3-6C6B-46F9-8990-1C8518B40A70}"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60</xdr:col>
      <xdr:colOff>3146</xdr:colOff>
      <xdr:row>145</xdr:row>
      <xdr:rowOff>4226</xdr:rowOff>
    </xdr:from>
    <xdr:to>
      <xdr:col>76</xdr:col>
      <xdr:colOff>194581</xdr:colOff>
      <xdr:row>145</xdr:row>
      <xdr:rowOff>195126</xdr:rowOff>
    </xdr:to>
    <xdr:sp macro="" textlink="">
      <xdr:nvSpPr>
        <xdr:cNvPr id="41" name="TextBox 40">
          <a:extLst>
            <a:ext uri="{FF2B5EF4-FFF2-40B4-BE49-F238E27FC236}">
              <a16:creationId xmlns:a16="http://schemas.microsoft.com/office/drawing/2014/main" id="{497FDF62-0233-4732-A1EC-8EA78FB1A146}"/>
            </a:ext>
          </a:extLst>
        </xdr:cNvPr>
        <xdr:cNvSpPr txBox="1"/>
      </xdr:nvSpPr>
      <xdr:spPr>
        <a:xfrm>
          <a:off x="11786651" y="28481030"/>
          <a:ext cx="3333703" cy="1909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Included</a:t>
          </a:r>
        </a:p>
      </xdr:txBody>
    </xdr:sp>
    <xdr:clientData/>
  </xdr:twoCellAnchor>
  <xdr:twoCellAnchor>
    <xdr:from>
      <xdr:col>84</xdr:col>
      <xdr:colOff>591965</xdr:colOff>
      <xdr:row>135</xdr:row>
      <xdr:rowOff>72533</xdr:rowOff>
    </xdr:from>
    <xdr:to>
      <xdr:col>87</xdr:col>
      <xdr:colOff>182295</xdr:colOff>
      <xdr:row>136</xdr:row>
      <xdr:rowOff>110634</xdr:rowOff>
    </xdr:to>
    <xdr:sp macro="" textlink="'[1]Cost Calculator'!#REF!">
      <xdr:nvSpPr>
        <xdr:cNvPr id="42" name="TextBox 41">
          <a:extLst>
            <a:ext uri="{FF2B5EF4-FFF2-40B4-BE49-F238E27FC236}">
              <a16:creationId xmlns:a16="http://schemas.microsoft.com/office/drawing/2014/main" id="{E630BBC7-1A74-403D-A462-FEDA26808DAF}"/>
            </a:ext>
          </a:extLst>
        </xdr:cNvPr>
        <xdr:cNvSpPr txBox="1"/>
      </xdr:nvSpPr>
      <xdr:spPr>
        <a:xfrm>
          <a:off x="16190105" y="25790033"/>
          <a:ext cx="91621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E304DD-D616-4CC6-9837-2F9CA18ECB06}"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598688</xdr:colOff>
      <xdr:row>136</xdr:row>
      <xdr:rowOff>90464</xdr:rowOff>
    </xdr:from>
    <xdr:to>
      <xdr:col>87</xdr:col>
      <xdr:colOff>189018</xdr:colOff>
      <xdr:row>137</xdr:row>
      <xdr:rowOff>128564</xdr:rowOff>
    </xdr:to>
    <xdr:sp macro="" textlink="'[1]Cost Calculator'!#REF!">
      <xdr:nvSpPr>
        <xdr:cNvPr id="43" name="TextBox 42">
          <a:extLst>
            <a:ext uri="{FF2B5EF4-FFF2-40B4-BE49-F238E27FC236}">
              <a16:creationId xmlns:a16="http://schemas.microsoft.com/office/drawing/2014/main" id="{239BB552-1AC0-49A0-9249-34593647E69F}"/>
            </a:ext>
          </a:extLst>
        </xdr:cNvPr>
        <xdr:cNvSpPr txBox="1"/>
      </xdr:nvSpPr>
      <xdr:spPr>
        <a:xfrm>
          <a:off x="16189208" y="26002274"/>
          <a:ext cx="92573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78B7200-4165-43A5-972E-C42CCF3CBC05}"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84</xdr:col>
      <xdr:colOff>571795</xdr:colOff>
      <xdr:row>137</xdr:row>
      <xdr:rowOff>142010</xdr:rowOff>
    </xdr:from>
    <xdr:to>
      <xdr:col>87</xdr:col>
      <xdr:colOff>162125</xdr:colOff>
      <xdr:row>138</xdr:row>
      <xdr:rowOff>180109</xdr:rowOff>
    </xdr:to>
    <xdr:sp macro="" textlink="'[1]Cost Calculator'!#REF!">
      <xdr:nvSpPr>
        <xdr:cNvPr id="44" name="TextBox 43">
          <a:extLst>
            <a:ext uri="{FF2B5EF4-FFF2-40B4-BE49-F238E27FC236}">
              <a16:creationId xmlns:a16="http://schemas.microsoft.com/office/drawing/2014/main" id="{6EAD3ABA-5482-4BBB-A344-3C82F211F8B5}"/>
            </a:ext>
          </a:extLst>
        </xdr:cNvPr>
        <xdr:cNvSpPr txBox="1"/>
      </xdr:nvSpPr>
      <xdr:spPr>
        <a:xfrm>
          <a:off x="16192795" y="26238605"/>
          <a:ext cx="897160"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61FEB589-07ED-40B6-BF60-6F40CAD50CDC}" type="TxLink">
            <a:rPr lang="en-US" sz="800" b="0" i="0" u="none" strike="noStrike">
              <a:solidFill>
                <a:srgbClr val="808080"/>
              </a:solidFill>
              <a:latin typeface="Overpass" panose="00000500000000000000" pitchFamily="2" charset="0"/>
              <a:ea typeface="+mn-ea"/>
              <a:cs typeface="Calibri"/>
            </a:rPr>
            <a:pPr marL="0" indent="0" algn="r"/>
            <a:t> </a:t>
          </a:fld>
          <a:endParaRPr lang="en-AU" sz="800" b="0" i="0" u="none" strike="noStrike">
            <a:solidFill>
              <a:srgbClr val="808080"/>
            </a:solidFill>
            <a:latin typeface="Overpass" panose="00000500000000000000" pitchFamily="2" charset="0"/>
            <a:ea typeface="+mn-ea"/>
            <a:cs typeface="Calibri"/>
          </a:endParaRPr>
        </a:p>
      </xdr:txBody>
    </xdr:sp>
    <xdr:clientData/>
  </xdr:twoCellAnchor>
  <xdr:twoCellAnchor>
    <xdr:from>
      <xdr:col>19</xdr:col>
      <xdr:colOff>0</xdr:colOff>
      <xdr:row>152</xdr:row>
      <xdr:rowOff>0</xdr:rowOff>
    </xdr:from>
    <xdr:to>
      <xdr:col>35</xdr:col>
      <xdr:colOff>190642</xdr:colOff>
      <xdr:row>153</xdr:row>
      <xdr:rowOff>0</xdr:rowOff>
    </xdr:to>
    <xdr:sp macro="" textlink="'Linking Cells'!B95">
      <xdr:nvSpPr>
        <xdr:cNvPr id="45" name="TextBox 44">
          <a:extLst>
            <a:ext uri="{FF2B5EF4-FFF2-40B4-BE49-F238E27FC236}">
              <a16:creationId xmlns:a16="http://schemas.microsoft.com/office/drawing/2014/main" id="{AE475E8C-9B0C-4473-BAF6-9C97083AB1CA}"/>
            </a:ext>
          </a:extLst>
        </xdr:cNvPr>
        <xdr:cNvSpPr txBox="1"/>
      </xdr:nvSpPr>
      <xdr:spPr>
        <a:xfrm>
          <a:off x="3731443" y="29851546"/>
          <a:ext cx="3332910" cy="1963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53EB46-C785-485A-826B-7D10B0F57229}" type="TxLink">
            <a:rPr lang="en-US" sz="1000" b="0" i="0" u="none" strike="noStrike">
              <a:solidFill>
                <a:srgbClr val="2A2A2A"/>
              </a:solidFill>
              <a:latin typeface="Overpass" pitchFamily="2" charset="77"/>
              <a:ea typeface="+mn-ea"/>
              <a:cs typeface="Calibri"/>
            </a:rPr>
            <a:pPr marL="0" indent="0" algn="l"/>
            <a:t>Not Required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189</xdr:colOff>
      <xdr:row>153</xdr:row>
      <xdr:rowOff>0</xdr:rowOff>
    </xdr:from>
    <xdr:to>
      <xdr:col>36</xdr:col>
      <xdr:colOff>0</xdr:colOff>
      <xdr:row>154</xdr:row>
      <xdr:rowOff>0</xdr:rowOff>
    </xdr:to>
    <xdr:sp macro="" textlink="'Linking Cells'!C96">
      <xdr:nvSpPr>
        <xdr:cNvPr id="47" name="TextBox 46">
          <a:extLst>
            <a:ext uri="{FF2B5EF4-FFF2-40B4-BE49-F238E27FC236}">
              <a16:creationId xmlns:a16="http://schemas.microsoft.com/office/drawing/2014/main" id="{539B9865-9CF2-4284-A2A7-5F67E0ED8CBB}"/>
            </a:ext>
          </a:extLst>
        </xdr:cNvPr>
        <xdr:cNvSpPr txBox="1"/>
      </xdr:nvSpPr>
      <xdr:spPr>
        <a:xfrm>
          <a:off x="3647747" y="29372442"/>
          <a:ext cx="3263416" cy="1919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D0EA62-13BC-420F-8538-ED0DD509543E}" type="TxLink">
            <a:rPr lang="en-US" sz="1000" b="0" i="0" u="none" strike="noStrike">
              <a:solidFill>
                <a:srgbClr val="2A2A2A"/>
              </a:solidFill>
              <a:latin typeface="Overpass" pitchFamily="2" charset="77"/>
              <a:ea typeface="+mn-ea"/>
              <a:cs typeface="Calibri"/>
            </a:rPr>
            <a:pPr marL="0" indent="0" algn="l"/>
            <a:t>15m Allowed - 4 x 25mm²</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1335</xdr:colOff>
      <xdr:row>154</xdr:row>
      <xdr:rowOff>0</xdr:rowOff>
    </xdr:from>
    <xdr:to>
      <xdr:col>36</xdr:col>
      <xdr:colOff>0</xdr:colOff>
      <xdr:row>154</xdr:row>
      <xdr:rowOff>183055</xdr:rowOff>
    </xdr:to>
    <xdr:sp macro="" textlink="'Linking Cells'!B97">
      <xdr:nvSpPr>
        <xdr:cNvPr id="48" name="TextBox 47">
          <a:extLst>
            <a:ext uri="{FF2B5EF4-FFF2-40B4-BE49-F238E27FC236}">
              <a16:creationId xmlns:a16="http://schemas.microsoft.com/office/drawing/2014/main" id="{B42DEB7D-A852-49ED-8DF1-9C89ACC5241A}"/>
            </a:ext>
          </a:extLst>
        </xdr:cNvPr>
        <xdr:cNvSpPr txBox="1"/>
      </xdr:nvSpPr>
      <xdr:spPr>
        <a:xfrm>
          <a:off x="3648893" y="29564419"/>
          <a:ext cx="3262270" cy="18305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E06EF-AC86-4B33-B23A-84E82BC3530F}" type="TxLink">
            <a:rPr lang="en-US" sz="1000" b="0" i="0" u="none" strike="noStrike">
              <a:solidFill>
                <a:srgbClr val="2A2A2A"/>
              </a:solidFill>
              <a:latin typeface="Overpass" pitchFamily="2" charset="77"/>
              <a:ea typeface="+mn-ea"/>
              <a:cs typeface="Calibri"/>
            </a:rPr>
            <a:pPr marL="0" indent="0" algn="l"/>
            <a:t>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0</xdr:colOff>
      <xdr:row>167</xdr:row>
      <xdr:rowOff>0</xdr:rowOff>
    </xdr:from>
    <xdr:to>
      <xdr:col>36</xdr:col>
      <xdr:colOff>881</xdr:colOff>
      <xdr:row>168</xdr:row>
      <xdr:rowOff>1</xdr:rowOff>
    </xdr:to>
    <xdr:sp macro="" textlink="'Linking Cells'!B102">
      <xdr:nvSpPr>
        <xdr:cNvPr id="49" name="TextBox 48">
          <a:extLst>
            <a:ext uri="{FF2B5EF4-FFF2-40B4-BE49-F238E27FC236}">
              <a16:creationId xmlns:a16="http://schemas.microsoft.com/office/drawing/2014/main" id="{1A79B45F-380B-4478-8E9E-0DB831F97755}"/>
            </a:ext>
          </a:extLst>
        </xdr:cNvPr>
        <xdr:cNvSpPr txBox="1"/>
      </xdr:nvSpPr>
      <xdr:spPr>
        <a:xfrm>
          <a:off x="3731443" y="32797423"/>
          <a:ext cx="3339541" cy="1963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CB824E3-9EA6-42E8-8511-F056C4AA9B2F}" type="TxLink">
            <a:rPr lang="en-US" sz="1000" b="0" i="0" u="none" strike="noStrike">
              <a:solidFill>
                <a:srgbClr val="2A2A2A"/>
              </a:solidFill>
              <a:latin typeface="Overpass" pitchFamily="2" charset="77"/>
              <a:ea typeface="+mn-ea"/>
              <a:cs typeface="Calibri"/>
            </a:rPr>
            <a:pPr marL="0" indent="0" algn="l"/>
            <a:t>Not Required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60</xdr:col>
      <xdr:colOff>6599</xdr:colOff>
      <xdr:row>146</xdr:row>
      <xdr:rowOff>12965</xdr:rowOff>
    </xdr:from>
    <xdr:to>
      <xdr:col>77</xdr:col>
      <xdr:colOff>0</xdr:colOff>
      <xdr:row>147</xdr:row>
      <xdr:rowOff>20256</xdr:rowOff>
    </xdr:to>
    <xdr:sp macro="" textlink="'Linking Cells'!B85">
      <xdr:nvSpPr>
        <xdr:cNvPr id="51" name="TextBox 50">
          <a:extLst>
            <a:ext uri="{FF2B5EF4-FFF2-40B4-BE49-F238E27FC236}">
              <a16:creationId xmlns:a16="http://schemas.microsoft.com/office/drawing/2014/main" id="{B0D90DAD-7DD5-4AE5-9466-F2393A0343ED}"/>
            </a:ext>
          </a:extLst>
        </xdr:cNvPr>
        <xdr:cNvSpPr txBox="1"/>
      </xdr:nvSpPr>
      <xdr:spPr>
        <a:xfrm>
          <a:off x="11790104" y="28686161"/>
          <a:ext cx="3332061" cy="20368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CC8D75F-59B0-4606-A4C5-6A8BC0F735BF}" type="TxLink">
            <a:rPr lang="en-US" sz="1000" b="0" i="0" u="none" strike="noStrike">
              <a:solidFill>
                <a:srgbClr val="2A2A2A"/>
              </a:solidFill>
              <a:latin typeface="Overpass" pitchFamily="2" charset="77"/>
              <a:ea typeface="+mn-ea"/>
              <a:cs typeface="Calibri"/>
            </a:rPr>
            <a:pPr marL="0" indent="0" algn="l"/>
            <a:t>Not Required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195</xdr:row>
      <xdr:rowOff>113447</xdr:rowOff>
    </xdr:from>
    <xdr:to>
      <xdr:col>23</xdr:col>
      <xdr:colOff>0</xdr:colOff>
      <xdr:row>196</xdr:row>
      <xdr:rowOff>113446</xdr:rowOff>
    </xdr:to>
    <xdr:sp macro="" textlink="'Linking Cells'!B111">
      <xdr:nvSpPr>
        <xdr:cNvPr id="54" name="TextBox 53">
          <a:extLst>
            <a:ext uri="{FF2B5EF4-FFF2-40B4-BE49-F238E27FC236}">
              <a16:creationId xmlns:a16="http://schemas.microsoft.com/office/drawing/2014/main" id="{6A8BD9EE-961D-40ED-A7C6-F4F0A885BCE1}"/>
            </a:ext>
          </a:extLst>
        </xdr:cNvPr>
        <xdr:cNvSpPr txBox="1"/>
      </xdr:nvSpPr>
      <xdr:spPr>
        <a:xfrm>
          <a:off x="3431057" y="37260947"/>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B3146AC-FA03-4E40-8EA4-09902CFAB0C0}" type="TxLink">
            <a:rPr lang="en-US" sz="1000" b="0" i="0" u="none" strike="noStrike">
              <a:solidFill>
                <a:srgbClr val="2A2A2A"/>
              </a:solidFill>
              <a:latin typeface="Overpass" pitchFamily="2" charset="77"/>
              <a:ea typeface="+mn-ea"/>
              <a:cs typeface="Calibri"/>
            </a:rPr>
            <a:pPr marL="0" indent="0" algn="l"/>
            <a:t> $9,761.06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2057</xdr:colOff>
      <xdr:row>200</xdr:row>
      <xdr:rowOff>8672</xdr:rowOff>
    </xdr:from>
    <xdr:to>
      <xdr:col>23</xdr:col>
      <xdr:colOff>0</xdr:colOff>
      <xdr:row>201</xdr:row>
      <xdr:rowOff>8672</xdr:rowOff>
    </xdr:to>
    <xdr:sp macro="" textlink="'Linking Cells'!B113">
      <xdr:nvSpPr>
        <xdr:cNvPr id="55" name="TextBox 54">
          <a:extLst>
            <a:ext uri="{FF2B5EF4-FFF2-40B4-BE49-F238E27FC236}">
              <a16:creationId xmlns:a16="http://schemas.microsoft.com/office/drawing/2014/main" id="{03DA499D-86BD-4EE3-8C7F-082197111BD3}"/>
            </a:ext>
          </a:extLst>
        </xdr:cNvPr>
        <xdr:cNvSpPr txBox="1"/>
      </xdr:nvSpPr>
      <xdr:spPr>
        <a:xfrm>
          <a:off x="3431057" y="38108672"/>
          <a:ext cx="950443"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BBC713F-5908-4A91-9CFE-DD30046843BC}" type="TxLink">
            <a:rPr lang="en-US" sz="1000" b="0" i="0" u="none" strike="noStrike">
              <a:solidFill>
                <a:srgbClr val="2A2A2A"/>
              </a:solidFill>
              <a:latin typeface="Overpass" pitchFamily="2" charset="77"/>
              <a:ea typeface="+mn-ea"/>
              <a:cs typeface="Calibri"/>
            </a:rPr>
            <a:pPr marL="0" indent="0" algn="l"/>
            <a:t> $7,320.80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2058</xdr:colOff>
      <xdr:row>197</xdr:row>
      <xdr:rowOff>88681</xdr:rowOff>
    </xdr:from>
    <xdr:to>
      <xdr:col>23</xdr:col>
      <xdr:colOff>623</xdr:colOff>
      <xdr:row>199</xdr:row>
      <xdr:rowOff>82770</xdr:rowOff>
    </xdr:to>
    <xdr:sp macro="" textlink="'Linking Cells'!B114">
      <xdr:nvSpPr>
        <xdr:cNvPr id="56" name="TextBox 55">
          <a:extLst>
            <a:ext uri="{FF2B5EF4-FFF2-40B4-BE49-F238E27FC236}">
              <a16:creationId xmlns:a16="http://schemas.microsoft.com/office/drawing/2014/main" id="{A75CAF60-BA45-4455-88BE-526D8FCA3996}"/>
            </a:ext>
          </a:extLst>
        </xdr:cNvPr>
        <xdr:cNvSpPr txBox="1"/>
      </xdr:nvSpPr>
      <xdr:spPr>
        <a:xfrm>
          <a:off x="3431058" y="37617181"/>
          <a:ext cx="951065" cy="37508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DB5D9A6-6389-4C44-9F1D-49FF2EB060BB}" type="TxLink">
            <a:rPr lang="en-US" sz="1000" b="0" i="0" u="none" strike="noStrike">
              <a:solidFill>
                <a:srgbClr val="2A2A2A"/>
              </a:solidFill>
              <a:latin typeface="Overpass" pitchFamily="2" charset="77"/>
              <a:ea typeface="+mn-ea"/>
              <a:cs typeface="Calibri"/>
            </a:rPr>
            <a:pPr marL="0" indent="0" algn="l"/>
            <a:t> $4,880.53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192558</xdr:colOff>
      <xdr:row>200</xdr:row>
      <xdr:rowOff>189376</xdr:rowOff>
    </xdr:from>
    <xdr:to>
      <xdr:col>22</xdr:col>
      <xdr:colOff>192838</xdr:colOff>
      <xdr:row>201</xdr:row>
      <xdr:rowOff>189646</xdr:rowOff>
    </xdr:to>
    <xdr:sp macro="" textlink="'Linking Cells'!B115">
      <xdr:nvSpPr>
        <xdr:cNvPr id="57" name="TextBox 56">
          <a:extLst>
            <a:ext uri="{FF2B5EF4-FFF2-40B4-BE49-F238E27FC236}">
              <a16:creationId xmlns:a16="http://schemas.microsoft.com/office/drawing/2014/main" id="{5D89168D-E7E9-4CB7-A5F3-67646C00A961}"/>
            </a:ext>
          </a:extLst>
        </xdr:cNvPr>
        <xdr:cNvSpPr txBox="1"/>
      </xdr:nvSpPr>
      <xdr:spPr>
        <a:xfrm>
          <a:off x="3431058" y="38289376"/>
          <a:ext cx="952780" cy="19077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EB82999-1AD0-4298-BC66-A92AA0D922AF}" type="TxLink">
            <a:rPr lang="en-US" sz="1000" b="0" i="0" u="none" strike="noStrike">
              <a:solidFill>
                <a:srgbClr val="2A2A2A"/>
              </a:solidFill>
              <a:latin typeface="Overpass" pitchFamily="2" charset="77"/>
              <a:ea typeface="+mn-ea"/>
              <a:cs typeface="Calibri"/>
            </a:rPr>
            <a:pPr marL="0" indent="0" algn="l"/>
            <a:t> $18,301.99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88</xdr:row>
      <xdr:rowOff>1507</xdr:rowOff>
    </xdr:from>
    <xdr:to>
      <xdr:col>77</xdr:col>
      <xdr:colOff>0</xdr:colOff>
      <xdr:row>89</xdr:row>
      <xdr:rowOff>0</xdr:rowOff>
    </xdr:to>
    <xdr:sp macro="" textlink="'Linking Cells'!C84">
      <xdr:nvSpPr>
        <xdr:cNvPr id="58" name="TextBox 163">
          <a:extLst>
            <a:ext uri="{FF2B5EF4-FFF2-40B4-BE49-F238E27FC236}">
              <a16:creationId xmlns:a16="http://schemas.microsoft.com/office/drawing/2014/main" id="{2193FED9-AD28-4C25-B403-4BD56637536F}"/>
            </a:ext>
          </a:extLst>
        </xdr:cNvPr>
        <xdr:cNvSpPr txBox="1"/>
      </xdr:nvSpPr>
      <xdr:spPr>
        <a:xfrm>
          <a:off x="12574411" y="16765507"/>
          <a:ext cx="2094089" cy="18899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F373B9F-E664-47E6-A6AB-7E4B0A5C14BD}" type="TxLink">
            <a:rPr lang="en-US" sz="1000" b="0" i="0" u="none" strike="noStrike">
              <a:solidFill>
                <a:srgbClr val="2A2A2A"/>
              </a:solidFill>
              <a:latin typeface="Overpass" pitchFamily="2" charset="77"/>
              <a:ea typeface="+mn-ea"/>
              <a:cs typeface="Calibri"/>
            </a:rPr>
            <a:pPr marL="0" indent="0" algn="l"/>
            <a:t>$53,686 incl.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87</xdr:row>
      <xdr:rowOff>1</xdr:rowOff>
    </xdr:from>
    <xdr:to>
      <xdr:col>77</xdr:col>
      <xdr:colOff>0</xdr:colOff>
      <xdr:row>88</xdr:row>
      <xdr:rowOff>1507</xdr:rowOff>
    </xdr:to>
    <xdr:sp macro="" textlink="'Linking Cells'!C83">
      <xdr:nvSpPr>
        <xdr:cNvPr id="59" name="TextBox 164">
          <a:extLst>
            <a:ext uri="{FF2B5EF4-FFF2-40B4-BE49-F238E27FC236}">
              <a16:creationId xmlns:a16="http://schemas.microsoft.com/office/drawing/2014/main" id="{1D206100-70B4-4E92-89D6-22F1F4058F44}"/>
            </a:ext>
          </a:extLst>
        </xdr:cNvPr>
        <xdr:cNvSpPr txBox="1"/>
      </xdr:nvSpPr>
      <xdr:spPr>
        <a:xfrm>
          <a:off x="12574411" y="16573501"/>
          <a:ext cx="2094089" cy="1920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8C2EF9-FBD2-44C9-B308-C6A2ACFF3308}" type="TxLink">
            <a:rPr lang="en-US" sz="1000" b="0" i="0" u="none" strike="noStrike">
              <a:solidFill>
                <a:srgbClr val="2A2A2A"/>
              </a:solidFill>
              <a:latin typeface="Overpass" pitchFamily="2" charset="77"/>
              <a:ea typeface="+mn-ea"/>
              <a:cs typeface="Calibri"/>
            </a:rPr>
            <a:pPr marL="0" indent="0" algn="l"/>
            <a:t>$4,881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65</xdr:col>
      <xdr:colOff>191911</xdr:colOff>
      <xdr:row>86</xdr:row>
      <xdr:rowOff>1</xdr:rowOff>
    </xdr:from>
    <xdr:to>
      <xdr:col>77</xdr:col>
      <xdr:colOff>0</xdr:colOff>
      <xdr:row>87</xdr:row>
      <xdr:rowOff>6343</xdr:rowOff>
    </xdr:to>
    <xdr:sp macro="" textlink="'Linking Cells'!C82">
      <xdr:nvSpPr>
        <xdr:cNvPr id="60" name="TextBox 165">
          <a:extLst>
            <a:ext uri="{FF2B5EF4-FFF2-40B4-BE49-F238E27FC236}">
              <a16:creationId xmlns:a16="http://schemas.microsoft.com/office/drawing/2014/main" id="{F3F8E760-5593-4E41-AAAE-42126FE23D0B}"/>
            </a:ext>
          </a:extLst>
        </xdr:cNvPr>
        <xdr:cNvSpPr txBox="1"/>
      </xdr:nvSpPr>
      <xdr:spPr>
        <a:xfrm>
          <a:off x="12574411" y="16383001"/>
          <a:ext cx="2094089" cy="1987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83687FC-06B8-45CC-8B60-65966CBE5A6E}" type="TxLink">
            <a:rPr lang="en-US" sz="1000" b="0" i="0" u="none" strike="noStrike">
              <a:solidFill>
                <a:srgbClr val="2A2A2A"/>
              </a:solidFill>
              <a:latin typeface="Overpass" pitchFamily="2" charset="77"/>
              <a:ea typeface="+mn-ea"/>
              <a:cs typeface="Calibri"/>
            </a:rPr>
            <a:pPr marL="0" indent="0" algn="l"/>
            <a:t>$48,805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100</xdr:col>
      <xdr:colOff>169424</xdr:colOff>
      <xdr:row>77</xdr:row>
      <xdr:rowOff>0</xdr:rowOff>
    </xdr:from>
    <xdr:to>
      <xdr:col>111</xdr:col>
      <xdr:colOff>169425</xdr:colOff>
      <xdr:row>78</xdr:row>
      <xdr:rowOff>1222</xdr:rowOff>
    </xdr:to>
    <xdr:sp macro="" textlink="'Linking Cells'!C71">
      <xdr:nvSpPr>
        <xdr:cNvPr id="122" name="TextBox 168">
          <a:extLst>
            <a:ext uri="{FF2B5EF4-FFF2-40B4-BE49-F238E27FC236}">
              <a16:creationId xmlns:a16="http://schemas.microsoft.com/office/drawing/2014/main" id="{A81DE870-1C81-4D7E-9D3C-AF6ED2B18ACE}"/>
            </a:ext>
          </a:extLst>
        </xdr:cNvPr>
        <xdr:cNvSpPr txBox="1"/>
      </xdr:nvSpPr>
      <xdr:spPr>
        <a:xfrm>
          <a:off x="19571116" y="14668500"/>
          <a:ext cx="2095501" cy="19172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28BA97C-C196-4D1B-89B1-78E474D5ACC9}" type="TxLink">
            <a:rPr lang="en-US" sz="1000" b="0" i="0" u="none" strike="noStrike">
              <a:solidFill>
                <a:srgbClr val="2A2A2A"/>
              </a:solidFill>
              <a:latin typeface="Overpass" pitchFamily="2" charset="77"/>
              <a:ea typeface="+mn-ea"/>
              <a:cs typeface="Calibri"/>
            </a:rPr>
            <a:pPr marL="0" indent="0" algn="l"/>
            <a:t>$2,188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66</xdr:col>
      <xdr:colOff>905</xdr:colOff>
      <xdr:row>81</xdr:row>
      <xdr:rowOff>18004</xdr:rowOff>
    </xdr:from>
    <xdr:to>
      <xdr:col>77</xdr:col>
      <xdr:colOff>906</xdr:colOff>
      <xdr:row>82</xdr:row>
      <xdr:rowOff>0</xdr:rowOff>
    </xdr:to>
    <xdr:sp macro="" textlink="'Linking Cells'!A89">
      <xdr:nvSpPr>
        <xdr:cNvPr id="62" name="TextBox 170">
          <a:extLst>
            <a:ext uri="{FF2B5EF4-FFF2-40B4-BE49-F238E27FC236}">
              <a16:creationId xmlns:a16="http://schemas.microsoft.com/office/drawing/2014/main" id="{4695C990-D977-4CD3-BE14-D222D31A84C3}"/>
            </a:ext>
          </a:extLst>
        </xdr:cNvPr>
        <xdr:cNvSpPr txBox="1"/>
      </xdr:nvSpPr>
      <xdr:spPr>
        <a:xfrm>
          <a:off x="12573905" y="15452314"/>
          <a:ext cx="2095501" cy="1686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85C296F-4C5B-455E-BEFB-94F0B347B878}" type="TxLink">
            <a:rPr lang="en-US" sz="1000" b="0" i="0" u="none" strike="noStrike">
              <a:solidFill>
                <a:srgbClr val="2A2A2A"/>
              </a:solidFill>
              <a:latin typeface="Overpass" pitchFamily="2" charset="77"/>
              <a:ea typeface="+mn-ea"/>
              <a:cs typeface="Calibri"/>
            </a:rPr>
            <a:pPr marL="0" indent="0" algn="l"/>
            <a:t>$6,473 excl.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17</xdr:col>
      <xdr:colOff>192557</xdr:colOff>
      <xdr:row>201</xdr:row>
      <xdr:rowOff>190128</xdr:rowOff>
    </xdr:from>
    <xdr:to>
      <xdr:col>23</xdr:col>
      <xdr:colOff>0</xdr:colOff>
      <xdr:row>202</xdr:row>
      <xdr:rowOff>188180</xdr:rowOff>
    </xdr:to>
    <xdr:sp macro="" textlink="'Linking Cells'!B116">
      <xdr:nvSpPr>
        <xdr:cNvPr id="63" name="TextBox 62">
          <a:extLst>
            <a:ext uri="{FF2B5EF4-FFF2-40B4-BE49-F238E27FC236}">
              <a16:creationId xmlns:a16="http://schemas.microsoft.com/office/drawing/2014/main" id="{AE4DDE30-CA95-40ED-BCE1-0C7B96FD7443}"/>
            </a:ext>
          </a:extLst>
        </xdr:cNvPr>
        <xdr:cNvSpPr txBox="1"/>
      </xdr:nvSpPr>
      <xdr:spPr>
        <a:xfrm>
          <a:off x="3431057" y="38480628"/>
          <a:ext cx="950443" cy="18855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DE08BDB-686F-4195-BDC3-69819F503DAB}" type="TxLink">
            <a:rPr lang="en-US" sz="1000" b="0" i="0" u="none" strike="noStrike">
              <a:solidFill>
                <a:srgbClr val="2A2A2A"/>
              </a:solidFill>
              <a:latin typeface="Overpass" pitchFamily="2" charset="77"/>
              <a:ea typeface="+mn-ea"/>
              <a:cs typeface="Calibri"/>
            </a:rPr>
            <a:pPr marL="0" indent="0" algn="l"/>
            <a:t> $2,440.27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18</xdr:col>
      <xdr:colOff>6314</xdr:colOff>
      <xdr:row>202</xdr:row>
      <xdr:rowOff>188180</xdr:rowOff>
    </xdr:from>
    <xdr:to>
      <xdr:col>23</xdr:col>
      <xdr:colOff>1331</xdr:colOff>
      <xdr:row>203</xdr:row>
      <xdr:rowOff>188181</xdr:rowOff>
    </xdr:to>
    <xdr:sp macro="" textlink="'Linking Cells'!B117">
      <xdr:nvSpPr>
        <xdr:cNvPr id="64" name="TextBox 63">
          <a:extLst>
            <a:ext uri="{FF2B5EF4-FFF2-40B4-BE49-F238E27FC236}">
              <a16:creationId xmlns:a16="http://schemas.microsoft.com/office/drawing/2014/main" id="{61CB7EC9-AC13-47E3-883D-545E01F07A61}"/>
            </a:ext>
          </a:extLst>
        </xdr:cNvPr>
        <xdr:cNvSpPr txBox="1"/>
      </xdr:nvSpPr>
      <xdr:spPr>
        <a:xfrm>
          <a:off x="3437219" y="38669180"/>
          <a:ext cx="945612" cy="1905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D564C70-039B-47C3-A7AE-89C44CC4005C}" type="TxLink">
            <a:rPr lang="en-US" sz="1000" b="0" i="0" u="none" strike="noStrike">
              <a:solidFill>
                <a:srgbClr val="2A2A2A"/>
              </a:solidFill>
              <a:latin typeface="Overpass" pitchFamily="2" charset="77"/>
              <a:ea typeface="+mn-ea"/>
              <a:cs typeface="Calibri"/>
            </a:rPr>
            <a:pPr marL="0" indent="0" algn="l"/>
            <a:t> $1,220.13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28</xdr:col>
      <xdr:colOff>4518</xdr:colOff>
      <xdr:row>171</xdr:row>
      <xdr:rowOff>26186</xdr:rowOff>
    </xdr:from>
    <xdr:to>
      <xdr:col>58</xdr:col>
      <xdr:colOff>13093</xdr:colOff>
      <xdr:row>173</xdr:row>
      <xdr:rowOff>34762</xdr:rowOff>
    </xdr:to>
    <xdr:sp macro="" textlink="'[1]Linking Cells'!B32">
      <xdr:nvSpPr>
        <xdr:cNvPr id="65" name="TextBox 64">
          <a:extLst>
            <a:ext uri="{FF2B5EF4-FFF2-40B4-BE49-F238E27FC236}">
              <a16:creationId xmlns:a16="http://schemas.microsoft.com/office/drawing/2014/main" id="{34294C1A-D01E-4F93-B312-C4449E4EB8C7}"/>
            </a:ext>
          </a:extLst>
        </xdr:cNvPr>
        <xdr:cNvSpPr txBox="1"/>
      </xdr:nvSpPr>
      <xdr:spPr>
        <a:xfrm>
          <a:off x="5503487" y="33609176"/>
          <a:ext cx="5900328" cy="401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4CC6332-FFD8-4467-BBC3-0EC4B0EC0097}" type="TxLink">
            <a:rPr lang="en-US" sz="800" b="0" i="0" u="none" strike="noStrike">
              <a:solidFill>
                <a:srgbClr val="666666"/>
              </a:solidFill>
              <a:latin typeface="Overpass" panose="00000500000000000000" pitchFamily="2" charset="0"/>
              <a:ea typeface="+mn-ea"/>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5</xdr:col>
      <xdr:colOff>187816</xdr:colOff>
      <xdr:row>152</xdr:row>
      <xdr:rowOff>2634</xdr:rowOff>
    </xdr:from>
    <xdr:to>
      <xdr:col>19</xdr:col>
      <xdr:colOff>0</xdr:colOff>
      <xdr:row>153</xdr:row>
      <xdr:rowOff>2635</xdr:rowOff>
    </xdr:to>
    <xdr:sp macro="" textlink="'[1]Linking Cells'!C4">
      <xdr:nvSpPr>
        <xdr:cNvPr id="66" name="TextBox 65">
          <a:extLst>
            <a:ext uri="{FF2B5EF4-FFF2-40B4-BE49-F238E27FC236}">
              <a16:creationId xmlns:a16="http://schemas.microsoft.com/office/drawing/2014/main" id="{0B5F4433-BFB3-4BE4-B6EF-941ABD18F6FB}"/>
            </a:ext>
          </a:extLst>
        </xdr:cNvPr>
        <xdr:cNvSpPr txBox="1"/>
      </xdr:nvSpPr>
      <xdr:spPr>
        <a:xfrm>
          <a:off x="1140316" y="28958634"/>
          <a:ext cx="2479184"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941018-53BC-4B1B-B3EF-DA9E40010E1C}" type="TxLink">
            <a:rPr lang="en-US" sz="800" b="0" i="0" u="none" strike="noStrike">
              <a:solidFill>
                <a:srgbClr val="666666"/>
              </a:solidFill>
              <a:latin typeface="Overpass" panose="00000500000000000000" pitchFamily="2" charset="0"/>
              <a:ea typeface="Calibri"/>
              <a:cs typeface="Calibri"/>
            </a:rPr>
            <a:pPr marL="0" indent="0" algn="l"/>
            <a:t> </a:t>
          </a:fld>
          <a:endParaRPr lang="en-US" sz="800" b="0" i="0" u="none" strike="noStrike">
            <a:solidFill>
              <a:srgbClr val="666666"/>
            </a:solidFill>
            <a:latin typeface="Overpass" panose="00000500000000000000" pitchFamily="2" charset="0"/>
            <a:ea typeface="+mn-ea"/>
            <a:cs typeface="Calibri"/>
          </a:endParaRPr>
        </a:p>
      </xdr:txBody>
    </xdr:sp>
    <xdr:clientData/>
  </xdr:twoCellAnchor>
  <xdr:twoCellAnchor>
    <xdr:from>
      <xdr:col>6</xdr:col>
      <xdr:colOff>0</xdr:colOff>
      <xdr:row>67</xdr:row>
      <xdr:rowOff>0</xdr:rowOff>
    </xdr:from>
    <xdr:to>
      <xdr:col>25</xdr:col>
      <xdr:colOff>189149</xdr:colOff>
      <xdr:row>69</xdr:row>
      <xdr:rowOff>6350</xdr:rowOff>
    </xdr:to>
    <xdr:sp macro="" textlink="">
      <xdr:nvSpPr>
        <xdr:cNvPr id="67" name="TextBox 15">
          <a:extLst>
            <a:ext uri="{FF2B5EF4-FFF2-40B4-BE49-F238E27FC236}">
              <a16:creationId xmlns:a16="http://schemas.microsoft.com/office/drawing/2014/main" id="{35F5E7F1-A0CC-4645-BCC5-558459BE5CB3}"/>
            </a:ext>
          </a:extLst>
        </xdr:cNvPr>
        <xdr:cNvSpPr txBox="1"/>
      </xdr:nvSpPr>
      <xdr:spPr>
        <a:xfrm>
          <a:off x="1143000" y="12763500"/>
          <a:ext cx="3808649" cy="389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PROJECT DETAILS</a:t>
          </a:r>
        </a:p>
      </xdr:txBody>
    </xdr:sp>
    <xdr:clientData/>
  </xdr:twoCellAnchor>
  <xdr:twoCellAnchor>
    <xdr:from>
      <xdr:col>47</xdr:col>
      <xdr:colOff>1</xdr:colOff>
      <xdr:row>38</xdr:row>
      <xdr:rowOff>9820</xdr:rowOff>
    </xdr:from>
    <xdr:to>
      <xdr:col>63</xdr:col>
      <xdr:colOff>58919</xdr:colOff>
      <xdr:row>45</xdr:row>
      <xdr:rowOff>0</xdr:rowOff>
    </xdr:to>
    <xdr:sp macro="" textlink="">
      <xdr:nvSpPr>
        <xdr:cNvPr id="68" name="TextBox 67">
          <a:extLst>
            <a:ext uri="{FF2B5EF4-FFF2-40B4-BE49-F238E27FC236}">
              <a16:creationId xmlns:a16="http://schemas.microsoft.com/office/drawing/2014/main" id="{BDAE1538-2B89-4AAA-B135-C11A0C94EDE5}"/>
            </a:ext>
            <a:ext uri="{147F2762-F138-4A5C-976F-8EAC2B608ADB}">
              <a16:predDERef xmlns:a16="http://schemas.microsoft.com/office/drawing/2014/main" pred="{00000000-0008-0000-0A00-000063000000}"/>
            </a:ext>
          </a:extLst>
        </xdr:cNvPr>
        <xdr:cNvSpPr txBox="1"/>
      </xdr:nvSpPr>
      <xdr:spPr>
        <a:xfrm>
          <a:off x="8768893" y="7099562"/>
          <a:ext cx="3044072" cy="1296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3000" b="0" i="0">
              <a:solidFill>
                <a:srgbClr val="28066C"/>
              </a:solidFill>
              <a:latin typeface="Barlow Light" panose="00000400000000000000" pitchFamily="2" charset="0"/>
            </a:rPr>
            <a:t>BESS AGREEMENT</a:t>
          </a:r>
        </a:p>
      </xdr:txBody>
    </xdr:sp>
    <xdr:clientData/>
  </xdr:twoCellAnchor>
  <xdr:twoCellAnchor>
    <xdr:from>
      <xdr:col>47</xdr:col>
      <xdr:colOff>0</xdr:colOff>
      <xdr:row>45</xdr:row>
      <xdr:rowOff>13350</xdr:rowOff>
    </xdr:from>
    <xdr:to>
      <xdr:col>63</xdr:col>
      <xdr:colOff>0</xdr:colOff>
      <xdr:row>45</xdr:row>
      <xdr:rowOff>13350</xdr:rowOff>
    </xdr:to>
    <xdr:cxnSp macro="">
      <xdr:nvCxnSpPr>
        <xdr:cNvPr id="69" name="Straight Connector 68">
          <a:extLst>
            <a:ext uri="{FF2B5EF4-FFF2-40B4-BE49-F238E27FC236}">
              <a16:creationId xmlns:a16="http://schemas.microsoft.com/office/drawing/2014/main" id="{98639FA0-1EDD-4E2C-8E57-EDC4450D7C9E}"/>
            </a:ext>
          </a:extLst>
        </xdr:cNvPr>
        <xdr:cNvCxnSpPr/>
      </xdr:nvCxnSpPr>
      <xdr:spPr>
        <a:xfrm>
          <a:off x="8953500" y="8589660"/>
          <a:ext cx="3048000" cy="0"/>
        </a:xfrm>
        <a:prstGeom prst="line">
          <a:avLst/>
        </a:prstGeom>
        <a:ln w="12700">
          <a:solidFill>
            <a:srgbClr val="28066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xdr:row>
      <xdr:rowOff>0</xdr:rowOff>
    </xdr:from>
    <xdr:to>
      <xdr:col>67</xdr:col>
      <xdr:colOff>0</xdr:colOff>
      <xdr:row>69</xdr:row>
      <xdr:rowOff>0</xdr:rowOff>
    </xdr:to>
    <xdr:sp macro="" textlink="">
      <xdr:nvSpPr>
        <xdr:cNvPr id="70" name="TextBox 213">
          <a:extLst>
            <a:ext uri="{FF2B5EF4-FFF2-40B4-BE49-F238E27FC236}">
              <a16:creationId xmlns:a16="http://schemas.microsoft.com/office/drawing/2014/main" id="{1B7C6A69-009B-46AB-9C39-E9819D10084D}"/>
            </a:ext>
          </a:extLst>
        </xdr:cNvPr>
        <xdr:cNvSpPr txBox="1"/>
      </xdr:nvSpPr>
      <xdr:spPr>
        <a:xfrm>
          <a:off x="8953500" y="12763500"/>
          <a:ext cx="3810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rgbClr val="28066C"/>
              </a:solidFill>
              <a:latin typeface="Barlow" pitchFamily="2" charset="77"/>
            </a:rPr>
            <a:t>ACCEPTANCE</a:t>
          </a:r>
        </a:p>
      </xdr:txBody>
    </xdr:sp>
    <xdr:clientData/>
  </xdr:twoCellAnchor>
  <xdr:twoCellAnchor>
    <xdr:from>
      <xdr:col>46</xdr:col>
      <xdr:colOff>189906</xdr:colOff>
      <xdr:row>72</xdr:row>
      <xdr:rowOff>0</xdr:rowOff>
    </xdr:from>
    <xdr:to>
      <xdr:col>62</xdr:col>
      <xdr:colOff>15716</xdr:colOff>
      <xdr:row>73</xdr:row>
      <xdr:rowOff>17859</xdr:rowOff>
    </xdr:to>
    <xdr:sp macro="" textlink="">
      <xdr:nvSpPr>
        <xdr:cNvPr id="71" name="TextBox 236">
          <a:extLst>
            <a:ext uri="{FF2B5EF4-FFF2-40B4-BE49-F238E27FC236}">
              <a16:creationId xmlns:a16="http://schemas.microsoft.com/office/drawing/2014/main" id="{211378C8-B7C7-493B-93CC-0CD7E3DE670F}"/>
            </a:ext>
          </a:extLst>
        </xdr:cNvPr>
        <xdr:cNvSpPr txBox="1"/>
      </xdr:nvSpPr>
      <xdr:spPr>
        <a:xfrm>
          <a:off x="8952906" y="13716000"/>
          <a:ext cx="2873810" cy="208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SYSTEM VALUE - SUPPLY</a:t>
          </a:r>
          <a:r>
            <a:rPr lang="en-US" sz="1000" b="1" i="0" u="none" strike="noStrike" baseline="0">
              <a:solidFill>
                <a:srgbClr val="28066C"/>
              </a:solidFill>
              <a:latin typeface="Overpass" panose="00000500000000000000" pitchFamily="2" charset="0"/>
              <a:ea typeface="+mn-ea"/>
              <a:cs typeface="Calibri"/>
            </a:rPr>
            <a:t> &amp; INSTALL</a:t>
          </a:r>
          <a:endParaRPr lang="en-US" sz="1000" b="1" i="0" u="none" strike="noStrike">
            <a:solidFill>
              <a:srgbClr val="28066C"/>
            </a:solidFill>
            <a:latin typeface="Overpass" panose="00000500000000000000" pitchFamily="2" charset="0"/>
            <a:ea typeface="+mn-ea"/>
            <a:cs typeface="Calibri"/>
          </a:endParaRPr>
        </a:p>
      </xdr:txBody>
    </xdr:sp>
    <xdr:clientData/>
  </xdr:twoCellAnchor>
  <xdr:twoCellAnchor>
    <xdr:from>
      <xdr:col>83</xdr:col>
      <xdr:colOff>141482</xdr:colOff>
      <xdr:row>77</xdr:row>
      <xdr:rowOff>0</xdr:rowOff>
    </xdr:from>
    <xdr:to>
      <xdr:col>93</xdr:col>
      <xdr:colOff>148516</xdr:colOff>
      <xdr:row>78</xdr:row>
      <xdr:rowOff>1</xdr:rowOff>
    </xdr:to>
    <xdr:sp macro="" textlink="">
      <xdr:nvSpPr>
        <xdr:cNvPr id="116" name="TextBox 237">
          <a:extLst>
            <a:ext uri="{FF2B5EF4-FFF2-40B4-BE49-F238E27FC236}">
              <a16:creationId xmlns:a16="http://schemas.microsoft.com/office/drawing/2014/main" id="{3A366822-DE89-4A1A-9445-E93309CA49F0}"/>
            </a:ext>
          </a:extLst>
        </xdr:cNvPr>
        <xdr:cNvSpPr txBox="1"/>
      </xdr:nvSpPr>
      <xdr:spPr>
        <a:xfrm>
          <a:off x="15952982" y="14668500"/>
          <a:ext cx="2263726"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POST</a:t>
          </a:r>
          <a:r>
            <a:rPr lang="en-US" sz="1000" b="1" i="0" u="none" strike="noStrike" baseline="0">
              <a:solidFill>
                <a:srgbClr val="28066C"/>
              </a:solidFill>
              <a:latin typeface="Overpass" panose="00000500000000000000" pitchFamily="2" charset="0"/>
              <a:ea typeface="+mn-ea"/>
              <a:cs typeface="Calibri"/>
            </a:rPr>
            <a:t> INSTALL SERVICING</a:t>
          </a:r>
          <a:r>
            <a:rPr lang="en-US" sz="1000" b="1" i="0" u="none" strike="noStrike">
              <a:solidFill>
                <a:srgbClr val="28066C"/>
              </a:solidFill>
              <a:latin typeface="Overpass" panose="00000500000000000000" pitchFamily="2" charset="0"/>
              <a:ea typeface="+mn-ea"/>
              <a:cs typeface="Calibri"/>
            </a:rPr>
            <a:t> P.A.</a:t>
          </a:r>
        </a:p>
      </xdr:txBody>
    </xdr:sp>
    <xdr:clientData/>
  </xdr:twoCellAnchor>
  <xdr:twoCellAnchor>
    <xdr:from>
      <xdr:col>47</xdr:col>
      <xdr:colOff>0</xdr:colOff>
      <xdr:row>85</xdr:row>
      <xdr:rowOff>186866</xdr:rowOff>
    </xdr:from>
    <xdr:to>
      <xdr:col>63</xdr:col>
      <xdr:colOff>123825</xdr:colOff>
      <xdr:row>87</xdr:row>
      <xdr:rowOff>0</xdr:rowOff>
    </xdr:to>
    <xdr:sp macro="" textlink="">
      <xdr:nvSpPr>
        <xdr:cNvPr id="73" name="TextBox 422">
          <a:extLst>
            <a:ext uri="{FF2B5EF4-FFF2-40B4-BE49-F238E27FC236}">
              <a16:creationId xmlns:a16="http://schemas.microsoft.com/office/drawing/2014/main" id="{49A29310-AA29-48C0-910B-8F1EE9E7B4BC}"/>
            </a:ext>
            <a:ext uri="{147F2762-F138-4A5C-976F-8EAC2B608ADB}">
              <a16:predDERef xmlns:a16="http://schemas.microsoft.com/office/drawing/2014/main" pred="{00000000-0008-0000-0A00-000069000000}"/>
            </a:ext>
          </a:extLst>
        </xdr:cNvPr>
        <xdr:cNvSpPr txBox="1"/>
      </xdr:nvSpPr>
      <xdr:spPr>
        <a:xfrm>
          <a:off x="8953500" y="16379366"/>
          <a:ext cx="3173730" cy="194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a:rPr>
            <a:t>TOTAL VALUE </a:t>
          </a:r>
        </a:p>
      </xdr:txBody>
    </xdr:sp>
    <xdr:clientData/>
  </xdr:twoCellAnchor>
  <xdr:twoCellAnchor>
    <xdr:from>
      <xdr:col>47</xdr:col>
      <xdr:colOff>1758</xdr:colOff>
      <xdr:row>96</xdr:row>
      <xdr:rowOff>188144</xdr:rowOff>
    </xdr:from>
    <xdr:to>
      <xdr:col>78</xdr:col>
      <xdr:colOff>3254</xdr:colOff>
      <xdr:row>118</xdr:row>
      <xdr:rowOff>188147</xdr:rowOff>
    </xdr:to>
    <xdr:grpSp>
      <xdr:nvGrpSpPr>
        <xdr:cNvPr id="74" name="Group 73">
          <a:extLst>
            <a:ext uri="{FF2B5EF4-FFF2-40B4-BE49-F238E27FC236}">
              <a16:creationId xmlns:a16="http://schemas.microsoft.com/office/drawing/2014/main" id="{0E44DE2D-3432-4550-8B0F-BAD69C21C849}"/>
            </a:ext>
          </a:extLst>
        </xdr:cNvPr>
        <xdr:cNvGrpSpPr/>
      </xdr:nvGrpSpPr>
      <xdr:grpSpPr>
        <a:xfrm>
          <a:off x="8955258" y="18476144"/>
          <a:ext cx="5906996" cy="4191003"/>
          <a:chOff x="9069746" y="18724880"/>
          <a:chExt cx="5990628" cy="4246437"/>
        </a:xfrm>
      </xdr:grpSpPr>
      <xdr:sp macro="" textlink="">
        <xdr:nvSpPr>
          <xdr:cNvPr id="75" name="TextBox 146">
            <a:extLst>
              <a:ext uri="{FF2B5EF4-FFF2-40B4-BE49-F238E27FC236}">
                <a16:creationId xmlns:a16="http://schemas.microsoft.com/office/drawing/2014/main" id="{864423D1-EA62-E7C7-9A60-6E80E2E0C4EF}"/>
              </a:ext>
            </a:extLst>
          </xdr:cNvPr>
          <xdr:cNvSpPr txBox="1"/>
        </xdr:nvSpPr>
        <xdr:spPr>
          <a:xfrm>
            <a:off x="9076155" y="19304000"/>
            <a:ext cx="5772686" cy="19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i="0" u="none" strike="noStrike">
                <a:solidFill>
                  <a:srgbClr val="2A2A2A"/>
                </a:solidFill>
                <a:latin typeface="Overpass" panose="00000500000000000000" pitchFamily="2" charset="0"/>
                <a:ea typeface="+mn-ea"/>
                <a:cs typeface="Calibri"/>
              </a:rPr>
              <a:t>EXECUTED AS AN AGREEMENT</a:t>
            </a:r>
          </a:p>
        </xdr:txBody>
      </xdr:sp>
      <xdr:sp macro="" textlink="">
        <xdr:nvSpPr>
          <xdr:cNvPr id="76" name="TextBox 75">
            <a:hlinkClick xmlns:r="http://schemas.openxmlformats.org/officeDocument/2006/relationships" r:id="rId2"/>
            <a:extLst>
              <a:ext uri="{FF2B5EF4-FFF2-40B4-BE49-F238E27FC236}">
                <a16:creationId xmlns:a16="http://schemas.microsoft.com/office/drawing/2014/main" id="{CCA8E525-0F93-4FBF-19EC-318A42A1FBB8}"/>
              </a:ext>
            </a:extLst>
          </xdr:cNvPr>
          <xdr:cNvSpPr txBox="1"/>
        </xdr:nvSpPr>
        <xdr:spPr>
          <a:xfrm>
            <a:off x="9072881" y="22199178"/>
            <a:ext cx="5791200" cy="772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executing this quote</a:t>
            </a:r>
            <a:r>
              <a:rPr lang="en-US" sz="1000" b="0" i="1" u="none" strike="noStrike" baseline="0">
                <a:solidFill>
                  <a:srgbClr val="2A2A2A"/>
                </a:solidFill>
                <a:latin typeface="Overpass" panose="00000500000000000000" pitchFamily="2" charset="0"/>
                <a:ea typeface="+mn-ea"/>
                <a:cs typeface="Calibri"/>
              </a:rPr>
              <a:t> I acknowledge that I have read and understood the terms and conditions to which apply to this quote located at </a:t>
            </a:r>
            <a:r>
              <a:rPr lang="en-US" sz="1000" b="0" i="0" u="sng" strike="noStrike" baseline="0">
                <a:solidFill>
                  <a:srgbClr val="27056C"/>
                </a:solidFill>
                <a:latin typeface="Overpass" panose="00000500000000000000" pitchFamily="2" charset="0"/>
                <a:ea typeface="+mn-ea"/>
                <a:cs typeface="Calibri"/>
              </a:rPr>
              <a:t>www.smartcommercialenergy.com.au/terms-and-conditions</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sp macro="" textlink="">
        <xdr:nvSpPr>
          <xdr:cNvPr id="77" name="TextBox 177">
            <a:extLst>
              <a:ext uri="{FF2B5EF4-FFF2-40B4-BE49-F238E27FC236}">
                <a16:creationId xmlns:a16="http://schemas.microsoft.com/office/drawing/2014/main" id="{886913DD-CB9D-1A5D-BD36-CE2AA3F58C96}"/>
              </a:ext>
            </a:extLst>
          </xdr:cNvPr>
          <xdr:cNvSpPr txBox="1"/>
        </xdr:nvSpPr>
        <xdr:spPr>
          <a:xfrm>
            <a:off x="9073200" y="19498806"/>
            <a:ext cx="5987174" cy="193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2A2A2A"/>
                </a:solidFill>
                <a:latin typeface="Overpass" panose="00000500000000000000" pitchFamily="2" charset="0"/>
                <a:ea typeface="+mn-ea"/>
                <a:cs typeface="Calibri"/>
              </a:rPr>
              <a:t>Signed for the </a:t>
            </a:r>
            <a:r>
              <a:rPr lang="en-US" sz="900" b="1" i="0" u="none" strike="noStrike">
                <a:solidFill>
                  <a:srgbClr val="2A2A2A"/>
                </a:solidFill>
                <a:latin typeface="Overpass" panose="00000500000000000000" pitchFamily="2" charset="0"/>
                <a:ea typeface="+mn-ea"/>
                <a:cs typeface="Calibri"/>
              </a:rPr>
              <a:t>Customer</a:t>
            </a:r>
            <a:r>
              <a:rPr lang="en-US" sz="900" b="0" i="0" u="none" strike="noStrike">
                <a:solidFill>
                  <a:srgbClr val="2A2A2A"/>
                </a:solidFill>
                <a:latin typeface="Overpass" panose="00000500000000000000" pitchFamily="2" charset="0"/>
                <a:ea typeface="+mn-ea"/>
                <a:cs typeface="Calibri"/>
              </a:rPr>
              <a:t> in accordance with section 126 of the </a:t>
            </a:r>
            <a:r>
              <a:rPr lang="en-US" sz="900" b="0" i="1" u="none" strike="noStrike">
                <a:solidFill>
                  <a:srgbClr val="2A2A2A"/>
                </a:solidFill>
                <a:latin typeface="Overpass" panose="00000500000000000000" pitchFamily="2" charset="0"/>
                <a:ea typeface="+mn-ea"/>
                <a:cs typeface="Calibri"/>
              </a:rPr>
              <a:t>Corporations Act 2001 </a:t>
            </a:r>
            <a:r>
              <a:rPr lang="en-US" sz="900" b="0" i="0" u="none" strike="noStrike">
                <a:solidFill>
                  <a:srgbClr val="2A2A2A"/>
                </a:solidFill>
                <a:latin typeface="Overpass" panose="00000500000000000000" pitchFamily="2" charset="0"/>
                <a:ea typeface="+mn-ea"/>
                <a:cs typeface="Calibri"/>
              </a:rPr>
              <a:t>(Cth) by: </a:t>
            </a:r>
          </a:p>
        </xdr:txBody>
      </xdr:sp>
      <xdr:sp macro="" textlink="">
        <xdr:nvSpPr>
          <xdr:cNvPr id="78" name="TextBox 423">
            <a:extLst>
              <a:ext uri="{FF2B5EF4-FFF2-40B4-BE49-F238E27FC236}">
                <a16:creationId xmlns:a16="http://schemas.microsoft.com/office/drawing/2014/main" id="{A08A8C3D-4F49-A992-DBAF-0951210AF3D0}"/>
              </a:ext>
            </a:extLst>
          </xdr:cNvPr>
          <xdr:cNvSpPr txBox="1"/>
        </xdr:nvSpPr>
        <xdr:spPr>
          <a:xfrm>
            <a:off x="9364158" y="18724880"/>
            <a:ext cx="1837550" cy="392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Execution</a:t>
            </a:r>
          </a:p>
        </xdr:txBody>
      </xdr:sp>
      <xdr:cxnSp macro="">
        <xdr:nvCxnSpPr>
          <xdr:cNvPr id="79" name="Straight Connector 424">
            <a:extLst>
              <a:ext uri="{FF2B5EF4-FFF2-40B4-BE49-F238E27FC236}">
                <a16:creationId xmlns:a16="http://schemas.microsoft.com/office/drawing/2014/main" id="{2B9B26B5-41DF-6722-752E-2644DEE75FE5}"/>
              </a:ext>
            </a:extLst>
          </xdr:cNvPr>
          <xdr:cNvCxnSpPr/>
        </xdr:nvCxnSpPr>
        <xdr:spPr>
          <a:xfrm>
            <a:off x="9171114" y="18724880"/>
            <a:ext cx="0" cy="39242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nvGrpSpPr>
          <xdr:cNvPr id="80" name="Group 79">
            <a:extLst>
              <a:ext uri="{FF2B5EF4-FFF2-40B4-BE49-F238E27FC236}">
                <a16:creationId xmlns:a16="http://schemas.microsoft.com/office/drawing/2014/main" id="{CDFA6E05-B719-FBFB-5C1D-ABD64F0D3CE9}"/>
              </a:ext>
            </a:extLst>
          </xdr:cNvPr>
          <xdr:cNvGrpSpPr/>
        </xdr:nvGrpSpPr>
        <xdr:grpSpPr>
          <a:xfrm>
            <a:off x="12354560" y="21427440"/>
            <a:ext cx="2509520" cy="207934"/>
            <a:chOff x="12354560" y="21427440"/>
            <a:chExt cx="2509520" cy="207934"/>
          </a:xfrm>
        </xdr:grpSpPr>
        <xdr:sp macro="" textlink="">
          <xdr:nvSpPr>
            <xdr:cNvPr id="90" name="TextBox 179">
              <a:extLst>
                <a:ext uri="{FF2B5EF4-FFF2-40B4-BE49-F238E27FC236}">
                  <a16:creationId xmlns:a16="http://schemas.microsoft.com/office/drawing/2014/main" id="{C03834D2-3EC3-3A01-8168-02B0A9121346}"/>
                </a:ext>
              </a:extLst>
            </xdr:cNvPr>
            <xdr:cNvSpPr txBox="1"/>
          </xdr:nvSpPr>
          <xdr:spPr>
            <a:xfrm>
              <a:off x="12354560" y="21443070"/>
              <a:ext cx="2509520"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Date</a:t>
              </a:r>
            </a:p>
          </xdr:txBody>
        </xdr:sp>
        <xdr:cxnSp macro="">
          <xdr:nvCxnSpPr>
            <xdr:cNvPr id="91" name="Straight Connector 14">
              <a:extLst>
                <a:ext uri="{FF2B5EF4-FFF2-40B4-BE49-F238E27FC236}">
                  <a16:creationId xmlns:a16="http://schemas.microsoft.com/office/drawing/2014/main" id="{CB8B14A2-1356-E317-A52F-DF7AEA353E5C}"/>
                </a:ext>
              </a:extLst>
            </xdr:cNvPr>
            <xdr:cNvCxnSpPr/>
          </xdr:nvCxnSpPr>
          <xdr:spPr>
            <a:xfrm>
              <a:off x="12354560" y="21427440"/>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81" name="Group 80">
            <a:extLst>
              <a:ext uri="{FF2B5EF4-FFF2-40B4-BE49-F238E27FC236}">
                <a16:creationId xmlns:a16="http://schemas.microsoft.com/office/drawing/2014/main" id="{57A997E2-797E-9830-0C71-88D113EBCC3D}"/>
              </a:ext>
            </a:extLst>
          </xdr:cNvPr>
          <xdr:cNvGrpSpPr/>
        </xdr:nvGrpSpPr>
        <xdr:grpSpPr>
          <a:xfrm>
            <a:off x="9069746" y="20463704"/>
            <a:ext cx="2512655" cy="205632"/>
            <a:chOff x="9069746" y="20463704"/>
            <a:chExt cx="2512655" cy="205632"/>
          </a:xfrm>
        </xdr:grpSpPr>
        <xdr:sp macro="" textlink="">
          <xdr:nvSpPr>
            <xdr:cNvPr id="88" name="TextBox 180">
              <a:extLst>
                <a:ext uri="{FF2B5EF4-FFF2-40B4-BE49-F238E27FC236}">
                  <a16:creationId xmlns:a16="http://schemas.microsoft.com/office/drawing/2014/main" id="{4A148839-D6FE-2D69-13E4-09A0077A952D}"/>
                </a:ext>
              </a:extLst>
            </xdr:cNvPr>
            <xdr:cNvSpPr txBox="1"/>
          </xdr:nvSpPr>
          <xdr:spPr>
            <a:xfrm>
              <a:off x="9072881" y="20466815"/>
              <a:ext cx="2509520" cy="202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Signature of Authorised Representative</a:t>
              </a:r>
            </a:p>
          </xdr:txBody>
        </xdr:sp>
        <xdr:cxnSp macro="">
          <xdr:nvCxnSpPr>
            <xdr:cNvPr id="89" name="Straight Connector 16">
              <a:extLst>
                <a:ext uri="{FF2B5EF4-FFF2-40B4-BE49-F238E27FC236}">
                  <a16:creationId xmlns:a16="http://schemas.microsoft.com/office/drawing/2014/main" id="{1B395385-A0FB-DB19-F36E-E4E3691B7608}"/>
                </a:ext>
              </a:extLst>
            </xdr:cNvPr>
            <xdr:cNvCxnSpPr/>
          </xdr:nvCxnSpPr>
          <xdr:spPr>
            <a:xfrm>
              <a:off x="9069746" y="20463704"/>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82" name="Group 81">
            <a:extLst>
              <a:ext uri="{FF2B5EF4-FFF2-40B4-BE49-F238E27FC236}">
                <a16:creationId xmlns:a16="http://schemas.microsoft.com/office/drawing/2014/main" id="{A42E2BF5-D0C9-342C-C9CC-A1561DE3605C}"/>
              </a:ext>
            </a:extLst>
          </xdr:cNvPr>
          <xdr:cNvGrpSpPr/>
        </xdr:nvGrpSpPr>
        <xdr:grpSpPr>
          <a:xfrm>
            <a:off x="9069746" y="21430445"/>
            <a:ext cx="2715032" cy="204929"/>
            <a:chOff x="9069746" y="21430445"/>
            <a:chExt cx="2715032" cy="204929"/>
          </a:xfrm>
        </xdr:grpSpPr>
        <xdr:sp macro="" textlink="">
          <xdr:nvSpPr>
            <xdr:cNvPr id="86" name="TextBox 181">
              <a:extLst>
                <a:ext uri="{FF2B5EF4-FFF2-40B4-BE49-F238E27FC236}">
                  <a16:creationId xmlns:a16="http://schemas.microsoft.com/office/drawing/2014/main" id="{8E8B8799-CBF0-0E33-B1A8-130AB4584B67}"/>
                </a:ext>
              </a:extLst>
            </xdr:cNvPr>
            <xdr:cNvSpPr txBox="1"/>
          </xdr:nvSpPr>
          <xdr:spPr>
            <a:xfrm>
              <a:off x="9073615" y="21443070"/>
              <a:ext cx="2711163" cy="192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Name of Authorised Representative (Print)</a:t>
              </a:r>
            </a:p>
          </xdr:txBody>
        </xdr:sp>
        <xdr:cxnSp macro="">
          <xdr:nvCxnSpPr>
            <xdr:cNvPr id="87" name="Straight Connector 4">
              <a:extLst>
                <a:ext uri="{FF2B5EF4-FFF2-40B4-BE49-F238E27FC236}">
                  <a16:creationId xmlns:a16="http://schemas.microsoft.com/office/drawing/2014/main" id="{D795AEC9-A2AA-3BAD-2C3A-E83781915BA4}"/>
                </a:ext>
              </a:extLst>
            </xdr:cNvPr>
            <xdr:cNvCxnSpPr/>
          </xdr:nvCxnSpPr>
          <xdr:spPr>
            <a:xfrm>
              <a:off x="9069746" y="21430445"/>
              <a:ext cx="2512654"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nvGrpSpPr>
          <xdr:cNvPr id="83" name="Group 82">
            <a:extLst>
              <a:ext uri="{FF2B5EF4-FFF2-40B4-BE49-F238E27FC236}">
                <a16:creationId xmlns:a16="http://schemas.microsoft.com/office/drawing/2014/main" id="{262F0F2E-A410-24E1-6B5F-CC2577BC5823}"/>
              </a:ext>
            </a:extLst>
          </xdr:cNvPr>
          <xdr:cNvGrpSpPr/>
        </xdr:nvGrpSpPr>
        <xdr:grpSpPr>
          <a:xfrm>
            <a:off x="12354560" y="20466815"/>
            <a:ext cx="2509520" cy="195163"/>
            <a:chOff x="12354560" y="20466815"/>
            <a:chExt cx="2509520" cy="195163"/>
          </a:xfrm>
        </xdr:grpSpPr>
        <xdr:sp macro="" textlink="">
          <xdr:nvSpPr>
            <xdr:cNvPr id="84" name="TextBox 178">
              <a:extLst>
                <a:ext uri="{FF2B5EF4-FFF2-40B4-BE49-F238E27FC236}">
                  <a16:creationId xmlns:a16="http://schemas.microsoft.com/office/drawing/2014/main" id="{C8758261-3B7C-0511-0C86-B0463875FA43}"/>
                </a:ext>
              </a:extLst>
            </xdr:cNvPr>
            <xdr:cNvSpPr txBox="1"/>
          </xdr:nvSpPr>
          <xdr:spPr>
            <a:xfrm>
              <a:off x="12354560" y="20466815"/>
              <a:ext cx="2509520" cy="195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Position</a:t>
              </a:r>
            </a:p>
          </xdr:txBody>
        </xdr:sp>
        <xdr:cxnSp macro="">
          <xdr:nvCxnSpPr>
            <xdr:cNvPr id="85" name="Straight Connector 26">
              <a:extLst>
                <a:ext uri="{FF2B5EF4-FFF2-40B4-BE49-F238E27FC236}">
                  <a16:creationId xmlns:a16="http://schemas.microsoft.com/office/drawing/2014/main" id="{2D509E2B-4F32-22EE-4694-5FF2940E3A1A}"/>
                </a:ext>
              </a:extLst>
            </xdr:cNvPr>
            <xdr:cNvCxnSpPr/>
          </xdr:nvCxnSpPr>
          <xdr:spPr>
            <a:xfrm>
              <a:off x="12354560" y="20467208"/>
              <a:ext cx="2509520"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83</xdr:col>
      <xdr:colOff>133877</xdr:colOff>
      <xdr:row>76</xdr:row>
      <xdr:rowOff>0</xdr:rowOff>
    </xdr:from>
    <xdr:to>
      <xdr:col>111</xdr:col>
      <xdr:colOff>168089</xdr:colOff>
      <xdr:row>76</xdr:row>
      <xdr:rowOff>8246</xdr:rowOff>
    </xdr:to>
    <xdr:cxnSp macro="">
      <xdr:nvCxnSpPr>
        <xdr:cNvPr id="92" name="Straight Connector 16">
          <a:extLst>
            <a:ext uri="{FF2B5EF4-FFF2-40B4-BE49-F238E27FC236}">
              <a16:creationId xmlns:a16="http://schemas.microsoft.com/office/drawing/2014/main" id="{32F7B84B-87F7-45B1-8537-25E98FDA13E1}"/>
            </a:ext>
          </a:extLst>
        </xdr:cNvPr>
        <xdr:cNvCxnSpPr/>
      </xdr:nvCxnSpPr>
      <xdr:spPr>
        <a:xfrm>
          <a:off x="15945377" y="14478000"/>
          <a:ext cx="5715594" cy="8246"/>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85</xdr:row>
      <xdr:rowOff>0</xdr:rowOff>
    </xdr:from>
    <xdr:to>
      <xdr:col>77</xdr:col>
      <xdr:colOff>0</xdr:colOff>
      <xdr:row>85</xdr:row>
      <xdr:rowOff>0</xdr:rowOff>
    </xdr:to>
    <xdr:cxnSp macro="">
      <xdr:nvCxnSpPr>
        <xdr:cNvPr id="93" name="Straight Connector 16">
          <a:extLst>
            <a:ext uri="{FF2B5EF4-FFF2-40B4-BE49-F238E27FC236}">
              <a16:creationId xmlns:a16="http://schemas.microsoft.com/office/drawing/2014/main" id="{6E78AA27-B5E3-4FA6-84B8-0DA9B035AB1C}"/>
            </a:ext>
          </a:extLst>
        </xdr:cNvPr>
        <xdr:cNvCxnSpPr/>
      </xdr:nvCxnSpPr>
      <xdr:spPr>
        <a:xfrm>
          <a:off x="8952906" y="16192500"/>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95</xdr:row>
      <xdr:rowOff>6993</xdr:rowOff>
    </xdr:from>
    <xdr:to>
      <xdr:col>77</xdr:col>
      <xdr:colOff>0</xdr:colOff>
      <xdr:row>95</xdr:row>
      <xdr:rowOff>6993</xdr:rowOff>
    </xdr:to>
    <xdr:cxnSp macro="">
      <xdr:nvCxnSpPr>
        <xdr:cNvPr id="94" name="Straight Connector 16">
          <a:extLst>
            <a:ext uri="{FF2B5EF4-FFF2-40B4-BE49-F238E27FC236}">
              <a16:creationId xmlns:a16="http://schemas.microsoft.com/office/drawing/2014/main" id="{B5580CB5-BE8F-44A2-BA9B-60D8A9D4638F}"/>
            </a:ext>
          </a:extLst>
        </xdr:cNvPr>
        <xdr:cNvCxnSpPr/>
      </xdr:nvCxnSpPr>
      <xdr:spPr>
        <a:xfrm>
          <a:off x="8952906" y="18106398"/>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92</xdr:row>
      <xdr:rowOff>0</xdr:rowOff>
    </xdr:from>
    <xdr:to>
      <xdr:col>77</xdr:col>
      <xdr:colOff>0</xdr:colOff>
      <xdr:row>92</xdr:row>
      <xdr:rowOff>6340</xdr:rowOff>
    </xdr:to>
    <xdr:cxnSp macro="">
      <xdr:nvCxnSpPr>
        <xdr:cNvPr id="95" name="Straight Connector 16">
          <a:extLst>
            <a:ext uri="{FF2B5EF4-FFF2-40B4-BE49-F238E27FC236}">
              <a16:creationId xmlns:a16="http://schemas.microsoft.com/office/drawing/2014/main" id="{68A2E7F7-04E4-4BBC-8DA9-315CF5413137}"/>
            </a:ext>
          </a:extLst>
        </xdr:cNvPr>
        <xdr:cNvCxnSpPr/>
      </xdr:nvCxnSpPr>
      <xdr:spPr>
        <a:xfrm>
          <a:off x="8952906" y="17526000"/>
          <a:ext cx="5715594" cy="8245"/>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189906</xdr:colOff>
      <xdr:row>70</xdr:row>
      <xdr:rowOff>189906</xdr:rowOff>
    </xdr:from>
    <xdr:to>
      <xdr:col>77</xdr:col>
      <xdr:colOff>0</xdr:colOff>
      <xdr:row>70</xdr:row>
      <xdr:rowOff>189906</xdr:rowOff>
    </xdr:to>
    <xdr:cxnSp macro="">
      <xdr:nvCxnSpPr>
        <xdr:cNvPr id="96" name="Straight Connector 16">
          <a:extLst>
            <a:ext uri="{FF2B5EF4-FFF2-40B4-BE49-F238E27FC236}">
              <a16:creationId xmlns:a16="http://schemas.microsoft.com/office/drawing/2014/main" id="{48BB2A13-36CA-410C-AAD7-CC7091F0A37C}"/>
            </a:ext>
          </a:extLst>
        </xdr:cNvPr>
        <xdr:cNvCxnSpPr/>
      </xdr:nvCxnSpPr>
      <xdr:spPr>
        <a:xfrm>
          <a:off x="8952906" y="13524906"/>
          <a:ext cx="571559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126</xdr:row>
      <xdr:rowOff>187816</xdr:rowOff>
    </xdr:from>
    <xdr:to>
      <xdr:col>31</xdr:col>
      <xdr:colOff>0</xdr:colOff>
      <xdr:row>129</xdr:row>
      <xdr:rowOff>6350</xdr:rowOff>
    </xdr:to>
    <xdr:sp macro="" textlink="">
      <xdr:nvSpPr>
        <xdr:cNvPr id="97" name="TextBox 15">
          <a:extLst>
            <a:ext uri="{FF2B5EF4-FFF2-40B4-BE49-F238E27FC236}">
              <a16:creationId xmlns:a16="http://schemas.microsoft.com/office/drawing/2014/main" id="{52854FFF-36FF-437E-97FC-FE769B5E28C3}"/>
            </a:ext>
          </a:extLst>
        </xdr:cNvPr>
        <xdr:cNvSpPr txBox="1"/>
      </xdr:nvSpPr>
      <xdr:spPr>
        <a:xfrm>
          <a:off x="1140316" y="24190816"/>
          <a:ext cx="4765184" cy="39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6</xdr:col>
      <xdr:colOff>1</xdr:colOff>
      <xdr:row>126</xdr:row>
      <xdr:rowOff>0</xdr:rowOff>
    </xdr:from>
    <xdr:to>
      <xdr:col>31</xdr:col>
      <xdr:colOff>17888</xdr:colOff>
      <xdr:row>126</xdr:row>
      <xdr:rowOff>187816</xdr:rowOff>
    </xdr:to>
    <xdr:sp macro="" textlink="">
      <xdr:nvSpPr>
        <xdr:cNvPr id="98" name="TextBox 15">
          <a:extLst>
            <a:ext uri="{FF2B5EF4-FFF2-40B4-BE49-F238E27FC236}">
              <a16:creationId xmlns:a16="http://schemas.microsoft.com/office/drawing/2014/main" id="{C7B05EB0-BC57-45B3-AAAE-211CCDB69E8D}"/>
            </a:ext>
          </a:extLst>
        </xdr:cNvPr>
        <xdr:cNvSpPr txBox="1"/>
      </xdr:nvSpPr>
      <xdr:spPr>
        <a:xfrm>
          <a:off x="1143001" y="24003000"/>
          <a:ext cx="478419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1/2</a:t>
          </a:r>
        </a:p>
      </xdr:txBody>
    </xdr:sp>
    <xdr:clientData/>
  </xdr:twoCellAnchor>
  <xdr:twoCellAnchor>
    <xdr:from>
      <xdr:col>7</xdr:col>
      <xdr:colOff>91370</xdr:colOff>
      <xdr:row>131</xdr:row>
      <xdr:rowOff>0</xdr:rowOff>
    </xdr:from>
    <xdr:to>
      <xdr:col>16</xdr:col>
      <xdr:colOff>181051</xdr:colOff>
      <xdr:row>133</xdr:row>
      <xdr:rowOff>0</xdr:rowOff>
    </xdr:to>
    <xdr:sp macro="" textlink="">
      <xdr:nvSpPr>
        <xdr:cNvPr id="99" name="TextBox 98">
          <a:extLst>
            <a:ext uri="{FF2B5EF4-FFF2-40B4-BE49-F238E27FC236}">
              <a16:creationId xmlns:a16="http://schemas.microsoft.com/office/drawing/2014/main" id="{38B30E00-C83A-4C43-B8D1-43B6F1BFF9F0}"/>
            </a:ext>
          </a:extLst>
        </xdr:cNvPr>
        <xdr:cNvSpPr txBox="1"/>
      </xdr:nvSpPr>
      <xdr:spPr>
        <a:xfrm>
          <a:off x="1428680" y="24955500"/>
          <a:ext cx="179846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Preliminaries</a:t>
          </a:r>
        </a:p>
      </xdr:txBody>
    </xdr:sp>
    <xdr:clientData/>
  </xdr:twoCellAnchor>
  <xdr:twoCellAnchor>
    <xdr:from>
      <xdr:col>6</xdr:col>
      <xdr:colOff>87312</xdr:colOff>
      <xdr:row>131</xdr:row>
      <xdr:rowOff>0</xdr:rowOff>
    </xdr:from>
    <xdr:to>
      <xdr:col>6</xdr:col>
      <xdr:colOff>87312</xdr:colOff>
      <xdr:row>133</xdr:row>
      <xdr:rowOff>0</xdr:rowOff>
    </xdr:to>
    <xdr:cxnSp macro="">
      <xdr:nvCxnSpPr>
        <xdr:cNvPr id="100" name="Straight Connector 99">
          <a:extLst>
            <a:ext uri="{FF2B5EF4-FFF2-40B4-BE49-F238E27FC236}">
              <a16:creationId xmlns:a16="http://schemas.microsoft.com/office/drawing/2014/main" id="{647AD9C6-4895-46D0-8B5F-09C045BB1CAE}"/>
            </a:ext>
          </a:extLst>
        </xdr:cNvPr>
        <xdr:cNvCxnSpPr/>
      </xdr:nvCxnSpPr>
      <xdr:spPr>
        <a:xfrm>
          <a:off x="1232217" y="249555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187816</xdr:colOff>
      <xdr:row>134</xdr:row>
      <xdr:rowOff>2635</xdr:rowOff>
    </xdr:from>
    <xdr:to>
      <xdr:col>19</xdr:col>
      <xdr:colOff>0</xdr:colOff>
      <xdr:row>135</xdr:row>
      <xdr:rowOff>2635</xdr:rowOff>
    </xdr:to>
    <xdr:sp macro="" textlink="">
      <xdr:nvSpPr>
        <xdr:cNvPr id="101" name="TextBox 100">
          <a:extLst>
            <a:ext uri="{FF2B5EF4-FFF2-40B4-BE49-F238E27FC236}">
              <a16:creationId xmlns:a16="http://schemas.microsoft.com/office/drawing/2014/main" id="{1157A3AA-2BCB-46C8-9C23-F7D56A09F5FA}"/>
            </a:ext>
          </a:extLst>
        </xdr:cNvPr>
        <xdr:cNvSpPr txBox="1"/>
      </xdr:nvSpPr>
      <xdr:spPr>
        <a:xfrm>
          <a:off x="1140316" y="25529635"/>
          <a:ext cx="247918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GRID CONNECT APPLICATIONS</a:t>
          </a:r>
        </a:p>
      </xdr:txBody>
    </xdr:sp>
    <xdr:clientData/>
  </xdr:twoCellAnchor>
  <xdr:twoCellAnchor>
    <xdr:from>
      <xdr:col>6</xdr:col>
      <xdr:colOff>89217</xdr:colOff>
      <xdr:row>140</xdr:row>
      <xdr:rowOff>0</xdr:rowOff>
    </xdr:from>
    <xdr:to>
      <xdr:col>17</xdr:col>
      <xdr:colOff>0</xdr:colOff>
      <xdr:row>142</xdr:row>
      <xdr:rowOff>0</xdr:rowOff>
    </xdr:to>
    <xdr:grpSp>
      <xdr:nvGrpSpPr>
        <xdr:cNvPr id="103" name="Group 102">
          <a:extLst>
            <a:ext uri="{FF2B5EF4-FFF2-40B4-BE49-F238E27FC236}">
              <a16:creationId xmlns:a16="http://schemas.microsoft.com/office/drawing/2014/main" id="{494D4A2B-6BE9-4AB3-9E9A-B7094EEA8612}"/>
            </a:ext>
          </a:extLst>
        </xdr:cNvPr>
        <xdr:cNvGrpSpPr/>
      </xdr:nvGrpSpPr>
      <xdr:grpSpPr>
        <a:xfrm>
          <a:off x="1236027" y="26670000"/>
          <a:ext cx="2002473" cy="381000"/>
          <a:chOff x="1222206" y="26677519"/>
          <a:chExt cx="1993326" cy="378298"/>
        </a:xfrm>
      </xdr:grpSpPr>
      <xdr:sp macro="" textlink="">
        <xdr:nvSpPr>
          <xdr:cNvPr id="104" name="TextBox 103">
            <a:extLst>
              <a:ext uri="{FF2B5EF4-FFF2-40B4-BE49-F238E27FC236}">
                <a16:creationId xmlns:a16="http://schemas.microsoft.com/office/drawing/2014/main" id="{C4249294-B077-FF29-96CF-5ED53757739B}"/>
              </a:ext>
            </a:extLst>
          </xdr:cNvPr>
          <xdr:cNvSpPr txBox="1"/>
        </xdr:nvSpPr>
        <xdr:spPr>
          <a:xfrm>
            <a:off x="1415413" y="26677519"/>
            <a:ext cx="1800119" cy="378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Components</a:t>
            </a:r>
          </a:p>
        </xdr:txBody>
      </xdr:sp>
      <xdr:cxnSp macro="">
        <xdr:nvCxnSpPr>
          <xdr:cNvPr id="105" name="Straight Connector 104">
            <a:extLst>
              <a:ext uri="{FF2B5EF4-FFF2-40B4-BE49-F238E27FC236}">
                <a16:creationId xmlns:a16="http://schemas.microsoft.com/office/drawing/2014/main" id="{CE556BCF-2799-0C4B-2FA3-F2506A3A2E67}"/>
              </a:ext>
            </a:extLst>
          </xdr:cNvPr>
          <xdr:cNvCxnSpPr/>
        </xdr:nvCxnSpPr>
        <xdr:spPr>
          <a:xfrm>
            <a:off x="1222206" y="26677519"/>
            <a:ext cx="0" cy="37829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142</xdr:row>
      <xdr:rowOff>189148</xdr:rowOff>
    </xdr:from>
    <xdr:to>
      <xdr:col>19</xdr:col>
      <xdr:colOff>1333</xdr:colOff>
      <xdr:row>143</xdr:row>
      <xdr:rowOff>184265</xdr:rowOff>
    </xdr:to>
    <xdr:sp macro="" textlink="">
      <xdr:nvSpPr>
        <xdr:cNvPr id="106" name="TextBox 105">
          <a:extLst>
            <a:ext uri="{FF2B5EF4-FFF2-40B4-BE49-F238E27FC236}">
              <a16:creationId xmlns:a16="http://schemas.microsoft.com/office/drawing/2014/main" id="{888A13AF-7FEB-4470-ADA7-19F70FC858F9}"/>
            </a:ext>
          </a:extLst>
        </xdr:cNvPr>
        <xdr:cNvSpPr txBox="1"/>
      </xdr:nvSpPr>
      <xdr:spPr>
        <a:xfrm>
          <a:off x="1143000" y="27240148"/>
          <a:ext cx="2477833" cy="183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p>
      </xdr:txBody>
    </xdr:sp>
    <xdr:clientData/>
  </xdr:twoCellAnchor>
  <xdr:twoCellAnchor>
    <xdr:from>
      <xdr:col>6</xdr:col>
      <xdr:colOff>0</xdr:colOff>
      <xdr:row>143</xdr:row>
      <xdr:rowOff>184265</xdr:rowOff>
    </xdr:from>
    <xdr:to>
      <xdr:col>19</xdr:col>
      <xdr:colOff>1333</xdr:colOff>
      <xdr:row>144</xdr:row>
      <xdr:rowOff>189148</xdr:rowOff>
    </xdr:to>
    <xdr:sp macro="" textlink="">
      <xdr:nvSpPr>
        <xdr:cNvPr id="107" name="TextBox 106">
          <a:extLst>
            <a:ext uri="{FF2B5EF4-FFF2-40B4-BE49-F238E27FC236}">
              <a16:creationId xmlns:a16="http://schemas.microsoft.com/office/drawing/2014/main" id="{ED0C3739-06FA-43FB-86BF-B1ACBFCB3C98}"/>
            </a:ext>
          </a:extLst>
        </xdr:cNvPr>
        <xdr:cNvSpPr txBox="1"/>
      </xdr:nvSpPr>
      <xdr:spPr>
        <a:xfrm>
          <a:off x="1143000" y="27423860"/>
          <a:ext cx="2477833" cy="197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r>
            <a:rPr lang="en-US" sz="1000" b="1" i="0" u="none" strike="noStrike" baseline="0">
              <a:solidFill>
                <a:srgbClr val="2A2A2A"/>
              </a:solidFill>
              <a:latin typeface="Overpass" panose="00000500000000000000" pitchFamily="2" charset="0"/>
              <a:ea typeface="+mn-ea"/>
              <a:cs typeface="Calibri"/>
            </a:rPr>
            <a:t> INVERTER</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89217</xdr:colOff>
      <xdr:row>149</xdr:row>
      <xdr:rowOff>0</xdr:rowOff>
    </xdr:from>
    <xdr:to>
      <xdr:col>20</xdr:col>
      <xdr:colOff>95176</xdr:colOff>
      <xdr:row>151</xdr:row>
      <xdr:rowOff>1</xdr:rowOff>
    </xdr:to>
    <xdr:grpSp>
      <xdr:nvGrpSpPr>
        <xdr:cNvPr id="110" name="Group 109">
          <a:extLst>
            <a:ext uri="{FF2B5EF4-FFF2-40B4-BE49-F238E27FC236}">
              <a16:creationId xmlns:a16="http://schemas.microsoft.com/office/drawing/2014/main" id="{FEA2B23C-F031-445B-A103-873744B636CB}"/>
            </a:ext>
          </a:extLst>
        </xdr:cNvPr>
        <xdr:cNvGrpSpPr/>
      </xdr:nvGrpSpPr>
      <xdr:grpSpPr>
        <a:xfrm>
          <a:off x="1236027" y="28384500"/>
          <a:ext cx="2672959" cy="381001"/>
          <a:chOff x="1222206" y="29690112"/>
          <a:chExt cx="2652139" cy="378299"/>
        </a:xfrm>
      </xdr:grpSpPr>
      <xdr:sp macro="" textlink="">
        <xdr:nvSpPr>
          <xdr:cNvPr id="111" name="TextBox 110">
            <a:extLst>
              <a:ext uri="{FF2B5EF4-FFF2-40B4-BE49-F238E27FC236}">
                <a16:creationId xmlns:a16="http://schemas.microsoft.com/office/drawing/2014/main" id="{3354FDDB-6B8E-22F3-D676-ACAC6215101D}"/>
              </a:ext>
            </a:extLst>
          </xdr:cNvPr>
          <xdr:cNvSpPr txBox="1"/>
        </xdr:nvSpPr>
        <xdr:spPr>
          <a:xfrm>
            <a:off x="1415413" y="29690112"/>
            <a:ext cx="2458932" cy="378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Balance of System</a:t>
            </a:r>
          </a:p>
        </xdr:txBody>
      </xdr:sp>
      <xdr:cxnSp macro="">
        <xdr:nvCxnSpPr>
          <xdr:cNvPr id="112" name="Straight Connector 111">
            <a:extLst>
              <a:ext uri="{FF2B5EF4-FFF2-40B4-BE49-F238E27FC236}">
                <a16:creationId xmlns:a16="http://schemas.microsoft.com/office/drawing/2014/main" id="{0F8A9BFE-8DAD-322D-A2A3-8B03718FA8A2}"/>
              </a:ext>
            </a:extLst>
          </xdr:cNvPr>
          <xdr:cNvCxnSpPr/>
        </xdr:nvCxnSpPr>
        <xdr:spPr>
          <a:xfrm>
            <a:off x="1222206" y="29690112"/>
            <a:ext cx="0" cy="378299"/>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191976</xdr:colOff>
      <xdr:row>152</xdr:row>
      <xdr:rowOff>0</xdr:rowOff>
    </xdr:from>
    <xdr:to>
      <xdr:col>19</xdr:col>
      <xdr:colOff>2683</xdr:colOff>
      <xdr:row>153</xdr:row>
      <xdr:rowOff>0</xdr:rowOff>
    </xdr:to>
    <xdr:sp macro="" textlink="">
      <xdr:nvSpPr>
        <xdr:cNvPr id="113" name="TextBox 112">
          <a:extLst>
            <a:ext uri="{FF2B5EF4-FFF2-40B4-BE49-F238E27FC236}">
              <a16:creationId xmlns:a16="http://schemas.microsoft.com/office/drawing/2014/main" id="{62BA8595-8B52-44EA-ACD0-EFB36D70ADFC}"/>
            </a:ext>
          </a:extLst>
        </xdr:cNvPr>
        <xdr:cNvSpPr txBox="1"/>
      </xdr:nvSpPr>
      <xdr:spPr>
        <a:xfrm>
          <a:off x="1151860" y="29180465"/>
          <a:ext cx="2498381" cy="191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DC CABLE</a:t>
          </a:r>
        </a:p>
      </xdr:txBody>
    </xdr:sp>
    <xdr:clientData/>
  </xdr:twoCellAnchor>
  <xdr:twoCellAnchor>
    <xdr:from>
      <xdr:col>5</xdr:col>
      <xdr:colOff>191976</xdr:colOff>
      <xdr:row>153</xdr:row>
      <xdr:rowOff>1</xdr:rowOff>
    </xdr:from>
    <xdr:to>
      <xdr:col>19</xdr:col>
      <xdr:colOff>2683</xdr:colOff>
      <xdr:row>154</xdr:row>
      <xdr:rowOff>1</xdr:rowOff>
    </xdr:to>
    <xdr:sp macro="" textlink="">
      <xdr:nvSpPr>
        <xdr:cNvPr id="114" name="TextBox 113">
          <a:extLst>
            <a:ext uri="{FF2B5EF4-FFF2-40B4-BE49-F238E27FC236}">
              <a16:creationId xmlns:a16="http://schemas.microsoft.com/office/drawing/2014/main" id="{38F7DE48-31C6-4CF2-B2AA-7D10CF7C12BF}"/>
            </a:ext>
          </a:extLst>
        </xdr:cNvPr>
        <xdr:cNvSpPr txBox="1"/>
      </xdr:nvSpPr>
      <xdr:spPr>
        <a:xfrm>
          <a:off x="1151860" y="29372443"/>
          <a:ext cx="2498381" cy="191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 CABLE</a:t>
          </a:r>
        </a:p>
      </xdr:txBody>
    </xdr:sp>
    <xdr:clientData/>
  </xdr:twoCellAnchor>
  <xdr:twoCellAnchor>
    <xdr:from>
      <xdr:col>5</xdr:col>
      <xdr:colOff>191976</xdr:colOff>
      <xdr:row>154</xdr:row>
      <xdr:rowOff>2</xdr:rowOff>
    </xdr:from>
    <xdr:to>
      <xdr:col>19</xdr:col>
      <xdr:colOff>2683</xdr:colOff>
      <xdr:row>155</xdr:row>
      <xdr:rowOff>1</xdr:rowOff>
    </xdr:to>
    <xdr:sp macro="" textlink="">
      <xdr:nvSpPr>
        <xdr:cNvPr id="115" name="TextBox 114">
          <a:extLst>
            <a:ext uri="{FF2B5EF4-FFF2-40B4-BE49-F238E27FC236}">
              <a16:creationId xmlns:a16="http://schemas.microsoft.com/office/drawing/2014/main" id="{D7BBBB5F-FEBD-4872-AE83-B3A1D4EA65DA}"/>
            </a:ext>
          </a:extLst>
        </xdr:cNvPr>
        <xdr:cNvSpPr txBox="1"/>
      </xdr:nvSpPr>
      <xdr:spPr>
        <a:xfrm>
          <a:off x="1151860" y="29564421"/>
          <a:ext cx="2498381" cy="19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CABLE TRAY</a:t>
          </a:r>
        </a:p>
      </xdr:txBody>
    </xdr:sp>
    <xdr:clientData/>
  </xdr:twoCellAnchor>
  <xdr:twoCellAnchor>
    <xdr:from>
      <xdr:col>6</xdr:col>
      <xdr:colOff>89217</xdr:colOff>
      <xdr:row>164</xdr:row>
      <xdr:rowOff>0</xdr:rowOff>
    </xdr:from>
    <xdr:to>
      <xdr:col>20</xdr:col>
      <xdr:colOff>95176</xdr:colOff>
      <xdr:row>166</xdr:row>
      <xdr:rowOff>0</xdr:rowOff>
    </xdr:to>
    <xdr:grpSp>
      <xdr:nvGrpSpPr>
        <xdr:cNvPr id="118" name="Group 117">
          <a:extLst>
            <a:ext uri="{FF2B5EF4-FFF2-40B4-BE49-F238E27FC236}">
              <a16:creationId xmlns:a16="http://schemas.microsoft.com/office/drawing/2014/main" id="{CF513329-AE36-456C-A6DF-C6C4FB7AEA45}"/>
            </a:ext>
          </a:extLst>
        </xdr:cNvPr>
        <xdr:cNvGrpSpPr/>
      </xdr:nvGrpSpPr>
      <xdr:grpSpPr>
        <a:xfrm>
          <a:off x="1236027" y="31242000"/>
          <a:ext cx="2672959" cy="381000"/>
          <a:chOff x="1222206" y="32536251"/>
          <a:chExt cx="2652139" cy="378298"/>
        </a:xfrm>
      </xdr:grpSpPr>
      <xdr:sp macro="" textlink="">
        <xdr:nvSpPr>
          <xdr:cNvPr id="119" name="TextBox 118">
            <a:extLst>
              <a:ext uri="{FF2B5EF4-FFF2-40B4-BE49-F238E27FC236}">
                <a16:creationId xmlns:a16="http://schemas.microsoft.com/office/drawing/2014/main" id="{B80F0BCC-8424-7C3D-F461-2AE661584D32}"/>
              </a:ext>
            </a:extLst>
          </xdr:cNvPr>
          <xdr:cNvSpPr txBox="1"/>
        </xdr:nvSpPr>
        <xdr:spPr>
          <a:xfrm>
            <a:off x="1415413" y="32536251"/>
            <a:ext cx="2458932" cy="378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Lifting and Access</a:t>
            </a:r>
          </a:p>
        </xdr:txBody>
      </xdr:sp>
      <xdr:cxnSp macro="">
        <xdr:nvCxnSpPr>
          <xdr:cNvPr id="120" name="Straight Connector 119">
            <a:extLst>
              <a:ext uri="{FF2B5EF4-FFF2-40B4-BE49-F238E27FC236}">
                <a16:creationId xmlns:a16="http://schemas.microsoft.com/office/drawing/2014/main" id="{5FE57DD2-B946-C151-84BD-5AC2A8BD0606}"/>
              </a:ext>
            </a:extLst>
          </xdr:cNvPr>
          <xdr:cNvCxnSpPr/>
        </xdr:nvCxnSpPr>
        <xdr:spPr>
          <a:xfrm>
            <a:off x="1222206" y="32536251"/>
            <a:ext cx="0" cy="37829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187816</xdr:colOff>
      <xdr:row>167</xdr:row>
      <xdr:rowOff>0</xdr:rowOff>
    </xdr:from>
    <xdr:to>
      <xdr:col>19</xdr:col>
      <xdr:colOff>0</xdr:colOff>
      <xdr:row>168</xdr:row>
      <xdr:rowOff>1</xdr:rowOff>
    </xdr:to>
    <xdr:sp macro="" textlink="">
      <xdr:nvSpPr>
        <xdr:cNvPr id="121" name="TextBox 120">
          <a:extLst>
            <a:ext uri="{FF2B5EF4-FFF2-40B4-BE49-F238E27FC236}">
              <a16:creationId xmlns:a16="http://schemas.microsoft.com/office/drawing/2014/main" id="{C9389E2F-C4F4-4800-BA46-34647FFC328F}"/>
            </a:ext>
          </a:extLst>
        </xdr:cNvPr>
        <xdr:cNvSpPr txBox="1"/>
      </xdr:nvSpPr>
      <xdr:spPr>
        <a:xfrm>
          <a:off x="1169775" y="32797423"/>
          <a:ext cx="2561668" cy="196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LIFTING OF</a:t>
          </a:r>
          <a:r>
            <a:rPr lang="en-US" sz="1000" b="1" i="0" u="none" strike="noStrike" baseline="0">
              <a:solidFill>
                <a:srgbClr val="2A2A2A"/>
              </a:solidFill>
              <a:latin typeface="Overpass" panose="00000500000000000000" pitchFamily="2" charset="0"/>
              <a:ea typeface="+mn-ea"/>
              <a:cs typeface="Calibri"/>
            </a:rPr>
            <a:t> MATERIALS</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5</xdr:col>
      <xdr:colOff>187816</xdr:colOff>
      <xdr:row>92</xdr:row>
      <xdr:rowOff>187802</xdr:rowOff>
    </xdr:from>
    <xdr:to>
      <xdr:col>36</xdr:col>
      <xdr:colOff>2962</xdr:colOff>
      <xdr:row>92</xdr:row>
      <xdr:rowOff>187802</xdr:rowOff>
    </xdr:to>
    <xdr:cxnSp macro="">
      <xdr:nvCxnSpPr>
        <xdr:cNvPr id="123" name="Straight Connector 16">
          <a:extLst>
            <a:ext uri="{FF2B5EF4-FFF2-40B4-BE49-F238E27FC236}">
              <a16:creationId xmlns:a16="http://schemas.microsoft.com/office/drawing/2014/main" id="{33814E51-1ECA-43E7-9FBE-9A7759B030CA}"/>
            </a:ext>
          </a:extLst>
        </xdr:cNvPr>
        <xdr:cNvCxnSpPr/>
      </xdr:nvCxnSpPr>
      <xdr:spPr>
        <a:xfrm>
          <a:off x="1140316" y="17713802"/>
          <a:ext cx="5720646"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2772</xdr:colOff>
      <xdr:row>102</xdr:row>
      <xdr:rowOff>1042</xdr:rowOff>
    </xdr:from>
    <xdr:to>
      <xdr:col>36</xdr:col>
      <xdr:colOff>2430</xdr:colOff>
      <xdr:row>103</xdr:row>
      <xdr:rowOff>5598</xdr:rowOff>
    </xdr:to>
    <xdr:sp macro="" textlink="SOLAR!D14">
      <xdr:nvSpPr>
        <xdr:cNvPr id="124" name="TextBox 1">
          <a:extLst>
            <a:ext uri="{FF2B5EF4-FFF2-40B4-BE49-F238E27FC236}">
              <a16:creationId xmlns:a16="http://schemas.microsoft.com/office/drawing/2014/main" id="{7473B4F7-2805-4D58-BDE1-826C92AAB7B4}"/>
            </a:ext>
          </a:extLst>
        </xdr:cNvPr>
        <xdr:cNvSpPr txBox="1"/>
      </xdr:nvSpPr>
      <xdr:spPr>
        <a:xfrm>
          <a:off x="2860272" y="19432042"/>
          <a:ext cx="4000158" cy="1969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95EB8B-4481-42F5-8B62-50F0FCC0990A}"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15</xdr:col>
      <xdr:colOff>2772</xdr:colOff>
      <xdr:row>103</xdr:row>
      <xdr:rowOff>5599</xdr:rowOff>
    </xdr:from>
    <xdr:to>
      <xdr:col>36</xdr:col>
      <xdr:colOff>1062</xdr:colOff>
      <xdr:row>104</xdr:row>
      <xdr:rowOff>5572</xdr:rowOff>
    </xdr:to>
    <xdr:sp macro="" textlink="SOLAR!D16">
      <xdr:nvSpPr>
        <xdr:cNvPr id="125" name="TextBox 28">
          <a:extLst>
            <a:ext uri="{FF2B5EF4-FFF2-40B4-BE49-F238E27FC236}">
              <a16:creationId xmlns:a16="http://schemas.microsoft.com/office/drawing/2014/main" id="{BB9C4099-CB7F-4AB9-A802-D9D6D51431D3}"/>
            </a:ext>
          </a:extLst>
        </xdr:cNvPr>
        <xdr:cNvSpPr txBox="1"/>
      </xdr:nvSpPr>
      <xdr:spPr>
        <a:xfrm>
          <a:off x="2860272" y="19629004"/>
          <a:ext cx="3998790" cy="19047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FBD6AD-C798-4528-AA66-54AD25E62A75}"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15</xdr:col>
      <xdr:colOff>289</xdr:colOff>
      <xdr:row>104</xdr:row>
      <xdr:rowOff>5571</xdr:rowOff>
    </xdr:from>
    <xdr:to>
      <xdr:col>36</xdr:col>
      <xdr:colOff>1556</xdr:colOff>
      <xdr:row>105</xdr:row>
      <xdr:rowOff>5544</xdr:rowOff>
    </xdr:to>
    <xdr:sp macro="" textlink="SOLAR!D15">
      <xdr:nvSpPr>
        <xdr:cNvPr id="126" name="TextBox 29">
          <a:extLst>
            <a:ext uri="{FF2B5EF4-FFF2-40B4-BE49-F238E27FC236}">
              <a16:creationId xmlns:a16="http://schemas.microsoft.com/office/drawing/2014/main" id="{8AA7BB62-E11E-48F2-8F39-497EF3689D0C}"/>
            </a:ext>
          </a:extLst>
        </xdr:cNvPr>
        <xdr:cNvSpPr txBox="1"/>
      </xdr:nvSpPr>
      <xdr:spPr>
        <a:xfrm>
          <a:off x="2857789" y="19819476"/>
          <a:ext cx="4001767" cy="19047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C377271-8C43-4966-9B9E-2A381C7D3452}"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15</xdr:col>
      <xdr:colOff>1693</xdr:colOff>
      <xdr:row>97</xdr:row>
      <xdr:rowOff>242</xdr:rowOff>
    </xdr:from>
    <xdr:to>
      <xdr:col>36</xdr:col>
      <xdr:colOff>2962</xdr:colOff>
      <xdr:row>100</xdr:row>
      <xdr:rowOff>161</xdr:rowOff>
    </xdr:to>
    <xdr:sp macro="" textlink="SOLAR!D10">
      <xdr:nvSpPr>
        <xdr:cNvPr id="127" name="TextBox 30">
          <a:extLst>
            <a:ext uri="{FF2B5EF4-FFF2-40B4-BE49-F238E27FC236}">
              <a16:creationId xmlns:a16="http://schemas.microsoft.com/office/drawing/2014/main" id="{045D209C-19E6-4510-9BF5-695D175A5378}"/>
            </a:ext>
          </a:extLst>
        </xdr:cNvPr>
        <xdr:cNvSpPr txBox="1"/>
      </xdr:nvSpPr>
      <xdr:spPr>
        <a:xfrm>
          <a:off x="2859193" y="18478742"/>
          <a:ext cx="4001769" cy="57141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FFB8B9E-C6B8-4ADD-A5D7-102EBC9A86DE}" type="TxLink">
            <a:rPr lang="en-US" sz="1200" b="0" i="0" u="none" strike="noStrike">
              <a:solidFill>
                <a:srgbClr val="27056C"/>
              </a:solidFill>
              <a:latin typeface="Overpass" pitchFamily="2" charset="77"/>
              <a:ea typeface="+mn-ea"/>
              <a:cs typeface="Calibri"/>
            </a:rPr>
            <a:pPr marL="0" indent="0" algn="l"/>
            <a:t> </a:t>
          </a:fld>
          <a:endParaRPr lang="en-AU" sz="1200" b="0" i="0" u="none" strike="noStrike">
            <a:solidFill>
              <a:srgbClr val="27056C"/>
            </a:solidFill>
            <a:latin typeface="Overpass" pitchFamily="2" charset="77"/>
            <a:ea typeface="+mn-ea"/>
            <a:cs typeface="Calibri"/>
          </a:endParaRPr>
        </a:p>
      </xdr:txBody>
    </xdr:sp>
    <xdr:clientData/>
  </xdr:twoCellAnchor>
  <xdr:twoCellAnchor>
    <xdr:from>
      <xdr:col>15</xdr:col>
      <xdr:colOff>2773</xdr:colOff>
      <xdr:row>100</xdr:row>
      <xdr:rowOff>161</xdr:rowOff>
    </xdr:from>
    <xdr:to>
      <xdr:col>36</xdr:col>
      <xdr:colOff>1126</xdr:colOff>
      <xdr:row>101</xdr:row>
      <xdr:rowOff>5651</xdr:rowOff>
    </xdr:to>
    <xdr:sp macro="" textlink="SOLAR!D17">
      <xdr:nvSpPr>
        <xdr:cNvPr id="128" name="TextBox 114">
          <a:extLst>
            <a:ext uri="{FF2B5EF4-FFF2-40B4-BE49-F238E27FC236}">
              <a16:creationId xmlns:a16="http://schemas.microsoft.com/office/drawing/2014/main" id="{9386408A-09B9-4ED6-9031-142819599979}"/>
            </a:ext>
          </a:extLst>
        </xdr:cNvPr>
        <xdr:cNvSpPr txBox="1"/>
      </xdr:nvSpPr>
      <xdr:spPr>
        <a:xfrm>
          <a:off x="2860273" y="19050161"/>
          <a:ext cx="3998853" cy="19789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73B1F6C-D934-41FD-ACB1-66672647D084}"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5</xdr:col>
      <xdr:colOff>187816</xdr:colOff>
      <xdr:row>98</xdr:row>
      <xdr:rowOff>226</xdr:rowOff>
    </xdr:from>
    <xdr:to>
      <xdr:col>14</xdr:col>
      <xdr:colOff>1506</xdr:colOff>
      <xdr:row>99</xdr:row>
      <xdr:rowOff>200</xdr:rowOff>
    </xdr:to>
    <xdr:sp macro="" textlink="">
      <xdr:nvSpPr>
        <xdr:cNvPr id="129" name="TextBox 76">
          <a:extLst>
            <a:ext uri="{FF2B5EF4-FFF2-40B4-BE49-F238E27FC236}">
              <a16:creationId xmlns:a16="http://schemas.microsoft.com/office/drawing/2014/main" id="{9BD29A45-BF36-43DE-9343-9DFC7454438A}"/>
            </a:ext>
          </a:extLst>
        </xdr:cNvPr>
        <xdr:cNvSpPr txBox="1"/>
      </xdr:nvSpPr>
      <xdr:spPr>
        <a:xfrm>
          <a:off x="1140316" y="18669226"/>
          <a:ext cx="1528190" cy="19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PROJECT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2162</xdr:colOff>
      <xdr:row>100</xdr:row>
      <xdr:rowOff>5678</xdr:rowOff>
    </xdr:from>
    <xdr:to>
      <xdr:col>14</xdr:col>
      <xdr:colOff>1626</xdr:colOff>
      <xdr:row>101</xdr:row>
      <xdr:rowOff>5649</xdr:rowOff>
    </xdr:to>
    <xdr:sp macro="" textlink="">
      <xdr:nvSpPr>
        <xdr:cNvPr id="130" name="TextBox 119">
          <a:extLst>
            <a:ext uri="{FF2B5EF4-FFF2-40B4-BE49-F238E27FC236}">
              <a16:creationId xmlns:a16="http://schemas.microsoft.com/office/drawing/2014/main" id="{0562B1B4-2D87-4E30-9F82-8B2C8D43BEF3}"/>
            </a:ext>
          </a:extLst>
        </xdr:cNvPr>
        <xdr:cNvSpPr txBox="1"/>
      </xdr:nvSpPr>
      <xdr:spPr>
        <a:xfrm>
          <a:off x="1145162" y="19057583"/>
          <a:ext cx="1523464" cy="190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NMI</a:t>
          </a:r>
        </a:p>
      </xdr:txBody>
    </xdr:sp>
    <xdr:clientData/>
  </xdr:twoCellAnchor>
  <xdr:twoCellAnchor>
    <xdr:from>
      <xdr:col>6</xdr:col>
      <xdr:colOff>2162</xdr:colOff>
      <xdr:row>101</xdr:row>
      <xdr:rowOff>5650</xdr:rowOff>
    </xdr:from>
    <xdr:to>
      <xdr:col>14</xdr:col>
      <xdr:colOff>1626</xdr:colOff>
      <xdr:row>102</xdr:row>
      <xdr:rowOff>5626</xdr:rowOff>
    </xdr:to>
    <xdr:sp macro="" textlink="">
      <xdr:nvSpPr>
        <xdr:cNvPr id="131" name="TextBox 123">
          <a:extLst>
            <a:ext uri="{FF2B5EF4-FFF2-40B4-BE49-F238E27FC236}">
              <a16:creationId xmlns:a16="http://schemas.microsoft.com/office/drawing/2014/main" id="{2CFF8BFF-3F05-42DB-BA8E-C17D4EFC3383}"/>
            </a:ext>
          </a:extLst>
        </xdr:cNvPr>
        <xdr:cNvSpPr txBox="1"/>
      </xdr:nvSpPr>
      <xdr:spPr>
        <a:xfrm>
          <a:off x="1145162" y="19248055"/>
          <a:ext cx="1523464" cy="19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 ADDRESS</a:t>
          </a:r>
        </a:p>
      </xdr:txBody>
    </xdr:sp>
    <xdr:clientData/>
  </xdr:twoCellAnchor>
  <xdr:twoCellAnchor>
    <xdr:from>
      <xdr:col>6</xdr:col>
      <xdr:colOff>2162</xdr:colOff>
      <xdr:row>102</xdr:row>
      <xdr:rowOff>5626</xdr:rowOff>
    </xdr:from>
    <xdr:to>
      <xdr:col>14</xdr:col>
      <xdr:colOff>1626</xdr:colOff>
      <xdr:row>102</xdr:row>
      <xdr:rowOff>184445</xdr:rowOff>
    </xdr:to>
    <xdr:sp macro="" textlink="">
      <xdr:nvSpPr>
        <xdr:cNvPr id="132" name="TextBox 128">
          <a:extLst>
            <a:ext uri="{FF2B5EF4-FFF2-40B4-BE49-F238E27FC236}">
              <a16:creationId xmlns:a16="http://schemas.microsoft.com/office/drawing/2014/main" id="{BBE2EC0F-90AC-4A0C-B02C-B29B6D6F58F7}"/>
            </a:ext>
          </a:extLst>
        </xdr:cNvPr>
        <xdr:cNvSpPr txBox="1"/>
      </xdr:nvSpPr>
      <xdr:spPr>
        <a:xfrm>
          <a:off x="1145162" y="19438531"/>
          <a:ext cx="1523464" cy="175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CLIENT</a:t>
          </a:r>
        </a:p>
      </xdr:txBody>
    </xdr:sp>
    <xdr:clientData/>
  </xdr:twoCellAnchor>
  <xdr:twoCellAnchor>
    <xdr:from>
      <xdr:col>6</xdr:col>
      <xdr:colOff>2162</xdr:colOff>
      <xdr:row>103</xdr:row>
      <xdr:rowOff>6962</xdr:rowOff>
    </xdr:from>
    <xdr:to>
      <xdr:col>14</xdr:col>
      <xdr:colOff>1626</xdr:colOff>
      <xdr:row>104</xdr:row>
      <xdr:rowOff>4985</xdr:rowOff>
    </xdr:to>
    <xdr:sp macro="" textlink="">
      <xdr:nvSpPr>
        <xdr:cNvPr id="133" name="TextBox 145">
          <a:extLst>
            <a:ext uri="{FF2B5EF4-FFF2-40B4-BE49-F238E27FC236}">
              <a16:creationId xmlns:a16="http://schemas.microsoft.com/office/drawing/2014/main" id="{8F577C2D-38D1-4BB9-864B-71D9ED6C35C8}"/>
            </a:ext>
          </a:extLst>
        </xdr:cNvPr>
        <xdr:cNvSpPr txBox="1"/>
      </xdr:nvSpPr>
      <xdr:spPr>
        <a:xfrm>
          <a:off x="1145162" y="19630367"/>
          <a:ext cx="1523464" cy="188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2657</xdr:colOff>
      <xdr:row>104</xdr:row>
      <xdr:rowOff>2584</xdr:rowOff>
    </xdr:from>
    <xdr:to>
      <xdr:col>14</xdr:col>
      <xdr:colOff>2121</xdr:colOff>
      <xdr:row>105</xdr:row>
      <xdr:rowOff>5544</xdr:rowOff>
    </xdr:to>
    <xdr:sp macro="" textlink="">
      <xdr:nvSpPr>
        <xdr:cNvPr id="134" name="TextBox 153">
          <a:extLst>
            <a:ext uri="{FF2B5EF4-FFF2-40B4-BE49-F238E27FC236}">
              <a16:creationId xmlns:a16="http://schemas.microsoft.com/office/drawing/2014/main" id="{DF6968DE-368E-40F3-8268-4A8930BFA6D7}"/>
            </a:ext>
          </a:extLst>
        </xdr:cNvPr>
        <xdr:cNvSpPr txBox="1"/>
      </xdr:nvSpPr>
      <xdr:spPr>
        <a:xfrm>
          <a:off x="1145657" y="19814584"/>
          <a:ext cx="1523464" cy="1953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2162</xdr:colOff>
      <xdr:row>105</xdr:row>
      <xdr:rowOff>2555</xdr:rowOff>
    </xdr:from>
    <xdr:to>
      <xdr:col>14</xdr:col>
      <xdr:colOff>1626</xdr:colOff>
      <xdr:row>106</xdr:row>
      <xdr:rowOff>0</xdr:rowOff>
    </xdr:to>
    <xdr:sp macro="" textlink="">
      <xdr:nvSpPr>
        <xdr:cNvPr id="135" name="TextBox 185">
          <a:extLst>
            <a:ext uri="{FF2B5EF4-FFF2-40B4-BE49-F238E27FC236}">
              <a16:creationId xmlns:a16="http://schemas.microsoft.com/office/drawing/2014/main" id="{D0F59C29-E686-412D-8278-240F75233F8C}"/>
            </a:ext>
          </a:extLst>
        </xdr:cNvPr>
        <xdr:cNvSpPr txBox="1"/>
      </xdr:nvSpPr>
      <xdr:spPr>
        <a:xfrm>
          <a:off x="1145162" y="20005055"/>
          <a:ext cx="1523464" cy="187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BILLING ADDRESS</a:t>
          </a:r>
        </a:p>
      </xdr:txBody>
    </xdr:sp>
    <xdr:clientData/>
  </xdr:twoCellAnchor>
  <xdr:twoCellAnchor>
    <xdr:from>
      <xdr:col>7</xdr:col>
      <xdr:colOff>97280</xdr:colOff>
      <xdr:row>94</xdr:row>
      <xdr:rowOff>184912</xdr:rowOff>
    </xdr:from>
    <xdr:to>
      <xdr:col>17</xdr:col>
      <xdr:colOff>6377</xdr:colOff>
      <xdr:row>96</xdr:row>
      <xdr:rowOff>184859</xdr:rowOff>
    </xdr:to>
    <xdr:sp macro="" textlink="">
      <xdr:nvSpPr>
        <xdr:cNvPr id="136" name="TextBox 190">
          <a:extLst>
            <a:ext uri="{FF2B5EF4-FFF2-40B4-BE49-F238E27FC236}">
              <a16:creationId xmlns:a16="http://schemas.microsoft.com/office/drawing/2014/main" id="{781E597F-FE7C-483F-B559-1AA2EF023547}"/>
            </a:ext>
          </a:extLst>
        </xdr:cNvPr>
        <xdr:cNvSpPr txBox="1"/>
      </xdr:nvSpPr>
      <xdr:spPr>
        <a:xfrm>
          <a:off x="1426970" y="18090007"/>
          <a:ext cx="1819812" cy="38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for</a:t>
          </a:r>
        </a:p>
      </xdr:txBody>
    </xdr:sp>
    <xdr:clientData/>
  </xdr:twoCellAnchor>
  <xdr:twoCellAnchor>
    <xdr:from>
      <xdr:col>6</xdr:col>
      <xdr:colOff>97211</xdr:colOff>
      <xdr:row>94</xdr:row>
      <xdr:rowOff>184912</xdr:rowOff>
    </xdr:from>
    <xdr:to>
      <xdr:col>6</xdr:col>
      <xdr:colOff>97211</xdr:colOff>
      <xdr:row>96</xdr:row>
      <xdr:rowOff>184859</xdr:rowOff>
    </xdr:to>
    <xdr:cxnSp macro="">
      <xdr:nvCxnSpPr>
        <xdr:cNvPr id="137" name="Straight Connector 205">
          <a:extLst>
            <a:ext uri="{FF2B5EF4-FFF2-40B4-BE49-F238E27FC236}">
              <a16:creationId xmlns:a16="http://schemas.microsoft.com/office/drawing/2014/main" id="{E942A4F1-AE9F-4C77-88C4-128FEE6F512A}"/>
            </a:ext>
          </a:extLst>
        </xdr:cNvPr>
        <xdr:cNvCxnSpPr/>
      </xdr:nvCxnSpPr>
      <xdr:spPr>
        <a:xfrm>
          <a:off x="1236401" y="18090007"/>
          <a:ext cx="0" cy="380947"/>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2769</xdr:colOff>
      <xdr:row>113</xdr:row>
      <xdr:rowOff>10742</xdr:rowOff>
    </xdr:from>
    <xdr:to>
      <xdr:col>36</xdr:col>
      <xdr:colOff>2464</xdr:colOff>
      <xdr:row>114</xdr:row>
      <xdr:rowOff>10729</xdr:rowOff>
    </xdr:to>
    <xdr:sp macro="" textlink="SOLAR!D24">
      <xdr:nvSpPr>
        <xdr:cNvPr id="138" name="TextBox 137">
          <a:extLst>
            <a:ext uri="{FF2B5EF4-FFF2-40B4-BE49-F238E27FC236}">
              <a16:creationId xmlns:a16="http://schemas.microsoft.com/office/drawing/2014/main" id="{57D4E410-0936-45A2-A7BB-12BFC9641551}"/>
            </a:ext>
          </a:extLst>
        </xdr:cNvPr>
        <xdr:cNvSpPr txBox="1"/>
      </xdr:nvSpPr>
      <xdr:spPr>
        <a:xfrm>
          <a:off x="2860269" y="21539147"/>
          <a:ext cx="4000195" cy="1904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993553-04C7-46E7-B22A-ED238C75B489}" type="TxLink">
            <a:rPr lang="en-US" sz="1000" b="0" i="0" u="none" strike="noStrike">
              <a:solidFill>
                <a:srgbClr val="2A2A2A"/>
              </a:solidFill>
              <a:latin typeface="Overpass" pitchFamily="2" charset="77"/>
              <a:ea typeface="+mn-ea"/>
              <a:cs typeface="Calibri"/>
            </a:rPr>
            <a:pPr marL="0" indent="0" algn="l"/>
            <a:t>Jon Vlatko</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1741</xdr:colOff>
      <xdr:row>114</xdr:row>
      <xdr:rowOff>10993</xdr:rowOff>
    </xdr:from>
    <xdr:to>
      <xdr:col>36</xdr:col>
      <xdr:colOff>2992</xdr:colOff>
      <xdr:row>115</xdr:row>
      <xdr:rowOff>9430</xdr:rowOff>
    </xdr:to>
    <xdr:sp macro="" textlink="SOLAR!D25">
      <xdr:nvSpPr>
        <xdr:cNvPr id="139" name="TextBox 138">
          <a:extLst>
            <a:ext uri="{FF2B5EF4-FFF2-40B4-BE49-F238E27FC236}">
              <a16:creationId xmlns:a16="http://schemas.microsoft.com/office/drawing/2014/main" id="{1E6C48BD-FCB8-4A22-AA1D-4C380D19551F}"/>
            </a:ext>
          </a:extLst>
        </xdr:cNvPr>
        <xdr:cNvSpPr txBox="1"/>
      </xdr:nvSpPr>
      <xdr:spPr>
        <a:xfrm>
          <a:off x="2859241" y="21729898"/>
          <a:ext cx="4001751" cy="18893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C80771F-0E13-4FE5-911A-B32AEF2F6180}" type="TxLink">
            <a:rPr lang="en-US" sz="1000" b="0" i="0" u="none" strike="noStrike">
              <a:solidFill>
                <a:srgbClr val="2A2A2A"/>
              </a:solidFill>
              <a:latin typeface="Overpass" pitchFamily="2" charset="77"/>
              <a:ea typeface="+mn-ea"/>
              <a:cs typeface="Calibri"/>
            </a:rPr>
            <a:pPr marL="0" indent="0" algn="l"/>
            <a:t>0431 294 241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7355</xdr:colOff>
      <xdr:row>115</xdr:row>
      <xdr:rowOff>12336</xdr:rowOff>
    </xdr:from>
    <xdr:to>
      <xdr:col>36</xdr:col>
      <xdr:colOff>5426</xdr:colOff>
      <xdr:row>116</xdr:row>
      <xdr:rowOff>8550</xdr:rowOff>
    </xdr:to>
    <xdr:sp macro="" textlink="SOLAR!D26">
      <xdr:nvSpPr>
        <xdr:cNvPr id="140" name="TextBox 139">
          <a:extLst>
            <a:ext uri="{FF2B5EF4-FFF2-40B4-BE49-F238E27FC236}">
              <a16:creationId xmlns:a16="http://schemas.microsoft.com/office/drawing/2014/main" id="{61F1A809-7CBB-4232-A053-48AE36AF6B74}"/>
            </a:ext>
          </a:extLst>
        </xdr:cNvPr>
        <xdr:cNvSpPr txBox="1"/>
      </xdr:nvSpPr>
      <xdr:spPr>
        <a:xfrm>
          <a:off x="2866760" y="21923646"/>
          <a:ext cx="3998571" cy="1848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5C7563D-C261-4D66-8A1E-4D3777A07E7D}" type="TxLink">
            <a:rPr lang="en-US" sz="1000" b="0" i="0" u="none" strike="noStrike">
              <a:solidFill>
                <a:srgbClr val="2A2A2A"/>
              </a:solidFill>
              <a:latin typeface="Overpass" pitchFamily="2" charset="77"/>
              <a:ea typeface="+mn-ea"/>
              <a:cs typeface="Calibri"/>
            </a:rPr>
            <a:pPr marL="0" indent="0" algn="l"/>
            <a:t>jon@smartcommercialenergy.com.au</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1609</xdr:colOff>
      <xdr:row>116</xdr:row>
      <xdr:rowOff>8549</xdr:rowOff>
    </xdr:from>
    <xdr:to>
      <xdr:col>36</xdr:col>
      <xdr:colOff>5193</xdr:colOff>
      <xdr:row>117</xdr:row>
      <xdr:rowOff>0</xdr:rowOff>
    </xdr:to>
    <xdr:sp macro="" textlink="">
      <xdr:nvSpPr>
        <xdr:cNvPr id="141" name="TextBox 140">
          <a:extLst>
            <a:ext uri="{FF2B5EF4-FFF2-40B4-BE49-F238E27FC236}">
              <a16:creationId xmlns:a16="http://schemas.microsoft.com/office/drawing/2014/main" id="{75EED199-28A8-4F5A-BD57-2154AFE7380A}"/>
            </a:ext>
          </a:extLst>
        </xdr:cNvPr>
        <xdr:cNvSpPr txBox="1"/>
      </xdr:nvSpPr>
      <xdr:spPr>
        <a:xfrm>
          <a:off x="2859109" y="22108454"/>
          <a:ext cx="4005989" cy="18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Suite 6.01, 2 Elizabeth Plaza,</a:t>
          </a:r>
          <a:r>
            <a:rPr lang="en-US" sz="1000" b="0" i="0" u="none" strike="noStrike" baseline="0">
              <a:solidFill>
                <a:srgbClr val="2A2A2A"/>
              </a:solidFill>
              <a:latin typeface="Overpass" panose="00000500000000000000" pitchFamily="2" charset="0"/>
              <a:ea typeface="+mn-ea"/>
              <a:cs typeface="Calibri"/>
            </a:rPr>
            <a:t> North Sydney 2060</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658</xdr:colOff>
      <xdr:row>113</xdr:row>
      <xdr:rowOff>10742</xdr:rowOff>
    </xdr:from>
    <xdr:to>
      <xdr:col>14</xdr:col>
      <xdr:colOff>1930</xdr:colOff>
      <xdr:row>114</xdr:row>
      <xdr:rowOff>10724</xdr:rowOff>
    </xdr:to>
    <xdr:sp macro="" textlink="">
      <xdr:nvSpPr>
        <xdr:cNvPr id="142" name="TextBox 141">
          <a:extLst>
            <a:ext uri="{FF2B5EF4-FFF2-40B4-BE49-F238E27FC236}">
              <a16:creationId xmlns:a16="http://schemas.microsoft.com/office/drawing/2014/main" id="{FFC7EC16-C603-4CE5-92E9-6C53C56D22B7}"/>
            </a:ext>
          </a:extLst>
        </xdr:cNvPr>
        <xdr:cNvSpPr txBox="1"/>
      </xdr:nvSpPr>
      <xdr:spPr>
        <a:xfrm>
          <a:off x="1143658" y="21539147"/>
          <a:ext cx="1525272" cy="190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CONSULTANT</a:t>
          </a:r>
        </a:p>
      </xdr:txBody>
    </xdr:sp>
    <xdr:clientData/>
  </xdr:twoCellAnchor>
  <xdr:twoCellAnchor>
    <xdr:from>
      <xdr:col>6</xdr:col>
      <xdr:colOff>658</xdr:colOff>
      <xdr:row>114</xdr:row>
      <xdr:rowOff>8054</xdr:rowOff>
    </xdr:from>
    <xdr:to>
      <xdr:col>14</xdr:col>
      <xdr:colOff>1930</xdr:colOff>
      <xdr:row>115</xdr:row>
      <xdr:rowOff>11244</xdr:rowOff>
    </xdr:to>
    <xdr:sp macro="" textlink="">
      <xdr:nvSpPr>
        <xdr:cNvPr id="143" name="TextBox 142">
          <a:extLst>
            <a:ext uri="{FF2B5EF4-FFF2-40B4-BE49-F238E27FC236}">
              <a16:creationId xmlns:a16="http://schemas.microsoft.com/office/drawing/2014/main" id="{E57D2B4D-2DDB-4254-8113-347E898E1A1B}"/>
            </a:ext>
          </a:extLst>
        </xdr:cNvPr>
        <xdr:cNvSpPr txBox="1"/>
      </xdr:nvSpPr>
      <xdr:spPr>
        <a:xfrm>
          <a:off x="1143658" y="21726959"/>
          <a:ext cx="1525272" cy="193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clientData/>
  </xdr:twoCellAnchor>
  <xdr:twoCellAnchor>
    <xdr:from>
      <xdr:col>6</xdr:col>
      <xdr:colOff>3564</xdr:colOff>
      <xdr:row>115</xdr:row>
      <xdr:rowOff>8300</xdr:rowOff>
    </xdr:from>
    <xdr:to>
      <xdr:col>14</xdr:col>
      <xdr:colOff>1929</xdr:colOff>
      <xdr:row>115</xdr:row>
      <xdr:rowOff>192790</xdr:rowOff>
    </xdr:to>
    <xdr:sp macro="" textlink="">
      <xdr:nvSpPr>
        <xdr:cNvPr id="144" name="TextBox 143">
          <a:extLst>
            <a:ext uri="{FF2B5EF4-FFF2-40B4-BE49-F238E27FC236}">
              <a16:creationId xmlns:a16="http://schemas.microsoft.com/office/drawing/2014/main" id="{170FA900-F819-4A0D-BFC2-1E0A7E510D20}"/>
            </a:ext>
          </a:extLst>
        </xdr:cNvPr>
        <xdr:cNvSpPr txBox="1"/>
      </xdr:nvSpPr>
      <xdr:spPr>
        <a:xfrm>
          <a:off x="1146564" y="21917705"/>
          <a:ext cx="1522365" cy="182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clientData/>
  </xdr:twoCellAnchor>
  <xdr:twoCellAnchor>
    <xdr:from>
      <xdr:col>6</xdr:col>
      <xdr:colOff>3564</xdr:colOff>
      <xdr:row>116</xdr:row>
      <xdr:rowOff>8549</xdr:rowOff>
    </xdr:from>
    <xdr:to>
      <xdr:col>14</xdr:col>
      <xdr:colOff>1929</xdr:colOff>
      <xdr:row>117</xdr:row>
      <xdr:rowOff>0</xdr:rowOff>
    </xdr:to>
    <xdr:sp macro="" textlink="">
      <xdr:nvSpPr>
        <xdr:cNvPr id="145" name="TextBox 144">
          <a:extLst>
            <a:ext uri="{FF2B5EF4-FFF2-40B4-BE49-F238E27FC236}">
              <a16:creationId xmlns:a16="http://schemas.microsoft.com/office/drawing/2014/main" id="{A38432C7-E6DA-4523-BF39-A263EE68BD30}"/>
            </a:ext>
          </a:extLst>
        </xdr:cNvPr>
        <xdr:cNvSpPr txBox="1"/>
      </xdr:nvSpPr>
      <xdr:spPr>
        <a:xfrm>
          <a:off x="1146564" y="22108454"/>
          <a:ext cx="1522365" cy="18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HQ</a:t>
          </a:r>
        </a:p>
      </xdr:txBody>
    </xdr:sp>
    <xdr:clientData/>
  </xdr:twoCellAnchor>
  <xdr:twoCellAnchor>
    <xdr:from>
      <xdr:col>7</xdr:col>
      <xdr:colOff>98307</xdr:colOff>
      <xdr:row>110</xdr:row>
      <xdr:rowOff>14976</xdr:rowOff>
    </xdr:from>
    <xdr:to>
      <xdr:col>17</xdr:col>
      <xdr:colOff>5144</xdr:colOff>
      <xdr:row>112</xdr:row>
      <xdr:rowOff>15478</xdr:rowOff>
    </xdr:to>
    <xdr:sp macro="" textlink="">
      <xdr:nvSpPr>
        <xdr:cNvPr id="146" name="TextBox 145">
          <a:extLst>
            <a:ext uri="{FF2B5EF4-FFF2-40B4-BE49-F238E27FC236}">
              <a16:creationId xmlns:a16="http://schemas.microsoft.com/office/drawing/2014/main" id="{3F8F075D-24E3-4C35-AA6C-3FE56D17ECA6}"/>
            </a:ext>
          </a:extLst>
        </xdr:cNvPr>
        <xdr:cNvSpPr txBox="1"/>
      </xdr:nvSpPr>
      <xdr:spPr>
        <a:xfrm>
          <a:off x="1427997" y="20973786"/>
          <a:ext cx="1817552" cy="381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by</a:t>
          </a:r>
        </a:p>
      </xdr:txBody>
    </xdr:sp>
    <xdr:clientData/>
  </xdr:twoCellAnchor>
  <xdr:twoCellAnchor>
    <xdr:from>
      <xdr:col>6</xdr:col>
      <xdr:colOff>98316</xdr:colOff>
      <xdr:row>110</xdr:row>
      <xdr:rowOff>14976</xdr:rowOff>
    </xdr:from>
    <xdr:to>
      <xdr:col>6</xdr:col>
      <xdr:colOff>98316</xdr:colOff>
      <xdr:row>112</xdr:row>
      <xdr:rowOff>15478</xdr:rowOff>
    </xdr:to>
    <xdr:cxnSp macro="">
      <xdr:nvCxnSpPr>
        <xdr:cNvPr id="147" name="Straight Connector 146">
          <a:extLst>
            <a:ext uri="{FF2B5EF4-FFF2-40B4-BE49-F238E27FC236}">
              <a16:creationId xmlns:a16="http://schemas.microsoft.com/office/drawing/2014/main" id="{87A0D6DE-5A1B-4C5C-91A3-5ED743EA27A1}"/>
            </a:ext>
          </a:extLst>
        </xdr:cNvPr>
        <xdr:cNvCxnSpPr/>
      </xdr:nvCxnSpPr>
      <xdr:spPr>
        <a:xfrm>
          <a:off x="1237506" y="20973786"/>
          <a:ext cx="0" cy="38150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658</xdr:colOff>
      <xdr:row>108</xdr:row>
      <xdr:rowOff>6804</xdr:rowOff>
    </xdr:from>
    <xdr:to>
      <xdr:col>36</xdr:col>
      <xdr:colOff>2993</xdr:colOff>
      <xdr:row>108</xdr:row>
      <xdr:rowOff>6804</xdr:rowOff>
    </xdr:to>
    <xdr:cxnSp macro="">
      <xdr:nvCxnSpPr>
        <xdr:cNvPr id="148" name="Straight Connector 16">
          <a:extLst>
            <a:ext uri="{FF2B5EF4-FFF2-40B4-BE49-F238E27FC236}">
              <a16:creationId xmlns:a16="http://schemas.microsoft.com/office/drawing/2014/main" id="{9FA36CFF-0252-46EF-9020-99A4A3B7EFDB}"/>
            </a:ext>
          </a:extLst>
        </xdr:cNvPr>
        <xdr:cNvCxnSpPr/>
      </xdr:nvCxnSpPr>
      <xdr:spPr>
        <a:xfrm>
          <a:off x="1143658" y="20582709"/>
          <a:ext cx="571733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162</xdr:row>
      <xdr:rowOff>0</xdr:rowOff>
    </xdr:from>
    <xdr:to>
      <xdr:col>36</xdr:col>
      <xdr:colOff>0</xdr:colOff>
      <xdr:row>162</xdr:row>
      <xdr:rowOff>0</xdr:rowOff>
    </xdr:to>
    <xdr:cxnSp macro="">
      <xdr:nvCxnSpPr>
        <xdr:cNvPr id="149" name="Straight Connector 16">
          <a:extLst>
            <a:ext uri="{FF2B5EF4-FFF2-40B4-BE49-F238E27FC236}">
              <a16:creationId xmlns:a16="http://schemas.microsoft.com/office/drawing/2014/main" id="{38A9B361-2495-4C00-AB76-21B419714599}"/>
            </a:ext>
          </a:extLst>
        </xdr:cNvPr>
        <xdr:cNvCxnSpPr/>
      </xdr:nvCxnSpPr>
      <xdr:spPr>
        <a:xfrm>
          <a:off x="1169775" y="31815464"/>
          <a:ext cx="5900328"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178291</xdr:colOff>
      <xdr:row>147</xdr:row>
      <xdr:rowOff>0</xdr:rowOff>
    </xdr:from>
    <xdr:to>
      <xdr:col>35</xdr:col>
      <xdr:colOff>180975</xdr:colOff>
      <xdr:row>147</xdr:row>
      <xdr:rowOff>0</xdr:rowOff>
    </xdr:to>
    <xdr:cxnSp macro="">
      <xdr:nvCxnSpPr>
        <xdr:cNvPr id="150" name="Straight Connector 16">
          <a:extLst>
            <a:ext uri="{FF2B5EF4-FFF2-40B4-BE49-F238E27FC236}">
              <a16:creationId xmlns:a16="http://schemas.microsoft.com/office/drawing/2014/main" id="{3597027E-D87D-4B71-BC58-D9FB26426323}"/>
            </a:ext>
          </a:extLst>
        </xdr:cNvPr>
        <xdr:cNvCxnSpPr/>
      </xdr:nvCxnSpPr>
      <xdr:spPr>
        <a:xfrm>
          <a:off x="1130791" y="2800350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187816</xdr:colOff>
      <xdr:row>138</xdr:row>
      <xdr:rowOff>0</xdr:rowOff>
    </xdr:from>
    <xdr:to>
      <xdr:col>36</xdr:col>
      <xdr:colOff>0</xdr:colOff>
      <xdr:row>138</xdr:row>
      <xdr:rowOff>0</xdr:rowOff>
    </xdr:to>
    <xdr:cxnSp macro="">
      <xdr:nvCxnSpPr>
        <xdr:cNvPr id="151" name="Straight Connector 16">
          <a:extLst>
            <a:ext uri="{FF2B5EF4-FFF2-40B4-BE49-F238E27FC236}">
              <a16:creationId xmlns:a16="http://schemas.microsoft.com/office/drawing/2014/main" id="{70438E80-9890-4035-98BB-80DFD68B9255}"/>
            </a:ext>
          </a:extLst>
        </xdr:cNvPr>
        <xdr:cNvCxnSpPr/>
      </xdr:nvCxnSpPr>
      <xdr:spPr>
        <a:xfrm>
          <a:off x="1140316" y="26289000"/>
          <a:ext cx="571768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0</xdr:colOff>
      <xdr:row>126</xdr:row>
      <xdr:rowOff>187816</xdr:rowOff>
    </xdr:from>
    <xdr:to>
      <xdr:col>72</xdr:col>
      <xdr:colOff>2684</xdr:colOff>
      <xdr:row>129</xdr:row>
      <xdr:rowOff>6350</xdr:rowOff>
    </xdr:to>
    <xdr:sp macro="" textlink="">
      <xdr:nvSpPr>
        <xdr:cNvPr id="152" name="TextBox 15">
          <a:extLst>
            <a:ext uri="{FF2B5EF4-FFF2-40B4-BE49-F238E27FC236}">
              <a16:creationId xmlns:a16="http://schemas.microsoft.com/office/drawing/2014/main" id="{76CFB0C9-A9CF-405C-9CF5-B51AB435A889}"/>
            </a:ext>
          </a:extLst>
        </xdr:cNvPr>
        <xdr:cNvSpPr txBox="1"/>
      </xdr:nvSpPr>
      <xdr:spPr>
        <a:xfrm>
          <a:off x="8953500" y="24190816"/>
          <a:ext cx="4765184" cy="39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DETAILED SYSTEM INCLUSIONS</a:t>
          </a:r>
        </a:p>
      </xdr:txBody>
    </xdr:sp>
    <xdr:clientData/>
  </xdr:twoCellAnchor>
  <xdr:twoCellAnchor>
    <xdr:from>
      <xdr:col>47</xdr:col>
      <xdr:colOff>2685</xdr:colOff>
      <xdr:row>126</xdr:row>
      <xdr:rowOff>0</xdr:rowOff>
    </xdr:from>
    <xdr:to>
      <xdr:col>72</xdr:col>
      <xdr:colOff>20572</xdr:colOff>
      <xdr:row>126</xdr:row>
      <xdr:rowOff>187816</xdr:rowOff>
    </xdr:to>
    <xdr:sp macro="" textlink="">
      <xdr:nvSpPr>
        <xdr:cNvPr id="153" name="TextBox 15">
          <a:extLst>
            <a:ext uri="{FF2B5EF4-FFF2-40B4-BE49-F238E27FC236}">
              <a16:creationId xmlns:a16="http://schemas.microsoft.com/office/drawing/2014/main" id="{D5A2ECC4-073A-4258-9D83-896DF6BA82B8}"/>
            </a:ext>
          </a:extLst>
        </xdr:cNvPr>
        <xdr:cNvSpPr txBox="1"/>
      </xdr:nvSpPr>
      <xdr:spPr>
        <a:xfrm>
          <a:off x="8956185" y="24003000"/>
          <a:ext cx="4776577" cy="187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a:solidFill>
                <a:srgbClr val="666666"/>
              </a:solidFill>
              <a:latin typeface="Barlow" pitchFamily="2" charset="77"/>
            </a:rPr>
            <a:t>2/2</a:t>
          </a:r>
        </a:p>
      </xdr:txBody>
    </xdr:sp>
    <xdr:clientData/>
  </xdr:twoCellAnchor>
  <xdr:twoCellAnchor>
    <xdr:from>
      <xdr:col>47</xdr:col>
      <xdr:colOff>0</xdr:colOff>
      <xdr:row>131</xdr:row>
      <xdr:rowOff>0</xdr:rowOff>
    </xdr:from>
    <xdr:to>
      <xdr:col>77</xdr:col>
      <xdr:colOff>1753</xdr:colOff>
      <xdr:row>138</xdr:row>
      <xdr:rowOff>10097</xdr:rowOff>
    </xdr:to>
    <xdr:grpSp>
      <xdr:nvGrpSpPr>
        <xdr:cNvPr id="35" name="Group 34">
          <a:extLst>
            <a:ext uri="{FF2B5EF4-FFF2-40B4-BE49-F238E27FC236}">
              <a16:creationId xmlns:a16="http://schemas.microsoft.com/office/drawing/2014/main" id="{64F4FED1-5074-6657-CF93-B33C756F53F3}"/>
            </a:ext>
          </a:extLst>
        </xdr:cNvPr>
        <xdr:cNvGrpSpPr/>
      </xdr:nvGrpSpPr>
      <xdr:grpSpPr>
        <a:xfrm>
          <a:off x="8953500" y="24955500"/>
          <a:ext cx="5716753" cy="1345502"/>
          <a:chOff x="9230412" y="28079959"/>
          <a:chExt cx="5893506" cy="1382934"/>
        </a:xfrm>
      </xdr:grpSpPr>
      <xdr:sp macro="" textlink="'Linking Cells'!C67">
        <xdr:nvSpPr>
          <xdr:cNvPr id="36" name="TextBox 35">
            <a:extLst>
              <a:ext uri="{FF2B5EF4-FFF2-40B4-BE49-F238E27FC236}">
                <a16:creationId xmlns:a16="http://schemas.microsoft.com/office/drawing/2014/main" id="{2D1687A5-08D9-4975-B036-4551CEEF1FFF}"/>
              </a:ext>
            </a:extLst>
          </xdr:cNvPr>
          <xdr:cNvSpPr txBox="1"/>
        </xdr:nvSpPr>
        <xdr:spPr>
          <a:xfrm>
            <a:off x="11783505" y="28662146"/>
            <a:ext cx="3340413" cy="2078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F771D00-4FB8-41EA-A288-9E67EC2A59CA}" type="TxLink">
              <a:rPr lang="en-US" sz="1000" b="0" i="0" u="none" strike="noStrike">
                <a:solidFill>
                  <a:srgbClr val="2A2A2A"/>
                </a:solidFill>
                <a:latin typeface="Overpass" pitchFamily="2" charset="77"/>
                <a:ea typeface="+mn-ea"/>
                <a:cs typeface="Calibri"/>
              </a:rPr>
              <a:pPr marL="0" indent="0" algn="l"/>
              <a:t>5 Years Performance Warranty</a:t>
            </a:fld>
            <a:endParaRPr lang="en-AU" sz="1000" b="0" i="0" u="none" strike="noStrike">
              <a:solidFill>
                <a:srgbClr val="2A2A2A"/>
              </a:solidFill>
              <a:latin typeface="Overpass" pitchFamily="2" charset="77"/>
              <a:ea typeface="+mn-ea"/>
              <a:cs typeface="Calibri"/>
            </a:endParaRPr>
          </a:p>
        </xdr:txBody>
      </xdr:sp>
      <xdr:sp macro="" textlink="'Linking Cells'!C68">
        <xdr:nvSpPr>
          <xdr:cNvPr id="37" name="TextBox 36">
            <a:extLst>
              <a:ext uri="{FF2B5EF4-FFF2-40B4-BE49-F238E27FC236}">
                <a16:creationId xmlns:a16="http://schemas.microsoft.com/office/drawing/2014/main" id="{7DAE9CAB-1EBF-4C26-95CD-9B4DC66E1662}"/>
              </a:ext>
            </a:extLst>
          </xdr:cNvPr>
          <xdr:cNvSpPr txBox="1"/>
        </xdr:nvSpPr>
        <xdr:spPr>
          <a:xfrm>
            <a:off x="11783505" y="28870008"/>
            <a:ext cx="3340413" cy="19639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B307B34-B2B7-4792-B276-29B6CC34B731}" type="TxLink">
              <a:rPr lang="en-US" sz="1000" b="0" i="0" u="none" strike="noStrike">
                <a:solidFill>
                  <a:srgbClr val="2A2A2A"/>
                </a:solidFill>
                <a:latin typeface="Overpass" pitchFamily="2" charset="77"/>
                <a:ea typeface="+mn-ea"/>
                <a:cs typeface="Calibri"/>
              </a:rPr>
              <a:pPr marL="0" indent="0" algn="l"/>
              <a:t>10 Years Product Warranty</a:t>
            </a:fld>
            <a:endParaRPr lang="en-AU" sz="1000" b="0" i="0" u="none" strike="noStrike">
              <a:solidFill>
                <a:srgbClr val="2A2A2A"/>
              </a:solidFill>
              <a:latin typeface="Overpass" pitchFamily="2" charset="77"/>
              <a:ea typeface="+mn-ea"/>
              <a:cs typeface="Calibri"/>
            </a:endParaRPr>
          </a:p>
        </xdr:txBody>
      </xdr:sp>
      <xdr:sp macro="" textlink="">
        <xdr:nvSpPr>
          <xdr:cNvPr id="38" name="TextBox 37">
            <a:extLst>
              <a:ext uri="{FF2B5EF4-FFF2-40B4-BE49-F238E27FC236}">
                <a16:creationId xmlns:a16="http://schemas.microsoft.com/office/drawing/2014/main" id="{24D56017-D789-4EC3-9C43-E64E1F16CFF6}"/>
              </a:ext>
            </a:extLst>
          </xdr:cNvPr>
          <xdr:cNvSpPr txBox="1"/>
        </xdr:nvSpPr>
        <xdr:spPr>
          <a:xfrm>
            <a:off x="11791441" y="29066399"/>
            <a:ext cx="3330726" cy="1963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endParaRPr lang="en-US" sz="1000" b="0" i="0" u="none" strike="noStrike">
              <a:solidFill>
                <a:srgbClr val="2A2A2A"/>
              </a:solidFill>
              <a:latin typeface="Overpass" pitchFamily="2" charset="77"/>
              <a:ea typeface="+mn-ea"/>
              <a:cs typeface="Calibri"/>
            </a:endParaRPr>
          </a:p>
        </xdr:txBody>
      </xdr:sp>
      <xdr:sp macro="" textlink="">
        <xdr:nvSpPr>
          <xdr:cNvPr id="39" name="TextBox 38">
            <a:extLst>
              <a:ext uri="{FF2B5EF4-FFF2-40B4-BE49-F238E27FC236}">
                <a16:creationId xmlns:a16="http://schemas.microsoft.com/office/drawing/2014/main" id="{B84A98A7-060C-41AB-A398-6EE3ECF0FDD4}"/>
              </a:ext>
            </a:extLst>
          </xdr:cNvPr>
          <xdr:cNvSpPr txBox="1"/>
        </xdr:nvSpPr>
        <xdr:spPr>
          <a:xfrm>
            <a:off x="11791441" y="29255127"/>
            <a:ext cx="3330726" cy="19639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Included</a:t>
            </a:r>
          </a:p>
        </xdr:txBody>
      </xdr:sp>
      <xdr:sp macro="" textlink="">
        <xdr:nvSpPr>
          <xdr:cNvPr id="160" name="TextBox 159">
            <a:extLst>
              <a:ext uri="{FF2B5EF4-FFF2-40B4-BE49-F238E27FC236}">
                <a16:creationId xmlns:a16="http://schemas.microsoft.com/office/drawing/2014/main" id="{8AC89053-2E5E-4C55-A580-46AF90991AA1}"/>
              </a:ext>
            </a:extLst>
          </xdr:cNvPr>
          <xdr:cNvSpPr txBox="1"/>
        </xdr:nvSpPr>
        <xdr:spPr>
          <a:xfrm>
            <a:off x="9529798" y="28079959"/>
            <a:ext cx="1860924" cy="39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Warranties</a:t>
            </a:r>
          </a:p>
        </xdr:txBody>
      </xdr:sp>
      <xdr:cxnSp macro="">
        <xdr:nvCxnSpPr>
          <xdr:cNvPr id="161" name="Straight Connector 160">
            <a:extLst>
              <a:ext uri="{FF2B5EF4-FFF2-40B4-BE49-F238E27FC236}">
                <a16:creationId xmlns:a16="http://schemas.microsoft.com/office/drawing/2014/main" id="{E70EC0FE-9B17-45A1-903D-D7C508C96888}"/>
              </a:ext>
            </a:extLst>
          </xdr:cNvPr>
          <xdr:cNvCxnSpPr/>
        </xdr:nvCxnSpPr>
        <xdr:spPr>
          <a:xfrm>
            <a:off x="9329347" y="28079959"/>
            <a:ext cx="0" cy="39278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sp macro="" textlink="">
        <xdr:nvSpPr>
          <xdr:cNvPr id="162" name="TextBox 161">
            <a:extLst>
              <a:ext uri="{FF2B5EF4-FFF2-40B4-BE49-F238E27FC236}">
                <a16:creationId xmlns:a16="http://schemas.microsoft.com/office/drawing/2014/main" id="{743EBF54-597E-49C7-98A5-DD3C48CBB1E9}"/>
              </a:ext>
            </a:extLst>
          </xdr:cNvPr>
          <xdr:cNvSpPr txBox="1"/>
        </xdr:nvSpPr>
        <xdr:spPr>
          <a:xfrm>
            <a:off x="9230412" y="28669134"/>
            <a:ext cx="2557148" cy="197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a:t>
            </a:r>
            <a:r>
              <a:rPr lang="en-US" sz="1000" b="1" i="0" u="none" strike="noStrike" baseline="0">
                <a:solidFill>
                  <a:srgbClr val="2A2A2A"/>
                </a:solidFill>
                <a:latin typeface="Overpass" panose="00000500000000000000" pitchFamily="2" charset="0"/>
                <a:ea typeface="+mn-ea"/>
                <a:cs typeface="Calibri"/>
              </a:rPr>
              <a:t> PRODUCT</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163" name="TextBox 162">
            <a:extLst>
              <a:ext uri="{FF2B5EF4-FFF2-40B4-BE49-F238E27FC236}">
                <a16:creationId xmlns:a16="http://schemas.microsoft.com/office/drawing/2014/main" id="{289C5E64-6671-4BD6-8729-7B1A6F5CBEE4}"/>
              </a:ext>
            </a:extLst>
          </xdr:cNvPr>
          <xdr:cNvSpPr txBox="1"/>
        </xdr:nvSpPr>
        <xdr:spPr>
          <a:xfrm>
            <a:off x="9230412" y="28865526"/>
            <a:ext cx="2557148" cy="197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PERFORMANCE</a:t>
            </a:r>
          </a:p>
        </xdr:txBody>
      </xdr:sp>
      <xdr:sp macro="" textlink="">
        <xdr:nvSpPr>
          <xdr:cNvPr id="164" name="TextBox 163">
            <a:extLst>
              <a:ext uri="{FF2B5EF4-FFF2-40B4-BE49-F238E27FC236}">
                <a16:creationId xmlns:a16="http://schemas.microsoft.com/office/drawing/2014/main" id="{C0AB574E-A2CF-4846-97A8-A6467368F885}"/>
              </a:ext>
            </a:extLst>
          </xdr:cNvPr>
          <xdr:cNvSpPr txBox="1"/>
        </xdr:nvSpPr>
        <xdr:spPr>
          <a:xfrm>
            <a:off x="9230412" y="29061918"/>
            <a:ext cx="2557148" cy="197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BATTERY INVERTER</a:t>
            </a:r>
          </a:p>
        </xdr:txBody>
      </xdr:sp>
      <xdr:sp macro="" textlink="">
        <xdr:nvSpPr>
          <xdr:cNvPr id="165" name="TextBox 164">
            <a:extLst>
              <a:ext uri="{FF2B5EF4-FFF2-40B4-BE49-F238E27FC236}">
                <a16:creationId xmlns:a16="http://schemas.microsoft.com/office/drawing/2014/main" id="{268AAFAE-108C-46B8-BAC1-63A9D47164A8}"/>
              </a:ext>
            </a:extLst>
          </xdr:cNvPr>
          <xdr:cNvSpPr txBox="1"/>
        </xdr:nvSpPr>
        <xdr:spPr>
          <a:xfrm>
            <a:off x="9230412" y="29265132"/>
            <a:ext cx="2557148" cy="197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WORKMANSHIP</a:t>
            </a:r>
          </a:p>
        </xdr:txBody>
      </xdr:sp>
      <xdr:sp macro="" textlink="'Linking Cells'!C69">
        <xdr:nvSpPr>
          <xdr:cNvPr id="108" name="TextBox 107">
            <a:extLst>
              <a:ext uri="{FF2B5EF4-FFF2-40B4-BE49-F238E27FC236}">
                <a16:creationId xmlns:a16="http://schemas.microsoft.com/office/drawing/2014/main" id="{A8391511-16DB-ACC8-7A71-1217E9D6B5D1}"/>
              </a:ext>
            </a:extLst>
          </xdr:cNvPr>
          <xdr:cNvSpPr txBox="1"/>
        </xdr:nvSpPr>
        <xdr:spPr>
          <a:xfrm>
            <a:off x="11783505" y="29057559"/>
            <a:ext cx="3340413" cy="19639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00447FA-2E37-4C5D-8680-861E97063C55}" type="TxLink">
              <a:rPr lang="en-US" sz="1000" b="0" i="0" u="none" strike="noStrike">
                <a:solidFill>
                  <a:srgbClr val="2A2A2A"/>
                </a:solidFill>
                <a:latin typeface="Overpass" pitchFamily="2" charset="77"/>
                <a:ea typeface="+mn-ea"/>
                <a:cs typeface="Calibri"/>
              </a:rPr>
              <a:pPr marL="0" indent="0" algn="l"/>
              <a:t>10 Years Product Warranty</a:t>
            </a:fld>
            <a:endParaRPr lang="en-AU" sz="1000" b="0" i="0" u="none" strike="noStrike">
              <a:solidFill>
                <a:srgbClr val="2A2A2A"/>
              </a:solidFill>
              <a:latin typeface="Overpass" pitchFamily="2" charset="77"/>
              <a:ea typeface="+mn-ea"/>
              <a:cs typeface="Calibri"/>
            </a:endParaRPr>
          </a:p>
        </xdr:txBody>
      </xdr:sp>
    </xdr:grpSp>
    <xdr:clientData/>
  </xdr:twoCellAnchor>
  <xdr:twoCellAnchor>
    <xdr:from>
      <xdr:col>47</xdr:col>
      <xdr:colOff>0</xdr:colOff>
      <xdr:row>140</xdr:row>
      <xdr:rowOff>0</xdr:rowOff>
    </xdr:from>
    <xdr:to>
      <xdr:col>77</xdr:col>
      <xdr:colOff>0</xdr:colOff>
      <xdr:row>140</xdr:row>
      <xdr:rowOff>0</xdr:rowOff>
    </xdr:to>
    <xdr:cxnSp macro="">
      <xdr:nvCxnSpPr>
        <xdr:cNvPr id="167" name="Straight Connector 16">
          <a:extLst>
            <a:ext uri="{FF2B5EF4-FFF2-40B4-BE49-F238E27FC236}">
              <a16:creationId xmlns:a16="http://schemas.microsoft.com/office/drawing/2014/main" id="{33587A62-862B-454F-83B6-D4B62746ADB9}"/>
            </a:ext>
          </a:extLst>
        </xdr:cNvPr>
        <xdr:cNvCxnSpPr/>
      </xdr:nvCxnSpPr>
      <xdr:spPr>
        <a:xfrm>
          <a:off x="9230412" y="27494845"/>
          <a:ext cx="58917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102750</xdr:colOff>
      <xdr:row>142</xdr:row>
      <xdr:rowOff>0</xdr:rowOff>
    </xdr:from>
    <xdr:to>
      <xdr:col>68</xdr:col>
      <xdr:colOff>7625</xdr:colOff>
      <xdr:row>144</xdr:row>
      <xdr:rowOff>0</xdr:rowOff>
    </xdr:to>
    <xdr:grpSp>
      <xdr:nvGrpSpPr>
        <xdr:cNvPr id="168" name="Group 167">
          <a:extLst>
            <a:ext uri="{FF2B5EF4-FFF2-40B4-BE49-F238E27FC236}">
              <a16:creationId xmlns:a16="http://schemas.microsoft.com/office/drawing/2014/main" id="{7CC4EE0D-B9ED-4CE6-A3EF-CDCF0BBC7A21}"/>
            </a:ext>
          </a:extLst>
        </xdr:cNvPr>
        <xdr:cNvGrpSpPr/>
      </xdr:nvGrpSpPr>
      <xdr:grpSpPr>
        <a:xfrm>
          <a:off x="9052440" y="27051000"/>
          <a:ext cx="3911090" cy="381000"/>
          <a:chOff x="8994655" y="29510415"/>
          <a:chExt cx="3873193" cy="378298"/>
        </a:xfrm>
      </xdr:grpSpPr>
      <xdr:sp macro="" textlink="">
        <xdr:nvSpPr>
          <xdr:cNvPr id="169" name="TextBox 168">
            <a:extLst>
              <a:ext uri="{FF2B5EF4-FFF2-40B4-BE49-F238E27FC236}">
                <a16:creationId xmlns:a16="http://schemas.microsoft.com/office/drawing/2014/main" id="{94942839-6585-8296-52FD-116D0D98EA02}"/>
              </a:ext>
            </a:extLst>
          </xdr:cNvPr>
          <xdr:cNvSpPr txBox="1"/>
        </xdr:nvSpPr>
        <xdr:spPr>
          <a:xfrm>
            <a:off x="9187862" y="29510415"/>
            <a:ext cx="3679986" cy="378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Commissioning</a:t>
            </a:r>
            <a:r>
              <a:rPr lang="en-GB" sz="2000" b="0" i="0" baseline="0">
                <a:solidFill>
                  <a:srgbClr val="28066C"/>
                </a:solidFill>
                <a:latin typeface="Barlow" pitchFamily="2" charset="77"/>
              </a:rPr>
              <a:t> &amp; Monitoring</a:t>
            </a:r>
            <a:endParaRPr lang="en-GB" sz="2000" b="0" i="0">
              <a:solidFill>
                <a:srgbClr val="28066C"/>
              </a:solidFill>
              <a:latin typeface="Barlow" pitchFamily="2" charset="77"/>
            </a:endParaRPr>
          </a:p>
        </xdr:txBody>
      </xdr:sp>
      <xdr:cxnSp macro="">
        <xdr:nvCxnSpPr>
          <xdr:cNvPr id="170" name="Straight Connector 169">
            <a:extLst>
              <a:ext uri="{FF2B5EF4-FFF2-40B4-BE49-F238E27FC236}">
                <a16:creationId xmlns:a16="http://schemas.microsoft.com/office/drawing/2014/main" id="{20AF343B-FD6B-15F9-EAE1-75428A990158}"/>
              </a:ext>
            </a:extLst>
          </xdr:cNvPr>
          <xdr:cNvCxnSpPr/>
        </xdr:nvCxnSpPr>
        <xdr:spPr>
          <a:xfrm>
            <a:off x="8994655" y="29510415"/>
            <a:ext cx="0" cy="378298"/>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47</xdr:col>
      <xdr:colOff>5720</xdr:colOff>
      <xdr:row>145</xdr:row>
      <xdr:rowOff>0</xdr:rowOff>
    </xdr:from>
    <xdr:to>
      <xdr:col>58</xdr:col>
      <xdr:colOff>0</xdr:colOff>
      <xdr:row>146</xdr:row>
      <xdr:rowOff>14334</xdr:rowOff>
    </xdr:to>
    <xdr:sp macro="" textlink="">
      <xdr:nvSpPr>
        <xdr:cNvPr id="171" name="TextBox 170">
          <a:extLst>
            <a:ext uri="{FF2B5EF4-FFF2-40B4-BE49-F238E27FC236}">
              <a16:creationId xmlns:a16="http://schemas.microsoft.com/office/drawing/2014/main" id="{5B497E4B-DC48-4C8F-964B-00297182C153}"/>
            </a:ext>
          </a:extLst>
        </xdr:cNvPr>
        <xdr:cNvSpPr txBox="1"/>
      </xdr:nvSpPr>
      <xdr:spPr>
        <a:xfrm>
          <a:off x="9236132" y="28476804"/>
          <a:ext cx="2154590" cy="210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SYSTEM MONITORING</a:t>
          </a:r>
        </a:p>
      </xdr:txBody>
    </xdr:sp>
    <xdr:clientData/>
  </xdr:twoCellAnchor>
  <xdr:twoCellAnchor>
    <xdr:from>
      <xdr:col>47</xdr:col>
      <xdr:colOff>5721</xdr:colOff>
      <xdr:row>146</xdr:row>
      <xdr:rowOff>12964</xdr:rowOff>
    </xdr:from>
    <xdr:to>
      <xdr:col>59</xdr:col>
      <xdr:colOff>0</xdr:colOff>
      <xdr:row>149</xdr:row>
      <xdr:rowOff>12964</xdr:rowOff>
    </xdr:to>
    <xdr:sp macro="" textlink="">
      <xdr:nvSpPr>
        <xdr:cNvPr id="172" name="TextBox 171">
          <a:extLst>
            <a:ext uri="{FF2B5EF4-FFF2-40B4-BE49-F238E27FC236}">
              <a16:creationId xmlns:a16="http://schemas.microsoft.com/office/drawing/2014/main" id="{1F60D027-3F19-4F0F-99A5-DA049142D54A}"/>
            </a:ext>
          </a:extLst>
        </xdr:cNvPr>
        <xdr:cNvSpPr txBox="1"/>
      </xdr:nvSpPr>
      <xdr:spPr>
        <a:xfrm>
          <a:off x="9236133" y="28686160"/>
          <a:ext cx="2350980" cy="58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POWERSYNC MARKET CONTRACT ESTABLISHMENT</a:t>
          </a:r>
        </a:p>
      </xdr:txBody>
    </xdr:sp>
    <xdr:clientData/>
  </xdr:twoCellAnchor>
  <xdr:twoCellAnchor>
    <xdr:from>
      <xdr:col>6</xdr:col>
      <xdr:colOff>9525</xdr:colOff>
      <xdr:row>186</xdr:row>
      <xdr:rowOff>28575</xdr:rowOff>
    </xdr:from>
    <xdr:to>
      <xdr:col>31</xdr:col>
      <xdr:colOff>12209</xdr:colOff>
      <xdr:row>188</xdr:row>
      <xdr:rowOff>37609</xdr:rowOff>
    </xdr:to>
    <xdr:sp macro="" textlink="">
      <xdr:nvSpPr>
        <xdr:cNvPr id="173" name="TextBox 15">
          <a:extLst>
            <a:ext uri="{FF2B5EF4-FFF2-40B4-BE49-F238E27FC236}">
              <a16:creationId xmlns:a16="http://schemas.microsoft.com/office/drawing/2014/main" id="{F2E6FDF4-9AC6-4742-B535-F027B5A3CF03}"/>
            </a:ext>
          </a:extLst>
        </xdr:cNvPr>
        <xdr:cNvSpPr txBox="1"/>
      </xdr:nvSpPr>
      <xdr:spPr>
        <a:xfrm>
          <a:off x="1152525" y="35461575"/>
          <a:ext cx="4765184" cy="390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NEXT STEPS</a:t>
          </a:r>
        </a:p>
      </xdr:txBody>
    </xdr:sp>
    <xdr:clientData/>
  </xdr:twoCellAnchor>
  <xdr:twoCellAnchor>
    <xdr:from>
      <xdr:col>7</xdr:col>
      <xdr:colOff>118025</xdr:colOff>
      <xdr:row>189</xdr:row>
      <xdr:rowOff>152400</xdr:rowOff>
    </xdr:from>
    <xdr:to>
      <xdr:col>22</xdr:col>
      <xdr:colOff>19051</xdr:colOff>
      <xdr:row>191</xdr:row>
      <xdr:rowOff>152400</xdr:rowOff>
    </xdr:to>
    <xdr:sp macro="" textlink="">
      <xdr:nvSpPr>
        <xdr:cNvPr id="174" name="TextBox 173">
          <a:extLst>
            <a:ext uri="{FF2B5EF4-FFF2-40B4-BE49-F238E27FC236}">
              <a16:creationId xmlns:a16="http://schemas.microsoft.com/office/drawing/2014/main" id="{AD970DFF-040A-4A14-ADCD-264E874D831A}"/>
            </a:ext>
          </a:extLst>
        </xdr:cNvPr>
        <xdr:cNvSpPr txBox="1"/>
      </xdr:nvSpPr>
      <xdr:spPr>
        <a:xfrm>
          <a:off x="1451525" y="36156900"/>
          <a:ext cx="275852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Payment Schedule</a:t>
          </a:r>
        </a:p>
      </xdr:txBody>
    </xdr:sp>
    <xdr:clientData/>
  </xdr:twoCellAnchor>
  <xdr:twoCellAnchor>
    <xdr:from>
      <xdr:col>6</xdr:col>
      <xdr:colOff>104441</xdr:colOff>
      <xdr:row>190</xdr:row>
      <xdr:rowOff>0</xdr:rowOff>
    </xdr:from>
    <xdr:to>
      <xdr:col>6</xdr:col>
      <xdr:colOff>104441</xdr:colOff>
      <xdr:row>192</xdr:row>
      <xdr:rowOff>0</xdr:rowOff>
    </xdr:to>
    <xdr:cxnSp macro="">
      <xdr:nvCxnSpPr>
        <xdr:cNvPr id="175" name="Straight Connector 174">
          <a:extLst>
            <a:ext uri="{FF2B5EF4-FFF2-40B4-BE49-F238E27FC236}">
              <a16:creationId xmlns:a16="http://schemas.microsoft.com/office/drawing/2014/main" id="{BB3EEB5F-5901-4DFF-8190-9B706CC00E6F}"/>
            </a:ext>
          </a:extLst>
        </xdr:cNvPr>
        <xdr:cNvCxnSpPr/>
      </xdr:nvCxnSpPr>
      <xdr:spPr>
        <a:xfrm>
          <a:off x="1247441" y="36195000"/>
          <a:ext cx="0" cy="38100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483</xdr:colOff>
      <xdr:row>192</xdr:row>
      <xdr:rowOff>154231</xdr:rowOff>
    </xdr:from>
    <xdr:to>
      <xdr:col>20</xdr:col>
      <xdr:colOff>0</xdr:colOff>
      <xdr:row>195</xdr:row>
      <xdr:rowOff>151546</xdr:rowOff>
    </xdr:to>
    <xdr:sp macro="" textlink="">
      <xdr:nvSpPr>
        <xdr:cNvPr id="176" name="TextBox 175">
          <a:extLst>
            <a:ext uri="{FF2B5EF4-FFF2-40B4-BE49-F238E27FC236}">
              <a16:creationId xmlns:a16="http://schemas.microsoft.com/office/drawing/2014/main" id="{C2A95FDC-C6D5-446E-88BD-39C3EB1D1635}"/>
            </a:ext>
          </a:extLst>
        </xdr:cNvPr>
        <xdr:cNvSpPr txBox="1"/>
      </xdr:nvSpPr>
      <xdr:spPr>
        <a:xfrm>
          <a:off x="1143483" y="36730231"/>
          <a:ext cx="2666517" cy="56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666666"/>
              </a:solidFill>
              <a:latin typeface="Overpass" panose="00000500000000000000" pitchFamily="2" charset="0"/>
              <a:ea typeface="+mn-ea"/>
              <a:cs typeface="Calibri"/>
            </a:rPr>
            <a:t>SMART</a:t>
          </a:r>
          <a:r>
            <a:rPr lang="en-US" sz="1000" b="1" i="0" u="none" strike="noStrike" baseline="0">
              <a:solidFill>
                <a:srgbClr val="666666"/>
              </a:solidFill>
              <a:latin typeface="Overpass" panose="00000500000000000000" pitchFamily="2" charset="0"/>
              <a:ea typeface="+mn-ea"/>
              <a:cs typeface="Calibri"/>
            </a:rPr>
            <a:t> STANDARD TERMS OF PAYMENT ARE AS FOLLOWS.</a:t>
          </a:r>
          <a:endParaRPr lang="en-US" sz="1000" b="1" i="0" u="none" strike="noStrike">
            <a:solidFill>
              <a:srgbClr val="666666"/>
            </a:solidFill>
            <a:latin typeface="Overpass" panose="00000500000000000000" pitchFamily="2" charset="0"/>
            <a:ea typeface="+mn-ea"/>
            <a:cs typeface="Calibri"/>
          </a:endParaRPr>
        </a:p>
      </xdr:txBody>
    </xdr:sp>
    <xdr:clientData/>
  </xdr:twoCellAnchor>
  <xdr:twoCellAnchor>
    <xdr:from>
      <xdr:col>24</xdr:col>
      <xdr:colOff>1</xdr:colOff>
      <xdr:row>191</xdr:row>
      <xdr:rowOff>0</xdr:rowOff>
    </xdr:from>
    <xdr:to>
      <xdr:col>36</xdr:col>
      <xdr:colOff>1</xdr:colOff>
      <xdr:row>204</xdr:row>
      <xdr:rowOff>5909</xdr:rowOff>
    </xdr:to>
    <xdr:grpSp>
      <xdr:nvGrpSpPr>
        <xdr:cNvPr id="177" name="Group 176">
          <a:extLst>
            <a:ext uri="{FF2B5EF4-FFF2-40B4-BE49-F238E27FC236}">
              <a16:creationId xmlns:a16="http://schemas.microsoft.com/office/drawing/2014/main" id="{9C206F2E-6924-4D90-A3D4-9D6CF47164D8}"/>
            </a:ext>
          </a:extLst>
        </xdr:cNvPr>
        <xdr:cNvGrpSpPr/>
      </xdr:nvGrpSpPr>
      <xdr:grpSpPr>
        <a:xfrm>
          <a:off x="4572001" y="36385500"/>
          <a:ext cx="2286000" cy="2484314"/>
          <a:chOff x="4500404" y="35815705"/>
          <a:chExt cx="2250201" cy="2441722"/>
        </a:xfrm>
      </xdr:grpSpPr>
      <xdr:sp macro="" textlink="">
        <xdr:nvSpPr>
          <xdr:cNvPr id="178" name="TextBox 177">
            <a:extLst>
              <a:ext uri="{FF2B5EF4-FFF2-40B4-BE49-F238E27FC236}">
                <a16:creationId xmlns:a16="http://schemas.microsoft.com/office/drawing/2014/main" id="{6251E3EE-BC2F-E059-95E8-758E4EA8483A}"/>
              </a:ext>
            </a:extLst>
          </xdr:cNvPr>
          <xdr:cNvSpPr txBox="1"/>
        </xdr:nvSpPr>
        <xdr:spPr>
          <a:xfrm>
            <a:off x="5625504" y="36753289"/>
            <a:ext cx="1125100" cy="750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Smart Commercial</a:t>
            </a:r>
            <a:r>
              <a:rPr lang="en-US" sz="1000" b="0" i="0" u="none" strike="noStrike" baseline="0">
                <a:solidFill>
                  <a:srgbClr val="2A2A2A"/>
                </a:solidFill>
                <a:latin typeface="Overpass" panose="00000500000000000000" pitchFamily="2" charset="0"/>
                <a:ea typeface="+mn-ea"/>
                <a:cs typeface="Calibri"/>
              </a:rPr>
              <a:t> Solar Pty Ltd.</a:t>
            </a:r>
            <a:endParaRPr lang="en-US" sz="1000" b="0" i="0" u="none" strike="noStrike">
              <a:solidFill>
                <a:srgbClr val="2A2A2A"/>
              </a:solidFill>
              <a:latin typeface="Overpass" panose="00000500000000000000" pitchFamily="2" charset="0"/>
              <a:ea typeface="+mn-ea"/>
              <a:cs typeface="Calibri"/>
            </a:endParaRPr>
          </a:p>
        </xdr:txBody>
      </xdr:sp>
      <xdr:grpSp>
        <xdr:nvGrpSpPr>
          <xdr:cNvPr id="179" name="Group 178">
            <a:extLst>
              <a:ext uri="{FF2B5EF4-FFF2-40B4-BE49-F238E27FC236}">
                <a16:creationId xmlns:a16="http://schemas.microsoft.com/office/drawing/2014/main" id="{49E70537-9DC9-7AE9-42F9-834821646552}"/>
              </a:ext>
            </a:extLst>
          </xdr:cNvPr>
          <xdr:cNvGrpSpPr/>
        </xdr:nvGrpSpPr>
        <xdr:grpSpPr>
          <a:xfrm>
            <a:off x="4500404" y="35815705"/>
            <a:ext cx="2250201" cy="2441722"/>
            <a:chOff x="4661648" y="37293177"/>
            <a:chExt cx="2330824" cy="2525059"/>
          </a:xfrm>
        </xdr:grpSpPr>
        <xdr:sp macro="" textlink="">
          <xdr:nvSpPr>
            <xdr:cNvPr id="180" name="TextBox 179">
              <a:extLst>
                <a:ext uri="{FF2B5EF4-FFF2-40B4-BE49-F238E27FC236}">
                  <a16:creationId xmlns:a16="http://schemas.microsoft.com/office/drawing/2014/main" id="{754307E5-243D-D5A5-3029-149E02A3B1CD}"/>
                </a:ext>
              </a:extLst>
            </xdr:cNvPr>
            <xdr:cNvSpPr txBox="1"/>
          </xdr:nvSpPr>
          <xdr:spPr>
            <a:xfrm>
              <a:off x="4855883" y="38260617"/>
              <a:ext cx="971176" cy="780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181" name="TextBox 180">
              <a:extLst>
                <a:ext uri="{FF2B5EF4-FFF2-40B4-BE49-F238E27FC236}">
                  <a16:creationId xmlns:a16="http://schemas.microsoft.com/office/drawing/2014/main" id="{7D6721DF-956E-9228-1E58-C17588063E73}"/>
                </a:ext>
              </a:extLst>
            </xdr:cNvPr>
            <xdr:cNvSpPr txBox="1"/>
          </xdr:nvSpPr>
          <xdr:spPr>
            <a:xfrm>
              <a:off x="4855882" y="38847059"/>
              <a:ext cx="1362186" cy="188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BSB #</a:t>
              </a:r>
            </a:p>
          </xdr:txBody>
        </xdr:sp>
        <xdr:sp macro="" textlink="">
          <xdr:nvSpPr>
            <xdr:cNvPr id="182" name="TextBox 181">
              <a:extLst>
                <a:ext uri="{FF2B5EF4-FFF2-40B4-BE49-F238E27FC236}">
                  <a16:creationId xmlns:a16="http://schemas.microsoft.com/office/drawing/2014/main" id="{43AEFDE5-3128-8CCB-6A3A-00E22F91ADA1}"/>
                </a:ext>
              </a:extLst>
            </xdr:cNvPr>
            <xdr:cNvSpPr txBox="1"/>
          </xdr:nvSpPr>
          <xdr:spPr>
            <a:xfrm>
              <a:off x="4855882" y="39041294"/>
              <a:ext cx="155388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183" name="TextBox 182">
              <a:extLst>
                <a:ext uri="{FF2B5EF4-FFF2-40B4-BE49-F238E27FC236}">
                  <a16:creationId xmlns:a16="http://schemas.microsoft.com/office/drawing/2014/main" id="{B7CAC8F6-572D-87B5-C50F-8413B22C64A2}"/>
                </a:ext>
              </a:extLst>
            </xdr:cNvPr>
            <xdr:cNvSpPr txBox="1"/>
          </xdr:nvSpPr>
          <xdr:spPr>
            <a:xfrm>
              <a:off x="4855882" y="39237702"/>
              <a:ext cx="1553883"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ABN</a:t>
              </a:r>
            </a:p>
          </xdr:txBody>
        </xdr:sp>
        <xdr:sp macro="" textlink="">
          <xdr:nvSpPr>
            <xdr:cNvPr id="184" name="TextBox 183">
              <a:extLst>
                <a:ext uri="{FF2B5EF4-FFF2-40B4-BE49-F238E27FC236}">
                  <a16:creationId xmlns:a16="http://schemas.microsoft.com/office/drawing/2014/main" id="{CB7C5813-1B47-3A6C-5338-DF780614F0FB}"/>
                </a:ext>
              </a:extLst>
            </xdr:cNvPr>
            <xdr:cNvSpPr txBox="1"/>
          </xdr:nvSpPr>
          <xdr:spPr>
            <a:xfrm>
              <a:off x="5827059" y="38847059"/>
              <a:ext cx="97117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062 313</a:t>
              </a:r>
            </a:p>
          </xdr:txBody>
        </xdr:sp>
        <xdr:sp macro="" textlink="">
          <xdr:nvSpPr>
            <xdr:cNvPr id="185" name="TextBox 184">
              <a:extLst>
                <a:ext uri="{FF2B5EF4-FFF2-40B4-BE49-F238E27FC236}">
                  <a16:creationId xmlns:a16="http://schemas.microsoft.com/office/drawing/2014/main" id="{685BFC88-9013-1D92-F882-FE424029892F}"/>
                </a:ext>
              </a:extLst>
            </xdr:cNvPr>
            <xdr:cNvSpPr txBox="1"/>
          </xdr:nvSpPr>
          <xdr:spPr>
            <a:xfrm>
              <a:off x="5827059" y="39041983"/>
              <a:ext cx="776941"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1026 1167</a:t>
              </a:r>
            </a:p>
          </xdr:txBody>
        </xdr:sp>
        <xdr:sp macro="" textlink="">
          <xdr:nvSpPr>
            <xdr:cNvPr id="186" name="TextBox 185">
              <a:extLst>
                <a:ext uri="{FF2B5EF4-FFF2-40B4-BE49-F238E27FC236}">
                  <a16:creationId xmlns:a16="http://schemas.microsoft.com/office/drawing/2014/main" id="{9347BBB5-E403-B5D0-12AF-5B4761A36C16}"/>
                </a:ext>
              </a:extLst>
            </xdr:cNvPr>
            <xdr:cNvSpPr txBox="1"/>
          </xdr:nvSpPr>
          <xdr:spPr>
            <a:xfrm>
              <a:off x="5827059" y="39237702"/>
              <a:ext cx="1165412"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27 155 596 928</a:t>
              </a:r>
            </a:p>
          </xdr:txBody>
        </xdr:sp>
        <xdr:sp macro="" textlink="">
          <xdr:nvSpPr>
            <xdr:cNvPr id="187" name="Rounded Rectangle 221">
              <a:extLst>
                <a:ext uri="{FF2B5EF4-FFF2-40B4-BE49-F238E27FC236}">
                  <a16:creationId xmlns:a16="http://schemas.microsoft.com/office/drawing/2014/main" id="{E60BF6AF-0590-D87F-B18D-F55E915C0567}"/>
                </a:ext>
              </a:extLst>
            </xdr:cNvPr>
            <xdr:cNvSpPr/>
          </xdr:nvSpPr>
          <xdr:spPr>
            <a:xfrm>
              <a:off x="4661648" y="37293177"/>
              <a:ext cx="2330824" cy="2525059"/>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8" name="TextBox 236">
              <a:extLst>
                <a:ext uri="{FF2B5EF4-FFF2-40B4-BE49-F238E27FC236}">
                  <a16:creationId xmlns:a16="http://schemas.microsoft.com/office/drawing/2014/main" id="{7FB8E31C-9B36-F95C-EE2F-E88EF8BBE468}"/>
                </a:ext>
              </a:extLst>
            </xdr:cNvPr>
            <xdr:cNvSpPr txBox="1"/>
          </xdr:nvSpPr>
          <xdr:spPr>
            <a:xfrm>
              <a:off x="4855882" y="37681647"/>
              <a:ext cx="1748118"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BANK DETAILS</a:t>
              </a:r>
            </a:p>
          </xdr:txBody>
        </xdr:sp>
        <xdr:cxnSp macro="">
          <xdr:nvCxnSpPr>
            <xdr:cNvPr id="189" name="Straight Connector 16">
              <a:extLst>
                <a:ext uri="{FF2B5EF4-FFF2-40B4-BE49-F238E27FC236}">
                  <a16:creationId xmlns:a16="http://schemas.microsoft.com/office/drawing/2014/main" id="{3AC51145-4FEC-4980-29C2-92CCECEF852B}"/>
                </a:ext>
              </a:extLst>
            </xdr:cNvPr>
            <xdr:cNvCxnSpPr/>
          </xdr:nvCxnSpPr>
          <xdr:spPr>
            <a:xfrm>
              <a:off x="4855882" y="38070118"/>
              <a:ext cx="19423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grpSp>
    <xdr:clientData/>
  </xdr:twoCellAnchor>
  <xdr:twoCellAnchor>
    <xdr:from>
      <xdr:col>6</xdr:col>
      <xdr:colOff>2830</xdr:colOff>
      <xdr:row>227</xdr:row>
      <xdr:rowOff>182423</xdr:rowOff>
    </xdr:from>
    <xdr:to>
      <xdr:col>15</xdr:col>
      <xdr:colOff>204</xdr:colOff>
      <xdr:row>238</xdr:row>
      <xdr:rowOff>0</xdr:rowOff>
    </xdr:to>
    <xdr:grpSp>
      <xdr:nvGrpSpPr>
        <xdr:cNvPr id="190" name="Group 189">
          <a:extLst>
            <a:ext uri="{FF2B5EF4-FFF2-40B4-BE49-F238E27FC236}">
              <a16:creationId xmlns:a16="http://schemas.microsoft.com/office/drawing/2014/main" id="{9A774E9E-B916-4BCA-ABD6-1504360DBDA9}"/>
            </a:ext>
          </a:extLst>
        </xdr:cNvPr>
        <xdr:cNvGrpSpPr/>
      </xdr:nvGrpSpPr>
      <xdr:grpSpPr>
        <a:xfrm>
          <a:off x="1145830" y="43424018"/>
          <a:ext cx="1711874" cy="1914982"/>
          <a:chOff x="1168242" y="44471600"/>
          <a:chExt cx="1745491" cy="1945183"/>
        </a:xfrm>
      </xdr:grpSpPr>
      <xdr:sp macro="" textlink="">
        <xdr:nvSpPr>
          <xdr:cNvPr id="191" name="Rounded Rectangle 256">
            <a:extLst>
              <a:ext uri="{FF2B5EF4-FFF2-40B4-BE49-F238E27FC236}">
                <a16:creationId xmlns:a16="http://schemas.microsoft.com/office/drawing/2014/main" id="{227EEA0E-D84D-A194-E2A6-3A8B5E93C1B5}"/>
              </a:ext>
            </a:extLst>
          </xdr:cNvPr>
          <xdr:cNvSpPr/>
        </xdr:nvSpPr>
        <xdr:spPr>
          <a:xfrm>
            <a:off x="1168242" y="44471600"/>
            <a:ext cx="1745491" cy="194518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2" name="TextBox 191">
            <a:extLst>
              <a:ext uri="{FF2B5EF4-FFF2-40B4-BE49-F238E27FC236}">
                <a16:creationId xmlns:a16="http://schemas.microsoft.com/office/drawing/2014/main" id="{8CF1A4B7-68CE-4394-DC3F-EA31403A59B2}"/>
              </a:ext>
            </a:extLst>
          </xdr:cNvPr>
          <xdr:cNvSpPr txBox="1"/>
        </xdr:nvSpPr>
        <xdr:spPr>
          <a:xfrm>
            <a:off x="1354195" y="45054306"/>
            <a:ext cx="1365099" cy="391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Metering Hardware Installation</a:t>
            </a:r>
          </a:p>
        </xdr:txBody>
      </xdr:sp>
      <xdr:sp macro="" textlink="">
        <xdr:nvSpPr>
          <xdr:cNvPr id="193" name="TextBox 192">
            <a:extLst>
              <a:ext uri="{FF2B5EF4-FFF2-40B4-BE49-F238E27FC236}">
                <a16:creationId xmlns:a16="http://schemas.microsoft.com/office/drawing/2014/main" id="{E1706CCD-D66D-22F1-33AC-5FB4AE614E39}"/>
              </a:ext>
            </a:extLst>
          </xdr:cNvPr>
          <xdr:cNvSpPr txBox="1"/>
        </xdr:nvSpPr>
        <xdr:spPr>
          <a:xfrm>
            <a:off x="1362807" y="45445606"/>
            <a:ext cx="1358135" cy="389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Shutdown and Final Connection</a:t>
            </a:r>
          </a:p>
        </xdr:txBody>
      </xdr:sp>
      <xdr:sp macro="" textlink="">
        <xdr:nvSpPr>
          <xdr:cNvPr id="194" name="TextBox 193">
            <a:extLst>
              <a:ext uri="{FF2B5EF4-FFF2-40B4-BE49-F238E27FC236}">
                <a16:creationId xmlns:a16="http://schemas.microsoft.com/office/drawing/2014/main" id="{53158A1D-0E68-3D9E-1B34-5D3BE6AF7887}"/>
              </a:ext>
            </a:extLst>
          </xdr:cNvPr>
          <xdr:cNvSpPr txBox="1"/>
        </xdr:nvSpPr>
        <xdr:spPr>
          <a:xfrm>
            <a:off x="1362807" y="45834768"/>
            <a:ext cx="135813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Testing and Comissioning</a:t>
            </a:r>
          </a:p>
        </xdr:txBody>
      </xdr:sp>
      <xdr:sp macro="" textlink="">
        <xdr:nvSpPr>
          <xdr:cNvPr id="195" name="TextBox 194">
            <a:extLst>
              <a:ext uri="{FF2B5EF4-FFF2-40B4-BE49-F238E27FC236}">
                <a16:creationId xmlns:a16="http://schemas.microsoft.com/office/drawing/2014/main" id="{FAE91C58-94EA-24BD-43F9-23A1B8E7E434}"/>
              </a:ext>
            </a:extLst>
          </xdr:cNvPr>
          <xdr:cNvSpPr txBox="1"/>
        </xdr:nvSpPr>
        <xdr:spPr>
          <a:xfrm>
            <a:off x="1354195" y="44665835"/>
            <a:ext cx="393923" cy="39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04</a:t>
            </a:r>
          </a:p>
        </xdr:txBody>
      </xdr:sp>
      <xdr:sp macro="" textlink="">
        <xdr:nvSpPr>
          <xdr:cNvPr id="196" name="TextBox 195">
            <a:extLst>
              <a:ext uri="{FF2B5EF4-FFF2-40B4-BE49-F238E27FC236}">
                <a16:creationId xmlns:a16="http://schemas.microsoft.com/office/drawing/2014/main" id="{E78629E9-CF05-86B9-907C-62EA2208773C}"/>
              </a:ext>
            </a:extLst>
          </xdr:cNvPr>
          <xdr:cNvSpPr txBox="1"/>
        </xdr:nvSpPr>
        <xdr:spPr>
          <a:xfrm>
            <a:off x="1555529" y="44665836"/>
            <a:ext cx="1163765" cy="38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SWITCHBOARD</a:t>
            </a:r>
          </a:p>
        </xdr:txBody>
      </xdr:sp>
    </xdr:grpSp>
    <xdr:clientData/>
  </xdr:twoCellAnchor>
  <xdr:twoCellAnchor>
    <xdr:from>
      <xdr:col>7</xdr:col>
      <xdr:colOff>96233</xdr:colOff>
      <xdr:row>208</xdr:row>
      <xdr:rowOff>196120</xdr:rowOff>
    </xdr:from>
    <xdr:to>
      <xdr:col>20</xdr:col>
      <xdr:colOff>96202</xdr:colOff>
      <xdr:row>211</xdr:row>
      <xdr:rowOff>0</xdr:rowOff>
    </xdr:to>
    <xdr:sp macro="" textlink="">
      <xdr:nvSpPr>
        <xdr:cNvPr id="197" name="TextBox 196">
          <a:extLst>
            <a:ext uri="{FF2B5EF4-FFF2-40B4-BE49-F238E27FC236}">
              <a16:creationId xmlns:a16="http://schemas.microsoft.com/office/drawing/2014/main" id="{50FC0207-4FC3-49F5-BBF9-38ECE5BC5936}"/>
            </a:ext>
          </a:extLst>
        </xdr:cNvPr>
        <xdr:cNvSpPr txBox="1"/>
      </xdr:nvSpPr>
      <xdr:spPr>
        <a:xfrm>
          <a:off x="1470975" y="41045605"/>
          <a:ext cx="2553062" cy="393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Project Milestones</a:t>
          </a:r>
        </a:p>
      </xdr:txBody>
    </xdr:sp>
    <xdr:clientData/>
  </xdr:twoCellAnchor>
  <xdr:twoCellAnchor>
    <xdr:from>
      <xdr:col>6</xdr:col>
      <xdr:colOff>92084</xdr:colOff>
      <xdr:row>208</xdr:row>
      <xdr:rowOff>196120</xdr:rowOff>
    </xdr:from>
    <xdr:to>
      <xdr:col>6</xdr:col>
      <xdr:colOff>92084</xdr:colOff>
      <xdr:row>211</xdr:row>
      <xdr:rowOff>0</xdr:rowOff>
    </xdr:to>
    <xdr:cxnSp macro="">
      <xdr:nvCxnSpPr>
        <xdr:cNvPr id="198" name="Straight Connector 197">
          <a:extLst>
            <a:ext uri="{FF2B5EF4-FFF2-40B4-BE49-F238E27FC236}">
              <a16:creationId xmlns:a16="http://schemas.microsoft.com/office/drawing/2014/main" id="{0CA3E184-2CA6-43CC-BEA4-8E3153363A73}"/>
            </a:ext>
          </a:extLst>
        </xdr:cNvPr>
        <xdr:cNvCxnSpPr/>
      </xdr:nvCxnSpPr>
      <xdr:spPr>
        <a:xfrm>
          <a:off x="1270435" y="41045605"/>
          <a:ext cx="0" cy="393055"/>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2726</xdr:colOff>
      <xdr:row>212</xdr:row>
      <xdr:rowOff>3572</xdr:rowOff>
    </xdr:from>
    <xdr:to>
      <xdr:col>22</xdr:col>
      <xdr:colOff>7206</xdr:colOff>
      <xdr:row>217</xdr:row>
      <xdr:rowOff>0</xdr:rowOff>
    </xdr:to>
    <xdr:sp macro="" textlink="">
      <xdr:nvSpPr>
        <xdr:cNvPr id="199" name="TextBox 198">
          <a:extLst>
            <a:ext uri="{FF2B5EF4-FFF2-40B4-BE49-F238E27FC236}">
              <a16:creationId xmlns:a16="http://schemas.microsoft.com/office/drawing/2014/main" id="{B0F195DB-36DF-49DF-8314-BF30CD6832B1}"/>
            </a:ext>
          </a:extLst>
        </xdr:cNvPr>
        <xdr:cNvSpPr txBox="1"/>
      </xdr:nvSpPr>
      <xdr:spPr>
        <a:xfrm>
          <a:off x="1181077" y="41638624"/>
          <a:ext cx="3146748" cy="978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 will be assigned a dedicated</a:t>
          </a:r>
          <a:r>
            <a:rPr lang="en-US" sz="1000" b="0" i="0" u="none" strike="noStrike" baseline="0">
              <a:solidFill>
                <a:srgbClr val="2A2A2A"/>
              </a:solidFill>
              <a:latin typeface="Overpass" panose="00000500000000000000" pitchFamily="2" charset="0"/>
              <a:ea typeface="+mn-ea"/>
              <a:cs typeface="Calibri"/>
            </a:rPr>
            <a:t> project team for the duration of the installation. Your </a:t>
          </a:r>
          <a:r>
            <a:rPr lang="en-US" sz="1000" b="1" i="0" u="none" strike="noStrike" baseline="0">
              <a:solidFill>
                <a:srgbClr val="28066C"/>
              </a:solidFill>
              <a:latin typeface="Overpass" panose="00000500000000000000" pitchFamily="2" charset="0"/>
              <a:ea typeface="+mn-ea"/>
              <a:cs typeface="Calibri"/>
            </a:rPr>
            <a:t>PROJECT MANAGER </a:t>
          </a:r>
          <a:r>
            <a:rPr lang="en-US" sz="1000" b="0" i="0" u="none" strike="noStrike" baseline="0">
              <a:solidFill>
                <a:srgbClr val="2A2A2A"/>
              </a:solidFill>
              <a:latin typeface="Overpass" panose="00000500000000000000" pitchFamily="2" charset="0"/>
              <a:ea typeface="+mn-ea"/>
              <a:cs typeface="Calibri"/>
            </a:rPr>
            <a:t>will reach out within a week of signing to introduce themselves and clarify project details.</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0</xdr:colOff>
      <xdr:row>206</xdr:row>
      <xdr:rowOff>195847</xdr:rowOff>
    </xdr:from>
    <xdr:to>
      <xdr:col>35</xdr:col>
      <xdr:colOff>191804</xdr:colOff>
      <xdr:row>206</xdr:row>
      <xdr:rowOff>195847</xdr:rowOff>
    </xdr:to>
    <xdr:cxnSp macro="">
      <xdr:nvCxnSpPr>
        <xdr:cNvPr id="200" name="Straight Connector 16">
          <a:extLst>
            <a:ext uri="{FF2B5EF4-FFF2-40B4-BE49-F238E27FC236}">
              <a16:creationId xmlns:a16="http://schemas.microsoft.com/office/drawing/2014/main" id="{AC69DE8C-E96A-4941-861F-612DF42F38CB}"/>
            </a:ext>
          </a:extLst>
        </xdr:cNvPr>
        <xdr:cNvCxnSpPr/>
      </xdr:nvCxnSpPr>
      <xdr:spPr>
        <a:xfrm>
          <a:off x="1178351" y="40652548"/>
          <a:ext cx="588716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191833</xdr:colOff>
      <xdr:row>212</xdr:row>
      <xdr:rowOff>3572</xdr:rowOff>
    </xdr:from>
    <xdr:to>
      <xdr:col>35</xdr:col>
      <xdr:colOff>191804</xdr:colOff>
      <xdr:row>217</xdr:row>
      <xdr:rowOff>0</xdr:rowOff>
    </xdr:to>
    <xdr:sp macro="" textlink="">
      <xdr:nvSpPr>
        <xdr:cNvPr id="201" name="TextBox 200">
          <a:extLst>
            <a:ext uri="{FF2B5EF4-FFF2-40B4-BE49-F238E27FC236}">
              <a16:creationId xmlns:a16="http://schemas.microsoft.com/office/drawing/2014/main" id="{59210DB1-943D-4914-A72A-0FC36FD5B1DE}"/>
            </a:ext>
          </a:extLst>
        </xdr:cNvPr>
        <xdr:cNvSpPr txBox="1"/>
      </xdr:nvSpPr>
      <xdr:spPr>
        <a:xfrm>
          <a:off x="4512452" y="41638624"/>
          <a:ext cx="2553063" cy="978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Your </a:t>
          </a:r>
          <a:r>
            <a:rPr lang="en-US" sz="1000" b="1" i="0" u="none" strike="noStrike">
              <a:solidFill>
                <a:srgbClr val="28066C"/>
              </a:solidFill>
              <a:latin typeface="Overpass" panose="00000500000000000000" pitchFamily="2" charset="0"/>
              <a:ea typeface="+mn-ea"/>
              <a:cs typeface="Calibri"/>
            </a:rPr>
            <a:t>PROJECT MANAGER</a:t>
          </a:r>
          <a:r>
            <a:rPr lang="en-US" sz="1000" b="0" i="0" u="none" strike="noStrike">
              <a:solidFill>
                <a:srgbClr val="28066C"/>
              </a:solidFill>
              <a:latin typeface="Overpass" panose="00000500000000000000" pitchFamily="2" charset="0"/>
              <a:ea typeface="+mn-ea"/>
              <a:cs typeface="Calibri"/>
            </a:rPr>
            <a:t> </a:t>
          </a:r>
          <a:r>
            <a:rPr lang="en-US" sz="1000" b="0" i="0" u="none" strike="noStrike">
              <a:solidFill>
                <a:srgbClr val="2A2A2A"/>
              </a:solidFill>
              <a:latin typeface="Overpass" panose="00000500000000000000" pitchFamily="2" charset="0"/>
              <a:ea typeface="+mn-ea"/>
              <a:cs typeface="Calibri"/>
            </a:rPr>
            <a:t>is supported by a </a:t>
          </a:r>
          <a:r>
            <a:rPr lang="en-US" sz="1000" b="1" i="0" u="none" strike="noStrike">
              <a:solidFill>
                <a:srgbClr val="28066C"/>
              </a:solidFill>
              <a:latin typeface="Overpass" panose="00000500000000000000" pitchFamily="2" charset="0"/>
              <a:ea typeface="+mn-ea"/>
              <a:cs typeface="Calibri"/>
            </a:rPr>
            <a:t>PROJECT ENGINEER</a:t>
          </a:r>
          <a:r>
            <a:rPr lang="en-US" sz="1000" b="0" i="0" u="none" strike="noStrike">
              <a:solidFill>
                <a:srgbClr val="2A2A2A"/>
              </a:solidFill>
              <a:latin typeface="Overpass" panose="00000500000000000000" pitchFamily="2" charset="0"/>
              <a:ea typeface="+mn-ea"/>
              <a:cs typeface="Calibri"/>
            </a:rPr>
            <a:t>.</a:t>
          </a:r>
          <a:r>
            <a:rPr lang="en-US" sz="1000" b="0" i="0" u="none" strike="noStrike" baseline="0">
              <a:solidFill>
                <a:srgbClr val="2A2A2A"/>
              </a:solidFill>
              <a:latin typeface="Overpass" panose="00000500000000000000" pitchFamily="2" charset="0"/>
              <a:ea typeface="+mn-ea"/>
              <a:cs typeface="Calibri"/>
            </a:rPr>
            <a:t> They may be in correspondence with you at particular points during the installation.</a:t>
          </a:r>
        </a:p>
      </xdr:txBody>
    </xdr:sp>
    <xdr:clientData/>
  </xdr:twoCellAnchor>
  <xdr:twoCellAnchor>
    <xdr:from>
      <xdr:col>6</xdr:col>
      <xdr:colOff>1</xdr:colOff>
      <xdr:row>216</xdr:row>
      <xdr:rowOff>183843</xdr:rowOff>
    </xdr:from>
    <xdr:to>
      <xdr:col>15</xdr:col>
      <xdr:colOff>3802</xdr:colOff>
      <xdr:row>226</xdr:row>
      <xdr:rowOff>187110</xdr:rowOff>
    </xdr:to>
    <xdr:grpSp>
      <xdr:nvGrpSpPr>
        <xdr:cNvPr id="202" name="Group 201">
          <a:extLst>
            <a:ext uri="{FF2B5EF4-FFF2-40B4-BE49-F238E27FC236}">
              <a16:creationId xmlns:a16="http://schemas.microsoft.com/office/drawing/2014/main" id="{5D6A477A-4247-40B0-94ED-AE9822D82765}"/>
            </a:ext>
          </a:extLst>
        </xdr:cNvPr>
        <xdr:cNvGrpSpPr/>
      </xdr:nvGrpSpPr>
      <xdr:grpSpPr>
        <a:xfrm>
          <a:off x="1143001" y="41329938"/>
          <a:ext cx="1718301" cy="1910172"/>
          <a:chOff x="1165413" y="42335012"/>
          <a:chExt cx="1748116" cy="1942353"/>
        </a:xfrm>
      </xdr:grpSpPr>
      <xdr:sp macro="" textlink="">
        <xdr:nvSpPr>
          <xdr:cNvPr id="203" name="Rounded Rectangle 230">
            <a:extLst>
              <a:ext uri="{FF2B5EF4-FFF2-40B4-BE49-F238E27FC236}">
                <a16:creationId xmlns:a16="http://schemas.microsoft.com/office/drawing/2014/main" id="{BD84B8F4-D697-AA8D-14D0-5FD1A3C47AF0}"/>
              </a:ext>
            </a:extLst>
          </xdr:cNvPr>
          <xdr:cNvSpPr/>
        </xdr:nvSpPr>
        <xdr:spPr>
          <a:xfrm>
            <a:off x="1165413" y="42335012"/>
            <a:ext cx="1748116"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04" name="TextBox 203">
            <a:extLst>
              <a:ext uri="{FF2B5EF4-FFF2-40B4-BE49-F238E27FC236}">
                <a16:creationId xmlns:a16="http://schemas.microsoft.com/office/drawing/2014/main" id="{61A0B50A-D47D-5C21-AC4E-62E54FB66A79}"/>
              </a:ext>
            </a:extLst>
          </xdr:cNvPr>
          <xdr:cNvSpPr txBox="1"/>
        </xdr:nvSpPr>
        <xdr:spPr>
          <a:xfrm>
            <a:off x="1362478" y="42922143"/>
            <a:ext cx="1356816"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Detailed</a:t>
            </a:r>
            <a:r>
              <a:rPr lang="en-US" sz="700" b="0" i="0" u="none" strike="noStrike" baseline="0">
                <a:solidFill>
                  <a:srgbClr val="2A2A2A"/>
                </a:solidFill>
                <a:latin typeface="Overpass" panose="00000500000000000000" pitchFamily="2" charset="0"/>
                <a:ea typeface="+mn-ea"/>
                <a:cs typeface="Calibri"/>
              </a:rPr>
              <a:t> Design</a:t>
            </a:r>
            <a:endParaRPr lang="en-US" sz="700" b="0" i="0" u="none" strike="noStrike">
              <a:solidFill>
                <a:srgbClr val="2A2A2A"/>
              </a:solidFill>
              <a:latin typeface="Overpass" panose="00000500000000000000" pitchFamily="2" charset="0"/>
              <a:ea typeface="+mn-ea"/>
              <a:cs typeface="Calibri"/>
            </a:endParaRPr>
          </a:p>
        </xdr:txBody>
      </xdr:sp>
      <xdr:sp macro="" textlink="">
        <xdr:nvSpPr>
          <xdr:cNvPr id="205" name="TextBox 204">
            <a:extLst>
              <a:ext uri="{FF2B5EF4-FFF2-40B4-BE49-F238E27FC236}">
                <a16:creationId xmlns:a16="http://schemas.microsoft.com/office/drawing/2014/main" id="{CEA4B288-14F3-6BC2-9E07-69E061CD3131}"/>
              </a:ext>
            </a:extLst>
          </xdr:cNvPr>
          <xdr:cNvSpPr txBox="1"/>
        </xdr:nvSpPr>
        <xdr:spPr>
          <a:xfrm>
            <a:off x="1361160" y="43116240"/>
            <a:ext cx="1358134"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Application for Connection</a:t>
            </a:r>
          </a:p>
        </xdr:txBody>
      </xdr:sp>
      <xdr:sp macro="" textlink="">
        <xdr:nvSpPr>
          <xdr:cNvPr id="206" name="TextBox 205">
            <a:extLst>
              <a:ext uri="{FF2B5EF4-FFF2-40B4-BE49-F238E27FC236}">
                <a16:creationId xmlns:a16="http://schemas.microsoft.com/office/drawing/2014/main" id="{0FB74A0D-57B3-31AC-2487-6B02DD5AA341}"/>
              </a:ext>
            </a:extLst>
          </xdr:cNvPr>
          <xdr:cNvSpPr txBox="1"/>
        </xdr:nvSpPr>
        <xdr:spPr>
          <a:xfrm>
            <a:off x="1361160" y="43310336"/>
            <a:ext cx="1358134" cy="382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Energy Renaissance BESS Procurement</a:t>
            </a:r>
          </a:p>
        </xdr:txBody>
      </xdr:sp>
      <xdr:sp macro="" textlink="">
        <xdr:nvSpPr>
          <xdr:cNvPr id="207" name="TextBox 206">
            <a:extLst>
              <a:ext uri="{FF2B5EF4-FFF2-40B4-BE49-F238E27FC236}">
                <a16:creationId xmlns:a16="http://schemas.microsoft.com/office/drawing/2014/main" id="{A9E3CAC5-B41D-D537-F6B4-F3158D786492}"/>
              </a:ext>
            </a:extLst>
          </xdr:cNvPr>
          <xdr:cNvSpPr txBox="1"/>
        </xdr:nvSpPr>
        <xdr:spPr>
          <a:xfrm>
            <a:off x="1361160" y="43698529"/>
            <a:ext cx="1358134" cy="190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Sinexcel PCS Procurement</a:t>
            </a:r>
          </a:p>
        </xdr:txBody>
      </xdr:sp>
      <xdr:sp macro="" textlink="">
        <xdr:nvSpPr>
          <xdr:cNvPr id="208" name="TextBox 207">
            <a:extLst>
              <a:ext uri="{FF2B5EF4-FFF2-40B4-BE49-F238E27FC236}">
                <a16:creationId xmlns:a16="http://schemas.microsoft.com/office/drawing/2014/main" id="{7A6AB909-86EB-62E5-C011-C9A2B7103E16}"/>
              </a:ext>
            </a:extLst>
          </xdr:cNvPr>
          <xdr:cNvSpPr txBox="1"/>
        </xdr:nvSpPr>
        <xdr:spPr>
          <a:xfrm>
            <a:off x="1362478" y="42539174"/>
            <a:ext cx="388470" cy="388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01</a:t>
            </a:r>
          </a:p>
        </xdr:txBody>
      </xdr:sp>
      <xdr:sp macro="" textlink="">
        <xdr:nvSpPr>
          <xdr:cNvPr id="209" name="TextBox 208">
            <a:extLst>
              <a:ext uri="{FF2B5EF4-FFF2-40B4-BE49-F238E27FC236}">
                <a16:creationId xmlns:a16="http://schemas.microsoft.com/office/drawing/2014/main" id="{FA9E304D-DFEC-BABB-CBAB-8D909EBC27BA}"/>
              </a:ext>
            </a:extLst>
          </xdr:cNvPr>
          <xdr:cNvSpPr txBox="1"/>
        </xdr:nvSpPr>
        <xdr:spPr>
          <a:xfrm>
            <a:off x="1554336" y="42529248"/>
            <a:ext cx="1359193" cy="392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PRELIMINARY</a:t>
            </a:r>
          </a:p>
        </xdr:txBody>
      </xdr:sp>
    </xdr:grpSp>
    <xdr:clientData/>
  </xdr:twoCellAnchor>
  <xdr:twoCellAnchor>
    <xdr:from>
      <xdr:col>16</xdr:col>
      <xdr:colOff>99348</xdr:colOff>
      <xdr:row>217</xdr:row>
      <xdr:rowOff>271</xdr:rowOff>
    </xdr:from>
    <xdr:to>
      <xdr:col>25</xdr:col>
      <xdr:colOff>99329</xdr:colOff>
      <xdr:row>227</xdr:row>
      <xdr:rowOff>263</xdr:rowOff>
    </xdr:to>
    <xdr:sp macro="" textlink="">
      <xdr:nvSpPr>
        <xdr:cNvPr id="210" name="Rounded Rectangle 238">
          <a:extLst>
            <a:ext uri="{FF2B5EF4-FFF2-40B4-BE49-F238E27FC236}">
              <a16:creationId xmlns:a16="http://schemas.microsoft.com/office/drawing/2014/main" id="{F0F3F422-566D-42B7-B3CF-3EE67C589635}"/>
            </a:ext>
          </a:extLst>
        </xdr:cNvPr>
        <xdr:cNvSpPr/>
      </xdr:nvSpPr>
      <xdr:spPr>
        <a:xfrm>
          <a:off x="3143538" y="41338771"/>
          <a:ext cx="1714481" cy="1904992"/>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99346</xdr:colOff>
      <xdr:row>221</xdr:row>
      <xdr:rowOff>190499</xdr:rowOff>
    </xdr:from>
    <xdr:to>
      <xdr:col>24</xdr:col>
      <xdr:colOff>99330</xdr:colOff>
      <xdr:row>222</xdr:row>
      <xdr:rowOff>182644</xdr:rowOff>
    </xdr:to>
    <xdr:sp macro="" textlink="">
      <xdr:nvSpPr>
        <xdr:cNvPr id="211" name="TextBox 210">
          <a:extLst>
            <a:ext uri="{FF2B5EF4-FFF2-40B4-BE49-F238E27FC236}">
              <a16:creationId xmlns:a16="http://schemas.microsoft.com/office/drawing/2014/main" id="{AA7EA9FE-7F16-4EA1-AADC-460CE9F19A4A}"/>
            </a:ext>
          </a:extLst>
        </xdr:cNvPr>
        <xdr:cNvSpPr txBox="1"/>
      </xdr:nvSpPr>
      <xdr:spPr>
        <a:xfrm>
          <a:off x="3334036" y="42290999"/>
          <a:ext cx="1333484" cy="180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Site Setup</a:t>
          </a:r>
        </a:p>
      </xdr:txBody>
    </xdr:sp>
    <xdr:clientData/>
  </xdr:twoCellAnchor>
  <xdr:twoCellAnchor>
    <xdr:from>
      <xdr:col>17</xdr:col>
      <xdr:colOff>102444</xdr:colOff>
      <xdr:row>223</xdr:row>
      <xdr:rowOff>0</xdr:rowOff>
    </xdr:from>
    <xdr:to>
      <xdr:col>24</xdr:col>
      <xdr:colOff>100946</xdr:colOff>
      <xdr:row>225</xdr:row>
      <xdr:rowOff>0</xdr:rowOff>
    </xdr:to>
    <xdr:sp macro="" textlink="">
      <xdr:nvSpPr>
        <xdr:cNvPr id="212" name="TextBox 211">
          <a:extLst>
            <a:ext uri="{FF2B5EF4-FFF2-40B4-BE49-F238E27FC236}">
              <a16:creationId xmlns:a16="http://schemas.microsoft.com/office/drawing/2014/main" id="{429AEB68-E4A0-4A2B-A968-0FF096E3C797}"/>
            </a:ext>
          </a:extLst>
        </xdr:cNvPr>
        <xdr:cNvSpPr txBox="1"/>
      </xdr:nvSpPr>
      <xdr:spPr>
        <a:xfrm>
          <a:off x="3337134" y="42481500"/>
          <a:ext cx="133200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Local Freight, Unloading Materials &amp; Positioning</a:t>
          </a:r>
        </a:p>
      </xdr:txBody>
    </xdr:sp>
    <xdr:clientData/>
  </xdr:twoCellAnchor>
  <xdr:twoCellAnchor>
    <xdr:from>
      <xdr:col>17</xdr:col>
      <xdr:colOff>99345</xdr:colOff>
      <xdr:row>217</xdr:row>
      <xdr:rowOff>182647</xdr:rowOff>
    </xdr:from>
    <xdr:to>
      <xdr:col>19</xdr:col>
      <xdr:colOff>99342</xdr:colOff>
      <xdr:row>220</xdr:row>
      <xdr:rowOff>1884</xdr:rowOff>
    </xdr:to>
    <xdr:sp macro="" textlink="">
      <xdr:nvSpPr>
        <xdr:cNvPr id="213" name="TextBox 212">
          <a:extLst>
            <a:ext uri="{FF2B5EF4-FFF2-40B4-BE49-F238E27FC236}">
              <a16:creationId xmlns:a16="http://schemas.microsoft.com/office/drawing/2014/main" id="{B8BA585A-CD78-4939-A38E-173F3ECC17D9}"/>
            </a:ext>
          </a:extLst>
        </xdr:cNvPr>
        <xdr:cNvSpPr txBox="1"/>
      </xdr:nvSpPr>
      <xdr:spPr>
        <a:xfrm>
          <a:off x="3334035" y="41519242"/>
          <a:ext cx="380997" cy="392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02</a:t>
          </a:r>
        </a:p>
      </xdr:txBody>
    </xdr:sp>
    <xdr:clientData/>
  </xdr:twoCellAnchor>
  <xdr:twoCellAnchor>
    <xdr:from>
      <xdr:col>18</xdr:col>
      <xdr:colOff>100958</xdr:colOff>
      <xdr:row>217</xdr:row>
      <xdr:rowOff>182648</xdr:rowOff>
    </xdr:from>
    <xdr:to>
      <xdr:col>25</xdr:col>
      <xdr:colOff>93980</xdr:colOff>
      <xdr:row>220</xdr:row>
      <xdr:rowOff>182645</xdr:rowOff>
    </xdr:to>
    <xdr:sp macro="" textlink="">
      <xdr:nvSpPr>
        <xdr:cNvPr id="214" name="TextBox 213">
          <a:extLst>
            <a:ext uri="{FF2B5EF4-FFF2-40B4-BE49-F238E27FC236}">
              <a16:creationId xmlns:a16="http://schemas.microsoft.com/office/drawing/2014/main" id="{B82E977C-94C5-4CF3-A4AB-BBEC3D35D1C3}"/>
            </a:ext>
          </a:extLst>
        </xdr:cNvPr>
        <xdr:cNvSpPr txBox="1"/>
      </xdr:nvSpPr>
      <xdr:spPr>
        <a:xfrm>
          <a:off x="3526148" y="41519243"/>
          <a:ext cx="1334142" cy="571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PHYSICAL INSTALLATION</a:t>
          </a:r>
        </a:p>
      </xdr:txBody>
    </xdr:sp>
    <xdr:clientData/>
  </xdr:twoCellAnchor>
  <xdr:twoCellAnchor>
    <xdr:from>
      <xdr:col>27</xdr:col>
      <xdr:colOff>1324</xdr:colOff>
      <xdr:row>217</xdr:row>
      <xdr:rowOff>271</xdr:rowOff>
    </xdr:from>
    <xdr:to>
      <xdr:col>36</xdr:col>
      <xdr:colOff>2830</xdr:colOff>
      <xdr:row>227</xdr:row>
      <xdr:rowOff>263</xdr:rowOff>
    </xdr:to>
    <xdr:grpSp>
      <xdr:nvGrpSpPr>
        <xdr:cNvPr id="215" name="Group 214">
          <a:extLst>
            <a:ext uri="{FF2B5EF4-FFF2-40B4-BE49-F238E27FC236}">
              <a16:creationId xmlns:a16="http://schemas.microsoft.com/office/drawing/2014/main" id="{90041A87-BF1C-40C3-976B-B4848F7D36A3}"/>
            </a:ext>
          </a:extLst>
        </xdr:cNvPr>
        <xdr:cNvGrpSpPr/>
      </xdr:nvGrpSpPr>
      <xdr:grpSpPr>
        <a:xfrm>
          <a:off x="5144824" y="41338771"/>
          <a:ext cx="1716006" cy="1904992"/>
          <a:chOff x="5244353" y="42343294"/>
          <a:chExt cx="1750948" cy="1942353"/>
        </a:xfrm>
      </xdr:grpSpPr>
      <xdr:sp macro="" textlink="">
        <xdr:nvSpPr>
          <xdr:cNvPr id="216" name="Rounded Rectangle 247">
            <a:extLst>
              <a:ext uri="{FF2B5EF4-FFF2-40B4-BE49-F238E27FC236}">
                <a16:creationId xmlns:a16="http://schemas.microsoft.com/office/drawing/2014/main" id="{6F82DDBC-D967-C463-C2D1-788781B34D0E}"/>
              </a:ext>
            </a:extLst>
          </xdr:cNvPr>
          <xdr:cNvSpPr/>
        </xdr:nvSpPr>
        <xdr:spPr>
          <a:xfrm>
            <a:off x="5244353" y="42343294"/>
            <a:ext cx="175094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17" name="TextBox 216">
            <a:extLst>
              <a:ext uri="{FF2B5EF4-FFF2-40B4-BE49-F238E27FC236}">
                <a16:creationId xmlns:a16="http://schemas.microsoft.com/office/drawing/2014/main" id="{B1224339-F2FD-6A0E-2F4A-F72575C2E663}"/>
              </a:ext>
            </a:extLst>
          </xdr:cNvPr>
          <xdr:cNvSpPr txBox="1"/>
        </xdr:nvSpPr>
        <xdr:spPr>
          <a:xfrm>
            <a:off x="5428662" y="43111954"/>
            <a:ext cx="1369575"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Cable Tray Installation</a:t>
            </a:r>
          </a:p>
        </xdr:txBody>
      </xdr:sp>
      <xdr:sp macro="" textlink="">
        <xdr:nvSpPr>
          <xdr:cNvPr id="218" name="TextBox 217">
            <a:extLst>
              <a:ext uri="{FF2B5EF4-FFF2-40B4-BE49-F238E27FC236}">
                <a16:creationId xmlns:a16="http://schemas.microsoft.com/office/drawing/2014/main" id="{7DF1D481-7A35-B7EA-69FB-F1243E627B8B}"/>
              </a:ext>
            </a:extLst>
          </xdr:cNvPr>
          <xdr:cNvSpPr txBox="1"/>
        </xdr:nvSpPr>
        <xdr:spPr>
          <a:xfrm>
            <a:off x="5431820" y="43306189"/>
            <a:ext cx="1560651"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DC Cabling Installation</a:t>
            </a:r>
          </a:p>
        </xdr:txBody>
      </xdr:sp>
      <xdr:sp macro="" textlink="">
        <xdr:nvSpPr>
          <xdr:cNvPr id="219" name="TextBox 218">
            <a:extLst>
              <a:ext uri="{FF2B5EF4-FFF2-40B4-BE49-F238E27FC236}">
                <a16:creationId xmlns:a16="http://schemas.microsoft.com/office/drawing/2014/main" id="{22AC08DF-742B-42C0-7C9C-3C0A5C4AFDC1}"/>
              </a:ext>
            </a:extLst>
          </xdr:cNvPr>
          <xdr:cNvSpPr txBox="1"/>
        </xdr:nvSpPr>
        <xdr:spPr>
          <a:xfrm>
            <a:off x="5431821" y="43500425"/>
            <a:ext cx="1366415"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AC Cabling Installation</a:t>
            </a:r>
          </a:p>
        </xdr:txBody>
      </xdr:sp>
      <xdr:sp macro="" textlink="">
        <xdr:nvSpPr>
          <xdr:cNvPr id="220" name="TextBox 219">
            <a:extLst>
              <a:ext uri="{FF2B5EF4-FFF2-40B4-BE49-F238E27FC236}">
                <a16:creationId xmlns:a16="http://schemas.microsoft.com/office/drawing/2014/main" id="{2B112045-BCB2-D13E-9ABA-D2356DA4D928}"/>
              </a:ext>
            </a:extLst>
          </xdr:cNvPr>
          <xdr:cNvSpPr txBox="1"/>
        </xdr:nvSpPr>
        <xdr:spPr>
          <a:xfrm>
            <a:off x="5438589" y="42529247"/>
            <a:ext cx="383018"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03</a:t>
            </a:r>
          </a:p>
        </xdr:txBody>
      </xdr:sp>
      <xdr:sp macro="" textlink="">
        <xdr:nvSpPr>
          <xdr:cNvPr id="221" name="TextBox 220">
            <a:extLst>
              <a:ext uri="{FF2B5EF4-FFF2-40B4-BE49-F238E27FC236}">
                <a16:creationId xmlns:a16="http://schemas.microsoft.com/office/drawing/2014/main" id="{61E5F4FD-D1BA-CEA4-3EAD-0845EC427E38}"/>
              </a:ext>
            </a:extLst>
          </xdr:cNvPr>
          <xdr:cNvSpPr txBox="1"/>
        </xdr:nvSpPr>
        <xdr:spPr>
          <a:xfrm>
            <a:off x="5634471" y="42529248"/>
            <a:ext cx="1358454" cy="5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CABLE RETICULATION</a:t>
            </a:r>
          </a:p>
        </xdr:txBody>
      </xdr:sp>
    </xdr:grpSp>
    <xdr:clientData/>
  </xdr:twoCellAnchor>
  <xdr:twoCellAnchor>
    <xdr:from>
      <xdr:col>16</xdr:col>
      <xdr:colOff>98182</xdr:colOff>
      <xdr:row>227</xdr:row>
      <xdr:rowOff>187246</xdr:rowOff>
    </xdr:from>
    <xdr:to>
      <xdr:col>25</xdr:col>
      <xdr:colOff>102607</xdr:colOff>
      <xdr:row>238</xdr:row>
      <xdr:rowOff>0</xdr:rowOff>
    </xdr:to>
    <xdr:grpSp>
      <xdr:nvGrpSpPr>
        <xdr:cNvPr id="222" name="Group 221">
          <a:extLst>
            <a:ext uri="{FF2B5EF4-FFF2-40B4-BE49-F238E27FC236}">
              <a16:creationId xmlns:a16="http://schemas.microsoft.com/office/drawing/2014/main" id="{F08D8719-671F-4749-96A0-CE6E3BC8CC3E}"/>
            </a:ext>
          </a:extLst>
        </xdr:cNvPr>
        <xdr:cNvGrpSpPr/>
      </xdr:nvGrpSpPr>
      <xdr:grpSpPr>
        <a:xfrm>
          <a:off x="3142372" y="43430746"/>
          <a:ext cx="1718925" cy="1908254"/>
          <a:chOff x="3164300" y="43741850"/>
          <a:chExt cx="1736975" cy="1923330"/>
        </a:xfrm>
      </xdr:grpSpPr>
      <xdr:sp macro="" textlink="">
        <xdr:nvSpPr>
          <xdr:cNvPr id="223" name="Rounded Rectangle 264">
            <a:extLst>
              <a:ext uri="{FF2B5EF4-FFF2-40B4-BE49-F238E27FC236}">
                <a16:creationId xmlns:a16="http://schemas.microsoft.com/office/drawing/2014/main" id="{CE7FACE9-1318-EA4D-F781-65212139A6F4}"/>
              </a:ext>
            </a:extLst>
          </xdr:cNvPr>
          <xdr:cNvSpPr/>
        </xdr:nvSpPr>
        <xdr:spPr>
          <a:xfrm>
            <a:off x="3164300" y="43741850"/>
            <a:ext cx="1732754" cy="1923330"/>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24" name="TextBox 223">
            <a:extLst>
              <a:ext uri="{FF2B5EF4-FFF2-40B4-BE49-F238E27FC236}">
                <a16:creationId xmlns:a16="http://schemas.microsoft.com/office/drawing/2014/main" id="{297C444E-A545-CAC3-D5E4-1E6F133C0BF1}"/>
              </a:ext>
            </a:extLst>
          </xdr:cNvPr>
          <xdr:cNvSpPr txBox="1"/>
        </xdr:nvSpPr>
        <xdr:spPr>
          <a:xfrm>
            <a:off x="3361594" y="44318010"/>
            <a:ext cx="1343350" cy="387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Fire Rated Enclosure Installation</a:t>
            </a:r>
          </a:p>
        </xdr:txBody>
      </xdr:sp>
      <xdr:sp macro="" textlink="">
        <xdr:nvSpPr>
          <xdr:cNvPr id="225" name="TextBox 224">
            <a:extLst>
              <a:ext uri="{FF2B5EF4-FFF2-40B4-BE49-F238E27FC236}">
                <a16:creationId xmlns:a16="http://schemas.microsoft.com/office/drawing/2014/main" id="{2AC00F95-C51D-C021-49ED-8919758ECF3B}"/>
              </a:ext>
            </a:extLst>
          </xdr:cNvPr>
          <xdr:cNvSpPr txBox="1"/>
        </xdr:nvSpPr>
        <xdr:spPr>
          <a:xfrm>
            <a:off x="3364716" y="44705156"/>
            <a:ext cx="1340229" cy="19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Bollard Installation</a:t>
            </a:r>
          </a:p>
        </xdr:txBody>
      </xdr:sp>
      <xdr:sp macro="" textlink="">
        <xdr:nvSpPr>
          <xdr:cNvPr id="226" name="TextBox 225">
            <a:extLst>
              <a:ext uri="{FF2B5EF4-FFF2-40B4-BE49-F238E27FC236}">
                <a16:creationId xmlns:a16="http://schemas.microsoft.com/office/drawing/2014/main" id="{33E552AE-AD9A-1A45-AB0C-3B9BCE070FA0}"/>
              </a:ext>
            </a:extLst>
          </xdr:cNvPr>
          <xdr:cNvSpPr txBox="1"/>
        </xdr:nvSpPr>
        <xdr:spPr>
          <a:xfrm>
            <a:off x="3361594" y="43933903"/>
            <a:ext cx="383816" cy="393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05</a:t>
            </a:r>
          </a:p>
        </xdr:txBody>
      </xdr:sp>
      <xdr:sp macro="" textlink="">
        <xdr:nvSpPr>
          <xdr:cNvPr id="227" name="TextBox 226">
            <a:extLst>
              <a:ext uri="{FF2B5EF4-FFF2-40B4-BE49-F238E27FC236}">
                <a16:creationId xmlns:a16="http://schemas.microsoft.com/office/drawing/2014/main" id="{FD28F3B7-06DF-E05E-55D9-65770F9D426D}"/>
              </a:ext>
            </a:extLst>
          </xdr:cNvPr>
          <xdr:cNvSpPr txBox="1"/>
        </xdr:nvSpPr>
        <xdr:spPr>
          <a:xfrm>
            <a:off x="3555128" y="43933904"/>
            <a:ext cx="1346147" cy="384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SAFETY</a:t>
            </a:r>
          </a:p>
        </xdr:txBody>
      </xdr:sp>
    </xdr:grpSp>
    <xdr:clientData/>
  </xdr:twoCellAnchor>
  <xdr:twoCellAnchor>
    <xdr:from>
      <xdr:col>27</xdr:col>
      <xdr:colOff>191614</xdr:colOff>
      <xdr:row>230</xdr:row>
      <xdr:rowOff>191688</xdr:rowOff>
    </xdr:from>
    <xdr:to>
      <xdr:col>35</xdr:col>
      <xdr:colOff>0</xdr:colOff>
      <xdr:row>232</xdr:row>
      <xdr:rowOff>0</xdr:rowOff>
    </xdr:to>
    <xdr:sp macro="" textlink="">
      <xdr:nvSpPr>
        <xdr:cNvPr id="228" name="TextBox 227">
          <a:extLst>
            <a:ext uri="{FF2B5EF4-FFF2-40B4-BE49-F238E27FC236}">
              <a16:creationId xmlns:a16="http://schemas.microsoft.com/office/drawing/2014/main" id="{42D67AAE-C208-47B0-BF32-F816A740D60B}"/>
            </a:ext>
          </a:extLst>
        </xdr:cNvPr>
        <xdr:cNvSpPr txBox="1"/>
      </xdr:nvSpPr>
      <xdr:spPr>
        <a:xfrm>
          <a:off x="5335114" y="44006688"/>
          <a:ext cx="1332386" cy="189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Final DNSP Approval</a:t>
          </a:r>
        </a:p>
      </xdr:txBody>
    </xdr:sp>
    <xdr:clientData/>
  </xdr:twoCellAnchor>
  <xdr:twoCellAnchor>
    <xdr:from>
      <xdr:col>28</xdr:col>
      <xdr:colOff>2866</xdr:colOff>
      <xdr:row>232</xdr:row>
      <xdr:rowOff>0</xdr:rowOff>
    </xdr:from>
    <xdr:to>
      <xdr:col>35</xdr:col>
      <xdr:colOff>1</xdr:colOff>
      <xdr:row>234</xdr:row>
      <xdr:rowOff>10182</xdr:rowOff>
    </xdr:to>
    <xdr:sp macro="" textlink="">
      <xdr:nvSpPr>
        <xdr:cNvPr id="229" name="TextBox 228">
          <a:extLst>
            <a:ext uri="{FF2B5EF4-FFF2-40B4-BE49-F238E27FC236}">
              <a16:creationId xmlns:a16="http://schemas.microsoft.com/office/drawing/2014/main" id="{00074426-A6D7-40BE-966C-C0FA08C2C3A7}"/>
            </a:ext>
          </a:extLst>
        </xdr:cNvPr>
        <xdr:cNvSpPr txBox="1"/>
      </xdr:nvSpPr>
      <xdr:spPr>
        <a:xfrm>
          <a:off x="5336866" y="44196000"/>
          <a:ext cx="1330635" cy="393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Wholesale Market Arbitrage Registration</a:t>
          </a:r>
        </a:p>
      </xdr:txBody>
    </xdr:sp>
    <xdr:clientData/>
  </xdr:twoCellAnchor>
  <xdr:twoCellAnchor>
    <xdr:from>
      <xdr:col>6</xdr:col>
      <xdr:colOff>0</xdr:colOff>
      <xdr:row>247</xdr:row>
      <xdr:rowOff>0</xdr:rowOff>
    </xdr:from>
    <xdr:to>
      <xdr:col>31</xdr:col>
      <xdr:colOff>2684</xdr:colOff>
      <xdr:row>249</xdr:row>
      <xdr:rowOff>9034</xdr:rowOff>
    </xdr:to>
    <xdr:sp macro="" textlink="">
      <xdr:nvSpPr>
        <xdr:cNvPr id="230" name="TextBox 15">
          <a:extLst>
            <a:ext uri="{FF2B5EF4-FFF2-40B4-BE49-F238E27FC236}">
              <a16:creationId xmlns:a16="http://schemas.microsoft.com/office/drawing/2014/main" id="{F72ABB0F-1E51-4822-B63B-9B2548A7ED41}"/>
            </a:ext>
          </a:extLst>
        </xdr:cNvPr>
        <xdr:cNvSpPr txBox="1"/>
      </xdr:nvSpPr>
      <xdr:spPr>
        <a:xfrm>
          <a:off x="1143000" y="47053500"/>
          <a:ext cx="4765184" cy="39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BATTERY LOCATION</a:t>
          </a:r>
        </a:p>
      </xdr:txBody>
    </xdr:sp>
    <xdr:clientData/>
  </xdr:twoCellAnchor>
  <xdr:twoCellAnchor>
    <xdr:from>
      <xdr:col>6</xdr:col>
      <xdr:colOff>0</xdr:colOff>
      <xdr:row>251</xdr:row>
      <xdr:rowOff>0</xdr:rowOff>
    </xdr:from>
    <xdr:to>
      <xdr:col>36</xdr:col>
      <xdr:colOff>0</xdr:colOff>
      <xdr:row>254</xdr:row>
      <xdr:rowOff>9416</xdr:rowOff>
    </xdr:to>
    <xdr:sp macro="" textlink="">
      <xdr:nvSpPr>
        <xdr:cNvPr id="231" name="TextBox 230">
          <a:extLst>
            <a:ext uri="{FF2B5EF4-FFF2-40B4-BE49-F238E27FC236}">
              <a16:creationId xmlns:a16="http://schemas.microsoft.com/office/drawing/2014/main" id="{827B6DF5-B8C6-45EF-B8FC-0226C2CA66BF}"/>
            </a:ext>
          </a:extLst>
        </xdr:cNvPr>
        <xdr:cNvSpPr txBox="1"/>
      </xdr:nvSpPr>
      <xdr:spPr>
        <a:xfrm>
          <a:off x="1143000" y="47815500"/>
          <a:ext cx="5715000" cy="582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AU" sz="1000" i="0">
              <a:solidFill>
                <a:srgbClr val="2A2A2A"/>
              </a:solidFill>
              <a:latin typeface="Overpass" pitchFamily="2" charset="77"/>
            </a:rPr>
            <a:t>Blurb + image</a:t>
          </a:r>
          <a:endParaRPr lang="en-AU" sz="1100" i="0">
            <a:solidFill>
              <a:srgbClr val="2A2A2A"/>
            </a:solidFill>
            <a:latin typeface="Overpass" pitchFamily="2" charset="77"/>
          </a:endParaRPr>
        </a:p>
      </xdr:txBody>
    </xdr:sp>
    <xdr:clientData/>
  </xdr:twoCellAnchor>
  <xdr:twoCellAnchor>
    <xdr:from>
      <xdr:col>6</xdr:col>
      <xdr:colOff>9077</xdr:colOff>
      <xdr:row>195</xdr:row>
      <xdr:rowOff>98149</xdr:rowOff>
    </xdr:from>
    <xdr:to>
      <xdr:col>18</xdr:col>
      <xdr:colOff>11582</xdr:colOff>
      <xdr:row>196</xdr:row>
      <xdr:rowOff>94880</xdr:rowOff>
    </xdr:to>
    <xdr:sp macro="" textlink="'Linking Cells'!A111">
      <xdr:nvSpPr>
        <xdr:cNvPr id="232" name="TextBox 231">
          <a:extLst>
            <a:ext uri="{FF2B5EF4-FFF2-40B4-BE49-F238E27FC236}">
              <a16:creationId xmlns:a16="http://schemas.microsoft.com/office/drawing/2014/main" id="{A85F72F8-6874-47EC-BD9F-57C03BFFCE28}"/>
            </a:ext>
          </a:extLst>
        </xdr:cNvPr>
        <xdr:cNvSpPr txBox="1"/>
      </xdr:nvSpPr>
      <xdr:spPr>
        <a:xfrm>
          <a:off x="1152077" y="37245649"/>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29826B9-0968-4B6A-ACF2-28639BEF1436}" type="TxLink">
            <a:rPr lang="en-US" sz="1000" b="1" i="0" u="none" strike="noStrike">
              <a:solidFill>
                <a:srgbClr val="2A2A2A"/>
              </a:solidFill>
              <a:latin typeface="Overpass"/>
              <a:ea typeface="+mn-ea"/>
              <a:cs typeface="Calibri"/>
            </a:rPr>
            <a:pPr marL="0" indent="0" algn="l"/>
            <a:t>20% Execution of Agreement</a:t>
          </a:fld>
          <a:endParaRPr lang="en-US" sz="1000" b="1" i="0" u="none" strike="noStrike">
            <a:solidFill>
              <a:srgbClr val="2A2A2A"/>
            </a:solidFill>
            <a:latin typeface="Overpass"/>
            <a:ea typeface="+mn-ea"/>
            <a:cs typeface="Calibri"/>
          </a:endParaRPr>
        </a:p>
      </xdr:txBody>
    </xdr:sp>
    <xdr:clientData/>
  </xdr:twoCellAnchor>
  <xdr:twoCellAnchor>
    <xdr:from>
      <xdr:col>6</xdr:col>
      <xdr:colOff>2057</xdr:colOff>
      <xdr:row>199</xdr:row>
      <xdr:rowOff>159650</xdr:rowOff>
    </xdr:from>
    <xdr:to>
      <xdr:col>18</xdr:col>
      <xdr:colOff>2057</xdr:colOff>
      <xdr:row>200</xdr:row>
      <xdr:rowOff>159166</xdr:rowOff>
    </xdr:to>
    <xdr:sp macro="" textlink="'Linking Cells'!A113">
      <xdr:nvSpPr>
        <xdr:cNvPr id="233" name="TextBox 232">
          <a:extLst>
            <a:ext uri="{FF2B5EF4-FFF2-40B4-BE49-F238E27FC236}">
              <a16:creationId xmlns:a16="http://schemas.microsoft.com/office/drawing/2014/main" id="{FE1902A6-8173-4A3D-B66A-438ADC89DF90}"/>
            </a:ext>
          </a:extLst>
        </xdr:cNvPr>
        <xdr:cNvSpPr txBox="1"/>
      </xdr:nvSpPr>
      <xdr:spPr>
        <a:xfrm>
          <a:off x="1145057" y="38069150"/>
          <a:ext cx="2286000" cy="190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E4B9868-9F69-4997-9D44-644D97D1A2BD}" type="TxLink">
            <a:rPr lang="en-US" sz="1000" b="1" i="0" u="none" strike="noStrike">
              <a:solidFill>
                <a:srgbClr val="2A2A2A"/>
              </a:solidFill>
              <a:latin typeface="Overpass"/>
              <a:ea typeface="+mn-ea"/>
              <a:cs typeface="Calibri"/>
            </a:rPr>
            <a:pPr marL="0" indent="0" algn="l"/>
            <a:t>15% Detailed Design Completion</a:t>
          </a:fld>
          <a:endParaRPr lang="en-US" sz="1000" b="1" i="0" u="none" strike="noStrike">
            <a:solidFill>
              <a:srgbClr val="2A2A2A"/>
            </a:solidFill>
            <a:latin typeface="Overpass"/>
            <a:ea typeface="+mn-ea"/>
            <a:cs typeface="Calibri"/>
          </a:endParaRPr>
        </a:p>
      </xdr:txBody>
    </xdr:sp>
    <xdr:clientData/>
  </xdr:twoCellAnchor>
  <xdr:twoCellAnchor>
    <xdr:from>
      <xdr:col>6</xdr:col>
      <xdr:colOff>0</xdr:colOff>
      <xdr:row>197</xdr:row>
      <xdr:rowOff>104775</xdr:rowOff>
    </xdr:from>
    <xdr:to>
      <xdr:col>17</xdr:col>
      <xdr:colOff>169697</xdr:colOff>
      <xdr:row>200</xdr:row>
      <xdr:rowOff>104775</xdr:rowOff>
    </xdr:to>
    <xdr:sp macro="" textlink="'Linking Cells'!A114">
      <xdr:nvSpPr>
        <xdr:cNvPr id="234" name="TextBox 233">
          <a:extLst>
            <a:ext uri="{FF2B5EF4-FFF2-40B4-BE49-F238E27FC236}">
              <a16:creationId xmlns:a16="http://schemas.microsoft.com/office/drawing/2014/main" id="{5852CE92-37D8-4A62-9E8E-A8D820F82883}"/>
            </a:ext>
          </a:extLst>
        </xdr:cNvPr>
        <xdr:cNvSpPr txBox="1"/>
      </xdr:nvSpPr>
      <xdr:spPr>
        <a:xfrm>
          <a:off x="1143000" y="37633275"/>
          <a:ext cx="226519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7DAFA96-F672-440D-84E4-4D72256109BD}" type="TxLink">
            <a:rPr lang="en-US" sz="1000" b="1" i="0" u="none" strike="noStrike">
              <a:solidFill>
                <a:srgbClr val="2A2A2A"/>
              </a:solidFill>
              <a:latin typeface="Overpass"/>
              <a:ea typeface="+mn-ea"/>
              <a:cs typeface="Calibri"/>
            </a:rPr>
            <a:pPr marL="0" indent="0" algn="l"/>
            <a:t>10% Submission of Grid Connection Application</a:t>
          </a:fld>
          <a:endParaRPr lang="en-US" sz="1000" b="1" i="0" u="none" strike="noStrike">
            <a:solidFill>
              <a:srgbClr val="2A2A2A"/>
            </a:solidFill>
            <a:latin typeface="Overpass"/>
            <a:ea typeface="+mn-ea"/>
            <a:cs typeface="Calibri"/>
          </a:endParaRPr>
        </a:p>
      </xdr:txBody>
    </xdr:sp>
    <xdr:clientData/>
  </xdr:twoCellAnchor>
  <xdr:twoCellAnchor>
    <xdr:from>
      <xdr:col>5</xdr:col>
      <xdr:colOff>192556</xdr:colOff>
      <xdr:row>200</xdr:row>
      <xdr:rowOff>189646</xdr:rowOff>
    </xdr:from>
    <xdr:to>
      <xdr:col>18</xdr:col>
      <xdr:colOff>193039</xdr:colOff>
      <xdr:row>201</xdr:row>
      <xdr:rowOff>189646</xdr:rowOff>
    </xdr:to>
    <xdr:sp macro="" textlink="'Linking Cells'!A115">
      <xdr:nvSpPr>
        <xdr:cNvPr id="235" name="TextBox 234">
          <a:extLst>
            <a:ext uri="{FF2B5EF4-FFF2-40B4-BE49-F238E27FC236}">
              <a16:creationId xmlns:a16="http://schemas.microsoft.com/office/drawing/2014/main" id="{934D5559-F5D3-4A43-A507-0EBB9CFD2EF4}"/>
            </a:ext>
          </a:extLst>
        </xdr:cNvPr>
        <xdr:cNvSpPr txBox="1"/>
      </xdr:nvSpPr>
      <xdr:spPr>
        <a:xfrm>
          <a:off x="1145056" y="38289646"/>
          <a:ext cx="2476983"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8BC57B9-67AF-4C29-A299-956160B29A81}" type="TxLink">
            <a:rPr lang="en-US" sz="1000" b="1" i="0" u="none" strike="noStrike">
              <a:solidFill>
                <a:srgbClr val="2A2A2A"/>
              </a:solidFill>
              <a:latin typeface="Overpass"/>
              <a:ea typeface="+mn-ea"/>
              <a:cs typeface="Calibri"/>
            </a:rPr>
            <a:pPr marL="0" indent="0" algn="l"/>
            <a:t>37.5% Commencement of Works</a:t>
          </a:fld>
          <a:endParaRPr lang="en-US" sz="1000" b="1" i="0" u="none" strike="noStrike">
            <a:solidFill>
              <a:srgbClr val="2A2A2A"/>
            </a:solidFill>
            <a:latin typeface="Overpass"/>
            <a:ea typeface="+mn-ea"/>
            <a:cs typeface="Calibri"/>
          </a:endParaRPr>
        </a:p>
      </xdr:txBody>
    </xdr:sp>
    <xdr:clientData/>
  </xdr:twoCellAnchor>
  <xdr:twoCellAnchor>
    <xdr:from>
      <xdr:col>5</xdr:col>
      <xdr:colOff>192558</xdr:colOff>
      <xdr:row>201</xdr:row>
      <xdr:rowOff>189646</xdr:rowOff>
    </xdr:from>
    <xdr:to>
      <xdr:col>17</xdr:col>
      <xdr:colOff>192557</xdr:colOff>
      <xdr:row>202</xdr:row>
      <xdr:rowOff>188180</xdr:rowOff>
    </xdr:to>
    <xdr:sp macro="" textlink="'Linking Cells'!A116">
      <xdr:nvSpPr>
        <xdr:cNvPr id="236" name="TextBox 235">
          <a:extLst>
            <a:ext uri="{FF2B5EF4-FFF2-40B4-BE49-F238E27FC236}">
              <a16:creationId xmlns:a16="http://schemas.microsoft.com/office/drawing/2014/main" id="{EB6C571A-AA8A-4831-9A74-5D5006706AF8}"/>
            </a:ext>
          </a:extLst>
        </xdr:cNvPr>
        <xdr:cNvSpPr txBox="1"/>
      </xdr:nvSpPr>
      <xdr:spPr>
        <a:xfrm>
          <a:off x="1145058" y="38480146"/>
          <a:ext cx="2285999" cy="18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AB574F3-E821-4573-B9CA-9E9E37B3900C}" type="TxLink">
            <a:rPr lang="en-US" sz="1000" b="1" i="0" u="none" strike="noStrike">
              <a:solidFill>
                <a:srgbClr val="2A2A2A"/>
              </a:solidFill>
              <a:latin typeface="Overpass"/>
              <a:ea typeface="+mn-ea"/>
              <a:cs typeface="Calibri"/>
            </a:rPr>
            <a:pPr marL="0" indent="0" algn="l"/>
            <a:t>5% Practical Completion</a:t>
          </a:fld>
          <a:endParaRPr lang="en-AU" sz="1000" b="1" i="0" u="none" strike="noStrike">
            <a:solidFill>
              <a:srgbClr val="2A2A2A"/>
            </a:solidFill>
            <a:latin typeface="Overpass"/>
            <a:ea typeface="+mn-ea"/>
            <a:cs typeface="Calibri"/>
          </a:endParaRPr>
        </a:p>
      </xdr:txBody>
    </xdr:sp>
    <xdr:clientData/>
  </xdr:twoCellAnchor>
  <xdr:twoCellAnchor>
    <xdr:from>
      <xdr:col>5</xdr:col>
      <xdr:colOff>192559</xdr:colOff>
      <xdr:row>202</xdr:row>
      <xdr:rowOff>188180</xdr:rowOff>
    </xdr:from>
    <xdr:to>
      <xdr:col>17</xdr:col>
      <xdr:colOff>192558</xdr:colOff>
      <xdr:row>203</xdr:row>
      <xdr:rowOff>188181</xdr:rowOff>
    </xdr:to>
    <xdr:sp macro="" textlink="'Linking Cells'!A117">
      <xdr:nvSpPr>
        <xdr:cNvPr id="237" name="TextBox 236">
          <a:extLst>
            <a:ext uri="{FF2B5EF4-FFF2-40B4-BE49-F238E27FC236}">
              <a16:creationId xmlns:a16="http://schemas.microsoft.com/office/drawing/2014/main" id="{BAB50F65-3DF7-4A26-AEEF-6F12FD208597}"/>
            </a:ext>
          </a:extLst>
        </xdr:cNvPr>
        <xdr:cNvSpPr txBox="1"/>
      </xdr:nvSpPr>
      <xdr:spPr>
        <a:xfrm>
          <a:off x="1145059" y="38669180"/>
          <a:ext cx="228599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78A0266-C223-4E6D-BBB4-CF0D101BDF77}" type="TxLink">
            <a:rPr lang="en-US" sz="1000" b="1" i="0" u="none" strike="noStrike">
              <a:solidFill>
                <a:srgbClr val="2A2A2A"/>
              </a:solidFill>
              <a:latin typeface="Overpass"/>
              <a:ea typeface="+mn-ea"/>
              <a:cs typeface="Calibri"/>
            </a:rPr>
            <a:pPr marL="0" indent="0" algn="l"/>
            <a:t>2.5% Energisation</a:t>
          </a:fld>
          <a:endParaRPr lang="en-AU" sz="1000" b="1" i="0" u="none" strike="noStrike">
            <a:solidFill>
              <a:srgbClr val="2A2A2A"/>
            </a:solidFill>
            <a:latin typeface="Overpass"/>
            <a:ea typeface="+mn-ea"/>
            <a:cs typeface="Calibri"/>
          </a:endParaRPr>
        </a:p>
      </xdr:txBody>
    </xdr:sp>
    <xdr:clientData/>
  </xdr:twoCellAnchor>
  <xdr:twoCellAnchor>
    <xdr:from>
      <xdr:col>47</xdr:col>
      <xdr:colOff>1</xdr:colOff>
      <xdr:row>187</xdr:row>
      <xdr:rowOff>8792</xdr:rowOff>
    </xdr:from>
    <xdr:to>
      <xdr:col>77</xdr:col>
      <xdr:colOff>7452</xdr:colOff>
      <xdr:row>238</xdr:row>
      <xdr:rowOff>0</xdr:rowOff>
    </xdr:to>
    <xdr:grpSp>
      <xdr:nvGrpSpPr>
        <xdr:cNvPr id="238" name="Group 237">
          <a:extLst>
            <a:ext uri="{FF2B5EF4-FFF2-40B4-BE49-F238E27FC236}">
              <a16:creationId xmlns:a16="http://schemas.microsoft.com/office/drawing/2014/main" id="{21549028-B718-4C7D-A71B-EF85F8B49EB6}"/>
            </a:ext>
          </a:extLst>
        </xdr:cNvPr>
        <xdr:cNvGrpSpPr/>
      </xdr:nvGrpSpPr>
      <xdr:grpSpPr>
        <a:xfrm>
          <a:off x="8953501" y="35634197"/>
          <a:ext cx="5724356" cy="9704803"/>
          <a:chOff x="8817842" y="35090637"/>
          <a:chExt cx="5633955" cy="9561408"/>
        </a:xfrm>
      </xdr:grpSpPr>
      <xdr:sp macro="" textlink="">
        <xdr:nvSpPr>
          <xdr:cNvPr id="239" name="TextBox 238">
            <a:extLst>
              <a:ext uri="{FF2B5EF4-FFF2-40B4-BE49-F238E27FC236}">
                <a16:creationId xmlns:a16="http://schemas.microsoft.com/office/drawing/2014/main" id="{14D5E873-45E8-D4F8-3144-3579A615920D}"/>
              </a:ext>
            </a:extLst>
          </xdr:cNvPr>
          <xdr:cNvSpPr txBox="1"/>
        </xdr:nvSpPr>
        <xdr:spPr>
          <a:xfrm>
            <a:off x="8820108" y="42775910"/>
            <a:ext cx="3752272" cy="1876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400">
                <a:solidFill>
                  <a:srgbClr val="28066C"/>
                </a:solidFill>
                <a:effectLst/>
                <a:latin typeface="Barlow" pitchFamily="2" charset="77"/>
              </a:rPr>
              <a:t>Smart Commercial Energy</a:t>
            </a:r>
            <a:endParaRPr lang="en-AU" sz="1400" baseline="0">
              <a:solidFill>
                <a:srgbClr val="28066C"/>
              </a:solidFill>
              <a:effectLst/>
              <a:latin typeface="Barlow" pitchFamily="2" charset="77"/>
            </a:endParaRPr>
          </a:p>
          <a:p>
            <a:pPr algn="l"/>
            <a:r>
              <a:rPr lang="en-AU" sz="1400">
                <a:solidFill>
                  <a:srgbClr val="28066C"/>
                </a:solidFill>
                <a:effectLst/>
                <a:latin typeface="Barlow" pitchFamily="2" charset="77"/>
              </a:rPr>
              <a:t>Head Office: 6.01</a:t>
            </a:r>
            <a:br>
              <a:rPr lang="en-AU" sz="1400">
                <a:solidFill>
                  <a:srgbClr val="28066C"/>
                </a:solidFill>
                <a:effectLst/>
                <a:latin typeface="Barlow" pitchFamily="2" charset="77"/>
              </a:rPr>
            </a:br>
            <a:r>
              <a:rPr lang="en-AU" sz="1400">
                <a:solidFill>
                  <a:srgbClr val="28066C"/>
                </a:solidFill>
                <a:effectLst/>
                <a:latin typeface="Barlow" pitchFamily="2" charset="77"/>
              </a:rPr>
              <a:t>2 Elizabeth Plaza, North Sydney 2060</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02 9057 9710</a:t>
            </a:r>
            <a:br>
              <a:rPr lang="en-AU" sz="1400">
                <a:solidFill>
                  <a:srgbClr val="28066C"/>
                </a:solidFill>
                <a:effectLst/>
                <a:latin typeface="Barlow" pitchFamily="2" charset="77"/>
              </a:rPr>
            </a:br>
            <a:r>
              <a:rPr lang="en-AU" sz="1400">
                <a:solidFill>
                  <a:srgbClr val="28066C"/>
                </a:solidFill>
                <a:effectLst/>
                <a:latin typeface="Barlow" pitchFamily="2" charset="77"/>
              </a:rPr>
              <a:t>sales@smartcommercialenergy.com.au</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ACN: 155 596 928     BN: 27 155 596 928</a:t>
            </a:r>
            <a:endParaRPr lang="en-GB" sz="1400">
              <a:solidFill>
                <a:srgbClr val="28066C"/>
              </a:solidFill>
              <a:latin typeface="Barlow" pitchFamily="2" charset="77"/>
            </a:endParaRPr>
          </a:p>
        </xdr:txBody>
      </xdr:sp>
      <xdr:pic>
        <xdr:nvPicPr>
          <xdr:cNvPr id="240" name="Picture 239">
            <a:extLst>
              <a:ext uri="{FF2B5EF4-FFF2-40B4-BE49-F238E27FC236}">
                <a16:creationId xmlns:a16="http://schemas.microsoft.com/office/drawing/2014/main" id="{1FA06E6B-009B-EC1E-49E8-3386A17AF1CF}"/>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r="64064"/>
          <a:stretch/>
        </xdr:blipFill>
        <xdr:spPr>
          <a:xfrm>
            <a:off x="8817842" y="35090637"/>
            <a:ext cx="630876" cy="566603"/>
          </a:xfrm>
          <a:prstGeom prst="rect">
            <a:avLst/>
          </a:prstGeom>
        </xdr:spPr>
      </xdr:pic>
      <xdr:pic>
        <xdr:nvPicPr>
          <xdr:cNvPr id="241" name="Picture 240">
            <a:extLst>
              <a:ext uri="{FF2B5EF4-FFF2-40B4-BE49-F238E27FC236}">
                <a16:creationId xmlns:a16="http://schemas.microsoft.com/office/drawing/2014/main" id="{DDA6B698-D62C-9654-9AAD-A3BC0C2F70A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11632045" y="35287666"/>
            <a:ext cx="2819752" cy="8500719"/>
          </a:xfrm>
          <a:prstGeom prst="rect">
            <a:avLst/>
          </a:prstGeom>
        </xdr:spPr>
      </xdr:pic>
    </xdr:grpSp>
    <xdr:clientData/>
  </xdr:twoCellAnchor>
  <xdr:twoCellAnchor editAs="absolute">
    <xdr:from>
      <xdr:col>47</xdr:col>
      <xdr:colOff>20281</xdr:colOff>
      <xdr:row>6</xdr:row>
      <xdr:rowOff>15981</xdr:rowOff>
    </xdr:from>
    <xdr:to>
      <xdr:col>56</xdr:col>
      <xdr:colOff>58654</xdr:colOff>
      <xdr:row>9</xdr:row>
      <xdr:rowOff>3763</xdr:rowOff>
    </xdr:to>
    <xdr:pic>
      <xdr:nvPicPr>
        <xdr:cNvPr id="242" name="Picture 241">
          <a:extLst>
            <a:ext uri="{FF2B5EF4-FFF2-40B4-BE49-F238E27FC236}">
              <a16:creationId xmlns:a16="http://schemas.microsoft.com/office/drawing/2014/main" id="{0E3B5A0B-BEFF-4A63-8E25-F60CC2F356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9077921" y="1168506"/>
          <a:ext cx="1783353" cy="572617"/>
        </a:xfrm>
        <a:prstGeom prst="rect">
          <a:avLst/>
        </a:prstGeom>
      </xdr:spPr>
    </xdr:pic>
    <xdr:clientData/>
  </xdr:twoCellAnchor>
  <xdr:twoCellAnchor editAs="absolute">
    <xdr:from>
      <xdr:col>62</xdr:col>
      <xdr:colOff>3228</xdr:colOff>
      <xdr:row>7</xdr:row>
      <xdr:rowOff>1127</xdr:rowOff>
    </xdr:from>
    <xdr:to>
      <xdr:col>77</xdr:col>
      <xdr:colOff>20787</xdr:colOff>
      <xdr:row>52</xdr:row>
      <xdr:rowOff>75810</xdr:rowOff>
    </xdr:to>
    <xdr:pic>
      <xdr:nvPicPr>
        <xdr:cNvPr id="243" name="Picture 242">
          <a:extLst>
            <a:ext uri="{FF2B5EF4-FFF2-40B4-BE49-F238E27FC236}">
              <a16:creationId xmlns:a16="http://schemas.microsoft.com/office/drawing/2014/main" id="{5439BF01-D145-4D40-AE92-5792FBFC989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11814228" y="1334627"/>
          <a:ext cx="2861724" cy="8647183"/>
        </a:xfrm>
        <a:prstGeom prst="rect">
          <a:avLst/>
        </a:prstGeom>
      </xdr:spPr>
    </xdr:pic>
    <xdr:clientData/>
  </xdr:twoCellAnchor>
  <xdr:twoCellAnchor>
    <xdr:from>
      <xdr:col>19</xdr:col>
      <xdr:colOff>1694</xdr:colOff>
      <xdr:row>142</xdr:row>
      <xdr:rowOff>184179</xdr:rowOff>
    </xdr:from>
    <xdr:to>
      <xdr:col>36</xdr:col>
      <xdr:colOff>66675</xdr:colOff>
      <xdr:row>144</xdr:row>
      <xdr:rowOff>9525</xdr:rowOff>
    </xdr:to>
    <xdr:sp macro="" textlink="'Linking Cells'!C59">
      <xdr:nvSpPr>
        <xdr:cNvPr id="244" name="TextBox 243">
          <a:extLst>
            <a:ext uri="{FF2B5EF4-FFF2-40B4-BE49-F238E27FC236}">
              <a16:creationId xmlns:a16="http://schemas.microsoft.com/office/drawing/2014/main" id="{B40717C3-B73A-432D-B93D-1A4DDCB7CC3D}"/>
            </a:ext>
          </a:extLst>
        </xdr:cNvPr>
        <xdr:cNvSpPr txBox="1"/>
      </xdr:nvSpPr>
      <xdr:spPr>
        <a:xfrm>
          <a:off x="3621194" y="27235179"/>
          <a:ext cx="3303481" cy="20634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97C9F8F-F76B-4490-966C-BD7196614106}" type="TxLink">
            <a:rPr lang="en-US" sz="1000" b="0" i="0" u="none" strike="noStrike">
              <a:solidFill>
                <a:srgbClr val="2A2A2A"/>
              </a:solidFill>
              <a:latin typeface="Overpass" pitchFamily="2" charset="77"/>
              <a:ea typeface="+mn-ea"/>
              <a:cs typeface="Calibri"/>
            </a:rPr>
            <a:pPr marL="0" indent="0" algn="l"/>
            <a:t>107 kWh - BC107DE2 x 1</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19</xdr:col>
      <xdr:colOff>1694</xdr:colOff>
      <xdr:row>134</xdr:row>
      <xdr:rowOff>1</xdr:rowOff>
    </xdr:from>
    <xdr:to>
      <xdr:col>35</xdr:col>
      <xdr:colOff>192910</xdr:colOff>
      <xdr:row>135</xdr:row>
      <xdr:rowOff>1</xdr:rowOff>
    </xdr:to>
    <xdr:sp macro="" textlink="SOLAR!E31">
      <xdr:nvSpPr>
        <xdr:cNvPr id="245" name="TextBox 244">
          <a:extLst>
            <a:ext uri="{FF2B5EF4-FFF2-40B4-BE49-F238E27FC236}">
              <a16:creationId xmlns:a16="http://schemas.microsoft.com/office/drawing/2014/main" id="{D052DB2A-6726-4240-8295-E8FD1AABBCC6}"/>
            </a:ext>
          </a:extLst>
        </xdr:cNvPr>
        <xdr:cNvSpPr txBox="1"/>
      </xdr:nvSpPr>
      <xdr:spPr>
        <a:xfrm>
          <a:off x="3621194" y="25527001"/>
          <a:ext cx="3239216"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91F9D-F9BD-48A6-AFB5-481D047E03F9}" type="TxLink">
            <a:rPr lang="en-US" sz="1000" b="0" i="0" u="none" strike="noStrike">
              <a:solidFill>
                <a:srgbClr val="2A2A2A"/>
              </a:solidFill>
              <a:latin typeface="Overpass" pitchFamily="2" charset="77"/>
              <a:ea typeface="+mn-ea"/>
              <a:cs typeface="Calibri"/>
            </a:rPr>
            <a:pPr marL="0" indent="0" algn="l"/>
            <a:t>Ausgrid</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15</xdr:col>
      <xdr:colOff>0</xdr:colOff>
      <xdr:row>105</xdr:row>
      <xdr:rowOff>0</xdr:rowOff>
    </xdr:from>
    <xdr:to>
      <xdr:col>36</xdr:col>
      <xdr:colOff>0</xdr:colOff>
      <xdr:row>106</xdr:row>
      <xdr:rowOff>0</xdr:rowOff>
    </xdr:to>
    <xdr:sp macro="" textlink="'Linking Cells'!K4">
      <xdr:nvSpPr>
        <xdr:cNvPr id="246" name="TextBox 245">
          <a:extLst>
            <a:ext uri="{FF2B5EF4-FFF2-40B4-BE49-F238E27FC236}">
              <a16:creationId xmlns:a16="http://schemas.microsoft.com/office/drawing/2014/main" id="{10A71CD4-4670-4BD5-BBAE-D67702918BB7}"/>
            </a:ext>
          </a:extLst>
        </xdr:cNvPr>
        <xdr:cNvSpPr txBox="1"/>
      </xdr:nvSpPr>
      <xdr:spPr>
        <a:xfrm>
          <a:off x="2857500" y="20002500"/>
          <a:ext cx="4000500" cy="1905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AFD0380-8559-4692-8458-2C58324064F0}" type="TxLink">
            <a:rPr lang="en-US" sz="1000" b="0" i="0" u="none" strike="noStrike">
              <a:solidFill>
                <a:srgbClr val="000000"/>
              </a:solidFill>
              <a:latin typeface="Overpass" panose="00000500000000000000" pitchFamily="2" charset="0"/>
              <a:ea typeface="Calibri"/>
              <a:cs typeface="Calibri"/>
            </a:rPr>
            <a:pPr marL="0" indent="0" algn="l"/>
            <a:t>  ,</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xdr:from>
      <xdr:col>15</xdr:col>
      <xdr:colOff>2772</xdr:colOff>
      <xdr:row>101</xdr:row>
      <xdr:rowOff>10567</xdr:rowOff>
    </xdr:from>
    <xdr:to>
      <xdr:col>36</xdr:col>
      <xdr:colOff>2430</xdr:colOff>
      <xdr:row>102</xdr:row>
      <xdr:rowOff>15123</xdr:rowOff>
    </xdr:to>
    <xdr:sp macro="" textlink="'Linking Cells'!K3">
      <xdr:nvSpPr>
        <xdr:cNvPr id="247" name="TextBox 1">
          <a:extLst>
            <a:ext uri="{FF2B5EF4-FFF2-40B4-BE49-F238E27FC236}">
              <a16:creationId xmlns:a16="http://schemas.microsoft.com/office/drawing/2014/main" id="{CDE7D418-79FF-433A-95C3-81E66FE31774}"/>
            </a:ext>
          </a:extLst>
        </xdr:cNvPr>
        <xdr:cNvSpPr txBox="1"/>
      </xdr:nvSpPr>
      <xdr:spPr>
        <a:xfrm>
          <a:off x="2860272" y="19252972"/>
          <a:ext cx="4000158" cy="19696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A49A2F2-4D9C-4549-9586-42F5F6C2A978}" type="TxLink">
            <a:rPr lang="en-US" sz="1000" b="0" i="0" u="none" strike="noStrike">
              <a:solidFill>
                <a:srgbClr val="000000"/>
              </a:solidFill>
              <a:latin typeface="Overpass" panose="00000500000000000000" pitchFamily="2" charset="0"/>
              <a:ea typeface="Calibri"/>
              <a:cs typeface="Calibri"/>
            </a:rPr>
            <a:pPr marL="0" indent="0" algn="l"/>
            <a:t>  NSW, 2000</a:t>
          </a:fld>
          <a:endParaRPr lang="en-AU" sz="1000" b="0" i="0" u="none" strike="noStrike">
            <a:solidFill>
              <a:srgbClr val="000000"/>
            </a:solidFill>
            <a:latin typeface="Overpass" panose="00000500000000000000" pitchFamily="2" charset="0"/>
            <a:ea typeface="Calibri"/>
            <a:cs typeface="Calibri"/>
          </a:endParaRPr>
        </a:p>
      </xdr:txBody>
    </xdr:sp>
    <xdr:clientData/>
  </xdr:twoCellAnchor>
  <xdr:twoCellAnchor editAs="oneCell">
    <xdr:from>
      <xdr:col>37</xdr:col>
      <xdr:colOff>182747</xdr:colOff>
      <xdr:row>64</xdr:row>
      <xdr:rowOff>0</xdr:rowOff>
    </xdr:from>
    <xdr:to>
      <xdr:col>40</xdr:col>
      <xdr:colOff>15728</xdr:colOff>
      <xdr:row>66</xdr:row>
      <xdr:rowOff>1699</xdr:rowOff>
    </xdr:to>
    <xdr:pic>
      <xdr:nvPicPr>
        <xdr:cNvPr id="248" name="Picture 247">
          <a:extLst>
            <a:ext uri="{FF2B5EF4-FFF2-40B4-BE49-F238E27FC236}">
              <a16:creationId xmlns:a16="http://schemas.microsoft.com/office/drawing/2014/main" id="{63C0B72A-9D58-47F7-B359-2E99F2BEF27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29342" y="12192000"/>
          <a:ext cx="396861" cy="382699"/>
        </a:xfrm>
        <a:prstGeom prst="rect">
          <a:avLst/>
        </a:prstGeom>
      </xdr:spPr>
    </xdr:pic>
    <xdr:clientData/>
  </xdr:twoCellAnchor>
  <xdr:twoCellAnchor editAs="oneCell">
    <xdr:from>
      <xdr:col>79</xdr:col>
      <xdr:colOff>0</xdr:colOff>
      <xdr:row>64</xdr:row>
      <xdr:rowOff>0</xdr:rowOff>
    </xdr:from>
    <xdr:to>
      <xdr:col>81</xdr:col>
      <xdr:colOff>19818</xdr:colOff>
      <xdr:row>66</xdr:row>
      <xdr:rowOff>1699</xdr:rowOff>
    </xdr:to>
    <xdr:pic>
      <xdr:nvPicPr>
        <xdr:cNvPr id="249" name="Picture 248">
          <a:extLst>
            <a:ext uri="{FF2B5EF4-FFF2-40B4-BE49-F238E27FC236}">
              <a16:creationId xmlns:a16="http://schemas.microsoft.com/office/drawing/2014/main" id="{9C412D2A-FCE6-4BF0-A934-08C09E6ACD4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049500" y="12192000"/>
          <a:ext cx="393198" cy="382699"/>
        </a:xfrm>
        <a:prstGeom prst="rect">
          <a:avLst/>
        </a:prstGeom>
      </xdr:spPr>
    </xdr:pic>
    <xdr:clientData/>
  </xdr:twoCellAnchor>
  <xdr:twoCellAnchor editAs="oneCell">
    <xdr:from>
      <xdr:col>79</xdr:col>
      <xdr:colOff>0</xdr:colOff>
      <xdr:row>124</xdr:row>
      <xdr:rowOff>0</xdr:rowOff>
    </xdr:from>
    <xdr:to>
      <xdr:col>81</xdr:col>
      <xdr:colOff>19818</xdr:colOff>
      <xdr:row>126</xdr:row>
      <xdr:rowOff>1699</xdr:rowOff>
    </xdr:to>
    <xdr:pic>
      <xdr:nvPicPr>
        <xdr:cNvPr id="250" name="Picture 249">
          <a:extLst>
            <a:ext uri="{FF2B5EF4-FFF2-40B4-BE49-F238E27FC236}">
              <a16:creationId xmlns:a16="http://schemas.microsoft.com/office/drawing/2014/main" id="{14669057-763D-4576-A2DA-D16ECF4ED49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049500" y="23622000"/>
          <a:ext cx="393198" cy="382699"/>
        </a:xfrm>
        <a:prstGeom prst="rect">
          <a:avLst/>
        </a:prstGeom>
      </xdr:spPr>
    </xdr:pic>
    <xdr:clientData/>
  </xdr:twoCellAnchor>
  <xdr:twoCellAnchor editAs="oneCell">
    <xdr:from>
      <xdr:col>38</xdr:col>
      <xdr:colOff>0</xdr:colOff>
      <xdr:row>124</xdr:row>
      <xdr:rowOff>0</xdr:rowOff>
    </xdr:from>
    <xdr:to>
      <xdr:col>40</xdr:col>
      <xdr:colOff>19818</xdr:colOff>
      <xdr:row>126</xdr:row>
      <xdr:rowOff>1699</xdr:rowOff>
    </xdr:to>
    <xdr:pic>
      <xdr:nvPicPr>
        <xdr:cNvPr id="251" name="Picture 250">
          <a:extLst>
            <a:ext uri="{FF2B5EF4-FFF2-40B4-BE49-F238E27FC236}">
              <a16:creationId xmlns:a16="http://schemas.microsoft.com/office/drawing/2014/main" id="{3332C944-7EC8-460F-8480-49BAFA55B00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39000" y="23622000"/>
          <a:ext cx="393198" cy="382699"/>
        </a:xfrm>
        <a:prstGeom prst="rect">
          <a:avLst/>
        </a:prstGeom>
      </xdr:spPr>
    </xdr:pic>
    <xdr:clientData/>
  </xdr:twoCellAnchor>
  <xdr:twoCellAnchor editAs="oneCell">
    <xdr:from>
      <xdr:col>38</xdr:col>
      <xdr:colOff>10160</xdr:colOff>
      <xdr:row>183</xdr:row>
      <xdr:rowOff>191341</xdr:rowOff>
    </xdr:from>
    <xdr:to>
      <xdr:col>40</xdr:col>
      <xdr:colOff>16643</xdr:colOff>
      <xdr:row>186</xdr:row>
      <xdr:rowOff>15391</xdr:rowOff>
    </xdr:to>
    <xdr:pic>
      <xdr:nvPicPr>
        <xdr:cNvPr id="252" name="Picture 251">
          <a:extLst>
            <a:ext uri="{FF2B5EF4-FFF2-40B4-BE49-F238E27FC236}">
              <a16:creationId xmlns:a16="http://schemas.microsoft.com/office/drawing/2014/main" id="{45A44D63-19A5-477C-936E-90A7DBFEC6A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51065" y="35052841"/>
          <a:ext cx="385578" cy="389835"/>
        </a:xfrm>
        <a:prstGeom prst="rect">
          <a:avLst/>
        </a:prstGeom>
      </xdr:spPr>
    </xdr:pic>
    <xdr:clientData/>
  </xdr:twoCellAnchor>
  <xdr:twoCellAnchor editAs="oneCell">
    <xdr:from>
      <xdr:col>38</xdr:col>
      <xdr:colOff>0</xdr:colOff>
      <xdr:row>244</xdr:row>
      <xdr:rowOff>0</xdr:rowOff>
    </xdr:from>
    <xdr:to>
      <xdr:col>40</xdr:col>
      <xdr:colOff>19818</xdr:colOff>
      <xdr:row>246</xdr:row>
      <xdr:rowOff>1699</xdr:rowOff>
    </xdr:to>
    <xdr:pic>
      <xdr:nvPicPr>
        <xdr:cNvPr id="253" name="Picture 252">
          <a:extLst>
            <a:ext uri="{FF2B5EF4-FFF2-40B4-BE49-F238E27FC236}">
              <a16:creationId xmlns:a16="http://schemas.microsoft.com/office/drawing/2014/main" id="{D723140F-DEE2-47AA-ADE8-81B7C6530A6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39000" y="46482000"/>
          <a:ext cx="393198" cy="382699"/>
        </a:xfrm>
        <a:prstGeom prst="rect">
          <a:avLst/>
        </a:prstGeom>
      </xdr:spPr>
    </xdr:pic>
    <xdr:clientData/>
  </xdr:twoCellAnchor>
  <xdr:twoCellAnchor>
    <xdr:from>
      <xdr:col>6</xdr:col>
      <xdr:colOff>298</xdr:colOff>
      <xdr:row>70</xdr:row>
      <xdr:rowOff>189906</xdr:rowOff>
    </xdr:from>
    <xdr:to>
      <xdr:col>36</xdr:col>
      <xdr:colOff>0</xdr:colOff>
      <xdr:row>81</xdr:row>
      <xdr:rowOff>0</xdr:rowOff>
    </xdr:to>
    <xdr:grpSp>
      <xdr:nvGrpSpPr>
        <xdr:cNvPr id="254" name="Group 253">
          <a:extLst>
            <a:ext uri="{FF2B5EF4-FFF2-40B4-BE49-F238E27FC236}">
              <a16:creationId xmlns:a16="http://schemas.microsoft.com/office/drawing/2014/main" id="{5E5DD946-5C6E-416D-AE4D-C1848BA66233}"/>
            </a:ext>
          </a:extLst>
        </xdr:cNvPr>
        <xdr:cNvGrpSpPr/>
      </xdr:nvGrpSpPr>
      <xdr:grpSpPr>
        <a:xfrm>
          <a:off x="1143298" y="13524906"/>
          <a:ext cx="5714702" cy="1905594"/>
          <a:chOff x="1187830" y="14044451"/>
          <a:chExt cx="5937365" cy="1987237"/>
        </a:xfrm>
      </xdr:grpSpPr>
      <xdr:sp macro="" textlink="BESS!F3">
        <xdr:nvSpPr>
          <xdr:cNvPr id="255" name="TextBox 254">
            <a:extLst>
              <a:ext uri="{FF2B5EF4-FFF2-40B4-BE49-F238E27FC236}">
                <a16:creationId xmlns:a16="http://schemas.microsoft.com/office/drawing/2014/main" id="{CC913455-86B2-0D0F-46C6-7A026B009994}"/>
              </a:ext>
            </a:extLst>
          </xdr:cNvPr>
          <xdr:cNvSpPr txBox="1"/>
        </xdr:nvSpPr>
        <xdr:spPr>
          <a:xfrm>
            <a:off x="1785434" y="14648152"/>
            <a:ext cx="2093833" cy="58696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208E7FA5-F6D3-4AE1-98AA-B7EDBB40A281}" type="TxLink">
              <a:rPr lang="en-US" sz="2000" b="1" i="0" u="none" strike="noStrike">
                <a:solidFill>
                  <a:srgbClr val="27056C"/>
                </a:solidFill>
                <a:latin typeface="Overpass" panose="00000500000000000000" pitchFamily="2" charset="0"/>
                <a:ea typeface="+mn-ea"/>
                <a:cs typeface="Calibri"/>
              </a:rPr>
              <a:pPr marL="0" indent="0" algn="l"/>
              <a:t>107 kWh</a:t>
            </a:fld>
            <a:endParaRPr lang="en-AU" sz="2000" b="1" i="0" u="none" strike="noStrike">
              <a:solidFill>
                <a:srgbClr val="27056C"/>
              </a:solidFill>
              <a:latin typeface="Overpass" panose="00000500000000000000" pitchFamily="2" charset="0"/>
              <a:ea typeface="+mn-ea"/>
              <a:cs typeface="Calibri"/>
            </a:endParaRPr>
          </a:p>
        </xdr:txBody>
      </xdr:sp>
      <xdr:sp macro="" textlink="">
        <xdr:nvSpPr>
          <xdr:cNvPr id="256" name="TextBox 255">
            <a:extLst>
              <a:ext uri="{FF2B5EF4-FFF2-40B4-BE49-F238E27FC236}">
                <a16:creationId xmlns:a16="http://schemas.microsoft.com/office/drawing/2014/main" id="{1B5FCFF6-97D2-A3D3-44F7-629B5E356AF9}"/>
              </a:ext>
            </a:extLst>
          </xdr:cNvPr>
          <xdr:cNvSpPr txBox="1"/>
        </xdr:nvSpPr>
        <xdr:spPr>
          <a:xfrm>
            <a:off x="1785433" y="15240000"/>
            <a:ext cx="1383018" cy="395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800" b="1" i="0" u="none" strike="noStrike">
                <a:solidFill>
                  <a:srgbClr val="666666"/>
                </a:solidFill>
                <a:latin typeface="Overpass" panose="00000500000000000000" pitchFamily="2" charset="0"/>
                <a:ea typeface="+mn-ea"/>
                <a:cs typeface="Calibri"/>
              </a:rPr>
              <a:t>BATTERY SIZE</a:t>
            </a:r>
          </a:p>
        </xdr:txBody>
      </xdr:sp>
      <xdr:cxnSp macro="">
        <xdr:nvCxnSpPr>
          <xdr:cNvPr id="257" name="Straight Connector 256">
            <a:extLst>
              <a:ext uri="{FF2B5EF4-FFF2-40B4-BE49-F238E27FC236}">
                <a16:creationId xmlns:a16="http://schemas.microsoft.com/office/drawing/2014/main" id="{38F5CA80-A39E-DE1F-5D4A-051521D783E2}"/>
              </a:ext>
            </a:extLst>
          </xdr:cNvPr>
          <xdr:cNvCxnSpPr/>
        </xdr:nvCxnSpPr>
        <xdr:spPr>
          <a:xfrm>
            <a:off x="1587859" y="14648152"/>
            <a:ext cx="0" cy="789770"/>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sp macro="" textlink="SOLAR!G10">
        <xdr:nvSpPr>
          <xdr:cNvPr id="258" name="TextBox 257">
            <a:extLst>
              <a:ext uri="{FF2B5EF4-FFF2-40B4-BE49-F238E27FC236}">
                <a16:creationId xmlns:a16="http://schemas.microsoft.com/office/drawing/2014/main" id="{6F84F721-D0A0-9DD8-5B27-7AB15BFA3CA7}"/>
              </a:ext>
            </a:extLst>
          </xdr:cNvPr>
          <xdr:cNvSpPr txBox="1"/>
        </xdr:nvSpPr>
        <xdr:spPr>
          <a:xfrm>
            <a:off x="4948052" y="14448312"/>
            <a:ext cx="1979221" cy="59376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292D5A7-D6CD-46EB-94EF-2BB204A35730}" type="TxLink">
              <a:rPr lang="en-US" sz="1200" b="0" i="0" u="none" strike="noStrike">
                <a:solidFill>
                  <a:srgbClr val="2A2A2A"/>
                </a:solidFill>
                <a:latin typeface="Overpass" pitchFamily="2" charset="77"/>
                <a:ea typeface="+mn-ea"/>
                <a:cs typeface="Calibri"/>
              </a:rPr>
              <a:pPr marL="0" indent="0" algn="l"/>
              <a:t>10.04.2026</a:t>
            </a:fld>
            <a:endParaRPr lang="en-AU" sz="1200" b="0" i="0" u="none" strike="noStrike">
              <a:solidFill>
                <a:srgbClr val="2A2A2A"/>
              </a:solidFill>
              <a:latin typeface="Overpass" pitchFamily="2" charset="77"/>
              <a:ea typeface="+mn-ea"/>
              <a:cs typeface="Calibri"/>
            </a:endParaRPr>
          </a:p>
        </xdr:txBody>
      </xdr:sp>
      <xdr:sp macro="" textlink="'Linking Cells'!B61">
        <xdr:nvSpPr>
          <xdr:cNvPr id="259" name="TextBox 258">
            <a:extLst>
              <a:ext uri="{FF2B5EF4-FFF2-40B4-BE49-F238E27FC236}">
                <a16:creationId xmlns:a16="http://schemas.microsoft.com/office/drawing/2014/main" id="{A32BE7E6-D23A-DB0B-E368-9705A59799F5}"/>
              </a:ext>
            </a:extLst>
          </xdr:cNvPr>
          <xdr:cNvSpPr txBox="1"/>
        </xdr:nvSpPr>
        <xdr:spPr>
          <a:xfrm>
            <a:off x="4948052" y="15235116"/>
            <a:ext cx="1979221" cy="79657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2216CE3-D00F-43D9-B8C9-73A732D48AD4}" type="TxLink">
              <a:rPr lang="en-US" sz="1200" b="0" i="0" u="none" strike="noStrike">
                <a:solidFill>
                  <a:srgbClr val="2A2A2A"/>
                </a:solidFill>
                <a:latin typeface="Overpass" pitchFamily="2" charset="77"/>
                <a:ea typeface="+mn-ea"/>
                <a:cs typeface="Calibri"/>
              </a:rPr>
              <a:pPr marL="0" indent="0" algn="l"/>
              <a:t>Q-JV- 107kWh </a:t>
            </a:fld>
            <a:endParaRPr lang="en-AU" sz="1200" b="0" i="0" u="none" strike="noStrike">
              <a:solidFill>
                <a:srgbClr val="2A2A2A"/>
              </a:solidFill>
              <a:latin typeface="Overpass" pitchFamily="2" charset="77"/>
              <a:ea typeface="+mn-ea"/>
              <a:cs typeface="Calibri"/>
            </a:endParaRPr>
          </a:p>
        </xdr:txBody>
      </xdr:sp>
      <xdr:sp macro="" textlink="">
        <xdr:nvSpPr>
          <xdr:cNvPr id="260" name="TextBox 259">
            <a:extLst>
              <a:ext uri="{FF2B5EF4-FFF2-40B4-BE49-F238E27FC236}">
                <a16:creationId xmlns:a16="http://schemas.microsoft.com/office/drawing/2014/main" id="{0AF0E0D7-F175-3E3D-BA45-C28C79F41EFC}"/>
              </a:ext>
            </a:extLst>
          </xdr:cNvPr>
          <xdr:cNvSpPr txBox="1"/>
        </xdr:nvSpPr>
        <xdr:spPr>
          <a:xfrm>
            <a:off x="3958443" y="14448312"/>
            <a:ext cx="791688" cy="588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DATE</a:t>
            </a:r>
          </a:p>
        </xdr:txBody>
      </xdr:sp>
      <xdr:sp macro="" textlink="">
        <xdr:nvSpPr>
          <xdr:cNvPr id="261" name="TextBox 260">
            <a:extLst>
              <a:ext uri="{FF2B5EF4-FFF2-40B4-BE49-F238E27FC236}">
                <a16:creationId xmlns:a16="http://schemas.microsoft.com/office/drawing/2014/main" id="{DA44A57A-2723-ABE1-3348-60261F583D87}"/>
              </a:ext>
            </a:extLst>
          </xdr:cNvPr>
          <xdr:cNvSpPr txBox="1"/>
        </xdr:nvSpPr>
        <xdr:spPr>
          <a:xfrm>
            <a:off x="3958443" y="15241591"/>
            <a:ext cx="791688" cy="78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7056C"/>
                </a:solidFill>
                <a:latin typeface="Overpass" panose="00000500000000000000" pitchFamily="2" charset="0"/>
                <a:ea typeface="+mn-ea"/>
                <a:cs typeface="Calibri"/>
              </a:rPr>
              <a:t>QUOTE #</a:t>
            </a:r>
            <a:endParaRPr lang="en-US" sz="650" b="0" i="0" u="none" strike="noStrike">
              <a:solidFill>
                <a:srgbClr val="27056C"/>
              </a:solidFill>
              <a:latin typeface="Overpass" panose="00000500000000000000" pitchFamily="2" charset="0"/>
              <a:ea typeface="+mn-ea"/>
              <a:cs typeface="Calibri"/>
            </a:endParaRPr>
          </a:p>
        </xdr:txBody>
      </xdr:sp>
      <xdr:sp macro="" textlink="">
        <xdr:nvSpPr>
          <xdr:cNvPr id="262" name="Rounded Rectangle 291">
            <a:extLst>
              <a:ext uri="{FF2B5EF4-FFF2-40B4-BE49-F238E27FC236}">
                <a16:creationId xmlns:a16="http://schemas.microsoft.com/office/drawing/2014/main" id="{5A91312F-4F28-B946-5F9A-3F790582CED3}"/>
              </a:ext>
            </a:extLst>
          </xdr:cNvPr>
          <xdr:cNvSpPr/>
        </xdr:nvSpPr>
        <xdr:spPr>
          <a:xfrm>
            <a:off x="1187830" y="14044451"/>
            <a:ext cx="5937365" cy="1987237"/>
          </a:xfrm>
          <a:prstGeom prst="roundRect">
            <a:avLst>
              <a:gd name="adj" fmla="val 14502"/>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6</xdr:col>
      <xdr:colOff>1</xdr:colOff>
      <xdr:row>205</xdr:row>
      <xdr:rowOff>0</xdr:rowOff>
    </xdr:from>
    <xdr:to>
      <xdr:col>36</xdr:col>
      <xdr:colOff>1</xdr:colOff>
      <xdr:row>206</xdr:row>
      <xdr:rowOff>196391</xdr:rowOff>
    </xdr:to>
    <xdr:sp macro="" textlink="">
      <xdr:nvSpPr>
        <xdr:cNvPr id="263" name="TextBox 262">
          <a:extLst>
            <a:ext uri="{FF2B5EF4-FFF2-40B4-BE49-F238E27FC236}">
              <a16:creationId xmlns:a16="http://schemas.microsoft.com/office/drawing/2014/main" id="{81C82099-DAD2-4D25-AAC7-DB3B9CC79672}"/>
            </a:ext>
          </a:extLst>
        </xdr:cNvPr>
        <xdr:cNvSpPr txBox="1"/>
      </xdr:nvSpPr>
      <xdr:spPr>
        <a:xfrm>
          <a:off x="1178352" y="40260309"/>
          <a:ext cx="5891752" cy="39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AU" sz="900" b="0" i="1">
              <a:solidFill>
                <a:schemeClr val="dk1"/>
              </a:solidFill>
              <a:effectLst/>
              <a:latin typeface="+mn-lt"/>
              <a:ea typeface="+mn-ea"/>
              <a:cs typeface="+mn-cs"/>
            </a:rPr>
            <a:t>All progress claims must be paid by the Customer to the Supplier within seven (7) days from the receipt of an invoice</a:t>
          </a:r>
          <a:endParaRPr lang="en-US" sz="700" b="1" i="1" u="none" strike="noStrike">
            <a:solidFill>
              <a:srgbClr val="666666"/>
            </a:solidFill>
            <a:latin typeface="Overpass" panose="00000500000000000000" pitchFamily="2" charset="0"/>
            <a:ea typeface="+mn-ea"/>
            <a:cs typeface="Calibri"/>
          </a:endParaRPr>
        </a:p>
      </xdr:txBody>
    </xdr:sp>
    <xdr:clientData/>
  </xdr:twoCellAnchor>
  <xdr:twoCellAnchor>
    <xdr:from>
      <xdr:col>5</xdr:col>
      <xdr:colOff>191976</xdr:colOff>
      <xdr:row>157</xdr:row>
      <xdr:rowOff>4</xdr:rowOff>
    </xdr:from>
    <xdr:to>
      <xdr:col>19</xdr:col>
      <xdr:colOff>4034</xdr:colOff>
      <xdr:row>158</xdr:row>
      <xdr:rowOff>2</xdr:rowOff>
    </xdr:to>
    <xdr:sp macro="" textlink="">
      <xdr:nvSpPr>
        <xdr:cNvPr id="264" name="TextBox 263">
          <a:extLst>
            <a:ext uri="{FF2B5EF4-FFF2-40B4-BE49-F238E27FC236}">
              <a16:creationId xmlns:a16="http://schemas.microsoft.com/office/drawing/2014/main" id="{66F502EB-EB69-447A-ADAF-4816749C4503}"/>
            </a:ext>
          </a:extLst>
        </xdr:cNvPr>
        <xdr:cNvSpPr txBox="1"/>
      </xdr:nvSpPr>
      <xdr:spPr>
        <a:xfrm>
          <a:off x="1151860" y="30140353"/>
          <a:ext cx="2499732" cy="19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 STATION</a:t>
          </a:r>
        </a:p>
      </xdr:txBody>
    </xdr:sp>
    <xdr:clientData/>
  </xdr:twoCellAnchor>
  <xdr:twoCellAnchor>
    <xdr:from>
      <xdr:col>18</xdr:col>
      <xdr:colOff>191961</xdr:colOff>
      <xdr:row>157</xdr:row>
      <xdr:rowOff>0</xdr:rowOff>
    </xdr:from>
    <xdr:to>
      <xdr:col>36</xdr:col>
      <xdr:colOff>0</xdr:colOff>
      <xdr:row>157</xdr:row>
      <xdr:rowOff>191975</xdr:rowOff>
    </xdr:to>
    <xdr:sp macro="" textlink="'Linking Cells'!B100">
      <xdr:nvSpPr>
        <xdr:cNvPr id="266" name="TextBox 265">
          <a:extLst>
            <a:ext uri="{FF2B5EF4-FFF2-40B4-BE49-F238E27FC236}">
              <a16:creationId xmlns:a16="http://schemas.microsoft.com/office/drawing/2014/main" id="{9CC0B67E-D98F-458D-B620-BBD8C48922AF}"/>
            </a:ext>
          </a:extLst>
        </xdr:cNvPr>
        <xdr:cNvSpPr txBox="1"/>
      </xdr:nvSpPr>
      <xdr:spPr>
        <a:xfrm>
          <a:off x="3647542" y="30140349"/>
          <a:ext cx="3263621" cy="19197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72C38E3-1564-4DCD-849D-5A7D53DBAC07}" type="TxLink">
            <a:rPr lang="en-US" sz="1000" b="0" i="0" u="none" strike="noStrike">
              <a:solidFill>
                <a:srgbClr val="2A2A2A"/>
              </a:solidFill>
              <a:latin typeface="Overpass" pitchFamily="2" charset="77"/>
              <a:ea typeface="+mn-ea"/>
              <a:cs typeface="Calibri"/>
            </a:rPr>
            <a:pPr marL="0" indent="0" algn="l"/>
            <a:t>Bollards</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47</xdr:col>
      <xdr:colOff>18456</xdr:colOff>
      <xdr:row>80</xdr:row>
      <xdr:rowOff>0</xdr:rowOff>
    </xdr:from>
    <xdr:to>
      <xdr:col>77</xdr:col>
      <xdr:colOff>19050</xdr:colOff>
      <xdr:row>80</xdr:row>
      <xdr:rowOff>0</xdr:rowOff>
    </xdr:to>
    <xdr:cxnSp macro="">
      <xdr:nvCxnSpPr>
        <xdr:cNvPr id="268" name="Straight Connector 16">
          <a:extLst>
            <a:ext uri="{FF2B5EF4-FFF2-40B4-BE49-F238E27FC236}">
              <a16:creationId xmlns:a16="http://schemas.microsoft.com/office/drawing/2014/main" id="{36D0D59D-F453-4BA3-80ED-1B88CAB25C9F}"/>
            </a:ext>
          </a:extLst>
        </xdr:cNvPr>
        <xdr:cNvCxnSpPr/>
      </xdr:nvCxnSpPr>
      <xdr:spPr>
        <a:xfrm>
          <a:off x="8975766" y="15240000"/>
          <a:ext cx="570797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190499</xdr:colOff>
      <xdr:row>82</xdr:row>
      <xdr:rowOff>421</xdr:rowOff>
    </xdr:from>
    <xdr:to>
      <xdr:col>62</xdr:col>
      <xdr:colOff>161924</xdr:colOff>
      <xdr:row>83</xdr:row>
      <xdr:rowOff>9524</xdr:rowOff>
    </xdr:to>
    <xdr:sp macro="" textlink="'Linking Cells'!B88">
      <xdr:nvSpPr>
        <xdr:cNvPr id="269" name="TextBox 242">
          <a:extLst>
            <a:ext uri="{FF2B5EF4-FFF2-40B4-BE49-F238E27FC236}">
              <a16:creationId xmlns:a16="http://schemas.microsoft.com/office/drawing/2014/main" id="{E5CCB3EF-6789-4E0F-94B8-CE7CC86B894F}"/>
            </a:ext>
          </a:extLst>
        </xdr:cNvPr>
        <xdr:cNvSpPr txBox="1"/>
      </xdr:nvSpPr>
      <xdr:spPr>
        <a:xfrm>
          <a:off x="8953499" y="15621421"/>
          <a:ext cx="3019425" cy="19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04A9883-601F-4B2B-BAA9-DACDD805C37B}" type="TxLink">
            <a:rPr lang="en-US" sz="1000" b="1" i="0" u="none" strike="noStrike">
              <a:solidFill>
                <a:srgbClr val="27056C"/>
              </a:solidFill>
              <a:latin typeface="Overpass" panose="00000500000000000000" pitchFamily="2" charset="0"/>
              <a:ea typeface="+mn-ea"/>
              <a:cs typeface="Calibri"/>
            </a:rPr>
            <a:pPr marL="0" indent="0" algn="l"/>
            <a:t> </a:t>
          </a:fld>
          <a:endParaRPr lang="en-US" sz="1000" b="1" i="0" u="none" strike="noStrike">
            <a:solidFill>
              <a:srgbClr val="27056C"/>
            </a:solidFill>
            <a:latin typeface="Overpass" panose="00000500000000000000" pitchFamily="2" charset="0"/>
            <a:ea typeface="+mn-ea"/>
            <a:cs typeface="Calibri"/>
          </a:endParaRPr>
        </a:p>
      </xdr:txBody>
    </xdr:sp>
    <xdr:clientData/>
  </xdr:twoCellAnchor>
  <xdr:twoCellAnchor>
    <xdr:from>
      <xdr:col>66</xdr:col>
      <xdr:colOff>905</xdr:colOff>
      <xdr:row>82</xdr:row>
      <xdr:rowOff>15799</xdr:rowOff>
    </xdr:from>
    <xdr:to>
      <xdr:col>77</xdr:col>
      <xdr:colOff>906</xdr:colOff>
      <xdr:row>83</xdr:row>
      <xdr:rowOff>0</xdr:rowOff>
    </xdr:to>
    <xdr:sp macro="" textlink="'Linking Cells'!B89">
      <xdr:nvSpPr>
        <xdr:cNvPr id="270" name="TextBox 170">
          <a:extLst>
            <a:ext uri="{FF2B5EF4-FFF2-40B4-BE49-F238E27FC236}">
              <a16:creationId xmlns:a16="http://schemas.microsoft.com/office/drawing/2014/main" id="{F21A2BAE-0B59-4A71-ABDE-4813CB263BD7}"/>
            </a:ext>
          </a:extLst>
        </xdr:cNvPr>
        <xdr:cNvSpPr txBox="1"/>
      </xdr:nvSpPr>
      <xdr:spPr>
        <a:xfrm>
          <a:off x="12573905" y="15640609"/>
          <a:ext cx="2095501" cy="1708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E4E7421-45A7-40AC-B28A-ED220BA593CD}" type="TxLink">
            <a:rPr lang="en-US" sz="1000" b="0" i="0" u="none" strike="noStrike">
              <a:solidFill>
                <a:srgbClr val="2A2A2A"/>
              </a:solidFill>
              <a:latin typeface="Overpass" pitchFamily="2" charset="77"/>
              <a:ea typeface="+mn-ea"/>
              <a:cs typeface="Calibri"/>
            </a:rPr>
            <a:pPr marL="0" indent="0" algn="l"/>
            <a:t>$647 GST</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100</xdr:col>
      <xdr:colOff>172254</xdr:colOff>
      <xdr:row>78</xdr:row>
      <xdr:rowOff>0</xdr:rowOff>
    </xdr:from>
    <xdr:to>
      <xdr:col>111</xdr:col>
      <xdr:colOff>168520</xdr:colOff>
      <xdr:row>79</xdr:row>
      <xdr:rowOff>6863</xdr:rowOff>
    </xdr:to>
    <xdr:sp macro="" textlink="'Linking Cells'!B70">
      <xdr:nvSpPr>
        <xdr:cNvPr id="117" name="TextBox 168">
          <a:extLst>
            <a:ext uri="{FF2B5EF4-FFF2-40B4-BE49-F238E27FC236}">
              <a16:creationId xmlns:a16="http://schemas.microsoft.com/office/drawing/2014/main" id="{AD1C21AA-48DB-47DB-B333-E6475BBC6EEC}"/>
            </a:ext>
          </a:extLst>
        </xdr:cNvPr>
        <xdr:cNvSpPr txBox="1"/>
      </xdr:nvSpPr>
      <xdr:spPr>
        <a:xfrm>
          <a:off x="19573946" y="14859000"/>
          <a:ext cx="2091766" cy="19736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833040A-4C6B-4C2F-8365-0FB647EC82DE}" type="TxLink">
            <a:rPr lang="en-US" sz="1000" b="0" i="0" u="none" strike="noStrike">
              <a:solidFill>
                <a:srgbClr val="2A2A2A"/>
              </a:solidFill>
              <a:latin typeface="Overpass" pitchFamily="2" charset="77"/>
              <a:ea typeface="+mn-ea"/>
              <a:cs typeface="Calibri"/>
            </a:rPr>
            <a:pPr marL="0" indent="0" algn="l"/>
            <a:t>1 Years</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26</xdr:col>
      <xdr:colOff>188994</xdr:colOff>
      <xdr:row>228</xdr:row>
      <xdr:rowOff>9</xdr:rowOff>
    </xdr:from>
    <xdr:to>
      <xdr:col>36</xdr:col>
      <xdr:colOff>0</xdr:colOff>
      <xdr:row>238</xdr:row>
      <xdr:rowOff>0</xdr:rowOff>
    </xdr:to>
    <xdr:grpSp>
      <xdr:nvGrpSpPr>
        <xdr:cNvPr id="272" name="Group 271">
          <a:extLst>
            <a:ext uri="{FF2B5EF4-FFF2-40B4-BE49-F238E27FC236}">
              <a16:creationId xmlns:a16="http://schemas.microsoft.com/office/drawing/2014/main" id="{3897B52C-E129-4E08-B63F-239F6C2CBFFD}"/>
            </a:ext>
          </a:extLst>
        </xdr:cNvPr>
        <xdr:cNvGrpSpPr/>
      </xdr:nvGrpSpPr>
      <xdr:grpSpPr>
        <a:xfrm>
          <a:off x="5141994" y="43434009"/>
          <a:ext cx="1716006" cy="1904991"/>
          <a:chOff x="5244353" y="42343294"/>
          <a:chExt cx="1750948" cy="1942353"/>
        </a:xfrm>
      </xdr:grpSpPr>
      <xdr:sp macro="" textlink="">
        <xdr:nvSpPr>
          <xdr:cNvPr id="273" name="Rounded Rectangle 48">
            <a:extLst>
              <a:ext uri="{FF2B5EF4-FFF2-40B4-BE49-F238E27FC236}">
                <a16:creationId xmlns:a16="http://schemas.microsoft.com/office/drawing/2014/main" id="{86502B99-5AAB-80EE-FBCF-5396183B6D8B}"/>
              </a:ext>
            </a:extLst>
          </xdr:cNvPr>
          <xdr:cNvSpPr/>
        </xdr:nvSpPr>
        <xdr:spPr>
          <a:xfrm>
            <a:off x="5244353" y="42343294"/>
            <a:ext cx="1750948" cy="1942353"/>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4" name="TextBox 273">
            <a:extLst>
              <a:ext uri="{FF2B5EF4-FFF2-40B4-BE49-F238E27FC236}">
                <a16:creationId xmlns:a16="http://schemas.microsoft.com/office/drawing/2014/main" id="{D1733694-FBDC-B6D3-AC4C-FFA9D45BDE4A}"/>
              </a:ext>
            </a:extLst>
          </xdr:cNvPr>
          <xdr:cNvSpPr txBox="1"/>
        </xdr:nvSpPr>
        <xdr:spPr>
          <a:xfrm>
            <a:off x="5438589" y="42529247"/>
            <a:ext cx="383018" cy="39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99CCFF"/>
                </a:solidFill>
                <a:latin typeface="Barlow" pitchFamily="2" charset="77"/>
                <a:ea typeface="+mn-ea"/>
                <a:cs typeface="Calibri"/>
              </a:rPr>
              <a:t>03</a:t>
            </a:r>
          </a:p>
        </xdr:txBody>
      </xdr:sp>
      <xdr:sp macro="" textlink="">
        <xdr:nvSpPr>
          <xdr:cNvPr id="275" name="TextBox 274">
            <a:extLst>
              <a:ext uri="{FF2B5EF4-FFF2-40B4-BE49-F238E27FC236}">
                <a16:creationId xmlns:a16="http://schemas.microsoft.com/office/drawing/2014/main" id="{07DE6417-ECD5-4120-AEA3-DD5205E37104}"/>
              </a:ext>
            </a:extLst>
          </xdr:cNvPr>
          <xdr:cNvSpPr txBox="1"/>
        </xdr:nvSpPr>
        <xdr:spPr>
          <a:xfrm>
            <a:off x="5634471" y="42529248"/>
            <a:ext cx="1358455" cy="203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8066C"/>
                </a:solidFill>
                <a:latin typeface="Barlow" pitchFamily="2" charset="77"/>
                <a:ea typeface="+mn-ea"/>
                <a:cs typeface="Calibri"/>
              </a:rPr>
              <a:t>FINALISATION</a:t>
            </a:r>
          </a:p>
        </xdr:txBody>
      </xdr:sp>
    </xdr:grpSp>
    <xdr:clientData/>
  </xdr:twoCellAnchor>
  <xdr:twoCellAnchor>
    <xdr:from>
      <xdr:col>18</xdr:col>
      <xdr:colOff>20000</xdr:colOff>
      <xdr:row>260</xdr:row>
      <xdr:rowOff>0</xdr:rowOff>
    </xdr:from>
    <xdr:to>
      <xdr:col>24</xdr:col>
      <xdr:colOff>20000</xdr:colOff>
      <xdr:row>266</xdr:row>
      <xdr:rowOff>0</xdr:rowOff>
    </xdr:to>
    <xdr:sp macro="" textlink="">
      <xdr:nvSpPr>
        <xdr:cNvPr id="276" name="Folded Corner 273">
          <a:extLst>
            <a:ext uri="{FF2B5EF4-FFF2-40B4-BE49-F238E27FC236}">
              <a16:creationId xmlns:a16="http://schemas.microsoft.com/office/drawing/2014/main" id="{BAF0B863-887F-42C1-89A0-38DE8D02C6BF}"/>
            </a:ext>
          </a:extLst>
        </xdr:cNvPr>
        <xdr:cNvSpPr/>
      </xdr:nvSpPr>
      <xdr:spPr>
        <a:xfrm>
          <a:off x="3445190" y="49530000"/>
          <a:ext cx="1143000" cy="1143000"/>
        </a:xfrm>
        <a:prstGeom prst="foldedCorner">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GB" sz="1100">
              <a:solidFill>
                <a:schemeClr val="tx1"/>
              </a:solidFill>
            </a:rPr>
            <a:t>ADD BLURB + DIAGRAM - SUPPLIED BY PETE</a:t>
          </a:r>
        </a:p>
      </xdr:txBody>
    </xdr:sp>
    <xdr:clientData/>
  </xdr:twoCellAnchor>
  <xdr:twoCellAnchor>
    <xdr:from>
      <xdr:col>17</xdr:col>
      <xdr:colOff>99346</xdr:colOff>
      <xdr:row>221</xdr:row>
      <xdr:rowOff>7855</xdr:rowOff>
    </xdr:from>
    <xdr:to>
      <xdr:col>24</xdr:col>
      <xdr:colOff>99330</xdr:colOff>
      <xdr:row>222</xdr:row>
      <xdr:rowOff>0</xdr:rowOff>
    </xdr:to>
    <xdr:sp macro="" textlink="">
      <xdr:nvSpPr>
        <xdr:cNvPr id="277" name="TextBox 276">
          <a:extLst>
            <a:ext uri="{FF2B5EF4-FFF2-40B4-BE49-F238E27FC236}">
              <a16:creationId xmlns:a16="http://schemas.microsoft.com/office/drawing/2014/main" id="{E949220B-101D-4551-937B-0BA10823E05D}"/>
            </a:ext>
          </a:extLst>
        </xdr:cNvPr>
        <xdr:cNvSpPr txBox="1"/>
      </xdr:nvSpPr>
      <xdr:spPr>
        <a:xfrm>
          <a:off x="3334036" y="42110260"/>
          <a:ext cx="1333484" cy="180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700" b="0" i="0" u="none" strike="noStrike">
              <a:solidFill>
                <a:srgbClr val="2A2A2A"/>
              </a:solidFill>
              <a:latin typeface="Overpass" panose="00000500000000000000" pitchFamily="2" charset="0"/>
              <a:ea typeface="+mn-ea"/>
              <a:cs typeface="Calibri"/>
            </a:rPr>
            <a:t>Onsite</a:t>
          </a:r>
          <a:r>
            <a:rPr lang="en-US" sz="700" b="0" i="0" u="none" strike="noStrike" baseline="0">
              <a:solidFill>
                <a:srgbClr val="2A2A2A"/>
              </a:solidFill>
              <a:latin typeface="Overpass" panose="00000500000000000000" pitchFamily="2" charset="0"/>
              <a:ea typeface="+mn-ea"/>
              <a:cs typeface="Calibri"/>
            </a:rPr>
            <a:t> Works Commence</a:t>
          </a:r>
          <a:endParaRPr lang="en-US" sz="700" b="0" i="0" u="none" strike="noStrike">
            <a:solidFill>
              <a:srgbClr val="2A2A2A"/>
            </a:solidFill>
            <a:latin typeface="Overpass" panose="00000500000000000000" pitchFamily="2" charset="0"/>
            <a:ea typeface="+mn-ea"/>
            <a:cs typeface="Calibri"/>
          </a:endParaRPr>
        </a:p>
      </xdr:txBody>
    </xdr:sp>
    <xdr:clientData/>
  </xdr:twoCellAnchor>
  <xdr:twoCellAnchor>
    <xdr:from>
      <xdr:col>47</xdr:col>
      <xdr:colOff>0</xdr:colOff>
      <xdr:row>83</xdr:row>
      <xdr:rowOff>0</xdr:rowOff>
    </xdr:from>
    <xdr:to>
      <xdr:col>62</xdr:col>
      <xdr:colOff>0</xdr:colOff>
      <xdr:row>84</xdr:row>
      <xdr:rowOff>0</xdr:rowOff>
    </xdr:to>
    <xdr:sp macro="" textlink="'Linking Cells'!C88">
      <xdr:nvSpPr>
        <xdr:cNvPr id="278" name="TextBox 242">
          <a:extLst>
            <a:ext uri="{FF2B5EF4-FFF2-40B4-BE49-F238E27FC236}">
              <a16:creationId xmlns:a16="http://schemas.microsoft.com/office/drawing/2014/main" id="{FAA8FF0C-CAB7-4771-90EB-4FC263E01BAA}"/>
            </a:ext>
          </a:extLst>
        </xdr:cNvPr>
        <xdr:cNvSpPr txBox="1"/>
      </xdr:nvSpPr>
      <xdr:spPr>
        <a:xfrm>
          <a:off x="8953500" y="15811500"/>
          <a:ext cx="2857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04DC848-04AD-4A9D-A0F8-8FEAD04AE8BE}" type="TxLink">
            <a:rPr lang="en-US" sz="1000" b="1" i="0" u="none" strike="noStrike">
              <a:solidFill>
                <a:srgbClr val="27056C"/>
              </a:solidFill>
              <a:latin typeface="Overpass" panose="00000500000000000000" pitchFamily="2" charset="0"/>
              <a:ea typeface="+mn-ea"/>
              <a:cs typeface="Calibri"/>
            </a:rPr>
            <a:pPr marL="0" indent="0" algn="l"/>
            <a:t> </a:t>
          </a:fld>
          <a:endParaRPr lang="en-US" sz="1000" b="1" i="0" u="none" strike="noStrike">
            <a:solidFill>
              <a:srgbClr val="27056C"/>
            </a:solidFill>
            <a:latin typeface="Overpass" panose="00000500000000000000" pitchFamily="2" charset="0"/>
            <a:ea typeface="+mn-ea"/>
            <a:cs typeface="Calibri"/>
          </a:endParaRPr>
        </a:p>
      </xdr:txBody>
    </xdr:sp>
    <xdr:clientData/>
  </xdr:twoCellAnchor>
  <xdr:twoCellAnchor>
    <xdr:from>
      <xdr:col>66</xdr:col>
      <xdr:colOff>0</xdr:colOff>
      <xdr:row>83</xdr:row>
      <xdr:rowOff>0</xdr:rowOff>
    </xdr:from>
    <xdr:to>
      <xdr:col>77</xdr:col>
      <xdr:colOff>1</xdr:colOff>
      <xdr:row>83</xdr:row>
      <xdr:rowOff>180592</xdr:rowOff>
    </xdr:to>
    <xdr:sp macro="" textlink="'Linking Cells'!C89">
      <xdr:nvSpPr>
        <xdr:cNvPr id="279" name="TextBox 170">
          <a:extLst>
            <a:ext uri="{FF2B5EF4-FFF2-40B4-BE49-F238E27FC236}">
              <a16:creationId xmlns:a16="http://schemas.microsoft.com/office/drawing/2014/main" id="{CF54527C-7455-4550-9106-7BA9A327B31D}"/>
            </a:ext>
          </a:extLst>
        </xdr:cNvPr>
        <xdr:cNvSpPr txBox="1"/>
      </xdr:nvSpPr>
      <xdr:spPr>
        <a:xfrm>
          <a:off x="12573000" y="15811500"/>
          <a:ext cx="2095501" cy="1786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9A5727C-6C92-4914-84ED-8F17655A6456}" type="TxLink">
            <a:rPr lang="en-US" sz="1000" b="0" i="0" u="none" strike="noStrike">
              <a:solidFill>
                <a:srgbClr val="2A2A2A"/>
              </a:solidFill>
              <a:latin typeface="Overpass" pitchFamily="2" charset="77"/>
              <a:ea typeface="+mn-ea"/>
              <a:cs typeface="Calibri"/>
            </a:rPr>
            <a:pPr marL="0" indent="0" algn="l"/>
            <a:t>$7,120 incl. GST</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6</xdr:col>
      <xdr:colOff>15223</xdr:colOff>
      <xdr:row>158</xdr:row>
      <xdr:rowOff>25043</xdr:rowOff>
    </xdr:from>
    <xdr:to>
      <xdr:col>19</xdr:col>
      <xdr:colOff>15330</xdr:colOff>
      <xdr:row>159</xdr:row>
      <xdr:rowOff>23566</xdr:rowOff>
    </xdr:to>
    <xdr:sp macro="" textlink="">
      <xdr:nvSpPr>
        <xdr:cNvPr id="281" name="TextBox 280">
          <a:extLst>
            <a:ext uri="{FF2B5EF4-FFF2-40B4-BE49-F238E27FC236}">
              <a16:creationId xmlns:a16="http://schemas.microsoft.com/office/drawing/2014/main" id="{8A2714AF-F032-43F5-88C3-F9458C920E32}"/>
            </a:ext>
          </a:extLst>
        </xdr:cNvPr>
        <xdr:cNvSpPr txBox="1"/>
      </xdr:nvSpPr>
      <xdr:spPr>
        <a:xfrm>
          <a:off x="1134656" y="29503445"/>
          <a:ext cx="2425545" cy="185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TRENCHING</a:t>
          </a:r>
        </a:p>
      </xdr:txBody>
    </xdr:sp>
    <xdr:clientData/>
  </xdr:twoCellAnchor>
  <xdr:twoCellAnchor>
    <xdr:from>
      <xdr:col>19</xdr:col>
      <xdr:colOff>5389</xdr:colOff>
      <xdr:row>158</xdr:row>
      <xdr:rowOff>15223</xdr:rowOff>
    </xdr:from>
    <xdr:to>
      <xdr:col>36</xdr:col>
      <xdr:colOff>0</xdr:colOff>
      <xdr:row>159</xdr:row>
      <xdr:rowOff>13871</xdr:rowOff>
    </xdr:to>
    <xdr:sp macro="" textlink="'Linking Cells'!B103">
      <xdr:nvSpPr>
        <xdr:cNvPr id="282" name="TextBox 281">
          <a:extLst>
            <a:ext uri="{FF2B5EF4-FFF2-40B4-BE49-F238E27FC236}">
              <a16:creationId xmlns:a16="http://schemas.microsoft.com/office/drawing/2014/main" id="{842B68BF-A3D8-4A9E-834C-7F6FBE9717F2}"/>
            </a:ext>
          </a:extLst>
        </xdr:cNvPr>
        <xdr:cNvSpPr txBox="1"/>
      </xdr:nvSpPr>
      <xdr:spPr>
        <a:xfrm>
          <a:off x="3550260" y="29493625"/>
          <a:ext cx="3166338" cy="18522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9950B25-8C40-40CE-A5E5-C156D25194A2}" type="TxLink">
            <a:rPr lang="en-US" sz="1000" b="0" i="0" u="none" strike="noStrike">
              <a:solidFill>
                <a:srgbClr val="2A2A2A"/>
              </a:solidFill>
              <a:latin typeface="Overpass" pitchFamily="2" charset="77"/>
              <a:ea typeface="+mn-ea"/>
              <a:cs typeface="Calibri"/>
            </a:rPr>
            <a:pPr marL="0" indent="0" algn="l"/>
            <a:t>Not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19721</xdr:colOff>
      <xdr:row>175</xdr:row>
      <xdr:rowOff>418</xdr:rowOff>
    </xdr:from>
    <xdr:to>
      <xdr:col>36</xdr:col>
      <xdr:colOff>11787</xdr:colOff>
      <xdr:row>176</xdr:row>
      <xdr:rowOff>419</xdr:rowOff>
    </xdr:to>
    <xdr:sp macro="" textlink="'Linking Cells'!B100">
      <xdr:nvSpPr>
        <xdr:cNvPr id="33" name="TextBox 32">
          <a:extLst>
            <a:ext uri="{FF2B5EF4-FFF2-40B4-BE49-F238E27FC236}">
              <a16:creationId xmlns:a16="http://schemas.microsoft.com/office/drawing/2014/main" id="{929DFE47-409D-4CB6-9EDF-26CB81959708}"/>
            </a:ext>
          </a:extLst>
        </xdr:cNvPr>
        <xdr:cNvSpPr txBox="1"/>
      </xdr:nvSpPr>
      <xdr:spPr>
        <a:xfrm>
          <a:off x="3751164" y="34368975"/>
          <a:ext cx="3330726" cy="19639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178A86A-D8A5-4773-98F2-9D7FFE5F656B}" type="TxLink">
            <a:rPr lang="en-US" sz="1000" b="0" i="0" u="none" strike="noStrike">
              <a:solidFill>
                <a:srgbClr val="2A2A2A"/>
              </a:solidFill>
              <a:latin typeface="Overpass" pitchFamily="2" charset="77"/>
              <a:ea typeface="+mn-ea"/>
              <a:cs typeface="Calibri"/>
            </a:rPr>
            <a:pPr marL="0" indent="0" algn="l"/>
            <a:t>Bollards</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19</xdr:col>
      <xdr:colOff>11785</xdr:colOff>
      <xdr:row>176</xdr:row>
      <xdr:rowOff>419</xdr:rowOff>
    </xdr:from>
    <xdr:to>
      <xdr:col>36</xdr:col>
      <xdr:colOff>13538</xdr:colOff>
      <xdr:row>177</xdr:row>
      <xdr:rowOff>418</xdr:rowOff>
    </xdr:to>
    <xdr:sp macro="" textlink="">
      <xdr:nvSpPr>
        <xdr:cNvPr id="34" name="TextBox 33">
          <a:extLst>
            <a:ext uri="{FF2B5EF4-FFF2-40B4-BE49-F238E27FC236}">
              <a16:creationId xmlns:a16="http://schemas.microsoft.com/office/drawing/2014/main" id="{078AB716-D37D-436F-A72A-18169573E76B}"/>
            </a:ext>
          </a:extLst>
        </xdr:cNvPr>
        <xdr:cNvSpPr txBox="1"/>
      </xdr:nvSpPr>
      <xdr:spPr>
        <a:xfrm>
          <a:off x="3743228" y="34565367"/>
          <a:ext cx="3340413" cy="1963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Included</a:t>
          </a:r>
        </a:p>
      </xdr:txBody>
    </xdr:sp>
    <xdr:clientData/>
  </xdr:twoCellAnchor>
  <xdr:twoCellAnchor>
    <xdr:from>
      <xdr:col>7</xdr:col>
      <xdr:colOff>110760</xdr:colOff>
      <xdr:row>172</xdr:row>
      <xdr:rowOff>0</xdr:rowOff>
    </xdr:from>
    <xdr:to>
      <xdr:col>27</xdr:col>
      <xdr:colOff>97510</xdr:colOff>
      <xdr:row>173</xdr:row>
      <xdr:rowOff>196391</xdr:rowOff>
    </xdr:to>
    <xdr:sp macro="" textlink="">
      <xdr:nvSpPr>
        <xdr:cNvPr id="154" name="TextBox 153">
          <a:extLst>
            <a:ext uri="{FF2B5EF4-FFF2-40B4-BE49-F238E27FC236}">
              <a16:creationId xmlns:a16="http://schemas.microsoft.com/office/drawing/2014/main" id="{F1A6D03B-0417-42A0-B8ED-11C4B651E267}"/>
            </a:ext>
          </a:extLst>
        </xdr:cNvPr>
        <xdr:cNvSpPr txBox="1"/>
      </xdr:nvSpPr>
      <xdr:spPr>
        <a:xfrm>
          <a:off x="1485502" y="33779381"/>
          <a:ext cx="3914585" cy="39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Post</a:t>
          </a:r>
          <a:r>
            <a:rPr lang="en-GB" sz="2000" b="0" i="0" baseline="0">
              <a:solidFill>
                <a:srgbClr val="28066C"/>
              </a:solidFill>
              <a:latin typeface="Barlow" pitchFamily="2" charset="77"/>
            </a:rPr>
            <a:t> Installation </a:t>
          </a:r>
          <a:r>
            <a:rPr lang="en-GB" sz="2000" b="0" i="0">
              <a:solidFill>
                <a:srgbClr val="28066C"/>
              </a:solidFill>
              <a:latin typeface="Barlow" pitchFamily="2" charset="77"/>
            </a:rPr>
            <a:t>Safety</a:t>
          </a:r>
        </a:p>
      </xdr:txBody>
    </xdr:sp>
    <xdr:clientData/>
  </xdr:twoCellAnchor>
  <xdr:twoCellAnchor>
    <xdr:from>
      <xdr:col>6</xdr:col>
      <xdr:colOff>106700</xdr:colOff>
      <xdr:row>172</xdr:row>
      <xdr:rowOff>0</xdr:rowOff>
    </xdr:from>
    <xdr:to>
      <xdr:col>6</xdr:col>
      <xdr:colOff>106700</xdr:colOff>
      <xdr:row>173</xdr:row>
      <xdr:rowOff>196391</xdr:rowOff>
    </xdr:to>
    <xdr:cxnSp macro="">
      <xdr:nvCxnSpPr>
        <xdr:cNvPr id="155" name="Straight Connector 154">
          <a:extLst>
            <a:ext uri="{FF2B5EF4-FFF2-40B4-BE49-F238E27FC236}">
              <a16:creationId xmlns:a16="http://schemas.microsoft.com/office/drawing/2014/main" id="{5C83DB42-4885-40D5-806F-290BC312F852}"/>
            </a:ext>
          </a:extLst>
        </xdr:cNvPr>
        <xdr:cNvCxnSpPr/>
      </xdr:nvCxnSpPr>
      <xdr:spPr>
        <a:xfrm>
          <a:off x="1285051" y="33779381"/>
          <a:ext cx="0" cy="39278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11784</xdr:colOff>
      <xdr:row>174</xdr:row>
      <xdr:rowOff>192330</xdr:rowOff>
    </xdr:from>
    <xdr:to>
      <xdr:col>19</xdr:col>
      <xdr:colOff>15840</xdr:colOff>
      <xdr:row>175</xdr:row>
      <xdr:rowOff>189694</xdr:rowOff>
    </xdr:to>
    <xdr:sp macro="" textlink="">
      <xdr:nvSpPr>
        <xdr:cNvPr id="156" name="TextBox 155">
          <a:extLst>
            <a:ext uri="{FF2B5EF4-FFF2-40B4-BE49-F238E27FC236}">
              <a16:creationId xmlns:a16="http://schemas.microsoft.com/office/drawing/2014/main" id="{E35F0C99-657F-40C7-8A12-82679F23248A}"/>
            </a:ext>
          </a:extLst>
        </xdr:cNvPr>
        <xdr:cNvSpPr txBox="1"/>
      </xdr:nvSpPr>
      <xdr:spPr>
        <a:xfrm>
          <a:off x="1190135" y="34364495"/>
          <a:ext cx="2557148" cy="193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 STATION</a:t>
          </a:r>
        </a:p>
      </xdr:txBody>
    </xdr:sp>
    <xdr:clientData/>
  </xdr:twoCellAnchor>
  <xdr:twoCellAnchor>
    <xdr:from>
      <xdr:col>6</xdr:col>
      <xdr:colOff>11784</xdr:colOff>
      <xdr:row>175</xdr:row>
      <xdr:rowOff>192329</xdr:rowOff>
    </xdr:from>
    <xdr:to>
      <xdr:col>19</xdr:col>
      <xdr:colOff>15840</xdr:colOff>
      <xdr:row>176</xdr:row>
      <xdr:rowOff>194490</xdr:rowOff>
    </xdr:to>
    <xdr:sp macro="" textlink="">
      <xdr:nvSpPr>
        <xdr:cNvPr id="157" name="TextBox 156">
          <a:extLst>
            <a:ext uri="{FF2B5EF4-FFF2-40B4-BE49-F238E27FC236}">
              <a16:creationId xmlns:a16="http://schemas.microsoft.com/office/drawing/2014/main" id="{41D9B60D-F2B5-43D7-8522-10E62FC75F0C}"/>
            </a:ext>
          </a:extLst>
        </xdr:cNvPr>
        <xdr:cNvSpPr txBox="1"/>
      </xdr:nvSpPr>
      <xdr:spPr>
        <a:xfrm>
          <a:off x="1190135" y="34560886"/>
          <a:ext cx="2557148" cy="198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FIRE</a:t>
          </a:r>
          <a:r>
            <a:rPr lang="en-US" sz="1000" b="1" i="0" u="none" strike="noStrike" baseline="0">
              <a:solidFill>
                <a:srgbClr val="2A2A2A"/>
              </a:solidFill>
              <a:latin typeface="Overpass" panose="00000500000000000000" pitchFamily="2" charset="0"/>
              <a:ea typeface="+mn-ea"/>
              <a:cs typeface="Calibri"/>
            </a:rPr>
            <a:t> SUPPRESSION</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xdr:col>
      <xdr:colOff>0</xdr:colOff>
      <xdr:row>177</xdr:row>
      <xdr:rowOff>1829</xdr:rowOff>
    </xdr:from>
    <xdr:to>
      <xdr:col>19</xdr:col>
      <xdr:colOff>13875</xdr:colOff>
      <xdr:row>178</xdr:row>
      <xdr:rowOff>3988</xdr:rowOff>
    </xdr:to>
    <xdr:sp macro="" textlink="">
      <xdr:nvSpPr>
        <xdr:cNvPr id="283" name="TextBox 282">
          <a:extLst>
            <a:ext uri="{FF2B5EF4-FFF2-40B4-BE49-F238E27FC236}">
              <a16:creationId xmlns:a16="http://schemas.microsoft.com/office/drawing/2014/main" id="{78E7D29F-70CA-4193-B136-AF83D092A10F}"/>
            </a:ext>
          </a:extLst>
        </xdr:cNvPr>
        <xdr:cNvSpPr txBox="1"/>
      </xdr:nvSpPr>
      <xdr:spPr>
        <a:xfrm>
          <a:off x="1178351" y="34763169"/>
          <a:ext cx="2566967" cy="198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SLAB ESTABLISHMENT</a:t>
          </a:r>
        </a:p>
      </xdr:txBody>
    </xdr:sp>
    <xdr:clientData/>
  </xdr:twoCellAnchor>
  <xdr:twoCellAnchor>
    <xdr:from>
      <xdr:col>19</xdr:col>
      <xdr:colOff>11785</xdr:colOff>
      <xdr:row>177</xdr:row>
      <xdr:rowOff>418</xdr:rowOff>
    </xdr:from>
    <xdr:to>
      <xdr:col>36</xdr:col>
      <xdr:colOff>13538</xdr:colOff>
      <xdr:row>178</xdr:row>
      <xdr:rowOff>417</xdr:rowOff>
    </xdr:to>
    <xdr:sp macro="" textlink="'Linking Cells'!B104">
      <xdr:nvSpPr>
        <xdr:cNvPr id="284" name="TextBox 283">
          <a:extLst>
            <a:ext uri="{FF2B5EF4-FFF2-40B4-BE49-F238E27FC236}">
              <a16:creationId xmlns:a16="http://schemas.microsoft.com/office/drawing/2014/main" id="{7C7FB0DE-0EDB-471C-A4CA-3C138CEDF374}"/>
            </a:ext>
          </a:extLst>
        </xdr:cNvPr>
        <xdr:cNvSpPr txBox="1"/>
      </xdr:nvSpPr>
      <xdr:spPr>
        <a:xfrm>
          <a:off x="3743228" y="34761758"/>
          <a:ext cx="3340413" cy="1963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40B5DB-8313-4DCC-A7F0-29F12FDDF51E}" type="TxLink">
            <a:rPr lang="en-US" sz="1000" b="0" i="0" u="none" strike="noStrike">
              <a:solidFill>
                <a:srgbClr val="2A2A2A"/>
              </a:solidFill>
              <a:latin typeface="Overpass" pitchFamily="2" charset="77"/>
              <a:ea typeface="+mn-ea"/>
              <a:cs typeface="Calibri"/>
            </a:rPr>
            <a:pPr marL="0" indent="0" algn="l"/>
            <a:t>Not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47</xdr:col>
      <xdr:colOff>0</xdr:colOff>
      <xdr:row>90</xdr:row>
      <xdr:rowOff>0</xdr:rowOff>
    </xdr:from>
    <xdr:to>
      <xdr:col>77</xdr:col>
      <xdr:colOff>0</xdr:colOff>
      <xdr:row>92</xdr:row>
      <xdr:rowOff>0</xdr:rowOff>
    </xdr:to>
    <xdr:sp macro="" textlink="">
      <xdr:nvSpPr>
        <xdr:cNvPr id="285" name="TextBox 284">
          <a:hlinkClick xmlns:r="http://schemas.openxmlformats.org/officeDocument/2006/relationships" r:id="rId8"/>
          <a:extLst>
            <a:ext uri="{FF2B5EF4-FFF2-40B4-BE49-F238E27FC236}">
              <a16:creationId xmlns:a16="http://schemas.microsoft.com/office/drawing/2014/main" id="{2D1698FD-231E-41D2-9957-115544D34BC7}"/>
            </a:ext>
          </a:extLst>
        </xdr:cNvPr>
        <xdr:cNvSpPr txBox="1"/>
      </xdr:nvSpPr>
      <xdr:spPr>
        <a:xfrm>
          <a:off x="9141712" y="17505405"/>
          <a:ext cx="5835135" cy="389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*Under</a:t>
          </a:r>
          <a:r>
            <a:rPr lang="en-US" sz="1000" b="0" i="1" u="none" strike="noStrike" baseline="0">
              <a:solidFill>
                <a:srgbClr val="2A2A2A"/>
              </a:solidFill>
              <a:latin typeface="Overpass" panose="00000500000000000000" pitchFamily="2" charset="0"/>
              <a:ea typeface="+mn-ea"/>
              <a:cs typeface="Calibri"/>
            </a:rPr>
            <a:t> a payment plan, the length of the agreement can be matched to suit the period of the lease.</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clientData/>
  </xdr:twoCellAnchor>
  <xdr:twoCellAnchor>
    <xdr:from>
      <xdr:col>6</xdr:col>
      <xdr:colOff>1244</xdr:colOff>
      <xdr:row>135</xdr:row>
      <xdr:rowOff>37986</xdr:rowOff>
    </xdr:from>
    <xdr:to>
      <xdr:col>19</xdr:col>
      <xdr:colOff>0</xdr:colOff>
      <xdr:row>136</xdr:row>
      <xdr:rowOff>37986</xdr:rowOff>
    </xdr:to>
    <xdr:sp macro="" textlink="">
      <xdr:nvSpPr>
        <xdr:cNvPr id="286" name="TextBox 285">
          <a:extLst>
            <a:ext uri="{FF2B5EF4-FFF2-40B4-BE49-F238E27FC236}">
              <a16:creationId xmlns:a16="http://schemas.microsoft.com/office/drawing/2014/main" id="{90BD8281-4618-4ECD-B9A5-BDDA40675C90}"/>
            </a:ext>
          </a:extLst>
        </xdr:cNvPr>
        <xdr:cNvSpPr txBox="1"/>
      </xdr:nvSpPr>
      <xdr:spPr>
        <a:xfrm>
          <a:off x="1120677" y="25225228"/>
          <a:ext cx="2424194" cy="18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UNDERGROUND SCANNING</a:t>
          </a:r>
        </a:p>
      </xdr:txBody>
    </xdr:sp>
    <xdr:clientData/>
  </xdr:twoCellAnchor>
  <xdr:twoCellAnchor>
    <xdr:from>
      <xdr:col>17</xdr:col>
      <xdr:colOff>183032</xdr:colOff>
      <xdr:row>196</xdr:row>
      <xdr:rowOff>151547</xdr:rowOff>
    </xdr:from>
    <xdr:to>
      <xdr:col>22</xdr:col>
      <xdr:colOff>180975</xdr:colOff>
      <xdr:row>197</xdr:row>
      <xdr:rowOff>151546</xdr:rowOff>
    </xdr:to>
    <xdr:sp macro="" textlink="'Linking Cells'!B112">
      <xdr:nvSpPr>
        <xdr:cNvPr id="27" name="TextBox 26">
          <a:extLst>
            <a:ext uri="{FF2B5EF4-FFF2-40B4-BE49-F238E27FC236}">
              <a16:creationId xmlns:a16="http://schemas.microsoft.com/office/drawing/2014/main" id="{C618E398-69B4-4F40-BF2C-201844204997}"/>
            </a:ext>
          </a:extLst>
        </xdr:cNvPr>
        <xdr:cNvSpPr txBox="1"/>
      </xdr:nvSpPr>
      <xdr:spPr>
        <a:xfrm>
          <a:off x="3421532" y="37489547"/>
          <a:ext cx="950443"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01A6C39-B8E5-4687-B4B2-EFBA8E24BC0B}" type="TxLink">
            <a:rPr lang="en-US" sz="1000" b="0" i="0" u="none" strike="noStrike">
              <a:solidFill>
                <a:srgbClr val="2A2A2A"/>
              </a:solidFill>
              <a:latin typeface="Overpass" pitchFamily="2" charset="77"/>
              <a:ea typeface="+mn-ea"/>
              <a:cs typeface="Calibri"/>
            </a:rPr>
            <a:pPr marL="0" indent="0" algn="l"/>
            <a:t> $4,880.53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9077</xdr:colOff>
      <xdr:row>196</xdr:row>
      <xdr:rowOff>126724</xdr:rowOff>
    </xdr:from>
    <xdr:to>
      <xdr:col>18</xdr:col>
      <xdr:colOff>11582</xdr:colOff>
      <xdr:row>197</xdr:row>
      <xdr:rowOff>123455</xdr:rowOff>
    </xdr:to>
    <xdr:sp macro="" textlink="'Linking Cells'!A112">
      <xdr:nvSpPr>
        <xdr:cNvPr id="28" name="TextBox 27">
          <a:extLst>
            <a:ext uri="{FF2B5EF4-FFF2-40B4-BE49-F238E27FC236}">
              <a16:creationId xmlns:a16="http://schemas.microsoft.com/office/drawing/2014/main" id="{7A300637-EAC3-4A79-8991-60C22D628C2E}"/>
            </a:ext>
          </a:extLst>
        </xdr:cNvPr>
        <xdr:cNvSpPr txBox="1"/>
      </xdr:nvSpPr>
      <xdr:spPr>
        <a:xfrm>
          <a:off x="1152077" y="37464724"/>
          <a:ext cx="2288505" cy="187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2D0E8A3-A494-4DE3-97D1-4FDB3884B9C3}" type="TxLink">
            <a:rPr lang="en-US" sz="1000" b="1" i="0" u="none" strike="noStrike">
              <a:solidFill>
                <a:srgbClr val="2A2A2A"/>
              </a:solidFill>
              <a:latin typeface="Overpass"/>
              <a:ea typeface="+mn-ea"/>
              <a:cs typeface="Calibri"/>
            </a:rPr>
            <a:pPr marL="0" indent="0" algn="l"/>
            <a:t>10% Order Battery</a:t>
          </a:fld>
          <a:endParaRPr lang="en-US" sz="1000" b="1" i="0" u="none" strike="noStrike">
            <a:solidFill>
              <a:srgbClr val="2A2A2A"/>
            </a:solidFill>
            <a:latin typeface="Overpass"/>
            <a:ea typeface="+mn-ea"/>
            <a:cs typeface="Calibri"/>
          </a:endParaRPr>
        </a:p>
      </xdr:txBody>
    </xdr:sp>
    <xdr:clientData/>
  </xdr:twoCellAnchor>
  <xdr:twoCellAnchor>
    <xdr:from>
      <xdr:col>6</xdr:col>
      <xdr:colOff>0</xdr:colOff>
      <xdr:row>170</xdr:row>
      <xdr:rowOff>0</xdr:rowOff>
    </xdr:from>
    <xdr:to>
      <xdr:col>36</xdr:col>
      <xdr:colOff>8576</xdr:colOff>
      <xdr:row>170</xdr:row>
      <xdr:rowOff>0</xdr:rowOff>
    </xdr:to>
    <xdr:cxnSp macro="">
      <xdr:nvCxnSpPr>
        <xdr:cNvPr id="30" name="Straight Connector 16">
          <a:extLst>
            <a:ext uri="{FF2B5EF4-FFF2-40B4-BE49-F238E27FC236}">
              <a16:creationId xmlns:a16="http://schemas.microsoft.com/office/drawing/2014/main" id="{76ED19F6-4361-8241-9178-1FE575843E1A}"/>
            </a:ext>
          </a:extLst>
        </xdr:cNvPr>
        <xdr:cNvCxnSpPr/>
      </xdr:nvCxnSpPr>
      <xdr:spPr>
        <a:xfrm>
          <a:off x="1178351" y="33386598"/>
          <a:ext cx="5900328"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5720</xdr:colOff>
      <xdr:row>148</xdr:row>
      <xdr:rowOff>12964</xdr:rowOff>
    </xdr:from>
    <xdr:to>
      <xdr:col>58</xdr:col>
      <xdr:colOff>186571</xdr:colOff>
      <xdr:row>149</xdr:row>
      <xdr:rowOff>49098</xdr:rowOff>
    </xdr:to>
    <xdr:sp macro="" textlink="'Linking Cells'!C106">
      <xdr:nvSpPr>
        <xdr:cNvPr id="31" name="TextBox 30">
          <a:extLst>
            <a:ext uri="{FF2B5EF4-FFF2-40B4-BE49-F238E27FC236}">
              <a16:creationId xmlns:a16="http://schemas.microsoft.com/office/drawing/2014/main" id="{D94FE86B-C9C7-4601-9092-EBDB740596EC}"/>
            </a:ext>
          </a:extLst>
        </xdr:cNvPr>
        <xdr:cNvSpPr txBox="1"/>
      </xdr:nvSpPr>
      <xdr:spPr>
        <a:xfrm>
          <a:off x="8774612" y="27625644"/>
          <a:ext cx="2233145" cy="22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E9FD421-1EFB-4108-AABE-293B0A0781C9}"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60</xdr:col>
      <xdr:colOff>16418</xdr:colOff>
      <xdr:row>148</xdr:row>
      <xdr:rowOff>12965</xdr:rowOff>
    </xdr:from>
    <xdr:to>
      <xdr:col>77</xdr:col>
      <xdr:colOff>9819</xdr:colOff>
      <xdr:row>149</xdr:row>
      <xdr:rowOff>20255</xdr:rowOff>
    </xdr:to>
    <xdr:sp macro="" textlink="'Linking Cells'!D106">
      <xdr:nvSpPr>
        <xdr:cNvPr id="40" name="TextBox 39">
          <a:extLst>
            <a:ext uri="{FF2B5EF4-FFF2-40B4-BE49-F238E27FC236}">
              <a16:creationId xmlns:a16="http://schemas.microsoft.com/office/drawing/2014/main" id="{0568858B-3BA1-4A58-A100-42C51937C3D9}"/>
            </a:ext>
          </a:extLst>
        </xdr:cNvPr>
        <xdr:cNvSpPr txBox="1"/>
      </xdr:nvSpPr>
      <xdr:spPr>
        <a:xfrm>
          <a:off x="11210748" y="27625645"/>
          <a:ext cx="3165128" cy="19386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B428C3-0204-4228-8467-EC17C90673B6}"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47</xdr:col>
      <xdr:colOff>10827</xdr:colOff>
      <xdr:row>149</xdr:row>
      <xdr:rowOff>8250</xdr:rowOff>
    </xdr:from>
    <xdr:to>
      <xdr:col>59</xdr:col>
      <xdr:colOff>5106</xdr:colOff>
      <xdr:row>150</xdr:row>
      <xdr:rowOff>44385</xdr:rowOff>
    </xdr:to>
    <xdr:sp macro="" textlink="'Linking Cells'!A107">
      <xdr:nvSpPr>
        <xdr:cNvPr id="29" name="TextBox 28">
          <a:extLst>
            <a:ext uri="{FF2B5EF4-FFF2-40B4-BE49-F238E27FC236}">
              <a16:creationId xmlns:a16="http://schemas.microsoft.com/office/drawing/2014/main" id="{65EF7A74-BD80-4001-9D1A-F240236AF871}"/>
            </a:ext>
          </a:extLst>
        </xdr:cNvPr>
        <xdr:cNvSpPr txBox="1"/>
      </xdr:nvSpPr>
      <xdr:spPr>
        <a:xfrm>
          <a:off x="8779719" y="27807503"/>
          <a:ext cx="2233145" cy="22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DFCBA92-47C3-4DBD-9AC3-A3B9BB318347}" type="TxLink">
            <a:rPr lang="en-US" sz="1000" b="1" i="0" u="none" strike="noStrike">
              <a:solidFill>
                <a:srgbClr val="2A2A2A"/>
              </a:solidFill>
              <a:latin typeface="Overpass" panose="00000500000000000000" pitchFamily="2" charset="0"/>
              <a:ea typeface="+mn-ea"/>
              <a:cs typeface="Calibri"/>
            </a:rPr>
            <a:pPr marL="0" indent="0" algn="l"/>
            <a:t> </a:t>
          </a:fld>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60</xdr:col>
      <xdr:colOff>21524</xdr:colOff>
      <xdr:row>149</xdr:row>
      <xdr:rowOff>27890</xdr:rowOff>
    </xdr:from>
    <xdr:to>
      <xdr:col>77</xdr:col>
      <xdr:colOff>14925</xdr:colOff>
      <xdr:row>150</xdr:row>
      <xdr:rowOff>35181</xdr:rowOff>
    </xdr:to>
    <xdr:sp macro="" textlink="'Linking Cells'!B107">
      <xdr:nvSpPr>
        <xdr:cNvPr id="46" name="TextBox 45">
          <a:extLst>
            <a:ext uri="{FF2B5EF4-FFF2-40B4-BE49-F238E27FC236}">
              <a16:creationId xmlns:a16="http://schemas.microsoft.com/office/drawing/2014/main" id="{0670A3B1-9DE5-4984-A7D0-1600A66CCB46}"/>
            </a:ext>
          </a:extLst>
        </xdr:cNvPr>
        <xdr:cNvSpPr txBox="1"/>
      </xdr:nvSpPr>
      <xdr:spPr>
        <a:xfrm>
          <a:off x="11215854" y="27827143"/>
          <a:ext cx="3165128" cy="19386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C40933-98B5-4E17-A7C1-5A4E505B1D0F}"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clientData/>
  </xdr:twoCellAnchor>
  <xdr:twoCellAnchor>
    <xdr:from>
      <xdr:col>6</xdr:col>
      <xdr:colOff>1476</xdr:colOff>
      <xdr:row>155</xdr:row>
      <xdr:rowOff>9527</xdr:rowOff>
    </xdr:from>
    <xdr:to>
      <xdr:col>19</xdr:col>
      <xdr:colOff>2683</xdr:colOff>
      <xdr:row>156</xdr:row>
      <xdr:rowOff>9526</xdr:rowOff>
    </xdr:to>
    <xdr:sp macro="" textlink="">
      <xdr:nvSpPr>
        <xdr:cNvPr id="50" name="TextBox 49">
          <a:extLst>
            <a:ext uri="{FF2B5EF4-FFF2-40B4-BE49-F238E27FC236}">
              <a16:creationId xmlns:a16="http://schemas.microsoft.com/office/drawing/2014/main" id="{95044B87-3EBC-FFA6-B1EC-EA61F7D79A14}"/>
            </a:ext>
          </a:extLst>
        </xdr:cNvPr>
        <xdr:cNvSpPr txBox="1"/>
      </xdr:nvSpPr>
      <xdr:spPr>
        <a:xfrm>
          <a:off x="1144476" y="29537027"/>
          <a:ext cx="2477707"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BESS</a:t>
          </a:r>
          <a:r>
            <a:rPr lang="en-US" sz="1000" b="1" i="0" u="none" strike="noStrike" baseline="0">
              <a:solidFill>
                <a:srgbClr val="2A2A2A"/>
              </a:solidFill>
              <a:latin typeface="Overpass" panose="00000500000000000000" pitchFamily="2" charset="0"/>
              <a:ea typeface="+mn-ea"/>
              <a:cs typeface="Calibri"/>
            </a:rPr>
            <a:t> MAIN SWITCH</a:t>
          </a:r>
          <a:endParaRPr lang="en-US" sz="1000" b="1" i="0" u="none" strike="noStrike">
            <a:solidFill>
              <a:srgbClr val="2A2A2A"/>
            </a:solidFill>
            <a:latin typeface="Overpass" panose="00000500000000000000" pitchFamily="2" charset="0"/>
            <a:ea typeface="+mn-ea"/>
            <a:cs typeface="Calibri"/>
          </a:endParaRPr>
        </a:p>
      </xdr:txBody>
    </xdr:sp>
    <xdr:clientData/>
  </xdr:twoCellAnchor>
  <xdr:twoCellAnchor>
    <xdr:from>
      <xdr:col>19</xdr:col>
      <xdr:colOff>1335</xdr:colOff>
      <xdr:row>155</xdr:row>
      <xdr:rowOff>0</xdr:rowOff>
    </xdr:from>
    <xdr:to>
      <xdr:col>36</xdr:col>
      <xdr:colOff>0</xdr:colOff>
      <xdr:row>155</xdr:row>
      <xdr:rowOff>181150</xdr:rowOff>
    </xdr:to>
    <xdr:sp macro="" textlink="'Linking Cells'!B98">
      <xdr:nvSpPr>
        <xdr:cNvPr id="52" name="TextBox 51">
          <a:extLst>
            <a:ext uri="{FF2B5EF4-FFF2-40B4-BE49-F238E27FC236}">
              <a16:creationId xmlns:a16="http://schemas.microsoft.com/office/drawing/2014/main" id="{838011D5-8E37-70F9-7D3C-6D001BA19A05}"/>
            </a:ext>
          </a:extLst>
        </xdr:cNvPr>
        <xdr:cNvSpPr txBox="1"/>
      </xdr:nvSpPr>
      <xdr:spPr>
        <a:xfrm>
          <a:off x="3620835" y="29527500"/>
          <a:ext cx="3237165" cy="18115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B3B1975-CB91-47FE-82D2-C0AC274BDF8A}" type="TxLink">
            <a:rPr lang="en-US" sz="1000" b="0" i="0" u="none" strike="noStrike">
              <a:solidFill>
                <a:srgbClr val="2A2A2A"/>
              </a:solidFill>
              <a:latin typeface="Overpass" pitchFamily="2" charset="77"/>
              <a:ea typeface="+mn-ea"/>
              <a:cs typeface="Calibri"/>
            </a:rPr>
            <a:pPr marL="0" indent="0" algn="l"/>
            <a:t>New AC Solar Main Switch Included</a:t>
          </a:fld>
          <a:endParaRPr lang="en-US" sz="1000" b="0" i="0" u="none" strike="noStrike">
            <a:solidFill>
              <a:srgbClr val="2A2A2A"/>
            </a:solidFill>
            <a:latin typeface="Overpass" pitchFamily="2" charset="77"/>
            <a:ea typeface="+mn-ea"/>
            <a:cs typeface="Calibri"/>
          </a:endParaRPr>
        </a:p>
      </xdr:txBody>
    </xdr:sp>
    <xdr:clientData/>
  </xdr:twoCellAnchor>
  <xdr:twoCellAnchor>
    <xdr:from>
      <xdr:col>19</xdr:col>
      <xdr:colOff>9525</xdr:colOff>
      <xdr:row>177</xdr:row>
      <xdr:rowOff>180975</xdr:rowOff>
    </xdr:from>
    <xdr:to>
      <xdr:col>31</xdr:col>
      <xdr:colOff>8220</xdr:colOff>
      <xdr:row>178</xdr:row>
      <xdr:rowOff>173896</xdr:rowOff>
    </xdr:to>
    <xdr:sp macro="" textlink="">
      <xdr:nvSpPr>
        <xdr:cNvPr id="53" name="TextBox 52">
          <a:extLst>
            <a:ext uri="{FF2B5EF4-FFF2-40B4-BE49-F238E27FC236}">
              <a16:creationId xmlns:a16="http://schemas.microsoft.com/office/drawing/2014/main" id="{AE0643F1-6DB9-4631-8D1B-3E160673F89C}"/>
            </a:ext>
          </a:extLst>
        </xdr:cNvPr>
        <xdr:cNvSpPr txBox="1"/>
      </xdr:nvSpPr>
      <xdr:spPr>
        <a:xfrm>
          <a:off x="3629025" y="33899475"/>
          <a:ext cx="2284695" cy="18342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itchFamily="2" charset="77"/>
              <a:ea typeface="+mn-ea"/>
              <a:cs typeface="Calibri"/>
            </a:rPr>
            <a:t>Not Included</a:t>
          </a:r>
        </a:p>
      </xdr:txBody>
    </xdr:sp>
    <xdr:clientData/>
  </xdr:twoCellAnchor>
  <xdr:twoCellAnchor>
    <xdr:from>
      <xdr:col>6</xdr:col>
      <xdr:colOff>6804</xdr:colOff>
      <xdr:row>178</xdr:row>
      <xdr:rowOff>4082</xdr:rowOff>
    </xdr:from>
    <xdr:to>
      <xdr:col>19</xdr:col>
      <xdr:colOff>20384</xdr:colOff>
      <xdr:row>179</xdr:row>
      <xdr:rowOff>527</xdr:rowOff>
    </xdr:to>
    <xdr:sp macro="" textlink="">
      <xdr:nvSpPr>
        <xdr:cNvPr id="102" name="TextBox 101">
          <a:extLst>
            <a:ext uri="{FF2B5EF4-FFF2-40B4-BE49-F238E27FC236}">
              <a16:creationId xmlns:a16="http://schemas.microsoft.com/office/drawing/2014/main" id="{0D801C63-19C2-4A3D-BDD8-50ECCF0F26C2}"/>
            </a:ext>
          </a:extLst>
        </xdr:cNvPr>
        <xdr:cNvSpPr txBox="1"/>
      </xdr:nvSpPr>
      <xdr:spPr>
        <a:xfrm>
          <a:off x="1149804" y="33913082"/>
          <a:ext cx="2490080" cy="186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FIRE</a:t>
          </a:r>
          <a:r>
            <a:rPr lang="en-US" sz="1000" b="1" i="0" u="none" strike="noStrike" baseline="0">
              <a:solidFill>
                <a:srgbClr val="2A2A2A"/>
              </a:solidFill>
              <a:latin typeface="Overpass" panose="00000500000000000000" pitchFamily="2" charset="0"/>
              <a:ea typeface="+mn-ea"/>
              <a:cs typeface="Calibri"/>
            </a:rPr>
            <a:t> BMS INTEGRATION</a:t>
          </a:r>
          <a:endParaRPr lang="en-US" sz="1000" b="1" i="0" u="none" strike="noStrike">
            <a:solidFill>
              <a:srgbClr val="2A2A2A"/>
            </a:solidFill>
            <a:latin typeface="Overpass" panose="00000500000000000000" pitchFamily="2" charset="0"/>
            <a:ea typeface="+mn-ea"/>
            <a:cs typeface="Calibri"/>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62</xdr:col>
      <xdr:colOff>1</xdr:colOff>
      <xdr:row>70</xdr:row>
      <xdr:rowOff>0</xdr:rowOff>
    </xdr:from>
    <xdr:ext cx="2686742" cy="564445"/>
    <xdr:sp macro="" textlink="EV!E4">
      <xdr:nvSpPr>
        <xdr:cNvPr id="22" name="TextBox 21">
          <a:extLst>
            <a:ext uri="{FF2B5EF4-FFF2-40B4-BE49-F238E27FC236}">
              <a16:creationId xmlns:a16="http://schemas.microsoft.com/office/drawing/2014/main" id="{00000000-0008-0000-0700-000016000000}"/>
            </a:ext>
          </a:extLst>
        </xdr:cNvPr>
        <xdr:cNvSpPr txBox="1"/>
      </xdr:nvSpPr>
      <xdr:spPr>
        <a:xfrm>
          <a:off x="11665186" y="13170370"/>
          <a:ext cx="2686742" cy="56444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r"/>
          <a:fld id="{494FB8C8-1A9B-3244-BC03-D3A124CB0408}" type="TxLink">
            <a:rPr lang="en-US" sz="1400" b="0" i="0" u="none" strike="noStrike">
              <a:solidFill>
                <a:srgbClr val="2A2A2A"/>
              </a:solidFill>
              <a:latin typeface="Overpass" pitchFamily="2" charset="77"/>
              <a:ea typeface="Calibri"/>
              <a:cs typeface="Calibri"/>
            </a:rPr>
            <a:pPr marL="0" indent="0" algn="r"/>
            <a:t>$9,475.00</a:t>
          </a:fld>
          <a:endParaRPr lang="en-AU" sz="1400" b="0" i="0" u="none" strike="noStrike">
            <a:solidFill>
              <a:srgbClr val="2A2A2A"/>
            </a:solidFill>
            <a:latin typeface="Overpass" pitchFamily="2" charset="77"/>
            <a:ea typeface="Calibri"/>
            <a:cs typeface="Calibri"/>
          </a:endParaRPr>
        </a:p>
      </xdr:txBody>
    </xdr:sp>
    <xdr:clientData/>
  </xdr:oneCellAnchor>
  <xdr:twoCellAnchor editAs="oneCell">
    <xdr:from>
      <xdr:col>86</xdr:col>
      <xdr:colOff>355202</xdr:colOff>
      <xdr:row>680</xdr:row>
      <xdr:rowOff>134833</xdr:rowOff>
    </xdr:from>
    <xdr:to>
      <xdr:col>102</xdr:col>
      <xdr:colOff>132023</xdr:colOff>
      <xdr:row>692</xdr:row>
      <xdr:rowOff>145898</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6573102" y="129674833"/>
          <a:ext cx="2993731" cy="2298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72</xdr:col>
      <xdr:colOff>113270</xdr:colOff>
      <xdr:row>380</xdr:row>
      <xdr:rowOff>5149</xdr:rowOff>
    </xdr:from>
    <xdr:to>
      <xdr:col>74</xdr:col>
      <xdr:colOff>123243</xdr:colOff>
      <xdr:row>381</xdr:row>
      <xdr:rowOff>5150</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3829270" y="7239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72</xdr:col>
      <xdr:colOff>108121</xdr:colOff>
      <xdr:row>440</xdr:row>
      <xdr:rowOff>7723</xdr:rowOff>
    </xdr:from>
    <xdr:to>
      <xdr:col>74</xdr:col>
      <xdr:colOff>118094</xdr:colOff>
      <xdr:row>441</xdr:row>
      <xdr:rowOff>7724</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13824121" y="8382772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72</xdr:col>
      <xdr:colOff>114249</xdr:colOff>
      <xdr:row>500</xdr:row>
      <xdr:rowOff>5222</xdr:rowOff>
    </xdr:from>
    <xdr:to>
      <xdr:col>74</xdr:col>
      <xdr:colOff>124222</xdr:colOff>
      <xdr:row>501</xdr:row>
      <xdr:rowOff>5223</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13830249" y="95255222"/>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72</xdr:col>
      <xdr:colOff>121538</xdr:colOff>
      <xdr:row>560</xdr:row>
      <xdr:rowOff>20668</xdr:rowOff>
    </xdr:from>
    <xdr:to>
      <xdr:col>74</xdr:col>
      <xdr:colOff>131511</xdr:colOff>
      <xdr:row>561</xdr:row>
      <xdr:rowOff>20669</xdr:rowOff>
    </xdr:to>
    <xdr:sp macro="" textlink="">
      <xdr:nvSpPr>
        <xdr:cNvPr id="6" name="Rectangle 5">
          <a:extLst>
            <a:ext uri="{FF2B5EF4-FFF2-40B4-BE49-F238E27FC236}">
              <a16:creationId xmlns:a16="http://schemas.microsoft.com/office/drawing/2014/main" id="{00000000-0008-0000-0700-000006000000}"/>
            </a:ext>
          </a:extLst>
        </xdr:cNvPr>
        <xdr:cNvSpPr/>
      </xdr:nvSpPr>
      <xdr:spPr>
        <a:xfrm>
          <a:off x="13837538" y="10670066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127013</xdr:colOff>
      <xdr:row>559</xdr:row>
      <xdr:rowOff>187888</xdr:rowOff>
    </xdr:from>
    <xdr:to>
      <xdr:col>34</xdr:col>
      <xdr:colOff>136986</xdr:colOff>
      <xdr:row>560</xdr:row>
      <xdr:rowOff>187889</xdr:rowOff>
    </xdr:to>
    <xdr:sp macro="" textlink="">
      <xdr:nvSpPr>
        <xdr:cNvPr id="7" name="Rectangle 6">
          <a:extLst>
            <a:ext uri="{FF2B5EF4-FFF2-40B4-BE49-F238E27FC236}">
              <a16:creationId xmlns:a16="http://schemas.microsoft.com/office/drawing/2014/main" id="{00000000-0008-0000-0700-000007000000}"/>
            </a:ext>
          </a:extLst>
        </xdr:cNvPr>
        <xdr:cNvSpPr/>
      </xdr:nvSpPr>
      <xdr:spPr>
        <a:xfrm>
          <a:off x="6223013" y="106677388"/>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128826</xdr:colOff>
      <xdr:row>499</xdr:row>
      <xdr:rowOff>184553</xdr:rowOff>
    </xdr:from>
    <xdr:to>
      <xdr:col>34</xdr:col>
      <xdr:colOff>138799</xdr:colOff>
      <xdr:row>500</xdr:row>
      <xdr:rowOff>184554</xdr:rowOff>
    </xdr:to>
    <xdr:sp macro="" textlink="">
      <xdr:nvSpPr>
        <xdr:cNvPr id="8" name="Rectangle 7">
          <a:extLst>
            <a:ext uri="{FF2B5EF4-FFF2-40B4-BE49-F238E27FC236}">
              <a16:creationId xmlns:a16="http://schemas.microsoft.com/office/drawing/2014/main" id="{00000000-0008-0000-0700-000008000000}"/>
            </a:ext>
          </a:extLst>
        </xdr:cNvPr>
        <xdr:cNvSpPr/>
      </xdr:nvSpPr>
      <xdr:spPr>
        <a:xfrm>
          <a:off x="6224826" y="95244053"/>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126142</xdr:colOff>
      <xdr:row>440</xdr:row>
      <xdr:rowOff>5149</xdr:rowOff>
    </xdr:from>
    <xdr:to>
      <xdr:col>34</xdr:col>
      <xdr:colOff>136115</xdr:colOff>
      <xdr:row>441</xdr:row>
      <xdr:rowOff>5150</xdr:rowOff>
    </xdr:to>
    <xdr:sp macro="" textlink="">
      <xdr:nvSpPr>
        <xdr:cNvPr id="9" name="Rectangle 8">
          <a:extLst>
            <a:ext uri="{FF2B5EF4-FFF2-40B4-BE49-F238E27FC236}">
              <a16:creationId xmlns:a16="http://schemas.microsoft.com/office/drawing/2014/main" id="{00000000-0008-0000-0700-000009000000}"/>
            </a:ext>
          </a:extLst>
        </xdr:cNvPr>
        <xdr:cNvSpPr/>
      </xdr:nvSpPr>
      <xdr:spPr>
        <a:xfrm>
          <a:off x="6222142" y="83825149"/>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32</xdr:col>
      <xdr:colOff>131291</xdr:colOff>
      <xdr:row>380</xdr:row>
      <xdr:rowOff>20595</xdr:rowOff>
    </xdr:from>
    <xdr:to>
      <xdr:col>34</xdr:col>
      <xdr:colOff>141264</xdr:colOff>
      <xdr:row>381</xdr:row>
      <xdr:rowOff>20596</xdr:rowOff>
    </xdr:to>
    <xdr:sp macro="" textlink="">
      <xdr:nvSpPr>
        <xdr:cNvPr id="10" name="Rectangle 9">
          <a:extLst>
            <a:ext uri="{FF2B5EF4-FFF2-40B4-BE49-F238E27FC236}">
              <a16:creationId xmlns:a16="http://schemas.microsoft.com/office/drawing/2014/main" id="{00000000-0008-0000-0700-00000A000000}"/>
            </a:ext>
          </a:extLst>
        </xdr:cNvPr>
        <xdr:cNvSpPr/>
      </xdr:nvSpPr>
      <xdr:spPr>
        <a:xfrm>
          <a:off x="6227291" y="72410595"/>
          <a:ext cx="390973" cy="190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72</xdr:col>
      <xdr:colOff>41294</xdr:colOff>
      <xdr:row>379</xdr:row>
      <xdr:rowOff>151999</xdr:rowOff>
    </xdr:from>
    <xdr:to>
      <xdr:col>74</xdr:col>
      <xdr:colOff>153106</xdr:colOff>
      <xdr:row>381</xdr:row>
      <xdr:rowOff>77456</xdr:rowOff>
    </xdr:to>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13757294" y="72351499"/>
          <a:ext cx="492812"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0D52B7-B838-4034-95FA-6B351E989F6E}" type="TxLink">
            <a:rPr lang="en-US" sz="950" b="0" i="0" u="none" strike="noStrike">
              <a:solidFill>
                <a:schemeClr val="accent3">
                  <a:lumMod val="50000"/>
                </a:schemeClr>
              </a:solidFill>
              <a:latin typeface="Overpass" panose="00000500000000000000" pitchFamily="2" charset="0"/>
              <a:cs typeface="Calibri"/>
            </a:rPr>
            <a:pPr/>
            <a:t> </a:t>
          </a:fld>
          <a:endParaRPr lang="en-AU" sz="950">
            <a:solidFill>
              <a:schemeClr val="accent3">
                <a:lumMod val="50000"/>
              </a:schemeClr>
            </a:solidFill>
            <a:latin typeface="Overpass" panose="00000500000000000000" pitchFamily="2" charset="0"/>
          </a:endParaRPr>
        </a:p>
      </xdr:txBody>
    </xdr:sp>
    <xdr:clientData/>
  </xdr:twoCellAnchor>
  <xdr:twoCellAnchor>
    <xdr:from>
      <xdr:col>16</xdr:col>
      <xdr:colOff>100035</xdr:colOff>
      <xdr:row>195</xdr:row>
      <xdr:rowOff>180344</xdr:rowOff>
    </xdr:from>
    <xdr:to>
      <xdr:col>33</xdr:col>
      <xdr:colOff>49745</xdr:colOff>
      <xdr:row>197</xdr:row>
      <xdr:rowOff>83758</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3148035" y="37327844"/>
          <a:ext cx="3188210" cy="284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6F33DF7-3517-6940-8A4A-02D97D430CC8}" type="TxLink">
            <a:rPr lang="en-US" sz="900" b="0" i="0" u="none" strike="noStrike">
              <a:solidFill>
                <a:srgbClr val="646464"/>
              </a:solidFill>
              <a:latin typeface="Overpass" panose="00000500000000000000" pitchFamily="2" charset="0"/>
              <a:ea typeface="+mn-ea"/>
              <a:cs typeface="Calibri"/>
            </a:rPr>
            <a:pPr marL="0" indent="0" algn="l"/>
            <a:t> </a:t>
          </a:fld>
          <a:endParaRPr lang="en-AU" sz="900" b="0" i="0" u="none" strike="noStrike">
            <a:solidFill>
              <a:srgbClr val="646464"/>
            </a:solidFill>
            <a:latin typeface="Overpass" panose="00000500000000000000" pitchFamily="2" charset="0"/>
            <a:ea typeface="+mn-ea"/>
            <a:cs typeface="Calibri"/>
          </a:endParaRPr>
        </a:p>
      </xdr:txBody>
    </xdr:sp>
    <xdr:clientData/>
  </xdr:twoCellAnchor>
  <xdr:twoCellAnchor>
    <xdr:from>
      <xdr:col>16</xdr:col>
      <xdr:colOff>106831</xdr:colOff>
      <xdr:row>197</xdr:row>
      <xdr:rowOff>95736</xdr:rowOff>
    </xdr:from>
    <xdr:to>
      <xdr:col>33</xdr:col>
      <xdr:colOff>56541</xdr:colOff>
      <xdr:row>199</xdr:row>
      <xdr:rowOff>0</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3154831" y="37624236"/>
          <a:ext cx="3188210" cy="2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516991A-2D50-0C46-9938-B049ADB72B3C}" type="TxLink">
            <a:rPr lang="en-US" sz="900" b="0" i="0" u="none" strike="noStrike">
              <a:solidFill>
                <a:srgbClr val="646464"/>
              </a:solidFill>
              <a:latin typeface="Overpass" panose="00000500000000000000" pitchFamily="2" charset="0"/>
              <a:ea typeface="+mn-ea"/>
              <a:cs typeface="Calibri"/>
            </a:rPr>
            <a:pPr marL="0" indent="0" algn="l"/>
            <a:t> </a:t>
          </a:fld>
          <a:endParaRPr lang="en-AU" sz="900" b="0" i="0" u="none" strike="noStrike">
            <a:solidFill>
              <a:srgbClr val="646464"/>
            </a:solidFill>
            <a:latin typeface="Overpass" panose="00000500000000000000" pitchFamily="2" charset="0"/>
            <a:ea typeface="+mn-ea"/>
            <a:cs typeface="Calibri"/>
          </a:endParaRPr>
        </a:p>
      </xdr:txBody>
    </xdr:sp>
    <xdr:clientData/>
  </xdr:twoCellAnchor>
  <xdr:twoCellAnchor>
    <xdr:from>
      <xdr:col>16</xdr:col>
      <xdr:colOff>100035</xdr:colOff>
      <xdr:row>199</xdr:row>
      <xdr:rowOff>0</xdr:rowOff>
    </xdr:from>
    <xdr:to>
      <xdr:col>33</xdr:col>
      <xdr:colOff>49745</xdr:colOff>
      <xdr:row>200</xdr:row>
      <xdr:rowOff>93474</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3148035" y="37909500"/>
          <a:ext cx="3188210" cy="283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5EF5FC8-D5AE-714E-B7B1-98FD016916B7}" type="TxLink">
            <a:rPr lang="en-US" sz="900" b="0" i="0" u="none" strike="noStrike">
              <a:solidFill>
                <a:srgbClr val="646464"/>
              </a:solidFill>
              <a:latin typeface="Overpass" panose="00000500000000000000" pitchFamily="2" charset="0"/>
              <a:ea typeface="+mn-ea"/>
              <a:cs typeface="Calibri"/>
            </a:rPr>
            <a:pPr marL="0" indent="0" algn="l"/>
            <a:t> </a:t>
          </a:fld>
          <a:endParaRPr lang="en-AU" sz="900" b="0" i="0" u="none" strike="noStrike">
            <a:solidFill>
              <a:srgbClr val="646464"/>
            </a:solidFill>
            <a:latin typeface="Overpass" panose="00000500000000000000" pitchFamily="2" charset="0"/>
            <a:ea typeface="+mn-ea"/>
            <a:cs typeface="Calibri"/>
          </a:endParaRPr>
        </a:p>
      </xdr:txBody>
    </xdr:sp>
    <xdr:clientData/>
  </xdr:twoCellAnchor>
  <xdr:twoCellAnchor>
    <xdr:from>
      <xdr:col>55</xdr:col>
      <xdr:colOff>1602</xdr:colOff>
      <xdr:row>111</xdr:row>
      <xdr:rowOff>192723</xdr:rowOff>
    </xdr:from>
    <xdr:to>
      <xdr:col>60</xdr:col>
      <xdr:colOff>1</xdr:colOff>
      <xdr:row>113</xdr:row>
      <xdr:rowOff>0</xdr:rowOff>
    </xdr:to>
    <xdr:sp macro="" textlink="'EV Chargers Backend'!B28">
      <xdr:nvSpPr>
        <xdr:cNvPr id="15" name="TextBox 14">
          <a:extLst>
            <a:ext uri="{FF2B5EF4-FFF2-40B4-BE49-F238E27FC236}">
              <a16:creationId xmlns:a16="http://schemas.microsoft.com/office/drawing/2014/main" id="{00000000-0008-0000-0700-00000F000000}"/>
            </a:ext>
          </a:extLst>
        </xdr:cNvPr>
        <xdr:cNvSpPr txBox="1"/>
      </xdr:nvSpPr>
      <xdr:spPr>
        <a:xfrm>
          <a:off x="10479102" y="21338223"/>
          <a:ext cx="950899" cy="1882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31EEAF2-FBE5-9843-9798-F41B1F751D65}" type="TxLink">
            <a:rPr lang="en-US" sz="1000" b="0" i="0" u="none" strike="noStrike">
              <a:solidFill>
                <a:srgbClr val="2A2A2A"/>
              </a:solidFill>
              <a:latin typeface="Overpass" pitchFamily="2" charset="77"/>
              <a:ea typeface="Calibri"/>
              <a:cs typeface="Calibri"/>
            </a:rPr>
            <a:pPr marL="0" indent="0" algn="l"/>
            <a:t>$4,737.50</a:t>
          </a:fld>
          <a:endParaRPr lang="en-AU" sz="1000" b="0" i="0" u="none" strike="noStrike">
            <a:solidFill>
              <a:srgbClr val="2A2A2A"/>
            </a:solidFill>
            <a:latin typeface="Overpass" pitchFamily="2" charset="77"/>
            <a:ea typeface="Calibri"/>
            <a:cs typeface="Calibri"/>
          </a:endParaRPr>
        </a:p>
      </xdr:txBody>
    </xdr:sp>
    <xdr:clientData/>
  </xdr:twoCellAnchor>
  <xdr:twoCellAnchor>
    <xdr:from>
      <xdr:col>54</xdr:col>
      <xdr:colOff>192723</xdr:colOff>
      <xdr:row>113</xdr:row>
      <xdr:rowOff>1</xdr:rowOff>
    </xdr:from>
    <xdr:to>
      <xdr:col>60</xdr:col>
      <xdr:colOff>1</xdr:colOff>
      <xdr:row>114</xdr:row>
      <xdr:rowOff>0</xdr:rowOff>
    </xdr:to>
    <xdr:sp macro="" textlink="'EV Chargers Backend'!B29">
      <xdr:nvSpPr>
        <xdr:cNvPr id="16" name="TextBox 15">
          <a:extLst>
            <a:ext uri="{FF2B5EF4-FFF2-40B4-BE49-F238E27FC236}">
              <a16:creationId xmlns:a16="http://schemas.microsoft.com/office/drawing/2014/main" id="{00000000-0008-0000-0700-000010000000}"/>
            </a:ext>
          </a:extLst>
        </xdr:cNvPr>
        <xdr:cNvSpPr txBox="1"/>
      </xdr:nvSpPr>
      <xdr:spPr>
        <a:xfrm>
          <a:off x="10479723" y="21526501"/>
          <a:ext cx="950278" cy="19049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0886927-7806-2E44-A95B-4E6A5790AB5A}" type="TxLink">
            <a:rPr lang="en-US" sz="1000" b="0" i="0" u="none" strike="noStrike">
              <a:solidFill>
                <a:srgbClr val="2A2A2A"/>
              </a:solidFill>
              <a:latin typeface="Overpass" pitchFamily="2" charset="77"/>
              <a:ea typeface="Calibri"/>
              <a:cs typeface="Calibri"/>
            </a:rPr>
            <a:pPr marL="0" indent="0" algn="l"/>
            <a:t>$4,737.50</a:t>
          </a:fld>
          <a:endParaRPr lang="en-AU" sz="1000" b="0" i="0" u="none" strike="noStrike">
            <a:solidFill>
              <a:srgbClr val="2A2A2A"/>
            </a:solidFill>
            <a:latin typeface="Overpass" pitchFamily="2" charset="77"/>
            <a:ea typeface="Calibri"/>
            <a:cs typeface="Calibri"/>
          </a:endParaRPr>
        </a:p>
      </xdr:txBody>
    </xdr:sp>
    <xdr:clientData/>
  </xdr:twoCellAnchor>
  <xdr:twoCellAnchor>
    <xdr:from>
      <xdr:col>59</xdr:col>
      <xdr:colOff>140762</xdr:colOff>
      <xdr:row>165</xdr:row>
      <xdr:rowOff>69752</xdr:rowOff>
    </xdr:from>
    <xdr:to>
      <xdr:col>76</xdr:col>
      <xdr:colOff>2768</xdr:colOff>
      <xdr:row>166</xdr:row>
      <xdr:rowOff>148301</xdr:rowOff>
    </xdr:to>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11380262" y="31502252"/>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5064683-6B13-44C9-876C-D9ED65E4E1F6}"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xdr:from>
      <xdr:col>59</xdr:col>
      <xdr:colOff>140762</xdr:colOff>
      <xdr:row>166</xdr:row>
      <xdr:rowOff>165002</xdr:rowOff>
    </xdr:from>
    <xdr:to>
      <xdr:col>76</xdr:col>
      <xdr:colOff>2768</xdr:colOff>
      <xdr:row>168</xdr:row>
      <xdr:rowOff>53051</xdr:rowOff>
    </xdr:to>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11380262" y="31788002"/>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98BAAF7-0EAA-4E72-B222-7CD502CBF14C}"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xdr:from>
      <xdr:col>59</xdr:col>
      <xdr:colOff>140762</xdr:colOff>
      <xdr:row>168</xdr:row>
      <xdr:rowOff>69752</xdr:rowOff>
    </xdr:from>
    <xdr:to>
      <xdr:col>76</xdr:col>
      <xdr:colOff>2768</xdr:colOff>
      <xdr:row>169</xdr:row>
      <xdr:rowOff>148301</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1380262" y="32073752"/>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5D791C7-01CF-477D-B7C0-5827416F7E64}"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xdr:from>
      <xdr:col>59</xdr:col>
      <xdr:colOff>140762</xdr:colOff>
      <xdr:row>169</xdr:row>
      <xdr:rowOff>165002</xdr:rowOff>
    </xdr:from>
    <xdr:to>
      <xdr:col>76</xdr:col>
      <xdr:colOff>2768</xdr:colOff>
      <xdr:row>171</xdr:row>
      <xdr:rowOff>53051</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1380262" y="32359502"/>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B57E2B4-E397-4970-B424-64A5950F45AE}"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xdr:from>
      <xdr:col>59</xdr:col>
      <xdr:colOff>150287</xdr:colOff>
      <xdr:row>163</xdr:row>
      <xdr:rowOff>160769</xdr:rowOff>
    </xdr:from>
    <xdr:to>
      <xdr:col>76</xdr:col>
      <xdr:colOff>12293</xdr:colOff>
      <xdr:row>165</xdr:row>
      <xdr:rowOff>48818</xdr:rowOff>
    </xdr:to>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11389787" y="31212269"/>
          <a:ext cx="3100506" cy="26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74FE244-A64E-45C8-B2EE-5B6D017534EC}" type="TxLink">
            <a:rPr lang="en-US" sz="1000" b="0" i="0" u="none" strike="noStrike">
              <a:solidFill>
                <a:srgbClr val="646464"/>
              </a:solidFill>
              <a:latin typeface="Overpass" panose="00000500000000000000" pitchFamily="2" charset="0"/>
              <a:ea typeface="+mn-ea"/>
              <a:cs typeface="Calibri"/>
            </a:rPr>
            <a:pPr marL="0" indent="0" algn="l"/>
            <a:t> </a:t>
          </a:fld>
          <a:endParaRPr lang="en-AU" sz="700" b="0" i="0" u="none" strike="noStrike">
            <a:solidFill>
              <a:srgbClr val="646464"/>
            </a:solidFill>
            <a:latin typeface="Overpass" panose="00000500000000000000" pitchFamily="2" charset="0"/>
            <a:ea typeface="+mn-ea"/>
            <a:cs typeface="Calibri"/>
          </a:endParaRPr>
        </a:p>
      </xdr:txBody>
    </xdr:sp>
    <xdr:clientData/>
  </xdr:twoCellAnchor>
  <xdr:twoCellAnchor editAs="absolute">
    <xdr:from>
      <xdr:col>47</xdr:col>
      <xdr:colOff>65832</xdr:colOff>
      <xdr:row>5</xdr:row>
      <xdr:rowOff>39288</xdr:rowOff>
    </xdr:from>
    <xdr:to>
      <xdr:col>56</xdr:col>
      <xdr:colOff>125315</xdr:colOff>
      <xdr:row>8</xdr:row>
      <xdr:rowOff>37396</xdr:rowOff>
    </xdr:to>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9019332" y="991788"/>
          <a:ext cx="1773983" cy="569608"/>
        </a:xfrm>
        <a:prstGeom prst="rect">
          <a:avLst/>
        </a:prstGeom>
      </xdr:spPr>
    </xdr:pic>
    <xdr:clientData/>
  </xdr:twoCellAnchor>
  <xdr:twoCellAnchor editAs="absolute">
    <xdr:from>
      <xdr:col>63</xdr:col>
      <xdr:colOff>57856</xdr:colOff>
      <xdr:row>6</xdr:row>
      <xdr:rowOff>38033</xdr:rowOff>
    </xdr:from>
    <xdr:to>
      <xdr:col>78</xdr:col>
      <xdr:colOff>46084</xdr:colOff>
      <xdr:row>51</xdr:row>
      <xdr:rowOff>72611</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11907379" y="1166922"/>
          <a:ext cx="2812356" cy="8501245"/>
        </a:xfrm>
        <a:prstGeom prst="rect">
          <a:avLst/>
        </a:prstGeom>
      </xdr:spPr>
    </xdr:pic>
    <xdr:clientData/>
  </xdr:twoCellAnchor>
  <xdr:twoCellAnchor>
    <xdr:from>
      <xdr:col>6</xdr:col>
      <xdr:colOff>0</xdr:colOff>
      <xdr:row>66</xdr:row>
      <xdr:rowOff>0</xdr:rowOff>
    </xdr:from>
    <xdr:to>
      <xdr:col>25</xdr:col>
      <xdr:colOff>172216</xdr:colOff>
      <xdr:row>68</xdr:row>
      <xdr:rowOff>4567</xdr:rowOff>
    </xdr:to>
    <xdr:sp macro="" textlink="">
      <xdr:nvSpPr>
        <xdr:cNvPr id="25" name="TextBox 15">
          <a:extLst>
            <a:ext uri="{FF2B5EF4-FFF2-40B4-BE49-F238E27FC236}">
              <a16:creationId xmlns:a16="http://schemas.microsoft.com/office/drawing/2014/main" id="{00000000-0008-0000-0700-000019000000}"/>
            </a:ext>
          </a:extLst>
        </xdr:cNvPr>
        <xdr:cNvSpPr txBox="1"/>
      </xdr:nvSpPr>
      <xdr:spPr>
        <a:xfrm>
          <a:off x="1143000" y="12573000"/>
          <a:ext cx="3791716" cy="385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PROJECT DETAILS</a:t>
          </a:r>
        </a:p>
      </xdr:txBody>
    </xdr:sp>
    <xdr:clientData/>
  </xdr:twoCellAnchor>
  <xdr:twoCellAnchor>
    <xdr:from>
      <xdr:col>6</xdr:col>
      <xdr:colOff>0</xdr:colOff>
      <xdr:row>79</xdr:row>
      <xdr:rowOff>7798</xdr:rowOff>
    </xdr:from>
    <xdr:to>
      <xdr:col>36</xdr:col>
      <xdr:colOff>2</xdr:colOff>
      <xdr:row>93</xdr:row>
      <xdr:rowOff>2</xdr:rowOff>
    </xdr:to>
    <xdr:grpSp>
      <xdr:nvGrpSpPr>
        <xdr:cNvPr id="26" name="Group 25">
          <a:extLst>
            <a:ext uri="{FF2B5EF4-FFF2-40B4-BE49-F238E27FC236}">
              <a16:creationId xmlns:a16="http://schemas.microsoft.com/office/drawing/2014/main" id="{00000000-0008-0000-0700-00001A000000}"/>
            </a:ext>
          </a:extLst>
        </xdr:cNvPr>
        <xdr:cNvGrpSpPr/>
      </xdr:nvGrpSpPr>
      <xdr:grpSpPr>
        <a:xfrm>
          <a:off x="1143000" y="15059203"/>
          <a:ext cx="5715002" cy="2657299"/>
          <a:chOff x="1143000" y="15057296"/>
          <a:chExt cx="5715002" cy="2659106"/>
        </a:xfrm>
      </xdr:grpSpPr>
      <xdr:sp macro="" textlink="'EV Chargers Backend'!B22">
        <xdr:nvSpPr>
          <xdr:cNvPr id="27" name="TextBox 26">
            <a:extLst>
              <a:ext uri="{FF2B5EF4-FFF2-40B4-BE49-F238E27FC236}">
                <a16:creationId xmlns:a16="http://schemas.microsoft.com/office/drawing/2014/main" id="{00000000-0008-0000-0700-00001B000000}"/>
              </a:ext>
            </a:extLst>
          </xdr:cNvPr>
          <xdr:cNvSpPr txBox="1"/>
        </xdr:nvSpPr>
        <xdr:spPr>
          <a:xfrm>
            <a:off x="4000501" y="15057296"/>
            <a:ext cx="2857500" cy="3731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8061AB2-A8EF-904D-B67A-D0C4B92CF740}" type="TxLink">
              <a:rPr lang="en-US" sz="1400" b="0" i="0" u="none" strike="noStrike">
                <a:solidFill>
                  <a:srgbClr val="2A2A2A"/>
                </a:solidFill>
                <a:latin typeface="Overpass" pitchFamily="2" charset="77"/>
                <a:ea typeface="Calibri"/>
                <a:cs typeface="Calibri"/>
              </a:rPr>
              <a:pPr marL="0" indent="0" algn="l"/>
              <a:t>Wall Mounted</a:t>
            </a:fld>
            <a:endParaRPr lang="en-AU" sz="1400" b="0" i="0" u="none" strike="noStrike">
              <a:solidFill>
                <a:srgbClr val="2A2A2A"/>
              </a:solidFill>
              <a:latin typeface="Overpass" pitchFamily="2" charset="77"/>
              <a:ea typeface="Calibri"/>
              <a:cs typeface="Calibri"/>
            </a:endParaRPr>
          </a:p>
        </xdr:txBody>
      </xdr:sp>
      <xdr:sp macro="" textlink="'EV Chargers Backend'!B23">
        <xdr:nvSpPr>
          <xdr:cNvPr id="28" name="TextBox 27">
            <a:extLst>
              <a:ext uri="{FF2B5EF4-FFF2-40B4-BE49-F238E27FC236}">
                <a16:creationId xmlns:a16="http://schemas.microsoft.com/office/drawing/2014/main" id="{00000000-0008-0000-0700-00001C000000}"/>
              </a:ext>
            </a:extLst>
          </xdr:cNvPr>
          <xdr:cNvSpPr txBox="1"/>
        </xdr:nvSpPr>
        <xdr:spPr>
          <a:xfrm>
            <a:off x="4000502" y="15439897"/>
            <a:ext cx="2857500" cy="371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BC63787-424D-EF4E-93B9-BAD19E9133A7}" type="TxLink">
              <a:rPr lang="en-US" sz="1400" b="0" i="0" u="none" strike="noStrike">
                <a:solidFill>
                  <a:srgbClr val="2A2A2A"/>
                </a:solidFill>
                <a:latin typeface="Overpass" pitchFamily="2" charset="77"/>
                <a:ea typeface="Calibri"/>
                <a:cs typeface="Calibri"/>
              </a:rPr>
              <a:pPr marL="0" indent="0" algn="l"/>
              <a:t>1 x EVOS 22kW</a:t>
            </a:fld>
            <a:endParaRPr lang="en-AU" sz="1400" b="0" i="0" u="none" strike="noStrike">
              <a:solidFill>
                <a:srgbClr val="2A2A2A"/>
              </a:solidFill>
              <a:latin typeface="Overpass" pitchFamily="2" charset="77"/>
              <a:ea typeface="Calibri"/>
              <a:cs typeface="Calibri"/>
            </a:endParaRPr>
          </a:p>
        </xdr:txBody>
      </xdr:sp>
      <xdr:sp macro="" textlink="'EV Chargers Backend'!B24">
        <xdr:nvSpPr>
          <xdr:cNvPr id="29" name="TextBox 28">
            <a:extLst>
              <a:ext uri="{FF2B5EF4-FFF2-40B4-BE49-F238E27FC236}">
                <a16:creationId xmlns:a16="http://schemas.microsoft.com/office/drawing/2014/main" id="{00000000-0008-0000-0700-00001D000000}"/>
              </a:ext>
            </a:extLst>
          </xdr:cNvPr>
          <xdr:cNvSpPr txBox="1"/>
        </xdr:nvSpPr>
        <xdr:spPr>
          <a:xfrm>
            <a:off x="4000501" y="15820897"/>
            <a:ext cx="2857500" cy="371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4CC39A4-818D-1F46-97B3-AA782205B2FA}" type="TxLink">
              <a:rPr lang="en-US" sz="1400" b="0" i="0" u="none" strike="noStrike">
                <a:solidFill>
                  <a:srgbClr val="2A2A2A"/>
                </a:solidFill>
                <a:latin typeface="Overpass" pitchFamily="2" charset="77"/>
                <a:ea typeface="Calibri"/>
                <a:cs typeface="Calibri"/>
              </a:rPr>
              <a:pPr marL="0" indent="0" algn="l"/>
              <a:t>2 Years Subscription</a:t>
            </a:fld>
            <a:endParaRPr lang="en-AU" sz="1400" b="0" i="0" u="none" strike="noStrike">
              <a:solidFill>
                <a:srgbClr val="2A2A2A"/>
              </a:solidFill>
              <a:latin typeface="Overpass" pitchFamily="2" charset="77"/>
              <a:ea typeface="Calibri"/>
              <a:cs typeface="Calibri"/>
            </a:endParaRPr>
          </a:p>
        </xdr:txBody>
      </xdr:sp>
      <xdr:sp macro="" textlink="'EV Chargers Backend'!B25">
        <xdr:nvSpPr>
          <xdr:cNvPr id="30" name="TextBox 29">
            <a:extLst>
              <a:ext uri="{FF2B5EF4-FFF2-40B4-BE49-F238E27FC236}">
                <a16:creationId xmlns:a16="http://schemas.microsoft.com/office/drawing/2014/main" id="{00000000-0008-0000-0700-00001E000000}"/>
              </a:ext>
            </a:extLst>
          </xdr:cNvPr>
          <xdr:cNvSpPr txBox="1"/>
        </xdr:nvSpPr>
        <xdr:spPr>
          <a:xfrm>
            <a:off x="4000501" y="16201896"/>
            <a:ext cx="2857500" cy="371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31445A9-898E-C141-91C2-A886193DEB21}" type="TxLink">
              <a:rPr lang="en-US" sz="1400" b="0" i="0" u="none" strike="noStrike">
                <a:solidFill>
                  <a:srgbClr val="2A2A2A"/>
                </a:solidFill>
                <a:latin typeface="Overpass" pitchFamily="2" charset="77"/>
                <a:ea typeface="Calibri"/>
                <a:cs typeface="Calibri"/>
              </a:rPr>
              <a:pPr marL="0" indent="0" algn="l"/>
              <a:t>20m</a:t>
            </a:fld>
            <a:endParaRPr lang="en-AU" sz="1400" b="0" i="0" u="none" strike="noStrike">
              <a:solidFill>
                <a:srgbClr val="2A2A2A"/>
              </a:solidFill>
              <a:latin typeface="Overpass" pitchFamily="2" charset="77"/>
              <a:ea typeface="Calibri"/>
              <a:cs typeface="Calibri"/>
            </a:endParaRPr>
          </a:p>
        </xdr:txBody>
      </xdr:sp>
      <xdr:sp macro="" textlink="'EV Chargers Backend'!B26">
        <xdr:nvSpPr>
          <xdr:cNvPr id="31" name="TextBox 30">
            <a:extLst>
              <a:ext uri="{FF2B5EF4-FFF2-40B4-BE49-F238E27FC236}">
                <a16:creationId xmlns:a16="http://schemas.microsoft.com/office/drawing/2014/main" id="{00000000-0008-0000-0700-00001F000000}"/>
              </a:ext>
            </a:extLst>
          </xdr:cNvPr>
          <xdr:cNvSpPr txBox="1"/>
        </xdr:nvSpPr>
        <xdr:spPr>
          <a:xfrm>
            <a:off x="4000501" y="16579783"/>
            <a:ext cx="2857500" cy="37461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9BFB387-EE49-8D46-A026-F7A8E66F55D4}" type="TxLink">
              <a:rPr lang="en-US" sz="1400" b="0" i="0" u="none" strike="noStrike">
                <a:solidFill>
                  <a:srgbClr val="2A2A2A"/>
                </a:solidFill>
                <a:latin typeface="Overpass" pitchFamily="2" charset="77"/>
                <a:ea typeface="Calibri"/>
                <a:cs typeface="Calibri"/>
              </a:rPr>
              <a:pPr marL="0" indent="0" algn="l"/>
              <a:t>Included - 5</a:t>
            </a:fld>
            <a:endParaRPr lang="en-AU" sz="1400" b="0" i="0" u="none" strike="noStrike">
              <a:solidFill>
                <a:srgbClr val="2A2A2A"/>
              </a:solidFill>
              <a:latin typeface="Overpass" pitchFamily="2" charset="77"/>
              <a:ea typeface="Calibri"/>
              <a:cs typeface="Calibri"/>
            </a:endParaRPr>
          </a:p>
        </xdr:txBody>
      </xdr:sp>
      <xdr:sp macro="" textlink="EV!C10">
        <xdr:nvSpPr>
          <xdr:cNvPr id="32" name="TextBox 31">
            <a:extLst>
              <a:ext uri="{FF2B5EF4-FFF2-40B4-BE49-F238E27FC236}">
                <a16:creationId xmlns:a16="http://schemas.microsoft.com/office/drawing/2014/main" id="{00000000-0008-0000-0700-000020000000}"/>
              </a:ext>
            </a:extLst>
          </xdr:cNvPr>
          <xdr:cNvSpPr txBox="1"/>
        </xdr:nvSpPr>
        <xdr:spPr>
          <a:xfrm>
            <a:off x="4000501" y="16963897"/>
            <a:ext cx="2857500" cy="37150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E06020-7CC9-CF42-8AEF-A5FB8F094896}" type="TxLink">
              <a:rPr lang="en-US" sz="1400" b="0" i="0" u="none" strike="noStrike">
                <a:solidFill>
                  <a:srgbClr val="2A2A2A"/>
                </a:solidFill>
                <a:latin typeface="Overpass" pitchFamily="2" charset="77"/>
                <a:ea typeface="Calibri"/>
                <a:cs typeface="Calibri"/>
              </a:rPr>
              <a:pPr marL="0" indent="0" algn="l"/>
              <a:t>Excluded</a:t>
            </a:fld>
            <a:endParaRPr lang="en-AU" sz="1400" b="0" i="0" u="none" strike="noStrike">
              <a:solidFill>
                <a:srgbClr val="2A2A2A"/>
              </a:solidFill>
              <a:latin typeface="Overpass" pitchFamily="2" charset="77"/>
              <a:ea typeface="Calibri"/>
              <a:cs typeface="Calibri"/>
            </a:endParaRPr>
          </a:p>
        </xdr:txBody>
      </xdr:sp>
      <xdr:sp macro="" textlink="">
        <xdr:nvSpPr>
          <xdr:cNvPr id="33" name="TextBox 32">
            <a:extLst>
              <a:ext uri="{FF2B5EF4-FFF2-40B4-BE49-F238E27FC236}">
                <a16:creationId xmlns:a16="http://schemas.microsoft.com/office/drawing/2014/main" id="{00000000-0008-0000-0700-000021000000}"/>
              </a:ext>
            </a:extLst>
          </xdr:cNvPr>
          <xdr:cNvSpPr txBox="1"/>
        </xdr:nvSpPr>
        <xdr:spPr>
          <a:xfrm>
            <a:off x="4000501" y="17344897"/>
            <a:ext cx="2857500" cy="37150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rgbClr val="2A2A2A"/>
                </a:solidFill>
                <a:latin typeface="Overpass" pitchFamily="2" charset="77"/>
                <a:ea typeface="Calibri"/>
                <a:cs typeface="Calibri"/>
              </a:rPr>
              <a:t>Included - 1 Year</a:t>
            </a:r>
          </a:p>
        </xdr:txBody>
      </xdr:sp>
      <xdr:sp macro="" textlink="">
        <xdr:nvSpPr>
          <xdr:cNvPr id="34" name="TextBox 195">
            <a:extLst>
              <a:ext uri="{FF2B5EF4-FFF2-40B4-BE49-F238E27FC236}">
                <a16:creationId xmlns:a16="http://schemas.microsoft.com/office/drawing/2014/main" id="{00000000-0008-0000-0700-000022000000}"/>
              </a:ext>
            </a:extLst>
          </xdr:cNvPr>
          <xdr:cNvSpPr txBox="1"/>
        </xdr:nvSpPr>
        <xdr:spPr>
          <a:xfrm>
            <a:off x="1143000" y="15057296"/>
            <a:ext cx="26670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INSTALL TYPE</a:t>
            </a:r>
          </a:p>
        </xdr:txBody>
      </xdr:sp>
      <xdr:sp macro="" textlink="">
        <xdr:nvSpPr>
          <xdr:cNvPr id="35" name="TextBox 195">
            <a:extLst>
              <a:ext uri="{FF2B5EF4-FFF2-40B4-BE49-F238E27FC236}">
                <a16:creationId xmlns:a16="http://schemas.microsoft.com/office/drawing/2014/main" id="{00000000-0008-0000-0700-000023000000}"/>
              </a:ext>
            </a:extLst>
          </xdr:cNvPr>
          <xdr:cNvSpPr txBox="1"/>
        </xdr:nvSpPr>
        <xdr:spPr>
          <a:xfrm>
            <a:off x="1143000" y="15438296"/>
            <a:ext cx="26670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CHARGER</a:t>
            </a:r>
          </a:p>
        </xdr:txBody>
      </xdr:sp>
      <xdr:sp macro="" textlink="">
        <xdr:nvSpPr>
          <xdr:cNvPr id="36" name="TextBox 195">
            <a:extLst>
              <a:ext uri="{FF2B5EF4-FFF2-40B4-BE49-F238E27FC236}">
                <a16:creationId xmlns:a16="http://schemas.microsoft.com/office/drawing/2014/main" id="{00000000-0008-0000-0700-000024000000}"/>
              </a:ext>
            </a:extLst>
          </xdr:cNvPr>
          <xdr:cNvSpPr txBox="1"/>
        </xdr:nvSpPr>
        <xdr:spPr>
          <a:xfrm>
            <a:off x="1143000" y="15819296"/>
            <a:ext cx="26670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SOFTWARE INCLUDED</a:t>
            </a:r>
          </a:p>
        </xdr:txBody>
      </xdr:sp>
      <xdr:sp macro="" textlink="">
        <xdr:nvSpPr>
          <xdr:cNvPr id="37" name="TextBox 195">
            <a:extLst>
              <a:ext uri="{FF2B5EF4-FFF2-40B4-BE49-F238E27FC236}">
                <a16:creationId xmlns:a16="http://schemas.microsoft.com/office/drawing/2014/main" id="{00000000-0008-0000-0700-000025000000}"/>
              </a:ext>
            </a:extLst>
          </xdr:cNvPr>
          <xdr:cNvSpPr txBox="1"/>
        </xdr:nvSpPr>
        <xdr:spPr>
          <a:xfrm>
            <a:off x="1143000" y="16200297"/>
            <a:ext cx="28575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DISTANCE TO SWITCHBOARD</a:t>
            </a:r>
          </a:p>
        </xdr:txBody>
      </xdr:sp>
      <xdr:sp macro="" textlink="">
        <xdr:nvSpPr>
          <xdr:cNvPr id="38" name="TextBox 195">
            <a:extLst>
              <a:ext uri="{FF2B5EF4-FFF2-40B4-BE49-F238E27FC236}">
                <a16:creationId xmlns:a16="http://schemas.microsoft.com/office/drawing/2014/main" id="{00000000-0008-0000-0700-000026000000}"/>
              </a:ext>
            </a:extLst>
          </xdr:cNvPr>
          <xdr:cNvSpPr txBox="1"/>
        </xdr:nvSpPr>
        <xdr:spPr>
          <a:xfrm>
            <a:off x="1143000" y="16579785"/>
            <a:ext cx="2667000" cy="374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TRENCHING</a:t>
            </a:r>
          </a:p>
        </xdr:txBody>
      </xdr:sp>
      <xdr:sp macro="" textlink="">
        <xdr:nvSpPr>
          <xdr:cNvPr id="39" name="TextBox 195">
            <a:extLst>
              <a:ext uri="{FF2B5EF4-FFF2-40B4-BE49-F238E27FC236}">
                <a16:creationId xmlns:a16="http://schemas.microsoft.com/office/drawing/2014/main" id="{00000000-0008-0000-0700-000027000000}"/>
              </a:ext>
            </a:extLst>
          </xdr:cNvPr>
          <xdr:cNvSpPr txBox="1"/>
        </xdr:nvSpPr>
        <xdr:spPr>
          <a:xfrm>
            <a:off x="1143000" y="16962297"/>
            <a:ext cx="2667000" cy="373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SWITCHBOARD UPGRADE</a:t>
            </a:r>
          </a:p>
        </xdr:txBody>
      </xdr:sp>
      <xdr:sp macro="" textlink="">
        <xdr:nvSpPr>
          <xdr:cNvPr id="40" name="TextBox 195">
            <a:extLst>
              <a:ext uri="{FF2B5EF4-FFF2-40B4-BE49-F238E27FC236}">
                <a16:creationId xmlns:a16="http://schemas.microsoft.com/office/drawing/2014/main" id="{00000000-0008-0000-0700-000028000000}"/>
              </a:ext>
            </a:extLst>
          </xdr:cNvPr>
          <xdr:cNvSpPr txBox="1"/>
        </xdr:nvSpPr>
        <xdr:spPr>
          <a:xfrm>
            <a:off x="1143000" y="17343296"/>
            <a:ext cx="2667000" cy="37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CHARGEACTIVE</a:t>
            </a:r>
            <a:r>
              <a:rPr lang="en-US" sz="1400" b="1" i="0" u="none" strike="noStrike" baseline="0">
                <a:solidFill>
                  <a:srgbClr val="28066C"/>
                </a:solidFill>
                <a:latin typeface="Overpass" panose="00000500000000000000" pitchFamily="2" charset="0"/>
                <a:ea typeface="+mn-ea"/>
                <a:cs typeface="Calibri"/>
              </a:rPr>
              <a:t> COVER</a:t>
            </a:r>
            <a:endParaRPr lang="en-US" sz="1400" b="1" i="0" u="none" strike="noStrike">
              <a:solidFill>
                <a:srgbClr val="28066C"/>
              </a:solidFill>
              <a:latin typeface="Overpass" panose="00000500000000000000" pitchFamily="2" charset="0"/>
              <a:ea typeface="+mn-ea"/>
              <a:cs typeface="Calibri"/>
            </a:endParaRPr>
          </a:p>
        </xdr:txBody>
      </xdr:sp>
    </xdr:grpSp>
    <xdr:clientData/>
  </xdr:twoCellAnchor>
  <xdr:twoCellAnchor>
    <xdr:from>
      <xdr:col>47</xdr:col>
      <xdr:colOff>0</xdr:colOff>
      <xdr:row>66</xdr:row>
      <xdr:rowOff>0</xdr:rowOff>
    </xdr:from>
    <xdr:to>
      <xdr:col>66</xdr:col>
      <xdr:colOff>162442</xdr:colOff>
      <xdr:row>67</xdr:row>
      <xdr:rowOff>189023</xdr:rowOff>
    </xdr:to>
    <xdr:sp macro="" textlink="">
      <xdr:nvSpPr>
        <xdr:cNvPr id="41" name="TextBox 213">
          <a:extLst>
            <a:ext uri="{FF2B5EF4-FFF2-40B4-BE49-F238E27FC236}">
              <a16:creationId xmlns:a16="http://schemas.microsoft.com/office/drawing/2014/main" id="{00000000-0008-0000-0700-000029000000}"/>
            </a:ext>
          </a:extLst>
        </xdr:cNvPr>
        <xdr:cNvSpPr txBox="1"/>
      </xdr:nvSpPr>
      <xdr:spPr>
        <a:xfrm>
          <a:off x="8953500" y="12573000"/>
          <a:ext cx="3781942" cy="379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rgbClr val="28066C"/>
              </a:solidFill>
              <a:latin typeface="Barlow" pitchFamily="2" charset="77"/>
            </a:rPr>
            <a:t>ACCEPTANCE</a:t>
          </a:r>
        </a:p>
      </xdr:txBody>
    </xdr:sp>
    <xdr:clientData/>
  </xdr:twoCellAnchor>
  <xdr:twoCellAnchor>
    <xdr:from>
      <xdr:col>47</xdr:col>
      <xdr:colOff>0</xdr:colOff>
      <xdr:row>71</xdr:row>
      <xdr:rowOff>854</xdr:rowOff>
    </xdr:from>
    <xdr:to>
      <xdr:col>57</xdr:col>
      <xdr:colOff>146991</xdr:colOff>
      <xdr:row>72</xdr:row>
      <xdr:rowOff>11759</xdr:rowOff>
    </xdr:to>
    <xdr:sp macro="" textlink="">
      <xdr:nvSpPr>
        <xdr:cNvPr id="42" name="TextBox 236">
          <a:extLst>
            <a:ext uri="{FF2B5EF4-FFF2-40B4-BE49-F238E27FC236}">
              <a16:creationId xmlns:a16="http://schemas.microsoft.com/office/drawing/2014/main" id="{00000000-0008-0000-0700-00002A000000}"/>
            </a:ext>
          </a:extLst>
        </xdr:cNvPr>
        <xdr:cNvSpPr txBox="1"/>
      </xdr:nvSpPr>
      <xdr:spPr>
        <a:xfrm>
          <a:off x="8842963" y="13359373"/>
          <a:ext cx="2028472" cy="199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8066C"/>
              </a:solidFill>
              <a:latin typeface="Overpass" panose="00000500000000000000" pitchFamily="2" charset="0"/>
              <a:ea typeface="+mn-ea"/>
              <a:cs typeface="Calibri"/>
            </a:rPr>
            <a:t>TOTAL SYSTEM COST ex GST</a:t>
          </a:r>
        </a:p>
      </xdr:txBody>
    </xdr:sp>
    <xdr:clientData/>
  </xdr:twoCellAnchor>
  <xdr:twoCellAnchor>
    <xdr:from>
      <xdr:col>47</xdr:col>
      <xdr:colOff>1600</xdr:colOff>
      <xdr:row>70</xdr:row>
      <xdr:rowOff>0</xdr:rowOff>
    </xdr:from>
    <xdr:to>
      <xdr:col>76</xdr:col>
      <xdr:colOff>0</xdr:colOff>
      <xdr:row>70</xdr:row>
      <xdr:rowOff>0</xdr:rowOff>
    </xdr:to>
    <xdr:cxnSp macro="">
      <xdr:nvCxnSpPr>
        <xdr:cNvPr id="43" name="Straight Connector 16">
          <a:extLst>
            <a:ext uri="{FF2B5EF4-FFF2-40B4-BE49-F238E27FC236}">
              <a16:creationId xmlns:a16="http://schemas.microsoft.com/office/drawing/2014/main" id="{00000000-0008-0000-0700-00002B000000}"/>
            </a:ext>
          </a:extLst>
        </xdr:cNvPr>
        <xdr:cNvCxnSpPr/>
      </xdr:nvCxnSpPr>
      <xdr:spPr>
        <a:xfrm>
          <a:off x="8955100" y="13335000"/>
          <a:ext cx="55229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190095</xdr:colOff>
      <xdr:row>81</xdr:row>
      <xdr:rowOff>189877</xdr:rowOff>
    </xdr:from>
    <xdr:to>
      <xdr:col>76</xdr:col>
      <xdr:colOff>40897</xdr:colOff>
      <xdr:row>82</xdr:row>
      <xdr:rowOff>185197</xdr:rowOff>
    </xdr:to>
    <xdr:sp macro="" textlink="">
      <xdr:nvSpPr>
        <xdr:cNvPr id="44" name="TextBox 146">
          <a:extLst>
            <a:ext uri="{FF2B5EF4-FFF2-40B4-BE49-F238E27FC236}">
              <a16:creationId xmlns:a16="http://schemas.microsoft.com/office/drawing/2014/main" id="{00000000-0008-0000-0700-00002C000000}"/>
            </a:ext>
          </a:extLst>
        </xdr:cNvPr>
        <xdr:cNvSpPr txBox="1"/>
      </xdr:nvSpPr>
      <xdr:spPr>
        <a:xfrm>
          <a:off x="8953095" y="15620377"/>
          <a:ext cx="5565802" cy="185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1" i="0" u="none" strike="noStrike">
              <a:solidFill>
                <a:srgbClr val="2A2A2A"/>
              </a:solidFill>
              <a:latin typeface="Overpass" panose="00000500000000000000" pitchFamily="2" charset="0"/>
              <a:ea typeface="+mn-ea"/>
              <a:cs typeface="Calibri"/>
            </a:rPr>
            <a:t>EXECUTED AS AN AGREEMENT</a:t>
          </a:r>
        </a:p>
      </xdr:txBody>
    </xdr:sp>
    <xdr:clientData/>
  </xdr:twoCellAnchor>
  <xdr:twoCellAnchor>
    <xdr:from>
      <xdr:col>46</xdr:col>
      <xdr:colOff>190095</xdr:colOff>
      <xdr:row>82</xdr:row>
      <xdr:rowOff>189472</xdr:rowOff>
    </xdr:from>
    <xdr:to>
      <xdr:col>77</xdr:col>
      <xdr:colOff>53178</xdr:colOff>
      <xdr:row>83</xdr:row>
      <xdr:rowOff>185196</xdr:rowOff>
    </xdr:to>
    <xdr:sp macro="" textlink="">
      <xdr:nvSpPr>
        <xdr:cNvPr id="45" name="TextBox 177">
          <a:extLst>
            <a:ext uri="{FF2B5EF4-FFF2-40B4-BE49-F238E27FC236}">
              <a16:creationId xmlns:a16="http://schemas.microsoft.com/office/drawing/2014/main" id="{00000000-0008-0000-0700-00002D000000}"/>
            </a:ext>
          </a:extLst>
        </xdr:cNvPr>
        <xdr:cNvSpPr txBox="1"/>
      </xdr:nvSpPr>
      <xdr:spPr>
        <a:xfrm>
          <a:off x="8953095" y="15810472"/>
          <a:ext cx="5768583" cy="18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2A2A2A"/>
              </a:solidFill>
              <a:latin typeface="Overpass" panose="00000500000000000000" pitchFamily="2" charset="0"/>
              <a:ea typeface="+mn-ea"/>
              <a:cs typeface="Calibri"/>
            </a:rPr>
            <a:t>Signed for the </a:t>
          </a:r>
          <a:r>
            <a:rPr lang="en-US" sz="900" b="1" i="0" u="none" strike="noStrike">
              <a:solidFill>
                <a:srgbClr val="2A2A2A"/>
              </a:solidFill>
              <a:latin typeface="Overpass" panose="00000500000000000000" pitchFamily="2" charset="0"/>
              <a:ea typeface="+mn-ea"/>
              <a:cs typeface="Calibri"/>
            </a:rPr>
            <a:t>Customer</a:t>
          </a:r>
          <a:r>
            <a:rPr lang="en-US" sz="900" b="0" i="0" u="none" strike="noStrike">
              <a:solidFill>
                <a:srgbClr val="2A2A2A"/>
              </a:solidFill>
              <a:latin typeface="Overpass" panose="00000500000000000000" pitchFamily="2" charset="0"/>
              <a:ea typeface="+mn-ea"/>
              <a:cs typeface="Calibri"/>
            </a:rPr>
            <a:t> in accordance with section 126 of the </a:t>
          </a:r>
          <a:r>
            <a:rPr lang="en-US" sz="900" b="0" i="1" u="none" strike="noStrike">
              <a:solidFill>
                <a:srgbClr val="2A2A2A"/>
              </a:solidFill>
              <a:latin typeface="Overpass" panose="00000500000000000000" pitchFamily="2" charset="0"/>
              <a:ea typeface="+mn-ea"/>
              <a:cs typeface="Calibri"/>
            </a:rPr>
            <a:t>Corporations Act 2001 </a:t>
          </a:r>
          <a:r>
            <a:rPr lang="en-US" sz="900" b="0" i="0" u="none" strike="noStrike">
              <a:solidFill>
                <a:srgbClr val="2A2A2A"/>
              </a:solidFill>
              <a:latin typeface="Overpass" panose="00000500000000000000" pitchFamily="2" charset="0"/>
              <a:ea typeface="+mn-ea"/>
              <a:cs typeface="Calibri"/>
            </a:rPr>
            <a:t>(Cth) by: </a:t>
          </a:r>
        </a:p>
      </xdr:txBody>
    </xdr:sp>
    <xdr:clientData/>
  </xdr:twoCellAnchor>
  <xdr:twoCellAnchor>
    <xdr:from>
      <xdr:col>64</xdr:col>
      <xdr:colOff>0</xdr:colOff>
      <xdr:row>88</xdr:row>
      <xdr:rowOff>0</xdr:rowOff>
    </xdr:from>
    <xdr:to>
      <xdr:col>77</xdr:col>
      <xdr:colOff>2006</xdr:colOff>
      <xdr:row>89</xdr:row>
      <xdr:rowOff>405</xdr:rowOff>
    </xdr:to>
    <xdr:sp macro="" textlink="">
      <xdr:nvSpPr>
        <xdr:cNvPr id="46" name="TextBox 178">
          <a:extLst>
            <a:ext uri="{FF2B5EF4-FFF2-40B4-BE49-F238E27FC236}">
              <a16:creationId xmlns:a16="http://schemas.microsoft.com/office/drawing/2014/main" id="{00000000-0008-0000-0700-00002E000000}"/>
            </a:ext>
          </a:extLst>
        </xdr:cNvPr>
        <xdr:cNvSpPr txBox="1"/>
      </xdr:nvSpPr>
      <xdr:spPr>
        <a:xfrm>
          <a:off x="12192000" y="16764000"/>
          <a:ext cx="2478506" cy="19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Position</a:t>
          </a:r>
        </a:p>
      </xdr:txBody>
    </xdr:sp>
    <xdr:clientData/>
  </xdr:twoCellAnchor>
  <xdr:twoCellAnchor>
    <xdr:from>
      <xdr:col>64</xdr:col>
      <xdr:colOff>0</xdr:colOff>
      <xdr:row>93</xdr:row>
      <xdr:rowOff>405</xdr:rowOff>
    </xdr:from>
    <xdr:to>
      <xdr:col>77</xdr:col>
      <xdr:colOff>2006</xdr:colOff>
      <xdr:row>94</xdr:row>
      <xdr:rowOff>0</xdr:rowOff>
    </xdr:to>
    <xdr:sp macro="" textlink="">
      <xdr:nvSpPr>
        <xdr:cNvPr id="47" name="TextBox 179">
          <a:extLst>
            <a:ext uri="{FF2B5EF4-FFF2-40B4-BE49-F238E27FC236}">
              <a16:creationId xmlns:a16="http://schemas.microsoft.com/office/drawing/2014/main" id="{00000000-0008-0000-0700-00002F000000}"/>
            </a:ext>
          </a:extLst>
        </xdr:cNvPr>
        <xdr:cNvSpPr txBox="1"/>
      </xdr:nvSpPr>
      <xdr:spPr>
        <a:xfrm>
          <a:off x="12192000" y="17716905"/>
          <a:ext cx="2478506" cy="190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Date</a:t>
          </a:r>
        </a:p>
      </xdr:txBody>
    </xdr:sp>
    <xdr:clientData/>
  </xdr:twoCellAnchor>
  <xdr:twoCellAnchor>
    <xdr:from>
      <xdr:col>46</xdr:col>
      <xdr:colOff>190095</xdr:colOff>
      <xdr:row>88</xdr:row>
      <xdr:rowOff>0</xdr:rowOff>
    </xdr:from>
    <xdr:to>
      <xdr:col>59</xdr:col>
      <xdr:colOff>190095</xdr:colOff>
      <xdr:row>89</xdr:row>
      <xdr:rowOff>3364</xdr:rowOff>
    </xdr:to>
    <xdr:sp macro="" textlink="">
      <xdr:nvSpPr>
        <xdr:cNvPr id="48" name="TextBox 180">
          <a:extLst>
            <a:ext uri="{FF2B5EF4-FFF2-40B4-BE49-F238E27FC236}">
              <a16:creationId xmlns:a16="http://schemas.microsoft.com/office/drawing/2014/main" id="{00000000-0008-0000-0700-000030000000}"/>
            </a:ext>
          </a:extLst>
        </xdr:cNvPr>
        <xdr:cNvSpPr txBox="1"/>
      </xdr:nvSpPr>
      <xdr:spPr>
        <a:xfrm>
          <a:off x="8953095" y="16764000"/>
          <a:ext cx="2476500" cy="193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Signature of Authorised Representative</a:t>
          </a:r>
        </a:p>
      </xdr:txBody>
    </xdr:sp>
    <xdr:clientData/>
  </xdr:twoCellAnchor>
  <xdr:twoCellAnchor>
    <xdr:from>
      <xdr:col>47</xdr:col>
      <xdr:colOff>1</xdr:colOff>
      <xdr:row>93</xdr:row>
      <xdr:rowOff>405</xdr:rowOff>
    </xdr:from>
    <xdr:to>
      <xdr:col>60</xdr:col>
      <xdr:colOff>1</xdr:colOff>
      <xdr:row>93</xdr:row>
      <xdr:rowOff>183139</xdr:rowOff>
    </xdr:to>
    <xdr:sp macro="" textlink="">
      <xdr:nvSpPr>
        <xdr:cNvPr id="49" name="TextBox 181">
          <a:extLst>
            <a:ext uri="{FF2B5EF4-FFF2-40B4-BE49-F238E27FC236}">
              <a16:creationId xmlns:a16="http://schemas.microsoft.com/office/drawing/2014/main" id="{00000000-0008-0000-0700-000031000000}"/>
            </a:ext>
          </a:extLst>
        </xdr:cNvPr>
        <xdr:cNvSpPr txBox="1"/>
      </xdr:nvSpPr>
      <xdr:spPr>
        <a:xfrm>
          <a:off x="8953501" y="17716905"/>
          <a:ext cx="2476500" cy="182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50" b="0" i="0" u="none" strike="noStrike">
              <a:solidFill>
                <a:srgbClr val="2A2A2A"/>
              </a:solidFill>
              <a:latin typeface="Overpass" panose="00000500000000000000" pitchFamily="2" charset="0"/>
              <a:ea typeface="+mn-ea"/>
              <a:cs typeface="Calibri"/>
            </a:rPr>
            <a:t>Name of Authorised Representative (Print)</a:t>
          </a:r>
        </a:p>
      </xdr:txBody>
    </xdr:sp>
    <xdr:clientData/>
  </xdr:twoCellAnchor>
  <xdr:twoCellAnchor>
    <xdr:from>
      <xdr:col>48</xdr:col>
      <xdr:colOff>93961</xdr:colOff>
      <xdr:row>79</xdr:row>
      <xdr:rowOff>2146</xdr:rowOff>
    </xdr:from>
    <xdr:to>
      <xdr:col>57</xdr:col>
      <xdr:colOff>150775</xdr:colOff>
      <xdr:row>80</xdr:row>
      <xdr:rowOff>188679</xdr:rowOff>
    </xdr:to>
    <xdr:sp macro="" textlink="">
      <xdr:nvSpPr>
        <xdr:cNvPr id="50" name="TextBox 423">
          <a:extLst>
            <a:ext uri="{FF2B5EF4-FFF2-40B4-BE49-F238E27FC236}">
              <a16:creationId xmlns:a16="http://schemas.microsoft.com/office/drawing/2014/main" id="{00000000-0008-0000-0700-000032000000}"/>
            </a:ext>
          </a:extLst>
        </xdr:cNvPr>
        <xdr:cNvSpPr txBox="1"/>
      </xdr:nvSpPr>
      <xdr:spPr>
        <a:xfrm>
          <a:off x="9237961" y="15051646"/>
          <a:ext cx="1771314" cy="377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Execution</a:t>
          </a:r>
        </a:p>
      </xdr:txBody>
    </xdr:sp>
    <xdr:clientData/>
  </xdr:twoCellAnchor>
  <xdr:twoCellAnchor>
    <xdr:from>
      <xdr:col>47</xdr:col>
      <xdr:colOff>98234</xdr:colOff>
      <xdr:row>79</xdr:row>
      <xdr:rowOff>2146</xdr:rowOff>
    </xdr:from>
    <xdr:to>
      <xdr:col>47</xdr:col>
      <xdr:colOff>98234</xdr:colOff>
      <xdr:row>80</xdr:row>
      <xdr:rowOff>188679</xdr:rowOff>
    </xdr:to>
    <xdr:cxnSp macro="">
      <xdr:nvCxnSpPr>
        <xdr:cNvPr id="51" name="Straight Connector 424">
          <a:extLst>
            <a:ext uri="{FF2B5EF4-FFF2-40B4-BE49-F238E27FC236}">
              <a16:creationId xmlns:a16="http://schemas.microsoft.com/office/drawing/2014/main" id="{00000000-0008-0000-0700-000033000000}"/>
            </a:ext>
          </a:extLst>
        </xdr:cNvPr>
        <xdr:cNvCxnSpPr/>
      </xdr:nvCxnSpPr>
      <xdr:spPr>
        <a:xfrm>
          <a:off x="9051734" y="15051646"/>
          <a:ext cx="0" cy="377033"/>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1924</xdr:colOff>
      <xdr:row>93</xdr:row>
      <xdr:rowOff>405</xdr:rowOff>
    </xdr:from>
    <xdr:to>
      <xdr:col>59</xdr:col>
      <xdr:colOff>190095</xdr:colOff>
      <xdr:row>93</xdr:row>
      <xdr:rowOff>405</xdr:rowOff>
    </xdr:to>
    <xdr:cxnSp macro="">
      <xdr:nvCxnSpPr>
        <xdr:cNvPr id="52" name="Straight Connector 4">
          <a:extLst>
            <a:ext uri="{FF2B5EF4-FFF2-40B4-BE49-F238E27FC236}">
              <a16:creationId xmlns:a16="http://schemas.microsoft.com/office/drawing/2014/main" id="{00000000-0008-0000-0700-000034000000}"/>
            </a:ext>
          </a:extLst>
        </xdr:cNvPr>
        <xdr:cNvCxnSpPr/>
      </xdr:nvCxnSpPr>
      <xdr:spPr>
        <a:xfrm>
          <a:off x="8955424" y="17716905"/>
          <a:ext cx="2474171"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64</xdr:col>
      <xdr:colOff>0</xdr:colOff>
      <xdr:row>93</xdr:row>
      <xdr:rowOff>405</xdr:rowOff>
    </xdr:from>
    <xdr:to>
      <xdr:col>77</xdr:col>
      <xdr:colOff>2006</xdr:colOff>
      <xdr:row>93</xdr:row>
      <xdr:rowOff>405</xdr:rowOff>
    </xdr:to>
    <xdr:cxnSp macro="">
      <xdr:nvCxnSpPr>
        <xdr:cNvPr id="53" name="Straight Connector 14">
          <a:extLst>
            <a:ext uri="{FF2B5EF4-FFF2-40B4-BE49-F238E27FC236}">
              <a16:creationId xmlns:a16="http://schemas.microsoft.com/office/drawing/2014/main" id="{00000000-0008-0000-0700-000035000000}"/>
            </a:ext>
          </a:extLst>
        </xdr:cNvPr>
        <xdr:cNvCxnSpPr/>
      </xdr:nvCxnSpPr>
      <xdr:spPr>
        <a:xfrm>
          <a:off x="12192000" y="17716905"/>
          <a:ext cx="2478506"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1924</xdr:colOff>
      <xdr:row>88</xdr:row>
      <xdr:rowOff>0</xdr:rowOff>
    </xdr:from>
    <xdr:to>
      <xdr:col>59</xdr:col>
      <xdr:colOff>190095</xdr:colOff>
      <xdr:row>88</xdr:row>
      <xdr:rowOff>0</xdr:rowOff>
    </xdr:to>
    <xdr:cxnSp macro="">
      <xdr:nvCxnSpPr>
        <xdr:cNvPr id="54" name="Straight Connector 16">
          <a:extLst>
            <a:ext uri="{FF2B5EF4-FFF2-40B4-BE49-F238E27FC236}">
              <a16:creationId xmlns:a16="http://schemas.microsoft.com/office/drawing/2014/main" id="{00000000-0008-0000-0700-000036000000}"/>
            </a:ext>
          </a:extLst>
        </xdr:cNvPr>
        <xdr:cNvCxnSpPr/>
      </xdr:nvCxnSpPr>
      <xdr:spPr>
        <a:xfrm>
          <a:off x="8955424" y="16764000"/>
          <a:ext cx="2474171"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64</xdr:col>
      <xdr:colOff>0</xdr:colOff>
      <xdr:row>88</xdr:row>
      <xdr:rowOff>0</xdr:rowOff>
    </xdr:from>
    <xdr:to>
      <xdr:col>77</xdr:col>
      <xdr:colOff>2006</xdr:colOff>
      <xdr:row>88</xdr:row>
      <xdr:rowOff>0</xdr:rowOff>
    </xdr:to>
    <xdr:cxnSp macro="">
      <xdr:nvCxnSpPr>
        <xdr:cNvPr id="55" name="Straight Connector 26">
          <a:extLst>
            <a:ext uri="{FF2B5EF4-FFF2-40B4-BE49-F238E27FC236}">
              <a16:creationId xmlns:a16="http://schemas.microsoft.com/office/drawing/2014/main" id="{00000000-0008-0000-0700-000037000000}"/>
            </a:ext>
          </a:extLst>
        </xdr:cNvPr>
        <xdr:cNvCxnSpPr/>
      </xdr:nvCxnSpPr>
      <xdr:spPr>
        <a:xfrm>
          <a:off x="12192000" y="16764000"/>
          <a:ext cx="2478506" cy="0"/>
        </a:xfrm>
        <a:prstGeom prst="line">
          <a:avLst/>
        </a:prstGeom>
        <a:ln w="9525">
          <a:solidFill>
            <a:srgbClr val="2A2A2A"/>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726</xdr:colOff>
      <xdr:row>72</xdr:row>
      <xdr:rowOff>189877</xdr:rowOff>
    </xdr:from>
    <xdr:to>
      <xdr:col>76</xdr:col>
      <xdr:colOff>0</xdr:colOff>
      <xdr:row>72</xdr:row>
      <xdr:rowOff>189877</xdr:rowOff>
    </xdr:to>
    <xdr:cxnSp macro="">
      <xdr:nvCxnSpPr>
        <xdr:cNvPr id="56" name="Straight Connector 16">
          <a:extLst>
            <a:ext uri="{FF2B5EF4-FFF2-40B4-BE49-F238E27FC236}">
              <a16:creationId xmlns:a16="http://schemas.microsoft.com/office/drawing/2014/main" id="{00000000-0008-0000-0700-000038000000}"/>
            </a:ext>
          </a:extLst>
        </xdr:cNvPr>
        <xdr:cNvCxnSpPr/>
      </xdr:nvCxnSpPr>
      <xdr:spPr>
        <a:xfrm>
          <a:off x="8954226" y="13905877"/>
          <a:ext cx="5523774"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726</xdr:colOff>
      <xdr:row>76</xdr:row>
      <xdr:rowOff>188679</xdr:rowOff>
    </xdr:from>
    <xdr:to>
      <xdr:col>76</xdr:col>
      <xdr:colOff>0</xdr:colOff>
      <xdr:row>76</xdr:row>
      <xdr:rowOff>189877</xdr:rowOff>
    </xdr:to>
    <xdr:cxnSp macro="">
      <xdr:nvCxnSpPr>
        <xdr:cNvPr id="57" name="Straight Connector 16">
          <a:extLst>
            <a:ext uri="{FF2B5EF4-FFF2-40B4-BE49-F238E27FC236}">
              <a16:creationId xmlns:a16="http://schemas.microsoft.com/office/drawing/2014/main" id="{00000000-0008-0000-0700-000039000000}"/>
            </a:ext>
          </a:extLst>
        </xdr:cNvPr>
        <xdr:cNvCxnSpPr/>
      </xdr:nvCxnSpPr>
      <xdr:spPr>
        <a:xfrm>
          <a:off x="8954226" y="14666679"/>
          <a:ext cx="5523774" cy="1198"/>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1924</xdr:colOff>
      <xdr:row>74</xdr:row>
      <xdr:rowOff>103</xdr:rowOff>
    </xdr:from>
    <xdr:to>
      <xdr:col>77</xdr:col>
      <xdr:colOff>0</xdr:colOff>
      <xdr:row>76</xdr:row>
      <xdr:rowOff>188679</xdr:rowOff>
    </xdr:to>
    <xdr:sp macro="" textlink="">
      <xdr:nvSpPr>
        <xdr:cNvPr id="58" name="TextBox 57">
          <a:extLst>
            <a:ext uri="{FF2B5EF4-FFF2-40B4-BE49-F238E27FC236}">
              <a16:creationId xmlns:a16="http://schemas.microsoft.com/office/drawing/2014/main" id="{00000000-0008-0000-0700-00003A000000}"/>
            </a:ext>
          </a:extLst>
        </xdr:cNvPr>
        <xdr:cNvSpPr txBox="1"/>
      </xdr:nvSpPr>
      <xdr:spPr>
        <a:xfrm>
          <a:off x="8955424" y="14097103"/>
          <a:ext cx="5713076" cy="56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i="1">
              <a:solidFill>
                <a:srgbClr val="2A2A2A"/>
              </a:solidFill>
              <a:latin typeface="Overpass" pitchFamily="2" charset="77"/>
            </a:rPr>
            <a:t>This</a:t>
          </a:r>
          <a:r>
            <a:rPr lang="en-GB" sz="1000" i="1" baseline="0">
              <a:solidFill>
                <a:srgbClr val="2A2A2A"/>
              </a:solidFill>
              <a:latin typeface="Overpass" pitchFamily="2" charset="77"/>
            </a:rPr>
            <a:t> quote is valid for two weeks from date issued unless otherwise specified.</a:t>
          </a:r>
        </a:p>
        <a:p>
          <a:r>
            <a:rPr lang="en-GB" sz="1000" i="1" baseline="0">
              <a:solidFill>
                <a:srgbClr val="2A2A2A"/>
              </a:solidFill>
              <a:latin typeface="Overpass" pitchFamily="2" charset="77"/>
            </a:rPr>
            <a:t>Please see terms and conditions for additional information.</a:t>
          </a:r>
          <a:endParaRPr lang="en-GB" sz="1000" i="1">
            <a:solidFill>
              <a:srgbClr val="2A2A2A"/>
            </a:solidFill>
            <a:latin typeface="Overpass" pitchFamily="2" charset="77"/>
          </a:endParaRPr>
        </a:p>
      </xdr:txBody>
    </xdr:sp>
    <xdr:clientData/>
  </xdr:twoCellAnchor>
  <xdr:twoCellAnchor>
    <xdr:from>
      <xdr:col>47</xdr:col>
      <xdr:colOff>0</xdr:colOff>
      <xdr:row>101</xdr:row>
      <xdr:rowOff>184273</xdr:rowOff>
    </xdr:from>
    <xdr:to>
      <xdr:col>71</xdr:col>
      <xdr:colOff>104030</xdr:colOff>
      <xdr:row>104</xdr:row>
      <xdr:rowOff>0</xdr:rowOff>
    </xdr:to>
    <xdr:sp macro="" textlink="">
      <xdr:nvSpPr>
        <xdr:cNvPr id="59" name="TextBox 15">
          <a:extLst>
            <a:ext uri="{FF2B5EF4-FFF2-40B4-BE49-F238E27FC236}">
              <a16:creationId xmlns:a16="http://schemas.microsoft.com/office/drawing/2014/main" id="{00000000-0008-0000-0700-00003B000000}"/>
            </a:ext>
          </a:extLst>
        </xdr:cNvPr>
        <xdr:cNvSpPr txBox="1"/>
      </xdr:nvSpPr>
      <xdr:spPr>
        <a:xfrm>
          <a:off x="8953500" y="19424773"/>
          <a:ext cx="4676030" cy="38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400">
              <a:solidFill>
                <a:srgbClr val="28066C"/>
              </a:solidFill>
              <a:latin typeface="Barlow" pitchFamily="2" charset="77"/>
            </a:rPr>
            <a:t>NEXT STEPS</a:t>
          </a:r>
        </a:p>
      </xdr:txBody>
    </xdr:sp>
    <xdr:clientData/>
  </xdr:twoCellAnchor>
  <xdr:twoCellAnchor>
    <xdr:from>
      <xdr:col>48</xdr:col>
      <xdr:colOff>95425</xdr:colOff>
      <xdr:row>106</xdr:row>
      <xdr:rowOff>0</xdr:rowOff>
    </xdr:from>
    <xdr:to>
      <xdr:col>62</xdr:col>
      <xdr:colOff>134899</xdr:colOff>
      <xdr:row>107</xdr:row>
      <xdr:rowOff>188892</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9239425" y="20193000"/>
          <a:ext cx="2706474" cy="379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Payment Schedule</a:t>
          </a:r>
        </a:p>
      </xdr:txBody>
    </xdr:sp>
    <xdr:clientData/>
  </xdr:twoCellAnchor>
  <xdr:twoCellAnchor>
    <xdr:from>
      <xdr:col>47</xdr:col>
      <xdr:colOff>94916</xdr:colOff>
      <xdr:row>106</xdr:row>
      <xdr:rowOff>0</xdr:rowOff>
    </xdr:from>
    <xdr:to>
      <xdr:col>47</xdr:col>
      <xdr:colOff>94916</xdr:colOff>
      <xdr:row>107</xdr:row>
      <xdr:rowOff>188892</xdr:rowOff>
    </xdr:to>
    <xdr:cxnSp macro="">
      <xdr:nvCxnSpPr>
        <xdr:cNvPr id="61" name="Straight Connector 60">
          <a:extLst>
            <a:ext uri="{FF2B5EF4-FFF2-40B4-BE49-F238E27FC236}">
              <a16:creationId xmlns:a16="http://schemas.microsoft.com/office/drawing/2014/main" id="{00000000-0008-0000-0700-00003D000000}"/>
            </a:ext>
          </a:extLst>
        </xdr:cNvPr>
        <xdr:cNvCxnSpPr/>
      </xdr:nvCxnSpPr>
      <xdr:spPr>
        <a:xfrm>
          <a:off x="9048416" y="20193000"/>
          <a:ext cx="0" cy="379392"/>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483</xdr:colOff>
      <xdr:row>109</xdr:row>
      <xdr:rowOff>0</xdr:rowOff>
    </xdr:from>
    <xdr:to>
      <xdr:col>60</xdr:col>
      <xdr:colOff>141998</xdr:colOff>
      <xdr:row>112</xdr:row>
      <xdr:rowOff>0</xdr:rowOff>
    </xdr:to>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8953983" y="20764500"/>
          <a:ext cx="261801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666666"/>
              </a:solidFill>
              <a:latin typeface="Overpass" panose="00000500000000000000" pitchFamily="2" charset="0"/>
              <a:ea typeface="+mn-ea"/>
              <a:cs typeface="Calibri"/>
            </a:rPr>
            <a:t>SMART</a:t>
          </a:r>
          <a:r>
            <a:rPr lang="en-US" sz="1000" b="1" i="0" u="none" strike="noStrike" baseline="0">
              <a:solidFill>
                <a:srgbClr val="666666"/>
              </a:solidFill>
              <a:latin typeface="Overpass" panose="00000500000000000000" pitchFamily="2" charset="0"/>
              <a:ea typeface="+mn-ea"/>
              <a:cs typeface="Calibri"/>
            </a:rPr>
            <a:t> STANDARD TERMS OF PAYMENT ARE AS FOLLOWS.</a:t>
          </a:r>
          <a:endParaRPr lang="en-US" sz="1000" b="1" i="0" u="none" strike="noStrike">
            <a:solidFill>
              <a:srgbClr val="666666"/>
            </a:solidFill>
            <a:latin typeface="Overpass" panose="00000500000000000000" pitchFamily="2" charset="0"/>
            <a:ea typeface="+mn-ea"/>
            <a:cs typeface="Calibri"/>
          </a:endParaRPr>
        </a:p>
      </xdr:txBody>
    </xdr:sp>
    <xdr:clientData/>
  </xdr:twoCellAnchor>
  <xdr:oneCellAnchor>
    <xdr:from>
      <xdr:col>47</xdr:col>
      <xdr:colOff>0</xdr:colOff>
      <xdr:row>45</xdr:row>
      <xdr:rowOff>188147</xdr:rowOff>
    </xdr:from>
    <xdr:ext cx="3071628" cy="1881482"/>
    <xdr:sp macro="" textlink="SOLAR!D10">
      <xdr:nvSpPr>
        <xdr:cNvPr id="63" name="TextBox 62">
          <a:extLst>
            <a:ext uri="{FF2B5EF4-FFF2-40B4-BE49-F238E27FC236}">
              <a16:creationId xmlns:a16="http://schemas.microsoft.com/office/drawing/2014/main" id="{00000000-0008-0000-0700-00003F000000}"/>
            </a:ext>
          </a:extLst>
        </xdr:cNvPr>
        <xdr:cNvSpPr txBox="1"/>
      </xdr:nvSpPr>
      <xdr:spPr>
        <a:xfrm>
          <a:off x="8842963" y="8654814"/>
          <a:ext cx="3071628" cy="188148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712873E-B881-034F-B8BE-1F8D0A75D785}" type="TxLink">
            <a:rPr lang="en-US" sz="2000" b="1" i="0" u="none" strike="noStrike">
              <a:solidFill>
                <a:srgbClr val="27056C"/>
              </a:solidFill>
              <a:latin typeface="Overpass" pitchFamily="2" charset="77"/>
              <a:cs typeface="Arial" panose="020B0604020202020204" pitchFamily="34" charset="0"/>
            </a:rPr>
            <a:pPr/>
            <a:t> </a:t>
          </a:fld>
          <a:endParaRPr lang="en-AU" sz="2000" b="1">
            <a:solidFill>
              <a:srgbClr val="27056C"/>
            </a:solidFill>
            <a:latin typeface="Overpass" pitchFamily="2" charset="77"/>
            <a:cs typeface="Arial" panose="020B0604020202020204" pitchFamily="34" charset="0"/>
          </a:endParaRPr>
        </a:p>
      </xdr:txBody>
    </xdr:sp>
    <xdr:clientData/>
  </xdr:oneCellAnchor>
  <xdr:twoCellAnchor>
    <xdr:from>
      <xdr:col>47</xdr:col>
      <xdr:colOff>1</xdr:colOff>
      <xdr:row>36</xdr:row>
      <xdr:rowOff>188148</xdr:rowOff>
    </xdr:from>
    <xdr:to>
      <xdr:col>63</xdr:col>
      <xdr:colOff>1</xdr:colOff>
      <xdr:row>43</xdr:row>
      <xdr:rowOff>0</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8842964" y="6961481"/>
          <a:ext cx="3010370" cy="1128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3000" b="0" i="0">
              <a:solidFill>
                <a:srgbClr val="28066C"/>
              </a:solidFill>
              <a:latin typeface="Barlow Light" pitchFamily="2" charset="77"/>
            </a:rPr>
            <a:t>EV CHARGER PROPOSAL</a:t>
          </a:r>
        </a:p>
      </xdr:txBody>
    </xdr:sp>
    <xdr:clientData/>
  </xdr:twoCellAnchor>
  <xdr:twoCellAnchor>
    <xdr:from>
      <xdr:col>47</xdr:col>
      <xdr:colOff>0</xdr:colOff>
      <xdr:row>44</xdr:row>
      <xdr:rowOff>12848</xdr:rowOff>
    </xdr:from>
    <xdr:to>
      <xdr:col>63</xdr:col>
      <xdr:colOff>0</xdr:colOff>
      <xdr:row>44</xdr:row>
      <xdr:rowOff>12848</xdr:rowOff>
    </xdr:to>
    <xdr:cxnSp macro="">
      <xdr:nvCxnSpPr>
        <xdr:cNvPr id="65" name="Straight Connector 64">
          <a:extLst>
            <a:ext uri="{FF2B5EF4-FFF2-40B4-BE49-F238E27FC236}">
              <a16:creationId xmlns:a16="http://schemas.microsoft.com/office/drawing/2014/main" id="{00000000-0008-0000-0700-000041000000}"/>
            </a:ext>
          </a:extLst>
        </xdr:cNvPr>
        <xdr:cNvCxnSpPr/>
      </xdr:nvCxnSpPr>
      <xdr:spPr>
        <a:xfrm>
          <a:off x="8842963" y="8291367"/>
          <a:ext cx="3010370" cy="0"/>
        </a:xfrm>
        <a:prstGeom prst="line">
          <a:avLst/>
        </a:prstGeom>
        <a:ln w="12700">
          <a:solidFill>
            <a:srgbClr val="28066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111</xdr:row>
      <xdr:rowOff>192723</xdr:rowOff>
    </xdr:from>
    <xdr:to>
      <xdr:col>54</xdr:col>
      <xdr:colOff>1</xdr:colOff>
      <xdr:row>113</xdr:row>
      <xdr:rowOff>1837</xdr:rowOff>
    </xdr:to>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8953501" y="21338223"/>
          <a:ext cx="1333500" cy="19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50% Deposit:</a:t>
          </a:r>
        </a:p>
      </xdr:txBody>
    </xdr:sp>
    <xdr:clientData/>
  </xdr:twoCellAnchor>
  <xdr:twoCellAnchor>
    <xdr:from>
      <xdr:col>47</xdr:col>
      <xdr:colOff>0</xdr:colOff>
      <xdr:row>113</xdr:row>
      <xdr:rowOff>0</xdr:rowOff>
    </xdr:from>
    <xdr:to>
      <xdr:col>54</xdr:col>
      <xdr:colOff>0</xdr:colOff>
      <xdr:row>114</xdr:row>
      <xdr:rowOff>1837</xdr:rowOff>
    </xdr:to>
    <xdr:sp macro="" textlink="">
      <xdr:nvSpPr>
        <xdr:cNvPr id="67" name="TextBox 66">
          <a:extLst>
            <a:ext uri="{FF2B5EF4-FFF2-40B4-BE49-F238E27FC236}">
              <a16:creationId xmlns:a16="http://schemas.microsoft.com/office/drawing/2014/main" id="{00000000-0008-0000-0700-000043000000}"/>
            </a:ext>
          </a:extLst>
        </xdr:cNvPr>
        <xdr:cNvSpPr txBox="1"/>
      </xdr:nvSpPr>
      <xdr:spPr>
        <a:xfrm>
          <a:off x="8953500" y="21526500"/>
          <a:ext cx="1333500" cy="192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50% Completion:</a:t>
          </a:r>
        </a:p>
      </xdr:txBody>
    </xdr:sp>
    <xdr:clientData/>
  </xdr:twoCellAnchor>
  <xdr:twoCellAnchor>
    <xdr:from>
      <xdr:col>6</xdr:col>
      <xdr:colOff>2266</xdr:colOff>
      <xdr:row>165</xdr:row>
      <xdr:rowOff>94723</xdr:rowOff>
    </xdr:from>
    <xdr:to>
      <xdr:col>25</xdr:col>
      <xdr:colOff>56515</xdr:colOff>
      <xdr:row>175</xdr:row>
      <xdr:rowOff>25797</xdr:rowOff>
    </xdr:to>
    <xdr:sp macro="" textlink="">
      <xdr:nvSpPr>
        <xdr:cNvPr id="68" name="TextBox 67">
          <a:extLst>
            <a:ext uri="{FF2B5EF4-FFF2-40B4-BE49-F238E27FC236}">
              <a16:creationId xmlns:a16="http://schemas.microsoft.com/office/drawing/2014/main" id="{00000000-0008-0000-0700-000044000000}"/>
            </a:ext>
          </a:extLst>
        </xdr:cNvPr>
        <xdr:cNvSpPr txBox="1"/>
      </xdr:nvSpPr>
      <xdr:spPr>
        <a:xfrm>
          <a:off x="1145266" y="31527223"/>
          <a:ext cx="3673749" cy="1836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AU" sz="1400">
              <a:solidFill>
                <a:srgbClr val="28066C"/>
              </a:solidFill>
              <a:effectLst/>
              <a:latin typeface="Barlow" pitchFamily="2" charset="77"/>
            </a:rPr>
            <a:t>Smart Commercial Energy</a:t>
          </a:r>
          <a:endParaRPr lang="en-AU" sz="1400" baseline="0">
            <a:solidFill>
              <a:srgbClr val="28066C"/>
            </a:solidFill>
            <a:effectLst/>
            <a:latin typeface="Barlow" pitchFamily="2" charset="77"/>
          </a:endParaRPr>
        </a:p>
        <a:p>
          <a:pPr algn="l"/>
          <a:r>
            <a:rPr lang="en-AU" sz="1400">
              <a:solidFill>
                <a:srgbClr val="28066C"/>
              </a:solidFill>
              <a:effectLst/>
              <a:latin typeface="Barlow" pitchFamily="2" charset="77"/>
            </a:rPr>
            <a:t>Head Office: 6.01</a:t>
          </a:r>
          <a:br>
            <a:rPr lang="en-AU" sz="1400">
              <a:solidFill>
                <a:srgbClr val="28066C"/>
              </a:solidFill>
              <a:effectLst/>
              <a:latin typeface="Barlow" pitchFamily="2" charset="77"/>
            </a:rPr>
          </a:br>
          <a:r>
            <a:rPr lang="en-AU" sz="1400">
              <a:solidFill>
                <a:srgbClr val="28066C"/>
              </a:solidFill>
              <a:effectLst/>
              <a:latin typeface="Barlow" pitchFamily="2" charset="77"/>
            </a:rPr>
            <a:t>2 Elizabeth Plaza, North Sydney 2060</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02 9057 9710</a:t>
          </a:r>
          <a:br>
            <a:rPr lang="en-AU" sz="1400">
              <a:solidFill>
                <a:srgbClr val="28066C"/>
              </a:solidFill>
              <a:effectLst/>
              <a:latin typeface="Barlow" pitchFamily="2" charset="77"/>
            </a:rPr>
          </a:br>
          <a:r>
            <a:rPr lang="en-AU" sz="1400">
              <a:solidFill>
                <a:srgbClr val="28066C"/>
              </a:solidFill>
              <a:effectLst/>
              <a:latin typeface="Barlow" pitchFamily="2" charset="77"/>
            </a:rPr>
            <a:t>sales@smartcommercialenergy.com.au</a:t>
          </a:r>
          <a:br>
            <a:rPr lang="en-AU" sz="1400">
              <a:solidFill>
                <a:srgbClr val="28066C"/>
              </a:solidFill>
              <a:effectLst/>
              <a:latin typeface="Barlow" pitchFamily="2" charset="77"/>
            </a:rPr>
          </a:br>
          <a:br>
            <a:rPr lang="en-AU" sz="1400">
              <a:solidFill>
                <a:srgbClr val="28066C"/>
              </a:solidFill>
              <a:effectLst/>
              <a:latin typeface="Barlow" pitchFamily="2" charset="77"/>
            </a:rPr>
          </a:br>
          <a:r>
            <a:rPr lang="en-AU" sz="1400">
              <a:solidFill>
                <a:srgbClr val="28066C"/>
              </a:solidFill>
              <a:effectLst/>
              <a:latin typeface="Barlow" pitchFamily="2" charset="77"/>
            </a:rPr>
            <a:t>ACN: 155 596 928     BN: 27 155 596 928</a:t>
          </a:r>
          <a:endParaRPr lang="en-GB" sz="1400">
            <a:solidFill>
              <a:srgbClr val="28066C"/>
            </a:solidFill>
            <a:latin typeface="Barlow" pitchFamily="2" charset="77"/>
          </a:endParaRPr>
        </a:p>
      </xdr:txBody>
    </xdr:sp>
    <xdr:clientData/>
  </xdr:twoCellAnchor>
  <xdr:twoCellAnchor editAs="absolute">
    <xdr:from>
      <xdr:col>6</xdr:col>
      <xdr:colOff>0</xdr:colOff>
      <xdr:row>126</xdr:row>
      <xdr:rowOff>0</xdr:rowOff>
    </xdr:from>
    <xdr:to>
      <xdr:col>9</xdr:col>
      <xdr:colOff>49262</xdr:colOff>
      <xdr:row>128</xdr:row>
      <xdr:rowOff>171375</xdr:rowOff>
    </xdr:to>
    <xdr:pic>
      <xdr:nvPicPr>
        <xdr:cNvPr id="69" name="Picture 68">
          <a:extLst>
            <a:ext uri="{FF2B5EF4-FFF2-40B4-BE49-F238E27FC236}">
              <a16:creationId xmlns:a16="http://schemas.microsoft.com/office/drawing/2014/main" id="{00000000-0008-0000-0700-00004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r="64064"/>
        <a:stretch/>
      </xdr:blipFill>
      <xdr:spPr>
        <a:xfrm>
          <a:off x="1143000" y="24003000"/>
          <a:ext cx="618857" cy="556185"/>
        </a:xfrm>
        <a:prstGeom prst="rect">
          <a:avLst/>
        </a:prstGeom>
      </xdr:spPr>
    </xdr:pic>
    <xdr:clientData/>
  </xdr:twoCellAnchor>
  <xdr:twoCellAnchor editAs="absolute">
    <xdr:from>
      <xdr:col>20</xdr:col>
      <xdr:colOff>92522</xdr:colOff>
      <xdr:row>127</xdr:row>
      <xdr:rowOff>2523</xdr:rowOff>
    </xdr:from>
    <xdr:to>
      <xdr:col>34</xdr:col>
      <xdr:colOff>181067</xdr:colOff>
      <xdr:row>170</xdr:row>
      <xdr:rowOff>130858</xdr:rowOff>
    </xdr:to>
    <xdr:pic>
      <xdr:nvPicPr>
        <xdr:cNvPr id="70" name="Picture 69">
          <a:extLst>
            <a:ext uri="{FF2B5EF4-FFF2-40B4-BE49-F238E27FC236}">
              <a16:creationId xmlns:a16="http://schemas.microsoft.com/office/drawing/2014/main" id="{00000000-0008-0000-0700-00004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3898712" y="24196023"/>
          <a:ext cx="2761260" cy="8323645"/>
        </a:xfrm>
        <a:prstGeom prst="rect">
          <a:avLst/>
        </a:prstGeom>
      </xdr:spPr>
    </xdr:pic>
    <xdr:clientData/>
  </xdr:twoCellAnchor>
  <xdr:twoCellAnchor>
    <xdr:from>
      <xdr:col>64</xdr:col>
      <xdr:colOff>0</xdr:colOff>
      <xdr:row>106</xdr:row>
      <xdr:rowOff>0</xdr:rowOff>
    </xdr:from>
    <xdr:to>
      <xdr:col>76</xdr:col>
      <xdr:colOff>0</xdr:colOff>
      <xdr:row>119</xdr:row>
      <xdr:rowOff>0</xdr:rowOff>
    </xdr:to>
    <xdr:grpSp>
      <xdr:nvGrpSpPr>
        <xdr:cNvPr id="71" name="Group 70">
          <a:extLst>
            <a:ext uri="{FF2B5EF4-FFF2-40B4-BE49-F238E27FC236}">
              <a16:creationId xmlns:a16="http://schemas.microsoft.com/office/drawing/2014/main" id="{00000000-0008-0000-0700-000047000000}"/>
            </a:ext>
          </a:extLst>
        </xdr:cNvPr>
        <xdr:cNvGrpSpPr/>
      </xdr:nvGrpSpPr>
      <xdr:grpSpPr>
        <a:xfrm>
          <a:off x="12192000" y="20193000"/>
          <a:ext cx="2286000" cy="2476500"/>
          <a:chOff x="4661648" y="37293177"/>
          <a:chExt cx="2330824" cy="2525059"/>
        </a:xfrm>
      </xdr:grpSpPr>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4855883" y="38260617"/>
            <a:ext cx="971176" cy="780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4855882" y="38847059"/>
            <a:ext cx="1362186" cy="188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BSB #</a:t>
            </a:r>
          </a:p>
        </xdr:txBody>
      </xdr:sp>
      <xdr:sp macro="" textlink="">
        <xdr:nvSpPr>
          <xdr:cNvPr id="74" name="TextBox 73">
            <a:extLst>
              <a:ext uri="{FF2B5EF4-FFF2-40B4-BE49-F238E27FC236}">
                <a16:creationId xmlns:a16="http://schemas.microsoft.com/office/drawing/2014/main" id="{00000000-0008-0000-0700-00004A000000}"/>
              </a:ext>
            </a:extLst>
          </xdr:cNvPr>
          <xdr:cNvSpPr txBox="1"/>
        </xdr:nvSpPr>
        <xdr:spPr>
          <a:xfrm>
            <a:off x="4855882" y="39041294"/>
            <a:ext cx="1553883"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ACCOUNT</a:t>
            </a:r>
            <a:r>
              <a:rPr lang="en-US" sz="1000" b="1" i="0" u="none" strike="noStrike" baseline="0">
                <a:solidFill>
                  <a:srgbClr val="2A2A2A"/>
                </a:solidFill>
                <a:latin typeface="Overpass" panose="00000500000000000000" pitchFamily="2" charset="0"/>
                <a:ea typeface="+mn-ea"/>
                <a:cs typeface="Calibri"/>
              </a:rPr>
              <a:t> #</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75" name="TextBox 74">
            <a:extLst>
              <a:ext uri="{FF2B5EF4-FFF2-40B4-BE49-F238E27FC236}">
                <a16:creationId xmlns:a16="http://schemas.microsoft.com/office/drawing/2014/main" id="{00000000-0008-0000-0700-00004B000000}"/>
              </a:ext>
            </a:extLst>
          </xdr:cNvPr>
          <xdr:cNvSpPr txBox="1"/>
        </xdr:nvSpPr>
        <xdr:spPr>
          <a:xfrm>
            <a:off x="4855882" y="39237702"/>
            <a:ext cx="1553883"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ABN</a:t>
            </a:r>
          </a:p>
        </xdr:txBody>
      </xdr:sp>
      <xdr:sp macro="" textlink="">
        <xdr:nvSpPr>
          <xdr:cNvPr id="76" name="TextBox 75">
            <a:extLst>
              <a:ext uri="{FF2B5EF4-FFF2-40B4-BE49-F238E27FC236}">
                <a16:creationId xmlns:a16="http://schemas.microsoft.com/office/drawing/2014/main" id="{00000000-0008-0000-0700-00004C000000}"/>
              </a:ext>
            </a:extLst>
          </xdr:cNvPr>
          <xdr:cNvSpPr txBox="1"/>
        </xdr:nvSpPr>
        <xdr:spPr>
          <a:xfrm>
            <a:off x="5827059" y="38847059"/>
            <a:ext cx="971177"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062 313</a:t>
            </a:r>
          </a:p>
        </xdr:txBody>
      </xdr:sp>
      <xdr:sp macro="" textlink="">
        <xdr:nvSpPr>
          <xdr:cNvPr id="77" name="TextBox 76">
            <a:extLst>
              <a:ext uri="{FF2B5EF4-FFF2-40B4-BE49-F238E27FC236}">
                <a16:creationId xmlns:a16="http://schemas.microsoft.com/office/drawing/2014/main" id="{00000000-0008-0000-0700-00004D000000}"/>
              </a:ext>
            </a:extLst>
          </xdr:cNvPr>
          <xdr:cNvSpPr txBox="1"/>
        </xdr:nvSpPr>
        <xdr:spPr>
          <a:xfrm>
            <a:off x="5827059" y="39041983"/>
            <a:ext cx="776941" cy="194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1026 1167</a:t>
            </a:r>
          </a:p>
        </xdr:txBody>
      </xdr:sp>
      <xdr:sp macro="" textlink="">
        <xdr:nvSpPr>
          <xdr:cNvPr id="78" name="TextBox 77">
            <a:extLst>
              <a:ext uri="{FF2B5EF4-FFF2-40B4-BE49-F238E27FC236}">
                <a16:creationId xmlns:a16="http://schemas.microsoft.com/office/drawing/2014/main" id="{00000000-0008-0000-0700-00004E000000}"/>
              </a:ext>
            </a:extLst>
          </xdr:cNvPr>
          <xdr:cNvSpPr txBox="1"/>
        </xdr:nvSpPr>
        <xdr:spPr>
          <a:xfrm>
            <a:off x="5827059" y="39237702"/>
            <a:ext cx="1165412" cy="19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27 155 596 928</a:t>
            </a:r>
          </a:p>
        </xdr:txBody>
      </xdr:sp>
      <xdr:sp macro="" textlink="">
        <xdr:nvSpPr>
          <xdr:cNvPr id="79" name="Rounded Rectangle 78">
            <a:extLst>
              <a:ext uri="{FF2B5EF4-FFF2-40B4-BE49-F238E27FC236}">
                <a16:creationId xmlns:a16="http://schemas.microsoft.com/office/drawing/2014/main" id="{00000000-0008-0000-0700-00004F000000}"/>
              </a:ext>
            </a:extLst>
          </xdr:cNvPr>
          <xdr:cNvSpPr/>
        </xdr:nvSpPr>
        <xdr:spPr>
          <a:xfrm>
            <a:off x="4661648" y="37293177"/>
            <a:ext cx="2330824" cy="2525059"/>
          </a:xfrm>
          <a:prstGeom prst="roundRect">
            <a:avLst>
              <a:gd name="adj" fmla="val 8128"/>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0" name="TextBox 236">
            <a:extLst>
              <a:ext uri="{FF2B5EF4-FFF2-40B4-BE49-F238E27FC236}">
                <a16:creationId xmlns:a16="http://schemas.microsoft.com/office/drawing/2014/main" id="{00000000-0008-0000-0700-000050000000}"/>
              </a:ext>
            </a:extLst>
          </xdr:cNvPr>
          <xdr:cNvSpPr txBox="1"/>
        </xdr:nvSpPr>
        <xdr:spPr>
          <a:xfrm>
            <a:off x="4855882" y="37681647"/>
            <a:ext cx="1748118" cy="194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28066C"/>
                </a:solidFill>
                <a:latin typeface="Overpass" panose="00000500000000000000" pitchFamily="2" charset="0"/>
                <a:ea typeface="+mn-ea"/>
                <a:cs typeface="Calibri"/>
              </a:rPr>
              <a:t>BANK DETAILS</a:t>
            </a:r>
          </a:p>
        </xdr:txBody>
      </xdr:sp>
      <xdr:cxnSp macro="">
        <xdr:nvCxnSpPr>
          <xdr:cNvPr id="81" name="Straight Connector 16">
            <a:extLst>
              <a:ext uri="{FF2B5EF4-FFF2-40B4-BE49-F238E27FC236}">
                <a16:creationId xmlns:a16="http://schemas.microsoft.com/office/drawing/2014/main" id="{00000000-0008-0000-0700-000051000000}"/>
              </a:ext>
            </a:extLst>
          </xdr:cNvPr>
          <xdr:cNvCxnSpPr/>
        </xdr:nvCxnSpPr>
        <xdr:spPr>
          <a:xfrm>
            <a:off x="4855882" y="38070118"/>
            <a:ext cx="194235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clientData/>
  </xdr:twoCellAnchor>
  <xdr:twoCellAnchor>
    <xdr:from>
      <xdr:col>6</xdr:col>
      <xdr:colOff>2369</xdr:colOff>
      <xdr:row>94</xdr:row>
      <xdr:rowOff>7800</xdr:rowOff>
    </xdr:from>
    <xdr:to>
      <xdr:col>36</xdr:col>
      <xdr:colOff>2369</xdr:colOff>
      <xdr:row>107</xdr:row>
      <xdr:rowOff>7804</xdr:rowOff>
    </xdr:to>
    <xdr:grpSp>
      <xdr:nvGrpSpPr>
        <xdr:cNvPr id="82" name="Group 81">
          <a:extLst>
            <a:ext uri="{FF2B5EF4-FFF2-40B4-BE49-F238E27FC236}">
              <a16:creationId xmlns:a16="http://schemas.microsoft.com/office/drawing/2014/main" id="{00000000-0008-0000-0700-000052000000}"/>
            </a:ext>
          </a:extLst>
        </xdr:cNvPr>
        <xdr:cNvGrpSpPr/>
      </xdr:nvGrpSpPr>
      <xdr:grpSpPr>
        <a:xfrm>
          <a:off x="1145369" y="17916705"/>
          <a:ext cx="5715000" cy="2476504"/>
          <a:chOff x="1136069" y="17430043"/>
          <a:chExt cx="5693103" cy="2464926"/>
        </a:xfrm>
      </xdr:grpSpPr>
      <xdr:cxnSp macro="">
        <xdr:nvCxnSpPr>
          <xdr:cNvPr id="83" name="Straight Connector 16">
            <a:extLst>
              <a:ext uri="{FF2B5EF4-FFF2-40B4-BE49-F238E27FC236}">
                <a16:creationId xmlns:a16="http://schemas.microsoft.com/office/drawing/2014/main" id="{00000000-0008-0000-0700-000053000000}"/>
              </a:ext>
            </a:extLst>
          </xdr:cNvPr>
          <xdr:cNvCxnSpPr/>
        </xdr:nvCxnSpPr>
        <xdr:spPr>
          <a:xfrm>
            <a:off x="1136069" y="17430043"/>
            <a:ext cx="5693103"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sp macro="" textlink="SOLAR!D14">
        <xdr:nvSpPr>
          <xdr:cNvPr id="84" name="TextBox 1">
            <a:extLst>
              <a:ext uri="{FF2B5EF4-FFF2-40B4-BE49-F238E27FC236}">
                <a16:creationId xmlns:a16="http://schemas.microsoft.com/office/drawing/2014/main" id="{00000000-0008-0000-0700-000054000000}"/>
              </a:ext>
            </a:extLst>
          </xdr:cNvPr>
          <xdr:cNvSpPr txBox="1"/>
        </xdr:nvSpPr>
        <xdr:spPr>
          <a:xfrm>
            <a:off x="2847100" y="19142689"/>
            <a:ext cx="3981539" cy="18944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C0DC45B-3AA6-2A45-8DC9-1D906111856F}"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sp macro="" textlink="SOLAR!D16">
        <xdr:nvSpPr>
          <xdr:cNvPr id="85" name="TextBox 28">
            <a:extLst>
              <a:ext uri="{FF2B5EF4-FFF2-40B4-BE49-F238E27FC236}">
                <a16:creationId xmlns:a16="http://schemas.microsoft.com/office/drawing/2014/main" id="{00000000-0008-0000-0700-000055000000}"/>
              </a:ext>
            </a:extLst>
          </xdr:cNvPr>
          <xdr:cNvSpPr txBox="1"/>
        </xdr:nvSpPr>
        <xdr:spPr>
          <a:xfrm>
            <a:off x="2847100" y="19332137"/>
            <a:ext cx="3980171" cy="1894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E7EE733-BEEB-A244-A224-5AB4EBE2882A}" type="TxLink">
              <a:rPr lang="en-US" sz="1000" b="0" i="0" u="sng"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sp macro="" textlink="SOLAR!D15">
        <xdr:nvSpPr>
          <xdr:cNvPr id="86" name="TextBox 29">
            <a:extLst>
              <a:ext uri="{FF2B5EF4-FFF2-40B4-BE49-F238E27FC236}">
                <a16:creationId xmlns:a16="http://schemas.microsoft.com/office/drawing/2014/main" id="{00000000-0008-0000-0700-000056000000}"/>
              </a:ext>
            </a:extLst>
          </xdr:cNvPr>
          <xdr:cNvSpPr txBox="1"/>
        </xdr:nvSpPr>
        <xdr:spPr>
          <a:xfrm>
            <a:off x="2844616" y="19521584"/>
            <a:ext cx="3983150" cy="18944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B3F0826-7927-1C42-92D1-BF7DEBE0FE03}"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sp macro="" textlink="SOLAR!D10">
        <xdr:nvSpPr>
          <xdr:cNvPr id="87" name="TextBox 30">
            <a:extLst>
              <a:ext uri="{FF2B5EF4-FFF2-40B4-BE49-F238E27FC236}">
                <a16:creationId xmlns:a16="http://schemas.microsoft.com/office/drawing/2014/main" id="{00000000-0008-0000-0700-000057000000}"/>
              </a:ext>
            </a:extLst>
          </xdr:cNvPr>
          <xdr:cNvSpPr txBox="1"/>
        </xdr:nvSpPr>
        <xdr:spPr>
          <a:xfrm>
            <a:off x="2846020" y="18189934"/>
            <a:ext cx="3983152" cy="56834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167335E-5208-E843-A813-5184E58F571B}" type="TxLink">
              <a:rPr lang="en-US" sz="1200" b="0" i="0" u="none" strike="noStrike">
                <a:solidFill>
                  <a:srgbClr val="27056C"/>
                </a:solidFill>
                <a:latin typeface="Overpass" pitchFamily="2" charset="77"/>
                <a:ea typeface="+mn-ea"/>
                <a:cs typeface="Calibri"/>
              </a:rPr>
              <a:pPr marL="0" indent="0" algn="l"/>
              <a:t> </a:t>
            </a:fld>
            <a:endParaRPr lang="en-AU" sz="1200" b="0" i="0" u="none" strike="noStrike">
              <a:solidFill>
                <a:srgbClr val="27056C"/>
              </a:solidFill>
              <a:latin typeface="Overpass" pitchFamily="2" charset="77"/>
              <a:ea typeface="+mn-ea"/>
              <a:cs typeface="Calibri"/>
            </a:endParaRPr>
          </a:p>
        </xdr:txBody>
      </xdr:sp>
      <xdr:sp macro="" textlink="SOLAR!D17">
        <xdr:nvSpPr>
          <xdr:cNvPr id="88" name="TextBox 114">
            <a:extLst>
              <a:ext uri="{FF2B5EF4-FFF2-40B4-BE49-F238E27FC236}">
                <a16:creationId xmlns:a16="http://schemas.microsoft.com/office/drawing/2014/main" id="{00000000-0008-0000-0700-000058000000}"/>
              </a:ext>
            </a:extLst>
          </xdr:cNvPr>
          <xdr:cNvSpPr txBox="1"/>
        </xdr:nvSpPr>
        <xdr:spPr>
          <a:xfrm>
            <a:off x="2847101" y="18758277"/>
            <a:ext cx="3980234" cy="19496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610D17-4F23-2E47-B57E-B357A69830EC}" type="TxLink">
              <a:rPr lang="en-US" sz="1000" b="0" i="0" u="none" strike="noStrike">
                <a:solidFill>
                  <a:srgbClr val="2A2A2A"/>
                </a:solidFill>
                <a:latin typeface="Overpass" pitchFamily="2" charset="77"/>
                <a:ea typeface="+mn-ea"/>
                <a:cs typeface="Calibri"/>
              </a:rPr>
              <a:pPr marL="0" indent="0" algn="l"/>
              <a:t> </a:t>
            </a:fld>
            <a:endParaRPr lang="en-AU" sz="1000" b="0" i="0" u="none" strike="noStrike">
              <a:solidFill>
                <a:srgbClr val="2A2A2A"/>
              </a:solidFill>
              <a:latin typeface="Overpass" pitchFamily="2" charset="77"/>
              <a:ea typeface="+mn-ea"/>
              <a:cs typeface="Calibri"/>
            </a:endParaRPr>
          </a:p>
        </xdr:txBody>
      </xdr:sp>
      <xdr:sp macro="" textlink="'Linking Cells'!K3">
        <xdr:nvSpPr>
          <xdr:cNvPr id="89" name="TextBox 115">
            <a:extLst>
              <a:ext uri="{FF2B5EF4-FFF2-40B4-BE49-F238E27FC236}">
                <a16:creationId xmlns:a16="http://schemas.microsoft.com/office/drawing/2014/main" id="{00000000-0008-0000-0700-000059000000}"/>
              </a:ext>
            </a:extLst>
          </xdr:cNvPr>
          <xdr:cNvSpPr txBox="1"/>
        </xdr:nvSpPr>
        <xdr:spPr>
          <a:xfrm>
            <a:off x="2847100" y="18953239"/>
            <a:ext cx="3981539" cy="18945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6CA559E-7C56-44E0-A229-1E71EA441F40}" type="TxLink">
              <a:rPr lang="en-US" sz="1000" b="0" i="0" u="none" strike="noStrike">
                <a:solidFill>
                  <a:srgbClr val="2A2A2A"/>
                </a:solidFill>
                <a:latin typeface="Overpass" panose="00000500000000000000" pitchFamily="2" charset="0"/>
                <a:ea typeface="Calibri"/>
                <a:cs typeface="Calibri"/>
              </a:rPr>
              <a:pPr marL="0" indent="0" algn="l"/>
              <a:t>  NSW, 2000</a:t>
            </a:fld>
            <a:endParaRPr lang="en-AU" sz="800" b="0" i="0" u="none" strike="noStrike">
              <a:solidFill>
                <a:srgbClr val="2A2A2A"/>
              </a:solidFill>
              <a:latin typeface="Overpass" panose="00000500000000000000" pitchFamily="2" charset="0"/>
              <a:ea typeface="+mn-ea"/>
              <a:cs typeface="Calibri"/>
            </a:endParaRPr>
          </a:p>
        </xdr:txBody>
      </xdr:sp>
      <xdr:sp macro="" textlink="'Linking Cells'!K4">
        <xdr:nvSpPr>
          <xdr:cNvPr id="90" name="TextBox 116">
            <a:extLst>
              <a:ext uri="{FF2B5EF4-FFF2-40B4-BE49-F238E27FC236}">
                <a16:creationId xmlns:a16="http://schemas.microsoft.com/office/drawing/2014/main" id="{00000000-0008-0000-0700-00005A000000}"/>
              </a:ext>
            </a:extLst>
          </xdr:cNvPr>
          <xdr:cNvSpPr txBox="1"/>
        </xdr:nvSpPr>
        <xdr:spPr>
          <a:xfrm>
            <a:off x="2847100" y="19711033"/>
            <a:ext cx="3980171" cy="18393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D62162-6D04-44FE-A8B6-53C91CE3D21B}" type="TxLink">
              <a:rPr lang="en-US" sz="1000" b="0" i="0" u="none" strike="noStrike">
                <a:solidFill>
                  <a:srgbClr val="2A2A2A"/>
                </a:solidFill>
                <a:latin typeface="Overpass" panose="00000500000000000000" pitchFamily="2" charset="0"/>
                <a:ea typeface="Calibri"/>
                <a:cs typeface="Calibri"/>
              </a:rPr>
              <a:pPr marL="0" indent="0" algn="l"/>
              <a:t>  ,</a:t>
            </a:fld>
            <a:endParaRPr lang="en-AU" sz="800" b="0" i="0" u="none" strike="noStrike">
              <a:solidFill>
                <a:srgbClr val="2A2A2A"/>
              </a:solidFill>
              <a:latin typeface="Overpass" panose="00000500000000000000" pitchFamily="2" charset="0"/>
              <a:ea typeface="+mn-ea"/>
              <a:cs typeface="Calibri"/>
            </a:endParaRPr>
          </a:p>
        </xdr:txBody>
      </xdr:sp>
      <xdr:sp macro="" textlink="">
        <xdr:nvSpPr>
          <xdr:cNvPr id="91" name="TextBox 76">
            <a:extLst>
              <a:ext uri="{FF2B5EF4-FFF2-40B4-BE49-F238E27FC236}">
                <a16:creationId xmlns:a16="http://schemas.microsoft.com/office/drawing/2014/main" id="{00000000-0008-0000-0700-00005B000000}"/>
              </a:ext>
            </a:extLst>
          </xdr:cNvPr>
          <xdr:cNvSpPr txBox="1"/>
        </xdr:nvSpPr>
        <xdr:spPr>
          <a:xfrm>
            <a:off x="1136069" y="18379393"/>
            <a:ext cx="1520151" cy="189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PROJECT</a:t>
            </a:r>
            <a:r>
              <a:rPr lang="en-US" sz="1000" b="1" i="0" u="none" strike="noStrike" baseline="0">
                <a:solidFill>
                  <a:srgbClr val="2A2A2A"/>
                </a:solidFill>
                <a:latin typeface="Overpass" panose="00000500000000000000" pitchFamily="2" charset="0"/>
                <a:ea typeface="+mn-ea"/>
                <a:cs typeface="Calibri"/>
              </a:rPr>
              <a:t> NAME</a:t>
            </a:r>
            <a:endParaRPr lang="en-US" sz="1000" b="1" i="0" u="none" strike="noStrike">
              <a:solidFill>
                <a:srgbClr val="2A2A2A"/>
              </a:solidFill>
              <a:latin typeface="Overpass" panose="00000500000000000000" pitchFamily="2" charset="0"/>
              <a:ea typeface="+mn-ea"/>
              <a:cs typeface="Calibri"/>
            </a:endParaRPr>
          </a:p>
        </xdr:txBody>
      </xdr:sp>
      <xdr:sp macro="" textlink="">
        <xdr:nvSpPr>
          <xdr:cNvPr id="92" name="TextBox 119">
            <a:extLst>
              <a:ext uri="{FF2B5EF4-FFF2-40B4-BE49-F238E27FC236}">
                <a16:creationId xmlns:a16="http://schemas.microsoft.com/office/drawing/2014/main" id="{00000000-0008-0000-0700-00005C000000}"/>
              </a:ext>
            </a:extLst>
          </xdr:cNvPr>
          <xdr:cNvSpPr txBox="1"/>
        </xdr:nvSpPr>
        <xdr:spPr>
          <a:xfrm>
            <a:off x="1139968" y="18763792"/>
            <a:ext cx="1516371" cy="1894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NMI</a:t>
            </a:r>
          </a:p>
        </xdr:txBody>
      </xdr:sp>
      <xdr:sp macro="" textlink="">
        <xdr:nvSpPr>
          <xdr:cNvPr id="93" name="TextBox 123">
            <a:extLst>
              <a:ext uri="{FF2B5EF4-FFF2-40B4-BE49-F238E27FC236}">
                <a16:creationId xmlns:a16="http://schemas.microsoft.com/office/drawing/2014/main" id="{00000000-0008-0000-0700-00005D000000}"/>
              </a:ext>
            </a:extLst>
          </xdr:cNvPr>
          <xdr:cNvSpPr txBox="1"/>
        </xdr:nvSpPr>
        <xdr:spPr>
          <a:xfrm>
            <a:off x="1139968" y="18953239"/>
            <a:ext cx="1516371" cy="189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INSTALL ADDRESS</a:t>
            </a:r>
          </a:p>
        </xdr:txBody>
      </xdr:sp>
      <xdr:sp macro="" textlink="">
        <xdr:nvSpPr>
          <xdr:cNvPr id="94" name="TextBox 128">
            <a:extLst>
              <a:ext uri="{FF2B5EF4-FFF2-40B4-BE49-F238E27FC236}">
                <a16:creationId xmlns:a16="http://schemas.microsoft.com/office/drawing/2014/main" id="{00000000-0008-0000-0700-00005E000000}"/>
              </a:ext>
            </a:extLst>
          </xdr:cNvPr>
          <xdr:cNvSpPr txBox="1"/>
        </xdr:nvSpPr>
        <xdr:spPr>
          <a:xfrm>
            <a:off x="1139968" y="19142689"/>
            <a:ext cx="1516371" cy="178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CLIENT</a:t>
            </a:r>
          </a:p>
        </xdr:txBody>
      </xdr:sp>
      <xdr:sp macro="" textlink="">
        <xdr:nvSpPr>
          <xdr:cNvPr id="95" name="TextBox 145">
            <a:extLst>
              <a:ext uri="{FF2B5EF4-FFF2-40B4-BE49-F238E27FC236}">
                <a16:creationId xmlns:a16="http://schemas.microsoft.com/office/drawing/2014/main" id="{00000000-0008-0000-0700-00005F000000}"/>
              </a:ext>
            </a:extLst>
          </xdr:cNvPr>
          <xdr:cNvSpPr txBox="1"/>
        </xdr:nvSpPr>
        <xdr:spPr>
          <a:xfrm>
            <a:off x="1139968" y="19333500"/>
            <a:ext cx="1516371" cy="187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sp macro="" textlink="">
        <xdr:nvSpPr>
          <xdr:cNvPr id="96" name="TextBox 153">
            <a:extLst>
              <a:ext uri="{FF2B5EF4-FFF2-40B4-BE49-F238E27FC236}">
                <a16:creationId xmlns:a16="http://schemas.microsoft.com/office/drawing/2014/main" id="{00000000-0008-0000-0700-000060000000}"/>
              </a:ext>
            </a:extLst>
          </xdr:cNvPr>
          <xdr:cNvSpPr txBox="1"/>
        </xdr:nvSpPr>
        <xdr:spPr>
          <a:xfrm>
            <a:off x="1140463" y="19518598"/>
            <a:ext cx="1516371" cy="192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sp macro="" textlink="">
        <xdr:nvSpPr>
          <xdr:cNvPr id="97" name="TextBox 185">
            <a:extLst>
              <a:ext uri="{FF2B5EF4-FFF2-40B4-BE49-F238E27FC236}">
                <a16:creationId xmlns:a16="http://schemas.microsoft.com/office/drawing/2014/main" id="{00000000-0008-0000-0700-000061000000}"/>
              </a:ext>
            </a:extLst>
          </xdr:cNvPr>
          <xdr:cNvSpPr txBox="1"/>
        </xdr:nvSpPr>
        <xdr:spPr>
          <a:xfrm>
            <a:off x="1139968" y="19708048"/>
            <a:ext cx="1516371" cy="186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BILLING ADDRESS</a:t>
            </a:r>
          </a:p>
        </xdr:txBody>
      </xdr:sp>
      <xdr:sp macro="" textlink="">
        <xdr:nvSpPr>
          <xdr:cNvPr id="98" name="TextBox 190">
            <a:extLst>
              <a:ext uri="{FF2B5EF4-FFF2-40B4-BE49-F238E27FC236}">
                <a16:creationId xmlns:a16="http://schemas.microsoft.com/office/drawing/2014/main" id="{00000000-0008-0000-0700-000062000000}"/>
              </a:ext>
            </a:extLst>
          </xdr:cNvPr>
          <xdr:cNvSpPr txBox="1"/>
        </xdr:nvSpPr>
        <xdr:spPr>
          <a:xfrm>
            <a:off x="1424731" y="17806107"/>
            <a:ext cx="1805201" cy="378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for</a:t>
            </a:r>
          </a:p>
        </xdr:txBody>
      </xdr:sp>
      <xdr:cxnSp macro="">
        <xdr:nvCxnSpPr>
          <xdr:cNvPr id="99" name="Straight Connector 205">
            <a:extLst>
              <a:ext uri="{FF2B5EF4-FFF2-40B4-BE49-F238E27FC236}">
                <a16:creationId xmlns:a16="http://schemas.microsoft.com/office/drawing/2014/main" id="{00000000-0008-0000-0700-000063000000}"/>
              </a:ext>
            </a:extLst>
          </xdr:cNvPr>
          <xdr:cNvCxnSpPr/>
        </xdr:nvCxnSpPr>
        <xdr:spPr>
          <a:xfrm>
            <a:off x="1233945" y="17806101"/>
            <a:ext cx="0" cy="378896"/>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100786</xdr:colOff>
      <xdr:row>111</xdr:row>
      <xdr:rowOff>17969</xdr:rowOff>
    </xdr:from>
    <xdr:to>
      <xdr:col>17</xdr:col>
      <xdr:colOff>4423</xdr:colOff>
      <xdr:row>113</xdr:row>
      <xdr:rowOff>18688</xdr:rowOff>
    </xdr:to>
    <xdr:sp macro="" textlink="">
      <xdr:nvSpPr>
        <xdr:cNvPr id="100" name="TextBox 99">
          <a:extLst>
            <a:ext uri="{FF2B5EF4-FFF2-40B4-BE49-F238E27FC236}">
              <a16:creationId xmlns:a16="http://schemas.microsoft.com/office/drawing/2014/main" id="{00000000-0008-0000-0700-000064000000}"/>
            </a:ext>
          </a:extLst>
        </xdr:cNvPr>
        <xdr:cNvSpPr txBox="1"/>
      </xdr:nvSpPr>
      <xdr:spPr>
        <a:xfrm>
          <a:off x="1434286" y="21163469"/>
          <a:ext cx="1808637" cy="381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2000" b="0" i="0">
              <a:solidFill>
                <a:srgbClr val="28066C"/>
              </a:solidFill>
              <a:latin typeface="Barlow" pitchFamily="2" charset="77"/>
            </a:rPr>
            <a:t>Prepared by</a:t>
          </a:r>
        </a:p>
      </xdr:txBody>
    </xdr:sp>
    <xdr:clientData/>
  </xdr:twoCellAnchor>
  <xdr:twoCellAnchor>
    <xdr:from>
      <xdr:col>6</xdr:col>
      <xdr:colOff>1639</xdr:colOff>
      <xdr:row>109</xdr:row>
      <xdr:rowOff>9437</xdr:rowOff>
    </xdr:from>
    <xdr:to>
      <xdr:col>36</xdr:col>
      <xdr:colOff>1639</xdr:colOff>
      <xdr:row>118</xdr:row>
      <xdr:rowOff>9437</xdr:rowOff>
    </xdr:to>
    <xdr:grpSp>
      <xdr:nvGrpSpPr>
        <xdr:cNvPr id="101" name="Group 100">
          <a:extLst>
            <a:ext uri="{FF2B5EF4-FFF2-40B4-BE49-F238E27FC236}">
              <a16:creationId xmlns:a16="http://schemas.microsoft.com/office/drawing/2014/main" id="{00000000-0008-0000-0700-000065000000}"/>
            </a:ext>
          </a:extLst>
        </xdr:cNvPr>
        <xdr:cNvGrpSpPr/>
      </xdr:nvGrpSpPr>
      <xdr:grpSpPr>
        <a:xfrm>
          <a:off x="1144639" y="20775842"/>
          <a:ext cx="5715000" cy="1714500"/>
          <a:chOff x="1144639" y="20773937"/>
          <a:chExt cx="5715000" cy="1714500"/>
        </a:xfrm>
      </xdr:grpSpPr>
      <xdr:sp macro="" textlink="SOLAR!D24">
        <xdr:nvSpPr>
          <xdr:cNvPr id="102" name="TextBox 101">
            <a:extLst>
              <a:ext uri="{FF2B5EF4-FFF2-40B4-BE49-F238E27FC236}">
                <a16:creationId xmlns:a16="http://schemas.microsoft.com/office/drawing/2014/main" id="{00000000-0008-0000-0700-000066000000}"/>
              </a:ext>
            </a:extLst>
          </xdr:cNvPr>
          <xdr:cNvSpPr txBox="1"/>
        </xdr:nvSpPr>
        <xdr:spPr>
          <a:xfrm>
            <a:off x="2859831" y="21730969"/>
            <a:ext cx="3996796" cy="19059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B6B5D5-7783-9B48-9328-AEF5E0F40730}" type="TxLink">
              <a:rPr lang="en-US" sz="1000" b="0" i="0" u="none" strike="noStrike">
                <a:solidFill>
                  <a:srgbClr val="2A2A2A"/>
                </a:solidFill>
                <a:latin typeface="Overpass" pitchFamily="2" charset="77"/>
                <a:ea typeface="+mn-ea"/>
                <a:cs typeface="Calibri"/>
              </a:rPr>
              <a:pPr marL="0" indent="0" algn="l"/>
              <a:t>Jon Vlatko</a:t>
            </a:fld>
            <a:endParaRPr lang="en-AU" sz="1000" b="0" i="0" u="none" strike="noStrike">
              <a:solidFill>
                <a:srgbClr val="2A2A2A"/>
              </a:solidFill>
              <a:latin typeface="Overpass" pitchFamily="2" charset="77"/>
              <a:ea typeface="+mn-ea"/>
              <a:cs typeface="Calibri"/>
            </a:endParaRPr>
          </a:p>
        </xdr:txBody>
      </xdr:sp>
      <xdr:sp macro="" textlink="SOLAR!D25">
        <xdr:nvSpPr>
          <xdr:cNvPr id="103" name="TextBox 102">
            <a:extLst>
              <a:ext uri="{FF2B5EF4-FFF2-40B4-BE49-F238E27FC236}">
                <a16:creationId xmlns:a16="http://schemas.microsoft.com/office/drawing/2014/main" id="{00000000-0008-0000-0700-000067000000}"/>
              </a:ext>
            </a:extLst>
          </xdr:cNvPr>
          <xdr:cNvSpPr txBox="1"/>
        </xdr:nvSpPr>
        <xdr:spPr>
          <a:xfrm>
            <a:off x="2858786" y="21921829"/>
            <a:ext cx="3998378" cy="18901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864EE43-CDF3-F044-AA90-F5CC665E2498}" type="TxLink">
              <a:rPr lang="en-US" sz="1000" b="0" i="0" u="none" strike="noStrike">
                <a:solidFill>
                  <a:srgbClr val="2A2A2A"/>
                </a:solidFill>
                <a:latin typeface="Overpass" pitchFamily="2" charset="77"/>
                <a:ea typeface="+mn-ea"/>
                <a:cs typeface="Calibri"/>
              </a:rPr>
              <a:pPr marL="0" indent="0" algn="l"/>
              <a:t>0431 294 241</a:t>
            </a:fld>
            <a:endParaRPr lang="en-AU" sz="1000" b="0" i="0" u="none" strike="noStrike">
              <a:solidFill>
                <a:srgbClr val="2A2A2A"/>
              </a:solidFill>
              <a:latin typeface="Overpass" pitchFamily="2" charset="77"/>
              <a:ea typeface="+mn-ea"/>
              <a:cs typeface="Calibri"/>
            </a:endParaRPr>
          </a:p>
        </xdr:txBody>
      </xdr:sp>
      <xdr:sp macro="" textlink="SOLAR!D26">
        <xdr:nvSpPr>
          <xdr:cNvPr id="104" name="TextBox 103">
            <a:extLst>
              <a:ext uri="{FF2B5EF4-FFF2-40B4-BE49-F238E27FC236}">
                <a16:creationId xmlns:a16="http://schemas.microsoft.com/office/drawing/2014/main" id="{00000000-0008-0000-0700-000068000000}"/>
              </a:ext>
            </a:extLst>
          </xdr:cNvPr>
          <xdr:cNvSpPr txBox="1"/>
        </xdr:nvSpPr>
        <xdr:spPr>
          <a:xfrm>
            <a:off x="2864495" y="22113801"/>
            <a:ext cx="3995144" cy="18674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FCD6DD5-5C57-8742-95EE-71BFF757FB28}" type="TxLink">
              <a:rPr lang="en-US" sz="1000" b="0" i="0" u="none" strike="noStrike">
                <a:solidFill>
                  <a:srgbClr val="2A2A2A"/>
                </a:solidFill>
                <a:latin typeface="Overpass" pitchFamily="2" charset="77"/>
                <a:ea typeface="+mn-ea"/>
                <a:cs typeface="Calibri"/>
              </a:rPr>
              <a:pPr marL="0" indent="0" algn="l"/>
              <a:t>jon@smartcommercialenergy.com.au</a:t>
            </a:fld>
            <a:endParaRPr lang="en-AU" sz="1000" b="0" i="0" u="none" strike="noStrike">
              <a:solidFill>
                <a:srgbClr val="2A2A2A"/>
              </a:solidFill>
              <a:latin typeface="Overpass" pitchFamily="2" charset="77"/>
              <a:ea typeface="+mn-ea"/>
              <a:cs typeface="Calibri"/>
            </a:endParaRPr>
          </a:p>
        </xdr:txBody>
      </xdr:sp>
      <xdr:sp macro="" textlink="">
        <xdr:nvSpPr>
          <xdr:cNvPr id="105" name="TextBox 104">
            <a:extLst>
              <a:ext uri="{FF2B5EF4-FFF2-40B4-BE49-F238E27FC236}">
                <a16:creationId xmlns:a16="http://schemas.microsoft.com/office/drawing/2014/main" id="{00000000-0008-0000-0700-000069000000}"/>
              </a:ext>
            </a:extLst>
          </xdr:cNvPr>
          <xdr:cNvSpPr txBox="1"/>
        </xdr:nvSpPr>
        <xdr:spPr>
          <a:xfrm>
            <a:off x="2858651" y="22300549"/>
            <a:ext cx="4000751" cy="187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a:solidFill>
                  <a:srgbClr val="2A2A2A"/>
                </a:solidFill>
                <a:latin typeface="Overpass" panose="00000500000000000000" pitchFamily="2" charset="0"/>
                <a:ea typeface="+mn-ea"/>
                <a:cs typeface="Calibri"/>
              </a:rPr>
              <a:t>Suite 6.01, 2 Elizabeth Plaza,</a:t>
            </a:r>
            <a:r>
              <a:rPr lang="en-US" sz="1000" b="0" i="0" u="none" strike="noStrike" baseline="0">
                <a:solidFill>
                  <a:srgbClr val="2A2A2A"/>
                </a:solidFill>
                <a:latin typeface="Overpass" panose="00000500000000000000" pitchFamily="2" charset="0"/>
                <a:ea typeface="+mn-ea"/>
                <a:cs typeface="Calibri"/>
              </a:rPr>
              <a:t> North Sydney 2060</a:t>
            </a:r>
            <a:endParaRPr lang="en-US" sz="1000" b="0" i="0" u="none" strike="noStrike">
              <a:solidFill>
                <a:srgbClr val="2A2A2A"/>
              </a:solidFill>
              <a:latin typeface="Overpass" panose="00000500000000000000" pitchFamily="2" charset="0"/>
              <a:ea typeface="+mn-ea"/>
              <a:cs typeface="Calibri"/>
            </a:endParaRPr>
          </a:p>
        </xdr:txBody>
      </xdr:sp>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144639" y="21730969"/>
            <a:ext cx="1524001" cy="190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CONSULTANT</a:t>
            </a:r>
          </a:p>
        </xdr:txBody>
      </xdr:sp>
      <xdr:sp macro="" textlink="">
        <xdr:nvSpPr>
          <xdr:cNvPr id="107" name="TextBox 106">
            <a:extLst>
              <a:ext uri="{FF2B5EF4-FFF2-40B4-BE49-F238E27FC236}">
                <a16:creationId xmlns:a16="http://schemas.microsoft.com/office/drawing/2014/main" id="{00000000-0008-0000-0700-00006B000000}"/>
              </a:ext>
            </a:extLst>
          </xdr:cNvPr>
          <xdr:cNvSpPr txBox="1"/>
        </xdr:nvSpPr>
        <xdr:spPr>
          <a:xfrm>
            <a:off x="1144639" y="21918835"/>
            <a:ext cx="1524001" cy="193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PHONE</a:t>
            </a:r>
          </a:p>
        </xdr:txBody>
      </xdr:sp>
      <xdr:sp macro="" textlink="">
        <xdr:nvSpPr>
          <xdr:cNvPr id="108" name="TextBox 107">
            <a:extLst>
              <a:ext uri="{FF2B5EF4-FFF2-40B4-BE49-F238E27FC236}">
                <a16:creationId xmlns:a16="http://schemas.microsoft.com/office/drawing/2014/main" id="{00000000-0008-0000-0700-00006C000000}"/>
              </a:ext>
            </a:extLst>
          </xdr:cNvPr>
          <xdr:cNvSpPr txBox="1"/>
        </xdr:nvSpPr>
        <xdr:spPr>
          <a:xfrm>
            <a:off x="1147595" y="22109690"/>
            <a:ext cx="1521045" cy="187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EMAIL</a:t>
            </a:r>
          </a:p>
        </xdr:txBody>
      </xdr:sp>
      <xdr:sp macro="" textlink="">
        <xdr:nvSpPr>
          <xdr:cNvPr id="109" name="TextBox 108">
            <a:extLst>
              <a:ext uri="{FF2B5EF4-FFF2-40B4-BE49-F238E27FC236}">
                <a16:creationId xmlns:a16="http://schemas.microsoft.com/office/drawing/2014/main" id="{00000000-0008-0000-0700-00006D000000}"/>
              </a:ext>
            </a:extLst>
          </xdr:cNvPr>
          <xdr:cNvSpPr txBox="1"/>
        </xdr:nvSpPr>
        <xdr:spPr>
          <a:xfrm>
            <a:off x="1147595" y="22300549"/>
            <a:ext cx="1521045" cy="187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A2A2A"/>
                </a:solidFill>
                <a:latin typeface="Overpass" panose="00000500000000000000" pitchFamily="2" charset="0"/>
                <a:ea typeface="+mn-ea"/>
                <a:cs typeface="Calibri"/>
              </a:rPr>
              <a:t>SMART HQ</a:t>
            </a:r>
          </a:p>
        </xdr:txBody>
      </xdr:sp>
      <xdr:cxnSp macro="">
        <xdr:nvCxnSpPr>
          <xdr:cNvPr id="110" name="Straight Connector 109">
            <a:extLst>
              <a:ext uri="{FF2B5EF4-FFF2-40B4-BE49-F238E27FC236}">
                <a16:creationId xmlns:a16="http://schemas.microsoft.com/office/drawing/2014/main" id="{00000000-0008-0000-0700-00006E000000}"/>
              </a:ext>
            </a:extLst>
          </xdr:cNvPr>
          <xdr:cNvCxnSpPr/>
        </xdr:nvCxnSpPr>
        <xdr:spPr>
          <a:xfrm>
            <a:off x="1243956" y="21163469"/>
            <a:ext cx="0" cy="381719"/>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6">
            <a:extLst>
              <a:ext uri="{FF2B5EF4-FFF2-40B4-BE49-F238E27FC236}">
                <a16:creationId xmlns:a16="http://schemas.microsoft.com/office/drawing/2014/main" id="{00000000-0008-0000-0700-00006F000000}"/>
              </a:ext>
            </a:extLst>
          </xdr:cNvPr>
          <xdr:cNvCxnSpPr/>
        </xdr:nvCxnSpPr>
        <xdr:spPr>
          <a:xfrm>
            <a:off x="1144639" y="20773937"/>
            <a:ext cx="5712525"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grpSp>
    <xdr:clientData/>
  </xdr:twoCellAnchor>
  <xdr:twoCellAnchor>
    <xdr:from>
      <xdr:col>6</xdr:col>
      <xdr:colOff>298</xdr:colOff>
      <xdr:row>69</xdr:row>
      <xdr:rowOff>188145</xdr:rowOff>
    </xdr:from>
    <xdr:to>
      <xdr:col>36</xdr:col>
      <xdr:colOff>0</xdr:colOff>
      <xdr:row>77</xdr:row>
      <xdr:rowOff>188146</xdr:rowOff>
    </xdr:to>
    <xdr:grpSp>
      <xdr:nvGrpSpPr>
        <xdr:cNvPr id="112" name="Group 111">
          <a:extLst>
            <a:ext uri="{FF2B5EF4-FFF2-40B4-BE49-F238E27FC236}">
              <a16:creationId xmlns:a16="http://schemas.microsoft.com/office/drawing/2014/main" id="{00000000-0008-0000-0700-000070000000}"/>
            </a:ext>
          </a:extLst>
        </xdr:cNvPr>
        <xdr:cNvGrpSpPr/>
      </xdr:nvGrpSpPr>
      <xdr:grpSpPr>
        <a:xfrm>
          <a:off x="1143298" y="13332645"/>
          <a:ext cx="5714702" cy="1524001"/>
          <a:chOff x="1143298" y="13517703"/>
          <a:chExt cx="5714702" cy="1521361"/>
        </a:xfrm>
      </xdr:grpSpPr>
      <xdr:sp macro="" textlink="">
        <xdr:nvSpPr>
          <xdr:cNvPr id="113" name="Rounded Rectangle 112">
            <a:extLst>
              <a:ext uri="{FF2B5EF4-FFF2-40B4-BE49-F238E27FC236}">
                <a16:creationId xmlns:a16="http://schemas.microsoft.com/office/drawing/2014/main" id="{00000000-0008-0000-0700-000071000000}"/>
              </a:ext>
            </a:extLst>
          </xdr:cNvPr>
          <xdr:cNvSpPr/>
        </xdr:nvSpPr>
        <xdr:spPr>
          <a:xfrm>
            <a:off x="1143298" y="13517703"/>
            <a:ext cx="5714702" cy="1521361"/>
          </a:xfrm>
          <a:prstGeom prst="roundRect">
            <a:avLst>
              <a:gd name="adj" fmla="val 14502"/>
            </a:avLst>
          </a:prstGeom>
          <a:noFill/>
          <a:ln w="6350">
            <a:solidFill>
              <a:srgbClr val="666666"/>
            </a:solidFill>
          </a:ln>
          <a:effectLst>
            <a:outerShdw blurRad="127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14" name="Group 113">
            <a:extLst>
              <a:ext uri="{FF2B5EF4-FFF2-40B4-BE49-F238E27FC236}">
                <a16:creationId xmlns:a16="http://schemas.microsoft.com/office/drawing/2014/main" id="{00000000-0008-0000-0700-000072000000}"/>
              </a:ext>
            </a:extLst>
          </xdr:cNvPr>
          <xdr:cNvGrpSpPr/>
        </xdr:nvGrpSpPr>
        <xdr:grpSpPr>
          <a:xfrm>
            <a:off x="1524000" y="13907821"/>
            <a:ext cx="2666998" cy="750907"/>
            <a:chOff x="1536807" y="14015138"/>
            <a:chExt cx="2689410" cy="757128"/>
          </a:xfrm>
        </xdr:grpSpPr>
        <xdr:sp macro="" textlink="'EV Chargers Backend'!B23">
          <xdr:nvSpPr>
            <xdr:cNvPr id="119" name="TextBox 118">
              <a:extLst>
                <a:ext uri="{FF2B5EF4-FFF2-40B4-BE49-F238E27FC236}">
                  <a16:creationId xmlns:a16="http://schemas.microsoft.com/office/drawing/2014/main" id="{00000000-0008-0000-0700-000077000000}"/>
                </a:ext>
              </a:extLst>
            </xdr:cNvPr>
            <xdr:cNvSpPr txBox="1"/>
          </xdr:nvSpPr>
          <xdr:spPr>
            <a:xfrm>
              <a:off x="1728908" y="14023355"/>
              <a:ext cx="2497309" cy="55715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EB8E73D8-1542-A841-AE45-B7D95CF9E478}" type="TxLink">
                <a:rPr lang="en-US" sz="2000" b="1" i="0" u="none" strike="noStrike">
                  <a:solidFill>
                    <a:srgbClr val="27056C"/>
                  </a:solidFill>
                  <a:latin typeface="Overpass" pitchFamily="2" charset="77"/>
                  <a:ea typeface="Calibri"/>
                  <a:cs typeface="Calibri"/>
                </a:rPr>
                <a:pPr marL="0" indent="0" algn="l"/>
                <a:t>1 x EVOS 22kW</a:t>
              </a:fld>
              <a:endParaRPr lang="en-AU" sz="2000" b="1" i="0" u="none" strike="noStrike">
                <a:solidFill>
                  <a:srgbClr val="27056C"/>
                </a:solidFill>
                <a:latin typeface="Overpass" pitchFamily="2" charset="77"/>
                <a:ea typeface="Calibri"/>
                <a:cs typeface="Calibri"/>
              </a:endParaRPr>
            </a:p>
          </xdr:txBody>
        </xdr:sp>
        <xdr:sp macro="" textlink="">
          <xdr:nvSpPr>
            <xdr:cNvPr id="120" name="TextBox 119">
              <a:extLst>
                <a:ext uri="{FF2B5EF4-FFF2-40B4-BE49-F238E27FC236}">
                  <a16:creationId xmlns:a16="http://schemas.microsoft.com/office/drawing/2014/main" id="{00000000-0008-0000-0700-000078000000}"/>
                </a:ext>
              </a:extLst>
            </xdr:cNvPr>
            <xdr:cNvSpPr txBox="1"/>
          </xdr:nvSpPr>
          <xdr:spPr>
            <a:xfrm>
              <a:off x="1728908" y="14580511"/>
              <a:ext cx="2305208" cy="191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800" b="1" i="0" u="none" strike="noStrike">
                  <a:solidFill>
                    <a:srgbClr val="666666"/>
                  </a:solidFill>
                  <a:latin typeface="Overpass" panose="00000500000000000000" pitchFamily="2" charset="0"/>
                  <a:ea typeface="+mn-ea"/>
                  <a:cs typeface="Calibri"/>
                </a:rPr>
                <a:t>SYSTEM SIZE</a:t>
              </a:r>
            </a:p>
          </xdr:txBody>
        </xdr:sp>
        <xdr:cxnSp macro="">
          <xdr:nvCxnSpPr>
            <xdr:cNvPr id="121" name="Straight Connector 120">
              <a:extLst>
                <a:ext uri="{FF2B5EF4-FFF2-40B4-BE49-F238E27FC236}">
                  <a16:creationId xmlns:a16="http://schemas.microsoft.com/office/drawing/2014/main" id="{00000000-0008-0000-0700-000079000000}"/>
                </a:ext>
              </a:extLst>
            </xdr:cNvPr>
            <xdr:cNvCxnSpPr/>
          </xdr:nvCxnSpPr>
          <xdr:spPr>
            <a:xfrm>
              <a:off x="1536807" y="14015138"/>
              <a:ext cx="0" cy="757119"/>
            </a:xfrm>
            <a:prstGeom prst="line">
              <a:avLst/>
            </a:prstGeom>
            <a:ln w="25400">
              <a:solidFill>
                <a:srgbClr val="99CCFF"/>
              </a:solidFill>
            </a:ln>
          </xdr:spPr>
          <xdr:style>
            <a:lnRef idx="1">
              <a:schemeClr val="accent1"/>
            </a:lnRef>
            <a:fillRef idx="0">
              <a:schemeClr val="accent1"/>
            </a:fillRef>
            <a:effectRef idx="0">
              <a:schemeClr val="accent1"/>
            </a:effectRef>
            <a:fontRef idx="minor">
              <a:schemeClr val="tx1"/>
            </a:fontRef>
          </xdr:style>
        </xdr:cxnSp>
      </xdr:grpSp>
      <xdr:sp macro="" textlink="SOLAR!G10">
        <xdr:nvSpPr>
          <xdr:cNvPr id="115" name="TextBox 114">
            <a:extLst>
              <a:ext uri="{FF2B5EF4-FFF2-40B4-BE49-F238E27FC236}">
                <a16:creationId xmlns:a16="http://schemas.microsoft.com/office/drawing/2014/main" id="{00000000-0008-0000-0700-000073000000}"/>
              </a:ext>
            </a:extLst>
          </xdr:cNvPr>
          <xdr:cNvSpPr txBox="1"/>
        </xdr:nvSpPr>
        <xdr:spPr>
          <a:xfrm>
            <a:off x="5340120" y="13915245"/>
            <a:ext cx="1327380" cy="36314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F5F9691-95CE-C548-A0DC-7D79291C29D3}" type="TxLink">
              <a:rPr lang="en-US" sz="1100" b="0" i="0" u="none" strike="noStrike">
                <a:solidFill>
                  <a:srgbClr val="2A2A2A"/>
                </a:solidFill>
                <a:latin typeface="Overpass" pitchFamily="2" charset="77"/>
                <a:ea typeface="+mn-ea"/>
                <a:cs typeface="Calibri"/>
              </a:rPr>
              <a:pPr marL="0" indent="0" algn="l"/>
              <a:t>10.04.2026</a:t>
            </a:fld>
            <a:endParaRPr lang="en-AU" sz="1100" b="0" i="0" u="none" strike="noStrike">
              <a:solidFill>
                <a:srgbClr val="2A2A2A"/>
              </a:solidFill>
              <a:latin typeface="Overpass" pitchFamily="2" charset="77"/>
              <a:ea typeface="+mn-ea"/>
              <a:cs typeface="Calibri"/>
            </a:endParaRPr>
          </a:p>
        </xdr:txBody>
      </xdr:sp>
      <xdr:sp macro="" textlink="EV!C1">
        <xdr:nvSpPr>
          <xdr:cNvPr id="116" name="TextBox 115">
            <a:extLst>
              <a:ext uri="{FF2B5EF4-FFF2-40B4-BE49-F238E27FC236}">
                <a16:creationId xmlns:a16="http://schemas.microsoft.com/office/drawing/2014/main" id="{00000000-0008-0000-0700-000074000000}"/>
              </a:ext>
            </a:extLst>
          </xdr:cNvPr>
          <xdr:cNvSpPr txBox="1"/>
        </xdr:nvSpPr>
        <xdr:spPr>
          <a:xfrm>
            <a:off x="5337266" y="14301128"/>
            <a:ext cx="1330234" cy="35759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C356AD6-C9C0-9B42-82EE-EF17D434BAE5}" type="TxLink">
              <a:rPr lang="en-US" sz="1100" b="0" i="0" u="none" strike="noStrike">
                <a:solidFill>
                  <a:srgbClr val="2A2A2A"/>
                </a:solidFill>
                <a:latin typeface="Overpass" pitchFamily="2" charset="77"/>
                <a:ea typeface="+mn-ea"/>
                <a:cs typeface="Calibri"/>
              </a:rPr>
              <a:pPr marL="0" indent="0" algn="l"/>
              <a:t>Q-JV-EV1</a:t>
            </a:fld>
            <a:endParaRPr lang="en-AU" sz="1100" b="0" i="0" u="none" strike="noStrike">
              <a:solidFill>
                <a:srgbClr val="2A2A2A"/>
              </a:solidFill>
              <a:latin typeface="Overpass" pitchFamily="2" charset="77"/>
              <a:ea typeface="+mn-ea"/>
              <a:cs typeface="Calibri"/>
            </a:endParaRPr>
          </a:p>
        </xdr:txBody>
      </xdr:sp>
      <xdr:sp macro="" textlink="">
        <xdr:nvSpPr>
          <xdr:cNvPr id="117" name="TextBox 116">
            <a:extLst>
              <a:ext uri="{FF2B5EF4-FFF2-40B4-BE49-F238E27FC236}">
                <a16:creationId xmlns:a16="http://schemas.microsoft.com/office/drawing/2014/main" id="{00000000-0008-0000-0700-000075000000}"/>
              </a:ext>
            </a:extLst>
          </xdr:cNvPr>
          <xdr:cNvSpPr txBox="1"/>
        </xdr:nvSpPr>
        <xdr:spPr>
          <a:xfrm>
            <a:off x="4381498" y="13905844"/>
            <a:ext cx="761999" cy="372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DATE</a:t>
            </a:r>
          </a:p>
        </xdr:txBody>
      </xdr:sp>
      <xdr:sp macro="" textlink="">
        <xdr:nvSpPr>
          <xdr:cNvPr id="118" name="TextBox 117">
            <a:extLst>
              <a:ext uri="{FF2B5EF4-FFF2-40B4-BE49-F238E27FC236}">
                <a16:creationId xmlns:a16="http://schemas.microsoft.com/office/drawing/2014/main" id="{00000000-0008-0000-0700-000076000000}"/>
              </a:ext>
            </a:extLst>
          </xdr:cNvPr>
          <xdr:cNvSpPr txBox="1"/>
        </xdr:nvSpPr>
        <xdr:spPr>
          <a:xfrm>
            <a:off x="4381498" y="14289933"/>
            <a:ext cx="761999" cy="368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27056C"/>
                </a:solidFill>
                <a:latin typeface="Overpass" panose="00000500000000000000" pitchFamily="2" charset="0"/>
                <a:ea typeface="+mn-ea"/>
                <a:cs typeface="Calibri"/>
              </a:rPr>
              <a:t>QUOTE #</a:t>
            </a:r>
            <a:endParaRPr lang="en-US" sz="650" b="0" i="0" u="none" strike="noStrike">
              <a:solidFill>
                <a:srgbClr val="27056C"/>
              </a:solidFill>
              <a:latin typeface="Overpass" panose="00000500000000000000" pitchFamily="2" charset="0"/>
              <a:ea typeface="+mn-ea"/>
              <a:cs typeface="Calibri"/>
            </a:endParaRPr>
          </a:p>
        </xdr:txBody>
      </xdr:sp>
    </xdr:grpSp>
    <xdr:clientData/>
  </xdr:twoCellAnchor>
  <xdr:twoCellAnchor>
    <xdr:from>
      <xdr:col>47</xdr:col>
      <xdr:colOff>0</xdr:colOff>
      <xdr:row>96</xdr:row>
      <xdr:rowOff>0</xdr:rowOff>
    </xdr:from>
    <xdr:to>
      <xdr:col>77</xdr:col>
      <xdr:colOff>120135</xdr:colOff>
      <xdr:row>99</xdr:row>
      <xdr:rowOff>12013</xdr:rowOff>
    </xdr:to>
    <xdr:sp macro="" textlink="">
      <xdr:nvSpPr>
        <xdr:cNvPr id="122" name="TextBox 121">
          <a:hlinkClick xmlns:r="http://schemas.openxmlformats.org/officeDocument/2006/relationships" r:id="rId6"/>
          <a:extLst>
            <a:ext uri="{FF2B5EF4-FFF2-40B4-BE49-F238E27FC236}">
              <a16:creationId xmlns:a16="http://schemas.microsoft.com/office/drawing/2014/main" id="{00000000-0008-0000-0700-00007A000000}"/>
            </a:ext>
          </a:extLst>
        </xdr:cNvPr>
        <xdr:cNvSpPr txBox="1"/>
      </xdr:nvSpPr>
      <xdr:spPr>
        <a:xfrm>
          <a:off x="8953500" y="18288000"/>
          <a:ext cx="5835135" cy="583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b="0" i="1" u="none" strike="noStrike">
              <a:solidFill>
                <a:srgbClr val="2A2A2A"/>
              </a:solidFill>
              <a:latin typeface="Overpass" panose="00000500000000000000" pitchFamily="2" charset="0"/>
              <a:ea typeface="+mn-ea"/>
              <a:cs typeface="Calibri"/>
            </a:rPr>
            <a:t>By executing this quote</a:t>
          </a:r>
          <a:r>
            <a:rPr lang="en-US" sz="1000" b="0" i="1" u="none" strike="noStrike" baseline="0">
              <a:solidFill>
                <a:srgbClr val="2A2A2A"/>
              </a:solidFill>
              <a:latin typeface="Overpass" panose="00000500000000000000" pitchFamily="2" charset="0"/>
              <a:ea typeface="+mn-ea"/>
              <a:cs typeface="Calibri"/>
            </a:rPr>
            <a:t> I acknowledge that I have read and understood the terms and conditions to which apply to this quote located at </a:t>
          </a:r>
          <a:r>
            <a:rPr lang="en-US" sz="1000" b="0" i="0" u="sng" strike="noStrike" baseline="0">
              <a:solidFill>
                <a:srgbClr val="27056C"/>
              </a:solidFill>
              <a:latin typeface="Overpass" panose="00000500000000000000" pitchFamily="2" charset="0"/>
              <a:ea typeface="+mn-ea"/>
              <a:cs typeface="Calibri"/>
            </a:rPr>
            <a:t>www.smartcommercialenergy.com.au/terms-and-conditions</a:t>
          </a:r>
          <a:endParaRPr lang="en-US" sz="1000" b="0" i="0" u="sng" strike="noStrike" baseline="0">
            <a:solidFill>
              <a:srgbClr val="27056C"/>
            </a:solidFill>
            <a:uFill>
              <a:solidFill>
                <a:schemeClr val="accent2">
                  <a:lumMod val="50000"/>
                </a:schemeClr>
              </a:solidFill>
            </a:uFill>
            <a:latin typeface="Overpass" panose="00000500000000000000" pitchFamily="2" charset="0"/>
            <a:ea typeface="+mn-ea"/>
            <a:cs typeface="Calibri"/>
          </a:endParaRPr>
        </a:p>
      </xdr:txBody>
    </xdr:sp>
    <xdr:clientData/>
  </xdr:twoCellAnchor>
  <xdr:twoCellAnchor>
    <xdr:from>
      <xdr:col>47</xdr:col>
      <xdr:colOff>0</xdr:colOff>
      <xdr:row>100</xdr:row>
      <xdr:rowOff>0</xdr:rowOff>
    </xdr:from>
    <xdr:to>
      <xdr:col>77</xdr:col>
      <xdr:colOff>0</xdr:colOff>
      <xdr:row>100</xdr:row>
      <xdr:rowOff>0</xdr:rowOff>
    </xdr:to>
    <xdr:cxnSp macro="">
      <xdr:nvCxnSpPr>
        <xdr:cNvPr id="123" name="Straight Connector 16">
          <a:extLst>
            <a:ext uri="{FF2B5EF4-FFF2-40B4-BE49-F238E27FC236}">
              <a16:creationId xmlns:a16="http://schemas.microsoft.com/office/drawing/2014/main" id="{00000000-0008-0000-0700-00007B000000}"/>
            </a:ext>
          </a:extLst>
        </xdr:cNvPr>
        <xdr:cNvCxnSpPr/>
      </xdr:nvCxnSpPr>
      <xdr:spPr>
        <a:xfrm>
          <a:off x="8953500" y="19050000"/>
          <a:ext cx="5715000" cy="0"/>
        </a:xfrm>
        <a:prstGeom prst="line">
          <a:avLst/>
        </a:prstGeom>
        <a:ln w="9525">
          <a:solidFill>
            <a:srgbClr val="666666"/>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70</xdr:col>
      <xdr:colOff>0</xdr:colOff>
      <xdr:row>111</xdr:row>
      <xdr:rowOff>0</xdr:rowOff>
    </xdr:from>
    <xdr:to>
      <xdr:col>75</xdr:col>
      <xdr:colOff>182205</xdr:colOff>
      <xdr:row>114</xdr:row>
      <xdr:rowOff>184187</xdr:rowOff>
    </xdr:to>
    <xdr:sp macro="" textlink="">
      <xdr:nvSpPr>
        <xdr:cNvPr id="124" name="TextBox 123">
          <a:extLst>
            <a:ext uri="{FF2B5EF4-FFF2-40B4-BE49-F238E27FC236}">
              <a16:creationId xmlns:a16="http://schemas.microsoft.com/office/drawing/2014/main" id="{00000000-0008-0000-0700-00007C000000}"/>
            </a:ext>
          </a:extLst>
        </xdr:cNvPr>
        <xdr:cNvSpPr txBox="1"/>
      </xdr:nvSpPr>
      <xdr:spPr>
        <a:xfrm>
          <a:off x="13170370" y="20884444"/>
          <a:ext cx="1122946" cy="748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rgbClr val="2A2A2A"/>
              </a:solidFill>
              <a:latin typeface="Overpass" panose="00000500000000000000" pitchFamily="2" charset="0"/>
              <a:ea typeface="+mn-ea"/>
              <a:cs typeface="Calibri"/>
            </a:rPr>
            <a:t>Smart Commercial</a:t>
          </a:r>
          <a:r>
            <a:rPr lang="en-US" sz="1000" b="0" i="0" u="none" strike="noStrike" baseline="0">
              <a:solidFill>
                <a:srgbClr val="2A2A2A"/>
              </a:solidFill>
              <a:latin typeface="Overpass" panose="00000500000000000000" pitchFamily="2" charset="0"/>
              <a:ea typeface="+mn-ea"/>
              <a:cs typeface="Calibri"/>
            </a:rPr>
            <a:t> Solar Pty Ltd.</a:t>
          </a:r>
          <a:endParaRPr lang="en-US" sz="1000" b="0" i="0" u="none" strike="noStrike">
            <a:solidFill>
              <a:srgbClr val="2A2A2A"/>
            </a:solidFill>
            <a:latin typeface="Overpass" panose="00000500000000000000" pitchFamily="2" charset="0"/>
            <a:ea typeface="+mn-ea"/>
            <a:cs typeface="Calibri"/>
          </a:endParaRPr>
        </a:p>
      </xdr:txBody>
    </xdr:sp>
    <xdr:clientData/>
  </xdr:twoCellAnchor>
  <xdr:twoCellAnchor editAs="oneCell">
    <xdr:from>
      <xdr:col>38</xdr:col>
      <xdr:colOff>0</xdr:colOff>
      <xdr:row>63</xdr:row>
      <xdr:rowOff>0</xdr:rowOff>
    </xdr:from>
    <xdr:to>
      <xdr:col>40</xdr:col>
      <xdr:colOff>11130</xdr:colOff>
      <xdr:row>65</xdr:row>
      <xdr:rowOff>629</xdr:rowOff>
    </xdr:to>
    <xdr:pic>
      <xdr:nvPicPr>
        <xdr:cNvPr id="125" name="Picture 124">
          <a:extLst>
            <a:ext uri="{FF2B5EF4-FFF2-40B4-BE49-F238E27FC236}">
              <a16:creationId xmlns:a16="http://schemas.microsoft.com/office/drawing/2014/main" id="{A96F8BCF-3117-E446-A624-39BC7EEA7D1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149630" y="11853333"/>
          <a:ext cx="385521" cy="376926"/>
        </a:xfrm>
        <a:prstGeom prst="rect">
          <a:avLst/>
        </a:prstGeom>
      </xdr:spPr>
    </xdr:pic>
    <xdr:clientData/>
  </xdr:twoCellAnchor>
  <xdr:twoCellAnchor editAs="oneCell">
    <xdr:from>
      <xdr:col>78</xdr:col>
      <xdr:colOff>0</xdr:colOff>
      <xdr:row>63</xdr:row>
      <xdr:rowOff>0</xdr:rowOff>
    </xdr:from>
    <xdr:to>
      <xdr:col>80</xdr:col>
      <xdr:colOff>11130</xdr:colOff>
      <xdr:row>65</xdr:row>
      <xdr:rowOff>629</xdr:rowOff>
    </xdr:to>
    <xdr:pic>
      <xdr:nvPicPr>
        <xdr:cNvPr id="126" name="Picture 125">
          <a:extLst>
            <a:ext uri="{FF2B5EF4-FFF2-40B4-BE49-F238E27FC236}">
              <a16:creationId xmlns:a16="http://schemas.microsoft.com/office/drawing/2014/main" id="{64909F21-6764-7F4C-9AE5-9982A0320E9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675556" y="11853333"/>
          <a:ext cx="385521" cy="3769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32</xdr:col>
      <xdr:colOff>83820</xdr:colOff>
      <xdr:row>26</xdr:row>
      <xdr:rowOff>0</xdr:rowOff>
    </xdr:from>
    <xdr:to>
      <xdr:col>36</xdr:col>
      <xdr:colOff>405765</xdr:colOff>
      <xdr:row>40</xdr:row>
      <xdr:rowOff>19050</xdr:rowOff>
    </xdr:to>
    <xdr:pic>
      <xdr:nvPicPr>
        <xdr:cNvPr id="2" name="Picture 1">
          <a:extLst>
            <a:ext uri="{FF2B5EF4-FFF2-40B4-BE49-F238E27FC236}">
              <a16:creationId xmlns:a16="http://schemas.microsoft.com/office/drawing/2014/main" id="{B9479785-EF4D-604D-63FE-6AFFCDB443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047845" y="5791200"/>
          <a:ext cx="3484245" cy="2952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1</xdr:row>
          <xdr:rowOff>152400</xdr:rowOff>
        </xdr:from>
        <xdr:to>
          <xdr:col>2</xdr:col>
          <xdr:colOff>2209800</xdr:colOff>
          <xdr:row>3</xdr:row>
          <xdr:rowOff>190500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1A00-000001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xdr:row>
          <xdr:rowOff>152400</xdr:rowOff>
        </xdr:from>
        <xdr:to>
          <xdr:col>2</xdr:col>
          <xdr:colOff>2209800</xdr:colOff>
          <xdr:row>3</xdr:row>
          <xdr:rowOff>190500</xdr:rowOff>
        </xdr:to>
        <xdr:sp macro="" textlink="">
          <xdr:nvSpPr>
            <xdr:cNvPr id="52236" name="Button 12" hidden="1">
              <a:extLst>
                <a:ext uri="{63B3BB69-23CF-44E3-9099-C40C66FF867C}">
                  <a14:compatExt spid="_x0000_s52236"/>
                </a:ext>
                <a:ext uri="{FF2B5EF4-FFF2-40B4-BE49-F238E27FC236}">
                  <a16:creationId xmlns:a16="http://schemas.microsoft.com/office/drawing/2014/main" id="{00000000-0008-0000-1A00-00000C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4</xdr:row>
          <xdr:rowOff>152400</xdr:rowOff>
        </xdr:from>
        <xdr:to>
          <xdr:col>2</xdr:col>
          <xdr:colOff>2209800</xdr:colOff>
          <xdr:row>6</xdr:row>
          <xdr:rowOff>190500</xdr:rowOff>
        </xdr:to>
        <xdr:sp macro="" textlink="">
          <xdr:nvSpPr>
            <xdr:cNvPr id="52237" name="Button 13" hidden="1">
              <a:extLst>
                <a:ext uri="{63B3BB69-23CF-44E3-9099-C40C66FF867C}">
                  <a14:compatExt spid="_x0000_s52237"/>
                </a:ext>
                <a:ext uri="{FF2B5EF4-FFF2-40B4-BE49-F238E27FC236}">
                  <a16:creationId xmlns:a16="http://schemas.microsoft.com/office/drawing/2014/main" id="{00000000-0008-0000-1A00-00000D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Save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7</xdr:row>
          <xdr:rowOff>152400</xdr:rowOff>
        </xdr:from>
        <xdr:to>
          <xdr:col>2</xdr:col>
          <xdr:colOff>2209800</xdr:colOff>
          <xdr:row>10</xdr:row>
          <xdr:rowOff>0</xdr:rowOff>
        </xdr:to>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1A00-00000E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Print To PDF &amp; Save Quote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Creative/Shared%20Documents/4.3%20Marketing%20Projects/Sales%20Documents/Project%20Cost%20Calculator_MKTG%20COPY.xlsx" TargetMode="External"/><Relationship Id="rId2" Type="http://schemas.openxmlformats.org/officeDocument/2006/relationships/externalLinkPath" Target="https://smartcsolar.sharepoint.com/sites/Creative/Shared%20Documents/4.3%20Marketing%20Projects/Sales%20Documents/Project%20Cost%20Calculator_MKTG%20COPY.xlsx" TargetMode="External"/><Relationship Id="rId1" Type="http://schemas.openxmlformats.org/officeDocument/2006/relationships/externalLinkPath" Target="/sites/Creative/Shared%20Documents/4.3%20Marketing%20Projects/Sales%20Documents/Project%20Cost%20Calculator_MKTG%20COP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5.2%20Opportunities/31_VIC%20BDM1%20-%20JamesD/Valmont/5_Quotes&amp;Proposals/Kealy%20only%20-%20do%20not%20touch/Project%20Cost%20Calculator_V13.12%20PLEASE%20MAKE%20A%20COPY%20FIRST.xlsx" TargetMode="External"/><Relationship Id="rId1" Type="http://schemas.openxmlformats.org/officeDocument/2006/relationships/externalLinkPath" Target="/sites/Sales/Shared%20Documents/5.2%20Opportunities/31_VIC%20BDM1%20-%20JamesD/Valmont/5_Quotes&amp;Proposals/Kealy%20only%20-%20do%20not%20touch/Project%20Cost%20Calculator_V13.12%20PLEASE%20MAKE%20A%20COPY%20FIRST.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james/Documents/0_Internal%20Tools/Project%20Cost%20Calculator_Internal_V16.6.xlsx" TargetMode="External"/><Relationship Id="rId1" Type="http://schemas.openxmlformats.org/officeDocument/2006/relationships/externalLinkPath" Target="/Users/james/Documents/0_Internal%20Tools/Project%20Cost%20Calculator_Internal_V16.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C:\Y:\Tools\Analysis%20Tool%20Re-build\New%20Tool%20v1.1.4%20(integrated%20DA%20front-end).xlsb"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C:\C:\Users\Maximilianzekulich\Desktop\Work\Estimator\SCS%20Quote%20Tool%20-%20January%202019.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Z:\C:\C:\Scs-relic\x\Dropbox\Smart%20CS%20(1)\Operations\Design%20Tools\BOM_Tool_v2.1.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5.2%20Opportunities/31_VIC%20BDM1%20-%20JamesD/Valmont/5_Quotes&amp;Proposals/Kealy%20only%20-%20do%20not%20touch/Service%20Proposal%20for%20Procurement.xlsm" TargetMode="External"/><Relationship Id="rId1" Type="http://schemas.openxmlformats.org/officeDocument/2006/relationships/externalLinkPath" Target="/sites/Sales/Shared%20Documents/5.2%20Opportunities/31_VIC%20BDM1%20-%20JamesD/Valmont/5_Quotes&amp;Proposals/Kealy%20only%20-%20do%20not%20touch/Service%20Proposal%20for%20Procure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st Calculator"/>
      <sheetName val="Internal"/>
      <sheetName val="Internal 2"/>
      <sheetName val="EV Chargers"/>
      <sheetName val="EV Chargers Backend"/>
      <sheetName val="AC Calculator"/>
      <sheetName val="Linking Cells"/>
      <sheetName val="EV Agreement"/>
      <sheetName val="Client Agreement"/>
      <sheetName val="Verdia RPQ"/>
      <sheetName val="Projects PnL"/>
      <sheetName val="Handover Checklist"/>
      <sheetName val="DNSP Postcodes"/>
      <sheetName val="Procore Budget"/>
      <sheetName val="1. Prelim"/>
      <sheetName val="2. Components"/>
      <sheetName val="3. Cabling"/>
      <sheetName val="4. Switch Gear"/>
      <sheetName val="5. Install"/>
      <sheetName val="PCodes"/>
      <sheetName val="6. Safety"/>
      <sheetName val="7. Monitoring + 8. Warranty"/>
      <sheetName val="Service Model"/>
      <sheetName val="Glossary of terms"/>
      <sheetName val="Internal Glossary"/>
      <sheetName val="Inclusions"/>
      <sheetName val="Sales People"/>
      <sheetName val="Change Log"/>
    </sheetNames>
    <sheetDataSet>
      <sheetData sheetId="0">
        <row r="10">
          <cell r="F10">
            <v>45492</v>
          </cell>
        </row>
        <row r="48">
          <cell r="E48" t="str">
            <v>Single Core</v>
          </cell>
        </row>
        <row r="49">
          <cell r="E49" t="str">
            <v>Single Core</v>
          </cell>
        </row>
      </sheetData>
      <sheetData sheetId="1" refreshError="1"/>
      <sheetData sheetId="2" refreshError="1"/>
      <sheetData sheetId="3"/>
      <sheetData sheetId="4"/>
      <sheetData sheetId="5" refreshError="1"/>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st Calculator"/>
      <sheetName val="AC Calculator"/>
      <sheetName val="Linking Cells"/>
      <sheetName val="Client Agreement"/>
      <sheetName val="Project Handover Checklist"/>
      <sheetName val="Glossary of terms"/>
      <sheetName val="Verdia RPQ"/>
      <sheetName val="Projects PnL"/>
      <sheetName val="1. Prelim"/>
      <sheetName val="2. Components"/>
      <sheetName val="3. Cabling"/>
      <sheetName val="4. Switch Gear"/>
      <sheetName val="5. Install"/>
      <sheetName val="PCodes"/>
      <sheetName val="6. Safety"/>
      <sheetName val="7. Monitoring + 8. Warranty"/>
      <sheetName val="Service Model"/>
      <sheetName val="Inclusions"/>
      <sheetName val="Sales Peop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st Calculator"/>
      <sheetName val="Internal"/>
      <sheetName val="Internal 2"/>
      <sheetName val="AC Calculator"/>
      <sheetName val="Linking Cells"/>
      <sheetName val="Client Agreement"/>
      <sheetName val="Verdia RPQ"/>
      <sheetName val="Projects PnL"/>
      <sheetName val="Handover Checklist"/>
      <sheetName val="1. Prelim"/>
      <sheetName val="2. Components"/>
      <sheetName val="3. Cabling"/>
      <sheetName val="4. Switch Gear"/>
      <sheetName val="5. Install"/>
      <sheetName val="PCodes"/>
      <sheetName val="6. Safety"/>
      <sheetName val="7. Monitoring + 8. Warranty"/>
      <sheetName val="Service Model"/>
      <sheetName val="Glossary of terms"/>
      <sheetName val="Internal Glossary"/>
      <sheetName val="Inclusions"/>
      <sheetName val="Sales People"/>
      <sheetName val="Change Log"/>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Fixed Dates"/>
      <sheetName val="Tilt Adjust"/>
      <sheetName val="Historic Solar"/>
      <sheetName val="BOM Input"/>
      <sheetName val="Solar Profile"/>
      <sheetName val="Finance"/>
      <sheetName val="Demand"/>
      <sheetName val="Back Page"/>
      <sheetName val=" KVA-Summary"/>
      <sheetName val="Month Graphs"/>
      <sheetName val="Other Graphs"/>
      <sheetName val="Assumpt-Consts"/>
      <sheetName val="Inputs"/>
      <sheetName val="Interval Data"/>
      <sheetName val="Int-Data-Gen"/>
      <sheetName val="Outputs"/>
      <sheetName val="Front End Link"/>
      <sheetName val="Front-End Links"/>
      <sheetName val="DA Front End"/>
      <sheetName val="End-user"/>
      <sheetName val="Sheet1"/>
      <sheetName val="Buyout"/>
      <sheetName val="Investor &amp; EPC"/>
      <sheetName val="Graphs"/>
      <sheetName val="Battery Graphs"/>
      <sheetName val="Proce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S Quote Tool - January 2019"/>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ervice Model"/>
      <sheetName val="FLEET Model"/>
      <sheetName val="To-dos"/>
      <sheetName val="QUOTES"/>
      <sheetName val="Inclusions"/>
      <sheetName val="Sheet1"/>
      <sheetName val="Front End Links"/>
      <sheetName val="Service Proposal Front End"/>
      <sheetName val="Master List"/>
      <sheetName val="PPA"/>
      <sheetName val="Ext. Warranty Rates"/>
      <sheetName val="CF for PPA"/>
      <sheetName val="GU_Cleans"/>
      <sheetName val="Sheet2"/>
      <sheetName val="JLL"/>
      <sheetName val="Rates"/>
      <sheetName val="FLEET_offers"/>
      <sheetName val="Sheet3"/>
      <sheetName val="End User - SCHEDULE A"/>
      <sheetName val="Service Proposal for Procuremen"/>
    </sheetNames>
    <definedNames>
      <definedName name="Module1.printProposal"/>
      <definedName name="printProposal_saveQuote"/>
      <definedName name="save_quote"/>
    </definedNames>
    <sheetDataSet>
      <sheetData sheetId="0"/>
      <sheetData sheetId="1"/>
      <sheetData sheetId="2"/>
      <sheetData sheetId="3"/>
      <sheetData sheetId="4">
        <row r="4">
          <cell r="J4" t="str">
            <v>No</v>
          </cell>
          <cell r="K4" t="str">
            <v>No</v>
          </cell>
          <cell r="L4" t="str">
            <v>No</v>
          </cell>
          <cell r="M4" t="str">
            <v>No</v>
          </cell>
          <cell r="N4" t="str">
            <v>No</v>
          </cell>
          <cell r="O4" t="str">
            <v>Yes</v>
          </cell>
          <cell r="P4" t="str">
            <v>No</v>
          </cell>
          <cell r="Q4" t="str">
            <v>No</v>
          </cell>
          <cell r="R4" t="str">
            <v>Yes</v>
          </cell>
          <cell r="S4" t="str">
            <v>No</v>
          </cell>
        </row>
        <row r="5">
          <cell r="J5" t="str">
            <v>No</v>
          </cell>
          <cell r="K5" t="str">
            <v>No</v>
          </cell>
          <cell r="L5" t="str">
            <v>No</v>
          </cell>
          <cell r="M5" t="str">
            <v>Yes</v>
          </cell>
          <cell r="N5" t="str">
            <v>Yes</v>
          </cell>
          <cell r="O5" t="str">
            <v>Yes</v>
          </cell>
          <cell r="P5" t="str">
            <v>Yes</v>
          </cell>
          <cell r="Q5" t="str">
            <v>Yes</v>
          </cell>
          <cell r="R5" t="str">
            <v>Yes</v>
          </cell>
          <cell r="S5" t="str">
            <v>No</v>
          </cell>
        </row>
        <row r="6">
          <cell r="J6" t="str">
            <v>No</v>
          </cell>
          <cell r="K6" t="str">
            <v>No</v>
          </cell>
          <cell r="L6" t="str">
            <v>No</v>
          </cell>
          <cell r="M6" t="str">
            <v>No</v>
          </cell>
          <cell r="N6" t="str">
            <v>No</v>
          </cell>
          <cell r="O6" t="str">
            <v>No</v>
          </cell>
          <cell r="P6" t="str">
            <v>Yes</v>
          </cell>
          <cell r="Q6" t="str">
            <v>Yes</v>
          </cell>
          <cell r="R6" t="str">
            <v>Yes</v>
          </cell>
          <cell r="S6" t="str">
            <v>No</v>
          </cell>
        </row>
        <row r="7">
          <cell r="J7" t="str">
            <v>Yes</v>
          </cell>
          <cell r="K7" t="str">
            <v>Yes</v>
          </cell>
          <cell r="L7" t="str">
            <v>Yes</v>
          </cell>
          <cell r="M7" t="str">
            <v>Yes</v>
          </cell>
          <cell r="N7" t="str">
            <v>Yes</v>
          </cell>
          <cell r="O7" t="str">
            <v>Yes</v>
          </cell>
          <cell r="P7" t="str">
            <v>Yes</v>
          </cell>
          <cell r="Q7" t="str">
            <v>Yes</v>
          </cell>
          <cell r="R7" t="str">
            <v>Yes</v>
          </cell>
          <cell r="S7" t="str">
            <v>Yes</v>
          </cell>
        </row>
        <row r="8">
          <cell r="J8" t="str">
            <v>Yes</v>
          </cell>
          <cell r="K8" t="str">
            <v>Yes</v>
          </cell>
          <cell r="L8" t="str">
            <v>Yes</v>
          </cell>
          <cell r="M8" t="str">
            <v>Yes</v>
          </cell>
          <cell r="N8" t="str">
            <v>Yes</v>
          </cell>
          <cell r="O8" t="str">
            <v>Yes</v>
          </cell>
          <cell r="P8" t="str">
            <v>Yes</v>
          </cell>
          <cell r="Q8" t="str">
            <v>Yes</v>
          </cell>
          <cell r="R8" t="str">
            <v>Yes</v>
          </cell>
          <cell r="S8" t="str">
            <v>Yes</v>
          </cell>
        </row>
        <row r="9">
          <cell r="J9" t="str">
            <v>No</v>
          </cell>
          <cell r="K9" t="str">
            <v>No</v>
          </cell>
          <cell r="L9" t="str">
            <v>No</v>
          </cell>
          <cell r="M9" t="str">
            <v>No</v>
          </cell>
          <cell r="N9" t="str">
            <v>No</v>
          </cell>
          <cell r="O9" t="str">
            <v>No</v>
          </cell>
          <cell r="P9" t="str">
            <v>Yes</v>
          </cell>
          <cell r="Q9" t="str">
            <v>Yes</v>
          </cell>
          <cell r="R9" t="str">
            <v>Yes</v>
          </cell>
          <cell r="S9" t="str">
            <v>No</v>
          </cell>
        </row>
        <row r="10">
          <cell r="J10" t="str">
            <v>No</v>
          </cell>
          <cell r="K10" t="str">
            <v>No</v>
          </cell>
          <cell r="L10" t="str">
            <v>No</v>
          </cell>
          <cell r="M10" t="str">
            <v>No</v>
          </cell>
          <cell r="N10" t="str">
            <v>No</v>
          </cell>
          <cell r="O10" t="str">
            <v>No</v>
          </cell>
          <cell r="P10" t="str">
            <v>No</v>
          </cell>
          <cell r="Q10" t="str">
            <v>No</v>
          </cell>
          <cell r="R10" t="str">
            <v>Yes</v>
          </cell>
          <cell r="S10" t="str">
            <v>No</v>
          </cell>
        </row>
        <row r="11">
          <cell r="J11" t="str">
            <v>No</v>
          </cell>
          <cell r="K11" t="str">
            <v>No</v>
          </cell>
          <cell r="L11" t="str">
            <v>No</v>
          </cell>
          <cell r="M11" t="str">
            <v>No</v>
          </cell>
          <cell r="N11" t="str">
            <v>No</v>
          </cell>
          <cell r="O11" t="str">
            <v>No</v>
          </cell>
          <cell r="P11" t="str">
            <v>No</v>
          </cell>
          <cell r="Q11" t="str">
            <v>No</v>
          </cell>
          <cell r="R11" t="str">
            <v>Yes</v>
          </cell>
          <cell r="S11" t="str">
            <v>No</v>
          </cell>
        </row>
        <row r="12">
          <cell r="J12" t="str">
            <v>No</v>
          </cell>
          <cell r="K12" t="str">
            <v>No</v>
          </cell>
          <cell r="L12" t="str">
            <v>No</v>
          </cell>
          <cell r="M12" t="str">
            <v>Yes</v>
          </cell>
          <cell r="N12" t="str">
            <v>Yes</v>
          </cell>
          <cell r="O12" t="str">
            <v>Yes</v>
          </cell>
          <cell r="P12" t="str">
            <v>No</v>
          </cell>
          <cell r="Q12" t="str">
            <v>No</v>
          </cell>
          <cell r="R12" t="str">
            <v>Yes</v>
          </cell>
          <cell r="S12" t="str">
            <v>No</v>
          </cell>
        </row>
        <row r="13">
          <cell r="J13" t="str">
            <v>No</v>
          </cell>
          <cell r="K13" t="str">
            <v>Yes</v>
          </cell>
          <cell r="L13" t="str">
            <v>Yes</v>
          </cell>
          <cell r="M13" t="str">
            <v>No</v>
          </cell>
          <cell r="N13" t="str">
            <v>Yes</v>
          </cell>
          <cell r="O13" t="str">
            <v>Yes</v>
          </cell>
          <cell r="P13" t="str">
            <v>No</v>
          </cell>
          <cell r="Q13" t="str">
            <v>Yes</v>
          </cell>
          <cell r="R13" t="str">
            <v>Yes</v>
          </cell>
          <cell r="S13" t="str">
            <v>Yes</v>
          </cell>
        </row>
        <row r="14">
          <cell r="J14" t="str">
            <v>No</v>
          </cell>
          <cell r="K14" t="str">
            <v>Yes</v>
          </cell>
          <cell r="L14" t="str">
            <v>Yes</v>
          </cell>
          <cell r="M14" t="str">
            <v>No</v>
          </cell>
          <cell r="N14" t="str">
            <v>Yes</v>
          </cell>
          <cell r="O14" t="str">
            <v>Yes</v>
          </cell>
          <cell r="P14" t="str">
            <v>No</v>
          </cell>
          <cell r="Q14" t="str">
            <v>Yes</v>
          </cell>
          <cell r="R14" t="str">
            <v>Yes</v>
          </cell>
          <cell r="S14" t="str">
            <v>Yes</v>
          </cell>
        </row>
        <row r="15">
          <cell r="J15" t="str">
            <v>No</v>
          </cell>
          <cell r="K15" t="str">
            <v>No</v>
          </cell>
          <cell r="L15" t="str">
            <v>No</v>
          </cell>
          <cell r="M15" t="str">
            <v>No</v>
          </cell>
          <cell r="N15" t="str">
            <v>Yes</v>
          </cell>
          <cell r="O15" t="str">
            <v>Yes</v>
          </cell>
          <cell r="P15" t="str">
            <v>No</v>
          </cell>
          <cell r="Q15" t="str">
            <v>Yes</v>
          </cell>
          <cell r="R15" t="str">
            <v>Yes</v>
          </cell>
          <cell r="S15" t="str">
            <v>No</v>
          </cell>
        </row>
        <row r="16">
          <cell r="J16" t="str">
            <v>No</v>
          </cell>
          <cell r="K16" t="str">
            <v>Yes</v>
          </cell>
          <cell r="L16" t="str">
            <v>No</v>
          </cell>
          <cell r="M16" t="str">
            <v>No</v>
          </cell>
          <cell r="N16" t="str">
            <v>Yes</v>
          </cell>
          <cell r="O16" t="str">
            <v>No</v>
          </cell>
          <cell r="P16" t="str">
            <v>No</v>
          </cell>
          <cell r="Q16" t="str">
            <v>Yes</v>
          </cell>
          <cell r="R16" t="str">
            <v>No</v>
          </cell>
          <cell r="S16" t="str">
            <v>No</v>
          </cell>
        </row>
        <row r="17">
          <cell r="J17" t="str">
            <v>No</v>
          </cell>
          <cell r="K17" t="str">
            <v>No</v>
          </cell>
          <cell r="L17" t="str">
            <v>Yes</v>
          </cell>
          <cell r="M17" t="str">
            <v>No</v>
          </cell>
          <cell r="N17" t="str">
            <v>No</v>
          </cell>
          <cell r="O17" t="str">
            <v>Yes</v>
          </cell>
          <cell r="P17" t="str">
            <v>No</v>
          </cell>
          <cell r="Q17" t="str">
            <v>No</v>
          </cell>
          <cell r="R17" t="str">
            <v>Yes</v>
          </cell>
          <cell r="S17" t="str">
            <v>Yes</v>
          </cell>
        </row>
        <row r="18">
          <cell r="J18" t="str">
            <v>No</v>
          </cell>
          <cell r="K18" t="str">
            <v>No</v>
          </cell>
          <cell r="L18" t="str">
            <v>Yes</v>
          </cell>
          <cell r="M18" t="str">
            <v>No</v>
          </cell>
          <cell r="N18" t="str">
            <v>No</v>
          </cell>
          <cell r="O18" t="str">
            <v>Yes</v>
          </cell>
          <cell r="P18" t="str">
            <v>No</v>
          </cell>
          <cell r="Q18" t="str">
            <v>No</v>
          </cell>
          <cell r="R18" t="str">
            <v>Yes</v>
          </cell>
          <cell r="S18" t="str">
            <v>Yes</v>
          </cell>
        </row>
        <row r="19">
          <cell r="J19" t="str">
            <v>No</v>
          </cell>
          <cell r="K19" t="str">
            <v>No</v>
          </cell>
          <cell r="L19" t="str">
            <v>Yes</v>
          </cell>
          <cell r="M19" t="str">
            <v>No</v>
          </cell>
          <cell r="N19" t="str">
            <v>No</v>
          </cell>
          <cell r="O19" t="str">
            <v>Yes</v>
          </cell>
          <cell r="P19" t="str">
            <v>No</v>
          </cell>
          <cell r="Q19" t="str">
            <v>No</v>
          </cell>
          <cell r="R19" t="str">
            <v>Yes</v>
          </cell>
          <cell r="S19" t="str">
            <v>Yes</v>
          </cell>
        </row>
        <row r="20">
          <cell r="J20" t="str">
            <v>No</v>
          </cell>
          <cell r="K20" t="str">
            <v>No</v>
          </cell>
          <cell r="L20" t="str">
            <v>No</v>
          </cell>
          <cell r="M20" t="str">
            <v>No</v>
          </cell>
          <cell r="N20" t="str">
            <v>Yes</v>
          </cell>
          <cell r="O20" t="str">
            <v>No</v>
          </cell>
          <cell r="P20" t="str">
            <v>No</v>
          </cell>
          <cell r="Q20" t="str">
            <v>Yes</v>
          </cell>
          <cell r="R20" t="str">
            <v>No</v>
          </cell>
          <cell r="S20" t="str">
            <v>No</v>
          </cell>
        </row>
        <row r="21">
          <cell r="J21" t="str">
            <v>No</v>
          </cell>
          <cell r="K21" t="str">
            <v>Yes</v>
          </cell>
          <cell r="L21" t="str">
            <v>Yes</v>
          </cell>
          <cell r="M21" t="str">
            <v>No</v>
          </cell>
          <cell r="N21" t="str">
            <v>No</v>
          </cell>
          <cell r="O21" t="str">
            <v>Yes</v>
          </cell>
          <cell r="P21" t="str">
            <v>No</v>
          </cell>
          <cell r="Q21" t="str">
            <v>No</v>
          </cell>
          <cell r="R21" t="str">
            <v>Yes</v>
          </cell>
          <cell r="S21" t="str">
            <v>Yes</v>
          </cell>
        </row>
        <row r="22">
          <cell r="J22" t="str">
            <v>No</v>
          </cell>
          <cell r="K22" t="str">
            <v>No</v>
          </cell>
          <cell r="L22" t="str">
            <v>No</v>
          </cell>
          <cell r="M22" t="str">
            <v>No</v>
          </cell>
          <cell r="N22" t="str">
            <v>No</v>
          </cell>
          <cell r="O22" t="str">
            <v>Yes</v>
          </cell>
          <cell r="P22" t="str">
            <v>No</v>
          </cell>
          <cell r="Q22" t="str">
            <v>On Application</v>
          </cell>
          <cell r="R22" t="str">
            <v>Yes</v>
          </cell>
          <cell r="S22" t="str">
            <v>No</v>
          </cell>
        </row>
        <row r="23">
          <cell r="J23" t="str">
            <v>Included in SCS Installation</v>
          </cell>
          <cell r="K23" t="str">
            <v>Included in SCS Installation</v>
          </cell>
          <cell r="L23" t="str">
            <v>Included in SCS Installation</v>
          </cell>
          <cell r="M23" t="str">
            <v>Not Required</v>
          </cell>
          <cell r="N23" t="str">
            <v>Not Required</v>
          </cell>
          <cell r="O23" t="str">
            <v>Not Required</v>
          </cell>
          <cell r="P23" t="str">
            <v>Yes</v>
          </cell>
          <cell r="Q23" t="str">
            <v>Yes</v>
          </cell>
          <cell r="R23" t="str">
            <v>Yes</v>
          </cell>
          <cell r="S23" t="str">
            <v>Included in SCS Installation</v>
          </cell>
        </row>
        <row r="24">
          <cell r="J24" t="str">
            <v>Included in SCS Installation</v>
          </cell>
          <cell r="K24" t="str">
            <v>Included in SCS Installation</v>
          </cell>
          <cell r="L24" t="str">
            <v>Included in SCS Installation</v>
          </cell>
          <cell r="M24" t="str">
            <v>Not Required</v>
          </cell>
          <cell r="N24" t="str">
            <v>Not Required</v>
          </cell>
          <cell r="O24" t="str">
            <v>Not Required</v>
          </cell>
          <cell r="P24" t="str">
            <v>Yes</v>
          </cell>
          <cell r="Q24" t="str">
            <v>Yes</v>
          </cell>
          <cell r="R24" t="str">
            <v>Yes</v>
          </cell>
          <cell r="S24" t="str">
            <v>Included in SCS Installation</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persons/person.xml><?xml version="1.0" encoding="utf-8"?>
<personList xmlns="http://schemas.microsoft.com/office/spreadsheetml/2018/threadedcomments" xmlns:x="http://schemas.openxmlformats.org/spreadsheetml/2006/main">
  <person displayName="Maximilian Stenning" id="{DA858BDC-0066-4935-AE7A-DFB971C3B749}" userId="Maximilian Stenning"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C000000}" name="Table37" displayName="Table37" ref="B6:B18" totalsRowShown="0" tableBorderDxfId="372">
  <autoFilter ref="B6:B18" xr:uid="{00000000-0009-0000-0100-000025000000}"/>
  <tableColumns count="1">
    <tableColumn id="1" xr3:uid="{00000000-0010-0000-0C00-000001000000}" name="Panel Brands"/>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D000000}" name="panelTable2" displayName="panelTable2" ref="D33:J34" totalsRowShown="0" dataDxfId="371" tableBorderDxfId="370">
  <autoFilter ref="D33:J34" xr:uid="{00000000-0009-0000-0100-000026000000}"/>
  <tableColumns count="7">
    <tableColumn id="1" xr3:uid="{00000000-0010-0000-0D00-000001000000}" name="Jinko" dataDxfId="369"/>
    <tableColumn id="8" xr3:uid="{DAF9025D-526B-4F3D-9BD1-E0B5535529CD}" name="Product Warranty (Years)" dataDxfId="368"/>
    <tableColumn id="9" xr3:uid="{44958A17-723D-46BD-A4E3-791F32B66A21}" name="Performance Warranty (Years)" dataDxfId="367"/>
    <tableColumn id="10" xr3:uid="{A1A0A959-F377-4CC8-979B-F16A193ECDDD}" name="Wattage" dataDxfId="366"/>
    <tableColumn id="11" xr3:uid="{43547A84-EEA8-4CA3-B645-CC4A231806F7}" name="$/Watt" dataDxfId="365">
      <calculatedColumnFormula>0.1935+0.02</calculatedColumnFormula>
    </tableColumn>
    <tableColumn id="12" xr3:uid="{A6A5759A-8A14-439B-B75F-221F2AAB089F}" name="Datasheet Code" dataDxfId="364"/>
    <tableColumn id="13" xr3:uid="{ED82B34A-A026-4FB1-AEEB-886F25675BCA}" name="Local Stock?" dataDxfId="36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E000000}" name="panelTable3" displayName="panelTable3" ref="D12:J15" totalsRowShown="0" dataDxfId="362">
  <autoFilter ref="D12:J15" xr:uid="{00000000-0009-0000-0100-000027000000}"/>
  <tableColumns count="7">
    <tableColumn id="1" xr3:uid="{00000000-0010-0000-0E00-000001000000}" name="Risen" dataDxfId="361"/>
    <tableColumn id="2" xr3:uid="{CFA8AA77-0A21-4C43-A766-603B7F0CAD1E}" name="Product Warranty (Years)" dataDxfId="360"/>
    <tableColumn id="3" xr3:uid="{33A39FF0-09D6-4AA6-91DF-C3229ED56304}" name="Performance Warranty (Years)" dataDxfId="359"/>
    <tableColumn id="4" xr3:uid="{CF29E704-1A60-44C5-9253-E03204B1402D}" name="Wattage" dataDxfId="358"/>
    <tableColumn id="5" xr3:uid="{0101BBEE-FCF2-494F-8C33-8589B733576A}" name="$/Watt" dataDxfId="357"/>
    <tableColumn id="6" xr3:uid="{511CC6A1-40F7-463F-80D1-7B1AEE72572D}" name="Datasheet Code" dataDxfId="356"/>
    <tableColumn id="7" xr3:uid="{354E9D5F-050D-46D5-AE40-F84537E26A33}" name="Local Stock?" dataDxfId="35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F000000}" name="panelTable4" displayName="panelTable4" ref="D17:J19" totalsRowShown="0" dataDxfId="354">
  <autoFilter ref="D17:J19" xr:uid="{00000000-0009-0000-0100-000028000000}"/>
  <tableColumns count="7">
    <tableColumn id="1" xr3:uid="{00000000-0010-0000-0F00-000001000000}" name="Trina" dataDxfId="353"/>
    <tableColumn id="2" xr3:uid="{75F7DF21-4885-429B-B78F-CAE7B3D6941A}" name="Product Warranty (Years)" dataDxfId="352"/>
    <tableColumn id="3" xr3:uid="{2D009F72-8E4B-4D3C-A2E8-187A881C349C}" name="Performance Warranty (Years)" dataDxfId="351"/>
    <tableColumn id="4" xr3:uid="{B3854B10-3591-4219-9D93-195BE3DCA14B}" name="Wattage" dataDxfId="350"/>
    <tableColumn id="5" xr3:uid="{CF240FD4-BE62-43AE-87DA-8324EDB03763}" name="$/Watt" dataDxfId="349"/>
    <tableColumn id="6" xr3:uid="{3A96E2BB-A6D8-49B2-87D8-9D2F547909A8}" name="Datasheet Code" dataDxfId="348" dataCellStyle="Currency"/>
    <tableColumn id="7" xr3:uid="{2DBC31F9-326B-4B66-89F4-8CF434FF4863}" name="Local Stock?" dataDxfId="34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0000000}" name="panelTable5" displayName="panelTable5" ref="D21:J22" totalsRowShown="0">
  <autoFilter ref="D21:J22" xr:uid="{00000000-0009-0000-0100-00002A000000}"/>
  <tableColumns count="7">
    <tableColumn id="1" xr3:uid="{00000000-0010-0000-1000-000001000000}" name="Sunpower"/>
    <tableColumn id="2" xr3:uid="{2F40D350-D532-4B63-8516-99192E303D39}" name="Product Warranty (Years)"/>
    <tableColumn id="3" xr3:uid="{EA7C2746-F3F5-49AD-8519-2095C361100C}" name="Performance Warranty (Years)"/>
    <tableColumn id="4" xr3:uid="{74B04D0F-C331-4F14-8560-CBA8B1F61810}" name="Wattage" dataDxfId="346"/>
    <tableColumn id="5" xr3:uid="{B6756782-DD95-4BD2-AC1F-8739E046FF49}" name="$/Watt" dataDxfId="345"/>
    <tableColumn id="6" xr3:uid="{2BE5B33D-A8CD-4BDE-BE9E-E6F518E42E1E}" name="Datasheet Code" dataDxfId="344"/>
    <tableColumn id="7" xr3:uid="{3244FCE9-C7CB-440E-A6C8-3798FAFD1B97}" name="Local Stock?" dataDxfId="34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1000000}" name="panelTable6" displayName="panelTable6" ref="D24:J25" totalsRowShown="0">
  <autoFilter ref="D24:J25" xr:uid="{00000000-0009-0000-0100-00002B000000}"/>
  <tableColumns count="7">
    <tableColumn id="1" xr3:uid="{00000000-0010-0000-1100-000001000000}" name="Canadian Solar"/>
    <tableColumn id="2" xr3:uid="{07FB0C3A-71CB-4FEA-992E-13D2960A4690}" name="Product Warranty (Years)"/>
    <tableColumn id="3" xr3:uid="{5114750F-758F-4777-8BF5-3DCF25E523E2}" name="Performance Warranty (Years)"/>
    <tableColumn id="4" xr3:uid="{66EBE5A5-5939-4E11-9E11-0281B5CED35A}" name="Wattage"/>
    <tableColumn id="5" xr3:uid="{2F172A3C-2229-44FD-86C7-814BCF4EB3DC}" name="$/Watt"/>
    <tableColumn id="6" xr3:uid="{BF699197-C5D4-4F12-B481-7FDA37D4533B}" name="Datasheet Code" dataDxfId="342"/>
    <tableColumn id="7" xr3:uid="{7D8C86D0-E76D-44A8-A042-665359FFD646}" name="Local Stock?" dataDxfId="34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3000000}" name="panelTable1" displayName="panelTable1" ref="D6:J7" totalsRowShown="0" tableBorderDxfId="340">
  <autoFilter ref="D6:J7" xr:uid="{00000000-0009-0000-0100-00002D000000}"/>
  <tableColumns count="7">
    <tableColumn id="1" xr3:uid="{00000000-0010-0000-1300-000001000000}" name="Tier 1"/>
    <tableColumn id="2" xr3:uid="{7F7CB567-F169-4D57-8325-CFEA4D7A3584}" name="Product Warranty (Years)"/>
    <tableColumn id="3" xr3:uid="{51F9F18B-A62F-44A0-B86D-AA9265F317BC}" name="Performance Warranty (Years)"/>
    <tableColumn id="4" xr3:uid="{3235A2F3-6FD7-4276-90DC-9306E5D0AC98}" name="Wattage" dataDxfId="339"/>
    <tableColumn id="5" xr3:uid="{A834086F-73A8-41D1-8223-BA9726A1180B}" name="$/Watt" dataDxfId="338">
      <calculatedColumnFormula>AVERAGE(H10:H34)</calculatedColumnFormula>
    </tableColumn>
    <tableColumn id="6" xr3:uid="{82B0612E-3F6F-4B1E-A694-B49E4318AD53}" name="Datasheet Code"/>
    <tableColumn id="7" xr3:uid="{F8DD4CF2-55F0-46E1-AC17-7A50F71C6285}" name="Local Stock?" dataDxfId="33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5000000}" name="Table46" displayName="Table46" ref="L6:L11" totalsRowShown="0">
  <autoFilter ref="L6:L11" xr:uid="{00000000-0009-0000-0100-00002E000000}"/>
  <tableColumns count="1">
    <tableColumn id="1" xr3:uid="{00000000-0010-0000-1500-000001000000}" name="Inverter Brands"/>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6000000}" name="Enphase" displayName="Enphase" ref="P24:P28" totalsRowCount="1" headerRowDxfId="336" headerRowBorderDxfId="335" tableBorderDxfId="334" totalsRowBorderDxfId="333">
  <autoFilter ref="P24:P27" xr:uid="{00000000-0009-0000-0100-000030000000}"/>
  <tableColumns count="1">
    <tableColumn id="1" xr3:uid="{00000000-0010-0000-1600-000001000000}" name="Enphase" totalsRowFunction="custom" dataDxfId="332" totalsRowDxfId="331">
      <totalsRowFormula>IFERROR(
    LEFT(IF(O27&lt;&gt;0,O27&amp;" x "&amp;P27 &amp;", ","")&amp;
         IF(O26&lt;&gt;0,O26&amp;" x "&amp;P26 &amp;", ","")&amp;
         IF(O25&lt;&gt;0,O25&amp;" x "&amp;P25 &amp;", ",""),
         LEN(IF(O27&lt;&gt;0,O27&amp;" x "&amp;P27 &amp;", ","")&amp;IF(O26&lt;&gt;0,O26&amp;" x "&amp;P26 &amp;", ","")&amp;IF(O25&lt;&gt;0,O25&amp;" x "&amp;P25 &amp;", ",""))-2),
       "None")</totalsRow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8000000}" name="Fronius" displayName="Fronius" ref="P30:P55" totalsRowCount="1" headerRowDxfId="330" dataDxfId="328" headerRowBorderDxfId="329" tableBorderDxfId="327" totalsRowBorderDxfId="326">
  <autoFilter ref="P30:P54" xr:uid="{00000000-0009-0000-0100-000032000000}"/>
  <tableColumns count="1">
    <tableColumn id="1" xr3:uid="{00000000-0010-0000-1800-000001000000}" name="Fronius " totalsRowFunction="custom" dataDxfId="325" totalsRowDxfId="324">
      <totalsRowFormula>IFERROR(
    LEFT(
        IF(O54&lt;&gt;0,O54&amp;" x "&amp;P54 &amp;", ","")&amp;
        IF(O53&lt;&gt;0,O53&amp;" x "&amp;P53 &amp;", ","")&amp;
        IF(O52&lt;&gt;0,O52&amp;" x "&amp;P52 &amp;", ","")&amp;
        IF(O51&lt;&gt;0,O51&amp;" x "&amp;P51 &amp;", ","")&amp;
        IF(O50&lt;&gt;0,O50&amp;" x "&amp;P50 &amp;", ","")&amp;
        IF(O49&lt;&gt;0,O49&amp;" x "&amp;P49 &amp;", ","")&amp;
        IF(O48&lt;&gt;0,O48&amp;" x "&amp;P48 &amp;", ","")&amp;
        IF(O47&lt;&gt;0,O47&amp;" x "&amp;P47 &amp;", ","")&amp;
        IF(O46&lt;&gt;0,O46&amp;" x "&amp;P46 &amp;", ","")&amp;
        IF(O45&lt;&gt;0,O45&amp;" x "&amp;P45 &amp;", ","")&amp;
        IF(O44&lt;&gt;0,O44&amp;" x "&amp;P44 &amp;", ","")&amp;
        IF(O43&lt;&gt;0,O43&amp;" x "&amp;P43 &amp;", ","")&amp;
        IF(O42&lt;&gt;0,O42&amp;" x "&amp;P42 &amp;", ","")&amp;
        IF(O41&lt;&gt;0,O41&amp;" x "&amp;P41 &amp;", ","")&amp;
        IF(O40&lt;&gt;0,O40&amp;" x "&amp;P40 &amp;", ","")&amp;
        IF(O39&lt;&gt;0,O39&amp;" x "&amp;P39 &amp;", ","")&amp;
        IF(O38&lt;&gt;0,O38&amp;" x "&amp;P38 &amp;", ","")&amp;
        IF(O37&lt;&gt;0,O37&amp;" x "&amp;P37 &amp;", ","")&amp;
        IF(O36&lt;&gt;0,O36&amp;" x "&amp;P36 &amp;", ","")&amp;
        IF(O35&lt;&gt;0,O35&amp;" x "&amp;P35 &amp;", ","")&amp;
        IF(O34&lt;&gt;0,O34&amp;" x "&amp;P34 &amp;", ","")&amp;
        IF(O33&lt;&gt;0,O33&amp;" x "&amp;P33 &amp;", ","")&amp;
        IF(O32&lt;&gt;0,O32&amp;" x "&amp;P32 &amp;", ","")&amp;
        IF(O31&lt;&gt;0,O31&amp;" x "&amp;P31 &amp;", ",""),
        LEN(
            IF(O54&lt;&gt;0,O54&amp;" x "&amp;P54 &amp;", ","")&amp;
            IF(O53&lt;&gt;0,O53&amp;" x "&amp;P53 &amp;", ","")&amp;
            IF(O52&lt;&gt;0,O52&amp;" x "&amp;P52 &amp;", ","")&amp;
            IF(O51&lt;&gt;0,O51&amp;" x "&amp;P51 &amp;", ","")&amp;
            IF(O50&lt;&gt;0,O50&amp;" x "&amp;P50 &amp;", ","")&amp;
            IF(O49&lt;&gt;0,O49&amp;" x "&amp;P48 &amp;", ","")&amp;
            IF(O48&lt;&gt;0,O48&amp;" x "&amp;P48 &amp;", ","")&amp;
            IF(O47&lt;&gt;0,O47&amp;" x "&amp;P47 &amp;", ","")&amp;
            IF(O46&lt;&gt;0,O46&amp;" x "&amp;P46 &amp;", ","")&amp;
            IF(O45&lt;&gt;0,O45&amp;" x "&amp;P45 &amp;", ","")&amp;
            IF(O44&lt;&gt;0,O44&amp;" x "&amp;P44 &amp;", ","")&amp;
            IF(O43&lt;&gt;0,O43&amp;" x "&amp;P43 &amp;", ","")&amp;
            IF(O42&lt;&gt;0,O42&amp;" x "&amp;P42 &amp;", ","")&amp;
            IF(O41&lt;&gt;0,O41&amp;" x "&amp;P41 &amp;", ","")&amp;
            IF(O40&lt;&gt;0,O40&amp;" x "&amp;P40 &amp;", ","")&amp;
            IF(O39&lt;&gt;0,O39&amp;" x "&amp;P39 &amp;", ","")&amp;
            IF(O38&lt;&gt;0,O38&amp;" x "&amp;P38 &amp;", ","")&amp;
            IF(O37&lt;&gt;0,O37&amp;" x "&amp;P37 &amp;", ","")&amp;
            IF(O36&lt;&gt;0,O36&amp;" x "&amp;P36 &amp;", ","")&amp;
            IF(O35&lt;&gt;0,O35&amp;" x "&amp;P35 &amp;", ","")&amp;
            IF(O34&lt;&gt;0,O34&amp;" x "&amp;P34 &amp;", ","")&amp;
            IF(O33&lt;&gt;0,O33&amp;" x "&amp;P33 &amp;", ","")&amp;
            IF(O32&lt;&gt;0,O32&amp;" x "&amp;P32 &amp;", ","")&amp;
            IF(O31&lt;&gt;0,O31&amp;" x "&amp;P31 &amp;", ","")
        )-2
    ),
    "None"
)</totalsRow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1C000000}" name="SolarEdge" displayName="SolarEdge" ref="P59:P67" totalsRowShown="0" headerRowBorderDxfId="323" tableBorderDxfId="322" totalsRowBorderDxfId="321">
  <autoFilter ref="P59:P67" xr:uid="{00000000-0009-0000-0100-000036000000}"/>
  <tableColumns count="1">
    <tableColumn id="1" xr3:uid="{00000000-0010-0000-1C00-000001000000}" name="Solar Edge" dataDxfId="32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E000000}" name="Table23" displayName="Table23" ref="AB7:AD15" totalsRowShown="0">
  <tableColumns count="3">
    <tableColumn id="1" xr3:uid="{00000000-0010-0000-1E00-000001000000}" name="Racking Type" dataDxfId="319"/>
    <tableColumn id="4" xr3:uid="{00000000-0010-0000-1E00-000004000000}" name="$/W" dataDxfId="318"/>
    <tableColumn id="2" xr3:uid="{37091E1D-76E5-6A4D-A563-B1E6C9DC7217}" name="$/Panel" dataDxfId="317"/>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F000000}" name="Table29" displayName="Table29" ref="AF7:AF19" totalsRowShown="0">
  <autoFilter ref="AF7:AF19" xr:uid="{00000000-0009-0000-0100-00001D000000}"/>
  <tableColumns count="1">
    <tableColumn id="1" xr3:uid="{00000000-0010-0000-1F00-000001000000}" name="Column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1000000}" name="Table33" displayName="Table33" ref="AN7:AO9" totalsRowShown="0">
  <tableColumns count="2">
    <tableColumn id="1" xr3:uid="{00000000-0010-0000-2100-000001000000}" name="Type "/>
    <tableColumn id="2" xr3:uid="{00000000-0010-0000-2100-000002000000}" name="Price Per unit" dataCellStyle="Currency"/>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0000000}" name="Table27" displayName="Table27" ref="AK7:AL19" totalsRowShown="0">
  <tableColumns count="2">
    <tableColumn id="1" xr3:uid="{00000000-0010-0000-2000-000001000000}" name="Power Factor Correction" dataDxfId="316"/>
    <tableColumn id="2" xr3:uid="{00000000-0010-0000-2000-000002000000}" name="Price Per Unit" dataDxfId="315" dataCellStyle="Currency"/>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E066D4-9E97-4921-9694-213DFF956D75}" name="Sigenergy" displayName="Sigenergy" ref="P17:P22" totalsRowCount="1" headerRowDxfId="314" dataDxfId="312" totalsRowDxfId="310" headerRowBorderDxfId="313" tableBorderDxfId="311" totalsRowBorderDxfId="309">
  <autoFilter ref="P17:P21" xr:uid="{3CE066D4-9E97-4921-9694-213DFF956D75}"/>
  <tableColumns count="1">
    <tableColumn id="1" xr3:uid="{52AB11EE-8D22-4E98-AA45-1AF152BB221D}" name="Sigenergy" totalsRowFunction="custom" dataDxfId="308" totalsRowDxfId="307">
      <totalsRowFormula>IFERROR(
    LEFT(IF(O21&lt;&gt;0,O21&amp;" x "&amp;P21 &amp;", ","")&amp;
         IF(O20&lt;&gt;0,O20&amp;" x "&amp;P20 &amp;", ","")&amp;
         IF(O19&lt;&gt;0,O19&amp;" x "&amp;P19 &amp;", ","")&amp;
         IF(O18&lt;&gt;0,O18&amp;" x "&amp;P18 &amp;", ",""),
         LEN(IF(O21&lt;&gt;0,O21&amp;" x "&amp;P21 &amp;", ","")&amp;IF(O20&lt;&gt;0,O20&amp;" x "&amp;P20 &amp;", ","")&amp;IF(O19&lt;&gt;0,O19&amp;" x "&amp;P19 &amp;", ","")&amp;IF(O18&lt;&gt;0,O18&amp;" x "&amp;P18 &amp;", ",""))-2),
       "None")</totalsRow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7346BC-3B64-43AD-AF63-42DC40CCB5CE}" name="panelTable7" displayName="panelTable7" ref="D27:J28" totalsRowShown="0" tableBorderDxfId="306">
  <autoFilter ref="D27:J28" xr:uid="{AB7346BC-3B64-43AD-AF63-42DC40CCB5CE}"/>
  <tableColumns count="7">
    <tableColumn id="1" xr3:uid="{17EA3DAE-522B-4037-A54B-56FC6551C9BB}" name="Tindo Solar" dataDxfId="305"/>
    <tableColumn id="2" xr3:uid="{91434588-DADD-42ED-AE00-8A2EAACA48BC}" name="Product Warranty (Years)" dataDxfId="304"/>
    <tableColumn id="3" xr3:uid="{795675E1-3CD0-45B2-A170-14CCF75EDFD3}" name="Performance Warranty (Years)" dataDxfId="303"/>
    <tableColumn id="4" xr3:uid="{8C5C18B3-2EB5-481E-A246-17E75EF414D5}" name="Wattage" dataDxfId="302"/>
    <tableColumn id="5" xr3:uid="{AF73D576-AD0D-4752-B2A0-FC570B69AC7D}" name="$/Watt" dataDxfId="301"/>
    <tableColumn id="6" xr3:uid="{D9EFE04A-B068-4821-8945-B73CF6FAE89C}" name="Datasheet Code" dataDxfId="300"/>
    <tableColumn id="7" xr3:uid="{D77598B1-31C9-4559-BCD5-1737B0FCFD60}" name="Local Stock?" dataDxfId="299"/>
  </tableColumns>
  <tableStyleInfo name="TableStyleMedium1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31E891E-FB93-4932-8D84-0539A8C6F9E8}" name="panelTable8" displayName="panelTable8" ref="D30:J31" totalsRowShown="0" tableBorderDxfId="298">
  <autoFilter ref="D30:J31" xr:uid="{431E891E-FB93-4932-8D84-0539A8C6F9E8}"/>
  <tableColumns count="7">
    <tableColumn id="1" xr3:uid="{EB4C07DE-822C-4708-9F9F-495F5BBD5CA4}" name="JA Solar"/>
    <tableColumn id="2" xr3:uid="{C21A4898-CE1D-4B87-9EEA-BE0251445F89}" name="Product Warranty (Years)"/>
    <tableColumn id="3" xr3:uid="{FA8BA81C-1D58-4964-8BE0-40BD08EF6FB4}" name="Performance Warranty (Years)"/>
    <tableColumn id="4" xr3:uid="{2DCEBDA0-DB44-4CA8-ABC2-364B5E573573}" name="Wattage"/>
    <tableColumn id="5" xr3:uid="{307DAC65-B74A-4AC8-BE9D-C1F85432091A}" name="$/Watt"/>
    <tableColumn id="6" xr3:uid="{BD97DB90-AA52-4D3E-9142-DD1C58CE1944}" name="Datasheet Code"/>
    <tableColumn id="7" xr3:uid="{1D823390-A913-4467-BCD6-56024795E09D}" name="Local Stock?"/>
  </tableColumns>
  <tableStyleInfo name="TableStyleMedium1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DEE753-7D99-4D46-9A1E-CBB4430BFBB2}" name="panelTable9" displayName="panelTable9" ref="D9:J10" totalsRowShown="0" headerRowDxfId="297" headerRowBorderDxfId="296" tableBorderDxfId="295" totalsRowBorderDxfId="294">
  <autoFilter ref="D9:J10" xr:uid="{52DEE753-7D99-4D46-9A1E-CBB4430BFBB2}"/>
  <tableColumns count="7">
    <tableColumn id="1" xr3:uid="{96E9BF7B-12B9-4C17-88F1-20D70A8586B1}" name="AIKO" dataDxfId="293"/>
    <tableColumn id="2" xr3:uid="{514AA41F-60DD-4D1B-8EC3-F7A9DCD65CD8}" name="Product Warranty (Years)" dataDxfId="292"/>
    <tableColumn id="3" xr3:uid="{6EBD213A-6789-45DE-9346-816BC5EB610F}" name="Performance Warranty (Years)" dataDxfId="291"/>
    <tableColumn id="4" xr3:uid="{6A20D057-A0F9-4529-BED9-4E90847A5484}" name="Wattage" dataDxfId="290"/>
    <tableColumn id="5" xr3:uid="{1FD884C6-1B9D-4829-8B24-3753DED31965}" name="$/Watt" dataDxfId="289"/>
    <tableColumn id="6" xr3:uid="{464B9640-2AF8-4010-B1C6-C29DB13A277D}" name="Datasheet Code" dataDxfId="288"/>
    <tableColumn id="7" xr3:uid="{154E7DF4-7CA8-4C58-B447-A3B3D763A969}" name="Local Stock?" dataDxfId="28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7AE2227-55C6-459A-A1D6-6D0E2D2F25FF}" name="Sungrow" displayName="Sungrow" ref="P7:P15" totalsRowShown="0" headerRowDxfId="286" headerRowBorderDxfId="285" tableBorderDxfId="284">
  <autoFilter ref="P7:P15" xr:uid="{27AE2227-55C6-459A-A1D6-6D0E2D2F25FF}"/>
  <tableColumns count="1">
    <tableColumn id="1" xr3:uid="{FCF40DAE-761C-43F3-B43A-0A247D695DF7}" name="Sungrow"/>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14993D3-89E4-4DDA-9A56-59360BE756B2}" name="BESSTable1" displayName="BESSTable1" ref="A1:L23" totalsRowShown="0" headerRowDxfId="283" dataDxfId="282">
  <autoFilter ref="A1:L23" xr:uid="{78B68F15-3A99-47B1-B78F-5FA2299374FE}"/>
  <tableColumns count="12">
    <tableColumn id="1" xr3:uid="{30D4DFC9-A88B-44D0-A879-6E9FEF61367D}" name="Chelion" dataDxfId="281"/>
    <tableColumn id="2" xr3:uid="{2486701A-FEBB-4098-B3A5-BE5C5D50AF96}" name="Nominal kWh" dataDxfId="280"/>
    <tableColumn id="3" xr3:uid="{E4898FA5-BDA9-4BFB-B0E9-FCEC076C1FFD}" name="Battery Price FOB (Ex.GST)" dataDxfId="279" dataCellStyle="Currency"/>
    <tableColumn id="8" xr3:uid="{BCB5ACA2-0FDD-499F-B251-36321B1702BD}" name="PCS included?" dataDxfId="278" dataCellStyle="Currency"/>
    <tableColumn id="5" xr3:uid="{21034029-B975-4939-B8BF-F4948C5CD549}" name="Brand" dataDxfId="277">
      <calculatedColumnFormula>INDEX(BESSTable1[#Headers],1)</calculatedColumnFormula>
    </tableColumn>
    <tableColumn id="4" xr3:uid="{3611D8F6-5EF4-4FF3-92D3-DC8DCC31CB9F}" name="PCS Table Ref." dataDxfId="276">
      <calculatedColumnFormula>"PCSTable" &amp; MATCH(BESSTable1[[#This Row],[Brand]],INDIRECT("BESS_Brands[BESS Brands]"),0)</calculatedColumnFormula>
    </tableColumn>
    <tableColumn id="6" xr3:uid="{F5623E3E-F769-47B9-A14F-C005FFCF9625}" name="Suggested PCS" dataDxfId="275">
      <calculatedColumnFormula array="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calculatedColumnFormula>
    </tableColumn>
    <tableColumn id="7" xr3:uid="{34D289E3-AD1D-4E87-8436-3E7354234A68}" name="$/kWh (inc. PCS)" dataDxfId="274">
      <calculatedColumnFormula array="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calculatedColumnFormula>
    </tableColumn>
    <tableColumn id="9" xr3:uid="{8F5445AA-EAF8-4ECD-A5AF-65644EE33A4E}" name="Notes" dataDxfId="273"/>
    <tableColumn id="10" xr3:uid="{0A28A6D4-FD92-4401-8BBC-8E08FF408EFF}" name="Product Warranty" dataDxfId="272"/>
    <tableColumn id="11" xr3:uid="{CE1982CE-0D19-486A-BBA1-CECF024E2F54}" name="Performance Warranty" dataDxfId="271"/>
    <tableColumn id="12" xr3:uid="{F456FD46-DD8C-4E66-AA10-761E4BC6F0CE}" name="SMARTSTACK Compatible?" dataDxfId="27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C7B2FFE-46F9-430E-8A7A-CD0D296EC850}" name="PCSTable1" displayName="PCSTable1" ref="N1:Q18" totalsRowShown="0" headerRowDxfId="269">
  <autoFilter ref="N1:Q18" xr:uid="{C6FB419B-4932-44D2-8E1A-3798F62A0C28}"/>
  <tableColumns count="4">
    <tableColumn id="1" xr3:uid="{D02118E4-CC9A-40C2-BB7D-125DEF1734CE}" name="Chelion" dataDxfId="268"/>
    <tableColumn id="2" xr3:uid="{EC54C04F-EB9E-4ABD-B99D-409725F61F02}" name="kVA"/>
    <tableColumn id="3" xr3:uid="{3072830C-DE0C-40F6-87DA-07642072C542}" name="PCS Price (Ex. GST)" dataDxfId="267" dataCellStyle="Currency"/>
    <tableColumn id="4" xr3:uid="{CAE668F3-8837-404D-9079-E2CAD5F7B986}" name="Notes" dataDxfId="26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7C60FF9-37BC-4529-86E4-D0FD82AF0F5B}" name="BESSTable2" displayName="BESSTable2" ref="A25:L38" totalsRowShown="0" headerRowDxfId="265" headerRowBorderDxfId="264" tableBorderDxfId="263">
  <autoFilter ref="A25:L38" xr:uid="{B87A48FF-7A29-45E7-A312-C16730944AEB}"/>
  <tableColumns count="12">
    <tableColumn id="1" xr3:uid="{0AAA7476-48DF-4B81-8495-61921A00AF98}" name="Sungrow" dataDxfId="262"/>
    <tableColumn id="2" xr3:uid="{5945055D-DBA4-419D-B825-5A1F50D0A2DB}" name="Nominal kWh"/>
    <tableColumn id="3" xr3:uid="{DF478B08-C226-41FE-AEB2-4E7F6549C8D2}" name="Battery Price FOB (Ex.GST)" dataDxfId="261" dataCellStyle="Currency"/>
    <tableColumn id="4" xr3:uid="{90D21131-8995-419C-BC85-D5C831CFDCB8}" name="PCS included?" dataDxfId="260"/>
    <tableColumn id="5" xr3:uid="{5EF071C1-559E-4E3D-9E3D-F57D5C71F772}" name="Brand" dataDxfId="259">
      <calculatedColumnFormula>INDEX(BESSTable2[#Headers],1)</calculatedColumnFormula>
    </tableColumn>
    <tableColumn id="6" xr3:uid="{31949E29-211F-4897-A2FB-8F6CDD268035}" name="PCS Table Ref." dataDxfId="258">
      <calculatedColumnFormula>"PCSTable" &amp; MATCH(BESSTable2[[#This Row],[Brand]],INDIRECT("BESS_Brands[BESS Brands]"),0)</calculatedColumnFormula>
    </tableColumn>
    <tableColumn id="7" xr3:uid="{5A2C9B00-760C-45A9-973B-A66801AE8D3B}" name="Suggested PCS" dataDxfId="257">
      <calculatedColumnFormula array="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calculatedColumnFormula>
    </tableColumn>
    <tableColumn id="8" xr3:uid="{05B239CE-26C7-48F7-953B-DE92CADD97EF}" name="$/kWh (inc. PCS)" dataDxfId="256">
      <calculatedColumnFormula array="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calculatedColumnFormula>
    </tableColumn>
    <tableColumn id="9" xr3:uid="{9E4FFBB3-F023-4F35-B202-4BABB0574597}" name="Notes" dataDxfId="255"/>
    <tableColumn id="10" xr3:uid="{9AABE37A-8305-4807-AA33-5A36C40BD2DA}" name="Product Warranty" dataDxfId="254" dataCellStyle="Normal 18"/>
    <tableColumn id="11" xr3:uid="{2E3BA00E-A746-4029-8C9D-A28FB99A12EB}" name="Performance Warranty" dataDxfId="253" dataCellStyle="Normal 18"/>
    <tableColumn id="12" xr3:uid="{3335F85F-8026-4377-945D-4C2E2928D46F}" name="SMARTSTACK Compatible?" dataDxfId="252" dataCellStyle="Normal 18"/>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95043B2-12E5-4CFC-83DA-82D505A00752}" name="PCSTable2" displayName="PCSTable2" ref="N25:Q35" totalsRowShown="0" headerRowDxfId="251" headerRowBorderDxfId="250" tableBorderDxfId="249">
  <autoFilter ref="N25:Q35" xr:uid="{BEF70540-77C7-4391-A7A6-52DEA1411E4C}"/>
  <tableColumns count="4">
    <tableColumn id="1" xr3:uid="{A6C1D791-2CB4-4EE2-A9A2-16098F1EF331}" name="Sungrow" dataDxfId="248"/>
    <tableColumn id="2" xr3:uid="{04750D9F-7899-495F-8737-6B12A5DF3BEA}" name="kVA"/>
    <tableColumn id="3" xr3:uid="{706B8379-D93D-4087-BAA1-CDFD55BE607D}" name="PCS Price (Ex. GST)" dataDxfId="247" dataCellStyle="Currency"/>
    <tableColumn id="4" xr3:uid="{EC2797EB-52DE-4F04-A896-FC33A43266AB}" name="Notes" dataDxfId="24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AFA6A02F-B09B-4611-84DF-A8CA94285C2C}" name="BESS_Brands" displayName="BESS_Brands" ref="S1:S14" totalsRowShown="0" headerRowDxfId="245">
  <autoFilter ref="S1:S14" xr:uid="{1E578121-6634-4763-AEA9-890D75AD6F2D}"/>
  <tableColumns count="1">
    <tableColumn id="1" xr3:uid="{816364D2-487C-47C2-A8F2-7E49216D621F}" name="BESS Brands"/>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2968A63-B673-45BC-875E-6A1F052E4352}" name="BESSTable3" displayName="BESSTable3" ref="A40:L48" totalsRowShown="0" headerRowDxfId="244" dataDxfId="243" headerRowCellStyle="Normal 18">
  <autoFilter ref="A40:L48" xr:uid="{029189DA-29EE-4081-94DF-2BB2F6F37EEE}"/>
  <tableColumns count="12">
    <tableColumn id="1" xr3:uid="{7748B6A4-B339-4BB0-BFDC-1F426828582D}" name="Relectrify" dataDxfId="242"/>
    <tableColumn id="2" xr3:uid="{8EFDCAB0-CD0D-46D1-B02C-BB24E5AFACAC}" name="Nominal kWh" dataDxfId="241"/>
    <tableColumn id="3" xr3:uid="{CAEE0E0F-9DB5-448F-98D8-80714ED9EAB2}" name="Battery Price FOB (Ex. GST)" dataDxfId="240" dataCellStyle="Currency"/>
    <tableColumn id="4" xr3:uid="{AC5B3887-11F7-44CE-B6BC-CFB87925BB95}" name="PCS Included?" dataDxfId="239"/>
    <tableColumn id="5" xr3:uid="{6D0DE83D-0114-4BB0-BB67-79079069C153}" name="Brand" dataDxfId="238">
      <calculatedColumnFormula>INDEX(BESSTable3[#Headers],1)</calculatedColumnFormula>
    </tableColumn>
    <tableColumn id="6" xr3:uid="{A908A51D-139D-40B6-8F97-D9ADF9694A3F}" name="PCS Table Ref." dataDxfId="237">
      <calculatedColumnFormula>"PCSTable" &amp; MATCH(BESSTable3[[#This Row],[Brand]],INDIRECT("BESS_Brands[BESS Brands]"),0)</calculatedColumnFormula>
    </tableColumn>
    <tableColumn id="7" xr3:uid="{52B39214-D33B-466F-9410-B83D59DA0BA6}" name="Suggested PCS" dataDxfId="236">
      <calculatedColumnFormula array="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calculatedColumnFormula>
    </tableColumn>
    <tableColumn id="8" xr3:uid="{84F8EB00-74B8-4B5A-9EE9-8A4D3BB1CE87}" name="$/kWh (inc. PCS)" dataDxfId="235" dataCellStyle="Normal 18">
      <calculatedColumnFormula array="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calculatedColumnFormula>
    </tableColumn>
    <tableColumn id="9" xr3:uid="{C5DFFD6C-8D7B-4939-B4DE-B74B22D73C23}" name="Notes" dataDxfId="234" dataCellStyle="Normal 18"/>
    <tableColumn id="10" xr3:uid="{1A9F0F93-1686-4ED0-AD1F-CA45E041AA4F}" name="Product Warranty" dataDxfId="233"/>
    <tableColumn id="11" xr3:uid="{7DB26C0C-9390-46EB-8215-51C080ECFC73}" name="Performance Warranty" dataDxfId="232"/>
    <tableColumn id="12" xr3:uid="{FA376D4E-360E-4BDD-BB8D-EE0BB6A66FC9}" name="SMARTSTACK Compatible?" dataDxfId="231"/>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7530B1FC-7E1B-4618-B58B-4B5418A41DD5}" name="PCSTable3" displayName="PCSTable3" ref="N40:Q43" totalsRowShown="0" headerRowDxfId="230" headerRowBorderDxfId="229" tableBorderDxfId="228">
  <autoFilter ref="N40:Q43" xr:uid="{6C2801C3-BC55-4D11-AFD3-82A2C179FE43}"/>
  <tableColumns count="4">
    <tableColumn id="1" xr3:uid="{A7BD5259-7B3B-4FEA-8667-9272BEAA080B}" name="Relectrify"/>
    <tableColumn id="2" xr3:uid="{5067D3C1-0C7A-4590-B4C8-A564E40F25B4}" name="kVA"/>
    <tableColumn id="3" xr3:uid="{5B4065AD-8EA5-4228-897B-37B1916D87BC}" name="PCS Price (Ex. GST)"/>
    <tableColumn id="4" xr3:uid="{8C1C376C-C0E8-4257-BA27-E60C9F464868}" name="Notes" dataDxfId="22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9FD066-B7CD-47C2-9D23-E15DB0A2532D}" name="BESSTable4" displayName="BESSTable4" ref="A50:L53" totalsRowShown="0" headerRowDxfId="226" headerRowBorderDxfId="225" tableBorderDxfId="224" headerRowCellStyle="Normal 18">
  <autoFilter ref="A50:L53" xr:uid="{EDB9E435-931B-4722-9559-246908193B46}"/>
  <tableColumns count="12">
    <tableColumn id="1" xr3:uid="{38CBDD54-E379-4E12-9CC7-DC6997C55BF0}" name="Powerplus"/>
    <tableColumn id="2" xr3:uid="{0FF38CFF-4B3D-4608-8079-E49F1E0BA39E}" name="Nominal kWh"/>
    <tableColumn id="3" xr3:uid="{9B5AF111-A14A-42F6-BDC9-8AE7F12E5FA3}" name="Battery Price FOB (Ex.GST)" dataDxfId="223" dataCellStyle="Currency"/>
    <tableColumn id="4" xr3:uid="{D97B661B-E6C4-408C-817E-67015E689107}" name="PCS included?" dataDxfId="222"/>
    <tableColumn id="5" xr3:uid="{35365264-9B5F-4222-8589-692F6C26DCDA}" name="Brand" dataDxfId="221">
      <calculatedColumnFormula>INDEX(BESSTable4[#Headers],1)</calculatedColumnFormula>
    </tableColumn>
    <tableColumn id="6" xr3:uid="{0654C408-4ACA-4AC4-B634-DC1CD9800C1D}" name="PCS Table Ref." dataDxfId="220">
      <calculatedColumnFormula>"PCSTable" &amp; MATCH(BESSTable4[[#This Row],[Brand]],INDIRECT("BESS_Brands[BESS Brands]"),0)</calculatedColumnFormula>
    </tableColumn>
    <tableColumn id="7" xr3:uid="{4EEF180B-CF16-4A0D-B4DF-3C67837702BE}" name="Suggested PCS" dataDxfId="219">
      <calculatedColumnFormula array="1">IF(ISBLANK(BESSTable4[[#This Row],[PCS included?]]),_xlfn.XLOOKUP(BESSTable4[[#This Row],[Nominal kWh]]/2,INDIRECT(BESSTable4[[#This Row],[PCS Table Ref.]]&amp; "[kVA]"),INDIRECT(BESSTable4[[#This Row],[PCS Table Ref.]]&amp; "["&amp;BESSTable4[[#This Row],[Brand]]&amp;"]"),INDEX(INDIRECT(BESSTable4[[#This Row],[PCS Table Ref.]]&amp; "["&amp;BESSTable4[[#This Row],[Brand]]&amp;"]"),1),-1),"INTEGRATED PCS")</calculatedColumnFormula>
    </tableColumn>
    <tableColumn id="8" xr3:uid="{5AA32C63-2E8A-4140-9A2B-C15A621BC123}" name="$/kWh (inc. PCS)" dataDxfId="218" dataCellStyle="Normal 18">
      <calculatedColumnFormula array="1">(BESSTable4[[#This Row],[Battery Price FOB (Ex.GST)]]+IF(BESSTable4[[#This Row],[Suggested PCS]]="INTEGRATED PCS",0,_xlfn.XLOOKUP(BESSTable4[[#This Row],[Suggested PCS]],INDIRECT(BESSTable4[[#This Row],[PCS Table Ref.]]&amp;"["&amp;BESSTable4[[#This Row],[Brand]]&amp;"]"),INDIRECT(BESSTable4[[#This Row],[PCS Table Ref.]]&amp;"[PCS Price (Ex. GST)]"))))/BESSTable4[[#This Row],[Nominal kWh]]</calculatedColumnFormula>
    </tableColumn>
    <tableColumn id="9" xr3:uid="{7694F3F4-85B5-4FDB-BDC4-FA0635EDFE1D}" name="Notes" dataDxfId="217" dataCellStyle="Normal 18"/>
    <tableColumn id="10" xr3:uid="{4E6DC9EB-17EF-4503-AF30-1B3C954C1A10}" name="Product Warranty" dataDxfId="216"/>
    <tableColumn id="11" xr3:uid="{84B6F66C-09A3-44DA-A1DF-22130E06D77D}" name="Performance Warranty" dataDxfId="215"/>
    <tableColumn id="12" xr3:uid="{D99A9E8C-02A1-47A8-96D0-1F967083CC91}" name="SMARTSTACK Compatible?" dataDxfId="214"/>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98881B01-F344-4F7F-AED2-08A12F1B1915}" name="BESSTable5" displayName="BESSTable5" ref="A55:L73" totalsRowShown="0" headerRowDxfId="213" dataDxfId="211" headerRowBorderDxfId="212" tableBorderDxfId="210" headerRowCellStyle="Normal 18">
  <autoFilter ref="A55:L73" xr:uid="{014DD62D-3156-462A-8C56-7269B302AD8B}"/>
  <tableColumns count="12">
    <tableColumn id="1" xr3:uid="{A9D5B733-A5EB-4CD0-88BD-A73FFECACE33}" name="EVO Power" dataDxfId="209"/>
    <tableColumn id="2" xr3:uid="{B2EFA2CA-D237-45DC-9F0C-B1C4E8C83E38}" name="Nominal kWh" dataDxfId="208"/>
    <tableColumn id="3" xr3:uid="{F82F817B-7ED1-4AD9-B2D5-BE181C66DB7E}" name="Battery Price FOB (Ex.GST)" dataDxfId="207" dataCellStyle="Currency"/>
    <tableColumn id="4" xr3:uid="{9A2AA074-2825-461C-8FD1-8AAEC99E89B2}" name="PCS included?" dataDxfId="206"/>
    <tableColumn id="5" xr3:uid="{3B8766DE-2C1C-4E63-98F4-A8E3161607D3}" name="Brand" dataDxfId="205">
      <calculatedColumnFormula>INDEX(BESSTable5[#Headers],1)</calculatedColumnFormula>
    </tableColumn>
    <tableColumn id="6" xr3:uid="{11CBDF2E-B831-4D8D-9642-9586578385DA}" name="PCS Table Ref." dataDxfId="204">
      <calculatedColumnFormula>"PCSTable" &amp; MATCH(BESSTable5[[#This Row],[Brand]],INDIRECT("BESS_Brands[BESS Brands]"),0)</calculatedColumnFormula>
    </tableColumn>
    <tableColumn id="7" xr3:uid="{4E250E5A-33D2-4BDD-9259-3D8EE8684307}" name="Suggested PCS" dataDxfId="203">
      <calculatedColumnFormula array="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calculatedColumnFormula>
    </tableColumn>
    <tableColumn id="8" xr3:uid="{A083A137-E12E-45AF-8DD4-70FA84421CE6}" name="$/kWh (inc. PCS)" dataDxfId="202">
      <calculatedColumnFormula array="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calculatedColumnFormula>
    </tableColumn>
    <tableColumn id="9" xr3:uid="{39AEC825-5DEC-4CB0-8517-E05A17149C42}" name="Notes" dataDxfId="201"/>
    <tableColumn id="10" xr3:uid="{93CB6932-339D-4C93-9E92-D915EF907DD6}" name="Product Warranty" dataDxfId="200"/>
    <tableColumn id="11" xr3:uid="{04FAB4FD-E4C1-41DA-8250-E7CE6439C529}" name="Performance Warranty" dataDxfId="199"/>
    <tableColumn id="12" xr3:uid="{AFAA3A5D-F51A-4E7A-AF83-69A06AE405DC}" name="SMARTSTACK Compatible?" dataDxfId="198"/>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2A30E1F1-B874-4E2C-81D6-036511B72C2B}" name="PCSTable5" displayName="PCSTable5" ref="N55:Q65" totalsRowShown="0" headerRowDxfId="197" headerRowBorderDxfId="196" tableBorderDxfId="195">
  <autoFilter ref="N55:Q65" xr:uid="{9E7DE884-ACA5-4329-864F-3B2DC05EE9D0}"/>
  <tableColumns count="4">
    <tableColumn id="1" xr3:uid="{89FCD0CC-B8ED-4361-AED4-1B2EA0EF7FEB}" name="EVO Power"/>
    <tableColumn id="2" xr3:uid="{07E58ACE-58A2-4289-8ED9-57E0173FAFCA}" name="kVA"/>
    <tableColumn id="3" xr3:uid="{6B181305-5B8A-432B-A19D-FD5D338C6F7F}" name="PCS Price (Ex. GST)" dataCellStyle="Currency"/>
    <tableColumn id="4" xr3:uid="{DC501367-DC4A-46D3-9DDD-144EE88A59D5}" name="Notes" dataDxfId="19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E945304E-76CD-4F53-B5F3-3A735F4FCFF2}" name="PCSTable4" displayName="PCSTable4" ref="N50:Q51" totalsRowShown="0" headerRowDxfId="193" headerRowBorderDxfId="192" tableBorderDxfId="191" totalsRowBorderDxfId="190">
  <autoFilter ref="N50:Q51" xr:uid="{A2F91F88-78E9-4EA3-97A7-FD2627231A41}"/>
  <tableColumns count="4">
    <tableColumn id="1" xr3:uid="{BCCF9521-9B3F-4867-9927-15E27E38130E}" name="Powerplus" dataDxfId="189"/>
    <tableColumn id="2" xr3:uid="{81A1FA29-26FC-43AB-BEA1-9D863B51A6CF}" name="kVA" dataDxfId="188"/>
    <tableColumn id="3" xr3:uid="{64CB0EB4-5D42-4EC5-AF2A-3ADFF9A5F1DB}" name="PCS Price (Ex.GST)" dataDxfId="187" dataCellStyle="Currency"/>
    <tableColumn id="4" xr3:uid="{74D55424-BAA4-4015-9C1F-510557DF3A6D}" name="Notes" dataDxfId="18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E16FB14E-287E-4BBB-B7E6-603EBAA57BE7}" name="BESSTable6" displayName="BESSTable6" ref="A75:L78" totalsRowShown="0" headerRowDxfId="185" dataDxfId="183" headerRowBorderDxfId="184" tableBorderDxfId="182" totalsRowBorderDxfId="181" headerRowCellStyle="Normal 18" dataCellStyle="Normal 18">
  <autoFilter ref="A75:L78" xr:uid="{285F0E49-DEDF-4BA8-A68D-3DD3FE205BE3}"/>
  <tableColumns count="12">
    <tableColumn id="1" xr3:uid="{B9AD7BB6-001B-4D88-A103-E522074376A7}" name="Jinko" dataDxfId="180" dataCellStyle="Normal 18"/>
    <tableColumn id="2" xr3:uid="{2C5787EC-CAC6-4027-B3AE-4F3B5909F71A}" name="Nominal kWh" dataDxfId="179" dataCellStyle="Normal 18"/>
    <tableColumn id="3" xr3:uid="{69A0E55D-AB0A-4B30-97A3-3A563ECF7DBE}" name="Battery Price FOB (Ex.GST)" dataDxfId="178" dataCellStyle="Currency 18">
      <calculatedColumnFormula>130*1.5*B76</calculatedColumnFormula>
    </tableColumn>
    <tableColumn id="4" xr3:uid="{D31C1ED9-8C0B-4044-8B81-ED43C54F2CAF}" name="PCS included?" dataDxfId="177" dataCellStyle="Normal 18"/>
    <tableColumn id="5" xr3:uid="{5B967239-A266-432E-9F33-6BF3BE7DF5F0}" name="Brand" dataDxfId="176" dataCellStyle="Normal 18">
      <calculatedColumnFormula>INDEX(BESSTable6[#Headers],1)</calculatedColumnFormula>
    </tableColumn>
    <tableColumn id="6" xr3:uid="{DB33EBC5-AFA5-4C15-8E65-26202E57BA94}" name="PCS Table Ref." dataDxfId="175" dataCellStyle="Normal 18">
      <calculatedColumnFormula>"PCSTable" &amp; MATCH(BESSTable6[[#This Row],[Brand]],INDIRECT("BESS_Brands[BESS Brands]"),0)</calculatedColumnFormula>
    </tableColumn>
    <tableColumn id="7" xr3:uid="{EBC201A0-B7BA-47DA-8973-DB2CF21E0849}" name="Suggested PCS" dataDxfId="174" dataCellStyle="Normal 18">
      <calculatedColumnFormula array="1">IF(ISBLANK(BESSTable6[[#This Row],[PCS included?]]),_xlfn.XLOOKUP(BESSTable6[[#This Row],[Nominal kWh]]/2,INDIRECT(BESSTable6[[#This Row],[PCS Table Ref.]]&amp; "[kVA]"),INDIRECT(BESSTable6[[#This Row],[PCS Table Ref.]]&amp; "["&amp;BESSTable6[[#This Row],[Brand]]&amp;"]"),INDEX(INDIRECT(BESSTable6[[#This Row],[PCS Table Ref.]]&amp; "["&amp;BESSTable6[[#This Row],[Brand]]&amp;"]"),1),-1),"INTEGRATED PCS")</calculatedColumnFormula>
    </tableColumn>
    <tableColumn id="8" xr3:uid="{9560AFFA-8AFB-426D-816B-1724F9FCA939}" name="$/kWh (inc. PCS)" dataDxfId="173" dataCellStyle="Normal 18">
      <calculatedColumnFormula array="1">(BESSTable6[[#This Row],[Battery Price FOB (Ex.GST)]]+IF(BESSTable6[[#This Row],[Suggested PCS]]="INTEGRATED PCS",0,_xlfn.XLOOKUP(BESSTable6[[#This Row],[Suggested PCS]],INDIRECT(BESSTable6[[#This Row],[PCS Table Ref.]]&amp;"["&amp;BESSTable6[[#This Row],[Brand]]&amp;"]"),INDIRECT(BESSTable6[[#This Row],[PCS Table Ref.]]&amp;"[PCS Price (Ex. GST)]"))))/BESSTable6[[#This Row],[Nominal kWh]]</calculatedColumnFormula>
    </tableColumn>
    <tableColumn id="9" xr3:uid="{086ADEFD-1898-4415-9DCA-73119A99C24A}" name="Notes" dataDxfId="172" dataCellStyle="Normal 18"/>
    <tableColumn id="10" xr3:uid="{85E23714-DE28-484B-913B-0CC1CF542141}" name="Product Warranty" dataDxfId="171" dataCellStyle="Normal 18"/>
    <tableColumn id="11" xr3:uid="{3C3FAB61-94BD-428B-8BAA-AF688F1FA534}" name="Performance Warranty" dataDxfId="170" dataCellStyle="Normal 18"/>
    <tableColumn id="12" xr3:uid="{026C4ED5-A908-4833-AE9A-A116322BBEA4}" name="SMARTSTACK Compatible?" dataDxfId="169" dataCellStyle="Normal 18"/>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7F6D0799-B213-488A-9DDC-F156217315E5}" name="PCSTable6" displayName="PCSTable6" ref="N75:Q78" totalsRowShown="0" headerRowDxfId="168" headerRowBorderDxfId="167" tableBorderDxfId="166" totalsRowBorderDxfId="165">
  <autoFilter ref="N75:Q78" xr:uid="{303AD2E5-6E2D-442F-848C-8E042B2031ED}"/>
  <tableColumns count="4">
    <tableColumn id="1" xr3:uid="{E359A5C7-7B5A-434A-A684-68AD52A9673F}" name="Jinko"/>
    <tableColumn id="2" xr3:uid="{D84B7A6F-2E87-4F08-84B9-6B8F3F52C204}" name="kVA"/>
    <tableColumn id="3" xr3:uid="{A6A1014C-A279-4193-8B53-708F5330BA6D}" name="PCS Price (Ex. GST)"/>
    <tableColumn id="4" xr3:uid="{D0F9832F-3949-4FC2-92DC-8377D59CB614}" name="Notes" dataDxfId="164"/>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D2CC7D80-CE73-4ED3-BAB1-C22AEED8AEA7}" name="BESSTable7" displayName="BESSTable7" ref="A80:L98" totalsRowShown="0" headerRowDxfId="163" dataDxfId="161" headerRowBorderDxfId="162" tableBorderDxfId="160" headerRowCellStyle="Normal 18" dataCellStyle="Normal 18">
  <autoFilter ref="A80:L98" xr:uid="{48B28005-9E73-45C5-8716-B4A36583592E}"/>
  <tableColumns count="12">
    <tableColumn id="1" xr3:uid="{502F3F6A-3E81-4FE2-9B7C-EEDE6727AC9E}" name="Sigenergy - SigenStack" dataDxfId="159" dataCellStyle="Normal 18"/>
    <tableColumn id="2" xr3:uid="{38701CFB-2142-4B7A-AA6E-CF2572036884}" name="Nominal kWh" dataDxfId="158" dataCellStyle="Normal 18"/>
    <tableColumn id="3" xr3:uid="{BBE3D2B4-2017-4C98-870E-36673301BE2F}" name="Battery Price FOB (Ex.GST)" dataDxfId="157" dataCellStyle="Currency 18"/>
    <tableColumn id="4" xr3:uid="{B43C1EB2-5DE2-4694-B7FF-5BF25C457411}" name="PCS included?" dataDxfId="156" dataCellStyle="Normal 18"/>
    <tableColumn id="5" xr3:uid="{40039CE0-F4A0-4C38-8BCA-E25E6C9BF123}" name="Brand" dataDxfId="155" dataCellStyle="Normal 18">
      <calculatedColumnFormula>INDEX(BESSTable7[#Headers],1)</calculatedColumnFormula>
    </tableColumn>
    <tableColumn id="6" xr3:uid="{EBA15FAF-5A96-479F-BAAF-EEE0FB06583E}" name="PCS Table Ref." dataDxfId="154" dataCellStyle="Normal 18">
      <calculatedColumnFormula>"PCSTable" &amp; MATCH(BESSTable7[[#This Row],[Brand]],INDIRECT("BESS_Brands[BESS Brands]"),0)</calculatedColumnFormula>
    </tableColumn>
    <tableColumn id="7" xr3:uid="{1EC421C5-07A4-4A02-8084-C9B0A1E9F63D}" name="Suggested PCS" dataDxfId="153" dataCellStyle="Normal 18">
      <calculatedColumnFormula array="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calculatedColumnFormula>
    </tableColumn>
    <tableColumn id="8" xr3:uid="{E7F8AB3B-96A7-45A2-9317-8175DB8AC22C}" name="$/kWh (inc. PCS)" dataDxfId="152" dataCellStyle="Normal 18">
      <calculatedColumnFormula array="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calculatedColumnFormula>
    </tableColumn>
    <tableColumn id="9" xr3:uid="{0D70CC22-19D9-4725-BCBE-38B69A489816}" name="Notes" dataDxfId="151" dataCellStyle="Normal 18"/>
    <tableColumn id="10" xr3:uid="{3CB9A66A-9E1D-4BC2-AECF-0CF0FB3D57B8}" name="Product Warranty" dataDxfId="150" dataCellStyle="Normal 18"/>
    <tableColumn id="11" xr3:uid="{9070373D-3E88-45C2-A45E-687BBADAE868}" name="Performance Warranty" dataDxfId="149" dataCellStyle="Normal 18"/>
    <tableColumn id="12" xr3:uid="{A3610824-C221-4E87-ACB2-E12C28870B3F}" name="SMARTSTACK Compatible?" dataDxfId="148" dataCellStyle="Normal 18"/>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26989240-DE89-4DB3-A564-AD7B86209CB2}" name="PCSTable7" displayName="PCSTable7" ref="N80:Q87" totalsRowShown="0" headerRowDxfId="147">
  <autoFilter ref="N80:Q87" xr:uid="{32A215D7-E6D1-406C-A97F-926F109EDC7A}"/>
  <tableColumns count="4">
    <tableColumn id="1" xr3:uid="{38E4D863-956C-4CAA-B66E-1FD3B4AF1F22}" name="Sigenergy - SigenStack" dataDxfId="146"/>
    <tableColumn id="2" xr3:uid="{B3880EBC-FB7D-4449-B8DE-80A7FEE2CF68}" name="kVA"/>
    <tableColumn id="3" xr3:uid="{813A2E8A-0A9A-45F3-8F14-884AEAE3ED1B}" name="PCS Price (Ex. GST)" dataDxfId="145" dataCellStyle="Currency"/>
    <tableColumn id="4" xr3:uid="{409B3EC4-B3C3-466D-A7AA-6F0BC5117953}" name="Note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C4BD60D9-026C-4009-83CA-81CB157F4C5B}" name="BESSTable8" displayName="BESSTable8" ref="A100:L104" totalsRowShown="0" headerRowDxfId="144" dataDxfId="142" headerRowBorderDxfId="143" tableBorderDxfId="141" headerRowCellStyle="Normal 18">
  <autoFilter ref="A100:L104" xr:uid="{ED995D6F-129C-40E3-98B8-AA3A64C7078A}"/>
  <tableColumns count="12">
    <tableColumn id="1" xr3:uid="{3D4EDC07-8C54-48AA-85CD-B9A615EDA369}" name="RCT" dataDxfId="140"/>
    <tableColumn id="2" xr3:uid="{6E6BC68E-71DD-4D3A-AEBF-959C248EFA47}" name="Nominal kWh" dataDxfId="139"/>
    <tableColumn id="3" xr3:uid="{254B32CF-4993-4FE9-A3B9-560D105AD2BC}" name="Battery Price FOB (Ex.GST)" dataDxfId="138" dataCellStyle="Currency"/>
    <tableColumn id="4" xr3:uid="{75255509-036D-4BC5-96A9-E8F65E23F63B}" name="PCS included?" dataDxfId="137"/>
    <tableColumn id="5" xr3:uid="{19E7B281-7322-4EEA-9EAA-C5B68CB90FD8}" name="Brand" dataDxfId="136">
      <calculatedColumnFormula>INDEX(BESSTable8[#Headers],1)</calculatedColumnFormula>
    </tableColumn>
    <tableColumn id="6" xr3:uid="{0777010E-8CBB-4C8C-AD6F-A561333047FC}" name="PCS Table Ref." dataDxfId="135">
      <calculatedColumnFormula>"PCSTable" &amp; MATCH(BESSTable8[[#This Row],[Brand]],INDIRECT("BESS_Brands[BESS Brands]"),0)</calculatedColumnFormula>
    </tableColumn>
    <tableColumn id="7" xr3:uid="{D9AB6398-F0CD-44D6-A9CE-19D0D60E9034}" name="Suggested PCS" dataDxfId="134">
      <calculatedColumnFormula array="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calculatedColumnFormula>
    </tableColumn>
    <tableColumn id="8" xr3:uid="{A959F04C-1AEF-42C6-946C-DD9254E08A20}" name="$/kWh (inc. PCS)" dataDxfId="133" dataCellStyle="Currency">
      <calculatedColumnFormula array="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calculatedColumnFormula>
    </tableColumn>
    <tableColumn id="9" xr3:uid="{823373BB-C9A9-474D-BB13-66B2531F4EB4}" name="Notes" dataDxfId="132"/>
    <tableColumn id="10" xr3:uid="{8B7C8838-37BD-4323-B3FE-2A4D9D741A71}" name="Product Warranty" dataDxfId="131"/>
    <tableColumn id="11" xr3:uid="{CEEB63A2-56E0-4355-85D1-686B90F54B35}" name="Performance Warranty" dataDxfId="130"/>
    <tableColumn id="12" xr3:uid="{88644E4E-E1CB-4F9F-B948-F9AAF91C25F8}" name="SMARTSTACK Compatible?" dataDxfId="129"/>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3FF139B8-2FE5-4BA1-90B2-7C779B09C61E}" name="PCSTable8" displayName="PCSTable8" ref="N100:Q104" totalsRowShown="0" headerRowDxfId="128">
  <autoFilter ref="N100:Q104" xr:uid="{9E97D400-2723-4AFB-AF76-B503563D44C8}"/>
  <tableColumns count="4">
    <tableColumn id="1" xr3:uid="{9A0664FD-C6E8-408C-A660-C44003065BA3}" name="RCT" dataDxfId="127"/>
    <tableColumn id="2" xr3:uid="{CFA63E4E-0D1E-4375-B4A8-16907D1E5037}" name="kVA"/>
    <tableColumn id="3" xr3:uid="{171B7B51-D72A-476A-B70D-8F67B93ADCB5}" name="PCS Price (Ex. GST)"/>
    <tableColumn id="4" xr3:uid="{2D6F6219-56E5-4408-9C1A-D1DFD58EA347}" name="Notes"/>
  </tableColumns>
  <tableStyleInfo name="TableStyleLight1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C4BC91-5909-4072-B24B-B67E8E8111B1}" name="BESSTable9" displayName="BESSTable9" ref="A106:L133" totalsRowShown="0" headerRowDxfId="126" dataDxfId="125" headerRowCellStyle="Normal 18" dataCellStyle="Normal 18">
  <autoFilter ref="A106:L133" xr:uid="{45C4BC91-5909-4072-B24B-B67E8E8111B1}"/>
  <tableColumns count="12">
    <tableColumn id="1" xr3:uid="{ED3F7337-1323-43AE-8FC9-C0D0DEBEAFB4}" name="Sigenergy - SigenStor" dataDxfId="124" dataCellStyle="Normal 18"/>
    <tableColumn id="2" xr3:uid="{C57B64C0-3A74-458C-84C1-70D5CA02A67D}" name="Nominal kWh" dataDxfId="123" dataCellStyle="Normal 18"/>
    <tableColumn id="3" xr3:uid="{1E2B5955-3E87-47B2-A038-AE10675204BB}" name="Battery Price FOB (Ex.GST)" dataDxfId="122" dataCellStyle="Currency"/>
    <tableColumn id="4" xr3:uid="{E26905CC-B295-4F60-8DA6-7CA998A95224}" name="PCS included?" dataDxfId="121" dataCellStyle="Normal 18"/>
    <tableColumn id="5" xr3:uid="{604DA421-328A-4369-8888-5A16E63AB3C3}" name="Brand" dataDxfId="120" dataCellStyle="Normal 18">
      <calculatedColumnFormula>BESSTable9[[#Headers],[Sigenergy - SigenStor]]</calculatedColumnFormula>
    </tableColumn>
    <tableColumn id="6" xr3:uid="{0D374541-ED90-446C-9E57-CA3F7C29C4F9}" name="PCS Table Ref." dataDxfId="119" dataCellStyle="Normal 18">
      <calculatedColumnFormula>"PCSTable" &amp; MATCH(BESSTable9[[#This Row],[Brand]],INDIRECT("BESS_Brands[BESS Brands]"),0)</calculatedColumnFormula>
    </tableColumn>
    <tableColumn id="7" xr3:uid="{297AA518-4AA9-4D00-BF1C-7466892CA153}" name="Suggested PCS" dataDxfId="118" dataCellStyle="Normal 18">
      <calculatedColumnFormula array="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calculatedColumnFormula>
    </tableColumn>
    <tableColumn id="8" xr3:uid="{66283014-DF5F-42F4-AE31-B594E7922D6A}" name="$/kWh (inc. PCS)" dataDxfId="117" dataCellStyle="Currency">
      <calculatedColumnFormula array="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calculatedColumnFormula>
    </tableColumn>
    <tableColumn id="9" xr3:uid="{F841D182-060A-4439-9890-479A289ED1AE}" name="Notes" dataDxfId="116" dataCellStyle="Normal 18"/>
    <tableColumn id="10" xr3:uid="{4BADC582-CBE4-49EF-95FB-485BB5DB9B24}" name="Product Warranty" dataDxfId="115" dataCellStyle="Normal 18"/>
    <tableColumn id="11" xr3:uid="{8E044A54-31FA-4DFE-96D4-60FE4A0C62F9}" name="Performance Warranty" dataDxfId="114" dataCellStyle="Normal 18"/>
    <tableColumn id="12" xr3:uid="{59F96112-6EA2-42DF-9FE8-7B61D8140A78}" name="SMARTSTACK Compatible?" dataDxfId="113" dataCellStyle="Normal 18"/>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1EBBA5-79A9-4446-9DB7-4397BCC95D47}" name="PCSTable9" displayName="PCSTable9" ref="N106:Q117" totalsRowShown="0" headerRowDxfId="112" dataDxfId="111" headerRowCellStyle="Normal 18" dataCellStyle="Normal 18">
  <autoFilter ref="N106:Q117" xr:uid="{491EBBA5-79A9-4446-9DB7-4397BCC95D47}"/>
  <tableColumns count="4">
    <tableColumn id="1" xr3:uid="{F75C8B2D-693F-4756-9B53-88799587315F}" name="Sigenergy - SigenStor" dataDxfId="110" dataCellStyle="Normal 18"/>
    <tableColumn id="2" xr3:uid="{3C513923-BB47-4C9D-9FCA-943A0EBF163B}" name="kVA" dataDxfId="109" dataCellStyle="Normal 18"/>
    <tableColumn id="3" xr3:uid="{95234700-A5EC-4A56-9984-48AAB2BA2EA4}" name="PCS Price (Ex. GST)" dataDxfId="108" dataCellStyle="Normal 18"/>
    <tableColumn id="4" xr3:uid="{5650CFDA-8081-4978-AADF-ECBDA3FAF034}" name="Notes" dataDxfId="107" dataCellStyle="Normal 18"/>
  </tableColumns>
  <tableStyleInfo name="TableStyleLight2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F2F0033-AB9C-4977-957A-81F04696B026}" name="BESSTable10" displayName="BESSTable10" ref="A135:L136" totalsRowShown="0" headerRowDxfId="106" dataDxfId="104" headerRowBorderDxfId="105" tableBorderDxfId="103" headerRowCellStyle="Normal 18" dataCellStyle="Normal 18">
  <autoFilter ref="A135:L136" xr:uid="{9F2F0033-AB9C-4977-957A-81F04696B026}"/>
  <tableColumns count="12">
    <tableColumn id="1" xr3:uid="{DF690B77-47BA-4F87-A416-72BCC6824281}" name="POWEROAD" dataDxfId="102" dataCellStyle="Normal 18"/>
    <tableColumn id="2" xr3:uid="{FC8830B6-687B-4C34-8227-829F85D37D53}" name="Nominal kWh" dataDxfId="101" dataCellStyle="Normal 18"/>
    <tableColumn id="3" xr3:uid="{6032086C-3732-4AF8-B417-E21B8AFBD424}" name="Battery Price FOB (Ex.GST)" dataDxfId="100" dataCellStyle="Currency">
      <calculatedColumnFormula>1.52*32250</calculatedColumnFormula>
    </tableColumn>
    <tableColumn id="4" xr3:uid="{7F6FC48D-882F-4C9F-AAB4-827F1A40A73D}" name="PCS included?" dataDxfId="99" dataCellStyle="Normal 18"/>
    <tableColumn id="5" xr3:uid="{8935BCCB-07B8-4EF8-8E55-03E9C3C88F58}" name="Brand" dataDxfId="98" dataCellStyle="Normal 18">
      <calculatedColumnFormula>BESSTable10[[#Headers],[POWEROAD]]</calculatedColumnFormula>
    </tableColumn>
    <tableColumn id="6" xr3:uid="{3C1C6AC7-1217-47F2-AD8B-8F2495867C4E}" name="PCS Table Ref." dataDxfId="97" dataCellStyle="Normal 18">
      <calculatedColumnFormula>"PCSTable" &amp; MATCH(BESSTable10[[#This Row],[Brand]],INDIRECT("BESS_Brands[BESS Brands]"),0)</calculatedColumnFormula>
    </tableColumn>
    <tableColumn id="7" xr3:uid="{DEF9225B-EBD3-4089-8AB4-A9D19B12A280}" name="Suggested PCS" dataDxfId="96" dataCellStyle="Normal 18">
      <calculatedColumnFormula array="1">IF(ISBLANK(BESSTable10[[#This Row],[PCS included?]]),_xlfn.XLOOKUP(BESSTable10[[#This Row],[Nominal kWh]]/2,INDIRECT(BESSTable10[[#This Row],[PCS Table Ref.]]&amp; "[kVA]"),INDIRECT(BESSTable10[[#This Row],[PCS Table Ref.]]&amp; "["&amp;BESSTable10[[#This Row],[Brand]]&amp;"]"),INDEX(INDIRECT(BESSTable10[[#This Row],[PCS Table Ref.]]&amp; "["&amp;BESSTable10[[#This Row],[Brand]]&amp;"]"),1),-1),"INTEGRATED PCS")</calculatedColumnFormula>
    </tableColumn>
    <tableColumn id="8" xr3:uid="{AA55B0AB-295E-4879-BD82-5F14870CBDF3}" name="$/kWh (inc. PCS)" dataDxfId="95" dataCellStyle="Currency">
      <calculatedColumnFormula array="1">(BESSTable10[[#This Row],[Battery Price FOB (Ex.GST)]]+IF(BESSTable10[[#This Row],[Suggested PCS]]="INTEGRATED PCS",0,_xlfn.XLOOKUP(BESSTable10[[#This Row],[Suggested PCS]],INDIRECT(BESSTable10[[#This Row],[PCS Table Ref.]]&amp;"["&amp;BESSTable10[[#This Row],[Brand]]&amp;"]"),INDIRECT(BESSTable10[[#This Row],[PCS Table Ref.]]&amp;"[PCS Price (Ex. GST)]"))))/BESSTable10[[#This Row],[Nominal kWh]]</calculatedColumnFormula>
    </tableColumn>
    <tableColumn id="9" xr3:uid="{B4715D47-A716-4486-A95D-E5F4FA0CE033}" name="Notes" dataDxfId="94" dataCellStyle="Normal 18"/>
    <tableColumn id="10" xr3:uid="{B9B64424-EDDD-4DE0-9C3E-C0B5DD1F0083}" name="Product Warranty" dataDxfId="93" dataCellStyle="Normal 18"/>
    <tableColumn id="11" xr3:uid="{17AA9FFE-624C-4116-9F9A-9E2F60BE33A4}" name="Performance Warranty" dataDxfId="92" dataCellStyle="Normal 18"/>
    <tableColumn id="12" xr3:uid="{FC345896-A92F-47D4-A0ED-9E2DE720A92E}" name="SMARTSTACK Compatible?" dataDxfId="91" dataCellStyle="Normal 18"/>
  </tableColumns>
  <tableStyleInfo name="TableStyleLight14"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AD5890D-DC41-4139-9BA8-86083269A40C}" name="PCSTable10" displayName="PCSTable10" ref="N135:Q136" totalsRowShown="0" headerRowDxfId="90" dataDxfId="89" headerRowCellStyle="Normal 18">
  <autoFilter ref="N135:Q136" xr:uid="{CAD5890D-DC41-4139-9BA8-86083269A40C}"/>
  <tableColumns count="4">
    <tableColumn id="1" xr3:uid="{26C6F39A-9357-4CD3-AE16-BA903D20D38E}" name="POWEROAD" dataDxfId="88"/>
    <tableColumn id="2" xr3:uid="{DE5808EB-D0AE-4D12-9E4B-72AEE3D1BB60}" name="kVA" dataDxfId="87"/>
    <tableColumn id="3" xr3:uid="{DFA72802-D081-45F5-8F9B-F4C989086839}" name="PCS Price (Ex. GST)" dataDxfId="86"/>
    <tableColumn id="4" xr3:uid="{D98E9E47-77DA-4070-8DFA-954BAD5050AC}" name="Notes" dataDxfId="85"/>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5C8A851-C74B-4DBC-B735-F87EFDF04E4C}" name="BESSTable11" displayName="BESSTable11" ref="A138:L140" totalsRowShown="0" headerRowDxfId="84" dataDxfId="82" headerRowBorderDxfId="83" tableBorderDxfId="81" headerRowCellStyle="Normal 18" dataCellStyle="Normal 18">
  <autoFilter ref="A138:L140" xr:uid="{45C8A851-C74B-4DBC-B735-F87EFDF04E4C}"/>
  <tableColumns count="12">
    <tableColumn id="1" xr3:uid="{102A4F96-D07D-4276-8CAF-98672E0581D0}" name="GoodWe" dataDxfId="80" dataCellStyle="Normal 18"/>
    <tableColumn id="2" xr3:uid="{276E52BF-F3C8-4686-9159-662EE723D449}" name="Nominal kWh" dataDxfId="79" dataCellStyle="Normal 18"/>
    <tableColumn id="3" xr3:uid="{DA3C398F-FE88-4711-AE46-ABD1F7F4FD4D}" name="Battery Price FOB (Ex.GST)" dataDxfId="78" dataCellStyle="Currency">
      <calculatedColumnFormula>1.1*(53721)</calculatedColumnFormula>
    </tableColumn>
    <tableColumn id="4" xr3:uid="{8460CB50-5E03-481A-8567-15AE58D9F6B3}" name="PCS included?" dataDxfId="77" dataCellStyle="Normal 18"/>
    <tableColumn id="5" xr3:uid="{9549169D-D5C5-4E51-8FC9-FAC702104E1C}" name="Brand" dataDxfId="76" dataCellStyle="Normal 18">
      <calculatedColumnFormula>BESSTable11[[#Headers],[GoodWe]]</calculatedColumnFormula>
    </tableColumn>
    <tableColumn id="6" xr3:uid="{B8F51CB6-6028-455A-ACBE-6D4B2E4B548E}" name="PCS Table Ref." dataDxfId="75" dataCellStyle="Normal 18">
      <calculatedColumnFormula>"PCSTable" &amp; MATCH(BESSTable11[[#This Row],[Brand]],INDIRECT("BESS_Brands[BESS Brands]"),0)</calculatedColumnFormula>
    </tableColumn>
    <tableColumn id="7" xr3:uid="{FEFC08C1-0618-4217-B67E-8299D0FB2825}" name="Suggested PCS" dataDxfId="74" dataCellStyle="Normal 18">
      <calculatedColumnFormula array="1">IF(ISBLANK(BESSTable11[[#This Row],[PCS included?]]),_xlfn.XLOOKUP(BESSTable11[[#This Row],[Nominal kWh]]/2,INDIRECT(BESSTable11[[#This Row],[PCS Table Ref.]]&amp; "[kVA]"),INDIRECT(BESSTable11[[#This Row],[PCS Table Ref.]]&amp; "["&amp;BESSTable11[[#This Row],[Brand]]&amp;"]"),INDEX(INDIRECT(BESSTable11[[#This Row],[PCS Table Ref.]]&amp; "["&amp;BESSTable11[[#This Row],[Brand]]&amp;"]"),1),-1),"INTEGRATED PCS")</calculatedColumnFormula>
    </tableColumn>
    <tableColumn id="8" xr3:uid="{A708B8B1-7F22-4972-A46E-5DE5B35B3381}" name="$/kWh (inc. PCS)" dataDxfId="73" dataCellStyle="Currency">
      <calculatedColumnFormula array="1">(BESSTable11[[#This Row],[Battery Price FOB (Ex.GST)]]+IF(BESSTable11[[#This Row],[Suggested PCS]]="INTEGRATED PCS",0,_xlfn.XLOOKUP(BESSTable11[[#This Row],[Suggested PCS]],INDIRECT(BESSTable11[[#This Row],[PCS Table Ref.]]&amp;"["&amp;BESSTable11[[#This Row],[Brand]]&amp;"]"),INDIRECT(BESSTable11[[#This Row],[PCS Table Ref.]]&amp;"[PCS Price (Ex. GST)]"))))/BESSTable11[[#This Row],[Nominal kWh]]</calculatedColumnFormula>
    </tableColumn>
    <tableColumn id="9" xr3:uid="{18EFECB3-62D1-4FB4-BB78-B3C9A8E48EBF}" name="Notes" dataDxfId="72" dataCellStyle="Normal 18"/>
    <tableColumn id="10" xr3:uid="{59326ECF-6C58-4DF1-9E6F-C3C11D749365}" name="Product Warranty" dataDxfId="71" dataCellStyle="Normal 18"/>
    <tableColumn id="11" xr3:uid="{6CC83D63-643F-4B51-84D4-E6716231DBAC}" name="Performance Warranty" dataDxfId="70" dataCellStyle="Normal 18"/>
    <tableColumn id="12" xr3:uid="{F8DD0A2F-FCB3-454B-A9E7-E96231CF3A13}" name="SMARTSTACK Compatible?" dataDxfId="69" dataCellStyle="Normal 18"/>
  </tableColumns>
  <tableStyleInfo name="TableStyleLight1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B70997A-3D8C-4CE4-8BA9-314FC8A54A7A}" name="PCSTable11" displayName="PCSTable11" ref="N138:Q139" totalsRowShown="0" headerRowDxfId="68" dataDxfId="67" headerRowCellStyle="Normal 18">
  <autoFilter ref="N138:Q139" xr:uid="{2B70997A-3D8C-4CE4-8BA9-314FC8A54A7A}"/>
  <tableColumns count="4">
    <tableColumn id="1" xr3:uid="{7B2C55CF-9BB5-40DD-A677-8008DB2434DE}" name="GoodWe" dataDxfId="66"/>
    <tableColumn id="2" xr3:uid="{6A5580AE-1134-4324-915C-FC9514C57176}" name="kVA" dataDxfId="65"/>
    <tableColumn id="3" xr3:uid="{7F0AE44F-AB9F-4C5F-8F47-D83DC300A93E}" name="PCS Price (Ex. GST)" dataDxfId="64"/>
    <tableColumn id="4" xr3:uid="{E088B724-C119-41C0-AC15-67D4C062FF12}" name="Notes" dataDxfId="63"/>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30CFEF7-A200-4CF0-8448-DC6FD624744D}" name="BESSTable12" displayName="BESSTable12" ref="A142:L146" totalsRowShown="0" headerRowDxfId="62" headerRowBorderDxfId="61" tableBorderDxfId="60" totalsRowBorderDxfId="59" headerRowCellStyle="Normal 18">
  <autoFilter ref="A142:L146" xr:uid="{830CFEF7-A200-4CF0-8448-DC6FD624744D}"/>
  <tableColumns count="12">
    <tableColumn id="1" xr3:uid="{D44605E4-54A8-44F6-8079-B3B3D87391FF}" name="Kstar"/>
    <tableColumn id="2" xr3:uid="{B2C69157-81EB-4F9C-8FD8-A81808253DFF}" name="Nominal kWh"/>
    <tableColumn id="3" xr3:uid="{614F9487-A151-4492-9EAB-0E11396FC3B4}" name="Battery Price FOB (Ex.GST)"/>
    <tableColumn id="4" xr3:uid="{C5B199C9-71D6-4E57-A9AC-D5DAE52A02CA}" name="PCS included?"/>
    <tableColumn id="5" xr3:uid="{EB3D9A6F-33C2-4AB0-B3B8-E8499ABF586B}" name="Brand" dataDxfId="58">
      <calculatedColumnFormula>BESSTable12[[#Headers],[Kstar]]</calculatedColumnFormula>
    </tableColumn>
    <tableColumn id="6" xr3:uid="{610B6A45-55E9-4EC1-8B28-0925F661E7CF}" name="PCS Table Ref." dataDxfId="57">
      <calculatedColumnFormula>"PCSTable" &amp; MATCH(BESSTable12[[#This Row],[Brand]],INDIRECT("BESS_Brands[BESS Brands]"),0)</calculatedColumnFormula>
    </tableColumn>
    <tableColumn id="7" xr3:uid="{91D5BD39-65CB-46A6-9AA7-215F252CAF58}" name="Suggested PCS" dataDxfId="56">
      <calculatedColumnFormula array="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calculatedColumnFormula>
    </tableColumn>
    <tableColumn id="8" xr3:uid="{D368CAEA-4023-4AE7-939C-EC977826E17E}" name="$/kWh (inc. PCS)" dataDxfId="55">
      <calculatedColumnFormula array="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calculatedColumnFormula>
    </tableColumn>
    <tableColumn id="9" xr3:uid="{6BC63856-E3FE-41EE-9DAB-22097F13A449}" name="Notes"/>
    <tableColumn id="10" xr3:uid="{6FC156C8-58C8-4BFF-B39F-AAD6E6D5323C}" name="Product Warranty"/>
    <tableColumn id="11" xr3:uid="{C3923182-1243-429D-9DFD-2196EEA9F67C}" name="Performance Warranty"/>
    <tableColumn id="12" xr3:uid="{A25BA347-8196-4CA5-ADF4-2485E9D364BA}" name="SMARTSTACK Compatible?"/>
  </tableColumns>
  <tableStyleInfo name="TableStyleLight14"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EC90642-E034-4BE7-B04B-6BCB1E2C9D87}" name="PCSTable12" displayName="PCSTable12" ref="N142:Q145" totalsRowShown="0" headerRowDxfId="54" headerRowCellStyle="Normal 18">
  <autoFilter ref="N142:Q145" xr:uid="{7EC90642-E034-4BE7-B04B-6BCB1E2C9D87}"/>
  <tableColumns count="4">
    <tableColumn id="1" xr3:uid="{8A6C9F53-BB37-4FD2-BBA7-CE2466A53A31}" name="Kstar" dataDxfId="53"/>
    <tableColumn id="2" xr3:uid="{36BA2039-CD48-4736-84BE-7A31F515736D}" name="kVA" dataDxfId="52"/>
    <tableColumn id="3" xr3:uid="{3F3309A3-5AF7-47AD-9257-3FDC97F9CDF3}" name="PCS Price (Ex. GST)" dataDxfId="51"/>
    <tableColumn id="4" xr3:uid="{1C2F8D81-C677-48F2-BB07-05C3B38AEF38}" name="Notes" dataDxfId="50" dataCellStyle="20% - Accent1"/>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23000000}" name="Table19" displayName="Table19" ref="B16:C25" totalsRowShown="0">
  <tableColumns count="2">
    <tableColumn id="1" xr3:uid="{00000000-0010-0000-2300-000001000000}" name="Size (Twin DC Cable)"/>
    <tableColumn id="2" xr3:uid="{00000000-0010-0000-2300-000002000000}" name="Price Per Meter" dataDxfId="49" dataCellStyle="Currency"/>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5000000}" name="Table21" displayName="Table21" ref="K5:L18" totalsRowShown="0">
  <tableColumns count="2">
    <tableColumn id="1" xr3:uid="{00000000-0010-0000-2500-000001000000}" name="Cable Management" dataDxfId="48"/>
    <tableColumn id="2" xr3:uid="{00000000-0010-0000-2500-000002000000}" name="$/m" dataDxfId="47"/>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8000000}" name="Table58" displayName="Table58" ref="E5:E8" totalsRowShown="0">
  <autoFilter ref="E5:E8" xr:uid="{00000000-0009-0000-0100-00003A000000}"/>
  <tableColumns count="1">
    <tableColumn id="1" xr3:uid="{00000000-0010-0000-2800-000001000000}" name="Name " dataDxfId="46"/>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F6495DE-F498-BF41-9F39-DEC245F15B53}" name="Table258" displayName="Table258" ref="Q5:R10" totalsRowShown="0">
  <tableColumns count="2">
    <tableColumn id="1" xr3:uid="{1E88FA90-B050-F04B-922D-49768358DF2D}" name="Type" dataDxfId="45"/>
    <tableColumn id="2" xr3:uid="{E1710F50-8374-D047-914C-90904E678D23}" name="Multiplier"/>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E000000}" name="Table28" displayName="Table28" ref="H6:M16" totalsRowShown="0" headerRowDxfId="44" dataDxfId="43">
  <tableColumns count="6">
    <tableColumn id="1" xr3:uid="{00000000-0010-0000-2E00-000001000000}" name="TRAVEL RATES" dataDxfId="42"/>
    <tableColumn id="2" xr3:uid="{00000000-0010-0000-2E00-000002000000}" name="Distance from City Centre" dataDxfId="41"/>
    <tableColumn id="3" xr3:uid="{00000000-0010-0000-2E00-000003000000}" name="travel" dataDxfId="40">
      <calculatedColumnFormula>3*I7/60*65</calculatedColumnFormula>
    </tableColumn>
    <tableColumn id="4" xr3:uid="{00000000-0010-0000-2E00-000004000000}" name="accom" dataDxfId="39">
      <calculatedColumnFormula>#REF!/20*3*120</calculatedColumnFormula>
    </tableColumn>
    <tableColumn id="5" xr3:uid="{00000000-0010-0000-2E00-000005000000}" name="Freight" dataDxfId="38">
      <calculatedColumnFormula>SOLAR!$F$13/20*55*(I7/20)</calculatedColumnFormula>
    </tableColumn>
    <tableColumn id="6" xr3:uid="{00000000-0010-0000-2E00-000006000000}" name="Total" dataDxfId="37">
      <calculatedColumnFormula>SUM(J7:L7)</calculatedColumnFormula>
    </tableColumn>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2F000000}" name="Table4" displayName="Table4" ref="C4:D13" totalsRowShown="0">
  <tableColumns count="2">
    <tableColumn id="1" xr3:uid="{00000000-0010-0000-2F00-000001000000}" name="Monitoring Options" dataDxfId="36"/>
    <tableColumn id="2" xr3:uid="{00000000-0010-0000-2F00-000002000000}" name="Total Price" dataDxfId="35" dataCellStyle="Currency"/>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F709564-5DD6-724C-9581-13EBB65F9BC1}" name="Table411" displayName="Table411" ref="M4:N7" totalsRowShown="0">
  <tableColumns count="2">
    <tableColumn id="1" xr3:uid="{5FB79C61-6A27-934F-8A6B-00CA1EAD65D2}" name="Router" dataDxfId="34"/>
    <tableColumn id="2" xr3:uid="{5B67D274-9786-C845-BDA1-D58BBFF02DA2}" name="Price Per Unit" dataDxfId="33" dataCellStyle="Currency"/>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8934784-1E8C-2340-9AEC-29A691DEF6B9}" name="Table41119" displayName="Table41119" ref="S4:T7" totalsRowShown="0">
  <tableColumns count="2">
    <tableColumn id="1" xr3:uid="{BCF12DDE-9F44-1947-B135-6CE0AFB0C3A0}" name="LGC Connection" dataDxfId="32"/>
    <tableColumn id="2" xr3:uid="{8CE5FA66-C07A-684F-9E67-FD78A03635EB}" name="Total Price" dataDxfId="31" dataCellStyle="Currency"/>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966D8E1-124E-45A5-ACF4-EC8D68F0BAF8}" name="Table24" displayName="Table24" ref="A1:I55" totalsRowCount="1" totalsRowBorderDxfId="29">
  <autoFilter ref="A1:I54" xr:uid="{7966D8E1-124E-45A5-ACF4-EC8D68F0BAF8}"/>
  <tableColumns count="9">
    <tableColumn id="1" xr3:uid="{DC6D9D3F-F486-4975-AA62-98F39AE6789A}" name="Cost Code" totalsRowDxfId="28"/>
    <tableColumn id="2" xr3:uid="{1D3A420E-2985-4419-B382-08552FA8159D}" name="Cost Type" totalsRowDxfId="27"/>
    <tableColumn id="3" xr3:uid="{867E1AD9-51CC-4929-A0D6-9D449F87B58D}" name="Cost Code Description" totalsRowLabel="Total" totalsRowDxfId="26"/>
    <tableColumn id="4" xr3:uid="{3B45BC17-ADDB-4F87-8504-6B9E2227676A}" name="Manual Calculation" totalsRowDxfId="25"/>
    <tableColumn id="5" xr3:uid="{2219201D-A9E0-4E5E-A40B-9115BED07B74}" name="Unit Qty" totalsRowDxfId="24"/>
    <tableColumn id="6" xr3:uid="{504F8DB8-1A73-4090-B521-404F0C2F994F}" name="UOM" totalsRowDxfId="23"/>
    <tableColumn id="7" xr3:uid="{C7600576-736D-4D3F-BF73-E9F9A5AE176E}" name="Unit Cost" dataDxfId="22" totalsRowDxfId="21"/>
    <tableColumn id="8" xr3:uid="{7FF10858-04D0-4B1D-A0CC-974BBAF4B0E9}" name="Budget Amount" totalsRowFunction="sum" dataDxfId="20" totalsRowDxfId="19"/>
    <tableColumn id="9" xr3:uid="{D392F052-CA8E-43EE-A7A9-38C00B6A6EDE}" name="Column1" totalsRowFunction="custom" totalsRowDxfId="18">
      <totalsRowFormula>SOLAR!I124-Table24[[#Totals],[Budget Amount]]+SOLAR!J17</totalsRowFormula>
    </tableColumn>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88A3ADD-A2AD-4EAD-A8CD-DEC839AB9E69}" name="Table331" displayName="Table331" ref="E1:N22" totalsRowShown="0" headerRowDxfId="11">
  <autoFilter ref="E1:N22" xr:uid="{AB704FF2-7F2A-4B76-A970-BB2B3900A415}"/>
  <tableColumns count="10">
    <tableColumn id="1" xr3:uid="{A03403CD-17BB-4A77-AFB0-1C7CF6F20EE9}" name="Logic to calculation"/>
    <tableColumn id="10" xr3:uid="{9D76F4D4-B161-41C1-8F1F-4038685D2165}" name="Inclusions" dataDxfId="10"/>
    <tableColumn id="3" xr3:uid="{752AE4C9-CA47-427F-B093-AF5A79DBBA5C}" name="Amount" dataDxfId="9"/>
    <tableColumn id="2" xr3:uid="{C6029B2C-AB4B-4ED5-B975-377F3F43736B}" name="Reactive/Proactive/Passive" dataDxfId="8"/>
    <tableColumn id="4" xr3:uid="{47ACC441-975F-4166-A4B7-6CF0100CC2C1}" name="Initial or yearly Cost"/>
    <tableColumn id="5" xr3:uid="{9B069726-4A81-4121-AD96-2568615685F6}" name="Basic" dataDxfId="7">
      <calculatedColumnFormula>IF($B$8="SCS New",[7]Inclusions!J4,IF($B$8="SCS Old",[7]Inclusions!M4,IF($B$8="Non SCS",[7]Inclusions!P4,[7]Inclusions!$S4)))</calculatedColumnFormula>
    </tableColumn>
    <tableColumn id="6" xr3:uid="{3EC65874-6F53-4204-9842-E4C358F3D969}" name="Comfort">
      <calculatedColumnFormula>IF($B$8="SCS New",[7]Inclusions!K4,IF($B$8="SCS Old",[7]Inclusions!N4,IF($B$8="Non SCS",[7]Inclusions!Q4,[7]Inclusions!$S4)))</calculatedColumnFormula>
    </tableColumn>
    <tableColumn id="7" xr3:uid="{690A6DAD-2F03-4B36-8559-AE899D52F3E6}" name="Comprehensive">
      <calculatedColumnFormula>IF($B$8="SCS New",[7]Inclusions!L4,IF($B$8="SCS Old",[7]Inclusions!O4,IF($B$8="Non SCS",[7]Inclusions!R4,[7]Inclusions!$S4)))</calculatedColumnFormula>
    </tableColumn>
    <tableColumn id="8" xr3:uid="{56965450-3F27-41EF-A0E4-75F67C9C0132}" name="Full Service Package" dataDxfId="6"/>
    <tableColumn id="9" xr3:uid="{4E6DFA4D-F061-4929-B4B8-0667074C42D7}" name="Custom"/>
  </tableColumns>
  <tableStyleInfo name="TableStyleMedium15"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39000000}" name="Table31" displayName="Table31" ref="B3:E19" totalsRowShown="0" headerRowDxfId="5" dataDxfId="4">
  <tableColumns count="4">
    <tableColumn id="1" xr3:uid="{00000000-0010-0000-3900-000001000000}" name="Column1" dataDxfId="3"/>
    <tableColumn id="2" xr3:uid="{00000000-0010-0000-3900-000002000000}" name="Column2" dataDxfId="2"/>
    <tableColumn id="3" xr3:uid="{00000000-0010-0000-3900-000003000000}" name="Column3" dataDxfId="1" dataCellStyle="Hyperlink"/>
    <tableColumn id="4" xr3:uid="{00000000-0010-0000-3900-000004000000}" name="Column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22-07-05T02:13:02.74" personId="{DA858BDC-0066-4935-AE7A-DFB971C3B749}" id="{EB785EA0-953E-4F1D-B9A2-71660F7F8603}">
    <text>Lucas to fix comms calc based on mark up result.
1.5% at Target and above.
0.75% between Mid Point and Target.
0% between Minimum and Mid Point.</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vmlDrawing" Target="../drawings/vmlDrawing6.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3.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comments" Target="../comments6.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6.xml"/><Relationship Id="rId13" Type="http://schemas.openxmlformats.org/officeDocument/2006/relationships/table" Target="../tables/table31.xml"/><Relationship Id="rId18" Type="http://schemas.openxmlformats.org/officeDocument/2006/relationships/table" Target="../tables/table36.xml"/><Relationship Id="rId26" Type="http://schemas.openxmlformats.org/officeDocument/2006/relationships/table" Target="../tables/table44.xml"/><Relationship Id="rId3" Type="http://schemas.openxmlformats.org/officeDocument/2006/relationships/table" Target="../tables/table21.xml"/><Relationship Id="rId21" Type="http://schemas.openxmlformats.org/officeDocument/2006/relationships/table" Target="../tables/table39.xml"/><Relationship Id="rId7" Type="http://schemas.openxmlformats.org/officeDocument/2006/relationships/table" Target="../tables/table25.xml"/><Relationship Id="rId12" Type="http://schemas.openxmlformats.org/officeDocument/2006/relationships/table" Target="../tables/table30.xml"/><Relationship Id="rId17" Type="http://schemas.openxmlformats.org/officeDocument/2006/relationships/table" Target="../tables/table35.xml"/><Relationship Id="rId25" Type="http://schemas.openxmlformats.org/officeDocument/2006/relationships/table" Target="../tables/table43.xml"/><Relationship Id="rId2" Type="http://schemas.openxmlformats.org/officeDocument/2006/relationships/vmlDrawing" Target="../drawings/vmlDrawing7.vml"/><Relationship Id="rId16" Type="http://schemas.openxmlformats.org/officeDocument/2006/relationships/table" Target="../tables/table34.xml"/><Relationship Id="rId20" Type="http://schemas.openxmlformats.org/officeDocument/2006/relationships/table" Target="../tables/table38.xml"/><Relationship Id="rId1" Type="http://schemas.openxmlformats.org/officeDocument/2006/relationships/printerSettings" Target="../printerSettings/printerSettings14.bin"/><Relationship Id="rId6" Type="http://schemas.openxmlformats.org/officeDocument/2006/relationships/table" Target="../tables/table24.xml"/><Relationship Id="rId11" Type="http://schemas.openxmlformats.org/officeDocument/2006/relationships/table" Target="../tables/table29.xml"/><Relationship Id="rId24" Type="http://schemas.openxmlformats.org/officeDocument/2006/relationships/table" Target="../tables/table42.xml"/><Relationship Id="rId5" Type="http://schemas.openxmlformats.org/officeDocument/2006/relationships/table" Target="../tables/table23.xml"/><Relationship Id="rId15" Type="http://schemas.openxmlformats.org/officeDocument/2006/relationships/table" Target="../tables/table33.xml"/><Relationship Id="rId23" Type="http://schemas.openxmlformats.org/officeDocument/2006/relationships/table" Target="../tables/table41.xml"/><Relationship Id="rId28" Type="http://schemas.openxmlformats.org/officeDocument/2006/relationships/comments" Target="../comments7.xml"/><Relationship Id="rId10" Type="http://schemas.openxmlformats.org/officeDocument/2006/relationships/table" Target="../tables/table28.xml"/><Relationship Id="rId19" Type="http://schemas.openxmlformats.org/officeDocument/2006/relationships/table" Target="../tables/table37.xml"/><Relationship Id="rId4" Type="http://schemas.openxmlformats.org/officeDocument/2006/relationships/table" Target="../tables/table22.xml"/><Relationship Id="rId9" Type="http://schemas.openxmlformats.org/officeDocument/2006/relationships/table" Target="../tables/table27.xml"/><Relationship Id="rId14" Type="http://schemas.openxmlformats.org/officeDocument/2006/relationships/table" Target="../tables/table32.xml"/><Relationship Id="rId22" Type="http://schemas.openxmlformats.org/officeDocument/2006/relationships/table" Target="../tables/table40.xml"/><Relationship Id="rId27"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vmlDrawing" Target="../drawings/vmlDrawing8.vml"/><Relationship Id="rId1" Type="http://schemas.openxmlformats.org/officeDocument/2006/relationships/printerSettings" Target="../printerSettings/printerSettings16.bin"/><Relationship Id="rId5" Type="http://schemas.openxmlformats.org/officeDocument/2006/relationships/comments" Target="../comments8.xml"/><Relationship Id="rId4" Type="http://schemas.openxmlformats.org/officeDocument/2006/relationships/table" Target="../tables/table4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s://www.ecovantage.com.au/features/ci-solar-mv-veec-calculator/" TargetMode="External"/><Relationship Id="rId1" Type="http://schemas.openxmlformats.org/officeDocument/2006/relationships/hyperlink" Target="https://northmoregordon.com/certificate-prices/" TargetMode="External"/><Relationship Id="rId4"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vmlDrawing" Target="../drawings/vmlDrawing9.vml"/><Relationship Id="rId1" Type="http://schemas.openxmlformats.org/officeDocument/2006/relationships/printerSettings" Target="../printerSettings/printerSettings20.bin"/><Relationship Id="rId6" Type="http://schemas.openxmlformats.org/officeDocument/2006/relationships/comments" Target="../comments9.xml"/><Relationship Id="rId5" Type="http://schemas.openxmlformats.org/officeDocument/2006/relationships/table" Target="../tables/table53.xml"/><Relationship Id="rId4" Type="http://schemas.openxmlformats.org/officeDocument/2006/relationships/table" Target="../tables/table52.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8" Type="http://schemas.openxmlformats.org/officeDocument/2006/relationships/table" Target="../tables/table55.xml"/><Relationship Id="rId3" Type="http://schemas.openxmlformats.org/officeDocument/2006/relationships/vmlDrawing" Target="../drawings/vmlDrawing11.vml"/><Relationship Id="rId7" Type="http://schemas.openxmlformats.org/officeDocument/2006/relationships/ctrlProp" Target="../ctrlProps/ctrlProp4.xml"/><Relationship Id="rId2" Type="http://schemas.openxmlformats.org/officeDocument/2006/relationships/drawing" Target="../drawings/drawing7.xml"/><Relationship Id="rId1" Type="http://schemas.openxmlformats.org/officeDocument/2006/relationships/printerSettings" Target="../printerSettings/printerSettings2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8" Type="http://schemas.openxmlformats.org/officeDocument/2006/relationships/hyperlink" Target="mailto:james@smartcommercialenergy.com.au" TargetMode="External"/><Relationship Id="rId3" Type="http://schemas.openxmlformats.org/officeDocument/2006/relationships/hyperlink" Target="mailto:NEW@smartcommercialsolar.com.au" TargetMode="External"/><Relationship Id="rId7" Type="http://schemas.openxmlformats.org/officeDocument/2006/relationships/hyperlink" Target="mailto:huon@smartcommercialenergy.com.au" TargetMode="External"/><Relationship Id="rId12" Type="http://schemas.openxmlformats.org/officeDocument/2006/relationships/table" Target="../tables/table56.xml"/><Relationship Id="rId2" Type="http://schemas.openxmlformats.org/officeDocument/2006/relationships/hyperlink" Target="mailto:jon@smartcommercialenergy.com.au" TargetMode="External"/><Relationship Id="rId1" Type="http://schemas.openxmlformats.org/officeDocument/2006/relationships/hyperlink" Target="mailto:anastasi@smartcommercialenergy.com.au" TargetMode="External"/><Relationship Id="rId6" Type="http://schemas.openxmlformats.org/officeDocument/2006/relationships/hyperlink" Target="mailto:zane@smartcommercialenergy.com.au" TargetMode="External"/><Relationship Id="rId11" Type="http://schemas.openxmlformats.org/officeDocument/2006/relationships/printerSettings" Target="../printerSettings/printerSettings28.bin"/><Relationship Id="rId5" Type="http://schemas.openxmlformats.org/officeDocument/2006/relationships/hyperlink" Target="mailto:kealy@smartcommercialenergy.com.au" TargetMode="External"/><Relationship Id="rId10" Type="http://schemas.openxmlformats.org/officeDocument/2006/relationships/hyperlink" Target="mailto:dani@smartcommercialenergy.com.au" TargetMode="External"/><Relationship Id="rId4" Type="http://schemas.openxmlformats.org/officeDocument/2006/relationships/hyperlink" Target="mailto:nickb@smartcommercialenergy.com.au" TargetMode="External"/><Relationship Id="rId9" Type="http://schemas.openxmlformats.org/officeDocument/2006/relationships/hyperlink" Target="mailto:peter@smartcommercialenergy.com.au" TargetMode="Externa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91F00-A46C-4BD7-8F4F-6E2095861550}">
  <sheetPr codeName="Sheet3"/>
  <dimension ref="A2:P82"/>
  <sheetViews>
    <sheetView workbookViewId="0"/>
  </sheetViews>
  <sheetFormatPr defaultColWidth="8.5" defaultRowHeight="15.6"/>
  <cols>
    <col min="1" max="1" width="19.5" bestFit="1" customWidth="1"/>
    <col min="2" max="2" width="57" bestFit="1" customWidth="1"/>
    <col min="3" max="3" width="14.5" bestFit="1" customWidth="1"/>
    <col min="4" max="4" width="11.5" bestFit="1" customWidth="1"/>
    <col min="5" max="6" width="9" customWidth="1"/>
    <col min="7" max="7" width="34.5" bestFit="1" customWidth="1"/>
    <col min="8" max="9" width="13" bestFit="1" customWidth="1"/>
    <col min="10" max="10" width="10" customWidth="1"/>
    <col min="11" max="11" width="47" bestFit="1" customWidth="1"/>
    <col min="12" max="13" width="13" bestFit="1" customWidth="1"/>
    <col min="14" max="14" width="9" customWidth="1"/>
    <col min="15" max="15" width="11" bestFit="1" customWidth="1"/>
    <col min="16" max="16" width="11.5" bestFit="1" customWidth="1"/>
    <col min="17" max="17" width="0" hidden="1" customWidth="1"/>
  </cols>
  <sheetData>
    <row r="2" spans="1:16">
      <c r="B2" t="s">
        <v>0</v>
      </c>
      <c r="C2">
        <f>SOLAR!F13</f>
        <v>100</v>
      </c>
    </row>
    <row r="3" spans="1:16">
      <c r="B3" t="s">
        <v>1</v>
      </c>
      <c r="C3" s="6">
        <f>SOLAR!I123</f>
        <v>92204.692941155547</v>
      </c>
    </row>
    <row r="4" spans="1:16">
      <c r="B4" s="241" t="s">
        <v>2</v>
      </c>
      <c r="C4" s="241">
        <f>IF(C2&lt;40,(C2^$P$6)/$P$7,(C2^$P$8)/$P$9)</f>
        <v>1</v>
      </c>
    </row>
    <row r="5" spans="1:16">
      <c r="B5" s="241" t="s">
        <v>3</v>
      </c>
      <c r="C5" s="241">
        <f>IF(C2&lt;40,(C2^$P$12)/$P$13,(C2^$P$14)/$P$15)</f>
        <v>1.2000000000000008</v>
      </c>
      <c r="G5" s="162" t="s">
        <v>4</v>
      </c>
      <c r="H5" t="s">
        <v>5</v>
      </c>
      <c r="I5" t="s">
        <v>6</v>
      </c>
      <c r="K5" s="162" t="s">
        <v>7</v>
      </c>
      <c r="L5" t="s">
        <v>5</v>
      </c>
      <c r="M5" t="s">
        <v>6</v>
      </c>
      <c r="O5" s="241" t="s">
        <v>8</v>
      </c>
    </row>
    <row r="6" spans="1:16">
      <c r="G6" t="s">
        <v>9</v>
      </c>
      <c r="H6">
        <v>1</v>
      </c>
      <c r="I6">
        <v>1</v>
      </c>
      <c r="K6" t="s">
        <v>10</v>
      </c>
      <c r="L6">
        <v>1.2</v>
      </c>
      <c r="M6">
        <v>1.1000000000000001</v>
      </c>
      <c r="O6" t="s">
        <v>11</v>
      </c>
      <c r="P6">
        <v>0.5</v>
      </c>
    </row>
    <row r="7" spans="1:16">
      <c r="G7" t="s">
        <v>12</v>
      </c>
      <c r="H7">
        <v>1.2</v>
      </c>
      <c r="I7">
        <v>1.1000000000000001</v>
      </c>
      <c r="K7" t="s">
        <v>13</v>
      </c>
      <c r="L7">
        <v>1</v>
      </c>
      <c r="M7">
        <v>1</v>
      </c>
      <c r="O7" t="s">
        <v>14</v>
      </c>
      <c r="P7">
        <v>12.5</v>
      </c>
    </row>
    <row r="8" spans="1:16">
      <c r="B8" s="162" t="s">
        <v>15</v>
      </c>
      <c r="C8" s="241" t="s">
        <v>16</v>
      </c>
      <c r="D8" s="241" t="s">
        <v>17</v>
      </c>
      <c r="G8" t="s">
        <v>18</v>
      </c>
      <c r="H8">
        <v>1.1000000000000001</v>
      </c>
      <c r="I8">
        <v>1.1000000000000001</v>
      </c>
      <c r="O8" t="s">
        <v>19</v>
      </c>
      <c r="P8">
        <v>0.5</v>
      </c>
    </row>
    <row r="9" spans="1:16">
      <c r="G9" t="s">
        <v>20</v>
      </c>
      <c r="H9">
        <v>0.7</v>
      </c>
      <c r="I9">
        <v>0.9</v>
      </c>
      <c r="K9" s="162" t="s">
        <v>21</v>
      </c>
      <c r="L9" t="s">
        <v>5</v>
      </c>
      <c r="M9" t="s">
        <v>6</v>
      </c>
      <c r="O9" t="s">
        <v>22</v>
      </c>
      <c r="P9">
        <v>10</v>
      </c>
    </row>
    <row r="10" spans="1:16">
      <c r="A10" s="162" t="s">
        <v>23</v>
      </c>
      <c r="B10" t="str">
        <f>SOLAR!D41</f>
        <v>Trimdek Installation</v>
      </c>
      <c r="C10" t="str">
        <f>IFERROR(VLOOKUP(B10,K15:M22,2,FALSE),"NO MATCH")</f>
        <v>NO MATCH</v>
      </c>
      <c r="D10" t="str">
        <f>IFERROR(VLOOKUP(B10,K15:M22,3,FALSE),"NO MATCH")</f>
        <v>NO MATCH</v>
      </c>
      <c r="G10" t="s">
        <v>24</v>
      </c>
      <c r="H10">
        <v>1.4</v>
      </c>
      <c r="I10">
        <v>1.4</v>
      </c>
      <c r="K10" t="s">
        <v>25</v>
      </c>
      <c r="L10">
        <v>1.3</v>
      </c>
      <c r="M10">
        <v>1.3</v>
      </c>
    </row>
    <row r="11" spans="1:16">
      <c r="A11" s="162" t="s">
        <v>26</v>
      </c>
      <c r="B11" t="str">
        <f>SOLAR!E41</f>
        <v>Flush Mounted</v>
      </c>
      <c r="C11">
        <f>IFERROR(VLOOKUP(B11,K25:M33,2,FALSE),"NO MATCH")</f>
        <v>1</v>
      </c>
      <c r="D11">
        <f>IFERROR(VLOOKUP(B11,K25:M33,3,FALSE),"NO MATCH")</f>
        <v>1</v>
      </c>
      <c r="K11" t="s">
        <v>10</v>
      </c>
      <c r="L11">
        <v>1.1000000000000001</v>
      </c>
      <c r="M11">
        <v>1.1000000000000001</v>
      </c>
      <c r="O11" s="241" t="s">
        <v>27</v>
      </c>
    </row>
    <row r="12" spans="1:16">
      <c r="A12" s="162" t="s">
        <v>28</v>
      </c>
      <c r="B12" t="str">
        <f>SOLAR!D62</f>
        <v>Standard</v>
      </c>
      <c r="C12">
        <f>IFERROR(VLOOKUP(B12,G6:I10,2,FALSE),"NO MATCH")</f>
        <v>1</v>
      </c>
      <c r="D12">
        <f>IFERROR(VLOOKUP(B12,G6:I10,3,FALSE),"NO MATCH")</f>
        <v>1</v>
      </c>
      <c r="K12" t="s">
        <v>13</v>
      </c>
      <c r="L12">
        <v>1</v>
      </c>
      <c r="M12">
        <v>1</v>
      </c>
      <c r="O12" t="s">
        <v>11</v>
      </c>
      <c r="P12">
        <v>0.5</v>
      </c>
    </row>
    <row r="13" spans="1:16">
      <c r="A13" s="162" t="s">
        <v>29</v>
      </c>
      <c r="B13" t="str">
        <f>SOLAR!D110</f>
        <v>Very Co-operative</v>
      </c>
      <c r="C13">
        <f>IFERROR(VLOOKUP(B13,G14:I18,2,FALSE),"NO MATCH")</f>
        <v>0.9</v>
      </c>
      <c r="D13">
        <f>IFERROR(VLOOKUP(B13,G14:I18,3,FALSE),"NO MATCH")</f>
        <v>0.9</v>
      </c>
      <c r="G13" s="162" t="s">
        <v>30</v>
      </c>
      <c r="H13" t="s">
        <v>5</v>
      </c>
      <c r="I13" t="s">
        <v>6</v>
      </c>
      <c r="O13" t="s">
        <v>14</v>
      </c>
      <c r="P13">
        <v>12.5</v>
      </c>
    </row>
    <row r="14" spans="1:16">
      <c r="A14" s="162" t="s">
        <v>21</v>
      </c>
      <c r="B14" t="str">
        <f>SOLAR!D106</f>
        <v>Not Involved</v>
      </c>
      <c r="C14">
        <f>IFERROR(VLOOKUP(B14,K10:M12,2,FALSE),"NO MATCH")</f>
        <v>1</v>
      </c>
      <c r="D14">
        <f>IFERROR(VLOOKUP(B14,K10:M12,3,FALSE),"NO MATCH")</f>
        <v>1</v>
      </c>
      <c r="G14" t="s">
        <v>31</v>
      </c>
      <c r="H14">
        <v>0.9</v>
      </c>
      <c r="I14">
        <v>0.9</v>
      </c>
      <c r="K14" s="162" t="s">
        <v>32</v>
      </c>
      <c r="L14" t="s">
        <v>5</v>
      </c>
      <c r="M14" t="s">
        <v>6</v>
      </c>
      <c r="O14" t="s">
        <v>19</v>
      </c>
      <c r="P14">
        <v>0.4</v>
      </c>
    </row>
    <row r="15" spans="1:16">
      <c r="A15" s="162" t="s">
        <v>33</v>
      </c>
      <c r="B15" t="str">
        <f>SOLAR!D107</f>
        <v>Not Involved</v>
      </c>
      <c r="C15">
        <f>IFERROR(VLOOKUP(B15,K6:M7,2,FALSE),"NO MATCH")</f>
        <v>1</v>
      </c>
      <c r="D15">
        <f>IFERROR(VLOOKUP(B15,K6:M7,3,FALSE),"NO MATCH")</f>
        <v>1</v>
      </c>
      <c r="G15" t="s">
        <v>34</v>
      </c>
      <c r="H15">
        <v>1</v>
      </c>
      <c r="I15">
        <v>1</v>
      </c>
      <c r="K15" t="s">
        <v>35</v>
      </c>
      <c r="L15">
        <v>1</v>
      </c>
      <c r="M15">
        <v>1</v>
      </c>
      <c r="O15" t="s">
        <v>22</v>
      </c>
      <c r="P15">
        <f>6.30957344480193/1.2</f>
        <v>5.2579778706682747</v>
      </c>
    </row>
    <row r="16" spans="1:16">
      <c r="A16" s="162" t="s">
        <v>36</v>
      </c>
      <c r="B16" t="str">
        <f>SOLAR!D108</f>
        <v>Not Involved</v>
      </c>
      <c r="C16">
        <f>IFERROR(VLOOKUP(B16,K6:M7,2,FALSE),"NO MATCH")</f>
        <v>1</v>
      </c>
      <c r="D16">
        <f>IFERROR(VLOOKUP(B16,K6:M7,3,FALSE),"NO MATCH")</f>
        <v>1</v>
      </c>
      <c r="G16" t="s">
        <v>37</v>
      </c>
      <c r="H16">
        <v>1.2</v>
      </c>
      <c r="I16">
        <v>1.3</v>
      </c>
      <c r="K16" t="s">
        <v>38</v>
      </c>
      <c r="L16">
        <v>1.1000000000000001</v>
      </c>
      <c r="M16">
        <v>1.1000000000000001</v>
      </c>
    </row>
    <row r="17" spans="1:16">
      <c r="A17" s="162" t="s">
        <v>39</v>
      </c>
      <c r="B17" t="str">
        <f>SOLAR!D109</f>
        <v>Not Involved</v>
      </c>
      <c r="C17">
        <f>IFERROR(VLOOKUP(B17,G58:I60,2,FALSE),"NO MATCH")</f>
        <v>1</v>
      </c>
      <c r="D17">
        <f>IFERROR(VLOOKUP(B17,G58:I60,3,FALSE),"NO MATCH")</f>
        <v>1</v>
      </c>
      <c r="G17" t="s">
        <v>40</v>
      </c>
      <c r="H17">
        <v>1.3</v>
      </c>
      <c r="I17">
        <v>1.3</v>
      </c>
      <c r="K17" t="s">
        <v>41</v>
      </c>
      <c r="L17">
        <v>1</v>
      </c>
      <c r="M17">
        <v>1</v>
      </c>
      <c r="O17" s="241" t="s">
        <v>42</v>
      </c>
    </row>
    <row r="18" spans="1:16">
      <c r="A18" s="162" t="s">
        <v>43</v>
      </c>
      <c r="B18" t="str">
        <f>SOLAR!D67</f>
        <v>Zone1</v>
      </c>
      <c r="C18">
        <f>IFERROR(VLOOKUP(B18,K36:M45,2,FALSE),"NO MATCH")</f>
        <v>1</v>
      </c>
      <c r="D18">
        <f>IFERROR(VLOOKUP(B18,K36:M45,3,FALSE),"NO MATCH")</f>
        <v>1</v>
      </c>
      <c r="G18" t="s">
        <v>44</v>
      </c>
      <c r="H18">
        <v>1.5</v>
      </c>
      <c r="I18">
        <v>1.5</v>
      </c>
      <c r="K18" t="s">
        <v>45</v>
      </c>
      <c r="L18">
        <v>1.25</v>
      </c>
      <c r="M18">
        <v>1.25</v>
      </c>
      <c r="O18" t="s">
        <v>46</v>
      </c>
      <c r="P18">
        <v>1.2</v>
      </c>
    </row>
    <row r="19" spans="1:16">
      <c r="A19" s="162" t="s">
        <v>47</v>
      </c>
      <c r="B19" t="str">
        <f>SOLAR!D111</f>
        <v>Unconstrained</v>
      </c>
      <c r="C19">
        <f>IFERROR(VLOOKUP(B19,G21:I23,2,FALSE),"NO MATCH")</f>
        <v>1</v>
      </c>
      <c r="D19">
        <f>IFERROR(VLOOKUP(B19,G21:I23,3,FALSE),"NO MATCH")</f>
        <v>1</v>
      </c>
      <c r="K19" t="s">
        <v>48</v>
      </c>
      <c r="L19">
        <v>1.1000000000000001</v>
      </c>
      <c r="M19">
        <v>1.3</v>
      </c>
      <c r="O19" t="s">
        <v>49</v>
      </c>
      <c r="P19">
        <v>0.5</v>
      </c>
    </row>
    <row r="20" spans="1:16">
      <c r="A20" s="162" t="s">
        <v>50</v>
      </c>
      <c r="B20" t="str">
        <f>SOLAR!E31</f>
        <v>Ausgrid</v>
      </c>
      <c r="C20">
        <f>IFERROR(VLOOKUP(B20,G39:I55,2,FALSE),"NO MATCH")</f>
        <v>1.1000000000000001</v>
      </c>
      <c r="D20">
        <f>IFERROR(VLOOKUP(B20,G39:I55,3,FALSE),"NO MATCH")</f>
        <v>1</v>
      </c>
      <c r="G20" s="162" t="s">
        <v>51</v>
      </c>
      <c r="H20" t="s">
        <v>5</v>
      </c>
      <c r="I20" t="s">
        <v>6</v>
      </c>
      <c r="K20" t="s">
        <v>52</v>
      </c>
      <c r="L20">
        <v>1.3</v>
      </c>
      <c r="M20">
        <v>1.4</v>
      </c>
      <c r="O20" t="s">
        <v>53</v>
      </c>
      <c r="P20">
        <v>0.4</v>
      </c>
    </row>
    <row r="21" spans="1:16">
      <c r="A21" s="162" t="s">
        <v>54</v>
      </c>
      <c r="B21" t="str">
        <f>IF(C2&gt;200,Internal!K48,Internal!K49)</f>
        <v>Small</v>
      </c>
      <c r="C21">
        <f>IFERROR(VLOOKUP(B21,K48:M49,2,FALSE),"NO MATCH")</f>
        <v>0.85</v>
      </c>
      <c r="D21">
        <f>IFERROR(VLOOKUP(B21,K48:M49,3,FALSE),"NO MATCH")</f>
        <v>0.9</v>
      </c>
      <c r="G21" t="s">
        <v>55</v>
      </c>
      <c r="H21">
        <v>1</v>
      </c>
      <c r="I21">
        <v>1</v>
      </c>
      <c r="K21" t="s">
        <v>56</v>
      </c>
      <c r="L21">
        <v>1.5</v>
      </c>
      <c r="M21">
        <v>1.5</v>
      </c>
    </row>
    <row r="22" spans="1:16">
      <c r="A22" s="162" t="s">
        <v>57</v>
      </c>
      <c r="B22" t="str">
        <f>SOLAR!F19</f>
        <v>No</v>
      </c>
      <c r="C22">
        <f>IFERROR(VLOOKUP(B22,K76:M77,2,FALSE),"NO MATCH")</f>
        <v>1</v>
      </c>
      <c r="D22">
        <f>IFERROR(VLOOKUP(B22,K76:M77,3,FALSE),"NO MATCH")</f>
        <v>1</v>
      </c>
      <c r="G22" t="s">
        <v>58</v>
      </c>
      <c r="H22">
        <v>1</v>
      </c>
      <c r="I22">
        <v>1</v>
      </c>
      <c r="K22" t="s">
        <v>59</v>
      </c>
      <c r="L22">
        <v>1.25</v>
      </c>
      <c r="M22">
        <v>1.3</v>
      </c>
    </row>
    <row r="23" spans="1:16">
      <c r="A23" s="162" t="s">
        <v>60</v>
      </c>
      <c r="B23" t="str">
        <f>SOLAR!D56</f>
        <v>May Require Upgrade (Excluded from quote)</v>
      </c>
      <c r="C23">
        <f>IFERROR(VLOOKUP(B23,K71:M73,2,FALSE),"NO MATCH")</f>
        <v>1.1000000000000001</v>
      </c>
      <c r="D23">
        <f>IFERROR(VLOOKUP(B23,K71:M73,3,FALSE),"NO MATCH")</f>
        <v>1</v>
      </c>
      <c r="G23" t="s">
        <v>61</v>
      </c>
      <c r="H23">
        <v>1</v>
      </c>
      <c r="I23">
        <v>1</v>
      </c>
    </row>
    <row r="24" spans="1:16">
      <c r="A24" s="162" t="s">
        <v>62</v>
      </c>
      <c r="B24" t="str">
        <f>IF(SOLAR!D42="Not Required","Not Required","Required")</f>
        <v>Not Required</v>
      </c>
      <c r="C24">
        <f>IFERROR(VLOOKUP(B24,K58:M59,2,FALSE),"NO MATCH")</f>
        <v>1</v>
      </c>
      <c r="D24">
        <f>IFERROR(VLOOKUP(B24,K58:M59,3,FALSE),"NO MATCH")</f>
        <v>1</v>
      </c>
      <c r="K24" s="162" t="s">
        <v>63</v>
      </c>
      <c r="L24" t="s">
        <v>5</v>
      </c>
      <c r="M24" t="s">
        <v>6</v>
      </c>
    </row>
    <row r="25" spans="1:16">
      <c r="A25" s="162" t="s">
        <v>64</v>
      </c>
      <c r="B25" t="str">
        <f>SOLAR!D114</f>
        <v>Not Required</v>
      </c>
      <c r="C25">
        <f>IFERROR(VLOOKUP(B25,K62:M63,2,FALSE),"NO MATCH")</f>
        <v>1</v>
      </c>
      <c r="D25">
        <f>IFERROR(VLOOKUP(B25,K62:M63,3,FALSE),"NO MATCH")</f>
        <v>1</v>
      </c>
      <c r="G25" s="162" t="s">
        <v>65</v>
      </c>
      <c r="H25" t="s">
        <v>5</v>
      </c>
      <c r="I25" t="s">
        <v>6</v>
      </c>
      <c r="K25" t="s">
        <v>66</v>
      </c>
      <c r="L25">
        <v>1</v>
      </c>
      <c r="M25">
        <v>1</v>
      </c>
    </row>
    <row r="26" spans="1:16">
      <c r="A26" s="162" t="s">
        <v>67</v>
      </c>
      <c r="B26" t="str">
        <f>SOLAR!D112</f>
        <v>No (1-2 sites)</v>
      </c>
      <c r="C26">
        <f>IFERROR(VLOOKUP(B26,K52:M55,2,FALSE),"NO MATCH")</f>
        <v>1</v>
      </c>
      <c r="D26">
        <f>IFERROR(VLOOKUP(B26,K52:M55,3,FALSE),"NO MATCH")</f>
        <v>1</v>
      </c>
      <c r="G26" t="s">
        <v>68</v>
      </c>
      <c r="H26">
        <v>1</v>
      </c>
      <c r="I26">
        <v>1</v>
      </c>
      <c r="K26" t="s">
        <v>69</v>
      </c>
      <c r="L26">
        <v>1</v>
      </c>
      <c r="M26">
        <v>1</v>
      </c>
    </row>
    <row r="27" spans="1:16">
      <c r="A27" s="162" t="s">
        <v>70</v>
      </c>
      <c r="B27" t="str">
        <f>SOLAR!D115</f>
        <v>Standard</v>
      </c>
      <c r="C27">
        <f>IFERROR(VLOOKUP(B27,K80:M82,2,FALSE),"NO MATCH")</f>
        <v>1</v>
      </c>
      <c r="D27">
        <f>IFERROR(VLOOKUP(B27,K80:M82,3,FALSE),"NO MATCH")</f>
        <v>1</v>
      </c>
      <c r="G27" t="s">
        <v>71</v>
      </c>
      <c r="H27">
        <v>1.1000000000000001</v>
      </c>
      <c r="I27">
        <v>1.1000000000000001</v>
      </c>
      <c r="K27" t="s">
        <v>72</v>
      </c>
      <c r="L27">
        <v>1</v>
      </c>
      <c r="M27">
        <v>1</v>
      </c>
    </row>
    <row r="28" spans="1:16">
      <c r="A28" s="162" t="s">
        <v>73</v>
      </c>
      <c r="B28" t="str">
        <f>SOLAR!D116</f>
        <v>None</v>
      </c>
      <c r="C28">
        <f>IFERROR(VLOOKUP(B28,G26:I36,2,FALSE),"NO MATCH")</f>
        <v>1</v>
      </c>
      <c r="D28">
        <f>IFERROR(VLOOKUP(B28,G26:I36,3,FALSE),"NO MATCH")</f>
        <v>1</v>
      </c>
      <c r="G28" t="s">
        <v>74</v>
      </c>
      <c r="H28">
        <v>2</v>
      </c>
      <c r="I28">
        <v>2.25</v>
      </c>
      <c r="K28" t="s">
        <v>75</v>
      </c>
      <c r="L28">
        <v>1</v>
      </c>
      <c r="M28">
        <v>1</v>
      </c>
    </row>
    <row r="29" spans="1:16">
      <c r="A29" s="162" t="s">
        <v>76</v>
      </c>
      <c r="B29" t="str">
        <f>SOLAR!D117</f>
        <v>None</v>
      </c>
      <c r="C29">
        <f>IFERROR(VLOOKUP(B29,G26:I36,2,FALSE),"NO MATCH")</f>
        <v>1</v>
      </c>
      <c r="D29">
        <f>IFERROR(VLOOKUP(B29,G26:I36,3,FALSE),"NO MATCH")</f>
        <v>1</v>
      </c>
      <c r="G29" t="s">
        <v>77</v>
      </c>
      <c r="H29">
        <v>1.1000000000000001</v>
      </c>
      <c r="I29">
        <v>1.1000000000000001</v>
      </c>
      <c r="K29" t="s">
        <v>78</v>
      </c>
      <c r="L29">
        <v>1.2</v>
      </c>
      <c r="M29">
        <v>1.05</v>
      </c>
    </row>
    <row r="30" spans="1:16">
      <c r="A30" s="162" t="s">
        <v>42</v>
      </c>
      <c r="B30" t="str">
        <f>SOLAR!D113</f>
        <v>None</v>
      </c>
      <c r="C30">
        <f>IF($B$30="None",1,$P$18+$P$20*(SOLAR!F113/$C$2)^($P$19))</f>
        <v>1</v>
      </c>
      <c r="D30">
        <f>IF($B$30="None",1,$P$18+$P$20*(SOLAR!G113/$C$2)^($P$19))</f>
        <v>1</v>
      </c>
      <c r="G30" t="s">
        <v>79</v>
      </c>
      <c r="H30">
        <v>0.8</v>
      </c>
      <c r="I30">
        <v>1</v>
      </c>
      <c r="K30" t="s">
        <v>80</v>
      </c>
      <c r="L30">
        <f>L27*L28</f>
        <v>1</v>
      </c>
      <c r="M30">
        <f>M27*M28</f>
        <v>1</v>
      </c>
    </row>
    <row r="31" spans="1:16">
      <c r="A31" s="162" t="s">
        <v>81</v>
      </c>
      <c r="B31" t="e">
        <f>SOLAR!#REF!</f>
        <v>#REF!</v>
      </c>
      <c r="C31" t="str">
        <f>IFERROR(VLOOKUP(B31,K66:M68,2,FALSE),"NO MATCH")</f>
        <v>NO MATCH</v>
      </c>
      <c r="D31" t="str">
        <f>IFERROR(VLOOKUP(B31,K66:M68,3,FALSE),"NO MATCH")</f>
        <v>NO MATCH</v>
      </c>
      <c r="G31" t="s">
        <v>82</v>
      </c>
      <c r="H31">
        <v>1.1000000000000001</v>
      </c>
      <c r="I31">
        <v>1.1000000000000001</v>
      </c>
      <c r="K31" t="s">
        <v>83</v>
      </c>
      <c r="L31">
        <v>1.1000000000000001</v>
      </c>
      <c r="M31">
        <f>M27*M29</f>
        <v>1.05</v>
      </c>
    </row>
    <row r="32" spans="1:16">
      <c r="A32" s="162" t="s">
        <v>84</v>
      </c>
      <c r="B32" t="s">
        <v>85</v>
      </c>
      <c r="C32">
        <v>1.1000000000000001</v>
      </c>
      <c r="D32">
        <v>1.1000000000000001</v>
      </c>
      <c r="G32" t="s">
        <v>86</v>
      </c>
      <c r="H32">
        <v>1.4</v>
      </c>
      <c r="I32">
        <v>1.8</v>
      </c>
      <c r="K32" t="s">
        <v>87</v>
      </c>
      <c r="L32">
        <v>1.1499999999999999</v>
      </c>
      <c r="M32">
        <f>M28*M29</f>
        <v>1.05</v>
      </c>
    </row>
    <row r="33" spans="2:13">
      <c r="G33" t="s">
        <v>88</v>
      </c>
      <c r="H33">
        <v>1.3</v>
      </c>
      <c r="I33">
        <v>1.5</v>
      </c>
      <c r="K33" t="s">
        <v>89</v>
      </c>
      <c r="L33">
        <f>L27*L28*L29</f>
        <v>1.2</v>
      </c>
      <c r="M33">
        <f>M27*M28*M29</f>
        <v>1.05</v>
      </c>
    </row>
    <row r="34" spans="2:13">
      <c r="B34" t="s">
        <v>90</v>
      </c>
      <c r="C34">
        <f>PRODUCT(C10:C32)</f>
        <v>1.0182150000000001</v>
      </c>
      <c r="D34">
        <f>PRODUCT(D10:D32)</f>
        <v>0.89100000000000013</v>
      </c>
      <c r="G34" t="s">
        <v>91</v>
      </c>
      <c r="H34">
        <v>1.2</v>
      </c>
      <c r="I34">
        <v>1.2</v>
      </c>
    </row>
    <row r="35" spans="2:13">
      <c r="B35" t="s">
        <v>92</v>
      </c>
      <c r="C35">
        <v>1.38</v>
      </c>
      <c r="D35">
        <v>2.0499999999999998</v>
      </c>
      <c r="G35" t="s">
        <v>93</v>
      </c>
      <c r="H35">
        <v>0.4</v>
      </c>
      <c r="I35">
        <v>1.2</v>
      </c>
      <c r="K35" s="162" t="s">
        <v>94</v>
      </c>
      <c r="L35" t="s">
        <v>5</v>
      </c>
      <c r="M35" t="s">
        <v>6</v>
      </c>
    </row>
    <row r="36" spans="2:13">
      <c r="B36" t="s">
        <v>95</v>
      </c>
      <c r="C36">
        <f>C34/C35</f>
        <v>0.73783695652173931</v>
      </c>
      <c r="D36">
        <f>D34/D35</f>
        <v>0.43463414634146352</v>
      </c>
      <c r="G36" t="s">
        <v>96</v>
      </c>
      <c r="H36">
        <v>1.1000000000000001</v>
      </c>
      <c r="I36">
        <v>1.05</v>
      </c>
      <c r="K36" t="s">
        <v>97</v>
      </c>
      <c r="L36">
        <v>1</v>
      </c>
      <c r="M36">
        <v>1</v>
      </c>
    </row>
    <row r="37" spans="2:13">
      <c r="B37" s="1200" t="s">
        <v>98</v>
      </c>
      <c r="C37" s="1200">
        <f>C36*C4</f>
        <v>0.73783695652173931</v>
      </c>
      <c r="D37">
        <f>D36*C5</f>
        <v>0.52156097560975656</v>
      </c>
      <c r="K37" t="s">
        <v>99</v>
      </c>
      <c r="L37">
        <v>1</v>
      </c>
      <c r="M37">
        <v>1</v>
      </c>
    </row>
    <row r="38" spans="2:13">
      <c r="B38" t="s">
        <v>100</v>
      </c>
      <c r="C38">
        <v>66</v>
      </c>
      <c r="D38">
        <v>86</v>
      </c>
      <c r="G38" s="162" t="s">
        <v>101</v>
      </c>
      <c r="H38" t="s">
        <v>5</v>
      </c>
      <c r="I38" t="s">
        <v>6</v>
      </c>
      <c r="K38" t="s">
        <v>102</v>
      </c>
      <c r="L38">
        <v>1</v>
      </c>
      <c r="M38">
        <v>1</v>
      </c>
    </row>
    <row r="39" spans="2:13">
      <c r="B39" t="s">
        <v>103</v>
      </c>
      <c r="C39" s="442">
        <f>C38*C37</f>
        <v>48.697239130434795</v>
      </c>
      <c r="D39" s="442">
        <f>D38*D37</f>
        <v>44.854243902439066</v>
      </c>
      <c r="G39" t="s">
        <v>104</v>
      </c>
      <c r="H39">
        <v>0.8</v>
      </c>
      <c r="I39">
        <v>1</v>
      </c>
      <c r="K39" t="s">
        <v>105</v>
      </c>
      <c r="L39">
        <v>1</v>
      </c>
      <c r="M39">
        <v>1</v>
      </c>
    </row>
    <row r="40" spans="2:13">
      <c r="G40" t="s">
        <v>106</v>
      </c>
      <c r="H40">
        <v>1</v>
      </c>
      <c r="I40">
        <v>1</v>
      </c>
      <c r="K40" t="s">
        <v>107</v>
      </c>
      <c r="L40">
        <v>1</v>
      </c>
      <c r="M40">
        <v>1</v>
      </c>
    </row>
    <row r="41" spans="2:13">
      <c r="B41" t="s">
        <v>108</v>
      </c>
      <c r="G41" t="s">
        <v>109</v>
      </c>
      <c r="H41">
        <v>1.1000000000000001</v>
      </c>
      <c r="I41">
        <v>1</v>
      </c>
      <c r="K41" t="s">
        <v>110</v>
      </c>
      <c r="L41">
        <v>1</v>
      </c>
      <c r="M41">
        <v>1</v>
      </c>
    </row>
    <row r="42" spans="2:13">
      <c r="G42" t="s">
        <v>111</v>
      </c>
      <c r="H42">
        <v>1.1000000000000001</v>
      </c>
      <c r="I42">
        <v>1</v>
      </c>
      <c r="K42" t="s">
        <v>112</v>
      </c>
      <c r="L42">
        <v>1</v>
      </c>
      <c r="M42">
        <v>1</v>
      </c>
    </row>
    <row r="43" spans="2:13">
      <c r="G43" t="s">
        <v>113</v>
      </c>
      <c r="H43">
        <v>1.1000000000000001</v>
      </c>
      <c r="I43">
        <v>1</v>
      </c>
      <c r="K43" t="s">
        <v>114</v>
      </c>
      <c r="L43">
        <v>1</v>
      </c>
      <c r="M43">
        <v>1</v>
      </c>
    </row>
    <row r="44" spans="2:13">
      <c r="G44" t="s">
        <v>115</v>
      </c>
      <c r="H44">
        <v>1.1000000000000001</v>
      </c>
      <c r="I44">
        <v>1</v>
      </c>
      <c r="K44" t="s">
        <v>116</v>
      </c>
      <c r="L44">
        <v>1</v>
      </c>
      <c r="M44">
        <v>1</v>
      </c>
    </row>
    <row r="45" spans="2:13">
      <c r="G45" t="s">
        <v>117</v>
      </c>
      <c r="H45">
        <v>1.1000000000000001</v>
      </c>
      <c r="I45">
        <v>1</v>
      </c>
      <c r="K45" t="s">
        <v>118</v>
      </c>
      <c r="L45">
        <v>1</v>
      </c>
      <c r="M45">
        <v>1</v>
      </c>
    </row>
    <row r="46" spans="2:13">
      <c r="G46" t="s">
        <v>119</v>
      </c>
      <c r="H46">
        <v>1.1000000000000001</v>
      </c>
      <c r="I46">
        <v>1</v>
      </c>
    </row>
    <row r="47" spans="2:13">
      <c r="G47" t="s">
        <v>120</v>
      </c>
      <c r="H47">
        <v>1.1000000000000001</v>
      </c>
      <c r="I47">
        <v>1</v>
      </c>
      <c r="K47" s="162" t="s">
        <v>121</v>
      </c>
      <c r="L47" t="s">
        <v>5</v>
      </c>
      <c r="M47" t="s">
        <v>6</v>
      </c>
    </row>
    <row r="48" spans="2:13">
      <c r="G48" s="70" t="s">
        <v>122</v>
      </c>
      <c r="H48">
        <v>1.1000000000000001</v>
      </c>
      <c r="I48">
        <v>1</v>
      </c>
      <c r="K48" t="s">
        <v>123</v>
      </c>
      <c r="L48">
        <v>1.2</v>
      </c>
      <c r="M48">
        <v>1.1000000000000001</v>
      </c>
    </row>
    <row r="49" spans="7:13">
      <c r="G49" s="70" t="s">
        <v>124</v>
      </c>
      <c r="H49">
        <v>1.1000000000000001</v>
      </c>
      <c r="I49">
        <v>1</v>
      </c>
      <c r="K49" t="s">
        <v>125</v>
      </c>
      <c r="L49">
        <v>0.85</v>
      </c>
      <c r="M49">
        <v>0.9</v>
      </c>
    </row>
    <row r="50" spans="7:13">
      <c r="G50" s="70" t="s">
        <v>126</v>
      </c>
      <c r="H50">
        <v>1.2</v>
      </c>
      <c r="I50">
        <v>1</v>
      </c>
    </row>
    <row r="51" spans="7:13">
      <c r="G51" s="70" t="s">
        <v>126</v>
      </c>
      <c r="H51">
        <v>1.2</v>
      </c>
      <c r="I51">
        <v>1</v>
      </c>
      <c r="K51" s="162" t="s">
        <v>67</v>
      </c>
      <c r="L51" t="s">
        <v>5</v>
      </c>
      <c r="M51" t="s">
        <v>6</v>
      </c>
    </row>
    <row r="52" spans="7:13">
      <c r="G52" s="70" t="s">
        <v>127</v>
      </c>
      <c r="H52">
        <v>1.2</v>
      </c>
      <c r="I52">
        <v>1</v>
      </c>
      <c r="K52" t="s">
        <v>128</v>
      </c>
      <c r="L52">
        <v>1</v>
      </c>
      <c r="M52">
        <v>1</v>
      </c>
    </row>
    <row r="53" spans="7:13">
      <c r="G53" s="70" t="s">
        <v>127</v>
      </c>
      <c r="H53">
        <v>1.2</v>
      </c>
      <c r="I53">
        <v>1</v>
      </c>
      <c r="K53" t="s">
        <v>129</v>
      </c>
      <c r="L53">
        <v>0.9</v>
      </c>
      <c r="M53">
        <v>0.9</v>
      </c>
    </row>
    <row r="54" spans="7:13">
      <c r="G54" s="70" t="s">
        <v>130</v>
      </c>
      <c r="H54">
        <v>1.3</v>
      </c>
      <c r="I54">
        <v>1</v>
      </c>
      <c r="K54" t="s">
        <v>131</v>
      </c>
      <c r="L54">
        <v>0.8</v>
      </c>
      <c r="M54">
        <v>0.8</v>
      </c>
    </row>
    <row r="55" spans="7:13">
      <c r="G55" s="70" t="s">
        <v>132</v>
      </c>
      <c r="H55">
        <v>1.3</v>
      </c>
      <c r="I55">
        <v>1</v>
      </c>
      <c r="K55" t="s">
        <v>133</v>
      </c>
      <c r="L55">
        <v>0.7</v>
      </c>
      <c r="M55">
        <v>0.7</v>
      </c>
    </row>
    <row r="57" spans="7:13">
      <c r="G57" s="162" t="s">
        <v>39</v>
      </c>
      <c r="H57" t="s">
        <v>5</v>
      </c>
      <c r="I57" t="s">
        <v>6</v>
      </c>
      <c r="J57" t="s">
        <v>134</v>
      </c>
      <c r="K57" s="241" t="s">
        <v>135</v>
      </c>
      <c r="L57" t="s">
        <v>5</v>
      </c>
      <c r="M57" t="s">
        <v>6</v>
      </c>
    </row>
    <row r="58" spans="7:13">
      <c r="G58" t="s">
        <v>13</v>
      </c>
      <c r="H58">
        <v>1</v>
      </c>
      <c r="I58">
        <v>1</v>
      </c>
      <c r="J58" s="444">
        <v>0</v>
      </c>
      <c r="K58" t="s">
        <v>136</v>
      </c>
      <c r="L58">
        <v>1.2</v>
      </c>
      <c r="M58">
        <v>1.1000000000000001</v>
      </c>
    </row>
    <row r="59" spans="7:13">
      <c r="G59" t="s">
        <v>137</v>
      </c>
      <c r="H59">
        <v>1</v>
      </c>
      <c r="I59">
        <v>1.02</v>
      </c>
      <c r="J59" s="444">
        <v>0</v>
      </c>
      <c r="K59" t="s">
        <v>138</v>
      </c>
      <c r="L59">
        <v>1</v>
      </c>
      <c r="M59">
        <v>1</v>
      </c>
    </row>
    <row r="60" spans="7:13">
      <c r="G60" t="s">
        <v>139</v>
      </c>
      <c r="H60">
        <v>1.1000000000000001</v>
      </c>
      <c r="I60">
        <v>1.1000000000000001</v>
      </c>
      <c r="J60" s="444">
        <v>5000</v>
      </c>
    </row>
    <row r="61" spans="7:13">
      <c r="K61" s="241" t="s">
        <v>64</v>
      </c>
      <c r="L61" t="s">
        <v>5</v>
      </c>
      <c r="M61" t="s">
        <v>6</v>
      </c>
    </row>
    <row r="62" spans="7:13">
      <c r="G62" s="162" t="s">
        <v>140</v>
      </c>
      <c r="K62" t="s">
        <v>136</v>
      </c>
      <c r="L62">
        <v>1.3</v>
      </c>
      <c r="M62">
        <v>1.1000000000000001</v>
      </c>
    </row>
    <row r="63" spans="7:13">
      <c r="G63" t="s">
        <v>68</v>
      </c>
      <c r="K63" t="s">
        <v>138</v>
      </c>
      <c r="L63">
        <v>1</v>
      </c>
      <c r="M63">
        <v>1</v>
      </c>
    </row>
    <row r="64" spans="7:13">
      <c r="G64" t="s">
        <v>141</v>
      </c>
    </row>
    <row r="65" spans="2:13">
      <c r="K65" s="241" t="s">
        <v>81</v>
      </c>
      <c r="L65" t="s">
        <v>5</v>
      </c>
      <c r="M65" t="s">
        <v>6</v>
      </c>
    </row>
    <row r="66" spans="2:13">
      <c r="G66" s="241" t="s">
        <v>142</v>
      </c>
      <c r="H66" t="s">
        <v>5</v>
      </c>
      <c r="I66" t="s">
        <v>6</v>
      </c>
      <c r="K66" t="s">
        <v>143</v>
      </c>
      <c r="L66">
        <v>1</v>
      </c>
      <c r="M66">
        <v>1</v>
      </c>
    </row>
    <row r="67" spans="2:13">
      <c r="G67" t="s">
        <v>143</v>
      </c>
      <c r="H67">
        <v>1</v>
      </c>
      <c r="I67">
        <v>1</v>
      </c>
      <c r="K67" t="s">
        <v>144</v>
      </c>
      <c r="L67">
        <v>1.02</v>
      </c>
      <c r="M67">
        <v>1.02</v>
      </c>
    </row>
    <row r="68" spans="2:13">
      <c r="G68" t="s">
        <v>145</v>
      </c>
      <c r="H68">
        <v>1.1000000000000001</v>
      </c>
      <c r="I68">
        <v>1.03</v>
      </c>
      <c r="K68" t="s">
        <v>145</v>
      </c>
      <c r="L68">
        <v>1.1499999999999999</v>
      </c>
      <c r="M68">
        <v>1.1000000000000001</v>
      </c>
    </row>
    <row r="70" spans="2:13">
      <c r="B70" s="6"/>
      <c r="K70" s="241" t="s">
        <v>146</v>
      </c>
      <c r="L70" t="s">
        <v>5</v>
      </c>
      <c r="M70" t="s">
        <v>6</v>
      </c>
    </row>
    <row r="71" spans="2:13">
      <c r="K71" t="s">
        <v>147</v>
      </c>
      <c r="L71">
        <v>1.1000000000000001</v>
      </c>
      <c r="M71">
        <v>1</v>
      </c>
    </row>
    <row r="72" spans="2:13">
      <c r="K72" t="s">
        <v>148</v>
      </c>
      <c r="L72">
        <v>1</v>
      </c>
      <c r="M72">
        <v>1</v>
      </c>
    </row>
    <row r="73" spans="2:13">
      <c r="K73" t="s">
        <v>149</v>
      </c>
      <c r="L73">
        <v>1.25</v>
      </c>
      <c r="M73">
        <v>1.1000000000000001</v>
      </c>
    </row>
    <row r="75" spans="2:13">
      <c r="K75" s="241" t="s">
        <v>150</v>
      </c>
      <c r="L75" t="s">
        <v>5</v>
      </c>
      <c r="M75" t="s">
        <v>6</v>
      </c>
    </row>
    <row r="76" spans="2:13">
      <c r="K76" t="s">
        <v>145</v>
      </c>
      <c r="L76">
        <v>1.1000000000000001</v>
      </c>
      <c r="M76">
        <v>1.1000000000000001</v>
      </c>
    </row>
    <row r="77" spans="2:13">
      <c r="K77" t="s">
        <v>143</v>
      </c>
      <c r="L77">
        <v>1</v>
      </c>
      <c r="M77">
        <v>1</v>
      </c>
    </row>
    <row r="79" spans="2:13">
      <c r="K79" s="241" t="s">
        <v>151</v>
      </c>
      <c r="L79" t="s">
        <v>5</v>
      </c>
      <c r="M79" t="s">
        <v>6</v>
      </c>
    </row>
    <row r="80" spans="2:13">
      <c r="K80" t="s">
        <v>9</v>
      </c>
      <c r="L80">
        <v>1</v>
      </c>
      <c r="M80">
        <v>1</v>
      </c>
    </row>
    <row r="81" spans="11:13">
      <c r="K81" t="s">
        <v>152</v>
      </c>
      <c r="L81">
        <v>1</v>
      </c>
      <c r="M81">
        <v>1.1499999999999999</v>
      </c>
    </row>
    <row r="82" spans="11:13">
      <c r="K82" t="s">
        <v>153</v>
      </c>
      <c r="L82">
        <v>1.1000000000000001</v>
      </c>
      <c r="M82">
        <v>1.3</v>
      </c>
    </row>
  </sheetData>
  <conditionalFormatting sqref="C10:D32">
    <cfRule type="containsText" dxfId="384" priority="1" operator="containsText" text="NO MATCH">
      <formula>NOT(ISERROR(SEARCH("NO MATCH",C10)))</formula>
    </cfRule>
    <cfRule type="cellIs" dxfId="383" priority="2" operator="equal">
      <formula>"""NO MATCH"""</formula>
    </cfRule>
    <cfRule type="cellIs" dxfId="382" priority="3" operator="equal">
      <formula>""""""</formula>
    </cfRule>
  </conditionalFormatting>
  <dataValidations disablePrompts="1" count="1">
    <dataValidation type="list" allowBlank="1" showInputMessage="1" showErrorMessage="1" sqref="B20" xr:uid="{734879A2-7683-49B5-8E54-AF1B892C764B}">
      <formula1>$G$39:$G$49</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A7854-A3ED-4479-8C85-F28A593DCA7B}">
  <sheetPr codeName="Sheet6"/>
  <dimension ref="A3:N76"/>
  <sheetViews>
    <sheetView workbookViewId="0"/>
  </sheetViews>
  <sheetFormatPr defaultColWidth="8.5" defaultRowHeight="15.6"/>
  <cols>
    <col min="1" max="1" width="19.5" bestFit="1" customWidth="1"/>
    <col min="2" max="2" width="56.5" hidden="1" customWidth="1"/>
    <col min="3" max="3" width="14.5" hidden="1" customWidth="1"/>
    <col min="4" max="4" width="8.5" hidden="1" customWidth="1"/>
    <col min="5" max="5" width="9" hidden="1" customWidth="1"/>
    <col min="6" max="6" width="17" hidden="1" customWidth="1"/>
    <col min="7" max="7" width="10.09765625" hidden="1" customWidth="1"/>
    <col min="8" max="8" width="13" hidden="1" customWidth="1"/>
    <col min="9" max="9" width="9" customWidth="1"/>
    <col min="10" max="10" width="47" bestFit="1" customWidth="1"/>
    <col min="11" max="12" width="13" bestFit="1" customWidth="1"/>
    <col min="13" max="13" width="9" customWidth="1"/>
    <col min="14" max="14" width="11" bestFit="1" customWidth="1"/>
    <col min="15" max="15" width="11.5" bestFit="1" customWidth="1"/>
    <col min="16" max="16" width="8.5" customWidth="1"/>
  </cols>
  <sheetData>
    <row r="3" spans="1:14">
      <c r="B3" t="s">
        <v>154</v>
      </c>
      <c r="C3" s="472">
        <v>45.25</v>
      </c>
      <c r="D3" s="472">
        <v>63.07</v>
      </c>
      <c r="F3" s="1333" t="s">
        <v>155</v>
      </c>
      <c r="G3" s="1333"/>
    </row>
    <row r="4" spans="1:14">
      <c r="B4" t="s">
        <v>156</v>
      </c>
      <c r="C4" s="472">
        <f>C3*Internal!C39</f>
        <v>2203.5500706521743</v>
      </c>
      <c r="D4" s="472">
        <f>D3*Internal!D39</f>
        <v>2828.9571629268321</v>
      </c>
    </row>
    <row r="5" spans="1:14">
      <c r="B5" t="s">
        <v>157</v>
      </c>
      <c r="C5" s="399">
        <f>C3+C28</f>
        <v>94.864987695483052</v>
      </c>
      <c r="D5" s="399">
        <f>D3+C28</f>
        <v>112.68498769548304</v>
      </c>
      <c r="F5" s="48" t="s">
        <v>158</v>
      </c>
      <c r="G5" s="493">
        <f>'Internal 2'!C4</f>
        <v>2203.5500706521743</v>
      </c>
      <c r="J5" s="162"/>
      <c r="N5" s="241"/>
    </row>
    <row r="6" spans="1:14">
      <c r="B6" t="s">
        <v>159</v>
      </c>
      <c r="C6" s="472">
        <f>C5*Internal!C39-C4</f>
        <v>2416.112920260518</v>
      </c>
      <c r="D6" s="472">
        <f>D5*Internal!D39-D4</f>
        <v>2225.4427593097098</v>
      </c>
      <c r="F6" s="48" t="s">
        <v>160</v>
      </c>
      <c r="G6" s="493">
        <f>'Internal 2'!D4</f>
        <v>2828.9571629268321</v>
      </c>
    </row>
    <row r="7" spans="1:14">
      <c r="F7" s="48" t="s">
        <v>161</v>
      </c>
      <c r="G7" s="493">
        <f>'Internal 2'!C10</f>
        <v>1383.0703941173331</v>
      </c>
    </row>
    <row r="8" spans="1:14">
      <c r="B8" t="s">
        <v>162</v>
      </c>
      <c r="C8" s="461">
        <v>1.4999999999999999E-2</v>
      </c>
      <c r="F8" s="48" t="s">
        <v>163</v>
      </c>
      <c r="G8" s="493">
        <f>'Internal 2'!C15</f>
        <v>8757.4371856373982</v>
      </c>
    </row>
    <row r="9" spans="1:14">
      <c r="B9" t="s">
        <v>164</v>
      </c>
      <c r="C9" s="333">
        <v>0</v>
      </c>
      <c r="J9" s="162"/>
    </row>
    <row r="10" spans="1:14">
      <c r="A10" s="162"/>
      <c r="B10" t="s">
        <v>165</v>
      </c>
      <c r="C10" s="6">
        <f>C8*Internal!C3*(1+C9)</f>
        <v>1383.0703941173331</v>
      </c>
    </row>
    <row r="11" spans="1:14">
      <c r="A11" s="162"/>
      <c r="C11" s="6"/>
      <c r="N11" s="241"/>
    </row>
    <row r="12" spans="1:14">
      <c r="A12" s="162"/>
      <c r="B12" t="s">
        <v>166</v>
      </c>
      <c r="C12" s="6">
        <v>6173584</v>
      </c>
      <c r="G12" s="42"/>
      <c r="I12" s="494"/>
      <c r="J12" s="495"/>
    </row>
    <row r="13" spans="1:14">
      <c r="A13" s="162"/>
      <c r="B13" t="s">
        <v>167</v>
      </c>
      <c r="C13" s="6">
        <v>65000000</v>
      </c>
      <c r="G13" s="42"/>
      <c r="I13" s="494"/>
      <c r="J13" s="495"/>
    </row>
    <row r="14" spans="1:14">
      <c r="A14" s="162"/>
      <c r="B14" t="s">
        <v>168</v>
      </c>
      <c r="C14" s="462">
        <f>Internal!C3/C13</f>
        <v>1.4185337375562392E-3</v>
      </c>
      <c r="G14" s="42"/>
      <c r="I14" s="494"/>
      <c r="J14" s="495"/>
    </row>
    <row r="15" spans="1:14">
      <c r="A15" s="162"/>
      <c r="B15" t="s">
        <v>163</v>
      </c>
      <c r="C15" s="444">
        <f>C14*C12</f>
        <v>8757.4371856373982</v>
      </c>
      <c r="G15" s="42"/>
      <c r="I15" s="494"/>
      <c r="J15" s="495"/>
    </row>
    <row r="16" spans="1:14">
      <c r="A16" s="162"/>
    </row>
    <row r="17" spans="1:10">
      <c r="A17" s="162"/>
      <c r="B17" t="s">
        <v>169</v>
      </c>
      <c r="C17" s="444">
        <f>C15+C10+C4+D4</f>
        <v>15173.014813333737</v>
      </c>
    </row>
    <row r="18" spans="1:10">
      <c r="A18" s="162"/>
    </row>
    <row r="19" spans="1:10">
      <c r="A19" s="162"/>
    </row>
    <row r="20" spans="1:10">
      <c r="A20" s="162"/>
      <c r="B20" t="s">
        <v>170</v>
      </c>
      <c r="C20">
        <v>13</v>
      </c>
      <c r="F20" s="162"/>
    </row>
    <row r="21" spans="1:10">
      <c r="A21" s="162"/>
      <c r="B21" t="s">
        <v>171</v>
      </c>
      <c r="C21">
        <v>12.5</v>
      </c>
    </row>
    <row r="22" spans="1:10">
      <c r="A22" s="162"/>
      <c r="B22" t="s">
        <v>172</v>
      </c>
      <c r="C22" s="515">
        <f>38*52*(C20+C21)</f>
        <v>50388</v>
      </c>
    </row>
    <row r="23" spans="1:10">
      <c r="A23" s="162"/>
      <c r="B23" t="s">
        <v>173</v>
      </c>
      <c r="C23" s="442">
        <f>C22/(Internal!C39+Internal!D39)</f>
        <v>538.61251972129321</v>
      </c>
      <c r="J23" s="162"/>
    </row>
    <row r="24" spans="1:10">
      <c r="A24" s="162"/>
      <c r="B24" t="s">
        <v>174</v>
      </c>
      <c r="C24" s="442">
        <f>1/C14</f>
        <v>704.95327218846217</v>
      </c>
    </row>
    <row r="25" spans="1:10">
      <c r="A25" s="162"/>
      <c r="B25" t="s">
        <v>175</v>
      </c>
      <c r="C25" s="442">
        <f>AVERAGE(C23:C24)</f>
        <v>621.78289595487763</v>
      </c>
    </row>
    <row r="26" spans="1:10">
      <c r="A26" s="162"/>
    </row>
    <row r="27" spans="1:10">
      <c r="A27" s="162"/>
      <c r="B27" t="s">
        <v>176</v>
      </c>
      <c r="C27" s="6">
        <v>2500000</v>
      </c>
    </row>
    <row r="28" spans="1:10">
      <c r="A28" s="162"/>
      <c r="B28" t="s">
        <v>177</v>
      </c>
      <c r="C28" s="444">
        <f>C27/C22</f>
        <v>49.614987695483052</v>
      </c>
      <c r="F28" s="162"/>
    </row>
    <row r="32" spans="1:10">
      <c r="B32" s="1200"/>
      <c r="C32" s="1200"/>
    </row>
    <row r="33" spans="3:10">
      <c r="F33" s="162"/>
    </row>
    <row r="34" spans="3:10">
      <c r="J34" s="162"/>
    </row>
    <row r="35" spans="3:10">
      <c r="C35" s="399"/>
      <c r="D35" s="399"/>
    </row>
    <row r="36" spans="3:10">
      <c r="C36" s="472"/>
      <c r="D36" s="472"/>
    </row>
    <row r="37" spans="3:10">
      <c r="C37" s="399"/>
      <c r="D37" s="399"/>
    </row>
    <row r="38" spans="3:10">
      <c r="C38" s="472"/>
      <c r="D38" s="472"/>
    </row>
    <row r="42" spans="3:10">
      <c r="C42" s="461"/>
    </row>
    <row r="43" spans="3:10">
      <c r="C43" s="488"/>
    </row>
    <row r="44" spans="3:10">
      <c r="C44" s="6"/>
      <c r="J44" s="162"/>
    </row>
    <row r="45" spans="3:10">
      <c r="C45" s="6"/>
      <c r="F45" s="162"/>
    </row>
    <row r="46" spans="3:10">
      <c r="C46" s="6"/>
    </row>
    <row r="47" spans="3:10">
      <c r="C47" s="6"/>
    </row>
    <row r="48" spans="3:10">
      <c r="C48" s="462"/>
      <c r="J48" s="162"/>
    </row>
    <row r="49" spans="3:10">
      <c r="C49" s="444"/>
    </row>
    <row r="51" spans="3:10">
      <c r="C51" s="444"/>
    </row>
    <row r="54" spans="3:10">
      <c r="J54" s="241"/>
    </row>
    <row r="55" spans="3:10">
      <c r="F55" s="70"/>
    </row>
    <row r="56" spans="3:10">
      <c r="F56" s="70"/>
    </row>
    <row r="57" spans="3:10">
      <c r="F57" s="70"/>
    </row>
    <row r="58" spans="3:10">
      <c r="F58" s="70"/>
      <c r="J58" s="241"/>
    </row>
    <row r="59" spans="3:10">
      <c r="F59" s="70"/>
    </row>
    <row r="60" spans="3:10">
      <c r="F60" s="70"/>
    </row>
    <row r="61" spans="3:10">
      <c r="C61" s="6"/>
      <c r="F61" s="70"/>
    </row>
    <row r="62" spans="3:10">
      <c r="C62" s="444"/>
      <c r="F62" s="70"/>
      <c r="J62" s="241"/>
    </row>
    <row r="67" spans="2:10">
      <c r="J67" s="241"/>
    </row>
    <row r="70" spans="2:10">
      <c r="B70" s="6"/>
    </row>
    <row r="72" spans="2:10">
      <c r="J72" s="241"/>
    </row>
    <row r="76" spans="2:10">
      <c r="J76" s="241"/>
    </row>
  </sheetData>
  <sheetProtection algorithmName="SHA-512" hashValue="s0hmWiJryScHht0Ln2iJajTT2fivhZd3c7NmCA2hyWc2IU4LK12B2VpxukiRyS6ZPZ5RpUDaAZJmofHPk0fnKQ==" saltValue="uMXh7x9shgC/Y4jp3e+C6w==" spinCount="100000" sheet="1" objects="1" scenarios="1"/>
  <mergeCells count="1">
    <mergeCell ref="F3:G3"/>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73372-BDAE-421E-A7B8-2940E5BB79ED}">
  <sheetPr codeName="Sheet12">
    <tabColor theme="4" tint="0.79998168889431442"/>
  </sheetPr>
  <dimension ref="A1:H31"/>
  <sheetViews>
    <sheetView workbookViewId="0"/>
  </sheetViews>
  <sheetFormatPr defaultColWidth="8.59765625" defaultRowHeight="15.6"/>
  <cols>
    <col min="1" max="1" width="13.59765625" customWidth="1"/>
    <col min="4" max="4" width="22.09765625" customWidth="1"/>
  </cols>
  <sheetData>
    <row r="1" spans="1:8">
      <c r="A1" s="241" t="s">
        <v>178</v>
      </c>
      <c r="B1" s="241" t="s">
        <v>179</v>
      </c>
      <c r="D1" s="241" t="s">
        <v>180</v>
      </c>
      <c r="E1" s="241" t="s">
        <v>179</v>
      </c>
      <c r="G1" s="241" t="s">
        <v>181</v>
      </c>
    </row>
    <row r="2" spans="1:8">
      <c r="A2" t="s">
        <v>182</v>
      </c>
      <c r="B2">
        <v>1400</v>
      </c>
      <c r="D2" t="s">
        <v>183</v>
      </c>
      <c r="E2" s="622">
        <v>1250</v>
      </c>
      <c r="G2" t="s">
        <v>184</v>
      </c>
      <c r="H2">
        <v>1.5</v>
      </c>
    </row>
    <row r="3" spans="1:8">
      <c r="A3" t="s">
        <v>185</v>
      </c>
      <c r="B3">
        <v>800</v>
      </c>
      <c r="D3" t="s">
        <v>186</v>
      </c>
      <c r="E3" s="622">
        <v>100</v>
      </c>
      <c r="G3" t="s">
        <v>187</v>
      </c>
      <c r="H3">
        <v>1.4</v>
      </c>
    </row>
    <row r="4" spans="1:8">
      <c r="D4" t="s">
        <v>188</v>
      </c>
      <c r="E4" s="622">
        <v>200</v>
      </c>
      <c r="G4" t="s">
        <v>189</v>
      </c>
      <c r="H4">
        <v>1.32</v>
      </c>
    </row>
    <row r="5" spans="1:8">
      <c r="D5" t="s">
        <v>190</v>
      </c>
      <c r="E5" s="622">
        <v>500</v>
      </c>
    </row>
    <row r="6" spans="1:8">
      <c r="D6" t="s">
        <v>191</v>
      </c>
      <c r="E6" s="622">
        <v>200</v>
      </c>
    </row>
    <row r="7" spans="1:8">
      <c r="D7" t="s">
        <v>192</v>
      </c>
      <c r="E7" s="622">
        <f>IF(EV!C4="Target",250,IF(EV!C4="Mid",175,125))</f>
        <v>250</v>
      </c>
    </row>
    <row r="11" spans="1:8">
      <c r="A11" s="241" t="s">
        <v>193</v>
      </c>
      <c r="B11" t="s">
        <v>179</v>
      </c>
      <c r="C11" t="s">
        <v>194</v>
      </c>
      <c r="E11" t="s">
        <v>141</v>
      </c>
    </row>
    <row r="12" spans="1:8">
      <c r="A12" t="s">
        <v>195</v>
      </c>
      <c r="B12">
        <v>500</v>
      </c>
      <c r="C12" t="s">
        <v>196</v>
      </c>
      <c r="E12" t="s">
        <v>197</v>
      </c>
    </row>
    <row r="13" spans="1:8">
      <c r="A13" t="s">
        <v>198</v>
      </c>
      <c r="B13">
        <v>800</v>
      </c>
      <c r="C13" t="s">
        <v>199</v>
      </c>
    </row>
    <row r="14" spans="1:8">
      <c r="A14" t="s">
        <v>200</v>
      </c>
      <c r="B14" t="s">
        <v>201</v>
      </c>
    </row>
    <row r="15" spans="1:8">
      <c r="A15" t="s">
        <v>202</v>
      </c>
      <c r="B15" t="s">
        <v>201</v>
      </c>
    </row>
    <row r="16" spans="1:8">
      <c r="A16" t="s">
        <v>203</v>
      </c>
      <c r="B16" t="s">
        <v>201</v>
      </c>
    </row>
    <row r="17" spans="1:2">
      <c r="A17" t="s">
        <v>204</v>
      </c>
      <c r="B17">
        <v>250</v>
      </c>
    </row>
    <row r="21" spans="1:2">
      <c r="A21" s="241" t="s">
        <v>205</v>
      </c>
    </row>
    <row r="22" spans="1:2">
      <c r="A22" t="s">
        <v>206</v>
      </c>
      <c r="B22" t="str">
        <f>IF(AND(EV!D9&lt;&gt;0,EV!D9&lt;&gt;EV!D4),"Wall &amp; Pedestal",IF(EV!D9&lt;1,"Wall Mounted","Pedestal Mounted"))</f>
        <v>Wall Mounted</v>
      </c>
    </row>
    <row r="23" spans="1:2">
      <c r="A23" t="s">
        <v>207</v>
      </c>
      <c r="B23" t="str">
        <f>EV!D4&amp;" x "&amp;EV!B4</f>
        <v>1 x EVOS 22kW</v>
      </c>
    </row>
    <row r="24" spans="1:2">
      <c r="A24" t="s">
        <v>208</v>
      </c>
      <c r="B24" t="str">
        <f>2+EV!D13&amp;" Years Subscription"</f>
        <v>2 Years Subscription</v>
      </c>
    </row>
    <row r="25" spans="1:2">
      <c r="A25" t="s">
        <v>209</v>
      </c>
      <c r="B25" t="str">
        <f>20+EV!D12&amp;"m"</f>
        <v>20m</v>
      </c>
    </row>
    <row r="26" spans="1:2">
      <c r="A26" t="s">
        <v>195</v>
      </c>
      <c r="B26" t="str">
        <f>EV!C8&amp;IF(EV!D8&lt;&gt;0," - "&amp;EV!D8,"")</f>
        <v>Included - 5</v>
      </c>
    </row>
    <row r="28" spans="1:2">
      <c r="A28" t="s">
        <v>210</v>
      </c>
      <c r="B28" s="623">
        <f>EV!E4*0.5</f>
        <v>4737.5</v>
      </c>
    </row>
    <row r="29" spans="1:2">
      <c r="A29" t="s">
        <v>211</v>
      </c>
      <c r="B29" s="623">
        <f>EV!E4*0.5</f>
        <v>4737.5</v>
      </c>
    </row>
    <row r="31" spans="1:2">
      <c r="A31" s="623" t="str">
        <f>"System Cost: $"&amp;EV!E4&amp;" ex. GST"</f>
        <v>System Cost: $9475 ex. GST</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0000"/>
  </sheetPr>
  <dimension ref="A1:AE164"/>
  <sheetViews>
    <sheetView tabSelected="1" topLeftCell="A4" zoomScale="85" zoomScaleNormal="85" workbookViewId="0">
      <selection activeCell="G39" sqref="G39"/>
    </sheetView>
  </sheetViews>
  <sheetFormatPr defaultColWidth="18.5" defaultRowHeight="13.2"/>
  <cols>
    <col min="1" max="1" width="9" style="42" customWidth="1"/>
    <col min="2" max="2" width="18.5" style="42"/>
    <col min="3" max="3" width="27.09765625" style="42" customWidth="1"/>
    <col min="4" max="4" width="18.5" style="42" customWidth="1"/>
    <col min="5" max="5" width="20.3984375" style="42" customWidth="1"/>
    <col min="6" max="6" width="21" style="42" bestFit="1" customWidth="1"/>
    <col min="7" max="7" width="19.5" style="42" customWidth="1"/>
    <col min="8" max="8" width="0.5" style="42" hidden="1" customWidth="1"/>
    <col min="9" max="9" width="28.09765625" style="42" bestFit="1" customWidth="1"/>
    <col min="10" max="10" width="25" style="42" customWidth="1"/>
    <col min="11" max="11" width="30.09765625" style="42" customWidth="1"/>
    <col min="12" max="12" width="18.5" style="42"/>
    <col min="13" max="13" width="14" style="42" customWidth="1"/>
    <col min="14" max="14" width="20" style="42" customWidth="1"/>
    <col min="15" max="15" width="16" style="42" customWidth="1"/>
    <col min="16" max="17" width="14.5" style="42" customWidth="1"/>
    <col min="18" max="18" width="15" style="49" customWidth="1"/>
    <col min="19" max="25" width="18.5" style="49"/>
    <col min="26" max="26" width="23.5" style="49" customWidth="1"/>
    <col min="27" max="27" width="17" style="49" bestFit="1" customWidth="1"/>
    <col min="28" max="16384" width="18.5" style="49"/>
  </cols>
  <sheetData>
    <row r="1" spans="1:29" ht="28.5" customHeight="1">
      <c r="A1" s="1292" t="s">
        <v>212</v>
      </c>
      <c r="B1" s="1293"/>
      <c r="C1" s="1293"/>
      <c r="D1" s="1293"/>
      <c r="E1" s="1293"/>
      <c r="F1" s="1293"/>
      <c r="G1" s="1293"/>
      <c r="H1" s="1293"/>
      <c r="I1" s="1293"/>
      <c r="J1" s="1293"/>
      <c r="K1" s="1293"/>
      <c r="L1" s="1293"/>
      <c r="M1" s="1294"/>
      <c r="N1" s="887"/>
      <c r="O1" s="887"/>
      <c r="P1" s="887"/>
      <c r="Q1" s="887"/>
      <c r="R1" s="887"/>
      <c r="S1" s="887"/>
      <c r="T1" s="887"/>
      <c r="U1" s="887"/>
      <c r="V1" s="887"/>
      <c r="W1" s="887"/>
      <c r="X1" s="887"/>
      <c r="Y1" s="887"/>
      <c r="Z1" s="887"/>
      <c r="AA1" s="887"/>
      <c r="AB1" s="887"/>
      <c r="AC1" s="887"/>
    </row>
    <row r="2" spans="1:29" ht="16.5" customHeight="1">
      <c r="A2" s="1295"/>
      <c r="B2" s="1296"/>
      <c r="C2" s="1296"/>
      <c r="D2" s="1296"/>
      <c r="E2" s="1296"/>
      <c r="F2" s="1296"/>
      <c r="G2" s="1296"/>
      <c r="H2" s="1296"/>
      <c r="I2" s="1296"/>
      <c r="J2" s="1296"/>
      <c r="K2" s="1296"/>
      <c r="L2" s="1296"/>
      <c r="M2" s="1297"/>
      <c r="N2" s="887"/>
      <c r="O2" s="887"/>
      <c r="P2" s="887"/>
      <c r="Q2" s="887"/>
      <c r="R2" s="887"/>
      <c r="S2" s="887"/>
      <c r="T2" s="887"/>
      <c r="U2" s="887"/>
      <c r="V2" s="887"/>
      <c r="W2" s="887"/>
      <c r="X2" s="887"/>
      <c r="Y2" s="887"/>
      <c r="Z2" s="887"/>
      <c r="AA2" s="887"/>
      <c r="AB2" s="887"/>
      <c r="AC2" s="887"/>
    </row>
    <row r="3" spans="1:29" ht="16.5" customHeight="1">
      <c r="A3" s="1295"/>
      <c r="B3" s="1296"/>
      <c r="C3" s="1296"/>
      <c r="D3" s="1296"/>
      <c r="E3" s="1296"/>
      <c r="F3" s="1296"/>
      <c r="G3" s="1296"/>
      <c r="H3" s="1296"/>
      <c r="I3" s="1296"/>
      <c r="J3" s="1296"/>
      <c r="K3" s="1296"/>
      <c r="L3" s="1296"/>
      <c r="M3" s="1297"/>
      <c r="N3" s="887"/>
      <c r="O3" s="887"/>
      <c r="P3" s="887"/>
      <c r="Q3" s="887"/>
      <c r="R3" s="887"/>
      <c r="S3" s="887"/>
      <c r="T3" s="887"/>
      <c r="U3" s="887"/>
      <c r="V3" s="887"/>
      <c r="W3" s="887"/>
      <c r="X3" s="887"/>
      <c r="Y3" s="887"/>
      <c r="Z3" s="887"/>
      <c r="AA3" s="887"/>
      <c r="AB3" s="887"/>
      <c r="AC3" s="887"/>
    </row>
    <row r="4" spans="1:29" ht="16.5" customHeight="1">
      <c r="A4" s="1295"/>
      <c r="B4" s="1296"/>
      <c r="C4" s="1296"/>
      <c r="D4" s="1296"/>
      <c r="E4" s="1296"/>
      <c r="F4" s="1296"/>
      <c r="G4" s="1296"/>
      <c r="H4" s="1296"/>
      <c r="I4" s="1296"/>
      <c r="J4" s="1296"/>
      <c r="K4" s="1296"/>
      <c r="L4" s="1296"/>
      <c r="M4" s="1297"/>
      <c r="N4" s="887"/>
      <c r="O4" s="887"/>
      <c r="P4" s="887"/>
      <c r="Q4" s="887"/>
      <c r="R4" s="887"/>
      <c r="S4" s="887"/>
      <c r="T4" s="887"/>
      <c r="U4" s="887"/>
      <c r="V4" s="887"/>
      <c r="W4" s="887"/>
      <c r="X4" s="887"/>
      <c r="Y4" s="887"/>
      <c r="Z4" s="887"/>
      <c r="AA4" s="887"/>
      <c r="AB4" s="887"/>
      <c r="AC4" s="887"/>
    </row>
    <row r="5" spans="1:29" ht="16.5" customHeight="1">
      <c r="A5" s="1295"/>
      <c r="B5" s="1296"/>
      <c r="C5" s="1296"/>
      <c r="D5" s="1296"/>
      <c r="E5" s="1296"/>
      <c r="F5" s="1296"/>
      <c r="G5" s="1296"/>
      <c r="H5" s="1296"/>
      <c r="I5" s="1296"/>
      <c r="J5" s="1296"/>
      <c r="K5" s="1296"/>
      <c r="L5" s="1296"/>
      <c r="M5" s="1297"/>
      <c r="N5" s="887"/>
      <c r="O5" s="887"/>
      <c r="P5" s="887"/>
      <c r="Q5" s="887"/>
      <c r="R5" s="887"/>
      <c r="S5" s="887"/>
      <c r="T5" s="887"/>
      <c r="U5" s="887"/>
      <c r="V5" s="887"/>
      <c r="W5" s="887"/>
      <c r="X5" s="887"/>
      <c r="Y5" s="887"/>
      <c r="Z5" s="887"/>
      <c r="AA5" s="887"/>
      <c r="AB5" s="887"/>
      <c r="AC5" s="887"/>
    </row>
    <row r="6" spans="1:29" ht="16.5" customHeight="1">
      <c r="A6" s="1295"/>
      <c r="B6" s="1296"/>
      <c r="C6" s="1296"/>
      <c r="D6" s="1296"/>
      <c r="E6" s="1296"/>
      <c r="F6" s="1296"/>
      <c r="G6" s="1296"/>
      <c r="H6" s="1296"/>
      <c r="I6" s="1296"/>
      <c r="J6" s="1296"/>
      <c r="K6" s="1296"/>
      <c r="L6" s="1296"/>
      <c r="M6" s="1297"/>
      <c r="N6" s="887"/>
      <c r="O6" s="887"/>
      <c r="P6" s="887"/>
      <c r="Q6" s="887"/>
      <c r="R6" s="887"/>
      <c r="S6" s="887"/>
      <c r="T6" s="887"/>
      <c r="U6" s="887"/>
      <c r="V6" s="887"/>
      <c r="W6" s="887"/>
      <c r="X6" s="887"/>
      <c r="Y6" s="887"/>
      <c r="Z6" s="887"/>
      <c r="AA6" s="887"/>
      <c r="AB6" s="887"/>
      <c r="AC6" s="887"/>
    </row>
    <row r="7" spans="1:29" ht="16.5" customHeight="1">
      <c r="A7" s="1295"/>
      <c r="B7" s="1296"/>
      <c r="C7" s="1296"/>
      <c r="D7" s="1296"/>
      <c r="E7" s="1296"/>
      <c r="F7" s="1296"/>
      <c r="G7" s="1296"/>
      <c r="H7" s="1296"/>
      <c r="I7" s="1296"/>
      <c r="J7" s="1296"/>
      <c r="K7" s="1296"/>
      <c r="L7" s="1296"/>
      <c r="M7" s="1297"/>
      <c r="N7" s="887"/>
      <c r="O7" s="887"/>
      <c r="P7" s="887"/>
      <c r="Q7" s="887"/>
      <c r="R7" s="887"/>
      <c r="S7" s="887"/>
      <c r="T7" s="887"/>
      <c r="U7" s="887"/>
      <c r="V7" s="887"/>
      <c r="W7" s="887"/>
      <c r="X7" s="887"/>
      <c r="Y7" s="887"/>
      <c r="Z7" s="887"/>
      <c r="AA7" s="887"/>
      <c r="AB7" s="887"/>
      <c r="AC7" s="887"/>
    </row>
    <row r="8" spans="1:29" ht="6" customHeight="1">
      <c r="A8" s="1295"/>
      <c r="B8" s="1296"/>
      <c r="C8" s="1296"/>
      <c r="D8" s="1296"/>
      <c r="E8" s="1296"/>
      <c r="F8" s="1296"/>
      <c r="G8" s="1296"/>
      <c r="H8" s="1296"/>
      <c r="I8" s="1296"/>
      <c r="J8" s="1296"/>
      <c r="K8" s="1296"/>
      <c r="L8" s="1296"/>
      <c r="M8" s="1297"/>
      <c r="N8" s="887"/>
      <c r="O8" s="887"/>
      <c r="P8" s="887"/>
      <c r="Q8" s="887"/>
      <c r="R8" s="887"/>
      <c r="S8" s="887"/>
      <c r="T8" s="887"/>
      <c r="U8" s="887"/>
      <c r="V8" s="887"/>
      <c r="W8" s="887"/>
      <c r="X8" s="887"/>
      <c r="Y8" s="887"/>
      <c r="Z8" s="887"/>
      <c r="AA8" s="887"/>
      <c r="AB8" s="887"/>
      <c r="AC8" s="887"/>
    </row>
    <row r="9" spans="1:29" ht="23.25" customHeight="1">
      <c r="A9" s="500"/>
      <c r="B9" s="529"/>
      <c r="C9" s="529"/>
      <c r="D9" s="529"/>
      <c r="E9" s="529"/>
      <c r="F9" s="529"/>
      <c r="G9" s="529"/>
      <c r="H9" s="529"/>
      <c r="I9" s="529"/>
      <c r="J9" s="529"/>
      <c r="K9" s="529"/>
      <c r="L9" s="529"/>
      <c r="M9" s="501"/>
      <c r="N9" s="887"/>
      <c r="O9" s="887"/>
      <c r="P9" s="887"/>
      <c r="Q9" s="887"/>
      <c r="R9" s="887"/>
      <c r="S9" s="887"/>
      <c r="T9" s="887"/>
      <c r="U9" s="887"/>
      <c r="V9" s="887"/>
      <c r="W9" s="887"/>
      <c r="X9" s="887"/>
      <c r="Y9" s="887"/>
      <c r="Z9" s="887"/>
      <c r="AA9" s="887"/>
      <c r="AB9" s="887"/>
      <c r="AC9" s="887"/>
    </row>
    <row r="10" spans="1:29" ht="23.25" customHeight="1">
      <c r="A10" s="524"/>
      <c r="B10" s="524"/>
      <c r="C10" s="530" t="s">
        <v>213</v>
      </c>
      <c r="D10" s="1309"/>
      <c r="E10" s="1309"/>
      <c r="F10" s="531" t="s">
        <v>214</v>
      </c>
      <c r="G10" s="532">
        <f ca="1">TODAY()</f>
        <v>46122</v>
      </c>
      <c r="H10" s="532"/>
      <c r="I10" s="533" t="s">
        <v>215</v>
      </c>
      <c r="J10" s="534" t="str">
        <f>"Q-"&amp; VLOOKUP(D24,'Sales People'!B5:E20,2,FALSE)&amp; "- " &amp; F13&amp;"kW "&amp;IF(D44="Included","+ "&amp;G44&amp;" kWh ","")&amp;D10</f>
        <v xml:space="preserve">Q-JV- 100kW </v>
      </c>
      <c r="K10" s="529"/>
      <c r="M10" s="501"/>
      <c r="N10" s="887"/>
      <c r="O10" s="887"/>
      <c r="P10" s="887"/>
      <c r="Q10" s="887"/>
      <c r="R10" s="887"/>
      <c r="S10" s="887"/>
      <c r="T10" s="887"/>
      <c r="U10" s="887"/>
      <c r="V10" s="887"/>
      <c r="W10" s="887"/>
      <c r="X10" s="887"/>
      <c r="Y10" s="887"/>
      <c r="Z10" s="887"/>
      <c r="AA10" s="887"/>
      <c r="AB10" s="887"/>
      <c r="AC10" s="887"/>
    </row>
    <row r="11" spans="1:29" ht="17.25" customHeight="1" thickBot="1">
      <c r="A11" s="524"/>
      <c r="B11" s="524"/>
      <c r="C11" s="524"/>
      <c r="D11" s="526"/>
      <c r="E11" s="526"/>
      <c r="F11" s="526"/>
      <c r="G11" s="526"/>
      <c r="H11" s="526"/>
      <c r="I11" s="526"/>
      <c r="J11" s="526"/>
      <c r="K11" s="1152" t="s">
        <v>216</v>
      </c>
      <c r="L11" s="1153"/>
      <c r="M11" s="501"/>
      <c r="N11" s="887"/>
      <c r="O11" s="887"/>
      <c r="P11" s="887"/>
      <c r="Q11" s="887"/>
      <c r="R11" s="887"/>
      <c r="S11" s="887"/>
      <c r="T11" s="887"/>
      <c r="U11" s="887"/>
      <c r="V11" s="887"/>
      <c r="W11" s="887"/>
      <c r="X11" s="887"/>
      <c r="Y11" s="887"/>
      <c r="Z11" s="887"/>
      <c r="AA11" s="887"/>
      <c r="AB11" s="887"/>
      <c r="AC11" s="887"/>
    </row>
    <row r="12" spans="1:29" s="888" customFormat="1" ht="17.25" customHeight="1" thickBot="1">
      <c r="A12" s="502"/>
      <c r="B12" s="524"/>
      <c r="C12" s="1307" t="s">
        <v>217</v>
      </c>
      <c r="D12" s="1308"/>
      <c r="E12" s="1304" t="s">
        <v>218</v>
      </c>
      <c r="F12" s="1305"/>
      <c r="G12" s="1304" t="s">
        <v>219</v>
      </c>
      <c r="H12" s="1306"/>
      <c r="I12" s="1306"/>
      <c r="J12" s="1305"/>
      <c r="K12" s="1304" t="s">
        <v>220</v>
      </c>
      <c r="L12" s="1305"/>
      <c r="M12" s="503"/>
      <c r="N12" s="1313" t="s">
        <v>221</v>
      </c>
      <c r="O12" s="1314"/>
      <c r="P12" s="49"/>
      <c r="Q12" s="887"/>
      <c r="R12" s="887"/>
      <c r="S12" s="887"/>
      <c r="T12" s="887"/>
      <c r="U12" s="887"/>
      <c r="V12" s="887"/>
      <c r="W12" s="887"/>
      <c r="X12" s="887"/>
      <c r="Y12" s="887"/>
      <c r="Z12" s="887"/>
      <c r="AA12" s="887"/>
      <c r="AB12" s="49"/>
      <c r="AC12" s="49"/>
    </row>
    <row r="13" spans="1:29" s="888" customFormat="1" ht="25.35" customHeight="1">
      <c r="A13" s="502"/>
      <c r="B13" s="524"/>
      <c r="C13" s="139" t="s">
        <v>222</v>
      </c>
      <c r="D13" s="443"/>
      <c r="E13" s="1154" t="s">
        <v>223</v>
      </c>
      <c r="F13" s="1155">
        <v>100</v>
      </c>
      <c r="G13" s="56"/>
      <c r="H13" s="53"/>
      <c r="I13" s="46"/>
      <c r="J13" s="54"/>
      <c r="K13" s="948" t="s">
        <v>224</v>
      </c>
      <c r="L13" s="1147">
        <f>K124</f>
        <v>115389.75728813134</v>
      </c>
      <c r="M13" s="504"/>
      <c r="N13" s="498" t="s">
        <v>225</v>
      </c>
      <c r="O13" s="496">
        <f>J16</f>
        <v>1.2414521073430871</v>
      </c>
      <c r="P13" s="49"/>
      <c r="Q13" s="887"/>
      <c r="R13" s="887"/>
      <c r="S13" s="887"/>
      <c r="T13" s="887"/>
      <c r="U13" s="887"/>
      <c r="V13" s="887"/>
      <c r="W13" s="887"/>
      <c r="X13" s="887"/>
      <c r="Y13" s="887"/>
      <c r="Z13" s="887"/>
      <c r="AA13" s="887"/>
      <c r="AB13" s="49"/>
      <c r="AC13" s="49"/>
    </row>
    <row r="14" spans="1:29" ht="17.399999999999999">
      <c r="A14" s="500"/>
      <c r="B14" s="524"/>
      <c r="C14" s="139" t="s">
        <v>226</v>
      </c>
      <c r="D14" s="443"/>
      <c r="E14" s="1156" t="s">
        <v>227</v>
      </c>
      <c r="F14" s="1157"/>
      <c r="G14" s="103"/>
      <c r="H14" s="53"/>
      <c r="I14" s="535" t="s">
        <v>228</v>
      </c>
      <c r="J14" s="138">
        <f>I124</f>
        <v>92204.692941155547</v>
      </c>
      <c r="K14" s="949" t="s">
        <v>229</v>
      </c>
      <c r="L14" s="137">
        <f>L13*0.1</f>
        <v>11538.975728813135</v>
      </c>
      <c r="M14" s="505" t="s">
        <v>230</v>
      </c>
      <c r="N14" s="498" t="s">
        <v>231</v>
      </c>
      <c r="O14" s="496">
        <f>I133</f>
        <v>1.2414521073430871</v>
      </c>
      <c r="P14" s="49"/>
      <c r="Q14" s="887"/>
      <c r="R14" s="887"/>
      <c r="S14" s="887"/>
      <c r="T14" s="887"/>
      <c r="U14" s="887"/>
      <c r="V14" s="887"/>
      <c r="W14" s="887"/>
      <c r="X14" s="887"/>
      <c r="Y14" s="887"/>
      <c r="Z14" s="887"/>
      <c r="AA14" s="887"/>
    </row>
    <row r="15" spans="1:29" ht="18" thickBot="1">
      <c r="A15" s="500"/>
      <c r="B15" s="524"/>
      <c r="C15" s="139" t="s">
        <v>232</v>
      </c>
      <c r="D15" s="443"/>
      <c r="E15" s="139" t="s">
        <v>233</v>
      </c>
      <c r="F15" s="443"/>
      <c r="G15" s="103"/>
      <c r="H15" s="53"/>
      <c r="I15" s="535" t="s">
        <v>234</v>
      </c>
      <c r="J15" s="138">
        <f>J124</f>
        <v>0.92204692941155542</v>
      </c>
      <c r="K15" s="950" t="s">
        <v>235</v>
      </c>
      <c r="L15" s="1149">
        <f>SUM(L13:L14)</f>
        <v>126928.73301694448</v>
      </c>
      <c r="M15" s="506">
        <f>L26/F13/1000</f>
        <v>0.89684557288131339</v>
      </c>
      <c r="N15" s="498" t="s">
        <v>236</v>
      </c>
      <c r="O15" s="496">
        <f>I134</f>
        <v>1.2131720747129613</v>
      </c>
      <c r="P15" s="49"/>
      <c r="Q15" s="887"/>
      <c r="R15" s="887"/>
      <c r="S15" s="887"/>
      <c r="T15" s="887"/>
      <c r="U15" s="887"/>
      <c r="V15" s="887"/>
      <c r="W15" s="887"/>
      <c r="X15" s="887"/>
      <c r="Y15" s="887"/>
      <c r="Z15" s="887"/>
      <c r="AA15" s="887"/>
    </row>
    <row r="16" spans="1:29" ht="18" thickBot="1">
      <c r="A16" s="500"/>
      <c r="B16" s="524"/>
      <c r="C16" s="139" t="s">
        <v>237</v>
      </c>
      <c r="D16" s="576"/>
      <c r="E16" s="139" t="s">
        <v>238</v>
      </c>
      <c r="F16" s="443"/>
      <c r="G16" s="609"/>
      <c r="H16" s="607"/>
      <c r="I16" s="611" t="s">
        <v>239</v>
      </c>
      <c r="J16" s="610">
        <f>O14</f>
        <v>1.2414521073430871</v>
      </c>
      <c r="K16" s="1304" t="s">
        <v>240</v>
      </c>
      <c r="L16" s="1305"/>
      <c r="M16" s="504"/>
      <c r="N16" s="499" t="s">
        <v>241</v>
      </c>
      <c r="O16" s="496">
        <f>I135</f>
        <v>1.1848920420828355</v>
      </c>
      <c r="P16" s="49"/>
      <c r="Q16" s="887"/>
      <c r="R16" s="887"/>
      <c r="S16" s="887"/>
      <c r="T16" s="887"/>
      <c r="U16" s="887"/>
      <c r="V16" s="887"/>
      <c r="W16" s="887"/>
      <c r="X16" s="887"/>
      <c r="Y16" s="887"/>
      <c r="Z16" s="887"/>
      <c r="AA16" s="887"/>
    </row>
    <row r="17" spans="1:31" ht="18" thickBot="1">
      <c r="A17" s="500"/>
      <c r="B17" s="524"/>
      <c r="C17" s="139" t="s">
        <v>242</v>
      </c>
      <c r="D17" s="854"/>
      <c r="E17" s="139" t="s">
        <v>243</v>
      </c>
      <c r="F17" s="443">
        <v>2000</v>
      </c>
      <c r="G17" s="608" t="s">
        <v>244</v>
      </c>
      <c r="H17" s="492"/>
      <c r="I17" s="612">
        <v>0.01</v>
      </c>
      <c r="J17" s="613">
        <f>I17*SUM(I31:I117)</f>
        <v>922.04692941155554</v>
      </c>
      <c r="K17" s="1144" t="s">
        <v>245</v>
      </c>
      <c r="L17" s="1141">
        <f>IF(F13&gt;100,IF(F19="Yes",MIN(100,100-F22),0),MIN(100-F22,F13))</f>
        <v>100</v>
      </c>
      <c r="M17" s="504"/>
      <c r="N17" s="497"/>
      <c r="O17" s="49"/>
      <c r="P17" s="49"/>
      <c r="Q17" s="887"/>
      <c r="R17" s="887"/>
      <c r="S17" s="887"/>
      <c r="T17" s="887"/>
      <c r="U17" s="887"/>
      <c r="V17" s="887"/>
      <c r="W17" s="887"/>
      <c r="X17" s="887"/>
      <c r="Y17" s="887"/>
      <c r="Z17" s="887"/>
      <c r="AA17" s="887"/>
    </row>
    <row r="18" spans="1:31" ht="17.399999999999999">
      <c r="A18" s="500"/>
      <c r="B18" s="524"/>
      <c r="C18" s="139" t="s">
        <v>246</v>
      </c>
      <c r="D18" s="443"/>
      <c r="E18" s="891" t="s">
        <v>247</v>
      </c>
      <c r="F18" s="1158" t="s">
        <v>248</v>
      </c>
      <c r="G18" s="103"/>
      <c r="H18" s="53"/>
      <c r="I18" s="535" t="s">
        <v>249</v>
      </c>
      <c r="J18" s="138">
        <f>K124</f>
        <v>115389.75728813134</v>
      </c>
      <c r="K18" s="1145" t="s">
        <v>250</v>
      </c>
      <c r="L18" s="1142">
        <f>2031-F20</f>
        <v>5</v>
      </c>
      <c r="M18" s="504"/>
      <c r="N18" s="1311" t="s">
        <v>251</v>
      </c>
      <c r="O18" s="1312"/>
      <c r="P18" s="49"/>
      <c r="Q18" s="887"/>
      <c r="R18" s="887"/>
      <c r="S18" s="887"/>
      <c r="T18" s="887"/>
      <c r="U18" s="887"/>
      <c r="V18" s="887"/>
      <c r="W18" s="887"/>
      <c r="X18" s="887"/>
      <c r="Y18" s="887"/>
      <c r="Z18" s="887"/>
      <c r="AA18" s="887"/>
    </row>
    <row r="19" spans="1:31" ht="17.399999999999999">
      <c r="A19" s="500"/>
      <c r="B19" s="524"/>
      <c r="C19" s="139" t="s">
        <v>252</v>
      </c>
      <c r="D19" s="443"/>
      <c r="E19" s="139" t="s">
        <v>253</v>
      </c>
      <c r="F19" s="593" t="s">
        <v>143</v>
      </c>
      <c r="G19" s="103"/>
      <c r="H19" s="53"/>
      <c r="I19" s="535" t="s">
        <v>254</v>
      </c>
      <c r="J19" s="514">
        <f>L124</f>
        <v>1.1538975728813139</v>
      </c>
      <c r="K19" s="1143" t="s">
        <v>255</v>
      </c>
      <c r="L19" s="1146">
        <f>Rebates!B13</f>
        <v>25705.200000000001</v>
      </c>
      <c r="M19" s="504"/>
      <c r="N19" s="499" t="s">
        <v>256</v>
      </c>
      <c r="O19" s="571">
        <f ca="1">TODAY()</f>
        <v>46122</v>
      </c>
      <c r="P19" s="49"/>
      <c r="Q19" s="49"/>
      <c r="S19" s="887"/>
      <c r="T19" s="887"/>
      <c r="U19" s="887"/>
      <c r="V19" s="887"/>
      <c r="W19" s="887"/>
      <c r="X19" s="887"/>
      <c r="Y19" s="887"/>
      <c r="Z19" s="887"/>
      <c r="AA19" s="887"/>
    </row>
    <row r="20" spans="1:31" ht="17.399999999999999">
      <c r="A20" s="500"/>
      <c r="B20" s="524"/>
      <c r="C20" s="139" t="s">
        <v>238</v>
      </c>
      <c r="D20" s="443"/>
      <c r="E20" s="1310" t="s">
        <v>257</v>
      </c>
      <c r="F20" s="1023">
        <v>2026</v>
      </c>
      <c r="G20" s="103"/>
      <c r="H20" s="53"/>
      <c r="I20" s="535" t="s">
        <v>258</v>
      </c>
      <c r="J20" s="138">
        <f>(J18-J14)</f>
        <v>23185.064346975792</v>
      </c>
      <c r="K20" s="1150" t="str">
        <f>IF(Rebates!B22="","VEEC Spot Price (Ex. GST)","Not Eligible for VEEC's - "&amp;Rebates!B22)</f>
        <v>Not Eligible for VEEC's - Not in VIC</v>
      </c>
      <c r="L20" s="137">
        <v>78.25</v>
      </c>
      <c r="M20" s="594"/>
      <c r="N20" s="499" t="s">
        <v>259</v>
      </c>
      <c r="O20" s="570">
        <v>44834</v>
      </c>
      <c r="P20" s="49"/>
      <c r="Q20" s="49"/>
      <c r="S20" s="887"/>
      <c r="T20" s="887"/>
      <c r="U20" s="887"/>
      <c r="V20" s="887"/>
      <c r="W20" s="887"/>
      <c r="X20" s="887"/>
      <c r="Y20" s="887"/>
      <c r="Z20" s="887"/>
      <c r="AA20" s="887"/>
    </row>
    <row r="21" spans="1:31" ht="17.25" customHeight="1">
      <c r="A21" s="500"/>
      <c r="B21" s="524"/>
      <c r="C21" s="139" t="s">
        <v>243</v>
      </c>
      <c r="D21" s="443"/>
      <c r="E21" s="1310"/>
      <c r="F21" s="1023" t="s">
        <v>260</v>
      </c>
      <c r="G21" s="103"/>
      <c r="H21" s="53"/>
      <c r="I21" s="537" t="s">
        <v>261</v>
      </c>
      <c r="J21" s="513">
        <f>J20/J18</f>
        <v>0.20092827034103261</v>
      </c>
      <c r="K21" s="1145" t="s">
        <v>262</v>
      </c>
      <c r="L21" s="137">
        <v>12.5</v>
      </c>
      <c r="M21" s="594"/>
      <c r="N21" s="499" t="s">
        <v>263</v>
      </c>
      <c r="O21" s="473">
        <f ca="1">O20-O19</f>
        <v>-1288</v>
      </c>
      <c r="P21" s="49"/>
      <c r="Q21" s="49"/>
      <c r="S21" s="887"/>
      <c r="T21" s="887"/>
      <c r="U21" s="887"/>
      <c r="V21" s="887"/>
      <c r="W21" s="887"/>
      <c r="X21" s="887"/>
      <c r="Y21" s="887"/>
      <c r="Z21" s="887"/>
      <c r="AA21" s="887"/>
    </row>
    <row r="22" spans="1:31" ht="17.399999999999999">
      <c r="A22" s="500"/>
      <c r="B22" s="524"/>
      <c r="C22" s="139" t="s">
        <v>264</v>
      </c>
      <c r="D22" s="443"/>
      <c r="E22" s="1266" t="s">
        <v>265</v>
      </c>
      <c r="F22" s="1140">
        <v>0</v>
      </c>
      <c r="G22" s="208">
        <v>0.25</v>
      </c>
      <c r="H22" s="53"/>
      <c r="I22" s="538" t="s">
        <v>266</v>
      </c>
      <c r="J22" s="210">
        <f>L26*G22</f>
        <v>22421.139322032835</v>
      </c>
      <c r="K22" s="1143" t="s">
        <v>267</v>
      </c>
      <c r="L22" s="1146">
        <f>Rebates!B30</f>
        <v>0</v>
      </c>
      <c r="M22" s="504"/>
      <c r="N22" s="499" t="s">
        <v>268</v>
      </c>
      <c r="O22" s="468">
        <f ca="1">(O26-I129)*(1.05^(O21/91))+I129</f>
        <v>61839.529685186964</v>
      </c>
      <c r="P22" s="49"/>
      <c r="Q22" s="49"/>
      <c r="S22" s="887"/>
      <c r="T22" s="887"/>
      <c r="U22" s="887"/>
      <c r="V22" s="887"/>
      <c r="W22" s="887"/>
      <c r="X22" s="887"/>
      <c r="Y22" s="887"/>
      <c r="Z22" s="887"/>
      <c r="AA22" s="887"/>
    </row>
    <row r="23" spans="1:31" ht="17.399999999999999">
      <c r="A23" s="500"/>
      <c r="B23" s="524"/>
      <c r="C23" s="102"/>
      <c r="D23" s="134"/>
      <c r="E23" s="1266"/>
      <c r="F23" s="890">
        <f>F22/1.25</f>
        <v>0</v>
      </c>
      <c r="G23" s="208">
        <v>0.1</v>
      </c>
      <c r="H23" s="53"/>
      <c r="I23" s="538" t="s">
        <v>269</v>
      </c>
      <c r="J23" s="210">
        <f>L26*G23</f>
        <v>8968.4557288131346</v>
      </c>
      <c r="K23" s="1151" t="str">
        <f>IF(D44="Not Included","BESS Not Included","Battery Rebate Discount (Ex. GST)")</f>
        <v>BESS Not Included</v>
      </c>
      <c r="L23" s="1148">
        <f>IF(D44="Included",BESS!H39,0)</f>
        <v>0</v>
      </c>
      <c r="M23" s="501"/>
      <c r="N23" s="499" t="s">
        <v>270</v>
      </c>
      <c r="O23" s="525">
        <f ca="1">O22/O26-1</f>
        <v>-0.46408129162823364</v>
      </c>
      <c r="P23" s="49"/>
      <c r="Q23" s="49"/>
      <c r="S23" s="887"/>
      <c r="T23" s="887"/>
      <c r="U23" s="887"/>
      <c r="V23" s="887"/>
      <c r="W23" s="887"/>
      <c r="X23" s="887"/>
      <c r="Y23" s="887"/>
      <c r="Z23" s="887"/>
      <c r="AA23" s="887"/>
    </row>
    <row r="24" spans="1:31" ht="18" thickBot="1">
      <c r="A24" s="500"/>
      <c r="B24" s="524"/>
      <c r="C24" s="104" t="s">
        <v>271</v>
      </c>
      <c r="D24" s="105" t="s">
        <v>272</v>
      </c>
      <c r="E24" s="891" t="s">
        <v>273</v>
      </c>
      <c r="F24" s="892" t="s">
        <v>143</v>
      </c>
      <c r="G24" s="209">
        <v>0.1</v>
      </c>
      <c r="H24" s="53"/>
      <c r="I24" s="538" t="s">
        <v>274</v>
      </c>
      <c r="J24" s="211">
        <f>L26*G24</f>
        <v>8968.4557288131346</v>
      </c>
      <c r="K24" s="950" t="s">
        <v>275</v>
      </c>
      <c r="L24" s="1149">
        <f>-1*(L23+L22+L19)</f>
        <v>-25705.200000000001</v>
      </c>
      <c r="M24" s="501"/>
      <c r="N24" s="497"/>
      <c r="O24" s="49"/>
      <c r="P24" s="49"/>
      <c r="Q24" s="49"/>
      <c r="S24" s="887"/>
      <c r="T24" s="887"/>
      <c r="U24" s="887"/>
      <c r="V24" s="887"/>
      <c r="W24" s="887"/>
      <c r="X24" s="887"/>
      <c r="Y24" s="887"/>
      <c r="Z24" s="887"/>
      <c r="AA24" s="887"/>
    </row>
    <row r="25" spans="1:31" ht="17.25" customHeight="1" thickBot="1">
      <c r="A25" s="500"/>
      <c r="B25" s="524"/>
      <c r="C25" s="104" t="s">
        <v>232</v>
      </c>
      <c r="D25" s="106" t="str">
        <f>VLOOKUP(D24,'Sales People'!B5:E20,4,FALSE)</f>
        <v>0431 294 241</v>
      </c>
      <c r="E25" s="1266"/>
      <c r="F25" s="1283"/>
      <c r="G25" s="656">
        <v>0.375</v>
      </c>
      <c r="H25" s="53"/>
      <c r="I25" s="538" t="s">
        <v>276</v>
      </c>
      <c r="J25" s="210">
        <f>L26*G25</f>
        <v>33631.708983049255</v>
      </c>
      <c r="K25" s="1304" t="s">
        <v>277</v>
      </c>
      <c r="L25" s="1305"/>
      <c r="M25" s="501"/>
      <c r="N25" s="1311" t="s">
        <v>278</v>
      </c>
      <c r="O25" s="1312"/>
      <c r="P25" s="1312"/>
      <c r="Q25" s="49"/>
      <c r="S25" s="887"/>
      <c r="T25" s="887"/>
      <c r="U25" s="887"/>
      <c r="V25" s="887"/>
      <c r="W25" s="887"/>
      <c r="X25" s="887"/>
      <c r="Y25" s="887"/>
      <c r="Z25" s="887"/>
      <c r="AA25" s="887"/>
    </row>
    <row r="26" spans="1:31" ht="16.5" customHeight="1">
      <c r="A26" s="1267"/>
      <c r="B26" s="524"/>
      <c r="C26" s="104" t="s">
        <v>279</v>
      </c>
      <c r="D26" s="1285" t="str">
        <f>VLOOKUP(D24,'Sales People'!B5:E20,3,FALSE)</f>
        <v>jon@smartcommercialenergy.com.au</v>
      </c>
      <c r="E26" s="1266"/>
      <c r="F26" s="1284"/>
      <c r="G26" s="209">
        <v>0.15</v>
      </c>
      <c r="H26" s="53"/>
      <c r="I26" s="538" t="s">
        <v>280</v>
      </c>
      <c r="J26" s="210">
        <f>L26*G26</f>
        <v>13452.683593219701</v>
      </c>
      <c r="K26" s="536" t="s">
        <v>281</v>
      </c>
      <c r="L26" s="137">
        <f>L13+L24</f>
        <v>89684.557288131342</v>
      </c>
      <c r="M26" s="501"/>
      <c r="N26" s="499" t="s">
        <v>282</v>
      </c>
      <c r="O26" s="467">
        <f>K124</f>
        <v>115389.75728813134</v>
      </c>
      <c r="P26" s="473" t="s">
        <v>283</v>
      </c>
      <c r="Q26" s="49"/>
      <c r="S26" s="887"/>
      <c r="T26" s="887"/>
      <c r="U26" s="887"/>
      <c r="V26" s="887"/>
      <c r="W26" s="887"/>
      <c r="X26" s="887"/>
      <c r="Y26" s="887"/>
      <c r="Z26" s="887"/>
      <c r="AA26" s="887"/>
    </row>
    <row r="27" spans="1:31" ht="16.5" customHeight="1">
      <c r="A27" s="1268"/>
      <c r="B27" s="524"/>
      <c r="C27" s="104"/>
      <c r="D27" s="107"/>
      <c r="E27" s="1319" t="s">
        <v>284</v>
      </c>
      <c r="F27" s="1321" t="s">
        <v>143</v>
      </c>
      <c r="G27" s="655">
        <v>2.5000000000000001E-2</v>
      </c>
      <c r="H27" s="53"/>
      <c r="I27" s="538" t="s">
        <v>285</v>
      </c>
      <c r="J27" s="210">
        <f>L26*G27</f>
        <v>2242.1139322032836</v>
      </c>
      <c r="K27" s="536" t="s">
        <v>229</v>
      </c>
      <c r="L27" s="137">
        <f>L26*0.1</f>
        <v>8968.4557288131346</v>
      </c>
      <c r="M27" s="501"/>
      <c r="N27" s="528" t="s">
        <v>286</v>
      </c>
      <c r="O27" s="527">
        <f>(O26-I129)*1.05+I129</f>
        <v>120758.64267585581</v>
      </c>
      <c r="P27" s="525">
        <f>O27/O$26-1</f>
        <v>4.6528266580180278E-2</v>
      </c>
      <c r="Q27" s="49"/>
      <c r="S27" s="887"/>
      <c r="T27" s="887"/>
      <c r="U27" s="887"/>
      <c r="V27" s="887"/>
      <c r="W27" s="887"/>
      <c r="X27" s="887"/>
      <c r="Y27" s="887"/>
      <c r="Z27" s="887"/>
      <c r="AA27" s="887"/>
    </row>
    <row r="28" spans="1:31" ht="18" thickBot="1">
      <c r="A28" s="1269"/>
      <c r="B28" s="524"/>
      <c r="C28" s="51"/>
      <c r="D28" s="52"/>
      <c r="E28" s="1320"/>
      <c r="F28" s="1322"/>
      <c r="G28" s="242">
        <f>SUM(G22:G27)</f>
        <v>1</v>
      </c>
      <c r="H28" s="492"/>
      <c r="I28" s="490"/>
      <c r="J28" s="136" t="s">
        <v>287</v>
      </c>
      <c r="K28" s="491" t="s">
        <v>288</v>
      </c>
      <c r="L28" s="229">
        <f>L27+L26</f>
        <v>98653.013016944475</v>
      </c>
      <c r="M28" s="501"/>
      <c r="N28" s="528" t="s">
        <v>289</v>
      </c>
      <c r="O28" s="467">
        <f>(O26-I129)*(1.05^2)+I129</f>
        <v>126395.9723329665</v>
      </c>
      <c r="P28" s="525">
        <f>O28/O$26-1</f>
        <v>9.5382946489369402E-2</v>
      </c>
      <c r="Q28" s="49"/>
      <c r="R28" s="887"/>
      <c r="S28" s="887"/>
      <c r="T28" s="887"/>
      <c r="U28" s="887"/>
      <c r="V28" s="887"/>
      <c r="W28" s="887"/>
      <c r="X28" s="887"/>
      <c r="Y28" s="887"/>
      <c r="Z28" s="887"/>
      <c r="AA28" s="887"/>
      <c r="AB28" s="887"/>
    </row>
    <row r="29" spans="1:31" ht="16.2" thickBot="1">
      <c r="A29" s="507"/>
      <c r="B29" s="524"/>
      <c r="C29" s="524"/>
      <c r="D29" s="524"/>
      <c r="E29" s="524"/>
      <c r="F29" s="524"/>
      <c r="G29" s="524"/>
      <c r="H29" s="524"/>
      <c r="J29" s="524"/>
      <c r="K29" s="524"/>
      <c r="L29" s="524"/>
      <c r="M29" s="504"/>
      <c r="N29" s="528" t="s">
        <v>290</v>
      </c>
      <c r="O29" s="467">
        <f>(O26-I129)*(1.05^4)+I129</f>
        <v>138530.32441989722</v>
      </c>
      <c r="P29" s="525">
        <f>O29/O$26-1</f>
        <v>0.20054264499389896</v>
      </c>
      <c r="Q29" s="49"/>
      <c r="R29" s="887"/>
      <c r="S29" s="887"/>
      <c r="T29" s="887"/>
      <c r="U29" s="887"/>
      <c r="V29" s="887"/>
      <c r="W29" s="887"/>
      <c r="X29" s="887"/>
      <c r="Y29" s="887"/>
      <c r="Z29" s="887"/>
      <c r="AA29" s="887"/>
      <c r="AB29" s="887"/>
    </row>
    <row r="30" spans="1:31" s="889" customFormat="1" ht="17.399999999999999">
      <c r="A30" s="508"/>
      <c r="B30" s="1298" t="s">
        <v>291</v>
      </c>
      <c r="C30" s="1299"/>
      <c r="D30" s="864" t="s">
        <v>292</v>
      </c>
      <c r="E30" s="864" t="s">
        <v>293</v>
      </c>
      <c r="F30" s="864" t="s">
        <v>294</v>
      </c>
      <c r="G30" s="864" t="s">
        <v>295</v>
      </c>
      <c r="H30" s="865" t="s">
        <v>296</v>
      </c>
      <c r="I30" s="864" t="s">
        <v>179</v>
      </c>
      <c r="J30" s="864" t="s">
        <v>234</v>
      </c>
      <c r="K30" s="863" t="s">
        <v>297</v>
      </c>
      <c r="L30" s="865" t="s">
        <v>298</v>
      </c>
      <c r="M30" s="509"/>
      <c r="N30" s="497"/>
      <c r="O30" s="49"/>
      <c r="P30" s="49"/>
      <c r="Q30" s="49"/>
      <c r="R30" s="887"/>
      <c r="S30" s="887"/>
      <c r="T30" s="887"/>
      <c r="U30" s="887"/>
      <c r="V30" s="887"/>
      <c r="W30" s="887"/>
      <c r="X30" s="887"/>
      <c r="Y30" s="887"/>
      <c r="Z30" s="887"/>
      <c r="AA30" s="887"/>
      <c r="AB30" s="887"/>
      <c r="AC30" s="49"/>
      <c r="AD30" s="49"/>
      <c r="AE30" s="49"/>
    </row>
    <row r="31" spans="1:31" ht="18" customHeight="1">
      <c r="A31" s="507"/>
      <c r="B31" s="1327" t="s">
        <v>299</v>
      </c>
      <c r="C31" s="47" t="s">
        <v>300</v>
      </c>
      <c r="D31" s="213" t="str">
        <f>F18</f>
        <v>NSW</v>
      </c>
      <c r="E31" s="860" t="str">
        <f>'DNSP Calc'!T13</f>
        <v>Ausgrid</v>
      </c>
      <c r="F31" s="213" t="s">
        <v>85</v>
      </c>
      <c r="G31" s="95"/>
      <c r="H31" s="214" t="s">
        <v>301</v>
      </c>
      <c r="I31" s="125">
        <f>IF(D18="Yes",0,IFERROR(VLOOKUP(TRUE,'1. Prelim'!C8:M67,11,FALSE)*0.9,"Talk To Projects"))</f>
        <v>504.90000000000003</v>
      </c>
      <c r="J31" s="108">
        <f t="shared" ref="J31:J36" si="0">I31/($F$13*1000)</f>
        <v>5.0490000000000005E-3</v>
      </c>
      <c r="K31" s="125">
        <f>I31*$J$16</f>
        <v>626.80916899752469</v>
      </c>
      <c r="L31" s="119">
        <f>J31*$J$16</f>
        <v>6.268091689975247E-3</v>
      </c>
      <c r="M31" s="504"/>
      <c r="N31" s="1328" t="s">
        <v>302</v>
      </c>
      <c r="O31" s="1329"/>
      <c r="P31" s="1330"/>
      <c r="Q31" s="49"/>
      <c r="R31" s="887"/>
      <c r="S31" s="887"/>
      <c r="T31" s="887"/>
      <c r="U31" s="887"/>
      <c r="V31" s="887"/>
      <c r="W31" s="887"/>
      <c r="X31" s="887"/>
      <c r="Y31" s="887"/>
      <c r="Z31" s="887"/>
      <c r="AA31" s="887"/>
      <c r="AB31" s="887"/>
    </row>
    <row r="32" spans="1:31" ht="17.25" customHeight="1">
      <c r="A32" s="507"/>
      <c r="B32" s="1300"/>
      <c r="C32" s="539" t="s">
        <v>303</v>
      </c>
      <c r="D32" s="540" t="s">
        <v>304</v>
      </c>
      <c r="E32" s="541" t="str">
        <f>IF(OR(F18="WA",F18="ACT",D41="Ground Mounted"),IF(F18="WA","WA Building Permits","ACT/Ground Mount Check"),"")</f>
        <v/>
      </c>
      <c r="F32" s="213" t="s">
        <v>85</v>
      </c>
      <c r="G32" s="539"/>
      <c r="H32" s="215" t="s">
        <v>305</v>
      </c>
      <c r="I32" s="121">
        <f>VLOOKUP(D32,'1. Prelim'!P10:Q12,2,FALSE)+IF(E32="WA Building Permits",1500+0.002*1100*F13+1550)</f>
        <v>0</v>
      </c>
      <c r="J32" s="542">
        <f t="shared" si="0"/>
        <v>0</v>
      </c>
      <c r="K32" s="121">
        <f t="shared" ref="K32:L36" si="1">I32*$J$16</f>
        <v>0</v>
      </c>
      <c r="L32" s="118">
        <f t="shared" si="1"/>
        <v>0</v>
      </c>
      <c r="M32" s="504"/>
      <c r="N32" s="1331" t="str">
        <f>E31&amp;": "&amp;VLOOKUP(TRUE,'1. Prelim'!C8:N67,4,FALSE)&amp;" kVA - "&amp;VLOOKUP(TRUE,'1. Prelim'!C8:N67,5,FALSE)&amp;" kVA"</f>
        <v>Ausgrid: 30.01 kVA - 200 kVA</v>
      </c>
      <c r="O32" s="1332"/>
      <c r="P32" s="1332"/>
      <c r="Q32" s="49"/>
      <c r="R32" s="887"/>
      <c r="S32" s="887"/>
      <c r="T32" s="887"/>
      <c r="U32" s="887"/>
      <c r="V32" s="887"/>
      <c r="W32" s="887"/>
      <c r="X32" s="887"/>
      <c r="Y32" s="887"/>
      <c r="Z32" s="887"/>
      <c r="AA32" s="887"/>
      <c r="AB32" s="887"/>
    </row>
    <row r="33" spans="1:28" ht="17.25" customHeight="1">
      <c r="A33" s="507"/>
      <c r="B33" s="1300"/>
      <c r="C33" s="47" t="s">
        <v>306</v>
      </c>
      <c r="D33" s="540" t="s">
        <v>307</v>
      </c>
      <c r="E33" s="43"/>
      <c r="F33" s="213" t="s">
        <v>85</v>
      </c>
      <c r="G33" s="595">
        <v>1</v>
      </c>
      <c r="H33" s="151" t="s">
        <v>308</v>
      </c>
      <c r="I33" s="113">
        <f>IF(F13&gt;10,VLOOKUP(D33,'1. Prelim'!P17:Q20,2,FALSE),0)</f>
        <v>1800</v>
      </c>
      <c r="J33" s="108">
        <f t="shared" si="0"/>
        <v>1.7999999999999999E-2</v>
      </c>
      <c r="K33" s="113">
        <f t="shared" si="1"/>
        <v>2234.6137932175566</v>
      </c>
      <c r="L33" s="119">
        <f t="shared" si="1"/>
        <v>2.2346137932175564E-2</v>
      </c>
      <c r="M33" s="504"/>
      <c r="N33" s="1315" t="str">
        <f>VLOOKUP(TRUE,'1. Prelim'!C8:N67,12,FALSE)</f>
        <v>if complex or utilising power sharing devices like allume, GPU may still be required. AFC + $514.</v>
      </c>
      <c r="O33" s="1315"/>
      <c r="P33" s="1315"/>
      <c r="Q33" s="49"/>
      <c r="R33" s="887"/>
      <c r="S33" s="887"/>
      <c r="T33" s="887"/>
      <c r="U33" s="887"/>
      <c r="V33" s="887"/>
      <c r="W33" s="887"/>
      <c r="X33" s="887"/>
      <c r="Y33" s="887"/>
      <c r="Z33" s="887"/>
      <c r="AA33" s="887"/>
      <c r="AB33" s="887"/>
    </row>
    <row r="34" spans="1:28" ht="18" customHeight="1">
      <c r="A34" s="507"/>
      <c r="B34" s="1300"/>
      <c r="C34" s="539" t="s">
        <v>309</v>
      </c>
      <c r="D34" s="861" t="str">
        <f>E31</f>
        <v>Ausgrid</v>
      </c>
      <c r="E34" s="541" t="str">
        <f>IF(F18="QLD", "RPEQ Required","")</f>
        <v/>
      </c>
      <c r="F34" s="213" t="s">
        <v>85</v>
      </c>
      <c r="G34" s="539"/>
      <c r="H34" s="215" t="s">
        <v>301</v>
      </c>
      <c r="I34" s="121">
        <f>VLOOKUP(D34,'1. Prelim'!S10:V25,4,FALSE)</f>
        <v>0</v>
      </c>
      <c r="J34" s="542">
        <f t="shared" si="0"/>
        <v>0</v>
      </c>
      <c r="K34" s="121">
        <f t="shared" si="1"/>
        <v>0</v>
      </c>
      <c r="L34" s="118">
        <f t="shared" si="1"/>
        <v>0</v>
      </c>
      <c r="M34" s="504"/>
      <c r="N34" s="1315"/>
      <c r="O34" s="1315"/>
      <c r="P34" s="1315"/>
      <c r="Q34" s="49"/>
      <c r="R34" s="887"/>
      <c r="S34" s="887"/>
      <c r="T34" s="887"/>
      <c r="U34" s="887"/>
      <c r="V34" s="887"/>
      <c r="W34" s="887"/>
      <c r="X34" s="887"/>
      <c r="Y34" s="887"/>
      <c r="Z34" s="887"/>
      <c r="AA34" s="887"/>
      <c r="AB34" s="887"/>
    </row>
    <row r="35" spans="1:28" ht="18" customHeight="1">
      <c r="A35" s="507"/>
      <c r="B35" s="1300"/>
      <c r="C35" s="47" t="s">
        <v>310</v>
      </c>
      <c r="D35" s="862" t="str" cm="1">
        <f t="array" ref="D35">IF(
OR(F18="WA",F18="Western Australia",F18="VIC",F18="Victoria"),
_xlfn.IFS(OR(F18="WA",F18="Western Australia"),"Included - Oztron WA",OR(F18="VIC",F18="Victoria"),"Included - VIC"),
"Not Required")</f>
        <v>Not Required</v>
      </c>
      <c r="E35" s="43"/>
      <c r="F35" s="213"/>
      <c r="G35" s="47"/>
      <c r="H35" s="151"/>
      <c r="I35" s="113" cm="1">
        <f t="array" ref="I35">_xlfn.IFS(D35="Included - Oztron WA",5000,D35="Included - VIC",600,D35="Not Required",0)</f>
        <v>0</v>
      </c>
      <c r="J35" s="108">
        <f t="shared" si="0"/>
        <v>0</v>
      </c>
      <c r="K35" s="113">
        <f t="shared" si="1"/>
        <v>0</v>
      </c>
      <c r="L35" s="119">
        <f t="shared" si="1"/>
        <v>0</v>
      </c>
      <c r="M35" s="504"/>
      <c r="N35" s="1315"/>
      <c r="O35" s="1315"/>
      <c r="P35" s="1315"/>
      <c r="Q35" s="49"/>
      <c r="R35" s="887"/>
      <c r="S35" s="887"/>
      <c r="T35" s="887"/>
      <c r="U35" s="887"/>
      <c r="V35" s="887"/>
      <c r="W35" s="887"/>
      <c r="X35" s="887"/>
      <c r="Y35" s="887"/>
      <c r="Z35" s="887"/>
      <c r="AA35" s="887"/>
      <c r="AB35" s="887"/>
    </row>
    <row r="36" spans="1:28" ht="18" customHeight="1" thickBot="1">
      <c r="A36" s="507"/>
      <c r="B36" s="1287"/>
      <c r="C36" s="325" t="s">
        <v>311</v>
      </c>
      <c r="D36" s="245" t="s">
        <v>312</v>
      </c>
      <c r="E36" s="141"/>
      <c r="F36" s="216"/>
      <c r="G36" s="325"/>
      <c r="H36" s="153"/>
      <c r="I36" s="289">
        <f>VLOOKUP(D36,'1. Prelim'!P25:Q29,2,FALSE)</f>
        <v>0</v>
      </c>
      <c r="J36" s="326">
        <f t="shared" si="0"/>
        <v>0</v>
      </c>
      <c r="K36" s="289">
        <f t="shared" si="1"/>
        <v>0</v>
      </c>
      <c r="L36" s="120">
        <f t="shared" si="1"/>
        <v>0</v>
      </c>
      <c r="M36" s="504"/>
      <c r="N36" s="1315"/>
      <c r="O36" s="1315"/>
      <c r="P36" s="1315"/>
      <c r="Q36" s="49"/>
      <c r="R36" s="887"/>
      <c r="S36" s="887"/>
      <c r="T36" s="887"/>
      <c r="U36" s="887"/>
      <c r="V36" s="887"/>
      <c r="W36" s="887"/>
      <c r="X36" s="887"/>
      <c r="Y36" s="887"/>
      <c r="Z36" s="887"/>
      <c r="AA36" s="887"/>
      <c r="AB36" s="887"/>
    </row>
    <row r="37" spans="1:28" ht="16.2" thickBot="1">
      <c r="A37" s="507"/>
      <c r="B37" s="543"/>
      <c r="C37" s="544"/>
      <c r="D37" s="545"/>
      <c r="E37" s="545"/>
      <c r="F37" s="544"/>
      <c r="G37" s="544"/>
      <c r="H37" s="546"/>
      <c r="I37" s="547"/>
      <c r="J37" s="548"/>
      <c r="K37" s="547"/>
      <c r="L37" s="548"/>
      <c r="M37" s="504"/>
      <c r="N37" s="1315"/>
      <c r="O37" s="1315"/>
      <c r="P37" s="1315"/>
      <c r="Q37" s="49"/>
      <c r="R37" s="887"/>
      <c r="S37" s="887"/>
      <c r="T37" s="887"/>
      <c r="U37" s="887"/>
      <c r="V37" s="887"/>
      <c r="W37" s="887"/>
      <c r="X37" s="887"/>
      <c r="Y37" s="887"/>
      <c r="Z37" s="887"/>
      <c r="AA37" s="887"/>
      <c r="AB37" s="887"/>
    </row>
    <row r="38" spans="1:28" ht="23.25" customHeight="1">
      <c r="A38" s="507"/>
      <c r="B38" s="1286" t="s">
        <v>313</v>
      </c>
      <c r="C38" s="128" t="s">
        <v>314</v>
      </c>
      <c r="D38" s="217" t="s">
        <v>315</v>
      </c>
      <c r="E38" s="217" t="s">
        <v>316</v>
      </c>
      <c r="F38" s="218">
        <f>ROUNDDOWN(F13*1000/VLOOKUP(E38,'2. PV Components'!D:H,4,FALSE),0)</f>
        <v>200</v>
      </c>
      <c r="G38" s="584"/>
      <c r="H38" s="146" t="s">
        <v>317</v>
      </c>
      <c r="I38" s="109">
        <f>IF(G38="",F38,G38)*VLOOKUP(E38,'2. PV Components'!D:H,4,FALSE)*VLOOKUP(E38,'2. PV Components'!D:H,5,FALSE)</f>
        <v>21921.428571428572</v>
      </c>
      <c r="J38" s="110">
        <f t="shared" ref="J38:J45" si="2">I38/($F$13*1000)</f>
        <v>0.21921428571428572</v>
      </c>
      <c r="K38" s="131">
        <f t="shared" ref="K38:L43" si="3">I38*$J$16</f>
        <v>27214.403695970959</v>
      </c>
      <c r="L38" s="117">
        <f t="shared" si="3"/>
        <v>0.27214403695970962</v>
      </c>
      <c r="M38" s="504"/>
      <c r="N38" s="1315"/>
      <c r="O38" s="1315"/>
      <c r="P38" s="1315"/>
      <c r="Q38" s="49"/>
      <c r="R38" s="887"/>
      <c r="S38" s="887"/>
      <c r="T38" s="887"/>
      <c r="U38" s="887"/>
      <c r="V38" s="887"/>
      <c r="W38" s="887"/>
      <c r="X38" s="887"/>
      <c r="Y38" s="887"/>
      <c r="Z38" s="887"/>
      <c r="AA38" s="887"/>
      <c r="AB38" s="887"/>
    </row>
    <row r="39" spans="1:28" ht="23.25" customHeight="1">
      <c r="A39" s="507"/>
      <c r="B39" s="1300"/>
      <c r="C39" s="549" t="s">
        <v>318</v>
      </c>
      <c r="D39" s="540" t="s">
        <v>319</v>
      </c>
      <c r="E39" s="540" t="s">
        <v>320</v>
      </c>
      <c r="F39" s="213">
        <f>IF(ISNUMBER(LEFT(E39,1)*1),SUM('2. PV Components'!O8:O14),
ROUNDUP(((IF(AND(D45='2.1 BESS Components'!$AC$2,BESS!D35="Yes"),BESS!D37-BESS!D36,F13))*800/VLOOKUP(E39,'2. PV Components'!P6:S957,3,FALSE)),0))</f>
        <v>1</v>
      </c>
      <c r="G39" s="585"/>
      <c r="H39" s="550" t="s">
        <v>321</v>
      </c>
      <c r="I39" s="111">
        <f>VLOOKUP(E39,'2. PV Components'!P6:S957,4,FALSE)*IF(G39="",F39,G39)</f>
        <v>7099</v>
      </c>
      <c r="J39" s="112">
        <f t="shared" si="2"/>
        <v>7.0989999999999998E-2</v>
      </c>
      <c r="K39" s="553">
        <f t="shared" si="3"/>
        <v>8813.0685100285755</v>
      </c>
      <c r="L39" s="118">
        <f t="shared" si="3"/>
        <v>8.8130685100285752E-2</v>
      </c>
      <c r="M39" s="504"/>
      <c r="N39" s="1315"/>
      <c r="O39" s="1315"/>
      <c r="P39" s="1315"/>
      <c r="Q39" s="49"/>
      <c r="R39" s="887"/>
      <c r="S39" s="887"/>
      <c r="T39" s="887"/>
      <c r="U39" s="887"/>
      <c r="V39" s="887"/>
      <c r="W39" s="887"/>
      <c r="X39" s="887"/>
      <c r="Y39" s="887"/>
      <c r="Z39" s="887"/>
      <c r="AA39" s="887"/>
      <c r="AB39" s="887"/>
    </row>
    <row r="40" spans="1:28" ht="23.25" customHeight="1">
      <c r="A40" s="507"/>
      <c r="B40" s="1300"/>
      <c r="C40" s="47" t="s">
        <v>322</v>
      </c>
      <c r="D40" s="540" t="s">
        <v>9</v>
      </c>
      <c r="E40" s="43"/>
      <c r="F40" s="213" t="s">
        <v>85</v>
      </c>
      <c r="G40" s="585">
        <v>1</v>
      </c>
      <c r="H40" s="552" t="s">
        <v>323</v>
      </c>
      <c r="I40" s="113">
        <f>G40*VLOOKUP(D40,'2. PV Components'!U7:V11,2,FALSE)</f>
        <v>300</v>
      </c>
      <c r="J40" s="114">
        <f t="shared" si="2"/>
        <v>3.0000000000000001E-3</v>
      </c>
      <c r="K40" s="48">
        <f t="shared" si="3"/>
        <v>372.43563220292612</v>
      </c>
      <c r="L40" s="119">
        <f t="shared" si="3"/>
        <v>3.7243563220292612E-3</v>
      </c>
      <c r="M40" s="504"/>
      <c r="N40" s="497"/>
      <c r="O40" s="49"/>
      <c r="P40" s="49"/>
      <c r="Q40" s="49"/>
      <c r="R40" s="887"/>
      <c r="S40" s="887"/>
      <c r="T40" s="887"/>
      <c r="U40" s="887"/>
      <c r="V40" s="887"/>
      <c r="W40" s="887"/>
      <c r="X40" s="887"/>
      <c r="Y40" s="887"/>
      <c r="Z40" s="887"/>
      <c r="AA40" s="887"/>
      <c r="AB40" s="887"/>
    </row>
    <row r="41" spans="1:28" ht="23.25" customHeight="1">
      <c r="A41" s="507"/>
      <c r="B41" s="1300"/>
      <c r="C41" s="549" t="s">
        <v>23</v>
      </c>
      <c r="D41" s="702" t="s">
        <v>324</v>
      </c>
      <c r="E41" s="540" t="s">
        <v>66</v>
      </c>
      <c r="F41" s="213" t="s">
        <v>85</v>
      </c>
      <c r="G41" s="246"/>
      <c r="H41" s="705" t="s">
        <v>23</v>
      </c>
      <c r="I41" s="111">
        <f>IFERROR(VLOOKUP(D41,Table23[],3,FALSE)*F38+IF(E41="",0,VLOOKUP(E41,'2. PV Components'!AF8:AI19,2,FALSE)),"Manual Input")</f>
        <v>6306.4399999999987</v>
      </c>
      <c r="J41" s="112">
        <f t="shared" si="2"/>
        <v>6.3064399999999993E-2</v>
      </c>
      <c r="K41" s="553">
        <f t="shared" si="3"/>
        <v>7829.1432278327366</v>
      </c>
      <c r="L41" s="118">
        <f t="shared" si="3"/>
        <v>7.8291432278327369E-2</v>
      </c>
      <c r="M41" s="504"/>
      <c r="N41" s="497"/>
      <c r="O41" s="49"/>
      <c r="P41" s="49"/>
      <c r="Q41" s="49"/>
      <c r="R41" s="887"/>
      <c r="S41" s="887"/>
      <c r="T41" s="887"/>
      <c r="U41" s="887"/>
      <c r="V41" s="887"/>
      <c r="W41" s="887"/>
      <c r="X41" s="887"/>
      <c r="Y41" s="887"/>
      <c r="Z41" s="887"/>
      <c r="AA41" s="887"/>
      <c r="AB41" s="887"/>
    </row>
    <row r="42" spans="1:28" ht="17.25" customHeight="1">
      <c r="A42" s="507"/>
      <c r="B42" s="1300"/>
      <c r="C42" s="47" t="s">
        <v>325</v>
      </c>
      <c r="D42" s="334" t="s">
        <v>138</v>
      </c>
      <c r="E42" s="43"/>
      <c r="F42" s="213">
        <f>IF(D42="Not Required", 0,IF(VLOOKUP(D42,'2. PV Components'!X7:Z15,2,FALSE)&gt;VLOOKUP(E38,'2. PV Components'!D:H,4,FALSE)*2,IF(G38="",F38,G38)/2,IF(G38="",F38,G38)))</f>
        <v>0</v>
      </c>
      <c r="G42" s="586"/>
      <c r="H42" s="552" t="s">
        <v>326</v>
      </c>
      <c r="I42" s="113">
        <f>IF(D42="Not Required",0,IF(D42="Other", VLOOKUP(D42,'2. PV Components'!X8:Z12,3,FALSE),IF(G42&lt;&gt;"",G42,F42)*VLOOKUP(D42,'2. PV Components'!X8:Z12,3,FALSE)))</f>
        <v>0</v>
      </c>
      <c r="J42" s="114">
        <f t="shared" si="2"/>
        <v>0</v>
      </c>
      <c r="K42" s="48">
        <f t="shared" si="3"/>
        <v>0</v>
      </c>
      <c r="L42" s="119">
        <f t="shared" si="3"/>
        <v>0</v>
      </c>
      <c r="M42" s="504"/>
      <c r="N42" s="497"/>
      <c r="O42" s="49"/>
      <c r="P42" s="49"/>
      <c r="Q42" s="49"/>
      <c r="R42" s="887"/>
      <c r="S42" s="887"/>
      <c r="T42" s="887"/>
      <c r="U42" s="887"/>
      <c r="V42" s="887"/>
      <c r="W42" s="887"/>
      <c r="X42" s="887"/>
      <c r="Y42" s="887"/>
      <c r="Z42" s="887"/>
      <c r="AA42" s="887"/>
      <c r="AB42" s="887"/>
    </row>
    <row r="43" spans="1:28" ht="17.25" customHeight="1">
      <c r="A43" s="507"/>
      <c r="B43" s="1300"/>
      <c r="C43" s="549" t="s">
        <v>327</v>
      </c>
      <c r="D43" s="540" t="s">
        <v>138</v>
      </c>
      <c r="E43" s="554"/>
      <c r="F43" s="704" t="s">
        <v>85</v>
      </c>
      <c r="G43" s="246"/>
      <c r="H43" s="550" t="s">
        <v>326</v>
      </c>
      <c r="I43" s="111">
        <f>VLOOKUP(D43,Table27[],2,FALSE)</f>
        <v>0</v>
      </c>
      <c r="J43" s="112">
        <f t="shared" si="2"/>
        <v>0</v>
      </c>
      <c r="K43" s="553">
        <f t="shared" si="3"/>
        <v>0</v>
      </c>
      <c r="L43" s="118">
        <f t="shared" si="3"/>
        <v>0</v>
      </c>
      <c r="M43" s="504"/>
      <c r="N43" s="497"/>
      <c r="O43" s="49"/>
      <c r="P43" s="49"/>
      <c r="Q43" s="49"/>
      <c r="R43" s="887"/>
      <c r="S43" s="887"/>
      <c r="T43" s="887"/>
      <c r="U43" s="887"/>
      <c r="V43" s="887"/>
      <c r="W43" s="887"/>
      <c r="X43" s="887"/>
      <c r="Y43" s="887"/>
      <c r="Z43" s="887"/>
      <c r="AA43" s="887"/>
      <c r="AB43" s="887"/>
    </row>
    <row r="44" spans="1:28" ht="16.5" customHeight="1" thickBot="1">
      <c r="A44" s="507"/>
      <c r="B44" s="1300"/>
      <c r="C44" s="706" t="s">
        <v>42</v>
      </c>
      <c r="D44" s="708" t="s">
        <v>312</v>
      </c>
      <c r="E44" s="1323" t="str">
        <f>IF(D44='2.1 BESS Components'!$AC$2,BESS!$E$3 &amp; "x  "&amp;BESS!C3&amp;" "&amp;BESS!D3," ")</f>
        <v xml:space="preserve"> </v>
      </c>
      <c r="F44" s="1324"/>
      <c r="G44" s="715" t="str">
        <f>IF(D44='2.1 BESS Components'!$AC$2,BESS!F3,"")</f>
        <v/>
      </c>
      <c r="H44" s="145" t="s">
        <v>326</v>
      </c>
      <c r="I44" s="113">
        <f>IF(D44="Included",BESS!H36-BESS!H35,0)</f>
        <v>0</v>
      </c>
      <c r="J44" s="114">
        <f t="shared" si="2"/>
        <v>0</v>
      </c>
      <c r="K44" s="48">
        <f>IF(D44="Included",BESS!J36-BESS!J35,0)</f>
        <v>0</v>
      </c>
      <c r="L44" s="119">
        <f>K44/($F$13*1000)</f>
        <v>0</v>
      </c>
      <c r="M44" s="504"/>
      <c r="N44" s="497"/>
      <c r="O44" s="49"/>
      <c r="P44" s="49"/>
      <c r="Q44" s="49"/>
      <c r="R44" s="887"/>
      <c r="S44" s="887"/>
      <c r="T44" s="887"/>
      <c r="U44" s="887"/>
      <c r="V44" s="887"/>
      <c r="W44" s="887"/>
      <c r="X44" s="887"/>
      <c r="Y44" s="887"/>
      <c r="Z44" s="887"/>
      <c r="AA44" s="887"/>
      <c r="AB44" s="887"/>
    </row>
    <row r="45" spans="1:28" ht="16.5" customHeight="1" thickBot="1">
      <c r="A45" s="507"/>
      <c r="B45" s="1287"/>
      <c r="C45" s="707" t="s">
        <v>328</v>
      </c>
      <c r="D45" s="245" t="s">
        <v>312</v>
      </c>
      <c r="E45" s="1325" t="str">
        <f>IF(OR(D45='2.1 BESS Components'!$AC$2,AND(D44='2.1 BESS Components'!$AC$2,BESS!C4="Included in BESS Price")),BESS!$E$4 &amp; "x  " &amp; BESS!C4&amp;" "&amp;BESS!D4," ")</f>
        <v xml:space="preserve"> </v>
      </c>
      <c r="F45" s="1326"/>
      <c r="G45" s="719" t="str">
        <f>IF(OR(D45='2.1 BESS Components'!$AC$2,AND(D44='2.1 BESS Components'!$AC$2,BESS!C4="Included in BESS Price")),BESS!F4," ")</f>
        <v xml:space="preserve"> </v>
      </c>
      <c r="H45" s="599"/>
      <c r="I45" s="115">
        <f>IF(D45="Included",BESS!H35,0)</f>
        <v>0</v>
      </c>
      <c r="J45" s="116">
        <f t="shared" si="2"/>
        <v>0</v>
      </c>
      <c r="K45" s="149">
        <f>IF(D45="Included",BESS!J35,0)</f>
        <v>0</v>
      </c>
      <c r="L45" s="120">
        <f>K45/($F$13*1000)</f>
        <v>0</v>
      </c>
      <c r="M45" s="504"/>
      <c r="N45" s="497"/>
      <c r="O45" s="49"/>
      <c r="P45" s="49"/>
      <c r="Q45" s="49"/>
      <c r="R45" s="887"/>
      <c r="S45" s="887"/>
      <c r="T45" s="887"/>
      <c r="U45" s="887"/>
      <c r="V45" s="887"/>
      <c r="W45" s="887"/>
      <c r="X45" s="887"/>
      <c r="Y45" s="887"/>
      <c r="Z45" s="887"/>
      <c r="AA45" s="887"/>
      <c r="AB45" s="887"/>
    </row>
    <row r="46" spans="1:28" ht="18" customHeight="1">
      <c r="A46" s="507"/>
      <c r="B46" s="543"/>
      <c r="D46" s="555"/>
      <c r="F46" s="556"/>
      <c r="G46" s="555"/>
      <c r="H46" s="557"/>
      <c r="I46" s="558"/>
      <c r="J46" s="559"/>
      <c r="K46" s="558"/>
      <c r="L46" s="559"/>
      <c r="M46" s="504"/>
      <c r="N46" s="497"/>
      <c r="O46" s="49"/>
      <c r="P46" s="49"/>
      <c r="Q46" s="49"/>
      <c r="R46" s="887"/>
      <c r="S46" s="887"/>
      <c r="T46" s="887"/>
      <c r="U46" s="887"/>
      <c r="V46" s="887"/>
      <c r="W46" s="887"/>
      <c r="X46" s="887"/>
      <c r="Y46" s="887"/>
      <c r="Z46" s="887"/>
      <c r="AA46" s="887"/>
      <c r="AB46" s="887"/>
    </row>
    <row r="47" spans="1:28" ht="16.2" thickBot="1">
      <c r="A47" s="507"/>
      <c r="B47" s="543"/>
      <c r="C47" s="544"/>
      <c r="D47" s="545"/>
      <c r="E47" s="545"/>
      <c r="F47" s="544"/>
      <c r="G47" s="544"/>
      <c r="H47" s="546"/>
      <c r="I47" s="547"/>
      <c r="J47" s="548"/>
      <c r="K47" s="547"/>
      <c r="L47" s="548"/>
      <c r="M47" s="504"/>
      <c r="N47" s="497"/>
      <c r="O47" s="49"/>
      <c r="P47" s="49"/>
      <c r="Q47" s="49"/>
      <c r="R47" s="887"/>
      <c r="S47" s="887"/>
      <c r="T47" s="887"/>
      <c r="U47" s="887"/>
      <c r="V47" s="887"/>
      <c r="W47" s="887"/>
      <c r="X47" s="887"/>
      <c r="Y47" s="887"/>
      <c r="Z47" s="887"/>
      <c r="AA47" s="887"/>
      <c r="AB47" s="887"/>
    </row>
    <row r="48" spans="1:28" ht="15.6">
      <c r="A48" s="507"/>
      <c r="B48" s="1286" t="s">
        <v>188</v>
      </c>
      <c r="C48" s="247" t="s">
        <v>329</v>
      </c>
      <c r="D48" s="217" t="s">
        <v>330</v>
      </c>
      <c r="E48" s="323">
        <f>IF(G48&lt;300,4,IF(G48&gt;400,"TALK TO PROJECTS",6))</f>
        <v>4</v>
      </c>
      <c r="F48" s="218" t="s">
        <v>85</v>
      </c>
      <c r="G48" s="588">
        <v>50</v>
      </c>
      <c r="H48" s="560" t="s">
        <v>331</v>
      </c>
      <c r="I48" s="250">
        <f>IF(D48&lt;&gt;"Not Included",IF(D48&lt;&gt;"Included - Direct Buried",VLOOKUP(E48,'3. Cabling'!B17:C25,2,FALSE)*(0.17*F13*G48)+IF(F13&lt;50,G51*0.9,G51*5.7)*1.15,VLOOKUP(E48,'3. Cabling'!B17:C25,2,FALSE)*(0.17*F13*G48)*1.36+IF(F13&lt;50,G51*0.9,G51*5.7)*1.15),0)</f>
        <v>2336.0500000000002</v>
      </c>
      <c r="J48" s="251">
        <f>I48/($F$13*1000)</f>
        <v>2.3360500000000003E-2</v>
      </c>
      <c r="K48" s="250">
        <f t="shared" ref="K48:L52" si="4">I48*$J$16</f>
        <v>2900.094195358819</v>
      </c>
      <c r="L48" s="252">
        <f t="shared" si="4"/>
        <v>2.900094195358819E-2</v>
      </c>
      <c r="M48" s="504"/>
      <c r="N48" s="497"/>
      <c r="O48" s="49"/>
      <c r="P48" s="49"/>
      <c r="Q48" s="49"/>
      <c r="R48" s="887"/>
      <c r="S48" s="887"/>
      <c r="T48" s="887"/>
      <c r="U48" s="887"/>
      <c r="V48" s="887"/>
      <c r="W48" s="887"/>
      <c r="X48" s="887"/>
      <c r="Y48" s="887"/>
      <c r="Z48" s="887"/>
      <c r="AA48" s="887"/>
      <c r="AB48" s="887"/>
    </row>
    <row r="49" spans="1:28" ht="17.25" customHeight="1">
      <c r="A49" s="507"/>
      <c r="B49" s="1300"/>
      <c r="C49" s="47" t="s">
        <v>332</v>
      </c>
      <c r="D49" s="702" t="s">
        <v>333</v>
      </c>
      <c r="E49" s="703"/>
      <c r="F49" s="703" cm="1">
        <f t="array" ref="F49">_xlfn.IFS(D49='3. Cabling'!$C$31,'AC Calculator'!B11,D49='3. Cabling'!$C$32,'AC Calculator'!O11,D49='3. Cabling'!$C$30,"N/A")</f>
        <v>70</v>
      </c>
      <c r="G49" s="586">
        <v>5</v>
      </c>
      <c r="H49" s="561" t="s">
        <v>334</v>
      </c>
      <c r="I49" s="113">
        <f>IF(D49&lt;&gt;'3. Cabling'!$C$30,VLOOKUP(F49,'3. Cabling'!$E$16:$J$53,IF(D49='3. Cabling'!$C$31,3,5)),0)*G49*(IF(ISBLANK(G39),F39,G39))</f>
        <v>332.45875000000001</v>
      </c>
      <c r="J49" s="108">
        <f>I49/($F$13*1000)</f>
        <v>3.3245875000000001E-3</v>
      </c>
      <c r="K49" s="113">
        <f>I49*$J$16</f>
        <v>412.73161579214855</v>
      </c>
      <c r="L49" s="119">
        <f t="shared" si="4"/>
        <v>4.1273161579214856E-3</v>
      </c>
      <c r="M49" s="504"/>
      <c r="N49" s="497"/>
      <c r="O49" s="49"/>
      <c r="P49" s="49"/>
      <c r="Q49" s="49"/>
      <c r="R49" s="887"/>
      <c r="S49" s="887"/>
      <c r="T49" s="887"/>
      <c r="U49" s="887"/>
      <c r="V49" s="887"/>
      <c r="W49" s="887"/>
      <c r="X49" s="887"/>
      <c r="Y49" s="887"/>
      <c r="Z49" s="887"/>
      <c r="AA49" s="887"/>
      <c r="AB49" s="887"/>
    </row>
    <row r="50" spans="1:28" ht="17.25" customHeight="1">
      <c r="A50" s="507"/>
      <c r="B50" s="1300"/>
      <c r="C50" s="549" t="s">
        <v>335</v>
      </c>
      <c r="D50" s="702" t="s">
        <v>333</v>
      </c>
      <c r="E50" s="703"/>
      <c r="F50" s="703" cm="1">
        <f t="array" ref="F50">_xlfn.IFS(D50='3. Cabling'!$C$31,'AC Calculator'!B24,D50='3. Cabling'!$C$32,'AC Calculator'!O24,D50='3. Cabling'!$C$30,"N/A")</f>
        <v>70</v>
      </c>
      <c r="G50" s="586">
        <v>10</v>
      </c>
      <c r="H50" s="560" t="s">
        <v>334</v>
      </c>
      <c r="I50" s="111">
        <f>IF(D50&lt;&gt;'3. Cabling'!$C$30,VLOOKUP(F50,'3. Cabling'!$E$16:$J$53,IF(D50='3. Cabling'!$C$31,3,5)),0)*G50</f>
        <v>664.91750000000002</v>
      </c>
      <c r="J50" s="551">
        <f>I50/($F$13*1000)</f>
        <v>6.6491750000000002E-3</v>
      </c>
      <c r="K50" s="111">
        <f t="shared" si="4"/>
        <v>825.46323158429709</v>
      </c>
      <c r="L50" s="118">
        <f t="shared" si="4"/>
        <v>8.2546323158429712E-3</v>
      </c>
      <c r="M50" s="504"/>
      <c r="N50" s="497"/>
      <c r="O50" s="49"/>
      <c r="P50" s="49"/>
      <c r="Q50" s="49"/>
      <c r="R50" s="887"/>
      <c r="S50" s="887"/>
      <c r="T50" s="887"/>
      <c r="U50" s="887"/>
      <c r="V50" s="887"/>
      <c r="W50" s="887"/>
      <c r="X50" s="887"/>
      <c r="Y50" s="887"/>
      <c r="Z50" s="887"/>
      <c r="AA50" s="887"/>
      <c r="AB50" s="887"/>
    </row>
    <row r="51" spans="1:28" ht="17.25" customHeight="1">
      <c r="A51" s="507"/>
      <c r="B51" s="1300"/>
      <c r="C51" s="47" t="s">
        <v>336</v>
      </c>
      <c r="D51" s="702" t="s">
        <v>337</v>
      </c>
      <c r="E51" s="43" t="s">
        <v>338</v>
      </c>
      <c r="F51" s="213" t="s">
        <v>85</v>
      </c>
      <c r="G51" s="586">
        <v>110</v>
      </c>
      <c r="H51" s="561" t="s">
        <v>339</v>
      </c>
      <c r="I51" s="113" cm="1">
        <f t="array" ref="I51">IF(D51&lt;&gt;"Not Required",VLOOKUP(_xlfn.IFS((F38/16)&lt;=20,"150mm Tray ",AND((F38/16)&gt;20,(F38/16)&lt;=48),"300mm Tray ",AND((F38/16)&gt;48,(F38/16)&lt;=72),"450mm Tray ",(F38/16)&gt;72,"600mm Tray ")&amp;D51,'3. Cabling'!K6:L14,2,FALSE)*G51,0)</f>
        <v>2328.3333333333335</v>
      </c>
      <c r="J51" s="108">
        <f>I51/($F$13*1000)</f>
        <v>2.3283333333333336E-2</v>
      </c>
      <c r="K51" s="113">
        <f t="shared" si="4"/>
        <v>2890.5143232638211</v>
      </c>
      <c r="L51" s="119">
        <f t="shared" si="4"/>
        <v>2.8905143232638215E-2</v>
      </c>
      <c r="M51" s="504"/>
      <c r="N51" s="497"/>
      <c r="O51" s="49"/>
      <c r="P51" s="49"/>
      <c r="Q51" s="49"/>
      <c r="R51" s="887"/>
      <c r="S51" s="887"/>
      <c r="T51" s="887"/>
      <c r="U51" s="887"/>
      <c r="V51" s="887"/>
      <c r="W51" s="887"/>
      <c r="X51" s="887"/>
      <c r="Y51" s="887"/>
      <c r="Z51" s="887"/>
      <c r="AA51" s="887"/>
      <c r="AB51" s="887"/>
    </row>
    <row r="52" spans="1:28" ht="17.25" customHeight="1" thickBot="1">
      <c r="A52" s="507"/>
      <c r="B52" s="1287"/>
      <c r="C52" s="142" t="s">
        <v>195</v>
      </c>
      <c r="D52" s="245" t="s">
        <v>312</v>
      </c>
      <c r="E52" s="335"/>
      <c r="F52" s="216" t="s">
        <v>85</v>
      </c>
      <c r="G52" s="587">
        <v>0</v>
      </c>
      <c r="H52" s="336"/>
      <c r="I52" s="115">
        <f>VLOOKUP(D52,'3. Cabling'!Q6:S9,3,FALSE)</f>
        <v>0</v>
      </c>
      <c r="J52" s="144">
        <f>I52/($F$13*1000)</f>
        <v>0</v>
      </c>
      <c r="K52" s="115">
        <f t="shared" si="4"/>
        <v>0</v>
      </c>
      <c r="L52" s="120">
        <f t="shared" si="4"/>
        <v>0</v>
      </c>
      <c r="M52" s="504"/>
      <c r="N52" s="497"/>
      <c r="O52" s="49"/>
      <c r="P52" s="49"/>
      <c r="Q52" s="49"/>
      <c r="R52" s="887"/>
      <c r="S52" s="887"/>
      <c r="T52" s="887"/>
      <c r="U52" s="887"/>
      <c r="V52" s="887"/>
      <c r="W52" s="887"/>
      <c r="X52" s="887"/>
      <c r="Y52" s="887"/>
      <c r="Z52" s="887"/>
      <c r="AA52" s="887"/>
      <c r="AB52" s="887"/>
    </row>
    <row r="53" spans="1:28" ht="18" customHeight="1">
      <c r="A53" s="507"/>
      <c r="B53" s="562"/>
      <c r="C53" s="556"/>
      <c r="D53" s="555"/>
      <c r="E53" s="43"/>
      <c r="F53" s="556"/>
      <c r="G53" s="556"/>
      <c r="H53" s="557"/>
      <c r="I53" s="558"/>
      <c r="J53" s="559"/>
      <c r="K53" s="558"/>
      <c r="L53" s="559"/>
      <c r="M53" s="504"/>
      <c r="N53" s="497"/>
      <c r="O53" s="49"/>
      <c r="P53" s="49"/>
      <c r="Q53" s="49"/>
      <c r="R53" s="887"/>
      <c r="S53" s="887"/>
      <c r="T53" s="887"/>
      <c r="U53" s="887"/>
      <c r="V53" s="887"/>
      <c r="W53" s="887"/>
      <c r="X53" s="887"/>
      <c r="Y53" s="887"/>
      <c r="Z53" s="887"/>
      <c r="AA53" s="887"/>
      <c r="AB53" s="887"/>
    </row>
    <row r="54" spans="1:28" ht="16.5" customHeight="1" thickBot="1">
      <c r="A54" s="507"/>
      <c r="B54" s="562"/>
      <c r="C54" s="544"/>
      <c r="D54" s="545"/>
      <c r="E54" s="545"/>
      <c r="F54" s="544"/>
      <c r="G54" s="544"/>
      <c r="H54" s="546"/>
      <c r="I54" s="547"/>
      <c r="J54" s="548"/>
      <c r="K54" s="547"/>
      <c r="L54" s="548"/>
      <c r="M54" s="504"/>
      <c r="N54" s="497"/>
      <c r="O54" s="49"/>
      <c r="P54" s="49"/>
      <c r="Q54" s="49"/>
      <c r="R54" s="887"/>
      <c r="S54" s="887"/>
      <c r="T54" s="887"/>
      <c r="U54" s="887"/>
      <c r="V54" s="887"/>
      <c r="W54" s="887"/>
      <c r="X54" s="887"/>
      <c r="Y54" s="887"/>
      <c r="Z54" s="887"/>
      <c r="AA54" s="887"/>
      <c r="AB54" s="887"/>
    </row>
    <row r="55" spans="1:28" ht="17.25" customHeight="1">
      <c r="A55" s="507"/>
      <c r="B55" s="1286" t="s">
        <v>340</v>
      </c>
      <c r="C55" s="128" t="s">
        <v>341</v>
      </c>
      <c r="D55" s="217" t="s">
        <v>138</v>
      </c>
      <c r="E55" s="129"/>
      <c r="F55" s="218" t="s">
        <v>85</v>
      </c>
      <c r="G55" s="126"/>
      <c r="H55" s="146" t="s">
        <v>342</v>
      </c>
      <c r="I55" s="109">
        <f>VLOOKUP(D55,'3. Cabling'!B7:C11,2,FALSE)</f>
        <v>0</v>
      </c>
      <c r="J55" s="143">
        <f>I55/($F$13*1000)</f>
        <v>0</v>
      </c>
      <c r="K55" s="109">
        <f t="shared" ref="K55:L59" si="5">I55*$J$16</f>
        <v>0</v>
      </c>
      <c r="L55" s="117">
        <f t="shared" si="5"/>
        <v>0</v>
      </c>
      <c r="M55" s="504"/>
      <c r="N55" s="497"/>
      <c r="O55" s="49"/>
      <c r="P55" s="49"/>
      <c r="Q55" s="49"/>
      <c r="R55" s="887"/>
      <c r="S55" s="887"/>
      <c r="T55" s="887"/>
      <c r="U55" s="887"/>
      <c r="V55" s="887"/>
      <c r="W55" s="887"/>
      <c r="X55" s="887"/>
      <c r="Y55" s="887"/>
      <c r="Z55" s="887"/>
      <c r="AA55" s="887"/>
      <c r="AB55" s="887"/>
    </row>
    <row r="56" spans="1:28" ht="17.25" customHeight="1">
      <c r="A56" s="507"/>
      <c r="B56" s="1300"/>
      <c r="C56" s="47" t="s">
        <v>343</v>
      </c>
      <c r="D56" s="540" t="s">
        <v>147</v>
      </c>
      <c r="E56" s="43"/>
      <c r="F56" s="213" t="s">
        <v>85</v>
      </c>
      <c r="G56" s="127"/>
      <c r="H56" s="552" t="s">
        <v>344</v>
      </c>
      <c r="I56" s="113">
        <f>VLOOKUP(D56,'4. Switch Gear'!B6:C8,2,FALSE)</f>
        <v>0</v>
      </c>
      <c r="J56" s="108">
        <f>I56/($F$13*1000)</f>
        <v>0</v>
      </c>
      <c r="K56" s="113">
        <f t="shared" si="5"/>
        <v>0</v>
      </c>
      <c r="L56" s="119">
        <f t="shared" si="5"/>
        <v>0</v>
      </c>
      <c r="M56" s="504"/>
      <c r="N56" s="497"/>
      <c r="O56" s="49"/>
      <c r="P56" s="49"/>
      <c r="Q56" s="49"/>
      <c r="R56" s="887"/>
      <c r="S56" s="887"/>
      <c r="T56" s="887"/>
      <c r="U56" s="887"/>
      <c r="V56" s="887"/>
      <c r="W56" s="887"/>
      <c r="X56" s="887"/>
      <c r="Y56" s="887"/>
      <c r="Z56" s="887"/>
      <c r="AA56" s="887"/>
      <c r="AB56" s="887"/>
    </row>
    <row r="57" spans="1:28" ht="17.25" customHeight="1">
      <c r="A57" s="507"/>
      <c r="B57" s="1300"/>
      <c r="C57" s="549" t="s">
        <v>345</v>
      </c>
      <c r="D57" s="540" t="s">
        <v>346</v>
      </c>
      <c r="E57" s="563" t="str">
        <f>IF(D57="New AC Solar Main Switch Included",VLOOKUP('AC Calculator'!B25,'4. Switch Gear'!H7:I22,2,FALSE),"")</f>
        <v>250A MCCB</v>
      </c>
      <c r="F57" s="213" t="s">
        <v>85</v>
      </c>
      <c r="G57" s="246"/>
      <c r="H57" s="550" t="s">
        <v>347</v>
      </c>
      <c r="I57" s="111">
        <f>IF(E57="",0,VLOOKUP(E57,'4. Switch Gear'!I7:J22,2,FALSE))</f>
        <v>1400</v>
      </c>
      <c r="J57" s="551">
        <f>I57/($F$13*1000)</f>
        <v>1.4E-2</v>
      </c>
      <c r="K57" s="111">
        <f t="shared" si="5"/>
        <v>1738.032950280322</v>
      </c>
      <c r="L57" s="118">
        <f t="shared" si="5"/>
        <v>1.7380329502803219E-2</v>
      </c>
      <c r="M57" s="504"/>
      <c r="N57" s="497"/>
      <c r="O57" s="49"/>
      <c r="P57" s="49"/>
      <c r="Q57" s="49"/>
      <c r="R57" s="887"/>
      <c r="S57" s="887"/>
      <c r="T57" s="887"/>
      <c r="U57" s="887"/>
      <c r="V57" s="887"/>
      <c r="W57" s="887"/>
      <c r="X57" s="887"/>
      <c r="Y57" s="887"/>
      <c r="Z57" s="887"/>
      <c r="AA57" s="887"/>
      <c r="AB57" s="887"/>
    </row>
    <row r="58" spans="1:28" ht="17.25" customHeight="1">
      <c r="A58" s="507"/>
      <c r="B58" s="1300"/>
      <c r="C58" s="47" t="s">
        <v>348</v>
      </c>
      <c r="D58" s="600"/>
      <c r="E58" s="43"/>
      <c r="F58" s="213"/>
      <c r="G58" s="596">
        <v>1</v>
      </c>
      <c r="H58" s="552"/>
      <c r="I58" s="113">
        <f>IF(G58&gt;1,G58*750,0)</f>
        <v>0</v>
      </c>
      <c r="J58" s="108">
        <f>I58/($F$13*1000)</f>
        <v>0</v>
      </c>
      <c r="K58" s="113">
        <f t="shared" ref="K58" si="6">I58*$J$16</f>
        <v>0</v>
      </c>
      <c r="L58" s="119">
        <f t="shared" ref="L58" si="7">J58*$J$16</f>
        <v>0</v>
      </c>
      <c r="M58" s="504"/>
      <c r="N58" s="497"/>
      <c r="O58" s="49"/>
      <c r="P58" s="49"/>
      <c r="Q58" s="49"/>
      <c r="R58" s="887"/>
      <c r="S58" s="887"/>
      <c r="T58" s="887"/>
      <c r="U58" s="887"/>
      <c r="V58" s="887"/>
      <c r="W58" s="887"/>
      <c r="X58" s="887"/>
      <c r="Y58" s="887"/>
      <c r="Z58" s="887"/>
      <c r="AA58" s="887"/>
      <c r="AB58" s="887"/>
    </row>
    <row r="59" spans="1:28" ht="18" customHeight="1" thickBot="1">
      <c r="A59" s="507"/>
      <c r="B59" s="1287"/>
      <c r="C59" s="142" t="s">
        <v>349</v>
      </c>
      <c r="D59" s="245" t="s">
        <v>350</v>
      </c>
      <c r="E59" s="597" t="s">
        <v>351</v>
      </c>
      <c r="F59" s="597" t="s">
        <v>352</v>
      </c>
      <c r="G59" s="598">
        <v>1</v>
      </c>
      <c r="H59" s="599" t="s">
        <v>350</v>
      </c>
      <c r="I59" s="115">
        <f>INDEX('4. Switch Gear'!N6:O9,MATCH(D59,'4. Switch Gear'!M6:M9,0),MATCH(E59,'4. Switch Gear'!N5:O5,0))*VLOOKUP(F59,'4. Switch Gear'!Q6:R8,2)*G59</f>
        <v>6050.0000000000009</v>
      </c>
      <c r="J59" s="144">
        <f>I59/($F$13*1000)</f>
        <v>6.0500000000000012E-2</v>
      </c>
      <c r="K59" s="115">
        <f t="shared" si="5"/>
        <v>7510.7852494256776</v>
      </c>
      <c r="L59" s="120">
        <f t="shared" si="5"/>
        <v>7.5107852494256777E-2</v>
      </c>
      <c r="M59" s="504"/>
      <c r="N59" s="497"/>
      <c r="O59" s="49"/>
      <c r="P59" s="49"/>
      <c r="Q59" s="49"/>
      <c r="R59" s="887"/>
      <c r="S59" s="887"/>
      <c r="T59" s="887"/>
      <c r="U59" s="887"/>
      <c r="V59" s="887"/>
      <c r="W59" s="887"/>
      <c r="X59" s="887"/>
      <c r="Y59" s="887"/>
      <c r="Z59" s="887"/>
      <c r="AA59" s="887"/>
      <c r="AB59" s="887"/>
    </row>
    <row r="60" spans="1:28" ht="18" customHeight="1">
      <c r="A60" s="507"/>
      <c r="B60" s="524"/>
      <c r="C60" s="524"/>
      <c r="D60" s="524"/>
      <c r="E60" s="524"/>
      <c r="F60" s="524"/>
      <c r="G60" s="524"/>
      <c r="H60" s="564"/>
      <c r="I60" s="524"/>
      <c r="J60" s="601"/>
      <c r="K60" s="524"/>
      <c r="L60" s="524"/>
      <c r="M60" s="504"/>
      <c r="N60" s="497"/>
      <c r="O60" s="49"/>
      <c r="P60" s="49"/>
      <c r="Q60" s="49"/>
      <c r="R60" s="887"/>
      <c r="S60" s="887"/>
      <c r="T60" s="887"/>
      <c r="U60" s="887"/>
      <c r="V60" s="887"/>
      <c r="W60" s="887"/>
      <c r="X60" s="887"/>
      <c r="Y60" s="887"/>
      <c r="Z60" s="887"/>
      <c r="AA60" s="887"/>
      <c r="AB60" s="887"/>
    </row>
    <row r="61" spans="1:28" ht="17.25" customHeight="1" thickBot="1">
      <c r="A61" s="507"/>
      <c r="B61" s="523"/>
      <c r="C61" s="556"/>
      <c r="D61" s="555"/>
      <c r="E61" s="555"/>
      <c r="F61" s="556"/>
      <c r="G61" s="556"/>
      <c r="H61" s="557"/>
      <c r="I61" s="558"/>
      <c r="J61" s="559"/>
      <c r="K61" s="558"/>
      <c r="L61" s="559"/>
      <c r="M61" s="504"/>
      <c r="N61" s="497"/>
      <c r="O61" s="49"/>
      <c r="P61" s="49"/>
      <c r="Q61" s="49"/>
      <c r="R61" s="887"/>
      <c r="S61" s="887"/>
      <c r="T61" s="887"/>
      <c r="U61" s="887"/>
      <c r="V61" s="887"/>
      <c r="W61" s="887"/>
      <c r="X61" s="887"/>
      <c r="Y61" s="887"/>
      <c r="Z61" s="887"/>
      <c r="AA61" s="887"/>
      <c r="AB61" s="887"/>
    </row>
    <row r="62" spans="1:28" ht="16.5" customHeight="1">
      <c r="A62" s="507"/>
      <c r="B62" s="1286" t="s">
        <v>353</v>
      </c>
      <c r="C62" s="128" t="s">
        <v>354</v>
      </c>
      <c r="D62" s="465" t="s">
        <v>9</v>
      </c>
      <c r="E62" s="484"/>
      <c r="F62" s="218" t="s">
        <v>85</v>
      </c>
      <c r="G62" s="485"/>
      <c r="H62" s="146" t="s">
        <v>355</v>
      </c>
      <c r="I62" s="131">
        <f>VLOOKUP(SOLAR!D62,'5. Install'!B6:C10,2,FALSE)*F13*1000</f>
        <v>28000.000000000004</v>
      </c>
      <c r="J62" s="143">
        <f t="shared" ref="J62:J69" si="8">I62/($F$13*1000)</f>
        <v>0.28000000000000003</v>
      </c>
      <c r="K62" s="109">
        <f t="shared" ref="K62:K69" si="9">I62*$J$16</f>
        <v>34760.659005606445</v>
      </c>
      <c r="L62" s="117">
        <f t="shared" ref="L62:L69" si="10">J62*$J$16</f>
        <v>0.34760659005606442</v>
      </c>
      <c r="M62" s="504"/>
      <c r="N62" s="497"/>
      <c r="O62" s="49"/>
      <c r="P62" s="49"/>
      <c r="Q62" s="49"/>
      <c r="R62" s="887"/>
      <c r="S62" s="887"/>
      <c r="T62" s="887"/>
      <c r="U62" s="887"/>
      <c r="V62" s="887"/>
      <c r="W62" s="887"/>
      <c r="X62" s="887"/>
      <c r="Y62" s="887"/>
      <c r="Z62" s="887"/>
      <c r="AA62" s="887"/>
      <c r="AB62" s="887"/>
    </row>
    <row r="63" spans="1:28" ht="18" customHeight="1">
      <c r="A63" s="507"/>
      <c r="B63" s="1300"/>
      <c r="C63" s="539" t="s">
        <v>356</v>
      </c>
      <c r="D63" s="464" t="s">
        <v>9</v>
      </c>
      <c r="E63" s="482" t="s">
        <v>357</v>
      </c>
      <c r="F63" s="213" t="s">
        <v>85</v>
      </c>
      <c r="G63" s="483"/>
      <c r="H63" s="614" t="s">
        <v>358</v>
      </c>
      <c r="I63" s="565">
        <f>VLOOKUP(D63,'5. Install'!E7:F8,2,FALSE)*F13*1000</f>
        <v>3000</v>
      </c>
      <c r="J63" s="542">
        <f t="shared" si="8"/>
        <v>0.03</v>
      </c>
      <c r="K63" s="121">
        <f t="shared" si="9"/>
        <v>3724.3563220292613</v>
      </c>
      <c r="L63" s="122">
        <f t="shared" si="10"/>
        <v>3.7243563220292611E-2</v>
      </c>
      <c r="M63" s="504"/>
      <c r="N63" s="497"/>
      <c r="O63" s="49"/>
      <c r="P63" s="49"/>
      <c r="Q63" s="49"/>
      <c r="R63" s="887"/>
      <c r="S63" s="887"/>
      <c r="T63" s="887"/>
      <c r="U63" s="887"/>
      <c r="V63" s="887"/>
      <c r="W63" s="887"/>
      <c r="X63" s="887"/>
      <c r="Y63" s="887"/>
      <c r="Z63" s="887"/>
      <c r="AA63" s="887"/>
      <c r="AB63" s="887"/>
    </row>
    <row r="64" spans="1:28" ht="17.25" customHeight="1">
      <c r="A64" s="507"/>
      <c r="B64" s="1300"/>
      <c r="C64" s="47" t="s">
        <v>359</v>
      </c>
      <c r="D64" s="464" t="s">
        <v>360</v>
      </c>
      <c r="E64" s="480" t="s">
        <v>361</v>
      </c>
      <c r="F64" s="213" t="s">
        <v>85</v>
      </c>
      <c r="G64" s="481"/>
      <c r="H64" s="552" t="s">
        <v>362</v>
      </c>
      <c r="I64" s="48">
        <f>VLOOKUP(D64,'5. Install'!O7:P11,2,FALSE)</f>
        <v>2600</v>
      </c>
      <c r="J64" s="108">
        <f t="shared" si="8"/>
        <v>2.5999999999999999E-2</v>
      </c>
      <c r="K64" s="113">
        <f t="shared" si="9"/>
        <v>3227.7754790920262</v>
      </c>
      <c r="L64" s="119">
        <f t="shared" si="10"/>
        <v>3.2277754790920266E-2</v>
      </c>
      <c r="M64" s="504"/>
      <c r="N64" s="497"/>
      <c r="O64" s="49"/>
      <c r="P64" s="49"/>
      <c r="Q64" s="49"/>
      <c r="R64" s="887"/>
      <c r="S64" s="887"/>
      <c r="T64" s="887"/>
      <c r="U64" s="887"/>
      <c r="V64" s="887"/>
      <c r="W64" s="887"/>
      <c r="X64" s="887"/>
      <c r="Y64" s="887"/>
      <c r="Z64" s="887"/>
      <c r="AA64" s="887"/>
      <c r="AB64" s="887"/>
    </row>
    <row r="65" spans="1:28" ht="17.25" customHeight="1">
      <c r="A65" s="507"/>
      <c r="B65" s="1300"/>
      <c r="C65" s="539" t="s">
        <v>363</v>
      </c>
      <c r="D65" s="464" t="s">
        <v>364</v>
      </c>
      <c r="E65" s="482" t="s">
        <v>365</v>
      </c>
      <c r="F65" s="213" t="s">
        <v>85</v>
      </c>
      <c r="G65" s="483"/>
      <c r="H65" s="614" t="s">
        <v>362</v>
      </c>
      <c r="I65" s="565">
        <f>IF(D64="Scissor Lift + Forklift",0,VLOOKUP(D65,'5. Install'!O13:P17,2,FALSE))</f>
        <v>0</v>
      </c>
      <c r="J65" s="542">
        <f t="shared" si="8"/>
        <v>0</v>
      </c>
      <c r="K65" s="121">
        <f t="shared" si="9"/>
        <v>0</v>
      </c>
      <c r="L65" s="122">
        <f t="shared" si="10"/>
        <v>0</v>
      </c>
      <c r="M65" s="504"/>
      <c r="N65" s="497"/>
      <c r="O65" s="49"/>
      <c r="P65" s="49"/>
      <c r="Q65" s="49"/>
      <c r="R65" s="887"/>
      <c r="S65" s="887"/>
      <c r="T65" s="887"/>
      <c r="U65" s="887"/>
      <c r="V65" s="887"/>
      <c r="W65" s="887"/>
      <c r="X65" s="887"/>
      <c r="Y65" s="887"/>
      <c r="Z65" s="887"/>
      <c r="AA65" s="887"/>
      <c r="AB65" s="887"/>
    </row>
    <row r="66" spans="1:28" ht="17.25" customHeight="1">
      <c r="A66" s="507"/>
      <c r="B66" s="1300"/>
      <c r="C66" s="47" t="s">
        <v>366</v>
      </c>
      <c r="D66" s="464" t="s">
        <v>367</v>
      </c>
      <c r="E66" s="480"/>
      <c r="F66" s="213" t="s">
        <v>85</v>
      </c>
      <c r="G66" s="481"/>
      <c r="H66" s="552"/>
      <c r="I66" s="48">
        <f>VLOOKUP(D66,'5. Install'!E19:F21,2,FALSE)</f>
        <v>800</v>
      </c>
      <c r="J66" s="542">
        <f t="shared" si="8"/>
        <v>8.0000000000000002E-3</v>
      </c>
      <c r="K66" s="121">
        <f t="shared" si="9"/>
        <v>993.16168587446964</v>
      </c>
      <c r="L66" s="478">
        <f t="shared" si="10"/>
        <v>9.9316168587446976E-3</v>
      </c>
      <c r="M66" s="504"/>
      <c r="N66" s="497"/>
      <c r="O66" s="49"/>
      <c r="P66" s="49"/>
      <c r="Q66" s="49"/>
      <c r="R66" s="887"/>
      <c r="S66" s="887"/>
      <c r="T66" s="887"/>
      <c r="U66" s="887"/>
      <c r="V66" s="887"/>
      <c r="W66" s="887"/>
      <c r="X66" s="887"/>
      <c r="Y66" s="887"/>
      <c r="Z66" s="887"/>
      <c r="AA66" s="887"/>
      <c r="AB66" s="887"/>
    </row>
    <row r="67" spans="1:28" ht="17.25" customHeight="1">
      <c r="A67" s="507"/>
      <c r="B67" s="1300"/>
      <c r="C67" s="539" t="s">
        <v>368</v>
      </c>
      <c r="D67" s="464" t="str">
        <f>"Zone"&amp;_xlfn.CEILING.MATH(MIN(Rebates!AI9:AI14),100)/100</f>
        <v>Zone1</v>
      </c>
      <c r="E67" s="1015"/>
      <c r="F67" s="213" t="s">
        <v>85</v>
      </c>
      <c r="G67" s="483"/>
      <c r="H67" s="614" t="s">
        <v>368</v>
      </c>
      <c r="I67" s="565">
        <f>VLOOKUP(D67,Table28[[TRAVEL RATES]:[Freight]],5,FALSE)</f>
        <v>1375</v>
      </c>
      <c r="J67" s="542">
        <f t="shared" si="8"/>
        <v>1.375E-2</v>
      </c>
      <c r="K67" s="121">
        <f t="shared" si="9"/>
        <v>1706.9966475967447</v>
      </c>
      <c r="L67" s="122">
        <f t="shared" si="10"/>
        <v>1.7069966475967448E-2</v>
      </c>
      <c r="M67" s="504"/>
      <c r="N67" s="497"/>
      <c r="O67" s="49"/>
      <c r="P67" s="49"/>
      <c r="Q67" s="49"/>
      <c r="R67" s="887"/>
      <c r="S67" s="887"/>
      <c r="T67" s="887"/>
      <c r="U67" s="887"/>
      <c r="V67" s="887"/>
      <c r="W67" s="887"/>
      <c r="X67" s="887"/>
      <c r="Y67" s="887"/>
      <c r="Z67" s="887"/>
      <c r="AA67" s="887"/>
      <c r="AB67" s="887"/>
    </row>
    <row r="68" spans="1:28" ht="17.25" customHeight="1">
      <c r="A68" s="507"/>
      <c r="B68" s="1300"/>
      <c r="C68" s="47" t="s">
        <v>369</v>
      </c>
      <c r="D68" s="464" t="s">
        <v>97</v>
      </c>
      <c r="E68" s="480"/>
      <c r="F68" s="213" t="s">
        <v>85</v>
      </c>
      <c r="G68" s="481"/>
      <c r="H68" s="552" t="s">
        <v>370</v>
      </c>
      <c r="I68" s="48">
        <f>VLOOKUP(D68,Table28[],3,FALSE)</f>
        <v>500</v>
      </c>
      <c r="J68" s="108">
        <f t="shared" si="8"/>
        <v>5.0000000000000001E-3</v>
      </c>
      <c r="K68" s="113">
        <f t="shared" si="9"/>
        <v>620.72605367154358</v>
      </c>
      <c r="L68" s="119">
        <f t="shared" si="10"/>
        <v>6.2072605367154352E-3</v>
      </c>
      <c r="M68" s="504"/>
      <c r="N68" s="497"/>
      <c r="O68" s="49"/>
      <c r="P68" s="49"/>
      <c r="Q68" s="49"/>
      <c r="R68" s="887"/>
      <c r="S68" s="887"/>
      <c r="T68" s="887"/>
      <c r="U68" s="887"/>
      <c r="V68" s="887"/>
      <c r="W68" s="887"/>
      <c r="X68" s="887"/>
      <c r="Y68" s="887"/>
      <c r="Z68" s="887"/>
      <c r="AA68" s="887"/>
      <c r="AB68" s="887"/>
    </row>
    <row r="69" spans="1:28" ht="17.25" customHeight="1" thickBot="1">
      <c r="A69" s="507"/>
      <c r="B69" s="1287"/>
      <c r="C69" s="325" t="s">
        <v>371</v>
      </c>
      <c r="D69" s="486" t="s">
        <v>97</v>
      </c>
      <c r="E69" s="487"/>
      <c r="F69" s="216" t="s">
        <v>85</v>
      </c>
      <c r="G69" s="615"/>
      <c r="H69" s="243" t="s">
        <v>370</v>
      </c>
      <c r="I69" s="140">
        <f>VLOOKUP(D69,Table28[[TRAVEL RATES]:[Freight]],4,FALSE)</f>
        <v>0</v>
      </c>
      <c r="J69" s="326">
        <f t="shared" si="8"/>
        <v>0</v>
      </c>
      <c r="K69" s="289">
        <f t="shared" si="9"/>
        <v>0</v>
      </c>
      <c r="L69" s="124">
        <f t="shared" si="10"/>
        <v>0</v>
      </c>
      <c r="M69" s="504"/>
      <c r="N69" s="497"/>
      <c r="O69" s="49"/>
      <c r="P69" s="49"/>
      <c r="Q69" s="49"/>
      <c r="R69" s="887"/>
      <c r="S69" s="887"/>
      <c r="T69" s="887"/>
      <c r="U69" s="887"/>
      <c r="V69" s="887"/>
      <c r="W69" s="887"/>
      <c r="X69" s="887"/>
      <c r="Y69" s="887"/>
      <c r="Z69" s="887"/>
      <c r="AA69" s="887"/>
      <c r="AB69" s="887"/>
    </row>
    <row r="70" spans="1:28" ht="18" customHeight="1">
      <c r="A70" s="507"/>
      <c r="B70" s="523"/>
      <c r="C70" s="556"/>
      <c r="D70" s="555"/>
      <c r="E70" s="555"/>
      <c r="F70" s="556"/>
      <c r="G70" s="556"/>
      <c r="H70" s="557"/>
      <c r="I70" s="558"/>
      <c r="J70" s="559"/>
      <c r="K70" s="558"/>
      <c r="L70" s="559"/>
      <c r="M70" s="504"/>
      <c r="N70" s="497"/>
      <c r="O70" s="49"/>
      <c r="P70" s="49"/>
      <c r="Q70" s="49"/>
      <c r="R70" s="887"/>
      <c r="S70" s="887"/>
      <c r="T70" s="887"/>
      <c r="U70" s="887"/>
      <c r="V70" s="887"/>
      <c r="W70" s="887"/>
      <c r="X70" s="887"/>
      <c r="Y70" s="887"/>
      <c r="Z70" s="887"/>
      <c r="AA70" s="887"/>
      <c r="AB70" s="887"/>
    </row>
    <row r="71" spans="1:28" ht="18" customHeight="1" thickBot="1">
      <c r="A71" s="507"/>
      <c r="B71" s="523"/>
      <c r="C71" s="544"/>
      <c r="D71" s="545"/>
      <c r="E71" s="545"/>
      <c r="F71" s="544"/>
      <c r="G71" s="544"/>
      <c r="H71" s="546"/>
      <c r="I71" s="547"/>
      <c r="J71" s="548"/>
      <c r="K71" s="547"/>
      <c r="L71" s="548"/>
      <c r="M71" s="504"/>
      <c r="N71" s="497"/>
      <c r="O71" s="49"/>
      <c r="P71" s="49"/>
      <c r="Q71" s="49"/>
      <c r="R71" s="887"/>
      <c r="S71" s="887"/>
      <c r="T71" s="887"/>
      <c r="U71" s="887"/>
      <c r="V71" s="887"/>
      <c r="W71" s="887"/>
      <c r="X71" s="887"/>
      <c r="Y71" s="887"/>
      <c r="Z71" s="887"/>
      <c r="AA71" s="887"/>
      <c r="AB71" s="887"/>
    </row>
    <row r="72" spans="1:28" ht="16.5" customHeight="1">
      <c r="A72" s="507"/>
      <c r="B72" s="1301" t="s">
        <v>372</v>
      </c>
      <c r="C72" s="128" t="s">
        <v>373</v>
      </c>
      <c r="D72" s="217" t="s">
        <v>312</v>
      </c>
      <c r="E72" s="128"/>
      <c r="F72" s="218" t="s">
        <v>85</v>
      </c>
      <c r="G72" s="588">
        <v>0</v>
      </c>
      <c r="H72" s="146" t="s">
        <v>374</v>
      </c>
      <c r="I72" s="130">
        <f>VLOOKUP(D72,'6. Safety'!B6:C9,2,FALSE)</f>
        <v>0</v>
      </c>
      <c r="J72" s="143">
        <f t="shared" ref="J72:J78" si="11">I72/($F$13*1000)</f>
        <v>0</v>
      </c>
      <c r="K72" s="109">
        <f t="shared" ref="K72:L78" si="12">I72*$J$16</f>
        <v>0</v>
      </c>
      <c r="L72" s="110">
        <f t="shared" si="12"/>
        <v>0</v>
      </c>
      <c r="M72" s="504"/>
      <c r="N72" s="497"/>
      <c r="O72" s="49"/>
      <c r="P72" s="49"/>
      <c r="Q72" s="49"/>
      <c r="R72" s="887"/>
      <c r="S72" s="887"/>
      <c r="T72" s="887"/>
      <c r="U72" s="887"/>
      <c r="V72" s="887"/>
      <c r="W72" s="887"/>
      <c r="X72" s="887"/>
      <c r="Y72" s="887"/>
      <c r="Z72" s="887"/>
      <c r="AA72" s="887"/>
      <c r="AB72" s="887"/>
    </row>
    <row r="73" spans="1:28" ht="15.75" customHeight="1">
      <c r="A73" s="507"/>
      <c r="B73" s="1302"/>
      <c r="C73" s="549" t="s">
        <v>375</v>
      </c>
      <c r="D73" s="540" t="s">
        <v>312</v>
      </c>
      <c r="E73" s="549" t="s">
        <v>376</v>
      </c>
      <c r="F73" s="213" t="s">
        <v>85</v>
      </c>
      <c r="G73" s="586">
        <v>0</v>
      </c>
      <c r="H73" s="550" t="s">
        <v>374</v>
      </c>
      <c r="I73" s="100">
        <f>VLOOKUP(D73,'6. Safety'!E6:F9,2,FALSE)</f>
        <v>0</v>
      </c>
      <c r="J73" s="551">
        <f t="shared" si="11"/>
        <v>0</v>
      </c>
      <c r="K73" s="111">
        <f t="shared" si="12"/>
        <v>0</v>
      </c>
      <c r="L73" s="112">
        <f t="shared" si="12"/>
        <v>0</v>
      </c>
      <c r="M73" s="504"/>
      <c r="N73" s="497"/>
      <c r="O73" s="49"/>
      <c r="P73" s="49"/>
      <c r="Q73" s="49"/>
      <c r="R73" s="887"/>
      <c r="S73" s="887"/>
      <c r="T73" s="887"/>
      <c r="U73" s="887"/>
      <c r="V73" s="887"/>
      <c r="W73" s="887"/>
      <c r="X73" s="887"/>
      <c r="Y73" s="887"/>
      <c r="Z73" s="887"/>
      <c r="AA73" s="887"/>
      <c r="AB73" s="887"/>
    </row>
    <row r="74" spans="1:28" ht="15.75" customHeight="1">
      <c r="A74" s="507"/>
      <c r="B74" s="1302"/>
      <c r="C74" s="47" t="s">
        <v>377</v>
      </c>
      <c r="D74" s="540" t="s">
        <v>141</v>
      </c>
      <c r="E74" s="47" t="s">
        <v>376</v>
      </c>
      <c r="F74" s="213" t="s">
        <v>85</v>
      </c>
      <c r="G74" s="586">
        <v>25</v>
      </c>
      <c r="H74" s="552" t="s">
        <v>374</v>
      </c>
      <c r="I74" s="98">
        <f>VLOOKUP(D74,'6. Safety'!H6:I7,2,FALSE)*G74</f>
        <v>750</v>
      </c>
      <c r="J74" s="108">
        <f t="shared" si="11"/>
        <v>7.4999999999999997E-3</v>
      </c>
      <c r="K74" s="113">
        <f t="shared" si="12"/>
        <v>931.08908050731532</v>
      </c>
      <c r="L74" s="114">
        <f t="shared" si="12"/>
        <v>9.3108908050731527E-3</v>
      </c>
      <c r="M74" s="504"/>
      <c r="N74" s="497"/>
      <c r="O74" s="49"/>
      <c r="P74" s="49"/>
      <c r="Q74" s="49"/>
      <c r="R74" s="887"/>
      <c r="S74" s="887"/>
      <c r="T74" s="887"/>
      <c r="U74" s="887"/>
      <c r="V74" s="887"/>
      <c r="W74" s="887"/>
      <c r="X74" s="887"/>
      <c r="Y74" s="887"/>
      <c r="Z74" s="887"/>
      <c r="AA74" s="887"/>
      <c r="AB74" s="887"/>
    </row>
    <row r="75" spans="1:28" ht="15.75" customHeight="1">
      <c r="A75" s="507"/>
      <c r="B75" s="1302"/>
      <c r="C75" s="549" t="s">
        <v>378</v>
      </c>
      <c r="D75" s="540" t="s">
        <v>312</v>
      </c>
      <c r="E75" s="549" t="s">
        <v>376</v>
      </c>
      <c r="F75" s="213" t="s">
        <v>85</v>
      </c>
      <c r="G75" s="586">
        <v>0</v>
      </c>
      <c r="H75" s="550" t="s">
        <v>374</v>
      </c>
      <c r="I75" s="100">
        <f>VLOOKUP(D75,'6. Safety'!K6:L7,2,FALSE)*G75</f>
        <v>0</v>
      </c>
      <c r="J75" s="551">
        <f t="shared" si="11"/>
        <v>0</v>
      </c>
      <c r="K75" s="111">
        <f t="shared" si="12"/>
        <v>0</v>
      </c>
      <c r="L75" s="112">
        <f t="shared" si="12"/>
        <v>0</v>
      </c>
      <c r="M75" s="504"/>
      <c r="N75" s="497"/>
      <c r="O75" s="49"/>
      <c r="P75" s="49"/>
      <c r="Q75" s="49"/>
      <c r="R75" s="887"/>
      <c r="S75" s="887"/>
      <c r="T75" s="887"/>
      <c r="U75" s="887"/>
      <c r="V75" s="887"/>
      <c r="W75" s="887"/>
      <c r="X75" s="887"/>
      <c r="Y75" s="887"/>
      <c r="Z75" s="887"/>
      <c r="AA75" s="887"/>
      <c r="AB75" s="887"/>
    </row>
    <row r="76" spans="1:28" ht="15.75" customHeight="1">
      <c r="A76" s="507"/>
      <c r="B76" s="1302"/>
      <c r="C76" s="47" t="s">
        <v>379</v>
      </c>
      <c r="D76" s="540" t="s">
        <v>312</v>
      </c>
      <c r="E76" s="47" t="s">
        <v>376</v>
      </c>
      <c r="F76" s="213" t="s">
        <v>85</v>
      </c>
      <c r="G76" s="127"/>
      <c r="H76" s="552" t="s">
        <v>374</v>
      </c>
      <c r="I76" s="98">
        <f>VLOOKUP(D76,'6. Safety'!N6:O8,2,FALSE)</f>
        <v>0</v>
      </c>
      <c r="J76" s="108">
        <f t="shared" si="11"/>
        <v>0</v>
      </c>
      <c r="K76" s="113">
        <f t="shared" si="12"/>
        <v>0</v>
      </c>
      <c r="L76" s="114">
        <f t="shared" si="12"/>
        <v>0</v>
      </c>
      <c r="M76" s="504"/>
      <c r="N76" s="497"/>
      <c r="O76" s="49"/>
      <c r="P76" s="49"/>
      <c r="Q76" s="49"/>
      <c r="R76" s="887"/>
      <c r="S76" s="887"/>
      <c r="T76" s="887"/>
      <c r="U76" s="887"/>
      <c r="V76" s="887"/>
      <c r="W76" s="887"/>
      <c r="X76" s="887"/>
      <c r="Y76" s="887"/>
      <c r="Z76" s="887"/>
      <c r="AA76" s="887"/>
      <c r="AB76" s="887"/>
    </row>
    <row r="77" spans="1:28" ht="16.5" customHeight="1">
      <c r="A77" s="507"/>
      <c r="B77" s="1302"/>
      <c r="C77" s="549" t="s">
        <v>380</v>
      </c>
      <c r="D77" s="540" t="s">
        <v>312</v>
      </c>
      <c r="E77" s="549"/>
      <c r="F77" s="213" t="s">
        <v>85</v>
      </c>
      <c r="G77" s="586">
        <v>0</v>
      </c>
      <c r="H77" s="550"/>
      <c r="I77" s="100">
        <f>VLOOKUP(D77,'6. Safety'!T6:U8,2,FALSE)*SOLAR!G77</f>
        <v>0</v>
      </c>
      <c r="J77" s="551">
        <f t="shared" si="11"/>
        <v>0</v>
      </c>
      <c r="K77" s="111">
        <f t="shared" si="12"/>
        <v>0</v>
      </c>
      <c r="L77" s="112">
        <f t="shared" si="12"/>
        <v>0</v>
      </c>
      <c r="M77" s="504"/>
      <c r="N77" s="497"/>
      <c r="O77" s="49"/>
      <c r="P77" s="49"/>
      <c r="Q77" s="49"/>
      <c r="R77" s="887"/>
      <c r="S77" s="887"/>
      <c r="T77" s="887"/>
      <c r="U77" s="887"/>
      <c r="V77" s="887"/>
      <c r="W77" s="887"/>
      <c r="X77" s="887"/>
      <c r="Y77" s="887"/>
      <c r="Z77" s="887"/>
      <c r="AA77" s="887"/>
      <c r="AB77" s="887"/>
    </row>
    <row r="78" spans="1:28" ht="18" customHeight="1" thickBot="1">
      <c r="A78" s="507"/>
      <c r="B78" s="1303"/>
      <c r="C78" s="132" t="s">
        <v>381</v>
      </c>
      <c r="D78" s="245" t="s">
        <v>312</v>
      </c>
      <c r="E78" s="132" t="s">
        <v>376</v>
      </c>
      <c r="F78" s="216" t="s">
        <v>85</v>
      </c>
      <c r="G78" s="589"/>
      <c r="H78" s="330" t="s">
        <v>374</v>
      </c>
      <c r="I78" s="331">
        <f>VLOOKUP(D78,'6. Safety'!Q6:R8,2,FALSE)</f>
        <v>0</v>
      </c>
      <c r="J78" s="328">
        <f t="shared" si="11"/>
        <v>0</v>
      </c>
      <c r="K78" s="123">
        <f t="shared" si="12"/>
        <v>0</v>
      </c>
      <c r="L78" s="133">
        <f t="shared" si="12"/>
        <v>0</v>
      </c>
      <c r="M78" s="504"/>
      <c r="N78" s="497"/>
      <c r="O78" s="49"/>
      <c r="P78" s="49"/>
      <c r="Q78" s="49"/>
      <c r="R78" s="887"/>
      <c r="S78" s="887"/>
      <c r="T78" s="887"/>
      <c r="U78" s="887"/>
      <c r="V78" s="887"/>
      <c r="W78" s="887"/>
      <c r="X78" s="887"/>
      <c r="Y78" s="887"/>
      <c r="Z78" s="887"/>
      <c r="AA78" s="887"/>
      <c r="AB78" s="887"/>
    </row>
    <row r="79" spans="1:28" ht="18" customHeight="1">
      <c r="A79" s="507"/>
      <c r="B79" s="523"/>
      <c r="C79" s="556"/>
      <c r="E79" s="555"/>
      <c r="F79" s="556"/>
      <c r="G79" s="556"/>
      <c r="H79" s="557"/>
      <c r="I79" s="558"/>
      <c r="J79" s="559"/>
      <c r="K79" s="558"/>
      <c r="L79" s="559"/>
      <c r="M79" s="504"/>
      <c r="N79" s="497"/>
      <c r="O79" s="49"/>
      <c r="P79" s="49"/>
      <c r="Q79" s="49"/>
      <c r="R79" s="887"/>
      <c r="S79" s="887"/>
      <c r="T79" s="887"/>
      <c r="U79" s="887"/>
      <c r="V79" s="887"/>
      <c r="W79" s="887"/>
      <c r="X79" s="887"/>
      <c r="Y79" s="887"/>
      <c r="Z79" s="887"/>
      <c r="AA79" s="887"/>
      <c r="AB79" s="887"/>
    </row>
    <row r="80" spans="1:28" ht="15" customHeight="1" thickBot="1">
      <c r="A80" s="507"/>
      <c r="B80" s="523"/>
      <c r="C80" s="556"/>
      <c r="D80" s="555"/>
      <c r="E80" s="555"/>
      <c r="F80" s="556"/>
      <c r="G80" s="556"/>
      <c r="H80" s="557"/>
      <c r="I80" s="558"/>
      <c r="J80" s="559"/>
      <c r="K80" s="558"/>
      <c r="L80" s="559"/>
      <c r="M80" s="504"/>
      <c r="N80" s="497"/>
      <c r="O80" s="49"/>
      <c r="P80" s="49"/>
      <c r="Q80" s="49"/>
      <c r="R80" s="887"/>
      <c r="S80" s="887"/>
      <c r="T80" s="887"/>
      <c r="U80" s="887"/>
      <c r="V80" s="887"/>
      <c r="W80" s="887"/>
      <c r="X80" s="887"/>
      <c r="Y80" s="887"/>
      <c r="Z80" s="887"/>
      <c r="AA80" s="887"/>
      <c r="AB80" s="887"/>
    </row>
    <row r="81" spans="1:29" ht="15" customHeight="1">
      <c r="A81" s="507"/>
      <c r="B81" s="1301" t="s">
        <v>382</v>
      </c>
      <c r="C81" s="128" t="s">
        <v>383</v>
      </c>
      <c r="D81" s="217" t="s">
        <v>384</v>
      </c>
      <c r="E81" s="129"/>
      <c r="F81" s="218" t="s">
        <v>85</v>
      </c>
      <c r="G81" s="126"/>
      <c r="H81" s="147" t="s">
        <v>385</v>
      </c>
      <c r="I81" s="131">
        <f>VLOOKUP(D81,'7. Monitoring + Warranty'!C20:D22,2,FALSE)</f>
        <v>1800</v>
      </c>
      <c r="J81" s="110">
        <f>I81/($F$13*1000)</f>
        <v>1.7999999999999999E-2</v>
      </c>
      <c r="K81" s="109">
        <f t="shared" ref="K81:L85" si="13">I81*$J$16</f>
        <v>2234.6137932175566</v>
      </c>
      <c r="L81" s="117">
        <f t="shared" si="13"/>
        <v>2.2346137932175564E-2</v>
      </c>
      <c r="M81" s="504"/>
      <c r="N81" s="497"/>
      <c r="O81" s="49"/>
      <c r="P81" s="49"/>
      <c r="Q81" s="49"/>
      <c r="R81" s="887"/>
      <c r="S81" s="887"/>
      <c r="T81" s="887"/>
      <c r="U81" s="887"/>
      <c r="V81" s="887"/>
      <c r="W81" s="887"/>
      <c r="X81" s="887"/>
      <c r="Y81" s="887"/>
      <c r="Z81" s="887"/>
      <c r="AA81" s="887"/>
      <c r="AB81" s="887"/>
    </row>
    <row r="82" spans="1:29" ht="17.25" customHeight="1">
      <c r="A82" s="507"/>
      <c r="B82" s="1302"/>
      <c r="C82" s="549" t="s">
        <v>386</v>
      </c>
      <c r="D82" s="540" t="s">
        <v>387</v>
      </c>
      <c r="E82" s="554"/>
      <c r="F82" s="213" t="s">
        <v>85</v>
      </c>
      <c r="G82" s="248"/>
      <c r="H82" s="150" t="s">
        <v>385</v>
      </c>
      <c r="I82" s="553">
        <f>VLOOKUP(D82,'7. Monitoring + Warranty'!F4:G12,2,FALSE)</f>
        <v>400</v>
      </c>
      <c r="J82" s="551">
        <f>I82/($F$13*1000)</f>
        <v>4.0000000000000001E-3</v>
      </c>
      <c r="K82" s="111">
        <f t="shared" si="13"/>
        <v>496.58084293723482</v>
      </c>
      <c r="L82" s="112">
        <f t="shared" si="13"/>
        <v>4.9658084293723488E-3</v>
      </c>
      <c r="M82" s="504"/>
      <c r="N82" s="497"/>
      <c r="O82" s="49"/>
      <c r="P82" s="49"/>
      <c r="Q82" s="49"/>
      <c r="R82" s="887"/>
      <c r="S82" s="887"/>
      <c r="T82" s="887"/>
      <c r="U82" s="887"/>
      <c r="V82" s="887"/>
      <c r="W82" s="887"/>
      <c r="X82" s="887"/>
      <c r="Y82" s="887"/>
      <c r="Z82" s="887"/>
      <c r="AA82" s="887"/>
      <c r="AB82" s="887"/>
    </row>
    <row r="83" spans="1:29" ht="17.25" customHeight="1">
      <c r="A83" s="507"/>
      <c r="B83" s="1302"/>
      <c r="C83" s="549" t="s">
        <v>388</v>
      </c>
      <c r="D83" s="540" t="s">
        <v>312</v>
      </c>
      <c r="E83" s="554"/>
      <c r="F83" s="213" t="s">
        <v>85</v>
      </c>
      <c r="G83" s="248"/>
      <c r="H83" s="150" t="s">
        <v>389</v>
      </c>
      <c r="I83" s="553">
        <f>VLOOKUP(D83,'7. Monitoring + Warranty'!I5:J7,2,FALSE)</f>
        <v>0</v>
      </c>
      <c r="J83" s="551">
        <f>I83/($F$13*1000)</f>
        <v>0</v>
      </c>
      <c r="K83" s="111">
        <f t="shared" si="13"/>
        <v>0</v>
      </c>
      <c r="L83" s="112">
        <f t="shared" si="13"/>
        <v>0</v>
      </c>
      <c r="M83" s="504"/>
      <c r="N83" s="497"/>
      <c r="O83" s="49"/>
      <c r="P83" s="49"/>
      <c r="Q83" s="49"/>
      <c r="R83" s="887"/>
      <c r="S83" s="887"/>
      <c r="T83" s="887"/>
      <c r="U83" s="887"/>
      <c r="V83" s="887"/>
      <c r="W83" s="887"/>
      <c r="X83" s="887"/>
      <c r="Y83" s="887"/>
      <c r="Z83" s="887"/>
      <c r="AA83" s="887"/>
      <c r="AB83" s="887"/>
    </row>
    <row r="84" spans="1:29" ht="18" customHeight="1">
      <c r="A84" s="507"/>
      <c r="B84" s="1302"/>
      <c r="C84" s="47" t="s">
        <v>390</v>
      </c>
      <c r="D84" s="540" t="s">
        <v>391</v>
      </c>
      <c r="E84" s="43"/>
      <c r="F84" s="213" t="s">
        <v>85</v>
      </c>
      <c r="G84" s="127"/>
      <c r="H84" s="151" t="s">
        <v>385</v>
      </c>
      <c r="I84" s="48">
        <f>VLOOKUP(D84,Table411[],2,FALSE)</f>
        <v>300</v>
      </c>
      <c r="J84" s="108">
        <f>I84/($F$13*1000)</f>
        <v>3.0000000000000001E-3</v>
      </c>
      <c r="K84" s="113">
        <f t="shared" si="13"/>
        <v>372.43563220292612</v>
      </c>
      <c r="L84" s="114">
        <f t="shared" si="13"/>
        <v>3.7243563220292612E-3</v>
      </c>
      <c r="M84" s="504"/>
      <c r="N84" s="497"/>
      <c r="O84" s="49"/>
      <c r="P84" s="49"/>
      <c r="Q84" s="49"/>
      <c r="R84" s="887"/>
      <c r="S84" s="887"/>
      <c r="T84" s="887"/>
      <c r="U84" s="887"/>
      <c r="V84" s="887"/>
      <c r="W84" s="887"/>
      <c r="X84" s="887"/>
      <c r="Y84" s="887"/>
      <c r="Z84" s="887"/>
      <c r="AA84" s="887"/>
      <c r="AB84" s="887"/>
      <c r="AC84" s="49" t="str">
        <f>"-"</f>
        <v>-</v>
      </c>
    </row>
    <row r="85" spans="1:29" ht="16.2" thickBot="1">
      <c r="A85" s="507"/>
      <c r="B85" s="1303"/>
      <c r="C85" s="142" t="s">
        <v>392</v>
      </c>
      <c r="D85" s="216" t="str">
        <f>IF(F13&gt;100, "Included", "Not Included")</f>
        <v>Not Included</v>
      </c>
      <c r="E85" s="148"/>
      <c r="F85" s="216" t="s">
        <v>85</v>
      </c>
      <c r="G85" s="249"/>
      <c r="H85" s="152" t="s">
        <v>326</v>
      </c>
      <c r="I85" s="149">
        <f>IF(AND(F13&gt;100,F19="Yes"),400,0)</f>
        <v>0</v>
      </c>
      <c r="J85" s="144">
        <f>I85/($F$13*1000)</f>
        <v>0</v>
      </c>
      <c r="K85" s="115">
        <f t="shared" si="13"/>
        <v>0</v>
      </c>
      <c r="L85" s="116">
        <f t="shared" si="13"/>
        <v>0</v>
      </c>
      <c r="M85" s="504"/>
      <c r="N85" s="497"/>
      <c r="O85" s="49"/>
      <c r="P85" s="49"/>
      <c r="Q85" s="49"/>
      <c r="R85" s="887"/>
      <c r="S85" s="887"/>
      <c r="T85" s="887"/>
      <c r="U85" s="887"/>
      <c r="V85" s="887"/>
      <c r="W85" s="887"/>
      <c r="X85" s="887"/>
      <c r="Y85" s="887"/>
      <c r="Z85" s="887"/>
      <c r="AA85" s="887"/>
      <c r="AB85" s="887"/>
    </row>
    <row r="86" spans="1:29" ht="15.6">
      <c r="A86" s="507"/>
      <c r="B86" s="523"/>
      <c r="C86" s="556"/>
      <c r="D86" s="555"/>
      <c r="E86" s="555"/>
      <c r="F86" s="556"/>
      <c r="G86" s="556"/>
      <c r="H86" s="557"/>
      <c r="I86" s="558"/>
      <c r="J86" s="559"/>
      <c r="K86" s="558"/>
      <c r="L86" s="559"/>
      <c r="M86" s="504"/>
      <c r="N86" s="497"/>
      <c r="O86" s="49"/>
      <c r="P86" s="49"/>
      <c r="Q86" s="49"/>
      <c r="R86" s="887"/>
      <c r="S86" s="887"/>
      <c r="T86" s="887"/>
      <c r="U86" s="887"/>
      <c r="V86" s="887"/>
      <c r="W86" s="887"/>
      <c r="X86" s="887"/>
      <c r="Y86" s="887"/>
      <c r="Z86" s="887"/>
      <c r="AA86" s="887"/>
      <c r="AB86" s="887"/>
    </row>
    <row r="87" spans="1:29" ht="16.5" customHeight="1" thickBot="1">
      <c r="A87" s="507"/>
      <c r="B87" s="523"/>
      <c r="C87" s="556"/>
      <c r="D87" s="555"/>
      <c r="E87" s="555"/>
      <c r="F87" s="556"/>
      <c r="G87" s="556"/>
      <c r="H87" s="557"/>
      <c r="I87" s="558"/>
      <c r="J87" s="559"/>
      <c r="K87" s="558"/>
      <c r="L87" s="559"/>
      <c r="M87" s="504"/>
      <c r="N87" s="497"/>
      <c r="O87" s="49"/>
      <c r="P87" s="49"/>
      <c r="Q87" s="49"/>
      <c r="R87" s="887"/>
      <c r="S87" s="887"/>
      <c r="T87" s="887"/>
      <c r="U87" s="887"/>
      <c r="V87" s="887"/>
      <c r="W87" s="887"/>
      <c r="X87" s="887"/>
      <c r="Y87" s="887"/>
      <c r="Z87" s="887"/>
      <c r="AA87" s="887"/>
      <c r="AB87" s="887"/>
    </row>
    <row r="88" spans="1:29" ht="17.25" customHeight="1">
      <c r="A88" s="507"/>
      <c r="B88" s="1286" t="s">
        <v>393</v>
      </c>
      <c r="C88" s="128" t="s">
        <v>394</v>
      </c>
      <c r="D88" s="323" t="str">
        <f>VLOOKUP(E38,'2. PV Components'!D:H,2,FALSE) &amp; " Year Panel Product Warranty"</f>
        <v>12 Year Panel Product Warranty</v>
      </c>
      <c r="E88" s="129"/>
      <c r="F88" s="218" t="s">
        <v>85</v>
      </c>
      <c r="G88" s="126"/>
      <c r="H88" s="147" t="s">
        <v>395</v>
      </c>
      <c r="I88" s="131">
        <f>VLOOKUP(D88,'7. Monitoring + Warranty'!V5:W10,2,FALSE)</f>
        <v>0</v>
      </c>
      <c r="J88" s="143">
        <f t="shared" ref="J88:J93" si="14">I88/($F$13*1000)</f>
        <v>0</v>
      </c>
      <c r="K88" s="109">
        <f t="shared" ref="K88:L93" si="15">I88*$J$16</f>
        <v>0</v>
      </c>
      <c r="L88" s="117">
        <f t="shared" si="15"/>
        <v>0</v>
      </c>
      <c r="M88" s="504"/>
      <c r="N88" s="497"/>
      <c r="O88" s="49"/>
      <c r="P88" s="49"/>
      <c r="Q88" s="49"/>
      <c r="R88" s="887"/>
      <c r="S88" s="887"/>
      <c r="T88" s="887"/>
      <c r="U88" s="887"/>
      <c r="V88" s="887"/>
      <c r="W88" s="887"/>
      <c r="X88" s="887"/>
      <c r="Y88" s="887"/>
      <c r="Z88" s="887"/>
      <c r="AA88" s="887"/>
      <c r="AB88" s="887"/>
    </row>
    <row r="89" spans="1:29" ht="17.25" customHeight="1">
      <c r="A89" s="507"/>
      <c r="B89" s="1300"/>
      <c r="C89" s="539" t="s">
        <v>396</v>
      </c>
      <c r="D89" s="563" t="str">
        <f>VLOOKUP(E38,'2. PV Components'!D:H,3,FALSE) &amp; " Year Panel Performance Warranty"</f>
        <v>25 Year Panel Performance Warranty</v>
      </c>
      <c r="E89" s="541"/>
      <c r="F89" s="213" t="s">
        <v>85</v>
      </c>
      <c r="G89" s="248"/>
      <c r="H89" s="215" t="s">
        <v>395</v>
      </c>
      <c r="I89" s="565">
        <f>VLOOKUP(D89,'7. Monitoring + Warranty'!V5:W8,2,FALSE)</f>
        <v>0</v>
      </c>
      <c r="J89" s="542">
        <f t="shared" si="14"/>
        <v>0</v>
      </c>
      <c r="K89" s="121">
        <f t="shared" si="15"/>
        <v>0</v>
      </c>
      <c r="L89" s="122">
        <f t="shared" si="15"/>
        <v>0</v>
      </c>
      <c r="M89" s="504"/>
      <c r="N89" s="497"/>
      <c r="O89" s="49"/>
      <c r="P89" s="49"/>
      <c r="Q89" s="49"/>
      <c r="R89" s="887"/>
      <c r="S89" s="887"/>
      <c r="T89" s="887"/>
      <c r="U89" s="887"/>
      <c r="V89" s="887"/>
      <c r="W89" s="887"/>
      <c r="X89" s="887"/>
      <c r="Y89" s="887"/>
      <c r="Z89" s="887"/>
      <c r="AA89" s="887"/>
      <c r="AB89" s="887"/>
    </row>
    <row r="90" spans="1:29" ht="17.25" customHeight="1">
      <c r="A90" s="507"/>
      <c r="B90" s="1300"/>
      <c r="C90" s="47" t="s">
        <v>321</v>
      </c>
      <c r="D90" s="563" t="str">
        <f>VLOOKUP(SOLAR!E39,'2. PV Components'!P8:S131,2,FALSE)&amp;" Year Inverter Warranty"</f>
        <v>10 Year Inverter Warranty</v>
      </c>
      <c r="E90" s="43"/>
      <c r="F90" s="213" t="s">
        <v>85</v>
      </c>
      <c r="G90" s="127"/>
      <c r="H90" s="151" t="s">
        <v>395</v>
      </c>
      <c r="I90" s="48">
        <f>0</f>
        <v>0</v>
      </c>
      <c r="J90" s="108">
        <f t="shared" si="14"/>
        <v>0</v>
      </c>
      <c r="K90" s="113">
        <f t="shared" si="15"/>
        <v>0</v>
      </c>
      <c r="L90" s="119">
        <f t="shared" si="15"/>
        <v>0</v>
      </c>
      <c r="M90" s="504"/>
      <c r="N90" s="497"/>
      <c r="O90" s="49"/>
      <c r="P90" s="49"/>
      <c r="Q90" s="49"/>
      <c r="R90" s="887"/>
      <c r="S90" s="887"/>
      <c r="T90" s="887"/>
      <c r="U90" s="887"/>
      <c r="V90" s="887"/>
      <c r="W90" s="887"/>
      <c r="X90" s="887"/>
      <c r="Y90" s="887"/>
      <c r="Z90" s="887"/>
      <c r="AA90" s="887"/>
      <c r="AB90" s="887"/>
    </row>
    <row r="91" spans="1:29" ht="17.25" customHeight="1">
      <c r="A91" s="507"/>
      <c r="B91" s="1300"/>
      <c r="C91" s="539" t="s">
        <v>397</v>
      </c>
      <c r="D91" s="540" t="s">
        <v>312</v>
      </c>
      <c r="E91" s="541" t="s">
        <v>398</v>
      </c>
      <c r="F91" s="213" t="s">
        <v>85</v>
      </c>
      <c r="G91" s="248"/>
      <c r="H91" s="215" t="s">
        <v>395</v>
      </c>
      <c r="I91" s="565">
        <f>VLOOKUP(D91,'7. Monitoring + Warranty'!V17:W18,2,FALSE)</f>
        <v>0</v>
      </c>
      <c r="J91" s="542">
        <f t="shared" si="14"/>
        <v>0</v>
      </c>
      <c r="K91" s="121">
        <f t="shared" si="15"/>
        <v>0</v>
      </c>
      <c r="L91" s="122">
        <f t="shared" si="15"/>
        <v>0</v>
      </c>
      <c r="M91" s="504"/>
      <c r="N91" s="497"/>
      <c r="O91" s="49"/>
      <c r="P91" s="49"/>
      <c r="Q91" s="49"/>
      <c r="R91" s="887"/>
      <c r="S91" s="887"/>
      <c r="T91" s="887"/>
      <c r="U91" s="887"/>
      <c r="V91" s="887"/>
      <c r="W91" s="887"/>
      <c r="X91" s="887"/>
      <c r="Y91" s="887"/>
      <c r="Z91" s="887"/>
      <c r="AA91" s="887"/>
      <c r="AB91" s="887"/>
    </row>
    <row r="92" spans="1:29" ht="17.25" customHeight="1">
      <c r="A92" s="507"/>
      <c r="B92" s="1300"/>
      <c r="C92" s="47" t="s">
        <v>399</v>
      </c>
      <c r="D92" s="540" t="s">
        <v>141</v>
      </c>
      <c r="E92" s="43" t="s">
        <v>400</v>
      </c>
      <c r="F92" s="213" t="s">
        <v>85</v>
      </c>
      <c r="G92" s="127"/>
      <c r="H92" s="151" t="s">
        <v>395</v>
      </c>
      <c r="I92" s="48">
        <f>VLOOKUP(D92,'7. Monitoring + Warranty'!V21:W22,2,FALSE)</f>
        <v>0</v>
      </c>
      <c r="J92" s="108">
        <f t="shared" si="14"/>
        <v>0</v>
      </c>
      <c r="K92" s="113">
        <f t="shared" si="15"/>
        <v>0</v>
      </c>
      <c r="L92" s="119">
        <f t="shared" si="15"/>
        <v>0</v>
      </c>
      <c r="M92" s="504"/>
      <c r="N92" s="497"/>
      <c r="O92" s="49"/>
      <c r="P92" s="49"/>
      <c r="Q92" s="49"/>
      <c r="R92" s="887"/>
      <c r="S92" s="887"/>
      <c r="T92" s="887"/>
      <c r="U92" s="887"/>
      <c r="V92" s="887"/>
      <c r="W92" s="887"/>
      <c r="X92" s="887"/>
      <c r="Y92" s="887"/>
      <c r="Z92" s="887"/>
      <c r="AA92" s="887"/>
      <c r="AB92" s="887"/>
    </row>
    <row r="93" spans="1:29" ht="18" customHeight="1" thickBot="1">
      <c r="A93" s="507"/>
      <c r="B93" s="1287"/>
      <c r="C93" s="325" t="s">
        <v>401</v>
      </c>
      <c r="D93" s="245" t="s">
        <v>141</v>
      </c>
      <c r="E93" s="141"/>
      <c r="F93" s="216" t="s">
        <v>85</v>
      </c>
      <c r="G93" s="249"/>
      <c r="H93" s="153" t="s">
        <v>395</v>
      </c>
      <c r="I93" s="140">
        <f>IF(D93="Included",'Service Model'!L26,0)</f>
        <v>1636.1647863936191</v>
      </c>
      <c r="J93" s="326">
        <f t="shared" si="14"/>
        <v>1.636164786393619E-2</v>
      </c>
      <c r="K93" s="289">
        <f t="shared" si="15"/>
        <v>2031.2202220289105</v>
      </c>
      <c r="L93" s="124">
        <f t="shared" si="15"/>
        <v>2.0312202220289101E-2</v>
      </c>
      <c r="M93" s="504"/>
      <c r="N93" s="497"/>
      <c r="O93" s="49"/>
      <c r="P93" s="49"/>
      <c r="Q93" s="49"/>
      <c r="R93" s="887"/>
      <c r="S93" s="887"/>
      <c r="T93" s="887"/>
      <c r="U93" s="887"/>
      <c r="V93" s="887"/>
      <c r="W93" s="887"/>
      <c r="X93" s="887"/>
      <c r="Y93" s="887"/>
      <c r="Z93" s="887"/>
      <c r="AA93" s="887"/>
      <c r="AB93" s="887"/>
    </row>
    <row r="94" spans="1:29" ht="16.5" customHeight="1">
      <c r="A94" s="507"/>
      <c r="B94" s="523"/>
      <c r="C94" s="556"/>
      <c r="D94" s="555"/>
      <c r="E94" s="555"/>
      <c r="F94" s="556"/>
      <c r="G94" s="556"/>
      <c r="H94" s="557"/>
      <c r="I94" s="558"/>
      <c r="J94" s="559"/>
      <c r="K94" s="558"/>
      <c r="L94" s="559"/>
      <c r="M94" s="504"/>
      <c r="N94" s="497"/>
      <c r="O94" s="49"/>
      <c r="P94" s="49"/>
      <c r="Q94" s="49"/>
      <c r="R94" s="887"/>
      <c r="S94" s="887"/>
      <c r="T94" s="887"/>
      <c r="U94" s="887"/>
      <c r="V94" s="887"/>
      <c r="W94" s="887"/>
      <c r="X94" s="887"/>
      <c r="Y94" s="887"/>
      <c r="Z94" s="887"/>
      <c r="AA94" s="887"/>
      <c r="AB94" s="887"/>
    </row>
    <row r="95" spans="1:29" ht="17.25" customHeight="1" thickBot="1">
      <c r="A95" s="507"/>
      <c r="B95" s="523"/>
      <c r="C95" s="556"/>
      <c r="D95" s="555"/>
      <c r="E95" s="555"/>
      <c r="F95" s="556"/>
      <c r="G95" s="556"/>
      <c r="H95" s="557"/>
      <c r="I95" s="558"/>
      <c r="J95" s="559"/>
      <c r="K95" s="558"/>
      <c r="L95" s="559"/>
      <c r="M95" s="504"/>
      <c r="N95" s="497"/>
      <c r="O95" s="49"/>
      <c r="P95" s="49"/>
      <c r="Q95" s="49"/>
      <c r="R95" s="887"/>
      <c r="S95" s="887"/>
      <c r="T95" s="887"/>
      <c r="U95" s="887"/>
      <c r="V95" s="887"/>
      <c r="W95" s="887"/>
      <c r="X95" s="887"/>
      <c r="Y95" s="887"/>
      <c r="Z95" s="887"/>
      <c r="AA95" s="887"/>
      <c r="AB95" s="887"/>
    </row>
    <row r="96" spans="1:29" ht="17.25" customHeight="1">
      <c r="A96" s="507"/>
      <c r="B96" s="1289" t="s">
        <v>402</v>
      </c>
      <c r="C96" s="128" t="s">
        <v>403</v>
      </c>
      <c r="D96" s="516" t="s">
        <v>404</v>
      </c>
      <c r="E96" s="129"/>
      <c r="F96" s="244" t="s">
        <v>85</v>
      </c>
      <c r="G96" s="126"/>
      <c r="H96" s="146" t="s">
        <v>385</v>
      </c>
      <c r="I96" s="109">
        <f>VLOOKUP(D96,'7. Monitoring + Warranty'!P5:Q7,2,FALSE)</f>
        <v>0</v>
      </c>
      <c r="J96" s="110">
        <f t="shared" ref="J96:J103" si="16">I96/($F$13*1000)</f>
        <v>0</v>
      </c>
      <c r="K96" s="131">
        <f>I96*$J$16</f>
        <v>0</v>
      </c>
      <c r="L96" s="117">
        <f>J96*$J$16</f>
        <v>0</v>
      </c>
      <c r="M96" s="504"/>
      <c r="N96" s="497"/>
      <c r="O96" s="49"/>
      <c r="P96" s="49"/>
      <c r="Q96" s="49"/>
      <c r="R96" s="887"/>
      <c r="S96" s="887"/>
      <c r="T96" s="887"/>
      <c r="U96" s="887"/>
      <c r="V96" s="887"/>
      <c r="W96" s="887"/>
      <c r="X96" s="887"/>
      <c r="Y96" s="887"/>
      <c r="Z96" s="887"/>
      <c r="AA96" s="887"/>
      <c r="AB96" s="887"/>
    </row>
    <row r="97" spans="1:28" ht="18" customHeight="1">
      <c r="A97" s="507"/>
      <c r="B97" s="1290"/>
      <c r="C97" s="539" t="s">
        <v>405</v>
      </c>
      <c r="D97" s="517" t="s">
        <v>312</v>
      </c>
      <c r="E97" s="518"/>
      <c r="F97" s="213" t="str">
        <f>IF(D97="Included",EV!D4,"N/A")</f>
        <v>N/A</v>
      </c>
      <c r="G97" s="248"/>
      <c r="H97" s="215" t="s">
        <v>326</v>
      </c>
      <c r="I97" s="565">
        <f>IF(D97="Included",EV!E4,0)/VLOOKUP(EV!C4,'EV Chargers Backend'!G2:H4,2,FALSE)</f>
        <v>0</v>
      </c>
      <c r="J97" s="542">
        <f t="shared" si="16"/>
        <v>0</v>
      </c>
      <c r="K97" s="121">
        <f>IF(D97="Included",EV!E4,0)</f>
        <v>0</v>
      </c>
      <c r="L97" s="122">
        <f>K97/(F13*1000)</f>
        <v>0</v>
      </c>
      <c r="M97" s="504"/>
      <c r="N97" s="497"/>
      <c r="O97" s="49"/>
      <c r="P97" s="49"/>
      <c r="Q97" s="49"/>
      <c r="R97" s="887"/>
      <c r="S97" s="887"/>
      <c r="T97" s="887"/>
      <c r="U97" s="887"/>
      <c r="V97" s="887"/>
      <c r="W97" s="887"/>
      <c r="X97" s="887"/>
      <c r="Y97" s="887"/>
      <c r="Z97" s="887"/>
      <c r="AA97" s="887"/>
      <c r="AB97" s="887"/>
    </row>
    <row r="98" spans="1:28" ht="15.6">
      <c r="A98" s="507"/>
      <c r="B98" s="1290"/>
      <c r="C98" s="47"/>
      <c r="D98" s="520"/>
      <c r="E98" s="519"/>
      <c r="F98" s="213" t="s">
        <v>85</v>
      </c>
      <c r="G98" s="127"/>
      <c r="H98" s="151"/>
      <c r="I98" s="566">
        <f>IF(D98="-",ERROR,0)</f>
        <v>0</v>
      </c>
      <c r="J98" s="108">
        <f t="shared" si="16"/>
        <v>0</v>
      </c>
      <c r="K98" s="113">
        <f t="shared" ref="K98:K100" si="17">I98*$J$16</f>
        <v>0</v>
      </c>
      <c r="L98" s="119">
        <f>J98*$J$16</f>
        <v>0</v>
      </c>
      <c r="M98" s="504"/>
      <c r="N98" s="497"/>
      <c r="O98" s="49"/>
      <c r="P98" s="49"/>
      <c r="Q98" s="49"/>
      <c r="R98" s="887"/>
      <c r="S98" s="887"/>
      <c r="T98" s="887"/>
      <c r="U98" s="887"/>
      <c r="V98" s="887"/>
      <c r="W98" s="887"/>
      <c r="X98" s="887"/>
      <c r="Y98" s="887"/>
      <c r="Z98" s="887"/>
      <c r="AA98" s="887"/>
      <c r="AB98" s="887"/>
    </row>
    <row r="99" spans="1:28" ht="17.25" customHeight="1">
      <c r="A99" s="507"/>
      <c r="B99" s="1290"/>
      <c r="C99" s="539"/>
      <c r="D99" s="520"/>
      <c r="E99" s="518"/>
      <c r="F99" s="213" t="s">
        <v>85</v>
      </c>
      <c r="G99" s="248"/>
      <c r="H99" s="215" t="s">
        <v>326</v>
      </c>
      <c r="I99" s="565">
        <f>IF(D99="-",ERROR,0)</f>
        <v>0</v>
      </c>
      <c r="J99" s="542">
        <f t="shared" si="16"/>
        <v>0</v>
      </c>
      <c r="K99" s="121">
        <f t="shared" si="17"/>
        <v>0</v>
      </c>
      <c r="L99" s="122">
        <f>J99*$J$16</f>
        <v>0</v>
      </c>
      <c r="M99" s="504"/>
      <c r="N99" s="49"/>
      <c r="O99" s="50"/>
      <c r="P99" s="50"/>
      <c r="Q99" s="50"/>
      <c r="R99" s="887"/>
      <c r="S99" s="887"/>
      <c r="T99" s="887"/>
      <c r="U99" s="887"/>
      <c r="V99" s="887"/>
      <c r="W99" s="887"/>
      <c r="X99" s="887"/>
      <c r="Y99" s="887"/>
      <c r="Z99" s="887"/>
      <c r="AA99" s="887"/>
      <c r="AB99" s="887"/>
    </row>
    <row r="100" spans="1:28" ht="16.5" customHeight="1">
      <c r="A100" s="507"/>
      <c r="B100" s="1290"/>
      <c r="C100" s="47"/>
      <c r="D100" s="520"/>
      <c r="E100" s="519"/>
      <c r="F100" s="213" t="s">
        <v>85</v>
      </c>
      <c r="G100" s="127"/>
      <c r="H100" s="151"/>
      <c r="I100" s="566">
        <f>IF(D100="-",ERROR,0)</f>
        <v>0</v>
      </c>
      <c r="J100" s="108">
        <f t="shared" si="16"/>
        <v>0</v>
      </c>
      <c r="K100" s="113">
        <f t="shared" si="17"/>
        <v>0</v>
      </c>
      <c r="L100" s="119">
        <f>J100*$J$16</f>
        <v>0</v>
      </c>
      <c r="M100" s="504"/>
      <c r="N100" s="49"/>
      <c r="O100" s="50"/>
      <c r="P100" s="50"/>
      <c r="Q100" s="50"/>
      <c r="R100" s="887"/>
      <c r="S100" s="887"/>
      <c r="T100" s="887"/>
      <c r="U100" s="887"/>
      <c r="V100" s="887"/>
      <c r="W100" s="887"/>
      <c r="X100" s="887"/>
      <c r="Y100" s="887"/>
      <c r="Z100" s="887"/>
      <c r="AA100" s="887"/>
      <c r="AB100" s="887"/>
    </row>
    <row r="101" spans="1:28" ht="17.25" customHeight="1">
      <c r="A101" s="507"/>
      <c r="B101" s="1290"/>
      <c r="C101" s="539"/>
      <c r="D101" s="520"/>
      <c r="E101" s="518"/>
      <c r="F101" s="213" t="s">
        <v>85</v>
      </c>
      <c r="G101" s="248"/>
      <c r="H101" s="215" t="s">
        <v>326</v>
      </c>
      <c r="I101" s="565">
        <f>IF(D101="-",ERROR,0)</f>
        <v>0</v>
      </c>
      <c r="J101" s="542">
        <f t="shared" si="16"/>
        <v>0</v>
      </c>
      <c r="K101" s="121">
        <f>I101*$J$16</f>
        <v>0</v>
      </c>
      <c r="L101" s="122">
        <f>J101*$J$16</f>
        <v>0</v>
      </c>
      <c r="M101" s="504"/>
      <c r="N101" s="49"/>
      <c r="O101" s="49"/>
      <c r="P101" s="49"/>
      <c r="Q101" s="49"/>
      <c r="R101" s="887"/>
      <c r="S101" s="887"/>
      <c r="T101" s="887"/>
      <c r="U101" s="887"/>
      <c r="V101" s="887"/>
      <c r="W101" s="887"/>
      <c r="X101" s="887"/>
      <c r="Y101" s="887"/>
      <c r="Z101" s="887"/>
      <c r="AA101" s="887"/>
      <c r="AB101" s="887"/>
    </row>
    <row r="102" spans="1:28" ht="17.25" customHeight="1">
      <c r="A102" s="507"/>
      <c r="B102" s="1290"/>
      <c r="C102" s="47" t="s">
        <v>406</v>
      </c>
      <c r="D102" s="520" t="s">
        <v>312</v>
      </c>
      <c r="E102" s="519"/>
      <c r="F102" s="213" t="s">
        <v>85</v>
      </c>
      <c r="G102" s="591">
        <v>0</v>
      </c>
      <c r="H102" s="151"/>
      <c r="I102" s="566">
        <f>VLOOKUP(D102,'7. Monitoring + Warranty'!Y5:Z7,2,FALSE)</f>
        <v>0</v>
      </c>
      <c r="J102" s="108">
        <f t="shared" si="16"/>
        <v>0</v>
      </c>
      <c r="K102" s="113">
        <f>I102</f>
        <v>0</v>
      </c>
      <c r="L102" s="119">
        <f>J102</f>
        <v>0</v>
      </c>
      <c r="M102" s="504"/>
      <c r="N102" s="49"/>
      <c r="O102" s="49"/>
      <c r="P102" s="49"/>
      <c r="Q102" s="49"/>
      <c r="R102" s="887"/>
      <c r="S102" s="887"/>
      <c r="T102" s="887"/>
      <c r="U102" s="887"/>
      <c r="V102" s="887"/>
      <c r="W102" s="887"/>
      <c r="X102" s="887"/>
      <c r="Y102" s="887"/>
      <c r="Z102" s="887"/>
      <c r="AA102" s="887"/>
      <c r="AB102" s="887"/>
    </row>
    <row r="103" spans="1:28" ht="17.25" customHeight="1" thickBot="1">
      <c r="A103" s="507"/>
      <c r="B103" s="1291"/>
      <c r="C103" s="325" t="s">
        <v>407</v>
      </c>
      <c r="D103" s="521"/>
      <c r="E103" s="141"/>
      <c r="F103" s="216" t="s">
        <v>85</v>
      </c>
      <c r="G103" s="590"/>
      <c r="H103" s="153" t="s">
        <v>326</v>
      </c>
      <c r="I103" s="140">
        <f>G103</f>
        <v>0</v>
      </c>
      <c r="J103" s="326">
        <f t="shared" si="16"/>
        <v>0</v>
      </c>
      <c r="K103" s="289">
        <f>I103</f>
        <v>0</v>
      </c>
      <c r="L103" s="124">
        <f>J103</f>
        <v>0</v>
      </c>
      <c r="M103" s="504"/>
      <c r="N103" s="49"/>
      <c r="O103" s="49"/>
      <c r="P103" s="49"/>
      <c r="Q103" s="49"/>
      <c r="R103" s="887"/>
      <c r="S103" s="887"/>
      <c r="T103" s="887"/>
      <c r="U103" s="887"/>
      <c r="V103" s="887"/>
      <c r="W103" s="887"/>
      <c r="X103" s="887"/>
      <c r="Y103" s="887"/>
      <c r="Z103" s="887"/>
      <c r="AA103" s="887"/>
      <c r="AB103" s="887"/>
    </row>
    <row r="104" spans="1:28" ht="17.25" customHeight="1">
      <c r="A104" s="507"/>
      <c r="B104" s="543"/>
      <c r="C104" s="524"/>
      <c r="D104" s="524"/>
      <c r="E104" s="524"/>
      <c r="F104" s="524"/>
      <c r="G104" s="524"/>
      <c r="H104" s="524"/>
      <c r="I104" s="524"/>
      <c r="J104" s="524"/>
      <c r="K104" s="524"/>
      <c r="L104" s="524"/>
      <c r="M104" s="504"/>
      <c r="N104" s="49"/>
      <c r="O104" s="49"/>
      <c r="P104" s="49"/>
      <c r="Q104" s="49"/>
      <c r="R104" s="887"/>
      <c r="S104" s="887"/>
      <c r="T104" s="887"/>
      <c r="U104" s="887"/>
      <c r="V104" s="887"/>
      <c r="W104" s="887"/>
      <c r="X104" s="887"/>
      <c r="Y104" s="887"/>
      <c r="Z104" s="887"/>
      <c r="AA104" s="887"/>
      <c r="AB104" s="887"/>
    </row>
    <row r="105" spans="1:28" ht="17.25" customHeight="1" thickBot="1">
      <c r="A105" s="507"/>
      <c r="B105" s="523"/>
      <c r="C105" s="556"/>
      <c r="D105" s="555"/>
      <c r="E105" s="555"/>
      <c r="F105" s="556"/>
      <c r="G105" s="556"/>
      <c r="H105" s="557"/>
      <c r="I105" s="558"/>
      <c r="J105" s="559"/>
      <c r="K105" s="558"/>
      <c r="L105" s="559"/>
      <c r="M105" s="504"/>
      <c r="N105" s="49"/>
      <c r="O105" s="49"/>
      <c r="P105" s="49"/>
      <c r="Q105" s="49"/>
      <c r="R105" s="887"/>
      <c r="S105" s="887"/>
      <c r="T105" s="887"/>
      <c r="U105" s="887"/>
      <c r="V105" s="887"/>
      <c r="W105" s="887"/>
      <c r="X105" s="887"/>
      <c r="Y105" s="887"/>
      <c r="Z105" s="887"/>
      <c r="AA105" s="887"/>
      <c r="AB105" s="887"/>
    </row>
    <row r="106" spans="1:28" ht="17.25" customHeight="1">
      <c r="A106" s="507"/>
      <c r="B106" s="1316" t="s">
        <v>408</v>
      </c>
      <c r="C106" s="128" t="s">
        <v>21</v>
      </c>
      <c r="D106" s="465" t="s">
        <v>13</v>
      </c>
      <c r="E106" s="129"/>
      <c r="F106" s="218" t="s">
        <v>85</v>
      </c>
      <c r="G106" s="126"/>
      <c r="H106" s="147" t="s">
        <v>395</v>
      </c>
      <c r="I106" s="109"/>
      <c r="J106" s="110"/>
      <c r="K106" s="109"/>
      <c r="L106" s="117"/>
      <c r="M106" s="504"/>
      <c r="N106" s="49"/>
      <c r="O106" s="49"/>
      <c r="P106" s="49"/>
      <c r="Q106" s="49"/>
      <c r="R106" s="887"/>
      <c r="S106" s="887"/>
      <c r="T106" s="887"/>
      <c r="U106" s="887"/>
      <c r="V106" s="887"/>
      <c r="W106" s="887"/>
      <c r="X106" s="887"/>
      <c r="Y106" s="887"/>
      <c r="Z106" s="887"/>
      <c r="AA106" s="887"/>
      <c r="AB106" s="887"/>
    </row>
    <row r="107" spans="1:28" ht="17.25" customHeight="1">
      <c r="A107" s="507"/>
      <c r="B107" s="1317"/>
      <c r="C107" s="539" t="s">
        <v>33</v>
      </c>
      <c r="D107" s="464" t="s">
        <v>13</v>
      </c>
      <c r="E107" s="541"/>
      <c r="F107" s="213" t="s">
        <v>85</v>
      </c>
      <c r="G107" s="248"/>
      <c r="H107" s="215" t="s">
        <v>395</v>
      </c>
      <c r="I107" s="121"/>
      <c r="J107" s="649"/>
      <c r="K107" s="121"/>
      <c r="L107" s="122"/>
      <c r="M107" s="504"/>
      <c r="N107" s="49"/>
      <c r="O107" s="49"/>
      <c r="P107" s="49"/>
      <c r="Q107" s="49"/>
      <c r="R107" s="887"/>
      <c r="S107" s="887"/>
      <c r="T107" s="887"/>
      <c r="U107" s="887"/>
      <c r="V107" s="887"/>
      <c r="W107" s="887"/>
      <c r="X107" s="887"/>
      <c r="Y107" s="887"/>
      <c r="Z107" s="887"/>
      <c r="AA107" s="887"/>
      <c r="AB107" s="887"/>
    </row>
    <row r="108" spans="1:28" ht="17.25" customHeight="1">
      <c r="A108" s="507"/>
      <c r="B108" s="1317"/>
      <c r="C108" s="47" t="s">
        <v>409</v>
      </c>
      <c r="D108" s="464" t="s">
        <v>13</v>
      </c>
      <c r="E108" s="43"/>
      <c r="F108" s="213" t="s">
        <v>85</v>
      </c>
      <c r="G108" s="127"/>
      <c r="H108" s="151" t="s">
        <v>395</v>
      </c>
      <c r="I108" s="113"/>
      <c r="J108" s="114"/>
      <c r="K108" s="113"/>
      <c r="L108" s="119"/>
      <c r="M108" s="504"/>
      <c r="N108" s="49"/>
      <c r="O108" s="49"/>
      <c r="P108" s="49"/>
      <c r="Q108" s="49"/>
      <c r="R108" s="887"/>
      <c r="S108" s="887"/>
      <c r="T108" s="887"/>
      <c r="U108" s="887"/>
      <c r="V108" s="887"/>
      <c r="W108" s="887"/>
      <c r="X108" s="887"/>
      <c r="Y108" s="887"/>
      <c r="Z108" s="887"/>
      <c r="AA108" s="887"/>
      <c r="AB108" s="887"/>
    </row>
    <row r="109" spans="1:28" ht="17.25" customHeight="1">
      <c r="A109" s="507"/>
      <c r="B109" s="1317"/>
      <c r="C109" s="539" t="s">
        <v>39</v>
      </c>
      <c r="D109" s="464" t="s">
        <v>13</v>
      </c>
      <c r="E109" s="541"/>
      <c r="F109" s="213" t="s">
        <v>85</v>
      </c>
      <c r="G109" s="248"/>
      <c r="H109" s="215"/>
      <c r="I109" s="121">
        <f>VLOOKUP(D109,Internal!G57:J60,4,FALSE)</f>
        <v>0</v>
      </c>
      <c r="J109" s="649">
        <f>I109/($F$13*1000)</f>
        <v>0</v>
      </c>
      <c r="K109" s="121">
        <f>I109*$J$16</f>
        <v>0</v>
      </c>
      <c r="L109" s="122">
        <f>J109*$J$16</f>
        <v>0</v>
      </c>
      <c r="M109" s="504"/>
      <c r="N109" s="49"/>
      <c r="O109" s="49"/>
      <c r="P109" s="49"/>
      <c r="Q109" s="49"/>
      <c r="R109" s="887"/>
      <c r="S109" s="887"/>
      <c r="T109" s="887"/>
      <c r="U109" s="887"/>
      <c r="V109" s="887"/>
      <c r="W109" s="887"/>
      <c r="X109" s="887"/>
      <c r="Y109" s="887"/>
      <c r="Z109" s="887"/>
      <c r="AA109" s="887"/>
      <c r="AB109" s="887"/>
    </row>
    <row r="110" spans="1:28" ht="17.25" customHeight="1">
      <c r="A110" s="507"/>
      <c r="B110" s="1317"/>
      <c r="C110" s="47" t="s">
        <v>410</v>
      </c>
      <c r="D110" s="464" t="s">
        <v>31</v>
      </c>
      <c r="E110" s="43"/>
      <c r="F110" s="213" t="s">
        <v>85</v>
      </c>
      <c r="H110" s="151" t="s">
        <v>395</v>
      </c>
      <c r="I110" s="113"/>
      <c r="J110" s="114"/>
      <c r="K110" s="113"/>
      <c r="L110" s="119"/>
      <c r="M110" s="504"/>
      <c r="N110" s="49"/>
      <c r="O110" s="49"/>
      <c r="P110" s="49"/>
      <c r="Q110" s="49"/>
      <c r="R110" s="887"/>
      <c r="S110" s="887"/>
      <c r="T110" s="887"/>
      <c r="U110" s="887"/>
      <c r="V110" s="887"/>
      <c r="W110" s="887"/>
      <c r="X110" s="887"/>
      <c r="Y110" s="887"/>
      <c r="Z110" s="887"/>
      <c r="AA110" s="887"/>
      <c r="AB110" s="887"/>
    </row>
    <row r="111" spans="1:28" ht="17.25" customHeight="1">
      <c r="A111" s="507"/>
      <c r="B111" s="1317"/>
      <c r="C111" s="539" t="s">
        <v>47</v>
      </c>
      <c r="D111" s="464" t="s">
        <v>55</v>
      </c>
      <c r="E111" s="541"/>
      <c r="F111" s="213" t="s">
        <v>85</v>
      </c>
      <c r="G111" s="248"/>
      <c r="H111" s="215" t="s">
        <v>395</v>
      </c>
      <c r="I111" s="121"/>
      <c r="J111" s="649"/>
      <c r="K111" s="121"/>
      <c r="L111" s="122"/>
      <c r="M111" s="504"/>
      <c r="N111" s="49"/>
      <c r="O111" s="49"/>
      <c r="P111" s="49"/>
      <c r="Q111" s="49"/>
      <c r="R111" s="887"/>
      <c r="S111" s="887"/>
      <c r="T111" s="887"/>
      <c r="U111" s="887"/>
      <c r="V111" s="887"/>
      <c r="W111" s="887"/>
      <c r="X111" s="887"/>
      <c r="Y111" s="887"/>
      <c r="Z111" s="887"/>
      <c r="AA111" s="887"/>
      <c r="AB111" s="887"/>
    </row>
    <row r="112" spans="1:28" ht="17.25" customHeight="1">
      <c r="A112" s="507"/>
      <c r="B112" s="1317"/>
      <c r="C112" s="47" t="s">
        <v>411</v>
      </c>
      <c r="D112" s="464" t="s">
        <v>128</v>
      </c>
      <c r="E112" s="43"/>
      <c r="F112" s="213" t="s">
        <v>85</v>
      </c>
      <c r="G112" s="127"/>
      <c r="H112" s="151" t="s">
        <v>395</v>
      </c>
      <c r="I112" s="113"/>
      <c r="J112" s="114"/>
      <c r="K112" s="113"/>
      <c r="L112" s="119"/>
      <c r="M112" s="504"/>
      <c r="N112" s="49"/>
      <c r="O112" s="49"/>
      <c r="P112" s="49"/>
      <c r="Q112" s="49"/>
      <c r="R112" s="887"/>
      <c r="S112" s="887"/>
      <c r="T112" s="887"/>
      <c r="U112" s="887"/>
      <c r="V112" s="887"/>
      <c r="W112" s="887"/>
      <c r="X112" s="887"/>
      <c r="Y112" s="887"/>
      <c r="Z112" s="887"/>
      <c r="AA112" s="887"/>
      <c r="AB112" s="887"/>
    </row>
    <row r="113" spans="1:28" ht="16.5" customHeight="1">
      <c r="A113" s="507"/>
      <c r="B113" s="1317"/>
      <c r="C113" s="539" t="s">
        <v>42</v>
      </c>
      <c r="D113" s="577" t="str">
        <f>IF(D44="Not Included","None","Included")</f>
        <v>None</v>
      </c>
      <c r="E113" s="539" t="s">
        <v>412</v>
      </c>
      <c r="F113" s="592" t="str">
        <f>G44</f>
        <v/>
      </c>
      <c r="G113" s="248"/>
      <c r="H113" s="215" t="s">
        <v>395</v>
      </c>
      <c r="I113" s="121"/>
      <c r="J113" s="649"/>
      <c r="K113" s="121"/>
      <c r="L113" s="122"/>
      <c r="M113" s="504"/>
      <c r="N113" s="49"/>
      <c r="O113" s="49"/>
      <c r="P113" s="49"/>
      <c r="Q113" s="49"/>
      <c r="R113" s="887"/>
      <c r="S113" s="887"/>
      <c r="T113" s="887"/>
      <c r="U113" s="887"/>
      <c r="V113" s="887"/>
      <c r="W113" s="887"/>
      <c r="X113" s="887"/>
      <c r="Y113" s="887"/>
      <c r="Z113" s="887"/>
      <c r="AA113" s="887"/>
      <c r="AB113" s="887"/>
    </row>
    <row r="114" spans="1:28" ht="16.5" customHeight="1">
      <c r="A114" s="507"/>
      <c r="B114" s="1317"/>
      <c r="C114" s="47" t="s">
        <v>413</v>
      </c>
      <c r="D114" s="464" t="s">
        <v>138</v>
      </c>
      <c r="E114" s="43"/>
      <c r="F114" s="213" t="s">
        <v>85</v>
      </c>
      <c r="G114" s="127"/>
      <c r="H114" s="151" t="s">
        <v>395</v>
      </c>
      <c r="I114" s="113"/>
      <c r="J114" s="114"/>
      <c r="K114" s="113"/>
      <c r="L114" s="119"/>
      <c r="M114" s="504"/>
      <c r="N114" s="49"/>
      <c r="O114" s="49"/>
      <c r="P114" s="49"/>
      <c r="Q114" s="49"/>
      <c r="R114" s="887"/>
      <c r="S114" s="887"/>
      <c r="T114" s="887"/>
      <c r="U114" s="887"/>
      <c r="V114" s="887"/>
      <c r="W114" s="887"/>
      <c r="X114" s="887"/>
      <c r="Y114" s="887"/>
      <c r="Z114" s="887"/>
      <c r="AA114" s="887"/>
      <c r="AB114" s="887"/>
    </row>
    <row r="115" spans="1:28" ht="17.25" customHeight="1">
      <c r="A115" s="507"/>
      <c r="B115" s="1317"/>
      <c r="C115" s="47" t="s">
        <v>70</v>
      </c>
      <c r="D115" s="464" t="s">
        <v>9</v>
      </c>
      <c r="E115" s="43"/>
      <c r="F115" s="213" t="s">
        <v>85</v>
      </c>
      <c r="G115" s="127"/>
      <c r="H115" s="151" t="s">
        <v>395</v>
      </c>
      <c r="I115" s="113"/>
      <c r="J115" s="114"/>
      <c r="K115" s="113"/>
      <c r="L115" s="119"/>
      <c r="M115" s="504"/>
      <c r="N115" s="49"/>
      <c r="O115" s="49"/>
      <c r="P115" s="49"/>
      <c r="Q115" s="49"/>
      <c r="R115" s="887"/>
      <c r="S115" s="887"/>
      <c r="T115" s="887"/>
      <c r="U115" s="887"/>
      <c r="V115" s="887"/>
      <c r="W115" s="887"/>
      <c r="X115" s="887"/>
      <c r="Y115" s="887"/>
      <c r="Z115" s="887"/>
      <c r="AA115" s="887"/>
      <c r="AB115" s="887"/>
    </row>
    <row r="116" spans="1:28" ht="17.25" customHeight="1">
      <c r="A116" s="507"/>
      <c r="B116" s="1317"/>
      <c r="C116" s="539" t="s">
        <v>414</v>
      </c>
      <c r="D116" s="464" t="s">
        <v>68</v>
      </c>
      <c r="E116" s="541"/>
      <c r="F116" s="213" t="s">
        <v>85</v>
      </c>
      <c r="G116" s="248"/>
      <c r="H116" s="215" t="s">
        <v>395</v>
      </c>
      <c r="I116" s="121"/>
      <c r="J116" s="649"/>
      <c r="K116" s="121"/>
      <c r="L116" s="122"/>
      <c r="M116" s="504"/>
      <c r="N116" s="49"/>
      <c r="O116" s="49"/>
      <c r="P116" s="49"/>
      <c r="Q116" s="49"/>
      <c r="R116" s="887"/>
      <c r="S116" s="887"/>
      <c r="T116" s="887"/>
      <c r="U116" s="887"/>
      <c r="V116" s="887"/>
      <c r="W116" s="887"/>
      <c r="X116" s="887"/>
      <c r="Y116" s="887"/>
      <c r="Z116" s="887"/>
      <c r="AA116" s="887"/>
      <c r="AB116" s="887"/>
    </row>
    <row r="117" spans="1:28" ht="17.25" customHeight="1">
      <c r="A117" s="507"/>
      <c r="B117" s="1317"/>
      <c r="C117" s="47" t="s">
        <v>415</v>
      </c>
      <c r="D117" s="796" t="s">
        <v>68</v>
      </c>
      <c r="E117" s="43"/>
      <c r="F117" s="704" t="s">
        <v>85</v>
      </c>
      <c r="G117" s="127"/>
      <c r="H117" s="151" t="s">
        <v>395</v>
      </c>
      <c r="I117" s="113"/>
      <c r="J117" s="114"/>
      <c r="K117" s="113"/>
      <c r="L117" s="119"/>
      <c r="M117" s="504"/>
      <c r="N117" s="49"/>
      <c r="O117" s="49"/>
      <c r="P117" s="49"/>
      <c r="Q117" s="49"/>
      <c r="R117" s="887"/>
      <c r="S117" s="887"/>
      <c r="T117" s="887"/>
      <c r="U117" s="887"/>
      <c r="V117" s="887"/>
      <c r="W117" s="887"/>
      <c r="X117" s="887"/>
      <c r="Y117" s="887"/>
      <c r="Z117" s="887"/>
      <c r="AA117" s="887"/>
      <c r="AB117" s="887"/>
    </row>
    <row r="118" spans="1:28" ht="17.25" customHeight="1">
      <c r="A118" s="507"/>
      <c r="B118" s="1317"/>
      <c r="C118" s="807" t="s">
        <v>416</v>
      </c>
      <c r="D118" s="464" t="s">
        <v>68</v>
      </c>
      <c r="E118" s="804"/>
      <c r="F118" s="213" t="s">
        <v>85</v>
      </c>
      <c r="G118" s="808"/>
      <c r="H118" s="806" t="s">
        <v>395</v>
      </c>
      <c r="I118" s="809">
        <f>VLOOKUP(D118,'2. PV Components'!AU5:AW8,2,0)</f>
        <v>0</v>
      </c>
      <c r="J118" s="810">
        <f>I118/($F$13*1000)</f>
        <v>0</v>
      </c>
      <c r="K118" s="809">
        <f>I118*J16</f>
        <v>0</v>
      </c>
      <c r="L118" s="811">
        <f>J118*J16</f>
        <v>0</v>
      </c>
      <c r="M118" s="504"/>
      <c r="N118" s="49"/>
      <c r="O118" s="49"/>
      <c r="P118" s="49"/>
      <c r="Q118" s="49"/>
      <c r="R118" s="887"/>
      <c r="S118" s="887"/>
      <c r="T118" s="887"/>
      <c r="U118" s="887"/>
      <c r="V118" s="887"/>
      <c r="W118" s="887"/>
      <c r="X118" s="887"/>
      <c r="Y118" s="887"/>
      <c r="Z118" s="887"/>
      <c r="AA118" s="887"/>
      <c r="AB118" s="887"/>
    </row>
    <row r="119" spans="1:28" ht="17.25" customHeight="1" thickBot="1">
      <c r="A119" s="507"/>
      <c r="B119" s="1318"/>
      <c r="C119" s="805" t="s">
        <v>417</v>
      </c>
      <c r="D119" s="486" t="s">
        <v>68</v>
      </c>
      <c r="E119" s="797"/>
      <c r="F119" s="216" t="s">
        <v>85</v>
      </c>
      <c r="G119" s="798"/>
      <c r="H119" s="799" t="s">
        <v>395</v>
      </c>
      <c r="I119" s="800">
        <f>VLOOKUP(D119,'2. PV Components'!AU10:AW14,2,0)</f>
        <v>0</v>
      </c>
      <c r="J119" s="801">
        <f>I119/($F$13*1000)</f>
        <v>0</v>
      </c>
      <c r="K119" s="800">
        <f>I119*J16</f>
        <v>0</v>
      </c>
      <c r="L119" s="802">
        <f>J119*J16</f>
        <v>0</v>
      </c>
      <c r="M119" s="504"/>
      <c r="N119" s="49"/>
      <c r="O119" s="49"/>
      <c r="P119" s="49"/>
      <c r="Q119" s="49"/>
      <c r="R119" s="887"/>
      <c r="S119" s="887"/>
      <c r="T119" s="887"/>
      <c r="U119" s="887"/>
      <c r="V119" s="887"/>
      <c r="W119" s="887"/>
      <c r="X119" s="887"/>
      <c r="Y119" s="887"/>
      <c r="Z119" s="887"/>
      <c r="AA119" s="887"/>
      <c r="AB119" s="887"/>
    </row>
    <row r="120" spans="1:28" ht="16.2" thickBot="1">
      <c r="A120" s="507"/>
      <c r="B120" s="543"/>
      <c r="C120" s="524"/>
      <c r="D120" s="524"/>
      <c r="E120" s="524"/>
      <c r="F120" s="524"/>
      <c r="G120" s="524"/>
      <c r="H120" s="524"/>
      <c r="I120" s="524"/>
      <c r="J120" s="524"/>
      <c r="K120" s="524"/>
      <c r="L120" s="524"/>
      <c r="M120" s="504"/>
      <c r="N120" s="49"/>
      <c r="O120" s="49"/>
      <c r="P120" s="49"/>
      <c r="Q120" s="49"/>
      <c r="R120" s="887"/>
      <c r="S120" s="887"/>
      <c r="T120" s="887"/>
      <c r="U120" s="887"/>
      <c r="V120" s="887"/>
      <c r="W120" s="887"/>
      <c r="X120" s="887"/>
      <c r="Y120" s="887"/>
      <c r="Z120" s="887"/>
      <c r="AA120" s="887"/>
      <c r="AB120" s="887"/>
    </row>
    <row r="121" spans="1:28" ht="16.5" customHeight="1">
      <c r="A121" s="507"/>
      <c r="B121" s="1286" t="s">
        <v>418</v>
      </c>
      <c r="C121" s="128" t="s">
        <v>419</v>
      </c>
      <c r="D121" s="465" t="s">
        <v>312</v>
      </c>
      <c r="E121" s="129"/>
      <c r="F121" s="218" t="s">
        <v>85</v>
      </c>
      <c r="G121" s="126"/>
      <c r="H121" s="146"/>
      <c r="I121" s="109">
        <f>IF(D121="Included","MANUAL INPUT",0)</f>
        <v>0</v>
      </c>
      <c r="J121" s="126">
        <f>I121/($F$13*1000)</f>
        <v>0</v>
      </c>
      <c r="K121" s="131">
        <f>I121*$J$16</f>
        <v>0</v>
      </c>
      <c r="L121" s="117">
        <f>J121*$J$16</f>
        <v>0</v>
      </c>
      <c r="M121" s="504"/>
      <c r="N121" s="49"/>
      <c r="O121" s="49"/>
      <c r="P121" s="49"/>
      <c r="Q121" s="49"/>
      <c r="R121" s="887"/>
      <c r="S121" s="887"/>
      <c r="T121" s="887"/>
      <c r="U121" s="887"/>
      <c r="V121" s="887"/>
      <c r="W121" s="887"/>
      <c r="X121" s="887"/>
      <c r="Y121" s="887"/>
      <c r="Z121" s="887"/>
      <c r="AA121" s="887"/>
      <c r="AB121" s="887"/>
    </row>
    <row r="122" spans="1:28" ht="16.5" customHeight="1" thickBot="1">
      <c r="A122" s="507"/>
      <c r="B122" s="1287"/>
      <c r="C122" s="325" t="s">
        <v>420</v>
      </c>
      <c r="D122" s="486" t="s">
        <v>312</v>
      </c>
      <c r="E122" s="141"/>
      <c r="F122" s="216" t="s">
        <v>85</v>
      </c>
      <c r="G122" s="249"/>
      <c r="H122" s="511"/>
      <c r="I122" s="289">
        <f>IF(D122="Included","MANUAL INPUT",0)</f>
        <v>0</v>
      </c>
      <c r="J122" s="249">
        <f>I122/($F$13*1000)</f>
        <v>0</v>
      </c>
      <c r="K122" s="289">
        <f>I122*$J$16</f>
        <v>0</v>
      </c>
      <c r="L122" s="650">
        <f>J122*$J$16</f>
        <v>0</v>
      </c>
      <c r="M122" s="504"/>
      <c r="N122" s="49"/>
      <c r="O122" s="49"/>
      <c r="P122" s="49"/>
      <c r="Q122" s="49"/>
      <c r="R122" s="887"/>
      <c r="S122" s="887"/>
      <c r="T122" s="887"/>
      <c r="U122" s="887"/>
      <c r="V122" s="887"/>
      <c r="W122" s="887"/>
      <c r="X122" s="887"/>
      <c r="Y122" s="887"/>
      <c r="Z122" s="887"/>
      <c r="AA122" s="887"/>
      <c r="AB122" s="887"/>
    </row>
    <row r="123" spans="1:28" ht="16.5" customHeight="1" thickBot="1">
      <c r="A123" s="507"/>
      <c r="B123" s="524"/>
      <c r="C123" s="524"/>
      <c r="D123" s="524"/>
      <c r="E123" s="524"/>
      <c r="F123" s="524"/>
      <c r="G123" s="524" t="s">
        <v>421</v>
      </c>
      <c r="H123" s="524"/>
      <c r="I123" s="835">
        <f>SUM(I31:I43,I48:I122)</f>
        <v>92204.692941155547</v>
      </c>
      <c r="J123" s="524"/>
      <c r="K123" s="524"/>
      <c r="L123" s="524"/>
      <c r="M123" s="504"/>
      <c r="N123" s="49"/>
      <c r="O123" s="49"/>
      <c r="P123" s="49"/>
      <c r="Q123" s="49"/>
      <c r="R123" s="887"/>
      <c r="S123" s="887"/>
      <c r="T123" s="887"/>
      <c r="U123" s="887"/>
      <c r="V123" s="887"/>
      <c r="W123" s="887"/>
      <c r="X123" s="887"/>
      <c r="Y123" s="887"/>
      <c r="Z123" s="887"/>
      <c r="AA123" s="887"/>
      <c r="AB123" s="887"/>
    </row>
    <row r="124" spans="1:28" ht="16.5" customHeight="1" thickBot="1">
      <c r="A124" s="324"/>
      <c r="B124" s="524"/>
      <c r="C124" s="524"/>
      <c r="D124" s="524"/>
      <c r="E124" s="524"/>
      <c r="F124" s="524"/>
      <c r="G124" s="524"/>
      <c r="H124" s="445" t="s">
        <v>422</v>
      </c>
      <c r="I124" s="99">
        <f>SUM(I31:I122)</f>
        <v>92204.692941155547</v>
      </c>
      <c r="J124" s="97">
        <f>SUM(J31:J122)</f>
        <v>0.92204692941155542</v>
      </c>
      <c r="K124" s="96">
        <f>SUM(K31:K122)+J17</f>
        <v>115389.75728813134</v>
      </c>
      <c r="L124" s="97">
        <f>SUM(L31:L122)+J17/(F13*1000)</f>
        <v>1.1538975728813139</v>
      </c>
      <c r="M124" s="504"/>
      <c r="N124" s="49"/>
      <c r="O124" s="49"/>
      <c r="P124" s="49"/>
      <c r="Q124" s="49"/>
      <c r="R124" s="887"/>
      <c r="S124" s="887"/>
      <c r="T124" s="887"/>
      <c r="U124" s="887"/>
      <c r="V124" s="887"/>
      <c r="W124" s="887"/>
      <c r="X124" s="887"/>
      <c r="Y124" s="887"/>
      <c r="Z124" s="887"/>
      <c r="AA124" s="887"/>
      <c r="AB124" s="887"/>
    </row>
    <row r="125" spans="1:28" ht="16.5" customHeight="1" thickBot="1">
      <c r="A125" s="524"/>
      <c r="B125" s="524"/>
      <c r="C125" s="524"/>
      <c r="D125" s="524"/>
      <c r="E125" s="524"/>
      <c r="F125" s="524"/>
      <c r="G125" s="524"/>
      <c r="H125" s="101"/>
      <c r="I125" s="568"/>
      <c r="J125" s="568"/>
      <c r="K125" s="568"/>
      <c r="L125" s="568"/>
      <c r="M125" s="504"/>
      <c r="N125" s="49"/>
      <c r="O125" s="49"/>
      <c r="P125" s="49"/>
      <c r="Q125" s="49"/>
      <c r="R125" s="887"/>
      <c r="S125" s="887"/>
      <c r="T125" s="887"/>
      <c r="U125" s="887"/>
      <c r="V125" s="887"/>
      <c r="W125" s="887"/>
      <c r="X125" s="887"/>
      <c r="Y125" s="887"/>
      <c r="Z125" s="887"/>
      <c r="AA125" s="887"/>
      <c r="AB125" s="887"/>
    </row>
    <row r="126" spans="1:28" ht="16.5" customHeight="1">
      <c r="A126" s="507"/>
      <c r="B126" s="524"/>
      <c r="C126" s="524"/>
      <c r="D126" s="524"/>
      <c r="E126" s="524"/>
      <c r="F126" s="524"/>
      <c r="G126" s="463" t="s">
        <v>423</v>
      </c>
      <c r="H126" s="466" t="e">
        <f>#REF!</f>
        <v>#REF!</v>
      </c>
      <c r="I126" s="467">
        <f>K124</f>
        <v>115389.75728813134</v>
      </c>
      <c r="J126" s="468">
        <f>I126/($F$13*1000)</f>
        <v>1.1538975728813134</v>
      </c>
      <c r="K126" s="469"/>
      <c r="L126" s="568"/>
      <c r="M126" s="504"/>
      <c r="N126" s="49"/>
      <c r="O126" s="49"/>
      <c r="P126" s="49"/>
      <c r="Q126" s="49"/>
      <c r="R126" s="887"/>
      <c r="S126" s="887"/>
      <c r="T126" s="887"/>
      <c r="U126" s="887"/>
      <c r="V126" s="887"/>
      <c r="W126" s="887"/>
      <c r="X126" s="887"/>
      <c r="Y126" s="887"/>
      <c r="Z126" s="887"/>
      <c r="AA126" s="887"/>
      <c r="AB126" s="887"/>
    </row>
    <row r="127" spans="1:28" ht="16.5" customHeight="1">
      <c r="A127" s="507"/>
      <c r="B127" s="524"/>
      <c r="C127" s="524"/>
      <c r="D127" s="524"/>
      <c r="E127" s="524" t="s">
        <v>424</v>
      </c>
      <c r="F127" s="524" t="str" cm="1">
        <f t="array" ref="F127">IF(SUMPRODUCT(--ISTEXT(Internal!C10:D32))&gt;0,"NO. CHECK INTERNAL TAB","YES")</f>
        <v>NO. CHECK INTERNAL TAB</v>
      </c>
      <c r="G127" s="463" t="s">
        <v>425</v>
      </c>
      <c r="H127" s="470" t="e">
        <f>#REF!-J18</f>
        <v>#REF!</v>
      </c>
      <c r="I127" s="467">
        <f>K124-I124</f>
        <v>23185.064346975792</v>
      </c>
      <c r="J127" s="468">
        <f>I127/($F$13*1000)</f>
        <v>0.23185064346975792</v>
      </c>
      <c r="K127" s="471">
        <f>I127/I$126</f>
        <v>0.20092827034103261</v>
      </c>
      <c r="L127" s="568"/>
      <c r="M127" s="504"/>
      <c r="N127" s="49"/>
      <c r="O127" s="49"/>
      <c r="P127" s="49"/>
      <c r="Q127" s="49"/>
      <c r="R127" s="887"/>
      <c r="S127" s="887"/>
      <c r="T127" s="887"/>
      <c r="U127" s="887"/>
      <c r="V127" s="887"/>
      <c r="W127" s="887"/>
      <c r="X127" s="887"/>
      <c r="Y127" s="887"/>
      <c r="Z127" s="887"/>
      <c r="AA127" s="887"/>
      <c r="AB127" s="887"/>
    </row>
    <row r="128" spans="1:28" ht="16.5" customHeight="1">
      <c r="A128" s="507"/>
      <c r="B128" s="524"/>
      <c r="C128" s="524"/>
      <c r="D128" s="524"/>
      <c r="E128" s="524"/>
      <c r="G128" s="463" t="s">
        <v>426</v>
      </c>
      <c r="H128" s="469"/>
      <c r="I128" s="467">
        <f>SUM('Internal 2'!G5:G8)</f>
        <v>15173.014813333739</v>
      </c>
      <c r="J128" s="468">
        <f>I128/($F$13*1000)</f>
        <v>0.15173014813333738</v>
      </c>
      <c r="K128" s="471">
        <f>I128/I$126</f>
        <v>0.1314936019446363</v>
      </c>
      <c r="L128" s="568"/>
      <c r="M128" s="504"/>
      <c r="N128" s="49"/>
      <c r="O128" s="49"/>
      <c r="P128" s="49"/>
      <c r="Q128" s="49"/>
      <c r="R128" s="887"/>
      <c r="S128" s="887"/>
      <c r="T128" s="887"/>
      <c r="U128" s="887"/>
      <c r="V128" s="887"/>
      <c r="W128" s="887"/>
      <c r="X128" s="887"/>
      <c r="Y128" s="887"/>
      <c r="Z128" s="887"/>
      <c r="AA128" s="887"/>
      <c r="AB128" s="887"/>
    </row>
    <row r="129" spans="1:28" ht="16.5" customHeight="1">
      <c r="A129" s="507"/>
      <c r="B129" s="524"/>
      <c r="C129" s="524"/>
      <c r="D129" s="524"/>
      <c r="E129" s="524"/>
      <c r="F129" s="524"/>
      <c r="G129" s="463" t="s">
        <v>427</v>
      </c>
      <c r="H129" s="469"/>
      <c r="I129" s="467">
        <f>I127-I128</f>
        <v>8012.0495336420536</v>
      </c>
      <c r="J129" s="475">
        <f>I129/($F$13*1000)</f>
        <v>8.012049533642053E-2</v>
      </c>
      <c r="K129" s="477">
        <f>I129/I$126</f>
        <v>6.943466839639631E-2</v>
      </c>
      <c r="L129" s="568"/>
      <c r="M129" s="504"/>
      <c r="N129" s="49"/>
      <c r="O129" s="49"/>
      <c r="P129" s="49"/>
      <c r="Q129" s="49"/>
      <c r="R129" s="887"/>
      <c r="S129" s="887"/>
      <c r="T129" s="887"/>
      <c r="U129" s="887"/>
      <c r="V129" s="887"/>
      <c r="W129" s="887"/>
      <c r="X129" s="887"/>
      <c r="Y129" s="887"/>
      <c r="Z129" s="887"/>
      <c r="AA129" s="887"/>
      <c r="AB129" s="887"/>
    </row>
    <row r="130" spans="1:28" ht="16.5" customHeight="1">
      <c r="A130" s="507"/>
      <c r="B130" s="524"/>
      <c r="C130" s="524"/>
      <c r="D130" s="524"/>
      <c r="E130" s="524"/>
      <c r="F130" s="524"/>
      <c r="G130" s="473"/>
      <c r="H130" s="473"/>
      <c r="I130" s="473"/>
      <c r="J130" s="473"/>
      <c r="K130" s="471"/>
      <c r="L130" s="568"/>
      <c r="M130" s="504"/>
      <c r="N130" s="49"/>
      <c r="O130" s="49"/>
      <c r="P130" s="49"/>
      <c r="Q130" s="49"/>
      <c r="R130" s="887"/>
      <c r="S130" s="887"/>
      <c r="T130" s="887"/>
      <c r="U130" s="887"/>
      <c r="V130" s="887"/>
      <c r="W130" s="887"/>
      <c r="X130" s="887"/>
      <c r="Y130" s="887"/>
      <c r="Z130" s="887"/>
      <c r="AA130" s="887"/>
      <c r="AB130" s="887"/>
    </row>
    <row r="131" spans="1:28" ht="16.5" customHeight="1">
      <c r="A131" s="507"/>
      <c r="B131" s="524"/>
      <c r="C131" s="524"/>
      <c r="D131" s="524"/>
      <c r="E131" s="524"/>
      <c r="F131" s="524"/>
      <c r="G131" s="463" t="s">
        <v>428</v>
      </c>
      <c r="H131" s="469"/>
      <c r="I131" s="474">
        <f>SUM('Internal 2'!C6:D6)/K124</f>
        <v>4.0225023335304692E-2</v>
      </c>
      <c r="J131" s="476"/>
      <c r="K131" s="471"/>
      <c r="L131" s="568"/>
      <c r="M131" s="504"/>
      <c r="N131" s="887"/>
      <c r="O131" s="887"/>
      <c r="P131" s="887"/>
      <c r="Q131" s="887"/>
      <c r="R131" s="887"/>
      <c r="S131" s="887"/>
      <c r="T131" s="887"/>
      <c r="U131" s="887"/>
      <c r="V131" s="887"/>
      <c r="W131" s="887"/>
      <c r="X131" s="887"/>
      <c r="Y131" s="887"/>
      <c r="Z131" s="887"/>
      <c r="AA131" s="887"/>
      <c r="AB131" s="887"/>
    </row>
    <row r="132" spans="1:28" ht="16.5" customHeight="1">
      <c r="A132" s="507"/>
      <c r="B132" s="524"/>
      <c r="C132" s="524"/>
      <c r="D132" s="524"/>
      <c r="E132" s="524"/>
      <c r="F132" s="524"/>
      <c r="G132" s="463"/>
      <c r="H132" s="469"/>
      <c r="I132" s="474"/>
      <c r="J132" s="468"/>
      <c r="K132" s="471"/>
      <c r="L132" s="568"/>
      <c r="M132" s="504"/>
      <c r="N132" s="887"/>
      <c r="O132" s="887"/>
      <c r="P132" s="887"/>
      <c r="Q132" s="887"/>
      <c r="R132" s="887"/>
      <c r="S132" s="887"/>
      <c r="T132" s="887"/>
      <c r="U132" s="887"/>
      <c r="V132" s="887"/>
      <c r="W132" s="887"/>
      <c r="X132" s="887"/>
      <c r="Y132" s="887"/>
      <c r="Z132" s="887"/>
      <c r="AA132" s="887"/>
      <c r="AB132" s="887"/>
    </row>
    <row r="133" spans="1:28" ht="16.5" customHeight="1">
      <c r="A133" s="507"/>
      <c r="B133" s="524"/>
      <c r="C133" s="524"/>
      <c r="D133" s="524"/>
      <c r="E133" s="524"/>
      <c r="F133" s="524">
        <f>((I123+'Internal 2'!G5+'Internal 2'!G6+'Internal 2'!C6 + 'Internal 2'!D6)/I123)/(1-('Internal 2'!C8+'Internal 2'!C12/'Internal 2'!C13))</f>
        <v>1.2414521073430871</v>
      </c>
      <c r="G133" s="463" t="s">
        <v>429</v>
      </c>
      <c r="H133" s="473"/>
      <c r="I133" s="496">
        <f>((I123+'Internal 2'!G5+'Internal 2'!G6+'Internal 2'!C6 + 'Internal 2'!D6)/I123)/(1-('Internal 2'!C8+'Internal 2'!C12/'Internal 2'!C13))</f>
        <v>1.2414521073430871</v>
      </c>
      <c r="J133" s="473"/>
      <c r="K133" s="471"/>
      <c r="L133" s="568"/>
      <c r="M133" s="504"/>
      <c r="N133" s="887"/>
      <c r="O133" s="887"/>
      <c r="P133" s="887"/>
      <c r="Q133" s="887"/>
      <c r="R133" s="887"/>
      <c r="S133" s="887"/>
      <c r="T133" s="887"/>
      <c r="U133" s="887"/>
      <c r="V133" s="887"/>
      <c r="W133" s="887"/>
      <c r="X133" s="887"/>
      <c r="Y133" s="887"/>
      <c r="Z133" s="887"/>
      <c r="AA133" s="887"/>
      <c r="AB133" s="887"/>
    </row>
    <row r="134" spans="1:28" ht="16.5" customHeight="1">
      <c r="A134" s="507"/>
      <c r="B134" s="524"/>
      <c r="C134" s="524"/>
      <c r="D134" s="524"/>
      <c r="E134" s="524"/>
      <c r="F134" s="524"/>
      <c r="G134" s="463" t="s">
        <v>236</v>
      </c>
      <c r="H134" s="473"/>
      <c r="I134" s="496">
        <f>(I133+I135)/2</f>
        <v>1.2131720747129613</v>
      </c>
      <c r="J134" s="473"/>
      <c r="K134" s="471"/>
      <c r="L134" s="568"/>
      <c r="M134" s="504"/>
      <c r="N134" s="887"/>
      <c r="O134" s="887"/>
      <c r="P134" s="887"/>
      <c r="Q134" s="887"/>
      <c r="R134" s="887"/>
    </row>
    <row r="135" spans="1:28" ht="36" customHeight="1">
      <c r="A135" s="507"/>
      <c r="B135" s="567"/>
      <c r="C135" s="524"/>
      <c r="D135" s="524"/>
      <c r="E135" s="524"/>
      <c r="F135" s="524">
        <f>((I123+'Internal 2'!G5+'Internal 2'!G6)/I123)/(1-('Internal 2'!C8+'Internal 2'!C12/'Internal 2'!C13))</f>
        <v>1.1848920420828355</v>
      </c>
      <c r="G135" s="463" t="s">
        <v>430</v>
      </c>
      <c r="H135" s="469"/>
      <c r="I135" s="496">
        <f>((I123+'Internal 2'!G5+'Internal 2'!G6)/I123)/(1-('Internal 2'!C8+'Internal 2'!C12/'Internal 2'!C13))</f>
        <v>1.1848920420828355</v>
      </c>
      <c r="J135" s="468"/>
      <c r="K135" s="471"/>
      <c r="L135" s="568"/>
      <c r="M135" s="504"/>
      <c r="N135" s="887"/>
      <c r="O135" s="887"/>
      <c r="P135" s="887"/>
      <c r="Q135" s="887"/>
      <c r="R135" s="887"/>
    </row>
    <row r="136" spans="1:28" ht="31.5" customHeight="1">
      <c r="A136" s="507"/>
      <c r="B136" s="567"/>
      <c r="C136" s="524"/>
      <c r="D136" s="524"/>
      <c r="E136" s="524"/>
      <c r="F136" s="524"/>
      <c r="G136" s="473"/>
      <c r="H136" s="473"/>
      <c r="I136" s="473"/>
      <c r="J136" s="473"/>
      <c r="K136" s="471"/>
      <c r="L136" s="568"/>
      <c r="M136" s="504"/>
      <c r="N136" s="887"/>
      <c r="O136" s="887"/>
      <c r="P136" s="887"/>
      <c r="Q136" s="887"/>
      <c r="R136" s="887"/>
    </row>
    <row r="137" spans="1:28" ht="33" customHeight="1">
      <c r="A137" s="507"/>
      <c r="B137" s="567"/>
      <c r="C137" s="524"/>
      <c r="D137" s="524"/>
      <c r="E137" s="524"/>
      <c r="F137" s="524"/>
      <c r="G137" s="463"/>
      <c r="H137" s="469"/>
      <c r="I137" s="473"/>
      <c r="J137" s="473"/>
      <c r="K137" s="473"/>
      <c r="L137" s="568"/>
      <c r="M137" s="504"/>
      <c r="N137" s="49"/>
      <c r="O137" s="49"/>
      <c r="P137" s="49"/>
      <c r="Q137" s="49"/>
    </row>
    <row r="138" spans="1:28" ht="16.2" thickBot="1">
      <c r="B138" s="510"/>
      <c r="C138" s="511"/>
      <c r="D138" s="511"/>
      <c r="E138" s="511"/>
      <c r="F138" s="511"/>
      <c r="G138" s="511"/>
      <c r="H138" s="511"/>
      <c r="I138" s="511"/>
      <c r="J138" s="511"/>
      <c r="K138" s="511"/>
      <c r="L138" s="511"/>
      <c r="M138" s="569"/>
      <c r="N138" s="49"/>
      <c r="O138" s="49"/>
      <c r="P138" s="49"/>
      <c r="Q138" s="49"/>
    </row>
    <row r="139" spans="1:28" ht="15.6">
      <c r="B139" s="55"/>
      <c r="L139" s="44"/>
      <c r="N139" s="49"/>
      <c r="O139" s="49"/>
      <c r="P139" s="49"/>
      <c r="Q139" s="49"/>
    </row>
    <row r="140" spans="1:28">
      <c r="L140" s="45"/>
      <c r="N140" s="49"/>
      <c r="O140" s="49"/>
      <c r="P140" s="49"/>
      <c r="Q140" s="49"/>
    </row>
    <row r="141" spans="1:28">
      <c r="E141" s="512"/>
      <c r="F141" s="512"/>
      <c r="G141" s="1288" t="s">
        <v>431</v>
      </c>
      <c r="H141" s="1288"/>
      <c r="I141" s="1288"/>
      <c r="J141" s="1288"/>
      <c r="K141" s="1288"/>
      <c r="N141" s="49"/>
      <c r="O141" s="49"/>
      <c r="P141" s="49"/>
      <c r="Q141" s="49"/>
    </row>
    <row r="142" spans="1:28">
      <c r="G142" s="1288" t="s">
        <v>432</v>
      </c>
      <c r="H142" s="1288"/>
      <c r="I142" s="1288"/>
      <c r="J142" s="1288"/>
      <c r="K142" s="1288"/>
      <c r="N142" s="49"/>
      <c r="O142" s="49"/>
      <c r="P142" s="49"/>
      <c r="Q142" s="49"/>
    </row>
    <row r="143" spans="1:28" ht="15.6">
      <c r="J143"/>
      <c r="N143" s="49"/>
      <c r="O143" s="49"/>
      <c r="P143" s="49"/>
      <c r="Q143" s="49"/>
    </row>
    <row r="144" spans="1:28">
      <c r="N144" s="49"/>
      <c r="O144" s="49"/>
      <c r="P144" s="49"/>
      <c r="Q144" s="49"/>
    </row>
    <row r="145" spans="9:17">
      <c r="N145" s="49"/>
      <c r="O145" s="49"/>
      <c r="P145" s="49"/>
      <c r="Q145" s="49"/>
    </row>
    <row r="146" spans="9:17">
      <c r="I146" s="522"/>
      <c r="N146" s="49"/>
      <c r="O146" s="49"/>
      <c r="P146" s="49"/>
      <c r="Q146" s="49"/>
    </row>
    <row r="147" spans="9:17">
      <c r="I147" s="522"/>
    </row>
    <row r="148" spans="9:17">
      <c r="I148" s="522"/>
    </row>
    <row r="149" spans="9:17">
      <c r="I149" s="522"/>
    </row>
    <row r="150" spans="9:17">
      <c r="I150" s="522"/>
    </row>
    <row r="151" spans="9:17" ht="15.6">
      <c r="J151"/>
      <c r="K151" s="228"/>
    </row>
    <row r="152" spans="9:17" ht="15.6">
      <c r="J152"/>
      <c r="K152" s="228"/>
    </row>
    <row r="153" spans="9:17" ht="15.6">
      <c r="J153"/>
      <c r="K153" s="44"/>
    </row>
    <row r="154" spans="9:17" ht="15.6">
      <c r="J154"/>
      <c r="K154" s="228"/>
    </row>
    <row r="155" spans="9:17" ht="15.6">
      <c r="J155"/>
      <c r="K155" s="44"/>
    </row>
    <row r="156" spans="9:17" ht="15.6">
      <c r="K156" s="6"/>
    </row>
    <row r="157" spans="9:17" ht="15.6">
      <c r="K157"/>
    </row>
    <row r="158" spans="9:17" ht="15.6">
      <c r="K158" s="6"/>
    </row>
    <row r="159" spans="9:17" ht="15.6">
      <c r="K159" s="6"/>
    </row>
    <row r="160" spans="9:17" ht="15.6">
      <c r="K160" s="6"/>
    </row>
    <row r="163" spans="9:10">
      <c r="I163" s="42" t="s">
        <v>141</v>
      </c>
      <c r="J163" s="42" t="s">
        <v>433</v>
      </c>
    </row>
    <row r="164" spans="9:10">
      <c r="I164" s="42" t="s">
        <v>312</v>
      </c>
      <c r="J164" s="42" t="s">
        <v>434</v>
      </c>
    </row>
  </sheetData>
  <protectedRanges>
    <protectedRange algorithmName="SHA-512" hashValue="tDmPotCUwY0Jd2/SUUfNLXrp4ZN96i6BBTmRtcUIrh3VuJzkeX6GwAS2JD9OmHgW397QdHqw4vjowx8cPNusQA==" saltValue="jiQRHPgvoiFnbO62d06pRw==" spinCount="100000" sqref="J31:J103" name="Range1"/>
  </protectedRanges>
  <dataConsolidate/>
  <mergeCells count="33">
    <mergeCell ref="N33:P39"/>
    <mergeCell ref="B106:B119"/>
    <mergeCell ref="B48:B52"/>
    <mergeCell ref="E27:E28"/>
    <mergeCell ref="F27:F28"/>
    <mergeCell ref="E44:F44"/>
    <mergeCell ref="E45:F45"/>
    <mergeCell ref="B38:B45"/>
    <mergeCell ref="B31:B36"/>
    <mergeCell ref="N31:P31"/>
    <mergeCell ref="N32:P32"/>
    <mergeCell ref="E20:E21"/>
    <mergeCell ref="N25:P25"/>
    <mergeCell ref="N18:O18"/>
    <mergeCell ref="N12:O12"/>
    <mergeCell ref="K16:L16"/>
    <mergeCell ref="K25:L25"/>
    <mergeCell ref="B121:B122"/>
    <mergeCell ref="G141:K141"/>
    <mergeCell ref="G142:K142"/>
    <mergeCell ref="B96:B103"/>
    <mergeCell ref="A1:M8"/>
    <mergeCell ref="B30:C30"/>
    <mergeCell ref="B88:B93"/>
    <mergeCell ref="B81:B85"/>
    <mergeCell ref="B72:B78"/>
    <mergeCell ref="B62:B69"/>
    <mergeCell ref="B55:B59"/>
    <mergeCell ref="K12:L12"/>
    <mergeCell ref="G12:J12"/>
    <mergeCell ref="E12:F12"/>
    <mergeCell ref="C12:D12"/>
    <mergeCell ref="D10:E10"/>
  </mergeCells>
  <phoneticPr fontId="75" type="noConversion"/>
  <conditionalFormatting sqref="F22:F23">
    <cfRule type="expression" dxfId="399" priority="5">
      <formula>$F$22="No"</formula>
    </cfRule>
  </conditionalFormatting>
  <conditionalFormatting sqref="F27:F28">
    <cfRule type="containsText" dxfId="398" priority="13" operator="containsText" text="No">
      <formula>NOT(ISERROR(SEARCH("No",F27)))</formula>
    </cfRule>
    <cfRule type="containsText" dxfId="397" priority="14" operator="containsText" text="Yes">
      <formula>NOT(ISERROR(SEARCH("Yes",F27)))</formula>
    </cfRule>
  </conditionalFormatting>
  <conditionalFormatting sqref="F113">
    <cfRule type="expression" dxfId="396" priority="16">
      <formula>AND($D$113="None",$F$113&gt;0)</formula>
    </cfRule>
    <cfRule type="expression" dxfId="395" priority="17">
      <formula>AND($D$113="Included",$F$113=0)</formula>
    </cfRule>
  </conditionalFormatting>
  <conditionalFormatting sqref="F127">
    <cfRule type="containsText" dxfId="394" priority="21" operator="containsText" text="NO">
      <formula>NOT(ISERROR(SEARCH("NO",F127)))</formula>
    </cfRule>
  </conditionalFormatting>
  <conditionalFormatting sqref="G28">
    <cfRule type="expression" dxfId="393" priority="22">
      <formula>G28&lt;&gt;100%</formula>
    </cfRule>
  </conditionalFormatting>
  <conditionalFormatting sqref="J16">
    <cfRule type="expression" dxfId="392" priority="3">
      <formula>J16&lt;&gt;I133</formula>
    </cfRule>
  </conditionalFormatting>
  <conditionalFormatting sqref="J17">
    <cfRule type="expression" dxfId="391" priority="76">
      <formula>$J$17&lt;$I$124*0.01</formula>
    </cfRule>
  </conditionalFormatting>
  <conditionalFormatting sqref="K18:L19">
    <cfRule type="expression" dxfId="390" priority="1">
      <formula>$L$17=0</formula>
    </cfRule>
  </conditionalFormatting>
  <conditionalFormatting sqref="L23">
    <cfRule type="expression" dxfId="389" priority="4">
      <formula>$D$44="Not Included"</formula>
    </cfRule>
  </conditionalFormatting>
  <conditionalFormatting sqref="B121:L122">
    <cfRule type="expression" dxfId="388" priority="103">
      <formula>$F$24="No"</formula>
    </cfRule>
  </conditionalFormatting>
  <dataValidations count="10">
    <dataValidation type="list" allowBlank="1" showInputMessage="1" sqref="E39" xr:uid="{00000000-0002-0000-0700-000002000000}">
      <formula1>INDIRECT($D$39)</formula1>
    </dataValidation>
    <dataValidation allowBlank="1" showInputMessage="1" sqref="D58 G44:G45 D90 D34:D35 E49:F50 E48 E57:E58" xr:uid="{D87594CC-7286-784E-AD6F-F194BF904625}"/>
    <dataValidation type="list" allowBlank="1" showInputMessage="1" sqref="D39" xr:uid="{15A6DC14-17FA-41E7-8729-1095FE4D2B8F}">
      <formula1>INDIRECT("Table46")</formula1>
    </dataValidation>
    <dataValidation type="list" allowBlank="1" showInputMessage="1" showErrorMessage="1" sqref="F14" xr:uid="{501C0CD1-8242-4CC4-AA80-A565140E115F}">
      <formula1>$J$163:$J$164</formula1>
    </dataValidation>
    <dataValidation type="list" allowBlank="1" showInputMessage="1" showErrorMessage="1" sqref="D121:D122" xr:uid="{0E8C4705-F430-4D13-B34D-1CC44C97E96A}">
      <formula1>$I$163:$I$164</formula1>
    </dataValidation>
    <dataValidation type="list" allowBlank="1" showInputMessage="1" showErrorMessage="1" sqref="D18 F24" xr:uid="{5190581E-4ABB-4BA3-99E0-0945114A694A}">
      <formula1>"Yes, No"</formula1>
    </dataValidation>
    <dataValidation type="list" allowBlank="1" showInputMessage="1" showErrorMessage="1" sqref="F18" xr:uid="{686B18A8-923D-40F0-BC1D-43A96A2AA05F}">
      <formula1>"NSW,VIC,QLD,SA,WA,ACT,TAS,NT,NZ"</formula1>
    </dataValidation>
    <dataValidation type="list" allowBlank="1" showInputMessage="1" showErrorMessage="1" sqref="F27:F28" xr:uid="{2C1C5735-72CB-4B54-B927-9FA572AB2B1F}">
      <formula1>"Yes,No"</formula1>
    </dataValidation>
    <dataValidation type="list" allowBlank="1" showInputMessage="1" showErrorMessage="1" sqref="F20" xr:uid="{B0D3B85C-A7C7-4AA5-BAFA-0A9F7813C403}">
      <formula1>"2025,2026,2027,2028,2029,2030"</formula1>
    </dataValidation>
    <dataValidation type="list" allowBlank="1" showInputMessage="1" showErrorMessage="1" sqref="C98:C101" xr:uid="{321565D8-34AD-4EA0-BADB-AB6144C62A05}">
      <formula1>$C$31:$C$103</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 id="{FC051EA8-EA7F-4D8B-8F01-F54B3EA02AD1}">
            <xm:f>OR(IFERROR(AND(NOT(ISBLANK(D17)),E31&lt;&gt;'DNSP Calc'!U10),FALSE),ISERROR('DNSP Calc'!U10))</xm:f>
            <x14:dxf>
              <fill>
                <patternFill>
                  <bgColor rgb="FFFF6969"/>
                </patternFill>
              </fill>
            </x14:dxf>
          </x14:cfRule>
          <xm:sqref>E31</xm:sqref>
        </x14:conditionalFormatting>
        <x14:conditionalFormatting xmlns:xm="http://schemas.microsoft.com/office/excel/2006/main">
          <x14:cfRule type="expression" priority="80" id="{9FD08C35-4879-41D9-BF94-B7EF575632C2}">
            <xm:f>Rebates!$B$22&lt;&gt;""</xm:f>
            <x14:dxf>
              <font>
                <color theme="0"/>
              </font>
              <fill>
                <patternFill>
                  <bgColor theme="0"/>
                </patternFill>
              </fill>
            </x14:dxf>
          </x14:cfRule>
          <xm:sqref>L20:L22 K21:K22</xm:sqref>
        </x14:conditionalFormatting>
        <x14:conditionalFormatting xmlns:xm="http://schemas.microsoft.com/office/excel/2006/main">
          <x14:cfRule type="expression" priority="102" id="{57E9D334-72AE-43E4-AC06-E742C4633AE6}">
            <xm:f>VLOOKUP(E38,'2. PV Components'!$D$6:$J$32,7,FALSE)&lt;&gt;"Yes"</xm:f>
            <x14:dxf>
              <fill>
                <patternFill>
                  <bgColor rgb="FFC59EE2"/>
                </patternFill>
              </fill>
            </x14:dxf>
          </x14:cfRule>
          <xm:sqref>E38</xm:sqref>
        </x14:conditionalFormatting>
      </x14:conditionalFormattings>
    </ext>
    <ext xmlns:x14="http://schemas.microsoft.com/office/spreadsheetml/2009/9/main" uri="{CCE6A557-97BC-4b89-ADB6-D9C93CAAB3DF}">
      <x14:dataValidations xmlns:xm="http://schemas.microsoft.com/office/excel/2006/main" count="64">
        <x14:dataValidation type="list" allowBlank="1" showInputMessage="1" xr:uid="{00000000-0002-0000-0700-000000000000}">
          <x14:formula1>
            <xm:f>'DNSP Calc'!$AC$9:$AC$12</xm:f>
          </x14:formula1>
          <xm:sqref>E31</xm:sqref>
        </x14:dataValidation>
        <x14:dataValidation type="list" allowBlank="1" showInputMessage="1" xr:uid="{39C60EA3-0BCE-4807-B160-9991FF548FD2}">
          <x14:formula1>
            <xm:f>'3. Cabling'!$B$7:$B$11</xm:f>
          </x14:formula1>
          <xm:sqref>D55</xm:sqref>
        </x14:dataValidation>
        <x14:dataValidation type="list" allowBlank="1" showInputMessage="1" xr:uid="{E19CD59D-DFF2-4A02-89D7-FA170B48B2FD}">
          <x14:formula1>
            <xm:f>'4. Switch Gear'!$E$6:$E$8</xm:f>
          </x14:formula1>
          <xm:sqref>D57</xm:sqref>
        </x14:dataValidation>
        <x14:dataValidation type="list" allowBlank="1" showInputMessage="1" xr:uid="{CF492FE8-A0BF-9C46-984C-108C72CF2046}">
          <x14:formula1>
            <xm:f>'5. Install'!$B$6:$B$10</xm:f>
          </x14:formula1>
          <xm:sqref>D62</xm:sqref>
        </x14:dataValidation>
        <x14:dataValidation type="list" allowBlank="1" showInputMessage="1" xr:uid="{00000000-0002-0000-0700-00000D000000}">
          <x14:formula1>
            <xm:f>'2. PV Components'!$AK$8:$AK$19</xm:f>
          </x14:formula1>
          <xm:sqref>D43</xm:sqref>
        </x14:dataValidation>
        <x14:dataValidation type="list" allowBlank="1" showInputMessage="1" xr:uid="{3E9D4F0B-62A9-42D4-B019-1C0914DAC8A6}">
          <x14:formula1>
            <xm:f>'5. Install'!$O$13:$O$17</xm:f>
          </x14:formula1>
          <xm:sqref>D65</xm:sqref>
        </x14:dataValidation>
        <x14:dataValidation type="list" allowBlank="1" showInputMessage="1" showErrorMessage="1" xr:uid="{53F577C8-4CE7-4E02-8C9E-FF1B846A0C2F}">
          <x14:formula1>
            <xm:f>'Projects PnL'!$B:$B</xm:f>
          </x14:formula1>
          <xm:sqref>H88:H93 H31:H36 H81:H85 H48:H52 H72:H78 H38:H45 H62:H69 H96:H103 H55:H59</xm:sqref>
        </x14:dataValidation>
        <x14:dataValidation type="list" allowBlank="1" showInputMessage="1" xr:uid="{0FD6DAEF-51F3-614E-86C6-1453514BFE50}">
          <x14:formula1>
            <xm:f>'6. Safety'!$B$6:$B$9</xm:f>
          </x14:formula1>
          <xm:sqref>D72</xm:sqref>
        </x14:dataValidation>
        <x14:dataValidation type="list" allowBlank="1" showInputMessage="1" xr:uid="{6A9AF06B-40A0-F944-A746-A837D8E4DAF9}">
          <x14:formula1>
            <xm:f>'6. Safety'!$E$6:$E$9</xm:f>
          </x14:formula1>
          <xm:sqref>D73</xm:sqref>
        </x14:dataValidation>
        <x14:dataValidation type="list" allowBlank="1" showInputMessage="1" xr:uid="{5D898E0C-0B1D-7346-91F8-60CEDC1210D2}">
          <x14:formula1>
            <xm:f>'6. Safety'!$H$6:$H$8</xm:f>
          </x14:formula1>
          <xm:sqref>D74</xm:sqref>
        </x14:dataValidation>
        <x14:dataValidation type="list" allowBlank="1" showInputMessage="1" xr:uid="{716BFF01-B711-064A-B960-F20C64990837}">
          <x14:formula1>
            <xm:f>'6. Safety'!$K$6:$K$7</xm:f>
          </x14:formula1>
          <xm:sqref>D75</xm:sqref>
        </x14:dataValidation>
        <x14:dataValidation type="list" allowBlank="1" showInputMessage="1" xr:uid="{A8DA3C9F-AF33-8E47-A1B1-F3B7BCA1A4EA}">
          <x14:formula1>
            <xm:f>'6. Safety'!$N$6:$N$8</xm:f>
          </x14:formula1>
          <xm:sqref>D76</xm:sqref>
        </x14:dataValidation>
        <x14:dataValidation type="list" allowBlank="1" showInputMessage="1" xr:uid="{1B961C55-0A87-1344-A453-5FC3C321F99D}">
          <x14:formula1>
            <xm:f>'6. Safety'!$Q$6:$Q$8</xm:f>
          </x14:formula1>
          <xm:sqref>D78</xm:sqref>
        </x14:dataValidation>
        <x14:dataValidation type="list" allowBlank="1" showInputMessage="1" xr:uid="{00000000-0002-0000-0700-000009000000}">
          <x14:formula1>
            <xm:f>'2. PV Components'!$U$7:$U$11</xm:f>
          </x14:formula1>
          <xm:sqref>D40</xm:sqref>
        </x14:dataValidation>
        <x14:dataValidation type="list" allowBlank="1" showInputMessage="1" xr:uid="{4BD18B73-6904-4717-ACAC-8920759290F3}">
          <x14:formula1>
            <xm:f>'7. Monitoring + Warranty'!$V$5:$V$6</xm:f>
          </x14:formula1>
          <xm:sqref>D89</xm:sqref>
        </x14:dataValidation>
        <x14:dataValidation type="list" allowBlank="1" showInputMessage="1" xr:uid="{405089EC-2EC4-44E0-AD22-D4EFE552D8CE}">
          <x14:formula1>
            <xm:f>'7. Monitoring + Warranty'!$P$5:$P$7</xm:f>
          </x14:formula1>
          <xm:sqref>D96</xm:sqref>
        </x14:dataValidation>
        <x14:dataValidation type="list" allowBlank="1" showInputMessage="1" xr:uid="{809BA8B8-E4D2-FF4A-ABB0-56577EC97463}">
          <x14:formula1>
            <xm:f>'7. Monitoring + Warranty'!$V$17:$V$18</xm:f>
          </x14:formula1>
          <xm:sqref>D91</xm:sqref>
        </x14:dataValidation>
        <x14:dataValidation type="list" allowBlank="1" showInputMessage="1" xr:uid="{650CBCE1-488D-CB41-9977-F6BDAE37AA07}">
          <x14:formula1>
            <xm:f>'7. Monitoring + Warranty'!$V$21:$V$22</xm:f>
          </x14:formula1>
          <xm:sqref>D92</xm:sqref>
        </x14:dataValidation>
        <x14:dataValidation type="list" errorStyle="information" allowBlank="1" showInputMessage="1" showErrorMessage="1" error="This isn't a standard Input, are you sure this is correct_x000a_" xr:uid="{2038999E-D468-2F46-BE82-80B8DE765079}">
          <x14:formula1>
            <xm:f>'7. Monitoring + Warranty'!$V$25:$V$26</xm:f>
          </x14:formula1>
          <xm:sqref>D93</xm:sqref>
        </x14:dataValidation>
        <x14:dataValidation type="list" allowBlank="1" showInputMessage="1" xr:uid="{99B821AF-9316-194A-BD5A-776172CA66AC}">
          <x14:formula1>
            <xm:f>'4. Switch Gear'!$B$6:$B$8</xm:f>
          </x14:formula1>
          <xm:sqref>D56</xm:sqref>
        </x14:dataValidation>
        <x14:dataValidation type="list" allowBlank="1" showInputMessage="1" xr:uid="{1AEB97E8-0581-CA48-BBD7-A1574CD5A5BA}">
          <x14:formula1>
            <xm:f>'7. Monitoring + Warranty'!$I$5:$I$7</xm:f>
          </x14:formula1>
          <xm:sqref>D83</xm:sqref>
        </x14:dataValidation>
        <x14:dataValidation type="list" allowBlank="1" showInputMessage="1" xr:uid="{49478383-09D4-854A-8F10-3E35A35F7F8E}">
          <x14:formula1>
            <xm:f>'7. Monitoring + Warranty'!$M$5:$M$7</xm:f>
          </x14:formula1>
          <xm:sqref>D84</xm:sqref>
        </x14:dataValidation>
        <x14:dataValidation type="list" allowBlank="1" showInputMessage="1" xr:uid="{C95D57B0-0166-4716-8316-B932DE4CAC85}">
          <x14:formula1>
            <xm:f>'3. Cabling'!$K$20:$K$22</xm:f>
          </x14:formula1>
          <xm:sqref>D51</xm:sqref>
        </x14:dataValidation>
        <x14:dataValidation type="list" allowBlank="1" showInputMessage="1" xr:uid="{55DC6844-28EC-4785-B17B-A82F1014A4FF}">
          <x14:formula1>
            <xm:f>'1. Prelim'!$P$25:$P$29</xm:f>
          </x14:formula1>
          <xm:sqref>D36</xm:sqref>
        </x14:dataValidation>
        <x14:dataValidation type="list" allowBlank="1" showInputMessage="1" showErrorMessage="1" xr:uid="{E84E2B25-02BA-4645-BD7F-29E201A73EF3}">
          <x14:formula1>
            <xm:f>'7. Monitoring + Warranty'!$Y$5:$Y$7</xm:f>
          </x14:formula1>
          <xm:sqref>D102</xm:sqref>
        </x14:dataValidation>
        <x14:dataValidation type="list" allowBlank="1" showInputMessage="1" xr:uid="{6FEB3842-EB19-4018-AF43-04FF0229E81B}">
          <x14:formula1>
            <xm:f>'5. Install'!$O$7:$O$10</xm:f>
          </x14:formula1>
          <xm:sqref>D64</xm:sqref>
        </x14:dataValidation>
        <x14:dataValidation type="list" allowBlank="1" showInputMessage="1" xr:uid="{A7571EDB-B08C-4841-99F9-25007B4D4CC7}">
          <x14:formula1>
            <xm:f>'7. Monitoring + Warranty'!$F$5:$F$11</xm:f>
          </x14:formula1>
          <xm:sqref>D82</xm:sqref>
        </x14:dataValidation>
        <x14:dataValidation type="list" allowBlank="1" showInputMessage="1" xr:uid="{18C42B94-5B06-47F5-84C1-DD768FC90DA4}">
          <x14:formula1>
            <xm:f>'7. Monitoring + Warranty'!$V$7:$V$10</xm:f>
          </x14:formula1>
          <xm:sqref>D88</xm:sqref>
        </x14:dataValidation>
        <x14:dataValidation type="list" allowBlank="1" showInputMessage="1" showErrorMessage="1" xr:uid="{F1AD10A5-89FE-439F-B49E-B1C770899BD0}">
          <x14:formula1>
            <xm:f>'2. PV Components'!$X$7:$X$16</xm:f>
          </x14:formula1>
          <xm:sqref>D42</xm:sqref>
        </x14:dataValidation>
        <x14:dataValidation type="list" allowBlank="1" showInputMessage="1" xr:uid="{00000000-0002-0000-0700-000005000000}">
          <x14:formula1>
            <xm:f>'1. Prelim'!$P$10:$P$12</xm:f>
          </x14:formula1>
          <xm:sqref>D32</xm:sqref>
        </x14:dataValidation>
        <x14:dataValidation type="list" allowBlank="1" showInputMessage="1" xr:uid="{9E6577A1-8B2B-4131-98C9-072E007D0E2C}">
          <x14:formula1>
            <xm:f>'6. Safety'!$T$6:$T$8</xm:f>
          </x14:formula1>
          <xm:sqref>D77</xm:sqref>
        </x14:dataValidation>
        <x14:dataValidation type="list" allowBlank="1" showInputMessage="1" xr:uid="{00000000-0002-0000-0700-000004000000}">
          <x14:formula1>
            <xm:f>'1. Prelim'!$P$17:$P$20</xm:f>
          </x14:formula1>
          <xm:sqref>D33</xm:sqref>
        </x14:dataValidation>
        <x14:dataValidation type="list" allowBlank="1" showInputMessage="1" xr:uid="{E74BB25C-A743-48AB-B690-0CE8F5E203B6}">
          <x14:formula1>
            <xm:f>'5. Install'!$E$7:$E$8</xm:f>
          </x14:formula1>
          <xm:sqref>D63</xm:sqref>
        </x14:dataValidation>
        <x14:dataValidation type="list" allowBlank="1" showInputMessage="1" xr:uid="{00000000-0002-0000-0700-00000B000000}">
          <x14:formula1>
            <xm:f>'2. PV Components'!$AF$9:$AF$19</xm:f>
          </x14:formula1>
          <xm:sqref>E41</xm:sqref>
        </x14:dataValidation>
        <x14:dataValidation type="list" allowBlank="1" showInputMessage="1" showErrorMessage="1" xr:uid="{67C24493-680F-41DD-9150-F85B3FFC607F}">
          <x14:formula1>
            <xm:f>Internal!$K$6:$K$7</xm:f>
          </x14:formula1>
          <xm:sqref>D107:D108</xm:sqref>
        </x14:dataValidation>
        <x14:dataValidation type="list" allowBlank="1" showInputMessage="1" showErrorMessage="1" xr:uid="{AB2853E0-491B-4BAD-9DA8-BFB62647559E}">
          <x14:formula1>
            <xm:f>Internal!$G$14:$G$18</xm:f>
          </x14:formula1>
          <xm:sqref>D110</xm:sqref>
        </x14:dataValidation>
        <x14:dataValidation type="list" allowBlank="1" showInputMessage="1" showErrorMessage="1" xr:uid="{07EC873A-DC94-4B1B-9CA7-7584E73C6074}">
          <x14:formula1>
            <xm:f>Internal!$K$52:$K$55</xm:f>
          </x14:formula1>
          <xm:sqref>D112</xm:sqref>
        </x14:dataValidation>
        <x14:dataValidation type="list" allowBlank="1" showInputMessage="1" showErrorMessage="1" xr:uid="{06BC4674-A2C8-4C8C-A745-F2426DC7C127}">
          <x14:formula1>
            <xm:f>Internal!$K$62:$K$63</xm:f>
          </x14:formula1>
          <xm:sqref>D114</xm:sqref>
        </x14:dataValidation>
        <x14:dataValidation type="list" allowBlank="1" showInputMessage="1" showErrorMessage="1" xr:uid="{ED82A1AC-78EF-401A-9218-1B76FADF14D3}">
          <x14:formula1>
            <xm:f>Internal!$K$80:$K$82</xm:f>
          </x14:formula1>
          <xm:sqref>D115</xm:sqref>
        </x14:dataValidation>
        <x14:dataValidation type="list" allowBlank="1" showInputMessage="1" showErrorMessage="1" xr:uid="{A474EB81-F46B-418F-9EA8-748668D8C305}">
          <x14:formula1>
            <xm:f>Internal!$K$10:$K$12</xm:f>
          </x14:formula1>
          <xm:sqref>D106</xm:sqref>
        </x14:dataValidation>
        <x14:dataValidation type="list" allowBlank="1" showInputMessage="1" showErrorMessage="1" xr:uid="{4B9BF266-4508-46D6-BEDB-631FB8775879}">
          <x14:formula1>
            <xm:f>Internal!$G$21:$G$23</xm:f>
          </x14:formula1>
          <xm:sqref>D111</xm:sqref>
        </x14:dataValidation>
        <x14:dataValidation type="list" allowBlank="1" showInputMessage="1" showErrorMessage="1" xr:uid="{86D1FFF1-C8AA-45AC-B571-AE276BD753E3}">
          <x14:formula1>
            <xm:f>Internal!$G$26:$G$36</xm:f>
          </x14:formula1>
          <xm:sqref>D116:D117</xm:sqref>
        </x14:dataValidation>
        <x14:dataValidation type="list" allowBlank="1" showInputMessage="1" showErrorMessage="1" xr:uid="{4141FC7A-A504-49F2-BF31-1C2F1A938F96}">
          <x14:formula1>
            <xm:f>Internal!$G$58:$G$60</xm:f>
          </x14:formula1>
          <xm:sqref>D109</xm:sqref>
        </x14:dataValidation>
        <x14:dataValidation type="list" allowBlank="1" showInputMessage="1" xr:uid="{DE445B8D-2145-416C-BF78-606AFCEF2476}">
          <x14:formula1>
            <xm:f>'2. PV Components'!$AB$8:$AB$15</xm:f>
          </x14:formula1>
          <xm:sqref>D41</xm:sqref>
        </x14:dataValidation>
        <x14:dataValidation type="list" allowBlank="1" showInputMessage="1" xr:uid="{90663ED3-8D40-47A1-A2A0-C291ADEE6D15}">
          <x14:formula1>
            <xm:f>'5. Install'!$E$19:$E$21</xm:f>
          </x14:formula1>
          <xm:sqref>D66</xm:sqref>
        </x14:dataValidation>
        <x14:dataValidation type="list" allowBlank="1" showInputMessage="1" xr:uid="{65615552-FDF5-4D61-91B8-D2D81A1C6765}">
          <x14:formula1>
            <xm:f>'3. Cabling'!$C$30:$C$32</xm:f>
          </x14:formula1>
          <xm:sqref>D50</xm:sqref>
        </x14:dataValidation>
        <x14:dataValidation type="list" allowBlank="1" showInputMessage="1" xr:uid="{90A48AB0-8482-4B33-A1BD-26B726C961C0}">
          <x14:formula1>
            <xm:f>'5. Install'!$H$7:$H$16</xm:f>
          </x14:formula1>
          <xm:sqref>D67:D69</xm:sqref>
        </x14:dataValidation>
        <x14:dataValidation type="list" allowBlank="1" showInputMessage="1" xr:uid="{4BC4E53F-ADFF-459A-8681-D06824F31C36}">
          <x14:formula1>
            <xm:f>'3. Cabling'!$Q$6:$Q$9</xm:f>
          </x14:formula1>
          <xm:sqref>D52</xm:sqref>
        </x14:dataValidation>
        <x14:dataValidation type="list" allowBlank="1" showInputMessage="1" showErrorMessage="1" xr:uid="{8B036225-3FC9-48F3-92BC-4D680D25119F}">
          <x14:formula1>
            <xm:f>'Sales People'!$A$5:$A$8</xm:f>
          </x14:formula1>
          <xm:sqref>L11</xm:sqref>
        </x14:dataValidation>
        <x14:dataValidation type="list" allowBlank="1" showInputMessage="1" xr:uid="{CD1A5EF9-6F05-4340-AD6A-04343E6FD648}">
          <x14:formula1>
            <xm:f>'3. Cabling'!$B$29:$B$31</xm:f>
          </x14:formula1>
          <xm:sqref>D48</xm:sqref>
        </x14:dataValidation>
        <x14:dataValidation type="list" allowBlank="1" showInputMessage="1" showErrorMessage="1" xr:uid="{DBA547A1-ACDB-4A73-B203-1B8A2C54354F}">
          <x14:formula1>
            <xm:f>'Linking Cells'!$H$3:$H$5</xm:f>
          </x14:formula1>
          <xm:sqref>F19</xm:sqref>
        </x14:dataValidation>
        <x14:dataValidation type="list" allowBlank="1" showInputMessage="1" xr:uid="{075ECDF1-352A-479E-8428-ADCCC67E6931}">
          <x14:formula1>
            <xm:f>'7. Monitoring + Warranty'!$C$20:$C$22</xm:f>
          </x14:formula1>
          <xm:sqref>D81</xm:sqref>
        </x14:dataValidation>
        <x14:dataValidation type="list" allowBlank="1" showInputMessage="1" showErrorMessage="1" xr:uid="{8D3C8124-EE23-4427-9164-16A01F601E97}">
          <x14:formula1>
            <xm:f>'Sales People'!$B$5:$B$18</xm:f>
          </x14:formula1>
          <xm:sqref>D24</xm:sqref>
        </x14:dataValidation>
        <x14:dataValidation type="list" allowBlank="1" showInputMessage="1" showErrorMessage="1" xr:uid="{69FFAE9D-C7B3-4802-866C-233C98FE86AB}">
          <x14:formula1>
            <xm:f>EV!$A$4:$A$5</xm:f>
          </x14:formula1>
          <xm:sqref>D97</xm:sqref>
        </x14:dataValidation>
        <x14:dataValidation type="list" allowBlank="1" showInputMessage="1" xr:uid="{00000000-0002-0000-0700-000001000000}">
          <x14:formula1>
            <xm:f>INDIRECT("panelTable" &amp; MATCH($D38,'2. PV Components'!$B$7:$B$18,0) &amp; "[" &amp; $D$38 &amp; "]")</xm:f>
          </x14:formula1>
          <xm:sqref>E38</xm:sqref>
        </x14:dataValidation>
        <x14:dataValidation type="list" allowBlank="1" showInputMessage="1" xr:uid="{00000000-0002-0000-0700-000006000000}">
          <x14:formula1>
            <xm:f>'2. PV Components'!$B$7:$B$18</xm:f>
          </x14:formula1>
          <xm:sqref>D38</xm:sqref>
        </x14:dataValidation>
        <x14:dataValidation type="list" allowBlank="1" showInputMessage="1" xr:uid="{4719A896-6B50-4FFF-AC51-90C29F0FD195}">
          <x14:formula1>
            <xm:f>'2.1 BESS Components'!$AC$2:$AC$3</xm:f>
          </x14:formula1>
          <xm:sqref>D44:D45</xm:sqref>
        </x14:dataValidation>
        <x14:dataValidation type="list" allowBlank="1" showInputMessage="1" showErrorMessage="1" xr:uid="{3263FECF-E21F-4D61-80AF-0652E0E06DBE}">
          <x14:formula1>
            <xm:f>'2. PV Components'!$AU$10:$AU$14</xm:f>
          </x14:formula1>
          <xm:sqref>D119</xm:sqref>
        </x14:dataValidation>
        <x14:dataValidation type="list" allowBlank="1" showInputMessage="1" showErrorMessage="1" xr:uid="{77A21E55-7F38-4CB1-8591-1BFAC2A10B65}">
          <x14:formula1>
            <xm:f>'2. PV Components'!$AU$5:$AU$8</xm:f>
          </x14:formula1>
          <xm:sqref>D118</xm:sqref>
        </x14:dataValidation>
        <x14:dataValidation type="list" allowBlank="1" showInputMessage="1" showErrorMessage="1" xr:uid="{7A58AFEC-4185-4BFE-8587-4766FDE588DA}">
          <x14:formula1>
            <xm:f>'4. Switch Gear'!$Q$6:$Q$10</xm:f>
          </x14:formula1>
          <xm:sqref>F59</xm:sqref>
        </x14:dataValidation>
        <x14:dataValidation type="list" allowBlank="1" showInputMessage="1" xr:uid="{01BBB4F5-6F5E-4E69-B3E6-A02754FDFFDB}">
          <x14:formula1>
            <xm:f>'3. Cabling'!$C$30:$C$31</xm:f>
          </x14:formula1>
          <xm:sqref>D49</xm:sqref>
        </x14:dataValidation>
        <x14:dataValidation type="list" allowBlank="1" showInputMessage="1" xr:uid="{03FE3E2A-D12E-49DF-949E-46B5C5CD2C47}">
          <x14:formula1>
            <xm:f>IF('1. Prelim'!I3&gt;_xlfn.XLOOKUP('1. Prelim'!E3,'1. Prelim'!S30:S45,'1. Prelim'!T30:T45),'4. Switch Gear'!M6:M7,'4. Switch Gear'!M8:M9)</xm:f>
          </x14:formula1>
          <xm:sqref>D59</xm:sqref>
        </x14:dataValidation>
        <x14:dataValidation type="list" allowBlank="1" showInputMessage="1" showErrorMessage="1" xr:uid="{9AB393C9-7683-4D84-9287-E6CAC1C75660}">
          <x14:formula1>
            <xm:f>IF(_xlfn.XLOOKUP('1. Prelim'!E3,'1. Prelim'!S30:S45,'1. Prelim'!U30:U45)="Yes",'4. Switch Gear'!O5,'4. Switch Gear'!N5:O5)</xm:f>
          </x14:formula1>
          <xm:sqref>E59</xm:sqref>
        </x14:dataValidation>
        <x14:dataValidation type="list" allowBlank="1" showInputMessage="1" showErrorMessage="1" xr:uid="{798008B0-A8D4-4FD9-954D-4A3953135BBA}">
          <x14:formula1>
            <xm:f>Rebates!$V$23:$V$34</xm:f>
          </x14:formula1>
          <xm:sqref>F21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CAC07-67F8-4D1A-9D68-8F5C76F719DE}">
  <sheetPr codeName="Sheet13">
    <tabColor rgb="FF0070C0"/>
  </sheetPr>
  <dimension ref="B1:R63"/>
  <sheetViews>
    <sheetView workbookViewId="0">
      <selection activeCell="E3" sqref="E3"/>
    </sheetView>
  </sheetViews>
  <sheetFormatPr defaultColWidth="8.59765625" defaultRowHeight="14.4"/>
  <cols>
    <col min="1" max="1" width="8.59765625" style="658"/>
    <col min="2" max="2" width="15" style="658" customWidth="1"/>
    <col min="3" max="3" width="18.5" style="658" bestFit="1" customWidth="1"/>
    <col min="4" max="4" width="55.5" style="658" bestFit="1" customWidth="1"/>
    <col min="5" max="5" width="16.09765625" style="658" customWidth="1"/>
    <col min="6" max="6" width="22.8984375" style="658" bestFit="1" customWidth="1"/>
    <col min="7" max="7" width="22.5" style="658" customWidth="1"/>
    <col min="8" max="8" width="17.3984375" style="658" bestFit="1" customWidth="1"/>
    <col min="9" max="9" width="22" style="658" customWidth="1"/>
    <col min="10" max="10" width="27" style="658" customWidth="1"/>
    <col min="11" max="11" width="15.09765625" style="658" bestFit="1" customWidth="1"/>
    <col min="12" max="13" width="10.09765625" style="658" bestFit="1" customWidth="1"/>
    <col min="14" max="14" width="40.3984375" style="658" bestFit="1" customWidth="1"/>
    <col min="15" max="15" width="11.09765625" style="658" bestFit="1" customWidth="1"/>
    <col min="16" max="16" width="20.3984375" style="658" bestFit="1" customWidth="1"/>
    <col min="17" max="16384" width="8.59765625" style="658"/>
  </cols>
  <sheetData>
    <row r="1" spans="2:15" ht="15" thickBot="1">
      <c r="N1" s="786"/>
      <c r="O1" s="787"/>
    </row>
    <row r="2" spans="2:15" ht="18" thickBot="1">
      <c r="B2" s="726"/>
      <c r="C2" s="727" t="s">
        <v>435</v>
      </c>
      <c r="D2" s="727" t="s">
        <v>436</v>
      </c>
      <c r="E2" s="728" t="s">
        <v>437</v>
      </c>
      <c r="F2" s="728" t="s">
        <v>438</v>
      </c>
      <c r="G2" s="728" t="s">
        <v>439</v>
      </c>
      <c r="H2" s="728" t="s">
        <v>440</v>
      </c>
      <c r="I2" s="729" t="s">
        <v>441</v>
      </c>
      <c r="J2" s="783" t="s">
        <v>442</v>
      </c>
      <c r="K2" s="785" t="s">
        <v>443</v>
      </c>
      <c r="N2" s="786"/>
      <c r="O2" s="787"/>
    </row>
    <row r="3" spans="2:15" ht="19.350000000000001" customHeight="1">
      <c r="B3" s="730" t="s">
        <v>444</v>
      </c>
      <c r="C3" s="721" t="s">
        <v>445</v>
      </c>
      <c r="D3" s="721" t="s">
        <v>446</v>
      </c>
      <c r="E3" s="464">
        <v>1</v>
      </c>
      <c r="F3" s="720">
        <f>VLOOKUP(D3,'2.1 BESS Components'!A:C,2,FALSE)*E3</f>
        <v>107</v>
      </c>
      <c r="G3" s="722">
        <f>VLOOKUP(D3,'2.1 BESS Components'!A:C,3,FALSE)</f>
        <v>29493.675000000003</v>
      </c>
      <c r="H3" s="722">
        <f>G3*E3</f>
        <v>29493.675000000003</v>
      </c>
      <c r="I3" s="1341">
        <f>SUM(H3:H4)/F3</f>
        <v>308.84929906542055</v>
      </c>
      <c r="J3" s="784">
        <f>H3*(1+$K$3)</f>
        <v>36867.09375</v>
      </c>
      <c r="K3" s="1336">
        <f>IF(H37&lt;=500000,0.25,0.22)</f>
        <v>0.25</v>
      </c>
      <c r="N3" s="786"/>
      <c r="O3" s="787"/>
    </row>
    <row r="4" spans="2:15" ht="17.399999999999999" customHeight="1" thickBot="1">
      <c r="B4" s="815" t="s">
        <v>328</v>
      </c>
      <c r="C4" s="213" t="str">
        <f>IF(VLOOKUP(D3,'2.1 BESS Components'!A:D,4,FALSE)= "Y", "Included in BESS Price",C3)</f>
        <v>Kstar</v>
      </c>
      <c r="D4" s="721" t="s">
        <v>447</v>
      </c>
      <c r="E4" s="486">
        <v>1</v>
      </c>
      <c r="F4" s="816">
        <f>IFERROR(VLOOKUP(D4,'2.1 BESS Components'!N:P,2,FALSE),0)*E4</f>
        <v>50</v>
      </c>
      <c r="G4" s="817">
        <f>IFERROR(VLOOKUP(D4,'2.1 BESS Components'!N:P,3,FALSE),0)</f>
        <v>3553.2</v>
      </c>
      <c r="H4" s="817">
        <f>G4*E4</f>
        <v>3553.2</v>
      </c>
      <c r="I4" s="1342"/>
      <c r="J4" s="818">
        <f t="shared" ref="J4:J16" si="0">H4*(1+$K$3)</f>
        <v>4441.5</v>
      </c>
      <c r="K4" s="1337"/>
      <c r="N4" s="786"/>
      <c r="O4" s="787"/>
    </row>
    <row r="5" spans="2:15" ht="18" customHeight="1" thickBot="1">
      <c r="C5" s="832" t="s">
        <v>448</v>
      </c>
      <c r="D5" s="833" t="str">
        <f ca="1">VLOOKUP(D3,'2.1 BESS Components'!A:I,7,FALSE)</f>
        <v xml:space="preserve">50 kVA - KAC50DP2 </v>
      </c>
      <c r="N5" s="786"/>
      <c r="O5" s="787"/>
    </row>
    <row r="6" spans="2:15">
      <c r="C6" s="721" t="s">
        <v>449</v>
      </c>
      <c r="D6" s="721" t="s">
        <v>450</v>
      </c>
      <c r="N6" s="786"/>
      <c r="O6" s="787"/>
    </row>
    <row r="7" spans="2:15" ht="17.399999999999999" customHeight="1">
      <c r="C7" s="1346" t="s">
        <v>451</v>
      </c>
      <c r="D7" s="821"/>
      <c r="E7" s="1343" t="s">
        <v>452</v>
      </c>
      <c r="F7" s="1343"/>
      <c r="G7" s="722">
        <f>H7</f>
        <v>1712</v>
      </c>
      <c r="H7" s="784">
        <f>1000*F3*'2.1 BESS Components'!AE54+(E3-1)*(F3/E3)*2.18</f>
        <v>1712</v>
      </c>
      <c r="I7" s="1344">
        <f>SUM(H7:H8)/F3</f>
        <v>30.953271028037385</v>
      </c>
      <c r="J7" s="784">
        <f t="shared" si="0"/>
        <v>2140</v>
      </c>
      <c r="N7" s="786"/>
      <c r="O7" s="787"/>
    </row>
    <row r="8" spans="2:15">
      <c r="C8" s="1346"/>
      <c r="D8" s="821"/>
      <c r="E8" s="1338" t="s">
        <v>453</v>
      </c>
      <c r="F8" s="1338"/>
      <c r="G8" s="722">
        <f>H8</f>
        <v>1600</v>
      </c>
      <c r="H8" s="784">
        <f>1000*'2.1 BESS Components'!AE55*F4+(E4-1)*(F4/E4)*2.18</f>
        <v>1600</v>
      </c>
      <c r="I8" s="1345"/>
      <c r="J8" s="784">
        <f t="shared" si="0"/>
        <v>2000</v>
      </c>
      <c r="N8" s="786"/>
      <c r="O8" s="787"/>
    </row>
    <row r="9" spans="2:15">
      <c r="C9" s="1346" t="s">
        <v>454</v>
      </c>
      <c r="D9" s="774"/>
      <c r="E9" s="725" t="s">
        <v>195</v>
      </c>
      <c r="F9" s="724">
        <v>20</v>
      </c>
      <c r="G9" s="780" t="s">
        <v>455</v>
      </c>
      <c r="H9" s="784">
        <f>VLOOKUP(G9,'2.1 BESS Components'!AG12:AH15,2,0)*F9</f>
        <v>0</v>
      </c>
      <c r="I9" s="781">
        <f>H9/$F$3</f>
        <v>0</v>
      </c>
      <c r="J9" s="784">
        <f t="shared" si="0"/>
        <v>0</v>
      </c>
      <c r="N9" s="786"/>
      <c r="O9" s="787"/>
    </row>
    <row r="10" spans="2:15">
      <c r="C10" s="1346"/>
      <c r="D10" s="774"/>
      <c r="E10" s="1338" t="s">
        <v>456</v>
      </c>
      <c r="F10" s="1338"/>
      <c r="G10" s="780" t="s">
        <v>455</v>
      </c>
      <c r="H10" s="784">
        <f>VLOOKUP(G10,'2.1 BESS Components'!AG44:AH45,2,0)</f>
        <v>0</v>
      </c>
      <c r="I10" s="731">
        <f>H10/$F$3</f>
        <v>0</v>
      </c>
      <c r="J10" s="784">
        <f t="shared" si="0"/>
        <v>0</v>
      </c>
      <c r="N10" s="786"/>
      <c r="O10" s="787"/>
    </row>
    <row r="11" spans="2:15">
      <c r="D11" s="834"/>
      <c r="E11" s="774"/>
      <c r="F11" s="775" t="s">
        <v>457</v>
      </c>
      <c r="G11" s="780" t="s">
        <v>455</v>
      </c>
      <c r="H11" s="784">
        <f>VLOOKUP(G11,'2.1 BESS Components'!AG30:AH31,2,0)</f>
        <v>0</v>
      </c>
      <c r="I11" s="781">
        <f>H11/$F$3</f>
        <v>0</v>
      </c>
      <c r="J11" s="784">
        <f>H11*(1+$K$3)</f>
        <v>0</v>
      </c>
      <c r="N11" s="786"/>
      <c r="O11" s="787"/>
    </row>
    <row r="12" spans="2:15" ht="17.399999999999999" customHeight="1">
      <c r="D12" s="821"/>
      <c r="E12" s="1347" t="s">
        <v>458</v>
      </c>
      <c r="F12" s="1348"/>
      <c r="G12" s="780" t="s">
        <v>138</v>
      </c>
      <c r="H12" s="784">
        <f>VLOOKUP(G12,'2.1 BESS Components'!AG7:AH9,2,FALSE)</f>
        <v>0</v>
      </c>
      <c r="I12" s="781">
        <f t="shared" ref="I12" si="1">H12/$F$3</f>
        <v>0</v>
      </c>
      <c r="J12" s="784">
        <f t="shared" si="0"/>
        <v>0</v>
      </c>
      <c r="K12" s="1201"/>
      <c r="N12" s="786"/>
      <c r="O12" s="787"/>
    </row>
    <row r="13" spans="2:15" ht="17.399999999999999" customHeight="1">
      <c r="D13" s="821"/>
      <c r="E13" s="1349" t="s">
        <v>459</v>
      </c>
      <c r="F13" s="1350"/>
      <c r="G13" s="780" t="s">
        <v>460</v>
      </c>
      <c r="H13" s="784">
        <f>VLOOKUP(G13,'2.1 BESS Components'!AG36:AH37,2,0)</f>
        <v>600</v>
      </c>
      <c r="I13" s="781">
        <f t="shared" ref="I13:I18" si="2">H13/$F$3</f>
        <v>5.6074766355140184</v>
      </c>
      <c r="J13" s="784">
        <f>H13*(1+$K$3)</f>
        <v>750</v>
      </c>
      <c r="N13" s="786"/>
      <c r="O13" s="787"/>
    </row>
    <row r="14" spans="2:15" ht="17.100000000000001" customHeight="1">
      <c r="C14" s="1201"/>
      <c r="D14" s="823"/>
      <c r="E14" s="1347" t="s">
        <v>358</v>
      </c>
      <c r="F14" s="1348"/>
      <c r="G14" s="722">
        <f>H14</f>
        <v>588.5</v>
      </c>
      <c r="H14" s="784">
        <f>1000*F3*'2.1 BESS Components'!AE56</f>
        <v>588.5</v>
      </c>
      <c r="I14" s="731">
        <f t="shared" si="2"/>
        <v>5.5</v>
      </c>
      <c r="J14" s="784">
        <f t="shared" si="0"/>
        <v>735.625</v>
      </c>
      <c r="N14" s="659"/>
    </row>
    <row r="15" spans="2:15" ht="17.100000000000001" customHeight="1">
      <c r="D15" s="1346" t="s">
        <v>461</v>
      </c>
      <c r="E15" s="1349" t="s">
        <v>462</v>
      </c>
      <c r="F15" s="1350"/>
      <c r="G15" s="780" t="s">
        <v>463</v>
      </c>
      <c r="H15" s="784">
        <f>VLOOKUP(G15,'2.1 BESS Components'!AD48:AE51,2,0)</f>
        <v>1800</v>
      </c>
      <c r="I15" s="731">
        <f t="shared" si="2"/>
        <v>16.822429906542055</v>
      </c>
      <c r="J15" s="784">
        <f t="shared" si="0"/>
        <v>2250</v>
      </c>
      <c r="N15" s="659"/>
    </row>
    <row r="16" spans="2:15" ht="17.100000000000001" customHeight="1">
      <c r="D16" s="1346"/>
      <c r="E16" s="1347" t="s">
        <v>464</v>
      </c>
      <c r="F16" s="1348"/>
      <c r="G16" s="780" t="s">
        <v>460</v>
      </c>
      <c r="H16" s="784">
        <f>VLOOKUP(G16,'2.1 BESS Components'!AG40:AH41,2,0)</f>
        <v>1000</v>
      </c>
      <c r="I16" s="731">
        <f t="shared" si="2"/>
        <v>9.3457943925233646</v>
      </c>
      <c r="J16" s="784">
        <f t="shared" si="0"/>
        <v>1250</v>
      </c>
      <c r="N16" s="659"/>
    </row>
    <row r="17" spans="3:18" ht="17.100000000000001" customHeight="1">
      <c r="D17" s="822"/>
      <c r="E17" s="1351" t="s">
        <v>465</v>
      </c>
      <c r="F17" s="1351"/>
      <c r="G17" s="780" t="s">
        <v>466</v>
      </c>
      <c r="H17" s="784">
        <f>VLOOKUP(G17,'2.1 BESS Components'!AG21:AH22,2,FALSE)</f>
        <v>400</v>
      </c>
      <c r="I17" s="731">
        <f t="shared" si="2"/>
        <v>3.7383177570093458</v>
      </c>
      <c r="J17" s="784">
        <f>H17*(1+$K$3)</f>
        <v>500</v>
      </c>
      <c r="N17" s="659"/>
    </row>
    <row r="18" spans="3:18" ht="17.100000000000001" customHeight="1">
      <c r="D18" s="822"/>
      <c r="E18" s="1338" t="s">
        <v>467</v>
      </c>
      <c r="F18" s="1338"/>
      <c r="G18" s="722">
        <f>IF(C4="Included in BESS Price",0,'2.1 BESS Components'!AE23)</f>
        <v>0</v>
      </c>
      <c r="H18" s="784">
        <f>G18*E3</f>
        <v>0</v>
      </c>
      <c r="I18" s="731">
        <f t="shared" si="2"/>
        <v>0</v>
      </c>
      <c r="J18" s="784">
        <f t="shared" ref="J18:J30" si="3">H18*(1+$K$3)</f>
        <v>0</v>
      </c>
      <c r="N18" s="659"/>
    </row>
    <row r="19" spans="3:18" ht="17.100000000000001" customHeight="1">
      <c r="D19" s="822"/>
      <c r="E19" s="1351" t="s">
        <v>468</v>
      </c>
      <c r="F19" s="1351"/>
      <c r="G19" s="780" t="s">
        <v>68</v>
      </c>
      <c r="H19" s="784">
        <f>VLOOKUP(BESS!G19,'2. PV Components'!AU5:AV8,2,0)</f>
        <v>0</v>
      </c>
      <c r="I19" s="731">
        <f t="shared" ref="I19:I25" si="4">H19/$F$3</f>
        <v>0</v>
      </c>
      <c r="J19" s="784">
        <f t="shared" si="3"/>
        <v>0</v>
      </c>
      <c r="M19" s="659"/>
      <c r="N19" s="659"/>
      <c r="O19" s="659"/>
      <c r="P19" s="659"/>
      <c r="Q19" s="659"/>
      <c r="R19" s="659"/>
    </row>
    <row r="20" spans="3:18" ht="17.100000000000001" customHeight="1">
      <c r="D20" s="822"/>
      <c r="E20" s="1338" t="s">
        <v>417</v>
      </c>
      <c r="F20" s="1338"/>
      <c r="G20" s="780" t="s">
        <v>68</v>
      </c>
      <c r="H20" s="784">
        <f>VLOOKUP(BESS!G20,'2. PV Components'!AU10:AV14,2,0)</f>
        <v>0</v>
      </c>
      <c r="I20" s="731">
        <f t="shared" si="4"/>
        <v>0</v>
      </c>
      <c r="J20" s="784">
        <f t="shared" si="3"/>
        <v>0</v>
      </c>
      <c r="M20" s="659"/>
      <c r="N20" s="659"/>
      <c r="O20" s="659"/>
      <c r="P20" s="659"/>
      <c r="Q20" s="659"/>
      <c r="R20" s="659"/>
    </row>
    <row r="21" spans="3:18" ht="17.100000000000001" customHeight="1">
      <c r="D21" s="813" t="s">
        <v>469</v>
      </c>
      <c r="E21" s="725">
        <f>'2.1 BESS Components'!AE32</f>
        <v>25</v>
      </c>
      <c r="F21" s="724">
        <v>15</v>
      </c>
      <c r="G21" s="723">
        <f>_xlfn.XLOOKUP(E21,'3. Cabling'!$E$16:$E$53,'3. Cabling'!$G$16:$G$53)*F21</f>
        <v>374.90999999999997</v>
      </c>
      <c r="H21" s="784">
        <f>G21*E4</f>
        <v>374.90999999999997</v>
      </c>
      <c r="I21" s="731">
        <f t="shared" si="4"/>
        <v>3.5038317757009341</v>
      </c>
      <c r="J21" s="784">
        <f t="shared" si="3"/>
        <v>468.63749999999993</v>
      </c>
      <c r="M21" s="659"/>
      <c r="N21" s="659"/>
      <c r="O21" s="659"/>
      <c r="P21" s="659"/>
      <c r="Q21" s="659"/>
      <c r="R21" s="659"/>
    </row>
    <row r="22" spans="3:18" ht="17.100000000000001" customHeight="1">
      <c r="D22" s="822"/>
      <c r="E22" s="814" t="s">
        <v>470</v>
      </c>
      <c r="F22" s="831">
        <v>1</v>
      </c>
      <c r="G22" s="782">
        <f>IF(F22&lt;&gt;0,IF(D24="Yes",FLOOR(6*F4+3399,500),FLOOR(6*F4+3399,500)/2),0)</f>
        <v>1750</v>
      </c>
      <c r="H22" s="784">
        <f>G22</f>
        <v>1750</v>
      </c>
      <c r="I22" s="731">
        <f t="shared" si="4"/>
        <v>16.355140186915889</v>
      </c>
      <c r="J22" s="784">
        <f>H22</f>
        <v>1750</v>
      </c>
      <c r="M22" s="659"/>
      <c r="N22" s="659"/>
      <c r="O22" s="659"/>
      <c r="P22" s="659"/>
      <c r="Q22" s="659"/>
      <c r="R22" s="659"/>
    </row>
    <row r="23" spans="3:18" ht="17.100000000000001" customHeight="1">
      <c r="D23" s="830" t="s">
        <v>471</v>
      </c>
      <c r="E23" s="1352" t="s">
        <v>472</v>
      </c>
      <c r="F23" s="1353"/>
      <c r="G23" s="782">
        <f>IF(D24="Yes",SUM('2.1 BESS Components'!AE36:AE40),0)</f>
        <v>0</v>
      </c>
      <c r="H23" s="784">
        <f>G23</f>
        <v>0</v>
      </c>
      <c r="I23" s="731">
        <f t="shared" si="4"/>
        <v>0</v>
      </c>
      <c r="J23" s="784">
        <f>H23</f>
        <v>0</v>
      </c>
      <c r="M23" s="659"/>
      <c r="N23" s="659"/>
      <c r="O23" s="659"/>
      <c r="P23" s="659"/>
      <c r="Q23" s="659"/>
      <c r="R23" s="659"/>
    </row>
    <row r="24" spans="3:18" ht="17.100000000000001" customHeight="1">
      <c r="D24" s="1364" t="s">
        <v>143</v>
      </c>
      <c r="E24" s="1352" t="s">
        <v>473</v>
      </c>
      <c r="F24" s="1353"/>
      <c r="G24" s="782">
        <f>IF(D24="Yes",SUM('2.1 BESS Components'!AE43:AE45),0)</f>
        <v>0</v>
      </c>
      <c r="H24" s="784">
        <f>G24</f>
        <v>0</v>
      </c>
      <c r="I24" s="731">
        <f t="shared" si="4"/>
        <v>0</v>
      </c>
      <c r="J24" s="784">
        <f>H24*(1+$K$3)</f>
        <v>0</v>
      </c>
      <c r="M24" s="659"/>
      <c r="N24" s="659"/>
      <c r="O24" s="659"/>
      <c r="P24" s="659"/>
      <c r="Q24" s="659"/>
      <c r="R24" s="659"/>
    </row>
    <row r="25" spans="3:18" ht="17.100000000000001" customHeight="1">
      <c r="D25" s="1365"/>
      <c r="E25" s="1352" t="s">
        <v>474</v>
      </c>
      <c r="F25" s="1353"/>
      <c r="G25" s="782">
        <f>IF(D24="Yes",15*F4,0)</f>
        <v>0</v>
      </c>
      <c r="H25" s="784">
        <f>G25</f>
        <v>0</v>
      </c>
      <c r="I25" s="731">
        <f t="shared" si="4"/>
        <v>0</v>
      </c>
      <c r="J25" s="784">
        <f>H25</f>
        <v>0</v>
      </c>
      <c r="M25" s="1039"/>
      <c r="N25" s="659"/>
      <c r="O25" s="659"/>
      <c r="P25" s="659"/>
      <c r="Q25" s="659"/>
      <c r="R25" s="659"/>
    </row>
    <row r="26" spans="3:18" ht="17.100000000000001" customHeight="1">
      <c r="C26" s="1339" t="s">
        <v>475</v>
      </c>
      <c r="D26" s="834"/>
      <c r="E26" s="1338" t="s">
        <v>301</v>
      </c>
      <c r="F26" s="1338"/>
      <c r="G26" s="722">
        <f>H26</f>
        <v>0</v>
      </c>
      <c r="H26" s="784">
        <f>IF(D6="Battery Only",IFERROR(INDEX('1. Prelim'!M8:M67,MATCH(TRUE,'1. Prelim'!B8:B67,0)),"Talk to Projects"),0)</f>
        <v>0</v>
      </c>
      <c r="I26" s="731">
        <f>H26/$F$3</f>
        <v>0</v>
      </c>
      <c r="J26" s="784">
        <f>H26*(1+$K$3)</f>
        <v>0</v>
      </c>
      <c r="M26" s="659"/>
      <c r="N26" s="659"/>
      <c r="O26" s="659"/>
      <c r="P26" s="659"/>
      <c r="Q26" s="659"/>
      <c r="R26" s="659"/>
    </row>
    <row r="27" spans="3:18" ht="17.100000000000001" customHeight="1">
      <c r="C27" s="1340"/>
      <c r="D27" s="946" t="s">
        <v>476</v>
      </c>
      <c r="E27" s="724" t="s">
        <v>350</v>
      </c>
      <c r="F27" s="724" t="s">
        <v>351</v>
      </c>
      <c r="G27" s="780" t="s">
        <v>352</v>
      </c>
      <c r="H27" s="784">
        <f>IF(D6="Battery Only",
INDEX('4. Switch Gear'!N28:O31,MATCH(E27,'4. Switch Gear'!M28:M31,0),MATCH(F27,'4. Switch Gear'!N27:O27,0))*VLOOKUP(G27,'4. Switch Gear'!Q6:R8,2),0)</f>
        <v>0</v>
      </c>
      <c r="I27" s="731">
        <f t="shared" ref="I27:I31" si="5">H27/$F$3</f>
        <v>0</v>
      </c>
      <c r="J27" s="784">
        <f t="shared" si="3"/>
        <v>0</v>
      </c>
      <c r="K27" s="659"/>
      <c r="L27" s="659"/>
      <c r="M27" s="659"/>
      <c r="N27" s="1202"/>
      <c r="O27" s="659"/>
      <c r="P27" s="659"/>
      <c r="Q27" s="659"/>
      <c r="R27" s="659"/>
    </row>
    <row r="28" spans="3:18" ht="17.100000000000001" customHeight="1">
      <c r="C28" s="1340"/>
      <c r="D28" s="946" t="s">
        <v>477</v>
      </c>
      <c r="E28" s="1354" t="s">
        <v>346</v>
      </c>
      <c r="F28" s="1355"/>
      <c r="G28" s="947">
        <f>'4. Switch Gear'!N41</f>
        <v>120</v>
      </c>
      <c r="H28" s="784">
        <f>IF(D6="Battery Only",
VLOOKUP(G28,'4. Switch Gear'!H6:J18,3),0)</f>
        <v>0</v>
      </c>
      <c r="I28" s="731">
        <f t="shared" si="5"/>
        <v>0</v>
      </c>
      <c r="J28" s="784">
        <f t="shared" si="3"/>
        <v>0</v>
      </c>
      <c r="K28" s="659"/>
      <c r="L28" s="659"/>
      <c r="M28" s="659"/>
      <c r="N28" s="1202"/>
      <c r="O28" s="659"/>
      <c r="P28" s="659"/>
      <c r="Q28" s="659"/>
      <c r="R28" s="659"/>
    </row>
    <row r="29" spans="3:18" ht="17.100000000000001" customHeight="1">
      <c r="C29" s="1340"/>
      <c r="D29" s="834"/>
      <c r="E29" s="1358" t="s">
        <v>478</v>
      </c>
      <c r="F29" s="1359"/>
      <c r="G29" s="782" t="str">
        <f>SOLAR!E31</f>
        <v>Ausgrid</v>
      </c>
      <c r="H29" s="784">
        <f>IF(D6="Battery Only",_xlfn.XLOOKUP(G29,'1. Prelim'!$S$10:$S$25,'1. Prelim'!$W$10:$W$25),0)</f>
        <v>0</v>
      </c>
      <c r="I29" s="731">
        <f>H29/$F$3</f>
        <v>0</v>
      </c>
      <c r="J29" s="784">
        <f t="shared" si="3"/>
        <v>0</v>
      </c>
      <c r="M29" s="659"/>
      <c r="N29" s="659"/>
      <c r="O29" s="659"/>
      <c r="P29" s="659"/>
      <c r="Q29" s="659"/>
      <c r="R29" s="659"/>
    </row>
    <row r="30" spans="3:18" ht="17.100000000000001" customHeight="1">
      <c r="C30" s="1340"/>
      <c r="D30" s="834"/>
      <c r="E30" s="1358" t="s">
        <v>479</v>
      </c>
      <c r="F30" s="1359"/>
      <c r="G30" s="782" t="str" cm="1">
        <f t="array" ref="G30">IF(
OR(SOLAR!F18="WA",SOLAR!F18="Western Australia",SOLAR!F18="VIC",SOLAR!F18="Victoria"),
_xlfn.IFS(OR(SOLAR!F18="WA",SOLAR!F18="Western Australia"),"Included - Oztron WA",OR(SOLAR!F18="VIC",SOLAR!F18="Victoria"),"Included - VIC"),
"Not Required")</f>
        <v>Not Required</v>
      </c>
      <c r="H30" s="784" cm="1">
        <f t="array" ref="H30">IF(D6="Battery Only",_xlfn.IFS(G30="Included - Oztron WA",5000,G30="Included - VIC",600,G30="Not Required",0),0)</f>
        <v>0</v>
      </c>
      <c r="I30" s="731">
        <f t="shared" si="5"/>
        <v>0</v>
      </c>
      <c r="J30" s="784">
        <f t="shared" si="3"/>
        <v>0</v>
      </c>
      <c r="M30" s="659"/>
      <c r="N30" s="659"/>
      <c r="O30" s="659"/>
      <c r="P30" s="659"/>
      <c r="Q30" s="659"/>
      <c r="R30" s="659"/>
    </row>
    <row r="31" spans="3:18" ht="17.100000000000001" customHeight="1">
      <c r="C31" s="1340"/>
      <c r="D31" s="838"/>
      <c r="E31" s="1076" t="s">
        <v>480</v>
      </c>
      <c r="F31" s="821" t="s">
        <v>481</v>
      </c>
      <c r="G31" s="722">
        <f>H31</f>
        <v>0</v>
      </c>
      <c r="H31" s="784" cm="1">
        <f t="array" ref="H31">IF(D6="Battery Only",IF(SOLAR!F18="WA",(SUM(H3:H30)+H32:H32)*0.002,0),0)</f>
        <v>0</v>
      </c>
      <c r="I31" s="839">
        <f t="shared" si="5"/>
        <v>0</v>
      </c>
      <c r="J31" s="840">
        <f t="shared" ref="J31" si="6">H31*(1+$K$3)</f>
        <v>0</v>
      </c>
      <c r="M31" s="659"/>
      <c r="N31" s="659"/>
      <c r="O31" s="659"/>
      <c r="P31" s="659"/>
      <c r="Q31" s="659"/>
      <c r="R31" s="659"/>
    </row>
    <row r="32" spans="3:18">
      <c r="D32" s="1084"/>
      <c r="E32" s="1387" t="s">
        <v>482</v>
      </c>
      <c r="F32" s="1388"/>
      <c r="G32" s="1085"/>
      <c r="H32" s="1086"/>
      <c r="I32" s="731">
        <f t="shared" ref="I32" si="7">H32/$F$3</f>
        <v>0</v>
      </c>
      <c r="J32" s="1087">
        <f>H32*(1+K3)</f>
        <v>0</v>
      </c>
      <c r="M32" s="659"/>
    </row>
    <row r="33" spans="2:17" ht="15" thickBot="1">
      <c r="D33" s="1077"/>
      <c r="E33" s="1078"/>
      <c r="F33" s="1079" t="s">
        <v>483</v>
      </c>
      <c r="G33" s="1080">
        <f>H33</f>
        <v>1700.2008437499999</v>
      </c>
      <c r="H33" s="1081">
        <f>IF(D6="Battery Only",IF(SOLAR!F18="WA",1500*2,0),0)+IF(OR(AND(F3&gt;28,SOLAR!F18="NSW"),D24="Yes"),((SUM(J3:J20,J21:J32)-J39)*0.015+1000),0)</f>
        <v>1700.2008437499999</v>
      </c>
      <c r="I33" s="1082">
        <f>H33/$F$3</f>
        <v>15.889727511682242</v>
      </c>
      <c r="J33" s="1083">
        <f>H33*(1+$K$3)</f>
        <v>2125.2510546875001</v>
      </c>
      <c r="M33" s="659"/>
    </row>
    <row r="34" spans="2:17" ht="16.2" thickBot="1">
      <c r="G34" s="1385" t="s">
        <v>484</v>
      </c>
      <c r="H34" s="1386"/>
      <c r="I34" s="1385" t="s">
        <v>485</v>
      </c>
      <c r="J34" s="1386"/>
      <c r="L34" s="709"/>
      <c r="M34" s="659"/>
      <c r="N34" s="1334" t="s">
        <v>486</v>
      </c>
      <c r="O34" s="1335"/>
    </row>
    <row r="35" spans="2:17" ht="16.2" thickBot="1">
      <c r="B35" s="1360" t="s">
        <v>487</v>
      </c>
      <c r="C35" s="1361"/>
      <c r="D35" s="736" t="s">
        <v>145</v>
      </c>
      <c r="F35" s="1356" t="s">
        <v>488</v>
      </c>
      <c r="G35" s="732" t="s">
        <v>489</v>
      </c>
      <c r="H35" s="735">
        <f>H4</f>
        <v>3553.2</v>
      </c>
      <c r="I35" s="732" t="s">
        <v>489</v>
      </c>
      <c r="J35" s="735">
        <f>J4</f>
        <v>4441.5</v>
      </c>
      <c r="L35" s="709"/>
      <c r="M35" s="659"/>
      <c r="N35" s="1035" t="s">
        <v>490</v>
      </c>
      <c r="O35" s="1036">
        <f>SUM(J3:J22,J23:J24,J26:J33)</f>
        <v>55278.107304687495</v>
      </c>
    </row>
    <row r="36" spans="2:17" ht="16.2" thickBot="1">
      <c r="B36" s="1362" t="s">
        <v>491</v>
      </c>
      <c r="C36" s="1363"/>
      <c r="D36" s="1203">
        <f>IF(D35="Yes",MIN(F4*1.25, SOLAR!F13)," ")</f>
        <v>62.5</v>
      </c>
      <c r="E36" s="660"/>
      <c r="F36" s="1357"/>
      <c r="G36" s="837" t="s">
        <v>492</v>
      </c>
      <c r="H36" s="836">
        <f>SUM(H3:H25)+H32</f>
        <v>42872.285000000003</v>
      </c>
      <c r="I36" s="837" t="s">
        <v>492</v>
      </c>
      <c r="J36" s="836">
        <f>SUM(J3:J25)+SUM(J32:J33)</f>
        <v>55278.107304687495</v>
      </c>
      <c r="K36" s="1008" t="s">
        <v>258</v>
      </c>
      <c r="L36" s="709"/>
      <c r="M36" s="659"/>
      <c r="N36" s="1035" t="s">
        <v>493</v>
      </c>
      <c r="O36" s="1034">
        <f>J22</f>
        <v>1750</v>
      </c>
    </row>
    <row r="37" spans="2:17" ht="15" thickBot="1">
      <c r="B37" s="1383" t="s">
        <v>494</v>
      </c>
      <c r="C37" s="1384"/>
      <c r="D37" s="1204">
        <f>SOLAR!F13</f>
        <v>100</v>
      </c>
      <c r="F37" s="1356" t="s">
        <v>495</v>
      </c>
      <c r="G37" s="732" t="s">
        <v>492</v>
      </c>
      <c r="H37" s="735">
        <f>SUM(H3:H32)</f>
        <v>42872.285000000003</v>
      </c>
      <c r="I37" s="732" t="s">
        <v>492</v>
      </c>
      <c r="J37" s="735">
        <f>SUM(J3:J33)</f>
        <v>55278.107304687495</v>
      </c>
      <c r="K37" s="1009">
        <f>J37-H37</f>
        <v>12405.822304687492</v>
      </c>
      <c r="M37" s="659"/>
      <c r="N37" s="1037" t="s">
        <v>496</v>
      </c>
      <c r="O37" s="1038">
        <f>J25</f>
        <v>0</v>
      </c>
    </row>
    <row r="38" spans="2:17" ht="15" thickBot="1">
      <c r="F38" s="1357"/>
      <c r="G38" s="733" t="s">
        <v>497</v>
      </c>
      <c r="H38" s="734">
        <f>ROUNDUP(H37/F3,0)</f>
        <v>401</v>
      </c>
      <c r="I38" s="733" t="s">
        <v>497</v>
      </c>
      <c r="J38" s="734">
        <f>ROUNDUP(J37/F3,0)</f>
        <v>517</v>
      </c>
      <c r="K38" s="1010">
        <f>K37/J37</f>
        <v>0.2244255982989399</v>
      </c>
    </row>
    <row r="39" spans="2:17" ht="15" thickBot="1">
      <c r="F39" s="1381" t="s">
        <v>498</v>
      </c>
      <c r="G39" s="951" t="s">
        <v>499</v>
      </c>
      <c r="H39" s="952">
        <f>Rebates!B44</f>
        <v>6472.8</v>
      </c>
      <c r="I39" s="951" t="s">
        <v>499</v>
      </c>
      <c r="J39" s="952">
        <f>H39</f>
        <v>6472.8</v>
      </c>
      <c r="K39" s="1201"/>
    </row>
    <row r="40" spans="2:17" ht="15.75" customHeight="1" thickBot="1">
      <c r="B40" s="1380" t="s">
        <v>500</v>
      </c>
      <c r="C40" s="1380"/>
      <c r="D40" s="1380"/>
      <c r="F40" s="1382"/>
      <c r="G40" s="953" t="s">
        <v>501</v>
      </c>
      <c r="H40" s="954">
        <f>H37-H39</f>
        <v>36399.485000000001</v>
      </c>
      <c r="I40" s="953" t="s">
        <v>501</v>
      </c>
      <c r="J40" s="954">
        <f>J37-J39</f>
        <v>48805.307304687492</v>
      </c>
      <c r="K40" s="1007"/>
    </row>
    <row r="41" spans="2:17" ht="15" thickBot="1">
      <c r="B41" s="661" t="s">
        <v>502</v>
      </c>
      <c r="C41" s="662">
        <v>108</v>
      </c>
      <c r="D41" s="663" t="s">
        <v>503</v>
      </c>
      <c r="F41" s="1382"/>
      <c r="G41" s="733" t="s">
        <v>504</v>
      </c>
      <c r="H41" s="734">
        <f>ROUNDUP(H40/F3,0)</f>
        <v>341</v>
      </c>
      <c r="I41" s="733" t="s">
        <v>504</v>
      </c>
      <c r="J41" s="734">
        <f>ROUNDUP(J40/F3,0)</f>
        <v>457</v>
      </c>
    </row>
    <row r="42" spans="2:17" ht="15" thickBot="1">
      <c r="B42" s="664" t="s">
        <v>505</v>
      </c>
      <c r="C42" s="271">
        <v>0.2</v>
      </c>
      <c r="D42" s="665"/>
    </row>
    <row r="43" spans="2:17" ht="15" thickBot="1"/>
    <row r="44" spans="2:17">
      <c r="B44" s="741" t="s">
        <v>506</v>
      </c>
      <c r="C44" s="742"/>
      <c r="D44" s="743" t="s">
        <v>507</v>
      </c>
      <c r="E44" s="744" t="s">
        <v>435</v>
      </c>
      <c r="F44" s="820" t="s">
        <v>508</v>
      </c>
    </row>
    <row r="45" spans="2:17" ht="15.6">
      <c r="B45" s="745" t="str" cm="1">
        <f t="array" ref="B45:B51">_xlfn._xlws.FILTER('2.1 BESS Components'!A:A,('2.1 BESS Components'!B:B&gt;=C41*(1-C42))*('2.1 BESS Components'!B:B&lt;=C41*(1+C42)))</f>
        <v>100 kWh - ARES-30-100</v>
      </c>
      <c r="C45" s="739"/>
      <c r="D45" s="740">
        <f ca="1">IF(ISBLANK(B45)," ",_xlfn.XLOOKUP(B45,'2.1 BESS Components'!A:A,'2.1 BESS Components'!H:H," " ))</f>
        <v>642.83000000000004</v>
      </c>
      <c r="E45" s="746" t="str">
        <f>IF(ISBLANK(B45)," ",_xlfn.XLOOKUP(B45,'2.1 BESS Components'!A:A,'2.1 BESS Components'!E:E," " ))</f>
        <v>Chelion</v>
      </c>
      <c r="F45" s="739" t="str">
        <f>IF(ISBLANK(B45)," ",IF(_xlfn.XLOOKUP(B45,'2.1 BESS Components'!A:A,'2.1 BESS Components'!L:L," " )&lt;&gt;"Y","No","Yes"))</f>
        <v>No</v>
      </c>
      <c r="I45" s="1372" t="s">
        <v>509</v>
      </c>
      <c r="J45" s="1374">
        <f>VLOOKUP(D3,'2.1 BESS Components'!A:I,9,FALSE)</f>
        <v>0</v>
      </c>
      <c r="K45" s="1375"/>
      <c r="L45" s="1375"/>
      <c r="M45" s="1375"/>
      <c r="N45" s="1375"/>
      <c r="O45" s="1375"/>
      <c r="P45" s="1375"/>
      <c r="Q45" s="1376"/>
    </row>
    <row r="46" spans="2:17" ht="15.6">
      <c r="B46" s="745" t="str">
        <v>100 kWh - ARES-60-100</v>
      </c>
      <c r="C46" s="739"/>
      <c r="D46" s="740">
        <f ca="1">IF(ISBLANK(B46)," ",_xlfn.XLOOKUP(B46,'2.1 BESS Components'!A:A,'2.1 BESS Components'!H:H," " ))</f>
        <v>746.9</v>
      </c>
      <c r="E46" s="746" t="str">
        <f>IF(ISBLANK(B46)," ",_xlfn.XLOOKUP(B46,'2.1 BESS Components'!A:A,'2.1 BESS Components'!E:E," " ))</f>
        <v>Chelion</v>
      </c>
      <c r="F46" s="739" t="str">
        <f>IF(ISBLANK(B46)," ",IF(_xlfn.XLOOKUP(B46,'2.1 BESS Components'!A:A,'2.1 BESS Components'!L:L," " )&lt;&gt;"Y","No","Yes"))</f>
        <v>No</v>
      </c>
      <c r="I46" s="1373"/>
      <c r="J46" s="1377"/>
      <c r="K46" s="1378"/>
      <c r="L46" s="1378"/>
      <c r="M46" s="1378"/>
      <c r="N46" s="1378"/>
      <c r="O46" s="1378"/>
      <c r="P46" s="1378"/>
      <c r="Q46" s="1379"/>
    </row>
    <row r="47" spans="2:17" ht="15.6">
      <c r="B47" s="745" t="str">
        <v>96 kWh - 8x SigenStack BAT 12.0</v>
      </c>
      <c r="C47" s="739"/>
      <c r="D47" s="740">
        <f ca="1">IF(ISBLANK(B47)," ",_xlfn.XLOOKUP(B47,'2.1 BESS Components'!A:A,'2.1 BESS Components'!H:H," " ))</f>
        <v>609.796875</v>
      </c>
      <c r="E47" s="746" t="str">
        <f>IF(ISBLANK(B47)," ",_xlfn.XLOOKUP(B47,'2.1 BESS Components'!A:A,'2.1 BESS Components'!E:E," " ))</f>
        <v>Sigenergy - SigenStack</v>
      </c>
      <c r="F47" s="739" t="str">
        <f>IF(ISBLANK(B47)," ",IF(_xlfn.XLOOKUP(B47,'2.1 BESS Components'!A:A,'2.1 BESS Components'!L:L," " )&lt;&gt;"Y","No","Yes"))</f>
        <v>No</v>
      </c>
      <c r="I47" s="1372" t="s">
        <v>510</v>
      </c>
      <c r="J47" s="1366" t="str">
        <f>VLOOKUP(D4,'2.1 BESS Components'!N:Q,4,FALSE)</f>
        <v>10ms switching, 200% solar oversizing</v>
      </c>
      <c r="K47" s="1367"/>
      <c r="L47" s="1367"/>
      <c r="M47" s="1367"/>
      <c r="N47" s="1367"/>
      <c r="O47" s="1367"/>
      <c r="P47" s="1367"/>
      <c r="Q47" s="1368"/>
    </row>
    <row r="48" spans="2:17" ht="15.6">
      <c r="B48" s="745" t="str">
        <v>108 kWh - 9x SigenStack BAT 12.0</v>
      </c>
      <c r="C48" s="739"/>
      <c r="D48" s="740">
        <f ca="1">IF(ISBLANK(B48)," ",_xlfn.XLOOKUP(B48,'2.1 BESS Components'!A:A,'2.1 BESS Components'!H:H," " ))</f>
        <v>560.1712962962963</v>
      </c>
      <c r="E48" s="746" t="str">
        <f>IF(ISBLANK(B48)," ",_xlfn.XLOOKUP(B48,'2.1 BESS Components'!A:A,'2.1 BESS Components'!E:E," " ))</f>
        <v>Sigenergy - SigenStack</v>
      </c>
      <c r="F48" s="739" t="str">
        <f>IF(ISBLANK(B48)," ",IF(_xlfn.XLOOKUP(B48,'2.1 BESS Components'!A:A,'2.1 BESS Components'!L:L," " )&lt;&gt;"Y","No","Yes"))</f>
        <v>No</v>
      </c>
      <c r="I48" s="1373"/>
      <c r="J48" s="1369"/>
      <c r="K48" s="1370"/>
      <c r="L48" s="1370"/>
      <c r="M48" s="1370"/>
      <c r="N48" s="1370"/>
      <c r="O48" s="1370"/>
      <c r="P48" s="1370"/>
      <c r="Q48" s="1371"/>
    </row>
    <row r="49" spans="2:6" ht="17.100000000000001" customHeight="1">
      <c r="B49" s="745" t="str">
        <v>120 kWh - 10x SigenStack BAT 12.0</v>
      </c>
      <c r="C49" s="739"/>
      <c r="D49" s="740">
        <f ca="1">IF(ISBLANK(B49)," ",_xlfn.XLOOKUP(B49,'2.1 BESS Components'!A:A,'2.1 BESS Components'!H:H," " ))</f>
        <v>520.4708333333333</v>
      </c>
      <c r="E49" s="746" t="str">
        <f>IF(ISBLANK(B49)," ",_xlfn.XLOOKUP(B49,'2.1 BESS Components'!A:A,'2.1 BESS Components'!E:E," " ))</f>
        <v>Sigenergy - SigenStack</v>
      </c>
      <c r="F49" s="739" t="str">
        <f>IF(ISBLANK(B49)," ",IF(_xlfn.XLOOKUP(B49,'2.1 BESS Components'!A:A,'2.1 BESS Components'!L:L," " )&lt;&gt;"Y","No","Yes"))</f>
        <v>No</v>
      </c>
    </row>
    <row r="50" spans="2:6" ht="15.6" customHeight="1">
      <c r="B50" s="745" t="str">
        <v>107 kWh - BC107DE2</v>
      </c>
      <c r="C50" s="739"/>
      <c r="D50" s="740">
        <f ca="1">IF(ISBLANK(B50)," ",_xlfn.XLOOKUP(B50,'2.1 BESS Components'!A:A,'2.1 BESS Components'!H:H," " ))</f>
        <v>308.84929906542055</v>
      </c>
      <c r="E50" s="746" t="str">
        <f>IF(ISBLANK(B50)," ",_xlfn.XLOOKUP(B50,'2.1 BESS Components'!A:A,'2.1 BESS Components'!E:E," " ))</f>
        <v>Kstar</v>
      </c>
      <c r="F50" s="739" t="str">
        <f>IF(ISBLANK(B50)," ",IF(_xlfn.XLOOKUP(B50,'2.1 BESS Components'!A:A,'2.1 BESS Components'!L:L," " )&lt;&gt;"Y","No","Yes"))</f>
        <v>No</v>
      </c>
    </row>
    <row r="51" spans="2:6" ht="15.6">
      <c r="B51" s="745" t="str">
        <v>120 kWh - BC120DE2</v>
      </c>
      <c r="C51" s="739"/>
      <c r="D51" s="740">
        <f ca="1">IF(ISBLANK(B51)," ",_xlfn.XLOOKUP(B51,'2.1 BESS Components'!A:A,'2.1 BESS Components'!H:H," " ))</f>
        <v>253.80000000000004</v>
      </c>
      <c r="E51" s="746" t="str">
        <f>IF(ISBLANK(B51)," ",_xlfn.XLOOKUP(B51,'2.1 BESS Components'!A:A,'2.1 BESS Components'!E:E," " ))</f>
        <v>Kstar</v>
      </c>
      <c r="F51" s="739" t="str">
        <f>IF(ISBLANK(B51)," ",IF(_xlfn.XLOOKUP(B51,'2.1 BESS Components'!A:A,'2.1 BESS Components'!L:L," " )&lt;&gt;"Y","No","Yes"))</f>
        <v>No</v>
      </c>
    </row>
    <row r="52" spans="2:6" ht="15.6">
      <c r="B52" s="745"/>
      <c r="C52" s="739"/>
      <c r="D52" s="740" t="str">
        <f>IF(ISBLANK(B52)," ",_xlfn.XLOOKUP(B52,'2.1 BESS Components'!A:A,'2.1 BESS Components'!H:H," " ))</f>
        <v xml:space="preserve"> </v>
      </c>
      <c r="E52" s="746" t="str">
        <f>IF(ISBLANK(B52)," ",_xlfn.XLOOKUP(B52,'2.1 BESS Components'!A:A,'2.1 BESS Components'!E:E," " ))</f>
        <v xml:space="preserve"> </v>
      </c>
      <c r="F52" s="739" t="str">
        <f>IF(ISBLANK(B52)," ",IF(_xlfn.XLOOKUP(B52,'2.1 BESS Components'!A:A,'2.1 BESS Components'!L:L," " )&lt;&gt;"Y","No","Yes"))</f>
        <v xml:space="preserve"> </v>
      </c>
    </row>
    <row r="53" spans="2:6" ht="15.6">
      <c r="B53" s="745"/>
      <c r="C53" s="739"/>
      <c r="D53" s="740" t="str">
        <f>IF(ISBLANK(B53)," ",_xlfn.XLOOKUP(B53,'2.1 BESS Components'!A:A,'2.1 BESS Components'!H:H," " ))</f>
        <v xml:space="preserve"> </v>
      </c>
      <c r="E53" s="746" t="str">
        <f>IF(ISBLANK(B53)," ",_xlfn.XLOOKUP(B53,'2.1 BESS Components'!A:A,'2.1 BESS Components'!E:E," " ))</f>
        <v xml:space="preserve"> </v>
      </c>
      <c r="F53" s="739" t="str">
        <f>IF(ISBLANK(B53)," ",IF(_xlfn.XLOOKUP(B53,'2.1 BESS Components'!A:A,'2.1 BESS Components'!L:L," " )&lt;&gt;"Y","No","Yes"))</f>
        <v xml:space="preserve"> </v>
      </c>
    </row>
    <row r="54" spans="2:6" ht="15.6">
      <c r="B54" s="745"/>
      <c r="C54" s="739"/>
      <c r="D54" s="740" t="str">
        <f>IF(ISBLANK(B54)," ",_xlfn.XLOOKUP(B54,'2.1 BESS Components'!A:A,'2.1 BESS Components'!H:H," " ))</f>
        <v xml:space="preserve"> </v>
      </c>
      <c r="E54" s="746" t="str">
        <f>IF(ISBLANK(B54)," ",_xlfn.XLOOKUP(B54,'2.1 BESS Components'!A:A,'2.1 BESS Components'!E:E," " ))</f>
        <v xml:space="preserve"> </v>
      </c>
      <c r="F54" s="739" t="str">
        <f>IF(ISBLANK(B54)," ",IF(_xlfn.XLOOKUP(B54,'2.1 BESS Components'!A:A,'2.1 BESS Components'!L:L," " )&lt;&gt;"Y","No","Yes"))</f>
        <v xml:space="preserve"> </v>
      </c>
    </row>
    <row r="55" spans="2:6" ht="15.6">
      <c r="B55" s="745"/>
      <c r="C55" s="739"/>
      <c r="D55" s="740" t="str">
        <f>IF(ISBLANK(B55)," ",_xlfn.XLOOKUP(B55,'2.1 BESS Components'!A:A,'2.1 BESS Components'!H:H," " ))</f>
        <v xml:space="preserve"> </v>
      </c>
      <c r="E55" s="746" t="str">
        <f>IF(ISBLANK(B55)," ",_xlfn.XLOOKUP(B55,'2.1 BESS Components'!A:A,'2.1 BESS Components'!E:E," " ))</f>
        <v xml:space="preserve"> </v>
      </c>
      <c r="F55" s="739" t="str">
        <f>IF(ISBLANK(B55)," ",IF(_xlfn.XLOOKUP(B55,'2.1 BESS Components'!A:A,'2.1 BESS Components'!L:L," " )&lt;&gt;"Y","No","Yes"))</f>
        <v xml:space="preserve"> </v>
      </c>
    </row>
    <row r="56" spans="2:6" ht="15.6">
      <c r="B56" s="745"/>
      <c r="C56" s="739"/>
      <c r="D56" s="740" t="str">
        <f>IF(ISBLANK(B56)," ",_xlfn.XLOOKUP(B56,'2.1 BESS Components'!A:A,'2.1 BESS Components'!H:H," " ))</f>
        <v xml:space="preserve"> </v>
      </c>
      <c r="E56" s="746" t="str">
        <f>IF(ISBLANK(B56)," ",_xlfn.XLOOKUP(B56,'2.1 BESS Components'!A:A,'2.1 BESS Components'!E:E," " ))</f>
        <v xml:space="preserve"> </v>
      </c>
      <c r="F56" s="739" t="str">
        <f>IF(ISBLANK(B56)," ",IF(_xlfn.XLOOKUP(B56,'2.1 BESS Components'!A:A,'2.1 BESS Components'!L:L," " )&lt;&gt;"Y","No","Yes"))</f>
        <v xml:space="preserve"> </v>
      </c>
    </row>
    <row r="57" spans="2:6" ht="15.6">
      <c r="B57" s="745"/>
      <c r="C57" s="739"/>
      <c r="D57" s="740" t="str">
        <f>IF(ISBLANK(B57)," ",_xlfn.XLOOKUP(B57,'2.1 BESS Components'!A:A,'2.1 BESS Components'!H:H," " ))</f>
        <v xml:space="preserve"> </v>
      </c>
      <c r="E57" s="746" t="str">
        <f>IF(ISBLANK(B57)," ",_xlfn.XLOOKUP(B57,'2.1 BESS Components'!A:A,'2.1 BESS Components'!E:E," " ))</f>
        <v xml:space="preserve"> </v>
      </c>
      <c r="F57" s="739" t="str">
        <f>IF(ISBLANK(B57)," ",IF(_xlfn.XLOOKUP(B57,'2.1 BESS Components'!A:A,'2.1 BESS Components'!L:L," " )&lt;&gt;"Y","No","Yes"))</f>
        <v xml:space="preserve"> </v>
      </c>
    </row>
    <row r="58" spans="2:6" ht="15.6">
      <c r="B58" s="745"/>
      <c r="C58" s="739"/>
      <c r="D58" s="740" t="str">
        <f>IF(ISBLANK(B58)," ",_xlfn.XLOOKUP(B58,'2.1 BESS Components'!A:A,'2.1 BESS Components'!H:H," " ))</f>
        <v xml:space="preserve"> </v>
      </c>
      <c r="E58" s="746" t="str">
        <f>IF(ISBLANK(B58)," ",_xlfn.XLOOKUP(B58,'2.1 BESS Components'!A:A,'2.1 BESS Components'!E:E," " ))</f>
        <v xml:space="preserve"> </v>
      </c>
      <c r="F58" s="739" t="str">
        <f>IF(ISBLANK(B58)," ",IF(_xlfn.XLOOKUP(B58,'2.1 BESS Components'!A:A,'2.1 BESS Components'!L:L," " )&lt;&gt;"Y","No","Yes"))</f>
        <v xml:space="preserve"> </v>
      </c>
    </row>
    <row r="59" spans="2:6" ht="15.6">
      <c r="B59" s="745"/>
      <c r="C59" s="739"/>
      <c r="D59" s="740" t="str">
        <f>IF(ISBLANK(B59)," ",_xlfn.XLOOKUP(B59,'2.1 BESS Components'!A:A,'2.1 BESS Components'!H:H," " ))</f>
        <v xml:space="preserve"> </v>
      </c>
      <c r="E59" s="746" t="str">
        <f>IF(ISBLANK(B59)," ",_xlfn.XLOOKUP(B59,'2.1 BESS Components'!A:A,'2.1 BESS Components'!E:E," " ))</f>
        <v xml:space="preserve"> </v>
      </c>
      <c r="F59" s="739" t="str">
        <f>IF(ISBLANK(B59)," ",IF(_xlfn.XLOOKUP(B59,'2.1 BESS Components'!A:A,'2.1 BESS Components'!L:L," " )&lt;&gt;"Y","No","Yes"))</f>
        <v xml:space="preserve"> </v>
      </c>
    </row>
    <row r="60" spans="2:6" ht="16.2" thickBot="1">
      <c r="B60" s="747"/>
      <c r="C60" s="748"/>
      <c r="D60" s="749" t="str">
        <f>IF(ISBLANK(B60)," ",_xlfn.XLOOKUP(B60,'2.1 BESS Components'!A:A,'2.1 BESS Components'!H:H," " ))</f>
        <v xml:space="preserve"> </v>
      </c>
      <c r="E60" s="750" t="str">
        <f>IF(ISBLANK(B60)," ",_xlfn.XLOOKUP(B60,'2.1 BESS Components'!A:A,'2.1 BESS Components'!E:E," " ))</f>
        <v xml:space="preserve"> </v>
      </c>
      <c r="F60" s="739" t="str">
        <f>IF(ISBLANK(B60)," ",IF(_xlfn.XLOOKUP(B60,'2.1 BESS Components'!A:A,'2.1 BESS Components'!L:L," " )&lt;&gt;"Y","No","Yes"))</f>
        <v xml:space="preserve"> </v>
      </c>
    </row>
    <row r="63" spans="2:6" ht="15.6">
      <c r="D63" s="666"/>
    </row>
  </sheetData>
  <mergeCells count="42">
    <mergeCell ref="D24:D25"/>
    <mergeCell ref="J47:Q48"/>
    <mergeCell ref="I45:I46"/>
    <mergeCell ref="I47:I48"/>
    <mergeCell ref="J45:Q46"/>
    <mergeCell ref="B40:D40"/>
    <mergeCell ref="F39:F41"/>
    <mergeCell ref="B37:C37"/>
    <mergeCell ref="I34:J34"/>
    <mergeCell ref="G34:H34"/>
    <mergeCell ref="E24:F24"/>
    <mergeCell ref="F37:F38"/>
    <mergeCell ref="E32:F32"/>
    <mergeCell ref="E25:F25"/>
    <mergeCell ref="E26:F26"/>
    <mergeCell ref="E29:F29"/>
    <mergeCell ref="E28:F28"/>
    <mergeCell ref="F35:F36"/>
    <mergeCell ref="E30:F30"/>
    <mergeCell ref="B35:C35"/>
    <mergeCell ref="B36:C36"/>
    <mergeCell ref="E19:F19"/>
    <mergeCell ref="E20:F20"/>
    <mergeCell ref="E16:F16"/>
    <mergeCell ref="E17:F17"/>
    <mergeCell ref="E23:F23"/>
    <mergeCell ref="N34:O34"/>
    <mergeCell ref="K3:K4"/>
    <mergeCell ref="E8:F8"/>
    <mergeCell ref="C26:C31"/>
    <mergeCell ref="I3:I4"/>
    <mergeCell ref="E7:F7"/>
    <mergeCell ref="I7:I8"/>
    <mergeCell ref="C7:C8"/>
    <mergeCell ref="C9:C10"/>
    <mergeCell ref="E10:F10"/>
    <mergeCell ref="E12:F12"/>
    <mergeCell ref="E13:F13"/>
    <mergeCell ref="E14:F14"/>
    <mergeCell ref="E15:F15"/>
    <mergeCell ref="D15:D16"/>
    <mergeCell ref="E18:F18"/>
  </mergeCells>
  <conditionalFormatting sqref="C26:J27 C28:E28 H28:J28 C29:J31">
    <cfRule type="expression" dxfId="381" priority="7">
      <formula>$D$6&lt;&gt;"Battery Only"</formula>
    </cfRule>
  </conditionalFormatting>
  <conditionalFormatting sqref="D45:D60">
    <cfRule type="colorScale" priority="9">
      <colorScale>
        <cfvo type="min"/>
        <cfvo type="percentile" val="50"/>
        <cfvo type="max"/>
        <color rgb="FF63BE7B"/>
        <color rgb="FFFFEB84"/>
        <color rgb="FFF8696B"/>
      </colorScale>
    </cfRule>
  </conditionalFormatting>
  <conditionalFormatting sqref="F22">
    <cfRule type="expression" dxfId="380" priority="77">
      <formula>OR(AND(D24="No",F22&lt;&gt;1),AND(D24="Yes",F22&lt;&gt;5))</formula>
    </cfRule>
  </conditionalFormatting>
  <conditionalFormatting sqref="F45:F60">
    <cfRule type="cellIs" dxfId="379" priority="8" operator="equal">
      <formula>"Yes"</formula>
    </cfRule>
  </conditionalFormatting>
  <conditionalFormatting sqref="F35:J36">
    <cfRule type="expression" dxfId="378" priority="6">
      <formula>$D$6="Battery Only"</formula>
    </cfRule>
  </conditionalFormatting>
  <conditionalFormatting sqref="N34:N37">
    <cfRule type="expression" dxfId="377" priority="3">
      <formula>$D$6&lt;&gt;"Battery Only"</formula>
    </cfRule>
  </conditionalFormatting>
  <conditionalFormatting sqref="N34:O37">
    <cfRule type="expression" dxfId="376" priority="78">
      <formula>$D$24="No"</formula>
    </cfRule>
  </conditionalFormatting>
  <dataValidations count="3">
    <dataValidation type="list" allowBlank="1" showInputMessage="1" showErrorMessage="1" sqref="F22" xr:uid="{E068EBE6-2950-4A0B-BF29-541F43488315}">
      <formula1>"0, 1,2,3,4,5,6,7,8,9,10"</formula1>
    </dataValidation>
    <dataValidation type="list" allowBlank="1" showInputMessage="1" showErrorMessage="1" sqref="D24" xr:uid="{F743588C-5739-4C43-95FF-499C569131A6}">
      <formula1>"Yes, No"</formula1>
    </dataValidation>
    <dataValidation type="list" allowBlank="1" showInputMessage="1" showErrorMessage="1" sqref="D6" xr:uid="{63426D80-E3AF-4DFC-8F0E-55A36E951CAE}">
      <formula1>"Solar &amp; Battery, Battery Only"</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25E07F02-2651-4741-9C6B-15027640307B}">
          <x14:formula1>
            <xm:f>'2.1 BESS Components'!$AG$7:$AG$9</xm:f>
          </x14:formula1>
          <xm:sqref>G12</xm:sqref>
        </x14:dataValidation>
        <x14:dataValidation type="list" allowBlank="1" showInputMessage="1" showErrorMessage="1" xr:uid="{D74FA0B0-58C8-432F-9950-A12660DC5B9C}">
          <x14:formula1>
            <xm:f>'2.1 BESS Components'!$AD$48:$AD$51</xm:f>
          </x14:formula1>
          <xm:sqref>G15</xm:sqref>
        </x14:dataValidation>
        <x14:dataValidation type="list" allowBlank="1" showInputMessage="1" showErrorMessage="1" xr:uid="{7323C81C-287F-426C-A1AE-1B665B28F7F0}">
          <x14:formula1>
            <xm:f>'2.1 BESS Components'!$AG$36:$AG$37</xm:f>
          </x14:formula1>
          <xm:sqref>G13</xm:sqref>
        </x14:dataValidation>
        <x14:dataValidation type="list" allowBlank="1" showInputMessage="1" showErrorMessage="1" xr:uid="{F785EBF7-CCE7-4F34-8BB0-03DB9D192649}">
          <x14:formula1>
            <xm:f>'2.1 BESS Components'!$AC$6:$AC$7</xm:f>
          </x14:formula1>
          <xm:sqref>D35</xm:sqref>
        </x14:dataValidation>
        <x14:dataValidation type="list" allowBlank="1" showInputMessage="1" showErrorMessage="1" xr:uid="{8B4E06AB-017E-4402-AF1E-55BF09A12954}">
          <x14:formula1>
            <xm:f>'2.1 BESS Components'!$AG$12:$AG$16</xm:f>
          </x14:formula1>
          <xm:sqref>G9</xm:sqref>
        </x14:dataValidation>
        <x14:dataValidation type="list" allowBlank="1" showInputMessage="1" showErrorMessage="1" xr:uid="{34FE0F70-E890-45C7-879A-495ABD0FFC9A}">
          <x14:formula1>
            <xm:f>'2. PV Components'!$AU$5:$AU$8</xm:f>
          </x14:formula1>
          <xm:sqref>G19</xm:sqref>
        </x14:dataValidation>
        <x14:dataValidation type="list" allowBlank="1" showInputMessage="1" showErrorMessage="1" xr:uid="{533062F2-1FB9-4B12-974D-4EF0CE6CA91E}">
          <x14:formula1>
            <xm:f>'2. PV Components'!$AU$10:$AU$14</xm:f>
          </x14:formula1>
          <xm:sqref>G20</xm:sqref>
        </x14:dataValidation>
        <x14:dataValidation type="list" allowBlank="1" showInputMessage="1" showErrorMessage="1" xr:uid="{B6EB77F0-D85E-42A6-B682-B15A0C575928}">
          <x14:formula1>
            <xm:f>'2.1 BESS Components'!$AG$40:$AG$41</xm:f>
          </x14:formula1>
          <xm:sqref>G16 G10</xm:sqref>
        </x14:dataValidation>
        <x14:dataValidation type="list" allowBlank="1" showInputMessage="1" showErrorMessage="1" xr:uid="{B852E72C-11E9-4FB3-9706-166BA9A4403E}">
          <x14:formula1>
            <xm:f>'2.1 BESS Components'!$AG$30:$AG$31</xm:f>
          </x14:formula1>
          <xm:sqref>G11</xm:sqref>
        </x14:dataValidation>
        <x14:dataValidation type="list" allowBlank="1" showInputMessage="1" showErrorMessage="1" xr:uid="{930E59F3-F475-4BE4-B08F-C1A1268D4169}">
          <x14:formula1>
            <xm:f>'4. Switch Gear'!$Q$6:$Q$10</xm:f>
          </x14:formula1>
          <xm:sqref>G27</xm:sqref>
        </x14:dataValidation>
        <x14:dataValidation type="list" allowBlank="1" showInputMessage="1" showErrorMessage="1" xr:uid="{5D986E19-2C34-4D2B-98FF-F8CF4CCADF4C}">
          <x14:formula1>
            <xm:f>'4. Switch Gear'!$E$6:$E$8</xm:f>
          </x14:formula1>
          <xm:sqref>E28</xm:sqref>
        </x14:dataValidation>
        <x14:dataValidation type="list" allowBlank="1" showInputMessage="1" showErrorMessage="1" xr:uid="{DB4C528A-C873-4057-ACB0-F0A62B8C2C69}">
          <x14:formula1>
            <xm:f>'2.1 BESS Components'!$AG$21:$AG$22</xm:f>
          </x14:formula1>
          <xm:sqref>G17</xm:sqref>
        </x14:dataValidation>
        <x14:dataValidation type="list" allowBlank="1" showInputMessage="1" showErrorMessage="1" xr:uid="{D9AD6B5E-FF2D-4B6C-8683-2921CCFE70C3}">
          <x14:formula1>
            <xm:f>'2.1 BESS Components'!$S$2:$S$15</xm:f>
          </x14:formula1>
          <xm:sqref>C3</xm:sqref>
        </x14:dataValidation>
        <x14:dataValidation type="list" allowBlank="1" showInputMessage="1" xr:uid="{3179D0F5-DB53-432C-A443-2FEF6FC25C9C}">
          <x14:formula1>
            <xm:f>IF(_xlfn.XLOOKUP('1. Prelim'!E3,'1. Prelim'!S30:S45,'1. Prelim'!U30:U45)="Yes",'4. Switch Gear'!O5,'4. Switch Gear'!N5:O5)</xm:f>
          </x14:formula1>
          <xm:sqref>F27</xm:sqref>
        </x14:dataValidation>
        <x14:dataValidation type="list" allowBlank="1" showInputMessage="1" showErrorMessage="1" xr:uid="{D163ECC2-D13D-4002-AE9B-F9BA968F8D34}">
          <x14:formula1>
            <xm:f>IF('1. Prelim'!J3&gt;_xlfn.XLOOKUP('1. Prelim'!E3,'1. Prelim'!S30:S45,'1. Prelim'!T30:T45),'4. Switch Gear'!M28:M29,'4. Switch Gear'!M30:M31)</xm:f>
          </x14:formula1>
          <xm:sqref>E27</xm:sqref>
        </x14:dataValidation>
        <x14:dataValidation type="list" allowBlank="1" showInputMessage="1" showErrorMessage="1" xr:uid="{E0F18C65-11B0-456E-9992-F848B7C3BB63}">
          <x14:formula1>
            <xm:f>INDIRECT("BESSTable" &amp; MATCH($C3,'2.1 BESS Components'!S2:S22,0) &amp; "[" &amp; $C3 &amp; "]")</xm:f>
          </x14:formula1>
          <xm:sqref>D3</xm:sqref>
        </x14:dataValidation>
        <x14:dataValidation type="list" allowBlank="1" showInputMessage="1" showErrorMessage="1" xr:uid="{F23B24ED-AB4C-426E-BD5A-A8DBE58168DF}">
          <x14:formula1>
            <xm:f>INDIRECT("PCSTable" &amp; MATCH($C3,'2.1 BESS Components'!S2:S22,0) &amp; "[" &amp; $C3 &amp; "]")</xm:f>
          </x14:formula1>
          <xm:sqref>D4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03351-8D7B-4DEA-803A-4DD67543F3A1}">
  <sheetPr codeName="Sheet15">
    <tabColor rgb="FF92D050"/>
  </sheetPr>
  <dimension ref="A1:K25"/>
  <sheetViews>
    <sheetView workbookViewId="0"/>
  </sheetViews>
  <sheetFormatPr defaultColWidth="8.59765625" defaultRowHeight="15.6"/>
  <cols>
    <col min="1" max="1" width="11.09765625" bestFit="1" customWidth="1"/>
    <col min="2" max="2" width="26" customWidth="1"/>
    <col min="3" max="3" width="15.59765625" bestFit="1" customWidth="1"/>
    <col min="5" max="5" width="20" customWidth="1"/>
    <col min="6" max="6" width="11.5" customWidth="1"/>
    <col min="11" max="11" width="43.5" customWidth="1"/>
    <col min="20" max="20" width="9" customWidth="1"/>
  </cols>
  <sheetData>
    <row r="1" spans="1:11">
      <c r="B1" t="s">
        <v>511</v>
      </c>
      <c r="C1" t="str">
        <f>"Q-"&amp; VLOOKUP(SOLAR!D24,'Sales People'!B5:E16,2,FALSE)&amp; "-" &amp; "EV"&amp;E1</f>
        <v>Q-JV-EV1</v>
      </c>
      <c r="D1" t="s">
        <v>512</v>
      </c>
      <c r="E1" s="624">
        <v>1</v>
      </c>
    </row>
    <row r="2" spans="1:11" ht="21">
      <c r="B2" s="1389" t="s">
        <v>513</v>
      </c>
      <c r="C2" s="1389"/>
      <c r="D2" s="1389"/>
      <c r="E2" s="1389"/>
      <c r="F2" s="1389"/>
      <c r="G2" s="1389"/>
    </row>
    <row r="3" spans="1:11" ht="46.8">
      <c r="A3" s="647" t="s">
        <v>514</v>
      </c>
      <c r="B3" s="241" t="s">
        <v>515</v>
      </c>
      <c r="C3" s="241" t="s">
        <v>516</v>
      </c>
      <c r="D3" s="241" t="s">
        <v>437</v>
      </c>
      <c r="E3" s="241" t="s">
        <v>517</v>
      </c>
      <c r="F3" s="241" t="s">
        <v>161</v>
      </c>
      <c r="G3" s="241" t="s">
        <v>518</v>
      </c>
    </row>
    <row r="4" spans="1:11">
      <c r="A4" t="s">
        <v>141</v>
      </c>
      <c r="B4" s="220" t="s">
        <v>182</v>
      </c>
      <c r="C4" s="624" t="s">
        <v>184</v>
      </c>
      <c r="D4" s="624">
        <v>1</v>
      </c>
      <c r="E4" s="625">
        <f>(VLOOKUP(B4,'EV Chargers Backend'!A2:B4,2,FALSE)+SUM('EV Chargers Backend'!E2:E6))*VLOOKUP(EV!C4,'EV Chargers Backend'!G2:H4,2,FALSE)*EV!D4+SUM(F8:F13)+F4</f>
        <v>9475</v>
      </c>
      <c r="F4" s="626">
        <f>'EV Chargers Backend'!E7*EV!D4</f>
        <v>250</v>
      </c>
      <c r="G4" s="628">
        <f>E4-(VLOOKUP(B4,'EV Chargers Backend'!A2:B4,2,FALSE)+SUM('EV Chargers Backend'!E2:E6))*EV!D4</f>
        <v>5825</v>
      </c>
      <c r="H4" s="623"/>
    </row>
    <row r="5" spans="1:11">
      <c r="A5" t="s">
        <v>312</v>
      </c>
      <c r="E5">
        <v>0</v>
      </c>
    </row>
    <row r="7" spans="1:11">
      <c r="B7" s="241" t="s">
        <v>193</v>
      </c>
      <c r="C7" s="241" t="s">
        <v>519</v>
      </c>
      <c r="D7" s="241" t="s">
        <v>520</v>
      </c>
      <c r="E7" s="241" t="s">
        <v>179</v>
      </c>
      <c r="F7" s="241" t="s">
        <v>517</v>
      </c>
      <c r="K7" s="631" t="s">
        <v>521</v>
      </c>
    </row>
    <row r="8" spans="1:11" ht="30.6">
      <c r="B8" t="s">
        <v>195</v>
      </c>
      <c r="C8" s="624" t="s">
        <v>141</v>
      </c>
      <c r="D8" s="627">
        <v>5</v>
      </c>
      <c r="E8">
        <f>IF(C8&lt;&gt;"Excluded",'EV Chargers Backend'!B12*EV!D8,0)</f>
        <v>2500</v>
      </c>
      <c r="F8">
        <f>E8*VLOOKUP(C$4,'EV Chargers Backend'!G$2:H$4,2,FALSE)</f>
        <v>3750</v>
      </c>
      <c r="K8" s="630" t="s">
        <v>522</v>
      </c>
    </row>
    <row r="9" spans="1:11">
      <c r="B9" t="s">
        <v>198</v>
      </c>
      <c r="C9" s="624" t="s">
        <v>197</v>
      </c>
      <c r="D9" s="624">
        <v>0</v>
      </c>
      <c r="E9">
        <f>IF(C9&lt;&gt;"Excluded",'EV Chargers Backend'!B13*EV!D9,0)</f>
        <v>0</v>
      </c>
      <c r="F9">
        <f>E9*VLOOKUP(C$4,'EV Chargers Backend'!G$2:H$4,2,FALSE)</f>
        <v>0</v>
      </c>
    </row>
    <row r="10" spans="1:11">
      <c r="B10" t="s">
        <v>200</v>
      </c>
      <c r="C10" s="624" t="s">
        <v>197</v>
      </c>
      <c r="D10" s="624"/>
      <c r="E10">
        <f>IF(C10&lt;&gt;"Excluded",'EV Chargers Backend'!B14,0)</f>
        <v>0</v>
      </c>
      <c r="F10">
        <f>E10*VLOOKUP(C$4,'EV Chargers Backend'!G$2:H$4,2,FALSE)</f>
        <v>0</v>
      </c>
      <c r="H10" t="s">
        <v>523</v>
      </c>
    </row>
    <row r="11" spans="1:11">
      <c r="B11" t="s">
        <v>202</v>
      </c>
      <c r="C11" s="624" t="s">
        <v>197</v>
      </c>
      <c r="D11" s="624"/>
      <c r="E11">
        <f>IF(C11&lt;&gt;"Excluded",'EV Chargers Backend'!B15,0)</f>
        <v>0</v>
      </c>
      <c r="F11">
        <f>E11*VLOOKUP(C$4,'EV Chargers Backend'!G$2:H$4,2,FALSE)</f>
        <v>0</v>
      </c>
      <c r="H11" t="s">
        <v>523</v>
      </c>
    </row>
    <row r="12" spans="1:11">
      <c r="B12" t="s">
        <v>524</v>
      </c>
      <c r="C12" s="624" t="s">
        <v>197</v>
      </c>
      <c r="D12" s="624"/>
      <c r="E12">
        <f>IF(C12&lt;&gt;"Excluded",'EV Chargers Backend'!B16,0)</f>
        <v>0</v>
      </c>
      <c r="F12">
        <f>E12*VLOOKUP(C$4,'EV Chargers Backend'!G$2:H$4,2,FALSE)</f>
        <v>0</v>
      </c>
      <c r="H12" t="s">
        <v>523</v>
      </c>
    </row>
    <row r="13" spans="1:11">
      <c r="B13" t="s">
        <v>204</v>
      </c>
      <c r="C13" s="624" t="s">
        <v>197</v>
      </c>
      <c r="D13" s="624">
        <v>0</v>
      </c>
      <c r="E13">
        <f>IF(C13&lt;&gt;"Excluded",'EV Chargers Backend'!B17*EV!D13,0)</f>
        <v>0</v>
      </c>
      <c r="F13">
        <f>E13*VLOOKUP(C$4,'EV Chargers Backend'!G$2:H$4,2,FALSE)</f>
        <v>0</v>
      </c>
      <c r="H13" t="s">
        <v>523</v>
      </c>
    </row>
    <row r="16" spans="1:11" ht="23.4">
      <c r="B16" s="1390" t="s">
        <v>525</v>
      </c>
      <c r="C16" s="1390"/>
      <c r="D16" s="1390"/>
      <c r="E16" s="1390"/>
      <c r="F16" s="1390"/>
      <c r="G16" s="1390"/>
    </row>
    <row r="17" spans="2:7">
      <c r="B17" s="241" t="s">
        <v>292</v>
      </c>
      <c r="C17" s="241" t="s">
        <v>526</v>
      </c>
      <c r="D17" s="241" t="s">
        <v>437</v>
      </c>
      <c r="E17" s="241" t="s">
        <v>179</v>
      </c>
      <c r="F17" s="241" t="s">
        <v>161</v>
      </c>
      <c r="G17" s="241" t="s">
        <v>518</v>
      </c>
    </row>
    <row r="18" spans="2:7">
      <c r="B18" t="s">
        <v>207</v>
      </c>
    </row>
    <row r="19" spans="2:7">
      <c r="B19" t="s">
        <v>183</v>
      </c>
    </row>
    <row r="20" spans="2:7">
      <c r="B20" t="s">
        <v>186</v>
      </c>
    </row>
    <row r="21" spans="2:7">
      <c r="B21" t="s">
        <v>188</v>
      </c>
    </row>
    <row r="22" spans="2:7">
      <c r="B22" t="s">
        <v>190</v>
      </c>
    </row>
    <row r="23" spans="2:7">
      <c r="B23" t="s">
        <v>527</v>
      </c>
    </row>
    <row r="24" spans="2:7">
      <c r="B24" t="s">
        <v>192</v>
      </c>
    </row>
    <row r="25" spans="2:7">
      <c r="B25" t="s">
        <v>528</v>
      </c>
    </row>
  </sheetData>
  <mergeCells count="2">
    <mergeCell ref="B2:G2"/>
    <mergeCell ref="B16:G16"/>
  </mergeCells>
  <pageMargins left="0" right="0" top="0" bottom="0" header="0" footer="0"/>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B084B067-FE7D-406F-A5BF-BFB82735193D}">
          <x14:formula1>
            <xm:f>'EV Chargers Backend'!$E$11:$E$12</xm:f>
          </x14:formula1>
          <xm:sqref>C8:C13</xm:sqref>
        </x14:dataValidation>
        <x14:dataValidation type="list" allowBlank="1" showInputMessage="1" showErrorMessage="1" xr:uid="{669BCE76-DE85-435A-9E54-E4272DD089C7}">
          <x14:formula1>
            <xm:f>'EV Chargers Backend'!$A$2:$A$3</xm:f>
          </x14:formula1>
          <xm:sqref>B4</xm:sqref>
        </x14:dataValidation>
        <x14:dataValidation type="list" allowBlank="1" showInputMessage="1" showErrorMessage="1" xr:uid="{ACD691D6-5B8B-4DC4-B405-2DEB2F37A028}">
          <x14:formula1>
            <xm:f>'EV Chargers Backend'!$G$2:$G$4</xm:f>
          </x14:formula1>
          <xm:sqref>C4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FE309-5708-894E-8451-83AB40895F29}">
  <sheetPr codeName="Sheet16">
    <tabColor rgb="FFFF3300"/>
    <pageSetUpPr fitToPage="1"/>
  </sheetPr>
  <dimension ref="G10:CG542"/>
  <sheetViews>
    <sheetView view="pageBreakPreview" topLeftCell="Q281" zoomScale="145" zoomScaleNormal="100" zoomScaleSheetLayoutView="145" workbookViewId="0">
      <selection activeCell="AT300" sqref="AT300"/>
    </sheetView>
  </sheetViews>
  <sheetFormatPr defaultColWidth="2.5" defaultRowHeight="15" customHeight="1"/>
  <cols>
    <col min="1" max="85" width="2.5" style="643"/>
    <col min="86" max="86" width="7.09765625" style="643" bestFit="1" customWidth="1"/>
    <col min="87" max="16384" width="2.5" style="643"/>
  </cols>
  <sheetData>
    <row r="10" spans="41:41" ht="15" customHeight="1">
      <c r="AO10"/>
    </row>
    <row r="72" spans="38:38" ht="15" customHeight="1">
      <c r="AL72" s="1205" t="s">
        <v>529</v>
      </c>
    </row>
    <row r="94" spans="48:48" ht="15" customHeight="1">
      <c r="AV94" s="646"/>
    </row>
    <row r="95" spans="48:48" ht="15" customHeight="1">
      <c r="AV95" s="646"/>
    </row>
    <row r="96" spans="48:48" ht="15" customHeight="1">
      <c r="AV96" s="646" t="str">
        <f ca="1">"Quote is valid until "&amp;TEXT(SOLAR!G10+14,"dd/mm/yyyy")&amp;"."</f>
        <v>Quote is valid until 24/04/2026.</v>
      </c>
    </row>
    <row r="97" spans="48:48" ht="15" customHeight="1">
      <c r="AV97" s="644"/>
    </row>
    <row r="247" spans="7:54" ht="15" customHeight="1">
      <c r="BB247" s="1205"/>
    </row>
    <row r="248" spans="7:54" ht="15" customHeight="1">
      <c r="G248" s="645"/>
    </row>
    <row r="264" spans="67:67" ht="15" customHeight="1">
      <c r="BO264" s="1205"/>
    </row>
    <row r="482" spans="85:85" ht="15" customHeight="1">
      <c r="CG482" s="643">
        <v>15</v>
      </c>
    </row>
    <row r="542" spans="85:85" ht="15" customHeight="1">
      <c r="CG542" s="643">
        <v>17</v>
      </c>
    </row>
  </sheetData>
  <printOptions horizontalCentered="1"/>
  <pageMargins left="0" right="0" top="0" bottom="0" header="0" footer="0"/>
  <pageSetup paperSize="9" scale="93" pageOrder="overThenDown" orientation="portrait" r:id="rId1"/>
  <headerFooter differentFirst="1" scaleWithDoc="0"/>
  <rowBreaks count="1" manualBreakCount="1">
    <brk id="61" max="16383" man="1"/>
  </rowBreaks>
  <colBreaks count="1" manualBreakCount="1">
    <brk id="42"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5AACF-2A9A-43A0-B55D-F8534001DE58}">
  <sheetPr codeName="Sheet29"/>
  <dimension ref="B2:C5"/>
  <sheetViews>
    <sheetView workbookViewId="0"/>
  </sheetViews>
  <sheetFormatPr defaultColWidth="8.8984375" defaultRowHeight="15.6"/>
  <cols>
    <col min="2" max="2" width="20.59765625" customWidth="1"/>
  </cols>
  <sheetData>
    <row r="2" spans="2:3">
      <c r="B2" t="s">
        <v>530</v>
      </c>
      <c r="C2" t="s">
        <v>531</v>
      </c>
    </row>
    <row r="3" spans="2:3">
      <c r="B3" t="s">
        <v>532</v>
      </c>
      <c r="C3" t="s">
        <v>533</v>
      </c>
    </row>
    <row r="5" spans="2:3">
      <c r="B5" t="str">
        <f>IF(Rebates!B22="",C3,C2)</f>
        <v>AR3:CC60,C64:AN121,AR64:CC121,C124:AN181,AR124:CC181,C244:AN301,C184:AN241,AR184:CC241</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5126D-8205-49D2-BBA8-D74783F299E9}">
  <sheetPr codeName="Sheet18">
    <tabColor rgb="FFFFC000"/>
    <pageSetUpPr fitToPage="1"/>
  </sheetPr>
  <dimension ref="G72:CG542"/>
  <sheetViews>
    <sheetView view="pageBreakPreview" topLeftCell="A250" zoomScale="60" zoomScaleNormal="100" workbookViewId="0"/>
  </sheetViews>
  <sheetFormatPr defaultColWidth="2.5" defaultRowHeight="15" customHeight="1"/>
  <cols>
    <col min="1" max="82" width="2.5" style="643"/>
    <col min="83" max="83" width="7.8984375" style="643" bestFit="1" customWidth="1"/>
    <col min="84" max="85" width="2.5" style="643"/>
    <col min="86" max="86" width="7.09765625" style="643" bestFit="1" customWidth="1"/>
    <col min="87" max="16384" width="2.5" style="643"/>
  </cols>
  <sheetData>
    <row r="72" spans="38:38" ht="15" customHeight="1">
      <c r="AL72" s="1205" t="s">
        <v>529</v>
      </c>
    </row>
    <row r="94" spans="48:48" ht="15" customHeight="1">
      <c r="AV94" s="646"/>
    </row>
    <row r="95" spans="48:48" ht="15" customHeight="1">
      <c r="AV95" s="646"/>
    </row>
    <row r="96" spans="48:48" ht="15" customHeight="1">
      <c r="AV96" s="646" t="str">
        <f ca="1">"Quote is valid until "&amp;TEXT(SOLAR!G10+14,"dd/mm/yyyy")&amp;"."</f>
        <v>Quote is valid until 24/04/2026.</v>
      </c>
    </row>
    <row r="97" spans="48:48" ht="15" customHeight="1">
      <c r="AV97" s="644"/>
    </row>
    <row r="248" spans="7:7" ht="15" customHeight="1">
      <c r="G248" s="645"/>
    </row>
    <row r="482" spans="85:85" ht="15" customHeight="1">
      <c r="CG482" s="643">
        <v>15</v>
      </c>
    </row>
    <row r="542" spans="85:85" ht="15" customHeight="1">
      <c r="CG542" s="643">
        <v>17</v>
      </c>
    </row>
  </sheetData>
  <pageMargins left="0" right="0" top="0" bottom="0" header="0" footer="0"/>
  <pageSetup paperSize="9" scale="93" pageOrder="overThenDown" orientation="portrait" r:id="rId1"/>
  <headerFooter differentFirst="1" scaleWithDoc="0"/>
  <rowBreaks count="1" manualBreakCount="1">
    <brk id="61" max="16383" man="1"/>
  </rowBreaks>
  <colBreaks count="1" manualBreakCount="1">
    <brk id="42"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B0CD0-C9D0-4EBF-8AA2-722F6937623B}">
  <sheetPr codeName="Sheet20">
    <tabColor rgb="FF00B0F0"/>
    <pageSetUpPr fitToPage="1"/>
  </sheetPr>
  <dimension ref="G72:CG542"/>
  <sheetViews>
    <sheetView view="pageBreakPreview" topLeftCell="A28" zoomScale="55" zoomScaleNormal="100" zoomScaleSheetLayoutView="55" workbookViewId="0">
      <selection activeCell="AN301" sqref="AN301"/>
    </sheetView>
  </sheetViews>
  <sheetFormatPr defaultColWidth="2.5" defaultRowHeight="15" customHeight="1"/>
  <cols>
    <col min="1" max="85" width="2.5" style="756"/>
    <col min="86" max="86" width="7.09765625" style="756" bestFit="1" customWidth="1"/>
    <col min="87" max="16384" width="2.5" style="756"/>
  </cols>
  <sheetData>
    <row r="72" spans="38:66" ht="15" customHeight="1">
      <c r="AL72" s="756" t="s">
        <v>529</v>
      </c>
    </row>
    <row r="77" spans="38:66" ht="15" customHeight="1">
      <c r="BN77" s="960" t="s">
        <v>534</v>
      </c>
    </row>
    <row r="84" spans="47:80" ht="15" customHeight="1">
      <c r="CB84" s="1206"/>
    </row>
    <row r="85" spans="47:80" ht="15" customHeight="1">
      <c r="AW85" s="960" t="str">
        <f>IF(BESS!D24&lt;&gt;"Yes",IF('Linking Cells'!B78&gt;0,"*Rebate is provided as a point of sale discount ($"&amp;Rebates!B12&amp;"/ STC at time of offer)",""),"*1st year of subscription included in total value")</f>
        <v>*Rebate is provided as a point of sale discount ($37.2/ STC at time of offer)</v>
      </c>
    </row>
    <row r="90" spans="47:80" ht="15" customHeight="1">
      <c r="AU90" s="1206"/>
    </row>
    <row r="94" spans="47:80" ht="15" customHeight="1">
      <c r="AV94" s="757" t="str">
        <f ca="1">"Quote is valid until "&amp;TEXT(SOLAR!G10+14,"dd/mm/yyyy")&amp;"."</f>
        <v>Quote is valid until 24/04/2026.</v>
      </c>
    </row>
    <row r="95" spans="47:80" ht="15" customHeight="1">
      <c r="AV95" s="757"/>
    </row>
    <row r="96" spans="47:80" ht="15" customHeight="1">
      <c r="AV96" s="758"/>
    </row>
    <row r="97" spans="48:48" ht="15" customHeight="1">
      <c r="AV97" s="759"/>
    </row>
    <row r="135" spans="39:40" ht="15" customHeight="1">
      <c r="AM135" s="1206"/>
    </row>
    <row r="136" spans="39:40" ht="15" customHeight="1">
      <c r="AN136" s="1206"/>
    </row>
    <row r="159" spans="39:39" ht="15" customHeight="1">
      <c r="AM159" s="1206"/>
    </row>
    <row r="165" spans="44:44" ht="15" customHeight="1">
      <c r="AR165" s="1206"/>
    </row>
    <row r="248" spans="7:7" ht="15" customHeight="1">
      <c r="G248" s="760"/>
    </row>
    <row r="482" spans="85:85" ht="15" customHeight="1">
      <c r="CG482" s="756">
        <v>15</v>
      </c>
    </row>
    <row r="542" spans="85:85" ht="15" customHeight="1">
      <c r="CG542" s="756">
        <v>17</v>
      </c>
    </row>
  </sheetData>
  <pageMargins left="0" right="0" top="0" bottom="0" header="0" footer="0"/>
  <pageSetup paperSize="9" scale="93" pageOrder="overThenDown" orientation="portrait" r:id="rId1"/>
  <headerFooter differentFirst="1" scaleWithDoc="0"/>
  <rowBreaks count="1" manualBreakCount="1">
    <brk id="61" max="16383" man="1"/>
  </rowBreaks>
  <colBreaks count="1" manualBreakCount="1">
    <brk id="42" max="1048575" man="1"/>
  </colBreak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EC180-A83A-417F-B63A-94336A800AB3}">
  <sheetPr codeName="Sheet4">
    <tabColor rgb="FFFF66FF"/>
  </sheetPr>
  <dimension ref="A1:K154"/>
  <sheetViews>
    <sheetView topLeftCell="A61" workbookViewId="0">
      <selection activeCell="H84" sqref="H84"/>
    </sheetView>
  </sheetViews>
  <sheetFormatPr defaultColWidth="8.5" defaultRowHeight="15.6"/>
  <cols>
    <col min="1" max="1" width="33.59765625" bestFit="1" customWidth="1"/>
    <col min="2" max="2" width="49.59765625" customWidth="1"/>
    <col min="3" max="3" width="45.09765625" bestFit="1" customWidth="1"/>
    <col min="4" max="4" width="13.09765625" bestFit="1" customWidth="1"/>
    <col min="5" max="5" width="14.5" bestFit="1" customWidth="1"/>
    <col min="6" max="6" width="9.09765625" bestFit="1" customWidth="1"/>
    <col min="7" max="7" width="14.5" bestFit="1" customWidth="1"/>
  </cols>
  <sheetData>
    <row r="1" spans="2:11">
      <c r="B1" s="1391" t="s">
        <v>535</v>
      </c>
      <c r="C1" s="1391"/>
      <c r="D1" s="1391"/>
    </row>
    <row r="2" spans="2:11">
      <c r="B2" s="241" t="s">
        <v>536</v>
      </c>
    </row>
    <row r="3" spans="2:11">
      <c r="B3" t="s">
        <v>537</v>
      </c>
      <c r="C3" t="str">
        <f>SOLAR!D41&amp;" - "&amp;SOLAR!E41&amp;IF(OR(SOLAR!D41="Base Tin Installation", SOLAR!D41="Base Tile Installation"),"*","")</f>
        <v>Trimdek Installation - Flush Mounted</v>
      </c>
      <c r="H3" t="s">
        <v>145</v>
      </c>
      <c r="K3" s="643" t="str">
        <f>SOLAR!F15&amp;" "&amp;SOLAR!F16&amp;" "&amp;SOLAR!F18&amp;", "&amp;SOLAR!F17</f>
        <v xml:space="preserve">  NSW, 2000</v>
      </c>
    </row>
    <row r="4" spans="2:11">
      <c r="B4" t="s">
        <v>538</v>
      </c>
      <c r="C4" t="str">
        <f>IF(OR(SOLAR!D41="Base Tin Installation", SOLAR!D41="Base Tile Installation"),"  *Assumed 2 rails required for wind loading","")</f>
        <v/>
      </c>
      <c r="K4" s="643" t="str">
        <f>SOLAR!D19&amp;" "&amp;SOLAR!D20&amp;" "&amp;SOLAR!D22&amp;","&amp;SOLAR!D21</f>
        <v xml:space="preserve">  ,</v>
      </c>
    </row>
    <row r="5" spans="2:11">
      <c r="B5" t="s">
        <v>317</v>
      </c>
      <c r="C5" t="str">
        <f>SOLAR!F13 &amp; "kW " &amp; SOLAR!E38</f>
        <v>100kW Premium Commercial Module</v>
      </c>
      <c r="H5" t="s">
        <v>143</v>
      </c>
    </row>
    <row r="6" spans="2:11">
      <c r="B6" t="s">
        <v>539</v>
      </c>
      <c r="C6" t="str">
        <f>IF(ISBLANK(SOLAR!G39),SOLAR!F39,SOLAR!G39) &amp; " x " &amp; SOLAR!E39</f>
        <v>1 x Sungrow SG110CX-P2</v>
      </c>
    </row>
    <row r="7" spans="2:11">
      <c r="B7" t="s">
        <v>540</v>
      </c>
      <c r="C7" t="str">
        <f>IF(SOLAR!D93="Included","1 year","None")</f>
        <v>1 year</v>
      </c>
    </row>
    <row r="8" spans="2:11">
      <c r="B8" t="s">
        <v>317</v>
      </c>
      <c r="C8" t="str">
        <f>SOLAR!D38&amp;" "&amp;SOLAR!E38</f>
        <v>Tier 1 Premium Commercial Module</v>
      </c>
    </row>
    <row r="9" spans="2:11">
      <c r="B9" s="241" t="s">
        <v>541</v>
      </c>
    </row>
    <row r="10" spans="2:11">
      <c r="B10" t="s">
        <v>220</v>
      </c>
      <c r="C10" s="238">
        <f>SOLAR!L13</f>
        <v>115389.75728813134</v>
      </c>
    </row>
    <row r="11" spans="2:11">
      <c r="C11" s="239">
        <f>SOLAR!L14</f>
        <v>11538.975728813135</v>
      </c>
    </row>
    <row r="12" spans="2:11">
      <c r="C12" s="240">
        <f>SOLAR!L15</f>
        <v>126928.73301694448</v>
      </c>
    </row>
    <row r="13" spans="2:11">
      <c r="B13" t="s">
        <v>542</v>
      </c>
      <c r="C13" s="238">
        <f>SOLAR!L24*-1</f>
        <v>25705.200000000001</v>
      </c>
    </row>
    <row r="14" spans="2:11">
      <c r="C14" s="239">
        <f>C13*0.1</f>
        <v>2570.5200000000004</v>
      </c>
    </row>
    <row r="15" spans="2:11">
      <c r="C15" s="234" t="str">
        <f>IF(Rebates!B22="","$"&amp;D15&amp;" per STC, $"&amp;E15&amp;" per VEEC","$"&amp;D15&amp;" per STC")</f>
        <v>$37.2 per STC</v>
      </c>
      <c r="D15" s="234">
        <f>Rebates!B12</f>
        <v>37.200000000000003</v>
      </c>
      <c r="E15" s="1193">
        <f>Rebates!B28-Rebates!B29</f>
        <v>67.5</v>
      </c>
      <c r="G15" s="1193"/>
    </row>
    <row r="16" spans="2:11">
      <c r="C16" s="240">
        <f>C14+C13</f>
        <v>28275.72</v>
      </c>
    </row>
    <row r="17" spans="1:6">
      <c r="A17" t="s">
        <v>543</v>
      </c>
      <c r="B17" t="str">
        <f>IF(A18,"FEDERAL BATTERY REBATE","")</f>
        <v/>
      </c>
      <c r="C17" s="1195" t="str">
        <f>IF($A$18,SOLAR!L23,"")</f>
        <v/>
      </c>
    </row>
    <row r="18" spans="1:6">
      <c r="A18" t="b">
        <f>IF(SOLAR!L23&gt;0,TRUE,FALSE)</f>
        <v>0</v>
      </c>
      <c r="B18" t="str">
        <f>IF(A18,"REBATES PROVIDED AS A POINT OF SALE DISCOUNT:","")</f>
        <v/>
      </c>
      <c r="C18" s="1196" t="str">
        <f>IF($A$18,SOLAR!#REF!,"")</f>
        <v/>
      </c>
      <c r="F18" t="s">
        <v>544</v>
      </c>
    </row>
    <row r="19" spans="1:6">
      <c r="C19" s="1197" t="str">
        <f>IF($A$18,SOLAR!L24,"")</f>
        <v/>
      </c>
      <c r="F19" t="s">
        <v>545</v>
      </c>
    </row>
    <row r="20" spans="1:6">
      <c r="B20" t="s">
        <v>277</v>
      </c>
      <c r="C20" s="238">
        <f>SOLAR!L26</f>
        <v>89684.557288131342</v>
      </c>
    </row>
    <row r="21" spans="1:6">
      <c r="C21" s="239">
        <f>SOLAR!L27</f>
        <v>8968.4557288131346</v>
      </c>
    </row>
    <row r="22" spans="1:6">
      <c r="C22" s="240">
        <f>SOLAR!L28</f>
        <v>98653.013016944475</v>
      </c>
    </row>
    <row r="26" spans="1:6">
      <c r="B26" s="241" t="s">
        <v>546</v>
      </c>
    </row>
    <row r="27" spans="1:6">
      <c r="B27" t="s">
        <v>547</v>
      </c>
      <c r="C27" s="446" t="str">
        <f>IF(SOLAR!G22&lt;&gt;0,TEXT(SOLAR!G22,"0%") &amp; " " &amp; SOLAR!I22,"")</f>
        <v>25% Execution of Agreement:</v>
      </c>
      <c r="D27" s="489">
        <f>IF(SOLAR!J22&lt;&gt;0,SOLAR!J22,"")</f>
        <v>22421.139322032835</v>
      </c>
    </row>
    <row r="28" spans="1:6">
      <c r="C28" s="446" t="str">
        <f>IF(SOLAR!G24&lt;&gt;0,TEXT(SOLAR!G24,"0%") &amp; " " &amp; SOLAR!I23,"")</f>
        <v>10% Submission of Grid Connection Application:</v>
      </c>
      <c r="D28" s="489">
        <f>IF(SOLAR!J23&lt;&gt;0,SOLAR!J23,"")</f>
        <v>8968.4557288131346</v>
      </c>
    </row>
    <row r="29" spans="1:6">
      <c r="C29" s="446" t="str">
        <f>IF(SOLAR!G23&lt;&gt;0,TEXT(SOLAR!G23,"0%") &amp; " " &amp; SOLAR!I24,"")</f>
        <v>10% Detailed Design Completion:</v>
      </c>
      <c r="D29" s="489">
        <f>IF(SOLAR!J24&lt;&gt;0,SOLAR!J24,"")</f>
        <v>8968.4557288131346</v>
      </c>
    </row>
    <row r="30" spans="1:6">
      <c r="C30" s="446" t="str">
        <f>IF(SOLAR!G25&lt;&gt;0,TEXT(SOLAR!G25,"0.0%") &amp; " " &amp; SOLAR!I25,"")</f>
        <v>37.5% Commencement of Works Onsite:</v>
      </c>
      <c r="D30" s="489">
        <f>IF(SOLAR!J25&lt;&gt;0,SOLAR!J25,"")</f>
        <v>33631.708983049255</v>
      </c>
    </row>
    <row r="31" spans="1:6">
      <c r="C31" s="446" t="str">
        <f>IF(SOLAR!G26&lt;&gt;0,TEXT(SOLAR!G26,"0%") &amp; " " &amp; SOLAR!I26,"")</f>
        <v>15% Practical Completion:</v>
      </c>
      <c r="D31" s="489">
        <f>IF(SOLAR!J26&lt;&gt;0,SOLAR!J26,"")</f>
        <v>13452.683593219701</v>
      </c>
    </row>
    <row r="32" spans="1:6">
      <c r="C32" s="446" t="str">
        <f>IF(SOLAR!G27&lt;&gt;0,TEXT(SOLAR!G27,"0.0%") &amp; " " &amp; SOLAR!I27,"")</f>
        <v>2.5% Energisation:</v>
      </c>
      <c r="D32" s="489">
        <f>IF(SOLAR!J27&lt;&gt;0,SOLAR!J27,"")</f>
        <v>2242.1139322032836</v>
      </c>
    </row>
    <row r="35" spans="1:3">
      <c r="A35" t="s">
        <v>548</v>
      </c>
      <c r="B35" t="str">
        <f>IF(SOLAR!F27="No","*AC cable quantities are based on a "&amp;SOLAR!G49&amp;"m run from inverters to PVDB, and a "&amp;SOLAR!G50&amp;"m run from PVDB to MSB, with "&amp;SOLAR!G58&amp;" connection point/s, to be confirmed during site inspection.", "*AC cable quantities are based on a "&amp;SOLAR!G49&amp;"m run from inverters to PVDB, and a "&amp;SOLAR!G50&amp;"m run from PVDB to MSB, with "&amp;SOLAR!G58&amp;" connection point/s, to be confirmed during detailed design stage.")</f>
        <v>*AC cable quantities are based on a 5m run from inverters to PVDB, and a 10m run from PVDB to MSB, with 1 connection point/s, to be confirmed during site inspection.</v>
      </c>
    </row>
    <row r="37" spans="1:3">
      <c r="B37" s="648" t="s">
        <v>405</v>
      </c>
      <c r="C37" s="648" t="str">
        <f>IF(SOLAR!D97="Included","Included - See EV Agreement for Details","Not Included")</f>
        <v>Not Included</v>
      </c>
    </row>
    <row r="38" spans="1:3">
      <c r="B38" s="648" t="s">
        <v>549</v>
      </c>
      <c r="C38" s="648" t="str">
        <f>IF(SOLAR!D98&lt;&gt;"",SOLAR!D98,"")</f>
        <v/>
      </c>
    </row>
    <row r="39" spans="1:3">
      <c r="B39" s="648" t="str">
        <f>IF('Linking Cells'!C39&lt;&gt;"", "ADDITIONS/UPGRADES","")</f>
        <v/>
      </c>
      <c r="C39" s="648" t="str">
        <f>IF(SOLAR!D99&lt;&gt;"",SOLAR!D99,"")</f>
        <v/>
      </c>
    </row>
    <row r="40" spans="1:3">
      <c r="B40" s="648" t="str">
        <f>IF('Linking Cells'!C40&lt;&gt;"", "ADDITIONS/UPGRADES","")</f>
        <v/>
      </c>
      <c r="C40" s="648" t="str">
        <f>IF(SOLAR!D100&lt;&gt;"",SOLAR!D100,"")</f>
        <v/>
      </c>
    </row>
    <row r="41" spans="1:3">
      <c r="B41" s="648" t="str">
        <f>IF('Linking Cells'!C41&lt;&gt;"", "ADDITIONS/UPGRADES","")</f>
        <v/>
      </c>
      <c r="C41" s="648" t="str">
        <f>IF(SOLAR!D101&lt;&gt;"",SOLAR!D101,"")</f>
        <v/>
      </c>
    </row>
    <row r="43" spans="1:3">
      <c r="A43" t="s">
        <v>550</v>
      </c>
      <c r="B43" t="str">
        <f>SOLAR!D59&amp;" - "&amp;SOLAR!E59</f>
        <v xml:space="preserve">GPU - Full Export </v>
      </c>
    </row>
    <row r="45" spans="1:3">
      <c r="A45" t="s">
        <v>551</v>
      </c>
      <c r="B45" t="str">
        <f>SOLAR!D52&amp;IF(SOLAR!D52&lt;&gt;"Not Included"," - "&amp;SOLAR!G52&amp;"m","")</f>
        <v>Not Included</v>
      </c>
    </row>
    <row r="47" spans="1:3">
      <c r="A47" t="s">
        <v>552</v>
      </c>
      <c r="B47" t="str">
        <f>SOLAR!D48&amp;" with "&amp;SOLAR!G48&amp;"m Average Run"</f>
        <v>Included - Standard Cable with 50m Average Run</v>
      </c>
    </row>
    <row r="49" spans="1:3">
      <c r="A49" t="s">
        <v>553</v>
      </c>
      <c r="B49" t="str">
        <f>SOLAR!D51&amp;" Cable Tray, "&amp;SOLAR!G51&amp;"m Total Length"</f>
        <v>GAL Cable Tray, 110m Total Length</v>
      </c>
    </row>
    <row r="50" spans="1:3">
      <c r="A50" t="s">
        <v>554</v>
      </c>
    </row>
    <row r="51" spans="1:3">
      <c r="A51" t="s">
        <v>468</v>
      </c>
      <c r="B51" t="str">
        <f>SOLAR!D118</f>
        <v>None</v>
      </c>
      <c r="C51" t="str">
        <f>IF(B51="None", "","NETNADA "&amp; UPPER(B51))</f>
        <v/>
      </c>
    </row>
    <row r="52" spans="1:3">
      <c r="A52" t="s">
        <v>555</v>
      </c>
      <c r="B52" s="6">
        <f>SOLAR!K118+SOLAR!K119</f>
        <v>0</v>
      </c>
      <c r="C52" s="6" t="str">
        <f>IF(B52=0,"","Included")</f>
        <v/>
      </c>
    </row>
    <row r="53" spans="1:3">
      <c r="A53" s="1392" t="s">
        <v>556</v>
      </c>
      <c r="B53" s="1392"/>
      <c r="C53" s="1392"/>
    </row>
    <row r="54" spans="1:3">
      <c r="A54" t="s">
        <v>557</v>
      </c>
      <c r="C54" s="793" t="str">
        <f>BESS!D6</f>
        <v>Solar &amp; Battery</v>
      </c>
    </row>
    <row r="55" spans="1:3">
      <c r="A55" t="s">
        <v>558</v>
      </c>
      <c r="C55" s="793" t="str">
        <f>BESS!D24</f>
        <v>No</v>
      </c>
    </row>
    <row r="56" spans="1:3">
      <c r="A56" t="s">
        <v>559</v>
      </c>
      <c r="B56" s="841">
        <f>BESS!J26</f>
        <v>0</v>
      </c>
      <c r="C56" s="763" t="str">
        <f>TEXT(B56,"$#,#")&amp;" excl. GST"</f>
        <v>$ excl. GST</v>
      </c>
    </row>
    <row r="57" spans="1:3">
      <c r="A57" s="768" t="s">
        <v>229</v>
      </c>
      <c r="B57" s="773">
        <f>B56*0.1</f>
        <v>0</v>
      </c>
      <c r="C57" s="773"/>
    </row>
    <row r="58" spans="1:3">
      <c r="A58" s="1392" t="s">
        <v>560</v>
      </c>
      <c r="B58" s="1392"/>
      <c r="C58" s="1392"/>
    </row>
    <row r="59" spans="1:3">
      <c r="A59" s="762" t="s">
        <v>42</v>
      </c>
      <c r="B59" s="763" t="str">
        <f>BESS!D3</f>
        <v>107 kWh - BC107DE2</v>
      </c>
      <c r="C59" s="763" t="str">
        <f>BESS!D3&amp; " x "&amp; BESS!E3</f>
        <v>107 kWh - BC107DE2 x 1</v>
      </c>
    </row>
    <row r="60" spans="1:3">
      <c r="A60" s="762" t="s">
        <v>561</v>
      </c>
      <c r="B60" s="763" t="str">
        <f>BESS!D4</f>
        <v xml:space="preserve">50 kVA - KAC50DP2 </v>
      </c>
      <c r="C60" s="763" t="str">
        <f>BESS!D4&amp; " x "&amp; BESS!E4</f>
        <v>50 kVA - KAC50DP2  x 1</v>
      </c>
    </row>
    <row r="61" spans="1:3">
      <c r="A61" s="762" t="s">
        <v>562</v>
      </c>
      <c r="B61" s="763" t="str">
        <f>"Q-"&amp; VLOOKUP(SOLAR!D24,'Sales People'!B5:E20,2,FALSE)&amp; "- " &amp; 'Linking Cells'!B62&amp;"kWh "&amp;SOLAR!D10</f>
        <v xml:space="preserve">Q-JV- 107kWh </v>
      </c>
      <c r="C61" s="763"/>
    </row>
    <row r="62" spans="1:3">
      <c r="A62" t="s">
        <v>503</v>
      </c>
      <c r="B62" s="763">
        <f>BESS!F3</f>
        <v>107</v>
      </c>
      <c r="C62" s="763"/>
    </row>
    <row r="63" spans="1:3">
      <c r="A63" t="s">
        <v>563</v>
      </c>
      <c r="B63" s="763">
        <f>BESS!F4</f>
        <v>50</v>
      </c>
      <c r="C63" s="763"/>
    </row>
    <row r="64" spans="1:3">
      <c r="A64" t="s">
        <v>564</v>
      </c>
      <c r="B64" s="766">
        <f>BESS!J37</f>
        <v>55278.107304687495</v>
      </c>
      <c r="C64" s="763" t="str">
        <f>TEXT(B64,"$#,#")&amp;" excl. GST"</f>
        <v>$55,278 excl. GST</v>
      </c>
    </row>
    <row r="65" spans="1:3">
      <c r="A65" s="768" t="s">
        <v>229</v>
      </c>
      <c r="B65" s="771">
        <f>B64*0.1</f>
        <v>5527.8107304687501</v>
      </c>
      <c r="C65" s="770" t="str">
        <f>TEXT(B65,"$#,#")&amp;" GST"</f>
        <v>$5,528 GST</v>
      </c>
    </row>
    <row r="66" spans="1:3">
      <c r="A66" t="s">
        <v>565</v>
      </c>
      <c r="B66" s="767">
        <f>B64+B65</f>
        <v>60805.918035156246</v>
      </c>
      <c r="C66" s="763" t="str">
        <f>TEXT(B66,"$#,#")&amp;" incl. GST"</f>
        <v>$60,806 incl. GST</v>
      </c>
    </row>
    <row r="67" spans="1:3">
      <c r="A67" t="s">
        <v>566</v>
      </c>
      <c r="B67" s="763">
        <f>VLOOKUP(BESS!D3,'2.1 BESS Components'!A2:L300,10,FALSE)</f>
        <v>5</v>
      </c>
      <c r="C67" s="763" t="str">
        <f>IFERROR(B67&amp;" Years Performance Warranty"," - ")</f>
        <v>5 Years Performance Warranty</v>
      </c>
    </row>
    <row r="68" spans="1:3">
      <c r="A68" t="s">
        <v>395</v>
      </c>
      <c r="B68" s="763">
        <f>VLOOKUP(BESS!D3,'2.1 BESS Components'!A2:L300,11,FALSE)</f>
        <v>10</v>
      </c>
      <c r="C68" s="763" t="str">
        <f>IFERROR(B68&amp;" Years Product Warranty"," - ")</f>
        <v>10 Years Product Warranty</v>
      </c>
    </row>
    <row r="69" spans="1:3">
      <c r="A69" t="s">
        <v>567</v>
      </c>
      <c r="B69" s="1006">
        <v>10</v>
      </c>
      <c r="C69" s="1006" t="str">
        <f>IFERROR(B69&amp;" Years Product Warranty"," - ")</f>
        <v>10 Years Product Warranty</v>
      </c>
    </row>
    <row r="70" spans="1:3">
      <c r="A70" t="s">
        <v>568</v>
      </c>
      <c r="B70" s="842" t="str">
        <f>BESS!F22&amp;" Years"</f>
        <v>1 Years</v>
      </c>
      <c r="C70" s="763"/>
    </row>
    <row r="71" spans="1:3">
      <c r="A71" t="s">
        <v>569</v>
      </c>
      <c r="B71" s="843">
        <f>IF(C55="Yes",BESS!G22*(1+BESS!K3),(1+BESS!K3)*FLOOR(6*BESS!F4+3399,500)/2)</f>
        <v>2187.5</v>
      </c>
      <c r="C71" s="763" t="str">
        <f>TEXT(B71,"$#,#")&amp;" excl. GST"</f>
        <v>$2,188 excl. GST</v>
      </c>
    </row>
    <row r="72" spans="1:3">
      <c r="A72" s="768" t="s">
        <v>229</v>
      </c>
      <c r="B72" s="769">
        <f>B71*0.1</f>
        <v>218.75</v>
      </c>
      <c r="C72" s="770" t="str">
        <f>TEXT(B72,"$#,#")&amp;" GST"</f>
        <v>$219 GST</v>
      </c>
    </row>
    <row r="73" spans="1:3">
      <c r="A73" s="1392" t="s">
        <v>570</v>
      </c>
      <c r="B73" s="1392"/>
      <c r="C73" s="1392"/>
    </row>
    <row r="74" spans="1:3">
      <c r="A74" t="s">
        <v>571</v>
      </c>
      <c r="B74" s="765">
        <f>SUM(BESS!J23:J24)</f>
        <v>0</v>
      </c>
      <c r="C74" s="763" t="str">
        <f>IF(C55="Yes",TEXT(B74,"$#,#")&amp;" excl. GST","")</f>
        <v/>
      </c>
    </row>
    <row r="75" spans="1:3">
      <c r="A75" t="s">
        <v>572</v>
      </c>
      <c r="B75" s="765">
        <f>IF(C55="Yes",BESS!J25,0)</f>
        <v>0</v>
      </c>
      <c r="C75" s="763" t="str">
        <f>IF(C55="Yes",TEXT(B75,"$#,#")&amp;" excl. GST","")</f>
        <v/>
      </c>
    </row>
    <row r="76" spans="1:3">
      <c r="A76" s="768" t="s">
        <v>229</v>
      </c>
      <c r="B76" s="769">
        <f>(B74+B75)*0.1</f>
        <v>0</v>
      </c>
      <c r="C76" s="770"/>
    </row>
    <row r="77" spans="1:3">
      <c r="A77" s="1392" t="s">
        <v>573</v>
      </c>
      <c r="B77" s="1392"/>
      <c r="C77" s="1392"/>
    </row>
    <row r="78" spans="1:3">
      <c r="A78" t="s">
        <v>574</v>
      </c>
      <c r="B78" s="765">
        <f>BESS!H39</f>
        <v>6472.8</v>
      </c>
      <c r="C78" s="763" t="str">
        <f>IF(B78&gt;0,TEXT(B78,"$#,#")&amp;" excl. GST","")</f>
        <v>$6,473 excl. GST</v>
      </c>
    </row>
    <row r="79" spans="1:3">
      <c r="A79" s="768" t="s">
        <v>229</v>
      </c>
      <c r="B79" s="771">
        <f>B78*0.1</f>
        <v>647.28000000000009</v>
      </c>
      <c r="C79" s="770" t="str">
        <f>IF(B78&gt;0,TEXT(B79,"$#,#")&amp;" GST","")</f>
        <v>$647 GST</v>
      </c>
    </row>
    <row r="80" spans="1:3">
      <c r="A80" t="s">
        <v>575</v>
      </c>
      <c r="B80" s="765">
        <f>B78+B79</f>
        <v>7120.08</v>
      </c>
      <c r="C80" s="763" t="str">
        <f>IF(B78&gt;0,TEXT(B80,"$#,#")&amp;" incl. GST","")</f>
        <v>$7,120 incl. GST</v>
      </c>
    </row>
    <row r="81" spans="1:3">
      <c r="B81" s="763"/>
      <c r="C81" s="763"/>
    </row>
    <row r="82" spans="1:3">
      <c r="A82" t="s">
        <v>576</v>
      </c>
      <c r="B82" s="764">
        <f>B64+B75-B78</f>
        <v>48805.307304687492</v>
      </c>
      <c r="C82" s="763" t="str">
        <f>TEXT(B82,"$#,#")&amp;" excl. GST"</f>
        <v>$48,805 excl. GST</v>
      </c>
    </row>
    <row r="83" spans="1:3">
      <c r="A83" t="s">
        <v>229</v>
      </c>
      <c r="B83" s="764">
        <f>B82*0.1</f>
        <v>4880.5307304687494</v>
      </c>
      <c r="C83" s="763" t="str">
        <f>TEXT(B83,"$#,#")&amp;" GST"</f>
        <v>$4,881 GST</v>
      </c>
    </row>
    <row r="84" spans="1:3">
      <c r="A84" t="s">
        <v>577</v>
      </c>
      <c r="B84" s="764">
        <f>B82+B83</f>
        <v>53685.838035156245</v>
      </c>
      <c r="C84" s="763" t="str">
        <f>TEXT(B84,"$#,#")&amp;" incl. GST"</f>
        <v>$53,686 incl. GST</v>
      </c>
    </row>
    <row r="85" spans="1:3">
      <c r="A85" t="s">
        <v>578</v>
      </c>
      <c r="B85" s="763" t="str">
        <f>IF(C55="Yes","Included","Not Required")</f>
        <v>Not Required</v>
      </c>
      <c r="C85" s="763"/>
    </row>
    <row r="86" spans="1:3">
      <c r="B86" s="763"/>
      <c r="C86" s="763"/>
    </row>
    <row r="87" spans="1:3" ht="16.2" thickBot="1">
      <c r="A87" t="s">
        <v>579</v>
      </c>
    </row>
    <row r="88" spans="1:3">
      <c r="A88" s="955" t="str">
        <f>IF(C55="Yes","POWERSYNC HARDWARE",IF(B78&gt;0,"FEDERAL BATTERY REBATE",""))</f>
        <v>FEDERAL BATTERY REBATE</v>
      </c>
      <c r="B88" s="956" t="str">
        <f>IF(C55="Yes","POWERSYNC SOFTWARE SUBSCRIPTION P.A.","")</f>
        <v/>
      </c>
      <c r="C88" s="957" t="str">
        <f>IF(C55="Yes","SUBSCRIPTION PERIOD","")</f>
        <v/>
      </c>
    </row>
    <row r="89" spans="1:3" ht="16.2" thickBot="1">
      <c r="A89" s="260" t="str">
        <f>IF(C55="Yes",C74,C78)</f>
        <v>$6,473 excl. GST</v>
      </c>
      <c r="B89" s="958" t="str">
        <f>IF(C55="Yes",C75,C79)</f>
        <v>$647 GST</v>
      </c>
      <c r="C89" s="959" t="str">
        <f>IF(C55="Yes","5 years",C80)</f>
        <v>$7,120 incl. GST</v>
      </c>
    </row>
    <row r="90" spans="1:3">
      <c r="B90" s="763"/>
      <c r="C90" s="763"/>
    </row>
    <row r="91" spans="1:3">
      <c r="B91" s="763"/>
      <c r="C91" s="763"/>
    </row>
    <row r="92" spans="1:3">
      <c r="B92" s="763"/>
      <c r="C92" s="763"/>
    </row>
    <row r="94" spans="1:3">
      <c r="A94" s="1392" t="s">
        <v>580</v>
      </c>
      <c r="B94" s="1392"/>
      <c r="C94" s="1392"/>
    </row>
    <row r="95" spans="1:3">
      <c r="A95" t="s">
        <v>331</v>
      </c>
      <c r="B95" t="str">
        <f>IF(BESS!G18&lt;&gt;0,'2.1 BESS Components'!AE20 &amp; "m Allowed","Not Required")</f>
        <v>Not Required</v>
      </c>
    </row>
    <row r="96" spans="1:3">
      <c r="A96" t="s">
        <v>334</v>
      </c>
      <c r="B96">
        <f>BESS!F21</f>
        <v>15</v>
      </c>
      <c r="C96" t="str">
        <f>B96 &amp;"m Allowed - 4 x "&amp;BESS!E21&amp;"mm²"</f>
        <v>15m Allowed - 4 x 25mm²</v>
      </c>
    </row>
    <row r="97" spans="1:4">
      <c r="A97" t="s">
        <v>339</v>
      </c>
      <c r="B97" s="792" t="str">
        <f>IF(BESS!G13="Include","Included","Not Included")</f>
        <v>Included</v>
      </c>
    </row>
    <row r="98" spans="1:4">
      <c r="A98" t="str">
        <f>BESS!D28</f>
        <v>BESS AC Main Switch</v>
      </c>
      <c r="B98" s="791" t="str">
        <f>BESS!E28</f>
        <v>New AC Solar Main Switch Included</v>
      </c>
    </row>
    <row r="99" spans="1:4">
      <c r="A99" t="s">
        <v>581</v>
      </c>
      <c r="B99" s="761" t="s">
        <v>582</v>
      </c>
      <c r="C99" t="str">
        <f>BESS!G10&amp;"d"</f>
        <v>Excluded</v>
      </c>
    </row>
    <row r="100" spans="1:4">
      <c r="A100" t="s">
        <v>583</v>
      </c>
      <c r="B100" s="761" t="str">
        <f>IF(BESS!H15&gt;0,BESS!G15,"Not Included")</f>
        <v>Bollards</v>
      </c>
    </row>
    <row r="101" spans="1:4">
      <c r="B101" s="761"/>
    </row>
    <row r="102" spans="1:4">
      <c r="A102" t="s">
        <v>584</v>
      </c>
      <c r="B102" s="761" t="str">
        <f>BESS!G12</f>
        <v>Not Required</v>
      </c>
    </row>
    <row r="103" spans="1:4">
      <c r="A103" t="s">
        <v>195</v>
      </c>
      <c r="B103" s="761" t="str">
        <f>IF(BESS!H9&gt;0,"Included","Not Included")</f>
        <v>Not Included</v>
      </c>
    </row>
    <row r="104" spans="1:4">
      <c r="A104" t="s">
        <v>585</v>
      </c>
      <c r="B104" s="761" t="str">
        <f>IF(BESS!G11="Include","Included","Not Included")</f>
        <v>Not Included</v>
      </c>
    </row>
    <row r="106" spans="1:4">
      <c r="A106" t="s">
        <v>468</v>
      </c>
      <c r="B106" t="str">
        <f>IF(BESS!G19="None","",BESS!G19)</f>
        <v/>
      </c>
      <c r="C106" t="str">
        <f>IF(B106="","","NETNADA " &amp;UPPER(B106))</f>
        <v/>
      </c>
      <c r="D106" t="str">
        <f>IF(C106="","","Included")</f>
        <v/>
      </c>
    </row>
    <row r="107" spans="1:4">
      <c r="A107" t="str">
        <f>IF(BESS!H20=0,"",UPPER("NetNada Add On"))</f>
        <v/>
      </c>
      <c r="B107" t="str">
        <f>IF(BESS!G20="None","",BESS!G20)</f>
        <v/>
      </c>
    </row>
    <row r="109" spans="1:4">
      <c r="A109" s="1392" t="s">
        <v>586</v>
      </c>
      <c r="B109" s="1392"/>
      <c r="C109" s="1392"/>
    </row>
    <row r="111" spans="1:4">
      <c r="A111" t="s">
        <v>587</v>
      </c>
      <c r="B111" s="794">
        <f>$B$82*C111</f>
        <v>9761.0614609374989</v>
      </c>
      <c r="C111">
        <v>0.2</v>
      </c>
    </row>
    <row r="112" spans="1:4">
      <c r="A112" t="s">
        <v>588</v>
      </c>
      <c r="B112" s="794">
        <f t="shared" ref="B112:B115" si="0">$B$82*C112</f>
        <v>4880.5307304687494</v>
      </c>
      <c r="C112">
        <v>0.1</v>
      </c>
    </row>
    <row r="113" spans="1:3">
      <c r="A113" t="s">
        <v>589</v>
      </c>
      <c r="B113" s="794">
        <f t="shared" si="0"/>
        <v>7320.7960957031237</v>
      </c>
      <c r="C113">
        <v>0.15</v>
      </c>
    </row>
    <row r="114" spans="1:3">
      <c r="A114" t="s">
        <v>590</v>
      </c>
      <c r="B114" s="794">
        <f t="shared" si="0"/>
        <v>4880.5307304687494</v>
      </c>
      <c r="C114">
        <v>0.1</v>
      </c>
    </row>
    <row r="115" spans="1:3">
      <c r="A115" t="s">
        <v>591</v>
      </c>
      <c r="B115" s="794">
        <f t="shared" si="0"/>
        <v>18301.990239257808</v>
      </c>
      <c r="C115">
        <v>0.375</v>
      </c>
    </row>
    <row r="116" spans="1:3">
      <c r="A116" t="s">
        <v>592</v>
      </c>
      <c r="B116" s="794">
        <f>$B$82*C116</f>
        <v>2440.2653652343747</v>
      </c>
      <c r="C116">
        <v>0.05</v>
      </c>
    </row>
    <row r="117" spans="1:3">
      <c r="A117" t="s">
        <v>593</v>
      </c>
      <c r="B117" s="794">
        <f>$B$82*C117</f>
        <v>1220.1326826171874</v>
      </c>
      <c r="C117">
        <v>2.5000000000000001E-2</v>
      </c>
    </row>
    <row r="118" spans="1:3">
      <c r="B118" s="795">
        <f>SUM(B111:B117)</f>
        <v>48805.307304687492</v>
      </c>
      <c r="C118">
        <f>SUM(C111:C117)</f>
        <v>1</v>
      </c>
    </row>
    <row r="120" spans="1:3">
      <c r="A120" s="1394" t="s">
        <v>594</v>
      </c>
      <c r="B120" s="1394"/>
      <c r="C120" s="1394"/>
    </row>
    <row r="121" spans="1:3">
      <c r="A121" t="s">
        <v>595</v>
      </c>
      <c r="B121" t="str">
        <f>SOLAR!F13&amp;" kW &amp; " &amp;BESS!F3&amp;" kWh / "&amp; BESS!F4&amp;" kVA"</f>
        <v>100 kW &amp; 107 kWh / 50 kVA</v>
      </c>
    </row>
    <row r="122" spans="1:3">
      <c r="A122" t="s">
        <v>596</v>
      </c>
      <c r="B122" t="str">
        <f>SOLAR!J10</f>
        <v xml:space="preserve">Q-JV- 100kW </v>
      </c>
      <c r="C122" t="str">
        <f>B122&amp;"-"&amp;BESS!F3&amp;" kWh"</f>
        <v>Q-JV- 100kW -107 kWh</v>
      </c>
    </row>
    <row r="123" spans="1:3">
      <c r="A123" s="762" t="s">
        <v>42</v>
      </c>
      <c r="B123" s="763" t="str">
        <f>BESS!D3</f>
        <v>107 kWh - BC107DE2</v>
      </c>
      <c r="C123" s="763" t="str">
        <f>BESS!D3&amp; " x "&amp; BESS!E3</f>
        <v>107 kWh - BC107DE2 x 1</v>
      </c>
    </row>
    <row r="124" spans="1:3">
      <c r="A124" t="s">
        <v>328</v>
      </c>
      <c r="B124" t="str">
        <f>BESS!D4</f>
        <v xml:space="preserve">50 kVA - KAC50DP2 </v>
      </c>
      <c r="C124" t="str">
        <f>BESS!D4&amp; " x "&amp; BESS!E4</f>
        <v>50 kVA - KAC50DP2  x 1</v>
      </c>
    </row>
    <row r="130" spans="1:3">
      <c r="A130" s="1393" t="s">
        <v>580</v>
      </c>
      <c r="B130" s="1393"/>
      <c r="C130" s="1393"/>
    </row>
    <row r="131" spans="1:3">
      <c r="A131" t="s">
        <v>331</v>
      </c>
      <c r="B131" t="str">
        <f>IF(BESS!G18&lt;&gt;0,'2.1 BESS Components'!AE20 &amp; "m Allowed","Not Required")</f>
        <v>Not Required</v>
      </c>
    </row>
    <row r="132" spans="1:3">
      <c r="A132" t="s">
        <v>334</v>
      </c>
      <c r="B132">
        <f>BESS!F21</f>
        <v>15</v>
      </c>
      <c r="C132" t="str">
        <f>B96 &amp;"m Allowed - 4 x "&amp;BESS!E21&amp;"mm²"</f>
        <v>15m Allowed - 4 x 25mm²</v>
      </c>
    </row>
    <row r="133" spans="1:3">
      <c r="A133" t="s">
        <v>339</v>
      </c>
      <c r="B133" t="str">
        <f>IF(BESS!G13="Include","Included","Not Included")</f>
        <v>Included</v>
      </c>
    </row>
    <row r="134" spans="1:3">
      <c r="A134" t="s">
        <v>477</v>
      </c>
      <c r="B134" t="str">
        <f>BESS!E28</f>
        <v>New AC Solar Main Switch Included</v>
      </c>
    </row>
    <row r="135" spans="1:3">
      <c r="A135" t="s">
        <v>581</v>
      </c>
      <c r="B135" t="s">
        <v>582</v>
      </c>
      <c r="C135" t="str">
        <f>BESS!G10&amp;"d"</f>
        <v>Excluded</v>
      </c>
    </row>
    <row r="136" spans="1:3">
      <c r="A136" t="s">
        <v>583</v>
      </c>
      <c r="B136" t="str">
        <f>IF(BESS!H15&gt;0,BESS!G15,"Not Included")</f>
        <v>Bollards</v>
      </c>
    </row>
    <row r="138" spans="1:3">
      <c r="A138" t="s">
        <v>584</v>
      </c>
      <c r="B138" t="str">
        <f>BESS!G12</f>
        <v>Not Required</v>
      </c>
    </row>
    <row r="139" spans="1:3">
      <c r="A139" t="s">
        <v>195</v>
      </c>
      <c r="B139" t="str">
        <f>IF(BESS!H9&gt;0,"Included","Not Included")</f>
        <v>Not Included</v>
      </c>
    </row>
    <row r="142" spans="1:3">
      <c r="A142" t="s">
        <v>468</v>
      </c>
      <c r="B142" t="str">
        <f>IF(BESS!G19="None","",BESS!G19)</f>
        <v/>
      </c>
      <c r="C142" t="str">
        <f>IF(B106="","","NETNADA " &amp;UPPER(B106))</f>
        <v/>
      </c>
    </row>
    <row r="143" spans="1:3">
      <c r="A143" t="str">
        <f>IF(BESS!H20=0,"",UPPER("NetNada Add On"))</f>
        <v/>
      </c>
      <c r="B143" t="str">
        <f>IF(BESS!G20="None","",BESS!G20)</f>
        <v/>
      </c>
    </row>
    <row r="145" spans="1:3">
      <c r="A145" s="1393" t="s">
        <v>586</v>
      </c>
      <c r="B145" s="1393"/>
      <c r="C145" s="1393"/>
    </row>
    <row r="147" spans="1:3">
      <c r="A147" t="s">
        <v>587</v>
      </c>
      <c r="B147" s="623">
        <f>$C$20*C147</f>
        <v>17936.911457626269</v>
      </c>
      <c r="C147">
        <v>0.2</v>
      </c>
    </row>
    <row r="148" spans="1:3">
      <c r="A148" t="s">
        <v>588</v>
      </c>
      <c r="B148" s="623">
        <f t="shared" ref="B148:B153" si="1">$C$20*C148</f>
        <v>8968.4557288131346</v>
      </c>
      <c r="C148">
        <v>0.1</v>
      </c>
    </row>
    <row r="149" spans="1:3">
      <c r="A149" t="s">
        <v>589</v>
      </c>
      <c r="B149" s="623">
        <f t="shared" si="1"/>
        <v>13452.683593219701</v>
      </c>
      <c r="C149">
        <v>0.15</v>
      </c>
    </row>
    <row r="150" spans="1:3">
      <c r="A150" t="s">
        <v>590</v>
      </c>
      <c r="B150" s="623">
        <f t="shared" si="1"/>
        <v>8968.4557288131346</v>
      </c>
      <c r="C150">
        <v>0.1</v>
      </c>
    </row>
    <row r="151" spans="1:3">
      <c r="A151" t="s">
        <v>591</v>
      </c>
      <c r="B151" s="623">
        <f t="shared" si="1"/>
        <v>33631.708983049255</v>
      </c>
      <c r="C151">
        <v>0.375</v>
      </c>
    </row>
    <row r="152" spans="1:3">
      <c r="A152" t="s">
        <v>592</v>
      </c>
      <c r="B152" s="623">
        <f t="shared" si="1"/>
        <v>4484.2278644065673</v>
      </c>
      <c r="C152">
        <v>0.05</v>
      </c>
    </row>
    <row r="153" spans="1:3">
      <c r="A153" t="s">
        <v>593</v>
      </c>
      <c r="B153" s="623">
        <f t="shared" si="1"/>
        <v>2242.1139322032836</v>
      </c>
      <c r="C153">
        <v>2.5000000000000001E-2</v>
      </c>
    </row>
    <row r="154" spans="1:3">
      <c r="B154" s="1030">
        <f>SUM(B147:B153)</f>
        <v>89684.557288131342</v>
      </c>
      <c r="C154" s="241">
        <f>SUM(C147:C153)</f>
        <v>1</v>
      </c>
    </row>
  </sheetData>
  <mergeCells count="10">
    <mergeCell ref="A130:C130"/>
    <mergeCell ref="A145:C145"/>
    <mergeCell ref="A120:C120"/>
    <mergeCell ref="A94:C94"/>
    <mergeCell ref="A109:C109"/>
    <mergeCell ref="B1:D1"/>
    <mergeCell ref="A53:C53"/>
    <mergeCell ref="A58:C58"/>
    <mergeCell ref="A73:C73"/>
    <mergeCell ref="A77:C77"/>
  </mergeCells>
  <phoneticPr fontId="75"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F5423-9E3C-BF41-9551-B8FBDFD5CB7E}">
  <sheetPr codeName="Sheet21">
    <tabColor rgb="FF99FF99"/>
  </sheetPr>
  <dimension ref="G96:CF542"/>
  <sheetViews>
    <sheetView workbookViewId="0"/>
  </sheetViews>
  <sheetFormatPr defaultColWidth="2.5" defaultRowHeight="15" customHeight="1"/>
  <cols>
    <col min="1" max="73" width="2.5" style="643"/>
    <col min="74" max="74" width="2.5" style="643" customWidth="1"/>
    <col min="75" max="16384" width="2.5" style="643"/>
  </cols>
  <sheetData>
    <row r="96" spans="47:47" ht="15" customHeight="1">
      <c r="AU96" s="642"/>
    </row>
    <row r="97" spans="47:47" ht="15" customHeight="1">
      <c r="AU97" s="644"/>
    </row>
    <row r="248" spans="7:7" ht="15" customHeight="1">
      <c r="G248" s="645"/>
    </row>
    <row r="482" spans="84:84" ht="15" customHeight="1">
      <c r="CF482" s="643">
        <v>15</v>
      </c>
    </row>
    <row r="542" spans="84:84" ht="15" customHeight="1">
      <c r="CF542" s="643">
        <v>17</v>
      </c>
    </row>
  </sheetData>
  <pageMargins left="0" right="0" top="0" bottom="0" header="0" footer="0"/>
  <pageSetup paperSize="9" scale="97" pageOrder="overThenDown" orientation="portrait" r:id="rId1"/>
  <rowBreaks count="2" manualBreakCount="2">
    <brk id="61" max="16383" man="1"/>
    <brk id="121" max="16383" man="1"/>
  </rowBreaks>
  <colBreaks count="1" manualBreakCount="1">
    <brk id="41" max="1048575"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1BFE9-F445-9644-921B-51B135C55666}">
  <sheetPr codeName="Sheet8">
    <tabColor rgb="FFFF0000"/>
  </sheetPr>
  <dimension ref="B2:E43"/>
  <sheetViews>
    <sheetView workbookViewId="0"/>
  </sheetViews>
  <sheetFormatPr defaultColWidth="28" defaultRowHeight="15.6"/>
  <cols>
    <col min="1" max="1" width="11.5" customWidth="1"/>
  </cols>
  <sheetData>
    <row r="2" spans="2:5" ht="16.2" thickBot="1"/>
    <row r="3" spans="2:5" ht="20.399999999999999" thickBot="1">
      <c r="B3" s="57" t="s">
        <v>597</v>
      </c>
      <c r="C3" s="58">
        <f>C30+C4+C10</f>
        <v>91404.692941155532</v>
      </c>
      <c r="E3" t="s">
        <v>598</v>
      </c>
    </row>
    <row r="4" spans="2:5" ht="18.600000000000001" thickTop="1" thickBot="1">
      <c r="B4" s="59" t="s">
        <v>599</v>
      </c>
      <c r="C4" s="60">
        <f>SUM(C5:C9)</f>
        <v>31500.000000000004</v>
      </c>
      <c r="E4" s="212">
        <f xml:space="preserve"> SOLAR!I124- SUM(C4,C10,C30)</f>
        <v>800.00000000001455</v>
      </c>
    </row>
    <row r="5" spans="2:5" ht="16.2" thickTop="1">
      <c r="B5" s="65" t="s">
        <v>355</v>
      </c>
      <c r="C5" s="61">
        <f>SUMIF(SOLAR!$H$30:$H$124,'Projects PnL'!B5,SOLAR!$I$30:$I$124)</f>
        <v>28000.000000000004</v>
      </c>
    </row>
    <row r="6" spans="2:5">
      <c r="B6" s="65" t="s">
        <v>358</v>
      </c>
      <c r="C6" s="61">
        <f>SUMIF(SOLAR!$H$30:$H$124,'Projects PnL'!B6,SOLAR!$I$30:$I$124)</f>
        <v>3000</v>
      </c>
    </row>
    <row r="7" spans="2:5">
      <c r="B7" s="62" t="s">
        <v>370</v>
      </c>
      <c r="C7" s="61">
        <f>SUMIF(SOLAR!$H$30:$H$124,'Projects PnL'!B7,SOLAR!$I$30:$I$124)</f>
        <v>500</v>
      </c>
    </row>
    <row r="8" spans="2:5">
      <c r="B8" s="62" t="s">
        <v>389</v>
      </c>
      <c r="C8" s="61">
        <f>SUMIF(SOLAR!$H$30:$H$124,'Projects PnL'!B8,SOLAR!$I$30:$I$124)</f>
        <v>0</v>
      </c>
    </row>
    <row r="9" spans="2:5">
      <c r="B9" s="62"/>
      <c r="C9" s="63"/>
    </row>
    <row r="10" spans="2:5" ht="18" thickBot="1">
      <c r="B10" s="59" t="s">
        <v>600</v>
      </c>
      <c r="C10" s="60">
        <f>SUM(C11:C29)</f>
        <v>7291.0647863936192</v>
      </c>
    </row>
    <row r="11" spans="2:5" ht="16.2" thickTop="1">
      <c r="B11" s="64" t="s">
        <v>308</v>
      </c>
      <c r="C11" s="61">
        <f>SUMIF(SOLAR!$H$30:$H$124,'Projects PnL'!B11,SOLAR!$I$30:$I$124)</f>
        <v>1800</v>
      </c>
    </row>
    <row r="12" spans="2:5">
      <c r="B12" s="65" t="s">
        <v>301</v>
      </c>
      <c r="C12" s="61">
        <f>SUMIF(SOLAR!$H$30:$H$124,'Projects PnL'!B12,SOLAR!$I$30:$I$124)</f>
        <v>504.90000000000003</v>
      </c>
    </row>
    <row r="13" spans="2:5">
      <c r="B13" s="65" t="s">
        <v>305</v>
      </c>
      <c r="C13" s="61">
        <f>SUMIF(SOLAR!$H$30:$H$124,'Projects PnL'!B13,SOLAR!$I$30:$I$124)</f>
        <v>0</v>
      </c>
      <c r="D13" t="s">
        <v>601</v>
      </c>
    </row>
    <row r="14" spans="2:5">
      <c r="B14" s="65" t="s">
        <v>362</v>
      </c>
      <c r="C14" s="61">
        <f>SUMIF(SOLAR!$H$30:$H$124,'Projects PnL'!B14,SOLAR!$I$30:$I$124)</f>
        <v>2600</v>
      </c>
      <c r="D14" t="s">
        <v>602</v>
      </c>
    </row>
    <row r="15" spans="2:5">
      <c r="B15" s="65" t="s">
        <v>374</v>
      </c>
      <c r="C15" s="61">
        <f>SUMIF(SOLAR!$H$30:$H$124,'Projects PnL'!B15,SOLAR!$I$30:$I$124)</f>
        <v>750</v>
      </c>
      <c r="D15" t="s">
        <v>603</v>
      </c>
    </row>
    <row r="16" spans="2:5">
      <c r="B16" s="65" t="s">
        <v>395</v>
      </c>
      <c r="C16" s="61">
        <f>SUMIF(SOLAR!$H$30:$H$124,'Projects PnL'!B16,SOLAR!$I$30:$I$124)</f>
        <v>1636.1647863936191</v>
      </c>
    </row>
    <row r="17" spans="2:3">
      <c r="B17" s="65" t="s">
        <v>604</v>
      </c>
      <c r="C17" s="61">
        <f>SUMIF(SOLAR!$H$30:$H$124,'Projects PnL'!B17,SOLAR!$I$30:$I$124)</f>
        <v>0</v>
      </c>
    </row>
    <row r="18" spans="2:3">
      <c r="B18" s="65" t="s">
        <v>605</v>
      </c>
      <c r="C18" s="61">
        <f>SUMIF(SOLAR!$H$30:$H$124,'Projects PnL'!B18,SOLAR!$I$30:$I$124)</f>
        <v>0</v>
      </c>
    </row>
    <row r="19" spans="2:3">
      <c r="B19" s="65" t="s">
        <v>606</v>
      </c>
      <c r="C19" s="61">
        <f>SUMIF(SOLAR!$H$30:$H$124,'Projects PnL'!B19,SOLAR!$I$30:$I$124)</f>
        <v>0</v>
      </c>
    </row>
    <row r="20" spans="2:3">
      <c r="B20" s="65" t="s">
        <v>607</v>
      </c>
      <c r="C20" s="61">
        <f>SUMIF(SOLAR!$H$30:$H$124,'Projects PnL'!B20,SOLAR!$I$30:$I$124)</f>
        <v>0</v>
      </c>
    </row>
    <row r="21" spans="2:3">
      <c r="B21" s="65" t="s">
        <v>608</v>
      </c>
      <c r="C21" s="61">
        <f>SUMIF(SOLAR!$H$30:$H$124,'Projects PnL'!B21,SOLAR!$I$30:$I$124)</f>
        <v>0</v>
      </c>
    </row>
    <row r="22" spans="2:3">
      <c r="B22" s="65" t="s">
        <v>609</v>
      </c>
      <c r="C22" s="61">
        <f>SUMIF(SOLAR!$H$30:$H$124,'Projects PnL'!B22,SOLAR!$I$30:$I$124)</f>
        <v>0</v>
      </c>
    </row>
    <row r="23" spans="2:3">
      <c r="B23" s="65" t="s">
        <v>581</v>
      </c>
      <c r="C23" s="61">
        <f>SUMIF(SOLAR!$H$30:$H$124,'Projects PnL'!B23,SOLAR!$I$30:$I$124)</f>
        <v>0</v>
      </c>
    </row>
    <row r="24" spans="2:3">
      <c r="B24" s="62" t="s">
        <v>8</v>
      </c>
      <c r="C24" s="61">
        <f>SUMIF(SOLAR!$H$30:$H$124,'Projects PnL'!B24,SOLAR!$I$30:$I$124)</f>
        <v>0</v>
      </c>
    </row>
    <row r="25" spans="2:3">
      <c r="B25" s="62" t="s">
        <v>610</v>
      </c>
      <c r="C25" s="61">
        <f>SUMIF(SOLAR!$H$30:$H$124,'Projects PnL'!B25,SOLAR!$I$30:$I$124)</f>
        <v>0</v>
      </c>
    </row>
    <row r="26" spans="2:3">
      <c r="B26" s="62" t="s">
        <v>604</v>
      </c>
      <c r="C26" s="61">
        <f>SUMIF(SOLAR!$H$30:$H$124,'Projects PnL'!B26,SOLAR!$I$30:$I$124)</f>
        <v>0</v>
      </c>
    </row>
    <row r="27" spans="2:3">
      <c r="B27" s="62" t="s">
        <v>326</v>
      </c>
      <c r="C27" s="61">
        <f>SUMIF(SOLAR!$H$30:$H$124,'Projects PnL'!B27,SOLAR!$I$30:$I$124)</f>
        <v>0</v>
      </c>
    </row>
    <row r="28" spans="2:3">
      <c r="B28" s="62" t="s">
        <v>611</v>
      </c>
      <c r="C28" s="61">
        <f>SUMIF(SOLAR!$H$30:$H$124,'Projects PnL'!B28,SOLAR!$I$30:$I$124)</f>
        <v>0</v>
      </c>
    </row>
    <row r="29" spans="2:3">
      <c r="B29" s="62"/>
      <c r="C29" s="63"/>
    </row>
    <row r="30" spans="2:3" ht="18" thickBot="1">
      <c r="B30" s="59" t="s">
        <v>612</v>
      </c>
      <c r="C30" s="60">
        <f>SUM(C31:C43)</f>
        <v>52613.628154761907</v>
      </c>
    </row>
    <row r="31" spans="2:3" ht="16.2" thickTop="1">
      <c r="B31" s="62" t="s">
        <v>317</v>
      </c>
      <c r="C31" s="61">
        <f>SUMIF(SOLAR!$H$30:$H$124,'Projects PnL'!B31,SOLAR!$I$30:$I$124)</f>
        <v>21921.428571428572</v>
      </c>
    </row>
    <row r="32" spans="2:3">
      <c r="B32" s="62" t="s">
        <v>321</v>
      </c>
      <c r="C32" s="61">
        <f>SUMIF(SOLAR!$H$30:$H$124,'Projects PnL'!B32,SOLAR!$I$30:$I$124)</f>
        <v>7099</v>
      </c>
    </row>
    <row r="33" spans="2:4">
      <c r="B33" s="62" t="s">
        <v>323</v>
      </c>
      <c r="C33" s="61">
        <f>SUMIF(SOLAR!$H$30:$H$124,'Projects PnL'!B33,SOLAR!$I$30:$I$124)</f>
        <v>300</v>
      </c>
    </row>
    <row r="34" spans="2:4">
      <c r="B34" s="62" t="s">
        <v>23</v>
      </c>
      <c r="C34" s="61">
        <f>SUMIF(SOLAR!$H$30:$H$124,'Projects PnL'!B34,SOLAR!$I$30:$I$124)</f>
        <v>6306.4399999999987</v>
      </c>
    </row>
    <row r="35" spans="2:4">
      <c r="B35" s="62" t="s">
        <v>334</v>
      </c>
      <c r="C35" s="61">
        <f>SUMIF(SOLAR!$H$30:$H$124,'Projects PnL'!B35,SOLAR!$I$30:$I$124)</f>
        <v>997.37625000000003</v>
      </c>
    </row>
    <row r="36" spans="2:4">
      <c r="B36" s="62" t="s">
        <v>347</v>
      </c>
      <c r="C36" s="61">
        <f>SUMIF(SOLAR!$H$30:$H$124,'Projects PnL'!B36,SOLAR!$I$30:$I$124)</f>
        <v>1400</v>
      </c>
    </row>
    <row r="37" spans="2:4">
      <c r="B37" s="62" t="s">
        <v>331</v>
      </c>
      <c r="C37" s="61">
        <f>SUMIF(SOLAR!$H$30:$H$124,'Projects PnL'!B37,SOLAR!$I$30:$I$124)</f>
        <v>2336.0500000000002</v>
      </c>
    </row>
    <row r="38" spans="2:4">
      <c r="B38" s="62" t="s">
        <v>342</v>
      </c>
      <c r="C38" s="61">
        <f>SUMIF(SOLAR!$H$30:$H$124,'Projects PnL'!B38,SOLAR!$I$30:$I$124)</f>
        <v>0</v>
      </c>
    </row>
    <row r="39" spans="2:4">
      <c r="B39" s="65" t="s">
        <v>339</v>
      </c>
      <c r="C39" s="61">
        <f>SUMIF(SOLAR!$H$30:$H$124,'Projects PnL'!B39,SOLAR!$I$30:$I$124)</f>
        <v>2328.3333333333335</v>
      </c>
      <c r="D39" t="s">
        <v>613</v>
      </c>
    </row>
    <row r="40" spans="2:4">
      <c r="B40" s="62" t="s">
        <v>350</v>
      </c>
      <c r="C40" s="61">
        <f>SUMIF(SOLAR!$H$30:$H$124,'Projects PnL'!B40,SOLAR!$I$30:$I$124)</f>
        <v>6050.0000000000009</v>
      </c>
    </row>
    <row r="41" spans="2:4">
      <c r="B41" s="62" t="s">
        <v>385</v>
      </c>
      <c r="C41" s="61">
        <f>SUMIF(SOLAR!$H$30:$H$124,'Projects PnL'!B41,SOLAR!$I$30:$I$124)</f>
        <v>2500</v>
      </c>
    </row>
    <row r="42" spans="2:4">
      <c r="B42" s="62" t="s">
        <v>368</v>
      </c>
      <c r="C42" s="61">
        <f>SUMIF(SOLAR!$H$30:$H$124,'Projects PnL'!B42,SOLAR!$I$30:$I$124)</f>
        <v>1375</v>
      </c>
    </row>
    <row r="43" spans="2:4" ht="16.2" thickBot="1">
      <c r="B43" s="135" t="s">
        <v>344</v>
      </c>
      <c r="C43" s="61">
        <f>SUMIF(SOLAR!$H$30:$H$124,'Projects PnL'!B43,SOLAR!$I$30:$I$124)</f>
        <v>0</v>
      </c>
    </row>
  </sheetData>
  <conditionalFormatting sqref="E3:E4">
    <cfRule type="cellIs" dxfId="375" priority="1" operator="equal">
      <formula>0</formula>
    </cfRule>
  </conditionalFormatting>
  <dataValidations count="1">
    <dataValidation showInputMessage="1" showErrorMessage="1" sqref="D3" xr:uid="{FF3C54DB-F7F4-416A-9958-58DC0D5BF309}"/>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76A64-FE57-4E83-9F3F-C8EE3B7C69A7}">
  <sheetPr codeName="Sheet22">
    <tabColor rgb="FF99FF99"/>
  </sheetPr>
  <dimension ref="A1:AJ786"/>
  <sheetViews>
    <sheetView workbookViewId="0"/>
  </sheetViews>
  <sheetFormatPr defaultColWidth="8.59765625" defaultRowHeight="15.6"/>
  <cols>
    <col min="20" max="20" width="10.09765625" bestFit="1" customWidth="1"/>
    <col min="21" max="21" width="10.8984375" bestFit="1" customWidth="1"/>
    <col min="23" max="23" width="5.3984375" bestFit="1" customWidth="1"/>
    <col min="24" max="24" width="28.09765625" bestFit="1" customWidth="1"/>
    <col min="25" max="25" width="16.8984375" bestFit="1" customWidth="1"/>
    <col min="27" max="27" width="11.59765625" bestFit="1" customWidth="1"/>
    <col min="28" max="28" width="14.5" bestFit="1" customWidth="1"/>
    <col min="29" max="29" width="19" bestFit="1" customWidth="1"/>
    <col min="30" max="30" width="7.5" bestFit="1" customWidth="1"/>
    <col min="31" max="31" width="5.3984375" bestFit="1" customWidth="1"/>
    <col min="32" max="32" width="13.8984375" bestFit="1" customWidth="1"/>
    <col min="33" max="33" width="9.5" bestFit="1" customWidth="1"/>
    <col min="34" max="34" width="11.59765625" bestFit="1" customWidth="1"/>
    <col min="35" max="35" width="26.59765625" bestFit="1" customWidth="1"/>
    <col min="36" max="36" width="10.8984375" bestFit="1" customWidth="1"/>
  </cols>
  <sheetData>
    <row r="1" spans="1:36">
      <c r="A1" s="579" t="s">
        <v>614</v>
      </c>
      <c r="B1" s="579" t="s">
        <v>50</v>
      </c>
      <c r="C1" s="579" t="s">
        <v>480</v>
      </c>
      <c r="D1" s="579" t="s">
        <v>50</v>
      </c>
      <c r="E1" s="579" t="s">
        <v>615</v>
      </c>
      <c r="F1" s="579" t="s">
        <v>50</v>
      </c>
      <c r="G1" s="579" t="s">
        <v>248</v>
      </c>
      <c r="H1" s="579" t="s">
        <v>50</v>
      </c>
      <c r="I1" s="579" t="s">
        <v>616</v>
      </c>
      <c r="J1" s="579" t="s">
        <v>50</v>
      </c>
      <c r="K1" s="579" t="s">
        <v>617</v>
      </c>
      <c r="L1" s="579" t="s">
        <v>50</v>
      </c>
      <c r="M1" s="579" t="s">
        <v>618</v>
      </c>
      <c r="N1" s="579" t="s">
        <v>50</v>
      </c>
      <c r="O1" s="579" t="s">
        <v>619</v>
      </c>
      <c r="P1" s="579" t="s">
        <v>50</v>
      </c>
      <c r="T1" s="1395" t="s">
        <v>620</v>
      </c>
      <c r="U1" s="1395"/>
      <c r="W1" s="859" t="s">
        <v>264</v>
      </c>
      <c r="X1" s="859" t="s">
        <v>621</v>
      </c>
      <c r="Y1" s="859" t="s">
        <v>50</v>
      </c>
      <c r="AB1" s="737" t="s">
        <v>248</v>
      </c>
      <c r="AC1" s="737" t="s">
        <v>616</v>
      </c>
      <c r="AD1" s="737" t="s">
        <v>614</v>
      </c>
      <c r="AE1" s="737" t="s">
        <v>615</v>
      </c>
      <c r="AF1" s="737" t="s">
        <v>480</v>
      </c>
      <c r="AG1" s="737" t="s">
        <v>617</v>
      </c>
      <c r="AH1" s="737" t="s">
        <v>618</v>
      </c>
      <c r="AI1" s="737" t="s">
        <v>619</v>
      </c>
      <c r="AJ1" s="737" t="s">
        <v>622</v>
      </c>
    </row>
    <row r="2" spans="1:36">
      <c r="A2" s="580">
        <v>4000</v>
      </c>
      <c r="B2" s="581" t="s">
        <v>127</v>
      </c>
      <c r="C2" s="580">
        <v>6000</v>
      </c>
      <c r="D2" s="581" t="s">
        <v>132</v>
      </c>
      <c r="E2" s="583">
        <v>5000</v>
      </c>
      <c r="F2" s="581" t="s">
        <v>119</v>
      </c>
      <c r="G2" s="580">
        <v>2000</v>
      </c>
      <c r="H2" s="581" t="s">
        <v>109</v>
      </c>
      <c r="I2" s="580">
        <v>3000</v>
      </c>
      <c r="J2" s="581" t="s">
        <v>113</v>
      </c>
      <c r="K2" s="580">
        <v>2600</v>
      </c>
      <c r="L2" s="581" t="s">
        <v>124</v>
      </c>
      <c r="M2" s="580">
        <v>7000</v>
      </c>
      <c r="N2" s="581" t="s">
        <v>120</v>
      </c>
      <c r="O2" s="580">
        <v>800</v>
      </c>
      <c r="P2" s="581" t="s">
        <v>122</v>
      </c>
      <c r="T2" s="573" t="s">
        <v>243</v>
      </c>
      <c r="U2" s="573">
        <f>SOLAR!F17</f>
        <v>2000</v>
      </c>
      <c r="W2" s="855" t="s">
        <v>248</v>
      </c>
      <c r="X2" s="856" t="s">
        <v>623</v>
      </c>
      <c r="Y2" s="855" t="s">
        <v>109</v>
      </c>
      <c r="AB2" s="573" t="str" cm="1">
        <f t="array" ref="AB2:AB4">_xlfn.UNIQUE(_xlfn._xlws.FILTER($Y:$Y,$W:$W=AB1))</f>
        <v>Ausgrid</v>
      </c>
      <c r="AC2" s="573" t="str" cm="1">
        <f t="array" ref="AC2:AC5">_xlfn.UNIQUE(_xlfn._xlws.FILTER($Y:$Y,$W:$W=AC1))</f>
        <v>AusNet</v>
      </c>
      <c r="AD2" s="573" t="str" cm="1">
        <f t="array" ref="AD2:AD3">_xlfn.UNIQUE(_xlfn._xlws.FILTER($Y:$Y,$W:$W=AD1))</f>
        <v>Energex</v>
      </c>
      <c r="AE2" s="573" t="str" cm="1">
        <f t="array" ref="AE2">_xlfn.UNIQUE(_xlfn._xlws.FILTER($Y:$Y,$W:$W=AE1))</f>
        <v>SAPN</v>
      </c>
      <c r="AF2" s="573" t="str" cm="1">
        <f t="array" ref="AF2:AF3">_xlfn.UNIQUE(_xlfn._xlws.FILTER($Y:$Y,$W:$W=AF1))</f>
        <v>Western Power</v>
      </c>
      <c r="AG2" s="573" t="str" cm="1">
        <f t="array" ref="AG2">_xlfn.UNIQUE(_xlfn._xlws.FILTER($Y:$Y,$W:$W=AG1))</f>
        <v>Evoenergy</v>
      </c>
      <c r="AH2" s="573" t="str" cm="1">
        <f t="array" ref="AH2">_xlfn.UNIQUE(_xlfn._xlws.FILTER($Y:$Y,$W:$W=AH1))</f>
        <v>TasNetworks</v>
      </c>
      <c r="AI2" s="573" t="str" cm="1">
        <f t="array" ref="AI2">_xlfn.UNIQUE(_xlfn._xlws.FILTER($Y:$Y,$W:$W=AI1))</f>
        <v>Power and Water Corporation</v>
      </c>
      <c r="AJ2" s="573" t="str" cm="1">
        <f t="array" ref="AJ2">_xlfn.UNIQUE(_xlfn._xlws.FILTER($Y:$Y,$W:$W=AJ1))</f>
        <v>Transpower</v>
      </c>
    </row>
    <row r="3" spans="1:36">
      <c r="A3" s="580">
        <v>4005</v>
      </c>
      <c r="B3" s="581" t="s">
        <v>127</v>
      </c>
      <c r="C3" s="580">
        <v>6003</v>
      </c>
      <c r="D3" s="581" t="s">
        <v>132</v>
      </c>
      <c r="E3" s="583">
        <v>5005</v>
      </c>
      <c r="F3" s="581" t="s">
        <v>119</v>
      </c>
      <c r="G3" s="580">
        <v>2006</v>
      </c>
      <c r="H3" s="581" t="s">
        <v>109</v>
      </c>
      <c r="I3" s="580">
        <v>3002</v>
      </c>
      <c r="J3" s="581" t="s">
        <v>113</v>
      </c>
      <c r="K3" s="580">
        <v>2601</v>
      </c>
      <c r="L3" s="581" t="s">
        <v>124</v>
      </c>
      <c r="M3" s="580">
        <v>7004</v>
      </c>
      <c r="N3" s="581" t="s">
        <v>120</v>
      </c>
      <c r="O3" s="580">
        <v>801</v>
      </c>
      <c r="P3" s="581" t="s">
        <v>122</v>
      </c>
      <c r="T3" s="573" t="s">
        <v>624</v>
      </c>
      <c r="U3" s="573">
        <f>IFERROR(MATCH(U2,A2:A788,0), IFERROR(MATCH(U2,C2:C788,0), IFERROR(MATCH(U2,E2:E788,0), IFERROR(MATCH(U2,G2:G788,0), IFERROR(MATCH(U2,I2:I788,0), IFERROR(MATCH(U2,K2:K788,0), IFERROR(MATCH(U2,M2:M788,0), IFERROR(MATCH(U2,O2:O788,0), "Invalid Postcode"))))))))</f>
        <v>1</v>
      </c>
      <c r="W3" s="855" t="s">
        <v>248</v>
      </c>
      <c r="X3" s="1207" t="s">
        <v>625</v>
      </c>
      <c r="Y3" s="855" t="s">
        <v>109</v>
      </c>
      <c r="AB3" s="573" t="str">
        <v>Endeavour</v>
      </c>
      <c r="AC3" s="573" t="str">
        <v>Citi Power - Powercor</v>
      </c>
      <c r="AD3" s="573" t="str">
        <v>Ergon</v>
      </c>
      <c r="AE3" s="573"/>
      <c r="AF3" s="573" t="str">
        <v>Horizon Power</v>
      </c>
      <c r="AG3" s="573"/>
      <c r="AH3" s="573"/>
      <c r="AI3" s="573"/>
      <c r="AJ3" s="573"/>
    </row>
    <row r="4" spans="1:36">
      <c r="A4" s="580">
        <v>4006</v>
      </c>
      <c r="B4" s="581" t="s">
        <v>127</v>
      </c>
      <c r="C4" s="580">
        <v>6004</v>
      </c>
      <c r="D4" s="581" t="s">
        <v>132</v>
      </c>
      <c r="E4" s="583">
        <v>5006</v>
      </c>
      <c r="F4" s="581" t="s">
        <v>119</v>
      </c>
      <c r="G4" s="580">
        <v>2007</v>
      </c>
      <c r="H4" s="581" t="s">
        <v>109</v>
      </c>
      <c r="I4" s="580">
        <v>3003</v>
      </c>
      <c r="J4" s="581" t="s">
        <v>113</v>
      </c>
      <c r="K4" s="580">
        <v>2602</v>
      </c>
      <c r="L4" s="581" t="s">
        <v>124</v>
      </c>
      <c r="M4" s="580">
        <v>7005</v>
      </c>
      <c r="N4" s="581" t="s">
        <v>120</v>
      </c>
      <c r="O4" s="580">
        <v>803</v>
      </c>
      <c r="P4" s="581" t="s">
        <v>122</v>
      </c>
      <c r="T4" s="573" t="s">
        <v>626</v>
      </c>
      <c r="U4" s="573">
        <f>MATCH(U2,INDEX(A2:A788,U3):INDEX(O2:O788,U3),0)</f>
        <v>7</v>
      </c>
      <c r="W4" s="855" t="s">
        <v>616</v>
      </c>
      <c r="X4" s="856" t="s">
        <v>627</v>
      </c>
      <c r="Y4" s="1208" t="s">
        <v>628</v>
      </c>
      <c r="AB4" s="573" t="str">
        <v>Essential Energy</v>
      </c>
      <c r="AC4" s="573" t="str">
        <v>Jemena</v>
      </c>
      <c r="AD4" s="573"/>
      <c r="AE4" s="573"/>
      <c r="AF4" s="573"/>
      <c r="AG4" s="573"/>
      <c r="AH4" s="573"/>
      <c r="AI4" s="573"/>
      <c r="AJ4" s="573"/>
    </row>
    <row r="5" spans="1:36">
      <c r="A5" s="580">
        <v>4007</v>
      </c>
      <c r="B5" s="581" t="s">
        <v>127</v>
      </c>
      <c r="C5" s="580">
        <v>6005</v>
      </c>
      <c r="D5" s="581" t="s">
        <v>132</v>
      </c>
      <c r="E5" s="583">
        <v>5007</v>
      </c>
      <c r="F5" s="581" t="s">
        <v>119</v>
      </c>
      <c r="G5" s="580">
        <v>2008</v>
      </c>
      <c r="H5" s="581" t="s">
        <v>109</v>
      </c>
      <c r="I5" s="580">
        <v>3004</v>
      </c>
      <c r="J5" s="581" t="s">
        <v>113</v>
      </c>
      <c r="K5" s="580">
        <v>2603</v>
      </c>
      <c r="L5" s="581" t="s">
        <v>124</v>
      </c>
      <c r="M5" s="580">
        <v>7007</v>
      </c>
      <c r="N5" s="581" t="s">
        <v>120</v>
      </c>
      <c r="O5" s="580">
        <v>804</v>
      </c>
      <c r="P5" s="581" t="s">
        <v>122</v>
      </c>
      <c r="T5" s="573" t="s">
        <v>101</v>
      </c>
      <c r="U5" s="857" t="str" cm="1">
        <f t="array" ref="U5">IFERROR(INDEX(A2:P788,U3,U4+1),"No Postcode Match")</f>
        <v>Ausgrid</v>
      </c>
      <c r="W5" s="855" t="s">
        <v>616</v>
      </c>
      <c r="X5" s="1207" t="s">
        <v>629</v>
      </c>
      <c r="Y5" s="1208" t="s">
        <v>628</v>
      </c>
      <c r="AB5" s="573"/>
      <c r="AC5" s="573" t="str">
        <v>United Energy</v>
      </c>
      <c r="AD5" s="573"/>
      <c r="AE5" s="573"/>
      <c r="AF5" s="573"/>
      <c r="AG5" s="573"/>
      <c r="AH5" s="573"/>
      <c r="AI5" s="573"/>
      <c r="AJ5" s="573"/>
    </row>
    <row r="6" spans="1:36">
      <c r="A6" s="580">
        <v>4008</v>
      </c>
      <c r="B6" s="581" t="s">
        <v>127</v>
      </c>
      <c r="C6" s="580">
        <v>6006</v>
      </c>
      <c r="D6" s="581" t="s">
        <v>132</v>
      </c>
      <c r="E6" s="583">
        <v>5008</v>
      </c>
      <c r="F6" s="581" t="s">
        <v>119</v>
      </c>
      <c r="G6" s="580">
        <v>2009</v>
      </c>
      <c r="H6" s="581" t="s">
        <v>109</v>
      </c>
      <c r="I6" s="580">
        <v>3006</v>
      </c>
      <c r="J6" s="581" t="s">
        <v>113</v>
      </c>
      <c r="K6" s="580">
        <v>2604</v>
      </c>
      <c r="L6" s="581" t="s">
        <v>124</v>
      </c>
      <c r="M6" s="580">
        <v>7008</v>
      </c>
      <c r="N6" s="581" t="s">
        <v>120</v>
      </c>
      <c r="O6" s="580">
        <v>810</v>
      </c>
      <c r="P6" s="581" t="s">
        <v>122</v>
      </c>
      <c r="W6" s="855" t="s">
        <v>616</v>
      </c>
      <c r="X6" s="856" t="s">
        <v>630</v>
      </c>
      <c r="Y6" s="1208" t="s">
        <v>113</v>
      </c>
    </row>
    <row r="7" spans="1:36">
      <c r="A7" s="580">
        <v>4009</v>
      </c>
      <c r="B7" s="581" t="s">
        <v>127</v>
      </c>
      <c r="C7" s="580">
        <v>6007</v>
      </c>
      <c r="D7" s="581" t="s">
        <v>132</v>
      </c>
      <c r="E7" s="583">
        <v>5009</v>
      </c>
      <c r="F7" s="581" t="s">
        <v>119</v>
      </c>
      <c r="G7" s="580">
        <v>2010</v>
      </c>
      <c r="H7" s="581" t="s">
        <v>109</v>
      </c>
      <c r="I7" s="580">
        <v>3008</v>
      </c>
      <c r="J7" s="581" t="s">
        <v>113</v>
      </c>
      <c r="K7" s="580">
        <v>2605</v>
      </c>
      <c r="L7" s="581" t="s">
        <v>124</v>
      </c>
      <c r="M7" s="580">
        <v>7009</v>
      </c>
      <c r="N7" s="581" t="s">
        <v>120</v>
      </c>
      <c r="O7" s="580">
        <v>811</v>
      </c>
      <c r="P7" s="581" t="s">
        <v>122</v>
      </c>
      <c r="T7" s="1395" t="s">
        <v>631</v>
      </c>
      <c r="U7" s="1395"/>
      <c r="W7" s="855" t="s">
        <v>616</v>
      </c>
      <c r="X7" s="1207" t="s">
        <v>632</v>
      </c>
      <c r="Y7" s="855" t="s">
        <v>113</v>
      </c>
    </row>
    <row r="8" spans="1:36">
      <c r="A8" s="580">
        <v>4010</v>
      </c>
      <c r="B8" s="581" t="s">
        <v>127</v>
      </c>
      <c r="C8" s="580">
        <v>6008</v>
      </c>
      <c r="D8" s="581" t="s">
        <v>132</v>
      </c>
      <c r="E8" s="583">
        <v>5010</v>
      </c>
      <c r="F8" s="581" t="s">
        <v>119</v>
      </c>
      <c r="G8" s="580">
        <v>2011</v>
      </c>
      <c r="H8" s="581" t="s">
        <v>109</v>
      </c>
      <c r="I8" s="580">
        <v>3011</v>
      </c>
      <c r="J8" s="581" t="s">
        <v>113</v>
      </c>
      <c r="K8" s="580">
        <v>2606</v>
      </c>
      <c r="L8" s="581" t="s">
        <v>124</v>
      </c>
      <c r="M8" s="580">
        <v>7010</v>
      </c>
      <c r="N8" s="581" t="s">
        <v>120</v>
      </c>
      <c r="O8" s="580">
        <v>812</v>
      </c>
      <c r="P8" s="581" t="s">
        <v>122</v>
      </c>
      <c r="T8" s="855" t="s">
        <v>242</v>
      </c>
      <c r="U8" s="858">
        <f>SOLAR!D17</f>
        <v>0</v>
      </c>
      <c r="W8" s="855" t="s">
        <v>248</v>
      </c>
      <c r="X8" s="856" t="s">
        <v>633</v>
      </c>
      <c r="Y8" s="855" t="s">
        <v>104</v>
      </c>
      <c r="AB8" s="737" t="s">
        <v>634</v>
      </c>
      <c r="AC8" s="737" t="str">
        <f>SOLAR!F18</f>
        <v>NSW</v>
      </c>
    </row>
    <row r="9" spans="1:36">
      <c r="A9" s="580">
        <v>4011</v>
      </c>
      <c r="B9" s="581" t="s">
        <v>127</v>
      </c>
      <c r="C9" s="580">
        <v>6009</v>
      </c>
      <c r="D9" s="581" t="s">
        <v>132</v>
      </c>
      <c r="E9" s="583">
        <v>5011</v>
      </c>
      <c r="F9" s="581" t="s">
        <v>119</v>
      </c>
      <c r="G9" s="580">
        <v>2015</v>
      </c>
      <c r="H9" s="581" t="s">
        <v>109</v>
      </c>
      <c r="I9" s="580">
        <v>3012</v>
      </c>
      <c r="J9" s="581" t="s">
        <v>113</v>
      </c>
      <c r="K9" s="580">
        <v>2607</v>
      </c>
      <c r="L9" s="581" t="s">
        <v>124</v>
      </c>
      <c r="M9" s="580">
        <v>7011</v>
      </c>
      <c r="N9" s="581" t="s">
        <v>120</v>
      </c>
      <c r="O9" s="580">
        <v>820</v>
      </c>
      <c r="P9" s="581" t="s">
        <v>122</v>
      </c>
      <c r="T9" s="573" t="s">
        <v>635</v>
      </c>
      <c r="U9" s="573" t="str">
        <f>IF(SOLAR!F18&lt;&gt;"WA",LEFT(U8,2),LEFT(U8,4))</f>
        <v>0</v>
      </c>
      <c r="W9" s="855" t="s">
        <v>248</v>
      </c>
      <c r="X9" s="1207" t="s">
        <v>636</v>
      </c>
      <c r="Y9" s="855" t="s">
        <v>104</v>
      </c>
      <c r="AB9" s="1396" t="s">
        <v>637</v>
      </c>
      <c r="AC9" s="573" t="str" cm="1">
        <f t="array" ref="AC9:AC11">_xlfn.TOCOL(_xlfn._xlws.FILTER(AB2:AJ5,AB1:AJ1=AC8,""),1)</f>
        <v>Ausgrid</v>
      </c>
    </row>
    <row r="10" spans="1:36">
      <c r="A10" s="580">
        <v>4012</v>
      </c>
      <c r="B10" s="581" t="s">
        <v>127</v>
      </c>
      <c r="C10" s="580">
        <v>6010</v>
      </c>
      <c r="D10" s="581" t="s">
        <v>132</v>
      </c>
      <c r="E10" s="583">
        <v>5012</v>
      </c>
      <c r="F10" s="581" t="s">
        <v>119</v>
      </c>
      <c r="G10" s="580">
        <v>2016</v>
      </c>
      <c r="H10" s="581" t="s">
        <v>109</v>
      </c>
      <c r="I10" s="580">
        <v>3013</v>
      </c>
      <c r="J10" s="581" t="s">
        <v>113</v>
      </c>
      <c r="K10" s="580">
        <v>2609</v>
      </c>
      <c r="L10" s="581" t="s">
        <v>124</v>
      </c>
      <c r="M10" s="580">
        <v>7012</v>
      </c>
      <c r="N10" s="581" t="s">
        <v>120</v>
      </c>
      <c r="O10" s="580">
        <v>822</v>
      </c>
      <c r="P10" s="581" t="s">
        <v>122</v>
      </c>
      <c r="T10" s="573" t="s">
        <v>50</v>
      </c>
      <c r="U10" s="857" t="str">
        <f>IF(ISBLANK(SOLAR!D17),"No NMI Input",INDEX(Y2:Y43,MATCH(U9,X2:X43,0)))</f>
        <v>No NMI Input</v>
      </c>
      <c r="W10" s="855" t="s">
        <v>614</v>
      </c>
      <c r="X10" s="856" t="s">
        <v>638</v>
      </c>
      <c r="Y10" s="855" t="s">
        <v>127</v>
      </c>
      <c r="AB10" s="1396"/>
      <c r="AC10" s="573" t="str">
        <v>Endeavour</v>
      </c>
    </row>
    <row r="11" spans="1:36">
      <c r="A11" s="580">
        <v>4013</v>
      </c>
      <c r="B11" s="581" t="s">
        <v>127</v>
      </c>
      <c r="C11" s="580">
        <v>6011</v>
      </c>
      <c r="D11" s="581" t="s">
        <v>132</v>
      </c>
      <c r="E11" s="583">
        <v>5013</v>
      </c>
      <c r="F11" s="581" t="s">
        <v>119</v>
      </c>
      <c r="G11" s="580">
        <v>2017</v>
      </c>
      <c r="H11" s="581" t="s">
        <v>109</v>
      </c>
      <c r="I11" s="580">
        <v>3015</v>
      </c>
      <c r="J11" s="581" t="s">
        <v>113</v>
      </c>
      <c r="K11" s="580">
        <v>2611</v>
      </c>
      <c r="L11" s="581" t="s">
        <v>124</v>
      </c>
      <c r="M11" s="580">
        <v>7015</v>
      </c>
      <c r="N11" s="581" t="s">
        <v>120</v>
      </c>
      <c r="O11" s="580">
        <v>828</v>
      </c>
      <c r="P11" s="581" t="s">
        <v>122</v>
      </c>
      <c r="W11" s="855" t="s">
        <v>614</v>
      </c>
      <c r="X11" s="1207" t="s">
        <v>639</v>
      </c>
      <c r="Y11" s="855" t="s">
        <v>127</v>
      </c>
      <c r="AB11" s="1396"/>
      <c r="AC11" s="573" t="str">
        <v>Essential Energy</v>
      </c>
    </row>
    <row r="12" spans="1:36">
      <c r="A12" s="580">
        <v>4014</v>
      </c>
      <c r="B12" s="581" t="s">
        <v>127</v>
      </c>
      <c r="C12" s="580">
        <v>6012</v>
      </c>
      <c r="D12" s="581" t="s">
        <v>132</v>
      </c>
      <c r="E12" s="583">
        <v>5014</v>
      </c>
      <c r="F12" s="581" t="s">
        <v>119</v>
      </c>
      <c r="G12" s="580">
        <v>2018</v>
      </c>
      <c r="H12" s="581" t="s">
        <v>109</v>
      </c>
      <c r="I12" s="580">
        <v>3016</v>
      </c>
      <c r="J12" s="581" t="s">
        <v>113</v>
      </c>
      <c r="K12" s="580">
        <v>2612</v>
      </c>
      <c r="L12" s="581" t="s">
        <v>124</v>
      </c>
      <c r="M12" s="580">
        <v>7016</v>
      </c>
      <c r="N12" s="581" t="s">
        <v>120</v>
      </c>
      <c r="O12" s="580">
        <v>829</v>
      </c>
      <c r="P12" s="581" t="s">
        <v>122</v>
      </c>
      <c r="T12" s="737" t="s">
        <v>640</v>
      </c>
      <c r="W12" s="855" t="s">
        <v>614</v>
      </c>
      <c r="X12" s="856" t="s">
        <v>641</v>
      </c>
      <c r="Y12" s="855" t="s">
        <v>126</v>
      </c>
      <c r="AB12" s="1396"/>
      <c r="AC12" s="573"/>
    </row>
    <row r="13" spans="1:36">
      <c r="A13" s="580">
        <v>4017</v>
      </c>
      <c r="B13" s="581" t="s">
        <v>127</v>
      </c>
      <c r="C13" s="580">
        <v>6014</v>
      </c>
      <c r="D13" s="581" t="s">
        <v>132</v>
      </c>
      <c r="E13" s="583">
        <v>5015</v>
      </c>
      <c r="F13" s="581" t="s">
        <v>119</v>
      </c>
      <c r="G13" s="580">
        <v>2019</v>
      </c>
      <c r="H13" s="581" t="s">
        <v>109</v>
      </c>
      <c r="I13" s="580">
        <v>3018</v>
      </c>
      <c r="J13" s="581" t="s">
        <v>113</v>
      </c>
      <c r="K13" s="580">
        <v>2614</v>
      </c>
      <c r="L13" s="581" t="s">
        <v>124</v>
      </c>
      <c r="M13" s="580">
        <v>7017</v>
      </c>
      <c r="N13" s="581" t="s">
        <v>120</v>
      </c>
      <c r="O13" s="580">
        <v>830</v>
      </c>
      <c r="P13" s="581" t="s">
        <v>122</v>
      </c>
      <c r="T13" s="573" t="str">
        <f>IF(ISBLANK(SOLAR!D17),U5,IFERROR(U10,U5))</f>
        <v>Ausgrid</v>
      </c>
      <c r="W13" s="855" t="s">
        <v>614</v>
      </c>
      <c r="X13" s="856" t="s">
        <v>642</v>
      </c>
      <c r="Y13" s="855" t="s">
        <v>126</v>
      </c>
    </row>
    <row r="14" spans="1:36">
      <c r="A14" s="580">
        <v>4018</v>
      </c>
      <c r="B14" s="581" t="s">
        <v>127</v>
      </c>
      <c r="C14" s="580">
        <v>6015</v>
      </c>
      <c r="D14" s="581" t="s">
        <v>132</v>
      </c>
      <c r="E14" s="583">
        <v>5016</v>
      </c>
      <c r="F14" s="581" t="s">
        <v>119</v>
      </c>
      <c r="G14" s="580">
        <v>2020</v>
      </c>
      <c r="H14" s="581" t="s">
        <v>109</v>
      </c>
      <c r="I14" s="580">
        <v>3019</v>
      </c>
      <c r="J14" s="581" t="s">
        <v>113</v>
      </c>
      <c r="K14" s="580">
        <v>2615</v>
      </c>
      <c r="L14" s="581" t="s">
        <v>124</v>
      </c>
      <c r="M14" s="580">
        <v>7018</v>
      </c>
      <c r="N14" s="581" t="s">
        <v>120</v>
      </c>
      <c r="O14" s="580">
        <v>831</v>
      </c>
      <c r="P14" s="581" t="s">
        <v>122</v>
      </c>
      <c r="W14" s="855" t="s">
        <v>614</v>
      </c>
      <c r="X14" s="856" t="s">
        <v>643</v>
      </c>
      <c r="Y14" s="855" t="s">
        <v>126</v>
      </c>
    </row>
    <row r="15" spans="1:36">
      <c r="A15" s="580">
        <v>4019</v>
      </c>
      <c r="B15" s="581" t="s">
        <v>127</v>
      </c>
      <c r="C15" s="580">
        <v>6016</v>
      </c>
      <c r="D15" s="581" t="s">
        <v>132</v>
      </c>
      <c r="E15" s="583">
        <v>5017</v>
      </c>
      <c r="F15" s="581" t="s">
        <v>119</v>
      </c>
      <c r="G15" s="580">
        <v>2021</v>
      </c>
      <c r="H15" s="581" t="s">
        <v>109</v>
      </c>
      <c r="I15" s="580">
        <v>3020</v>
      </c>
      <c r="J15" s="581" t="s">
        <v>113</v>
      </c>
      <c r="K15" s="580">
        <v>2617</v>
      </c>
      <c r="L15" s="581" t="s">
        <v>124</v>
      </c>
      <c r="M15" s="580">
        <v>7019</v>
      </c>
      <c r="N15" s="581" t="s">
        <v>120</v>
      </c>
      <c r="O15" s="580">
        <v>832</v>
      </c>
      <c r="P15" s="581" t="s">
        <v>122</v>
      </c>
      <c r="W15" s="855" t="s">
        <v>614</v>
      </c>
      <c r="X15" s="856" t="s">
        <v>644</v>
      </c>
      <c r="Y15" s="855" t="s">
        <v>126</v>
      </c>
    </row>
    <row r="16" spans="1:36">
      <c r="A16" s="580">
        <v>4020</v>
      </c>
      <c r="B16" s="581" t="s">
        <v>127</v>
      </c>
      <c r="C16" s="580">
        <v>6017</v>
      </c>
      <c r="D16" s="581" t="s">
        <v>132</v>
      </c>
      <c r="E16" s="583">
        <v>5018</v>
      </c>
      <c r="F16" s="581" t="s">
        <v>119</v>
      </c>
      <c r="G16" s="580">
        <v>2022</v>
      </c>
      <c r="H16" s="581" t="s">
        <v>109</v>
      </c>
      <c r="I16" s="580">
        <v>3021</v>
      </c>
      <c r="J16" s="581" t="s">
        <v>113</v>
      </c>
      <c r="K16" s="580">
        <v>2900</v>
      </c>
      <c r="L16" s="581" t="s">
        <v>124</v>
      </c>
      <c r="M16" s="580">
        <v>7020</v>
      </c>
      <c r="N16" s="581" t="s">
        <v>120</v>
      </c>
      <c r="O16" s="580">
        <v>834</v>
      </c>
      <c r="P16" s="581" t="s">
        <v>122</v>
      </c>
      <c r="W16" s="855" t="s">
        <v>614</v>
      </c>
      <c r="X16" s="856" t="s">
        <v>645</v>
      </c>
      <c r="Y16" s="855" t="s">
        <v>126</v>
      </c>
    </row>
    <row r="17" spans="1:25">
      <c r="A17" s="580">
        <v>4021</v>
      </c>
      <c r="B17" s="581" t="s">
        <v>127</v>
      </c>
      <c r="C17" s="580">
        <v>6018</v>
      </c>
      <c r="D17" s="581" t="s">
        <v>132</v>
      </c>
      <c r="E17" s="583">
        <v>5019</v>
      </c>
      <c r="F17" s="581" t="s">
        <v>119</v>
      </c>
      <c r="G17" s="580">
        <v>2023</v>
      </c>
      <c r="H17" s="581" t="s">
        <v>109</v>
      </c>
      <c r="I17" s="580">
        <v>3022</v>
      </c>
      <c r="J17" s="581" t="s">
        <v>113</v>
      </c>
      <c r="K17" s="580">
        <v>2901</v>
      </c>
      <c r="L17" s="581" t="s">
        <v>124</v>
      </c>
      <c r="M17" s="580">
        <v>7021</v>
      </c>
      <c r="N17" s="581" t="s">
        <v>120</v>
      </c>
      <c r="O17" s="580">
        <v>835</v>
      </c>
      <c r="P17" s="581" t="s">
        <v>122</v>
      </c>
      <c r="W17" s="855" t="s">
        <v>614</v>
      </c>
      <c r="X17" s="856" t="s">
        <v>646</v>
      </c>
      <c r="Y17" s="855" t="s">
        <v>126</v>
      </c>
    </row>
    <row r="18" spans="1:25">
      <c r="A18" s="580">
        <v>4022</v>
      </c>
      <c r="B18" s="581" t="s">
        <v>127</v>
      </c>
      <c r="C18" s="580">
        <v>6019</v>
      </c>
      <c r="D18" s="581" t="s">
        <v>132</v>
      </c>
      <c r="E18" s="583">
        <v>5020</v>
      </c>
      <c r="F18" s="581" t="s">
        <v>119</v>
      </c>
      <c r="G18" s="580">
        <v>2024</v>
      </c>
      <c r="H18" s="581" t="s">
        <v>109</v>
      </c>
      <c r="I18" s="580">
        <v>3023</v>
      </c>
      <c r="J18" s="581" t="s">
        <v>113</v>
      </c>
      <c r="K18" s="580">
        <v>2902</v>
      </c>
      <c r="L18" s="581" t="s">
        <v>124</v>
      </c>
      <c r="M18" s="580">
        <v>7022</v>
      </c>
      <c r="N18" s="581" t="s">
        <v>120</v>
      </c>
      <c r="O18" s="580">
        <v>836</v>
      </c>
      <c r="P18" s="581" t="s">
        <v>122</v>
      </c>
      <c r="W18" s="855" t="s">
        <v>614</v>
      </c>
      <c r="X18" s="1207" t="s">
        <v>647</v>
      </c>
      <c r="Y18" s="855" t="s">
        <v>126</v>
      </c>
    </row>
    <row r="19" spans="1:25">
      <c r="A19" s="580">
        <v>4025</v>
      </c>
      <c r="B19" s="581" t="s">
        <v>127</v>
      </c>
      <c r="C19" s="580">
        <v>6020</v>
      </c>
      <c r="D19" s="581" t="s">
        <v>132</v>
      </c>
      <c r="E19" s="583">
        <v>5021</v>
      </c>
      <c r="F19" s="581" t="s">
        <v>119</v>
      </c>
      <c r="G19" s="580">
        <v>2025</v>
      </c>
      <c r="H19" s="581" t="s">
        <v>109</v>
      </c>
      <c r="I19" s="580">
        <v>3024</v>
      </c>
      <c r="J19" s="581" t="s">
        <v>113</v>
      </c>
      <c r="K19" s="580">
        <v>2903</v>
      </c>
      <c r="L19" s="581" t="s">
        <v>124</v>
      </c>
      <c r="M19" s="580">
        <v>7023</v>
      </c>
      <c r="N19" s="581" t="s">
        <v>120</v>
      </c>
      <c r="O19" s="580">
        <v>837</v>
      </c>
      <c r="P19" s="581" t="s">
        <v>122</v>
      </c>
      <c r="W19" s="855" t="s">
        <v>248</v>
      </c>
      <c r="X19" s="856" t="s">
        <v>648</v>
      </c>
      <c r="Y19" s="1208" t="s">
        <v>106</v>
      </c>
    </row>
    <row r="20" spans="1:25">
      <c r="A20" s="580">
        <v>4029</v>
      </c>
      <c r="B20" s="581" t="s">
        <v>127</v>
      </c>
      <c r="C20" s="580">
        <v>6021</v>
      </c>
      <c r="D20" s="581" t="s">
        <v>132</v>
      </c>
      <c r="E20" s="583">
        <v>5022</v>
      </c>
      <c r="F20" s="581" t="s">
        <v>119</v>
      </c>
      <c r="G20" s="580">
        <v>2026</v>
      </c>
      <c r="H20" s="581" t="s">
        <v>109</v>
      </c>
      <c r="I20" s="580">
        <v>3025</v>
      </c>
      <c r="J20" s="581" t="s">
        <v>113</v>
      </c>
      <c r="K20" s="580">
        <v>2904</v>
      </c>
      <c r="L20" s="581" t="s">
        <v>124</v>
      </c>
      <c r="M20" s="580">
        <v>7024</v>
      </c>
      <c r="N20" s="581" t="s">
        <v>120</v>
      </c>
      <c r="O20" s="580">
        <v>838</v>
      </c>
      <c r="P20" s="581" t="s">
        <v>122</v>
      </c>
      <c r="W20" s="855" t="s">
        <v>248</v>
      </c>
      <c r="X20" s="856" t="s">
        <v>649</v>
      </c>
      <c r="Y20" s="1208" t="s">
        <v>106</v>
      </c>
    </row>
    <row r="21" spans="1:25">
      <c r="A21" s="580">
        <v>4030</v>
      </c>
      <c r="B21" s="581" t="s">
        <v>127</v>
      </c>
      <c r="C21" s="580">
        <v>6022</v>
      </c>
      <c r="D21" s="581" t="s">
        <v>132</v>
      </c>
      <c r="E21" s="583">
        <v>5023</v>
      </c>
      <c r="F21" s="581" t="s">
        <v>119</v>
      </c>
      <c r="G21" s="580">
        <v>2027</v>
      </c>
      <c r="H21" s="581" t="s">
        <v>109</v>
      </c>
      <c r="I21" s="580">
        <v>3026</v>
      </c>
      <c r="J21" s="581" t="s">
        <v>113</v>
      </c>
      <c r="K21" s="580">
        <v>2905</v>
      </c>
      <c r="L21" s="581" t="s">
        <v>124</v>
      </c>
      <c r="M21" s="580">
        <v>7025</v>
      </c>
      <c r="N21" s="581" t="s">
        <v>120</v>
      </c>
      <c r="O21" s="580">
        <v>839</v>
      </c>
      <c r="P21" s="581" t="s">
        <v>122</v>
      </c>
      <c r="W21" s="855" t="s">
        <v>248</v>
      </c>
      <c r="X21" s="856" t="s">
        <v>650</v>
      </c>
      <c r="Y21" s="1208" t="s">
        <v>106</v>
      </c>
    </row>
    <row r="22" spans="1:25">
      <c r="A22" s="580">
        <v>4031</v>
      </c>
      <c r="B22" s="581" t="s">
        <v>127</v>
      </c>
      <c r="C22" s="580">
        <v>6023</v>
      </c>
      <c r="D22" s="581" t="s">
        <v>132</v>
      </c>
      <c r="E22" s="583">
        <v>5024</v>
      </c>
      <c r="F22" s="581" t="s">
        <v>119</v>
      </c>
      <c r="G22" s="580">
        <v>2028</v>
      </c>
      <c r="H22" s="581" t="s">
        <v>109</v>
      </c>
      <c r="I22" s="580">
        <v>3027</v>
      </c>
      <c r="J22" s="581" t="s">
        <v>113</v>
      </c>
      <c r="K22" s="580">
        <v>2906</v>
      </c>
      <c r="L22" s="581" t="s">
        <v>124</v>
      </c>
      <c r="M22" s="580">
        <v>7026</v>
      </c>
      <c r="N22" s="581" t="s">
        <v>120</v>
      </c>
      <c r="O22" s="580">
        <v>850</v>
      </c>
      <c r="P22" s="581" t="s">
        <v>122</v>
      </c>
      <c r="W22" s="855" t="s">
        <v>248</v>
      </c>
      <c r="X22" s="856" t="s">
        <v>651</v>
      </c>
      <c r="Y22" s="1208" t="s">
        <v>106</v>
      </c>
    </row>
    <row r="23" spans="1:25">
      <c r="A23" s="580">
        <v>4032</v>
      </c>
      <c r="B23" s="581" t="s">
        <v>127</v>
      </c>
      <c r="C23" s="580">
        <v>6024</v>
      </c>
      <c r="D23" s="581" t="s">
        <v>132</v>
      </c>
      <c r="E23" s="583">
        <v>5025</v>
      </c>
      <c r="F23" s="581" t="s">
        <v>119</v>
      </c>
      <c r="G23" s="580">
        <v>2029</v>
      </c>
      <c r="H23" s="581" t="s">
        <v>109</v>
      </c>
      <c r="I23" s="580">
        <v>3028</v>
      </c>
      <c r="J23" s="581" t="s">
        <v>113</v>
      </c>
      <c r="K23" s="580">
        <v>2911</v>
      </c>
      <c r="L23" s="581" t="s">
        <v>124</v>
      </c>
      <c r="M23" s="580">
        <v>7027</v>
      </c>
      <c r="N23" s="581" t="s">
        <v>120</v>
      </c>
      <c r="O23" s="580">
        <v>851</v>
      </c>
      <c r="P23" s="581" t="s">
        <v>122</v>
      </c>
      <c r="W23" s="855" t="s">
        <v>248</v>
      </c>
      <c r="X23" s="1207" t="s">
        <v>652</v>
      </c>
      <c r="Y23" s="1208" t="s">
        <v>106</v>
      </c>
    </row>
    <row r="24" spans="1:25">
      <c r="A24" s="580">
        <v>4034</v>
      </c>
      <c r="B24" s="581" t="s">
        <v>127</v>
      </c>
      <c r="C24" s="580">
        <v>6025</v>
      </c>
      <c r="D24" s="581" t="s">
        <v>132</v>
      </c>
      <c r="E24" s="583">
        <v>5031</v>
      </c>
      <c r="F24" s="581" t="s">
        <v>119</v>
      </c>
      <c r="G24" s="580">
        <v>2030</v>
      </c>
      <c r="H24" s="581" t="s">
        <v>109</v>
      </c>
      <c r="I24" s="580">
        <v>3029</v>
      </c>
      <c r="J24" s="581" t="s">
        <v>113</v>
      </c>
      <c r="K24" s="580">
        <v>2912</v>
      </c>
      <c r="L24" s="581" t="s">
        <v>124</v>
      </c>
      <c r="M24" s="580">
        <v>7030</v>
      </c>
      <c r="N24" s="581" t="s">
        <v>120</v>
      </c>
      <c r="O24" s="580">
        <v>852</v>
      </c>
      <c r="P24" s="581" t="s">
        <v>122</v>
      </c>
      <c r="W24" s="855" t="s">
        <v>248</v>
      </c>
      <c r="X24" s="1207" t="s">
        <v>653</v>
      </c>
      <c r="Y24" s="1208" t="s">
        <v>106</v>
      </c>
    </row>
    <row r="25" spans="1:25">
      <c r="A25" s="580">
        <v>4035</v>
      </c>
      <c r="B25" s="581" t="s">
        <v>127</v>
      </c>
      <c r="C25" s="580">
        <v>6026</v>
      </c>
      <c r="D25" s="581" t="s">
        <v>132</v>
      </c>
      <c r="E25" s="583">
        <v>5032</v>
      </c>
      <c r="F25" s="581" t="s">
        <v>119</v>
      </c>
      <c r="G25" s="580">
        <v>2031</v>
      </c>
      <c r="H25" s="581" t="s">
        <v>109</v>
      </c>
      <c r="I25" s="580">
        <v>3030</v>
      </c>
      <c r="J25" s="581" t="s">
        <v>113</v>
      </c>
      <c r="K25" s="580">
        <v>2913</v>
      </c>
      <c r="L25" s="581" t="s">
        <v>124</v>
      </c>
      <c r="M25" s="580">
        <v>7050</v>
      </c>
      <c r="N25" s="581" t="s">
        <v>120</v>
      </c>
      <c r="O25" s="580">
        <v>853</v>
      </c>
      <c r="P25" s="581" t="s">
        <v>122</v>
      </c>
      <c r="W25" s="855" t="s">
        <v>248</v>
      </c>
      <c r="X25" s="1207" t="s">
        <v>654</v>
      </c>
      <c r="Y25" s="1208" t="s">
        <v>106</v>
      </c>
    </row>
    <row r="26" spans="1:25">
      <c r="A26" s="580">
        <v>4036</v>
      </c>
      <c r="B26" s="581" t="s">
        <v>127</v>
      </c>
      <c r="C26" s="580">
        <v>6027</v>
      </c>
      <c r="D26" s="581" t="s">
        <v>132</v>
      </c>
      <c r="E26" s="583">
        <v>5033</v>
      </c>
      <c r="F26" s="581" t="s">
        <v>119</v>
      </c>
      <c r="G26" s="580">
        <v>2032</v>
      </c>
      <c r="H26" s="581" t="s">
        <v>109</v>
      </c>
      <c r="I26" s="580">
        <v>3031</v>
      </c>
      <c r="J26" s="581" t="s">
        <v>113</v>
      </c>
      <c r="K26" s="580">
        <v>2914</v>
      </c>
      <c r="L26" s="581" t="s">
        <v>124</v>
      </c>
      <c r="M26" s="580">
        <v>7052</v>
      </c>
      <c r="N26" s="581" t="s">
        <v>120</v>
      </c>
      <c r="O26" s="580">
        <v>860</v>
      </c>
      <c r="P26" s="581" t="s">
        <v>122</v>
      </c>
      <c r="W26" s="855" t="s">
        <v>248</v>
      </c>
      <c r="X26" s="1207" t="s">
        <v>655</v>
      </c>
      <c r="Y26" s="1208" t="s">
        <v>106</v>
      </c>
    </row>
    <row r="27" spans="1:25">
      <c r="A27" s="580">
        <v>4037</v>
      </c>
      <c r="B27" s="581" t="s">
        <v>127</v>
      </c>
      <c r="C27" s="580">
        <v>6028</v>
      </c>
      <c r="D27" s="581" t="s">
        <v>132</v>
      </c>
      <c r="E27" s="583">
        <v>5034</v>
      </c>
      <c r="F27" s="581" t="s">
        <v>119</v>
      </c>
      <c r="G27" s="580">
        <v>2033</v>
      </c>
      <c r="H27" s="581" t="s">
        <v>109</v>
      </c>
      <c r="I27" s="580">
        <v>3032</v>
      </c>
      <c r="J27" s="581" t="s">
        <v>113</v>
      </c>
      <c r="K27" s="580">
        <v>2915</v>
      </c>
      <c r="L27" s="581" t="s">
        <v>124</v>
      </c>
      <c r="M27" s="580">
        <v>7053</v>
      </c>
      <c r="N27" s="581" t="s">
        <v>120</v>
      </c>
      <c r="O27" s="580">
        <v>861</v>
      </c>
      <c r="P27" s="581" t="s">
        <v>122</v>
      </c>
      <c r="W27" s="855" t="s">
        <v>617</v>
      </c>
      <c r="X27" s="856" t="s">
        <v>656</v>
      </c>
      <c r="Y27" s="855" t="s">
        <v>124</v>
      </c>
    </row>
    <row r="28" spans="1:25">
      <c r="A28" s="580">
        <v>4051</v>
      </c>
      <c r="B28" s="581" t="s">
        <v>127</v>
      </c>
      <c r="C28" s="580">
        <v>6029</v>
      </c>
      <c r="D28" s="581" t="s">
        <v>132</v>
      </c>
      <c r="E28" s="583">
        <v>5035</v>
      </c>
      <c r="F28" s="581" t="s">
        <v>119</v>
      </c>
      <c r="G28" s="580">
        <v>2034</v>
      </c>
      <c r="H28" s="581" t="s">
        <v>109</v>
      </c>
      <c r="I28" s="580">
        <v>3033</v>
      </c>
      <c r="J28" s="581" t="s">
        <v>113</v>
      </c>
      <c r="K28" s="580">
        <v>2916</v>
      </c>
      <c r="L28" s="581" t="s">
        <v>124</v>
      </c>
      <c r="M28" s="580">
        <v>7054</v>
      </c>
      <c r="N28" s="581" t="s">
        <v>120</v>
      </c>
      <c r="O28" s="580">
        <v>862</v>
      </c>
      <c r="P28" s="581" t="s">
        <v>122</v>
      </c>
      <c r="W28" s="855" t="s">
        <v>617</v>
      </c>
      <c r="X28" s="1207" t="s">
        <v>657</v>
      </c>
      <c r="Y28" s="855" t="s">
        <v>124</v>
      </c>
    </row>
    <row r="29" spans="1:25">
      <c r="A29" s="580">
        <v>4053</v>
      </c>
      <c r="B29" s="581" t="s">
        <v>127</v>
      </c>
      <c r="C29" s="580">
        <v>6030</v>
      </c>
      <c r="D29" s="581" t="s">
        <v>132</v>
      </c>
      <c r="E29" s="583">
        <v>5037</v>
      </c>
      <c r="F29" s="581" t="s">
        <v>119</v>
      </c>
      <c r="G29" s="580">
        <v>2035</v>
      </c>
      <c r="H29" s="581" t="s">
        <v>109</v>
      </c>
      <c r="I29" s="580">
        <v>3034</v>
      </c>
      <c r="J29" s="581" t="s">
        <v>113</v>
      </c>
      <c r="K29" s="580">
        <v>2917</v>
      </c>
      <c r="L29" s="581" t="s">
        <v>124</v>
      </c>
      <c r="M29" s="580">
        <v>7055</v>
      </c>
      <c r="N29" s="581" t="s">
        <v>120</v>
      </c>
      <c r="O29" s="580">
        <v>870</v>
      </c>
      <c r="P29" s="581" t="s">
        <v>122</v>
      </c>
      <c r="W29" s="855" t="s">
        <v>616</v>
      </c>
      <c r="X29" s="856" t="s">
        <v>658</v>
      </c>
      <c r="Y29" s="855" t="s">
        <v>115</v>
      </c>
    </row>
    <row r="30" spans="1:25">
      <c r="A30" s="580">
        <v>4054</v>
      </c>
      <c r="B30" s="581" t="s">
        <v>127</v>
      </c>
      <c r="C30" s="580">
        <v>6031</v>
      </c>
      <c r="D30" s="581" t="s">
        <v>132</v>
      </c>
      <c r="E30" s="583">
        <v>5038</v>
      </c>
      <c r="F30" s="581" t="s">
        <v>119</v>
      </c>
      <c r="G30" s="580">
        <v>2036</v>
      </c>
      <c r="H30" s="581" t="s">
        <v>109</v>
      </c>
      <c r="I30" s="580">
        <v>3036</v>
      </c>
      <c r="J30" s="581" t="s">
        <v>113</v>
      </c>
      <c r="K30" s="580">
        <v>2918</v>
      </c>
      <c r="L30" s="581" t="s">
        <v>124</v>
      </c>
      <c r="M30" s="580">
        <v>7109</v>
      </c>
      <c r="N30" s="581" t="s">
        <v>120</v>
      </c>
      <c r="O30" s="580">
        <v>871</v>
      </c>
      <c r="P30" s="581" t="s">
        <v>122</v>
      </c>
      <c r="W30" s="855" t="s">
        <v>616</v>
      </c>
      <c r="X30" s="1207" t="s">
        <v>659</v>
      </c>
      <c r="Y30" s="855" t="s">
        <v>115</v>
      </c>
    </row>
    <row r="31" spans="1:25">
      <c r="A31" s="580">
        <v>4055</v>
      </c>
      <c r="B31" s="581" t="s">
        <v>127</v>
      </c>
      <c r="C31" s="580">
        <v>6032</v>
      </c>
      <c r="D31" s="581" t="s">
        <v>132</v>
      </c>
      <c r="E31" s="583">
        <v>5039</v>
      </c>
      <c r="F31" s="581" t="s">
        <v>119</v>
      </c>
      <c r="G31" s="580">
        <v>2037</v>
      </c>
      <c r="H31" s="581" t="s">
        <v>109</v>
      </c>
      <c r="I31" s="580">
        <v>3037</v>
      </c>
      <c r="J31" s="581" t="s">
        <v>113</v>
      </c>
      <c r="K31" s="580">
        <v>2919</v>
      </c>
      <c r="L31" s="581" t="s">
        <v>124</v>
      </c>
      <c r="M31" s="580">
        <v>7112</v>
      </c>
      <c r="N31" s="581" t="s">
        <v>120</v>
      </c>
      <c r="O31" s="580">
        <v>872</v>
      </c>
      <c r="P31" s="581" t="s">
        <v>122</v>
      </c>
      <c r="W31" s="855" t="s">
        <v>616</v>
      </c>
      <c r="X31" s="856" t="s">
        <v>660</v>
      </c>
      <c r="Y31" s="1208" t="s">
        <v>113</v>
      </c>
    </row>
    <row r="32" spans="1:25">
      <c r="A32" s="580">
        <v>4059</v>
      </c>
      <c r="B32" s="581" t="s">
        <v>127</v>
      </c>
      <c r="C32" s="580">
        <v>6033</v>
      </c>
      <c r="D32" s="581" t="s">
        <v>132</v>
      </c>
      <c r="E32" s="583">
        <v>5040</v>
      </c>
      <c r="F32" s="581" t="s">
        <v>119</v>
      </c>
      <c r="G32" s="580">
        <v>2038</v>
      </c>
      <c r="H32" s="581" t="s">
        <v>109</v>
      </c>
      <c r="I32" s="580">
        <v>3038</v>
      </c>
      <c r="J32" s="581" t="s">
        <v>113</v>
      </c>
      <c r="K32" s="580">
        <v>2920</v>
      </c>
      <c r="L32" s="581" t="s">
        <v>124</v>
      </c>
      <c r="M32" s="580">
        <v>7113</v>
      </c>
      <c r="N32" s="581" t="s">
        <v>120</v>
      </c>
      <c r="O32" s="580">
        <v>873</v>
      </c>
      <c r="P32" s="581" t="s">
        <v>122</v>
      </c>
      <c r="W32" s="855" t="s">
        <v>616</v>
      </c>
      <c r="X32" s="1207" t="s">
        <v>661</v>
      </c>
      <c r="Y32" s="1208" t="s">
        <v>113</v>
      </c>
    </row>
    <row r="33" spans="1:25">
      <c r="A33" s="580">
        <v>4060</v>
      </c>
      <c r="B33" s="581" t="s">
        <v>127</v>
      </c>
      <c r="C33" s="580">
        <v>6034</v>
      </c>
      <c r="D33" s="581" t="s">
        <v>132</v>
      </c>
      <c r="E33" s="583">
        <v>5041</v>
      </c>
      <c r="F33" s="581" t="s">
        <v>119</v>
      </c>
      <c r="G33" s="580">
        <v>2039</v>
      </c>
      <c r="H33" s="581" t="s">
        <v>109</v>
      </c>
      <c r="I33" s="580">
        <v>3039</v>
      </c>
      <c r="J33" s="581" t="s">
        <v>113</v>
      </c>
      <c r="K33" s="578"/>
      <c r="L33" s="578"/>
      <c r="M33" s="580">
        <v>7116</v>
      </c>
      <c r="N33" s="581" t="s">
        <v>120</v>
      </c>
      <c r="O33" s="580">
        <v>880</v>
      </c>
      <c r="P33" s="581" t="s">
        <v>122</v>
      </c>
      <c r="W33" s="855" t="s">
        <v>615</v>
      </c>
      <c r="X33" s="856" t="s">
        <v>615</v>
      </c>
      <c r="Y33" s="1208" t="s">
        <v>119</v>
      </c>
    </row>
    <row r="34" spans="1:25">
      <c r="A34" s="580">
        <v>4061</v>
      </c>
      <c r="B34" s="581" t="s">
        <v>127</v>
      </c>
      <c r="C34" s="580">
        <v>6035</v>
      </c>
      <c r="D34" s="581" t="s">
        <v>132</v>
      </c>
      <c r="E34" s="583">
        <v>5042</v>
      </c>
      <c r="F34" s="581" t="s">
        <v>119</v>
      </c>
      <c r="G34" s="580">
        <v>2040</v>
      </c>
      <c r="H34" s="581" t="s">
        <v>109</v>
      </c>
      <c r="I34" s="580">
        <v>3040</v>
      </c>
      <c r="J34" s="581" t="s">
        <v>113</v>
      </c>
      <c r="K34" s="578"/>
      <c r="L34" s="578"/>
      <c r="M34" s="580">
        <v>7117</v>
      </c>
      <c r="N34" s="581" t="s">
        <v>120</v>
      </c>
      <c r="O34" s="580">
        <v>881</v>
      </c>
      <c r="P34" s="581" t="s">
        <v>122</v>
      </c>
      <c r="W34" s="855" t="s">
        <v>615</v>
      </c>
      <c r="X34" s="1207" t="s">
        <v>662</v>
      </c>
      <c r="Y34" s="1208" t="s">
        <v>119</v>
      </c>
    </row>
    <row r="35" spans="1:25">
      <c r="A35" s="580">
        <v>4064</v>
      </c>
      <c r="B35" s="581" t="s">
        <v>127</v>
      </c>
      <c r="C35" s="580">
        <v>6036</v>
      </c>
      <c r="D35" s="581" t="s">
        <v>132</v>
      </c>
      <c r="E35" s="583">
        <v>5043</v>
      </c>
      <c r="F35" s="581" t="s">
        <v>119</v>
      </c>
      <c r="G35" s="580">
        <v>2041</v>
      </c>
      <c r="H35" s="581" t="s">
        <v>109</v>
      </c>
      <c r="I35" s="580">
        <v>3041</v>
      </c>
      <c r="J35" s="581" t="s">
        <v>115</v>
      </c>
      <c r="K35" s="578"/>
      <c r="L35" s="578"/>
      <c r="M35" s="580">
        <v>7119</v>
      </c>
      <c r="N35" s="581" t="s">
        <v>120</v>
      </c>
      <c r="O35" s="580">
        <v>885</v>
      </c>
      <c r="P35" s="581" t="s">
        <v>122</v>
      </c>
      <c r="W35" s="855" t="s">
        <v>618</v>
      </c>
      <c r="X35" s="1207" t="s">
        <v>663</v>
      </c>
      <c r="Y35" s="855" t="s">
        <v>120</v>
      </c>
    </row>
    <row r="36" spans="1:25">
      <c r="A36" s="580">
        <v>4065</v>
      </c>
      <c r="B36" s="581" t="s">
        <v>127</v>
      </c>
      <c r="C36" s="580">
        <v>6037</v>
      </c>
      <c r="D36" s="581" t="s">
        <v>132</v>
      </c>
      <c r="E36" s="583">
        <v>5044</v>
      </c>
      <c r="F36" s="581" t="s">
        <v>119</v>
      </c>
      <c r="G36" s="580">
        <v>2042</v>
      </c>
      <c r="H36" s="581" t="s">
        <v>109</v>
      </c>
      <c r="I36" s="580">
        <v>3042</v>
      </c>
      <c r="J36" s="581" t="s">
        <v>113</v>
      </c>
      <c r="K36" s="578"/>
      <c r="L36" s="578"/>
      <c r="M36" s="580">
        <v>7120</v>
      </c>
      <c r="N36" s="581" t="s">
        <v>120</v>
      </c>
      <c r="O36" s="578"/>
      <c r="P36" s="578"/>
      <c r="W36" s="855" t="s">
        <v>616</v>
      </c>
      <c r="X36" s="856" t="s">
        <v>664</v>
      </c>
      <c r="Y36" s="855" t="s">
        <v>117</v>
      </c>
    </row>
    <row r="37" spans="1:25">
      <c r="A37" s="580">
        <v>4066</v>
      </c>
      <c r="B37" s="581" t="s">
        <v>127</v>
      </c>
      <c r="C37" s="580">
        <v>6038</v>
      </c>
      <c r="D37" s="581" t="s">
        <v>132</v>
      </c>
      <c r="E37" s="583">
        <v>5045</v>
      </c>
      <c r="F37" s="581" t="s">
        <v>119</v>
      </c>
      <c r="G37" s="580">
        <v>2043</v>
      </c>
      <c r="H37" s="581" t="s">
        <v>109</v>
      </c>
      <c r="I37" s="580">
        <v>3043</v>
      </c>
      <c r="J37" s="581" t="s">
        <v>115</v>
      </c>
      <c r="K37" s="578"/>
      <c r="L37" s="578"/>
      <c r="M37" s="580">
        <v>7139</v>
      </c>
      <c r="N37" s="581" t="s">
        <v>120</v>
      </c>
      <c r="O37" s="578"/>
      <c r="P37" s="578"/>
      <c r="W37" s="855" t="s">
        <v>616</v>
      </c>
      <c r="X37" s="1207" t="s">
        <v>665</v>
      </c>
      <c r="Y37" s="855" t="s">
        <v>117</v>
      </c>
    </row>
    <row r="38" spans="1:25">
      <c r="A38" s="580">
        <v>4067</v>
      </c>
      <c r="B38" s="581" t="s">
        <v>127</v>
      </c>
      <c r="C38" s="580">
        <v>6039</v>
      </c>
      <c r="D38" s="581" t="s">
        <v>132</v>
      </c>
      <c r="E38" s="583">
        <v>5046</v>
      </c>
      <c r="F38" s="581" t="s">
        <v>119</v>
      </c>
      <c r="G38" s="580">
        <v>2044</v>
      </c>
      <c r="H38" s="581" t="s">
        <v>109</v>
      </c>
      <c r="I38" s="580">
        <v>3044</v>
      </c>
      <c r="J38" s="581" t="s">
        <v>113</v>
      </c>
      <c r="K38" s="578"/>
      <c r="L38" s="578"/>
      <c r="M38" s="580">
        <v>7140</v>
      </c>
      <c r="N38" s="581" t="s">
        <v>120</v>
      </c>
      <c r="O38" s="578"/>
      <c r="P38" s="578"/>
      <c r="W38" s="855" t="s">
        <v>480</v>
      </c>
      <c r="X38" s="1207" t="s">
        <v>666</v>
      </c>
      <c r="Y38" s="855" t="s">
        <v>132</v>
      </c>
    </row>
    <row r="39" spans="1:25">
      <c r="A39" s="580">
        <v>4068</v>
      </c>
      <c r="B39" s="581" t="s">
        <v>127</v>
      </c>
      <c r="C39" s="580">
        <v>6041</v>
      </c>
      <c r="D39" s="581" t="s">
        <v>132</v>
      </c>
      <c r="E39" s="583">
        <v>5047</v>
      </c>
      <c r="F39" s="581" t="s">
        <v>119</v>
      </c>
      <c r="G39" s="580">
        <v>2045</v>
      </c>
      <c r="H39" s="581" t="s">
        <v>109</v>
      </c>
      <c r="I39" s="580">
        <v>3045</v>
      </c>
      <c r="J39" s="581" t="s">
        <v>115</v>
      </c>
      <c r="K39" s="578"/>
      <c r="L39" s="578"/>
      <c r="M39" s="580">
        <v>7150</v>
      </c>
      <c r="N39" s="581" t="s">
        <v>120</v>
      </c>
      <c r="O39" s="578"/>
      <c r="P39" s="578"/>
      <c r="W39" s="855" t="s">
        <v>480</v>
      </c>
      <c r="X39" s="1207" t="s">
        <v>667</v>
      </c>
      <c r="Y39" s="855" t="s">
        <v>132</v>
      </c>
    </row>
    <row r="40" spans="1:25">
      <c r="A40" s="580">
        <v>4069</v>
      </c>
      <c r="B40" s="581" t="s">
        <v>127</v>
      </c>
      <c r="C40" s="580">
        <v>6042</v>
      </c>
      <c r="D40" s="581" t="s">
        <v>132</v>
      </c>
      <c r="E40" s="583">
        <v>5048</v>
      </c>
      <c r="F40" s="581" t="s">
        <v>119</v>
      </c>
      <c r="G40" s="580">
        <v>2046</v>
      </c>
      <c r="H40" s="581" t="s">
        <v>109</v>
      </c>
      <c r="I40" s="580">
        <v>3046</v>
      </c>
      <c r="J40" s="581" t="s">
        <v>115</v>
      </c>
      <c r="K40" s="578"/>
      <c r="L40" s="578"/>
      <c r="M40" s="580">
        <v>7151</v>
      </c>
      <c r="N40" s="581" t="s">
        <v>120</v>
      </c>
      <c r="O40" s="578"/>
      <c r="P40" s="578"/>
      <c r="W40" s="855" t="s">
        <v>619</v>
      </c>
      <c r="X40" s="1207" t="s">
        <v>668</v>
      </c>
      <c r="Y40" s="855" t="s">
        <v>122</v>
      </c>
    </row>
    <row r="41" spans="1:25">
      <c r="A41" s="580">
        <v>4070</v>
      </c>
      <c r="B41" s="581" t="s">
        <v>127</v>
      </c>
      <c r="C41" s="580">
        <v>6043</v>
      </c>
      <c r="D41" s="581" t="s">
        <v>132</v>
      </c>
      <c r="E41" s="583">
        <v>5049</v>
      </c>
      <c r="F41" s="581" t="s">
        <v>119</v>
      </c>
      <c r="G41" s="580">
        <v>2047</v>
      </c>
      <c r="H41" s="581" t="s">
        <v>109</v>
      </c>
      <c r="I41" s="580">
        <v>3047</v>
      </c>
      <c r="J41" s="581" t="s">
        <v>115</v>
      </c>
      <c r="K41" s="578"/>
      <c r="L41" s="578"/>
      <c r="M41" s="580">
        <v>7155</v>
      </c>
      <c r="N41" s="581" t="s">
        <v>120</v>
      </c>
      <c r="O41" s="578"/>
      <c r="P41" s="578"/>
      <c r="W41" s="855" t="s">
        <v>622</v>
      </c>
      <c r="X41" s="1207" t="s">
        <v>669</v>
      </c>
      <c r="Y41" s="855" t="s">
        <v>670</v>
      </c>
    </row>
    <row r="42" spans="1:25">
      <c r="A42" s="580">
        <v>4072</v>
      </c>
      <c r="B42" s="581" t="s">
        <v>127</v>
      </c>
      <c r="C42" s="580">
        <v>6044</v>
      </c>
      <c r="D42" s="581" t="s">
        <v>132</v>
      </c>
      <c r="E42" s="583">
        <v>5050</v>
      </c>
      <c r="F42" s="581" t="s">
        <v>119</v>
      </c>
      <c r="G42" s="580">
        <v>2048</v>
      </c>
      <c r="H42" s="581" t="s">
        <v>109</v>
      </c>
      <c r="I42" s="580">
        <v>3048</v>
      </c>
      <c r="J42" s="581" t="s">
        <v>115</v>
      </c>
      <c r="K42" s="578"/>
      <c r="L42" s="578"/>
      <c r="M42" s="580">
        <v>7162</v>
      </c>
      <c r="N42" s="581" t="s">
        <v>120</v>
      </c>
      <c r="O42" s="578"/>
      <c r="P42" s="578"/>
      <c r="W42" s="855" t="s">
        <v>480</v>
      </c>
      <c r="X42" s="1207" t="s">
        <v>671</v>
      </c>
      <c r="Y42" s="855" t="s">
        <v>132</v>
      </c>
    </row>
    <row r="43" spans="1:25">
      <c r="A43" s="580">
        <v>4073</v>
      </c>
      <c r="B43" s="581" t="s">
        <v>127</v>
      </c>
      <c r="C43" s="580">
        <v>6050</v>
      </c>
      <c r="D43" s="581" t="s">
        <v>132</v>
      </c>
      <c r="E43" s="583">
        <v>5051</v>
      </c>
      <c r="F43" s="581" t="s">
        <v>119</v>
      </c>
      <c r="G43" s="580">
        <v>2049</v>
      </c>
      <c r="H43" s="581" t="s">
        <v>109</v>
      </c>
      <c r="I43" s="580">
        <v>3049</v>
      </c>
      <c r="J43" s="581" t="s">
        <v>115</v>
      </c>
      <c r="K43" s="578"/>
      <c r="L43" s="578"/>
      <c r="M43" s="580">
        <v>7163</v>
      </c>
      <c r="N43" s="581" t="s">
        <v>120</v>
      </c>
      <c r="O43" s="578"/>
      <c r="P43" s="578"/>
      <c r="W43" s="855" t="s">
        <v>480</v>
      </c>
      <c r="X43" s="1207" t="s">
        <v>672</v>
      </c>
      <c r="Y43" s="855" t="s">
        <v>130</v>
      </c>
    </row>
    <row r="44" spans="1:25">
      <c r="A44" s="580">
        <v>4074</v>
      </c>
      <c r="B44" s="581" t="s">
        <v>127</v>
      </c>
      <c r="C44" s="580">
        <v>6051</v>
      </c>
      <c r="D44" s="581" t="s">
        <v>132</v>
      </c>
      <c r="E44" s="583">
        <v>5052</v>
      </c>
      <c r="F44" s="581" t="s">
        <v>119</v>
      </c>
      <c r="G44" s="580">
        <v>2050</v>
      </c>
      <c r="H44" s="581" t="s">
        <v>109</v>
      </c>
      <c r="I44" s="580">
        <v>3051</v>
      </c>
      <c r="J44" s="581" t="s">
        <v>113</v>
      </c>
      <c r="K44" s="578"/>
      <c r="L44" s="578"/>
      <c r="M44" s="580">
        <v>7170</v>
      </c>
      <c r="N44" s="581" t="s">
        <v>120</v>
      </c>
      <c r="O44" s="578"/>
      <c r="P44" s="578"/>
    </row>
    <row r="45" spans="1:25">
      <c r="A45" s="580">
        <v>4075</v>
      </c>
      <c r="B45" s="581" t="s">
        <v>127</v>
      </c>
      <c r="C45" s="580">
        <v>6052</v>
      </c>
      <c r="D45" s="581" t="s">
        <v>132</v>
      </c>
      <c r="E45" s="583">
        <v>5061</v>
      </c>
      <c r="F45" s="581" t="s">
        <v>119</v>
      </c>
      <c r="G45" s="580">
        <v>2052</v>
      </c>
      <c r="H45" s="581" t="s">
        <v>109</v>
      </c>
      <c r="I45" s="580">
        <v>3052</v>
      </c>
      <c r="J45" s="581" t="s">
        <v>113</v>
      </c>
      <c r="K45" s="578"/>
      <c r="L45" s="578"/>
      <c r="M45" s="580">
        <v>7171</v>
      </c>
      <c r="N45" s="581" t="s">
        <v>120</v>
      </c>
      <c r="O45" s="578"/>
      <c r="P45" s="578"/>
    </row>
    <row r="46" spans="1:25">
      <c r="A46" s="580">
        <v>4076</v>
      </c>
      <c r="B46" s="581" t="s">
        <v>127</v>
      </c>
      <c r="C46" s="580">
        <v>6053</v>
      </c>
      <c r="D46" s="581" t="s">
        <v>132</v>
      </c>
      <c r="E46" s="583">
        <v>5062</v>
      </c>
      <c r="F46" s="581" t="s">
        <v>119</v>
      </c>
      <c r="G46" s="580">
        <v>2060</v>
      </c>
      <c r="H46" s="581" t="s">
        <v>109</v>
      </c>
      <c r="I46" s="580">
        <v>3053</v>
      </c>
      <c r="J46" s="581" t="s">
        <v>113</v>
      </c>
      <c r="K46" s="578"/>
      <c r="L46" s="578"/>
      <c r="M46" s="580">
        <v>7172</v>
      </c>
      <c r="N46" s="581" t="s">
        <v>120</v>
      </c>
      <c r="O46" s="578"/>
      <c r="P46" s="578"/>
    </row>
    <row r="47" spans="1:25">
      <c r="A47" s="580">
        <v>4077</v>
      </c>
      <c r="B47" s="581" t="s">
        <v>127</v>
      </c>
      <c r="C47" s="580">
        <v>6054</v>
      </c>
      <c r="D47" s="581" t="s">
        <v>132</v>
      </c>
      <c r="E47" s="583">
        <v>5063</v>
      </c>
      <c r="F47" s="581" t="s">
        <v>119</v>
      </c>
      <c r="G47" s="580">
        <v>2061</v>
      </c>
      <c r="H47" s="581" t="s">
        <v>109</v>
      </c>
      <c r="I47" s="580">
        <v>3054</v>
      </c>
      <c r="J47" s="581" t="s">
        <v>113</v>
      </c>
      <c r="K47" s="578"/>
      <c r="L47" s="578"/>
      <c r="M47" s="580">
        <v>7173</v>
      </c>
      <c r="N47" s="581" t="s">
        <v>120</v>
      </c>
      <c r="O47" s="578"/>
      <c r="P47" s="578"/>
    </row>
    <row r="48" spans="1:25">
      <c r="A48" s="580">
        <v>4078</v>
      </c>
      <c r="B48" s="581" t="s">
        <v>127</v>
      </c>
      <c r="C48" s="580">
        <v>6055</v>
      </c>
      <c r="D48" s="581" t="s">
        <v>132</v>
      </c>
      <c r="E48" s="583">
        <v>5064</v>
      </c>
      <c r="F48" s="581" t="s">
        <v>119</v>
      </c>
      <c r="G48" s="580">
        <v>2062</v>
      </c>
      <c r="H48" s="581" t="s">
        <v>109</v>
      </c>
      <c r="I48" s="580">
        <v>3055</v>
      </c>
      <c r="J48" s="581" t="s">
        <v>113</v>
      </c>
      <c r="K48" s="578"/>
      <c r="L48" s="578"/>
      <c r="M48" s="580">
        <v>7174</v>
      </c>
      <c r="N48" s="581" t="s">
        <v>120</v>
      </c>
      <c r="O48" s="578"/>
      <c r="P48" s="578"/>
    </row>
    <row r="49" spans="1:14">
      <c r="A49" s="580">
        <v>4101</v>
      </c>
      <c r="B49" s="581" t="s">
        <v>127</v>
      </c>
      <c r="C49" s="580">
        <v>6056</v>
      </c>
      <c r="D49" s="581" t="s">
        <v>132</v>
      </c>
      <c r="E49" s="583">
        <v>5065</v>
      </c>
      <c r="F49" s="581" t="s">
        <v>119</v>
      </c>
      <c r="G49" s="580">
        <v>2063</v>
      </c>
      <c r="H49" s="581" t="s">
        <v>109</v>
      </c>
      <c r="I49" s="580">
        <v>3056</v>
      </c>
      <c r="J49" s="581" t="s">
        <v>113</v>
      </c>
      <c r="K49" s="578"/>
      <c r="L49" s="578"/>
      <c r="M49" s="580">
        <v>7175</v>
      </c>
      <c r="N49" s="581" t="s">
        <v>120</v>
      </c>
    </row>
    <row r="50" spans="1:14">
      <c r="A50" s="580">
        <v>4102</v>
      </c>
      <c r="B50" s="581" t="s">
        <v>127</v>
      </c>
      <c r="C50" s="580">
        <v>6057</v>
      </c>
      <c r="D50" s="581" t="s">
        <v>132</v>
      </c>
      <c r="E50" s="583">
        <v>5066</v>
      </c>
      <c r="F50" s="581" t="s">
        <v>119</v>
      </c>
      <c r="G50" s="580">
        <v>2064</v>
      </c>
      <c r="H50" s="581" t="s">
        <v>109</v>
      </c>
      <c r="I50" s="580">
        <v>3057</v>
      </c>
      <c r="J50" s="581" t="s">
        <v>113</v>
      </c>
      <c r="K50" s="578"/>
      <c r="L50" s="578"/>
      <c r="M50" s="580">
        <v>7176</v>
      </c>
      <c r="N50" s="581" t="s">
        <v>120</v>
      </c>
    </row>
    <row r="51" spans="1:14">
      <c r="A51" s="580">
        <v>4103</v>
      </c>
      <c r="B51" s="581" t="s">
        <v>127</v>
      </c>
      <c r="C51" s="580">
        <v>6058</v>
      </c>
      <c r="D51" s="581" t="s">
        <v>132</v>
      </c>
      <c r="E51" s="583">
        <v>5067</v>
      </c>
      <c r="F51" s="581" t="s">
        <v>119</v>
      </c>
      <c r="G51" s="580">
        <v>2065</v>
      </c>
      <c r="H51" s="581" t="s">
        <v>109</v>
      </c>
      <c r="I51" s="580">
        <v>3058</v>
      </c>
      <c r="J51" s="581" t="s">
        <v>113</v>
      </c>
      <c r="K51" s="578"/>
      <c r="L51" s="578"/>
      <c r="M51" s="580">
        <v>7177</v>
      </c>
      <c r="N51" s="581" t="s">
        <v>120</v>
      </c>
    </row>
    <row r="52" spans="1:14">
      <c r="A52" s="580">
        <v>4104</v>
      </c>
      <c r="B52" s="581" t="s">
        <v>127</v>
      </c>
      <c r="C52" s="580">
        <v>6059</v>
      </c>
      <c r="D52" s="581" t="s">
        <v>132</v>
      </c>
      <c r="E52" s="583">
        <v>5068</v>
      </c>
      <c r="F52" s="581" t="s">
        <v>119</v>
      </c>
      <c r="G52" s="580">
        <v>2066</v>
      </c>
      <c r="H52" s="581" t="s">
        <v>109</v>
      </c>
      <c r="I52" s="580">
        <v>3059</v>
      </c>
      <c r="J52" s="581" t="s">
        <v>115</v>
      </c>
      <c r="K52" s="578"/>
      <c r="L52" s="578"/>
      <c r="M52" s="580">
        <v>7178</v>
      </c>
      <c r="N52" s="581" t="s">
        <v>120</v>
      </c>
    </row>
    <row r="53" spans="1:14">
      <c r="A53" s="580">
        <v>4105</v>
      </c>
      <c r="B53" s="581" t="s">
        <v>127</v>
      </c>
      <c r="C53" s="580">
        <v>6060</v>
      </c>
      <c r="D53" s="581" t="s">
        <v>132</v>
      </c>
      <c r="E53" s="583">
        <v>5069</v>
      </c>
      <c r="F53" s="581" t="s">
        <v>119</v>
      </c>
      <c r="G53" s="580">
        <v>2067</v>
      </c>
      <c r="H53" s="581" t="s">
        <v>109</v>
      </c>
      <c r="I53" s="580">
        <v>3060</v>
      </c>
      <c r="J53" s="581" t="s">
        <v>115</v>
      </c>
      <c r="K53" s="578"/>
      <c r="L53" s="578"/>
      <c r="M53" s="580">
        <v>7179</v>
      </c>
      <c r="N53" s="581" t="s">
        <v>120</v>
      </c>
    </row>
    <row r="54" spans="1:14">
      <c r="A54" s="580">
        <v>4106</v>
      </c>
      <c r="B54" s="581" t="s">
        <v>127</v>
      </c>
      <c r="C54" s="580">
        <v>6061</v>
      </c>
      <c r="D54" s="581" t="s">
        <v>132</v>
      </c>
      <c r="E54" s="583">
        <v>5070</v>
      </c>
      <c r="F54" s="581" t="s">
        <v>119</v>
      </c>
      <c r="G54" s="580">
        <v>2068</v>
      </c>
      <c r="H54" s="581" t="s">
        <v>109</v>
      </c>
      <c r="I54" s="580">
        <v>3061</v>
      </c>
      <c r="J54" s="581" t="s">
        <v>115</v>
      </c>
      <c r="K54" s="578"/>
      <c r="L54" s="578"/>
      <c r="M54" s="580">
        <v>7180</v>
      </c>
      <c r="N54" s="581" t="s">
        <v>120</v>
      </c>
    </row>
    <row r="55" spans="1:14">
      <c r="A55" s="580">
        <v>4107</v>
      </c>
      <c r="B55" s="581" t="s">
        <v>127</v>
      </c>
      <c r="C55" s="580">
        <v>6062</v>
      </c>
      <c r="D55" s="581" t="s">
        <v>132</v>
      </c>
      <c r="E55" s="583">
        <v>5072</v>
      </c>
      <c r="F55" s="581" t="s">
        <v>119</v>
      </c>
      <c r="G55" s="580">
        <v>2069</v>
      </c>
      <c r="H55" s="581" t="s">
        <v>109</v>
      </c>
      <c r="I55" s="580">
        <v>3062</v>
      </c>
      <c r="J55" s="581" t="s">
        <v>115</v>
      </c>
      <c r="K55" s="578"/>
      <c r="L55" s="578"/>
      <c r="M55" s="580">
        <v>7182</v>
      </c>
      <c r="N55" s="581" t="s">
        <v>120</v>
      </c>
    </row>
    <row r="56" spans="1:14">
      <c r="A56" s="580">
        <v>4108</v>
      </c>
      <c r="B56" s="581" t="s">
        <v>127</v>
      </c>
      <c r="C56" s="580">
        <v>6063</v>
      </c>
      <c r="D56" s="581" t="s">
        <v>132</v>
      </c>
      <c r="E56" s="583">
        <v>5073</v>
      </c>
      <c r="F56" s="581" t="s">
        <v>119</v>
      </c>
      <c r="G56" s="580">
        <v>2070</v>
      </c>
      <c r="H56" s="581" t="s">
        <v>109</v>
      </c>
      <c r="I56" s="580">
        <v>3063</v>
      </c>
      <c r="J56" s="581" t="s">
        <v>115</v>
      </c>
      <c r="K56" s="578"/>
      <c r="L56" s="578"/>
      <c r="M56" s="580">
        <v>7183</v>
      </c>
      <c r="N56" s="581" t="s">
        <v>120</v>
      </c>
    </row>
    <row r="57" spans="1:14">
      <c r="A57" s="580">
        <v>4109</v>
      </c>
      <c r="B57" s="581" t="s">
        <v>127</v>
      </c>
      <c r="C57" s="580">
        <v>6064</v>
      </c>
      <c r="D57" s="581" t="s">
        <v>132</v>
      </c>
      <c r="E57" s="583">
        <v>5074</v>
      </c>
      <c r="F57" s="581" t="s">
        <v>119</v>
      </c>
      <c r="G57" s="580">
        <v>2071</v>
      </c>
      <c r="H57" s="581" t="s">
        <v>109</v>
      </c>
      <c r="I57" s="580">
        <v>3064</v>
      </c>
      <c r="J57" s="581" t="s">
        <v>113</v>
      </c>
      <c r="K57" s="578"/>
      <c r="L57" s="578"/>
      <c r="M57" s="580">
        <v>7184</v>
      </c>
      <c r="N57" s="581" t="s">
        <v>120</v>
      </c>
    </row>
    <row r="58" spans="1:14">
      <c r="A58" s="580">
        <v>4110</v>
      </c>
      <c r="B58" s="581" t="s">
        <v>127</v>
      </c>
      <c r="C58" s="580">
        <v>6065</v>
      </c>
      <c r="D58" s="581" t="s">
        <v>132</v>
      </c>
      <c r="E58" s="583">
        <v>5075</v>
      </c>
      <c r="F58" s="581" t="s">
        <v>119</v>
      </c>
      <c r="G58" s="580">
        <v>2072</v>
      </c>
      <c r="H58" s="581" t="s">
        <v>109</v>
      </c>
      <c r="I58" s="580">
        <v>3065</v>
      </c>
      <c r="J58" s="581" t="s">
        <v>113</v>
      </c>
      <c r="K58" s="578"/>
      <c r="L58" s="578"/>
      <c r="M58" s="580">
        <v>7185</v>
      </c>
      <c r="N58" s="581" t="s">
        <v>120</v>
      </c>
    </row>
    <row r="59" spans="1:14">
      <c r="A59" s="580">
        <v>4111</v>
      </c>
      <c r="B59" s="581" t="s">
        <v>127</v>
      </c>
      <c r="C59" s="580">
        <v>6066</v>
      </c>
      <c r="D59" s="581" t="s">
        <v>132</v>
      </c>
      <c r="E59" s="583">
        <v>5076</v>
      </c>
      <c r="F59" s="581" t="s">
        <v>119</v>
      </c>
      <c r="G59" s="580">
        <v>2073</v>
      </c>
      <c r="H59" s="581" t="s">
        <v>109</v>
      </c>
      <c r="I59" s="580">
        <v>3066</v>
      </c>
      <c r="J59" s="581" t="s">
        <v>113</v>
      </c>
      <c r="K59" s="578"/>
      <c r="L59" s="578"/>
      <c r="M59" s="580">
        <v>7186</v>
      </c>
      <c r="N59" s="581" t="s">
        <v>120</v>
      </c>
    </row>
    <row r="60" spans="1:14">
      <c r="A60" s="580">
        <v>4112</v>
      </c>
      <c r="B60" s="581" t="s">
        <v>127</v>
      </c>
      <c r="C60" s="580">
        <v>6067</v>
      </c>
      <c r="D60" s="581" t="s">
        <v>132</v>
      </c>
      <c r="E60" s="583">
        <v>5081</v>
      </c>
      <c r="F60" s="581" t="s">
        <v>119</v>
      </c>
      <c r="G60" s="580">
        <v>2074</v>
      </c>
      <c r="H60" s="581" t="s">
        <v>109</v>
      </c>
      <c r="I60" s="580">
        <v>3067</v>
      </c>
      <c r="J60" s="581" t="s">
        <v>113</v>
      </c>
      <c r="K60" s="578"/>
      <c r="L60" s="578"/>
      <c r="M60" s="580">
        <v>7187</v>
      </c>
      <c r="N60" s="581" t="s">
        <v>120</v>
      </c>
    </row>
    <row r="61" spans="1:14">
      <c r="A61" s="580">
        <v>4113</v>
      </c>
      <c r="B61" s="581" t="s">
        <v>127</v>
      </c>
      <c r="C61" s="580">
        <v>6068</v>
      </c>
      <c r="D61" s="581" t="s">
        <v>132</v>
      </c>
      <c r="E61" s="583">
        <v>5082</v>
      </c>
      <c r="F61" s="581" t="s">
        <v>119</v>
      </c>
      <c r="G61" s="580">
        <v>2075</v>
      </c>
      <c r="H61" s="581" t="s">
        <v>109</v>
      </c>
      <c r="I61" s="580">
        <v>3068</v>
      </c>
      <c r="J61" s="581" t="s">
        <v>113</v>
      </c>
      <c r="K61" s="578"/>
      <c r="L61" s="578"/>
      <c r="M61" s="580">
        <v>7190</v>
      </c>
      <c r="N61" s="581" t="s">
        <v>120</v>
      </c>
    </row>
    <row r="62" spans="1:14">
      <c r="A62" s="580">
        <v>4114</v>
      </c>
      <c r="B62" s="581" t="s">
        <v>127</v>
      </c>
      <c r="C62" s="580">
        <v>6069</v>
      </c>
      <c r="D62" s="581" t="s">
        <v>132</v>
      </c>
      <c r="E62" s="583">
        <v>5083</v>
      </c>
      <c r="F62" s="581" t="s">
        <v>119</v>
      </c>
      <c r="G62" s="580">
        <v>2076</v>
      </c>
      <c r="H62" s="581" t="s">
        <v>109</v>
      </c>
      <c r="I62" s="580">
        <v>3070</v>
      </c>
      <c r="J62" s="581" t="s">
        <v>113</v>
      </c>
      <c r="K62" s="578"/>
      <c r="L62" s="578"/>
      <c r="M62" s="580">
        <v>7209</v>
      </c>
      <c r="N62" s="581" t="s">
        <v>120</v>
      </c>
    </row>
    <row r="63" spans="1:14">
      <c r="A63" s="580">
        <v>4115</v>
      </c>
      <c r="B63" s="581" t="s">
        <v>127</v>
      </c>
      <c r="C63" s="580">
        <v>6070</v>
      </c>
      <c r="D63" s="581" t="s">
        <v>132</v>
      </c>
      <c r="E63" s="583">
        <v>5084</v>
      </c>
      <c r="F63" s="581" t="s">
        <v>119</v>
      </c>
      <c r="G63" s="580">
        <v>2077</v>
      </c>
      <c r="H63" s="581" t="s">
        <v>109</v>
      </c>
      <c r="I63" s="580">
        <v>3071</v>
      </c>
      <c r="J63" s="581" t="s">
        <v>113</v>
      </c>
      <c r="K63" s="578"/>
      <c r="L63" s="578"/>
      <c r="M63" s="580">
        <v>7210</v>
      </c>
      <c r="N63" s="581" t="s">
        <v>120</v>
      </c>
    </row>
    <row r="64" spans="1:14">
      <c r="A64" s="580">
        <v>4116</v>
      </c>
      <c r="B64" s="581" t="s">
        <v>127</v>
      </c>
      <c r="C64" s="580">
        <v>6071</v>
      </c>
      <c r="D64" s="581" t="s">
        <v>132</v>
      </c>
      <c r="E64" s="583">
        <v>5085</v>
      </c>
      <c r="F64" s="581" t="s">
        <v>119</v>
      </c>
      <c r="G64" s="580">
        <v>2079</v>
      </c>
      <c r="H64" s="581" t="s">
        <v>109</v>
      </c>
      <c r="I64" s="580">
        <v>3072</v>
      </c>
      <c r="J64" s="581" t="s">
        <v>113</v>
      </c>
      <c r="K64" s="578"/>
      <c r="L64" s="578"/>
      <c r="M64" s="580">
        <v>7211</v>
      </c>
      <c r="N64" s="581" t="s">
        <v>120</v>
      </c>
    </row>
    <row r="65" spans="1:14">
      <c r="A65" s="580">
        <v>4117</v>
      </c>
      <c r="B65" s="581" t="s">
        <v>127</v>
      </c>
      <c r="C65" s="580">
        <v>6072</v>
      </c>
      <c r="D65" s="581" t="s">
        <v>132</v>
      </c>
      <c r="E65" s="583">
        <v>5086</v>
      </c>
      <c r="F65" s="581" t="s">
        <v>119</v>
      </c>
      <c r="G65" s="580">
        <v>2080</v>
      </c>
      <c r="H65" s="581" t="s">
        <v>109</v>
      </c>
      <c r="I65" s="580">
        <v>3073</v>
      </c>
      <c r="J65" s="581" t="s">
        <v>115</v>
      </c>
      <c r="K65" s="578"/>
      <c r="L65" s="578"/>
      <c r="M65" s="580">
        <v>7212</v>
      </c>
      <c r="N65" s="581" t="s">
        <v>120</v>
      </c>
    </row>
    <row r="66" spans="1:14">
      <c r="A66" s="580">
        <v>4118</v>
      </c>
      <c r="B66" s="581" t="s">
        <v>127</v>
      </c>
      <c r="C66" s="580">
        <v>6073</v>
      </c>
      <c r="D66" s="581" t="s">
        <v>132</v>
      </c>
      <c r="E66" s="583">
        <v>5087</v>
      </c>
      <c r="F66" s="581" t="s">
        <v>119</v>
      </c>
      <c r="G66" s="580">
        <v>2081</v>
      </c>
      <c r="H66" s="581" t="s">
        <v>109</v>
      </c>
      <c r="I66" s="580">
        <v>3074</v>
      </c>
      <c r="J66" s="581" t="s">
        <v>115</v>
      </c>
      <c r="K66" s="578"/>
      <c r="L66" s="578"/>
      <c r="M66" s="580">
        <v>7213</v>
      </c>
      <c r="N66" s="581" t="s">
        <v>120</v>
      </c>
    </row>
    <row r="67" spans="1:14">
      <c r="A67" s="580">
        <v>4119</v>
      </c>
      <c r="B67" s="581" t="s">
        <v>127</v>
      </c>
      <c r="C67" s="580">
        <v>6074</v>
      </c>
      <c r="D67" s="581" t="s">
        <v>132</v>
      </c>
      <c r="E67" s="583">
        <v>5088</v>
      </c>
      <c r="F67" s="581" t="s">
        <v>119</v>
      </c>
      <c r="G67" s="580">
        <v>2082</v>
      </c>
      <c r="H67" s="581" t="s">
        <v>109</v>
      </c>
      <c r="I67" s="580">
        <v>3075</v>
      </c>
      <c r="J67" s="581" t="s">
        <v>628</v>
      </c>
      <c r="K67" s="578"/>
      <c r="L67" s="578"/>
      <c r="M67" s="580">
        <v>7214</v>
      </c>
      <c r="N67" s="581" t="s">
        <v>120</v>
      </c>
    </row>
    <row r="68" spans="1:14">
      <c r="A68" s="580">
        <v>4120</v>
      </c>
      <c r="B68" s="581" t="s">
        <v>127</v>
      </c>
      <c r="C68" s="580">
        <v>6076</v>
      </c>
      <c r="D68" s="581" t="s">
        <v>132</v>
      </c>
      <c r="E68" s="583">
        <v>5089</v>
      </c>
      <c r="F68" s="581" t="s">
        <v>119</v>
      </c>
      <c r="G68" s="580">
        <v>2083</v>
      </c>
      <c r="H68" s="581" t="s">
        <v>109</v>
      </c>
      <c r="I68" s="580">
        <v>3076</v>
      </c>
      <c r="J68" s="581" t="s">
        <v>115</v>
      </c>
      <c r="K68" s="578"/>
      <c r="L68" s="578"/>
      <c r="M68" s="580">
        <v>7215</v>
      </c>
      <c r="N68" s="581" t="s">
        <v>120</v>
      </c>
    </row>
    <row r="69" spans="1:14">
      <c r="A69" s="580">
        <v>4121</v>
      </c>
      <c r="B69" s="581" t="s">
        <v>127</v>
      </c>
      <c r="C69" s="580">
        <v>6077</v>
      </c>
      <c r="D69" s="581" t="s">
        <v>132</v>
      </c>
      <c r="E69" s="583">
        <v>5090</v>
      </c>
      <c r="F69" s="581" t="s">
        <v>119</v>
      </c>
      <c r="G69" s="580">
        <v>2084</v>
      </c>
      <c r="H69" s="581" t="s">
        <v>109</v>
      </c>
      <c r="I69" s="580">
        <v>3078</v>
      </c>
      <c r="J69" s="581" t="s">
        <v>113</v>
      </c>
      <c r="K69" s="578"/>
      <c r="L69" s="578"/>
      <c r="M69" s="580">
        <v>7216</v>
      </c>
      <c r="N69" s="581" t="s">
        <v>120</v>
      </c>
    </row>
    <row r="70" spans="1:14">
      <c r="A70" s="580">
        <v>4122</v>
      </c>
      <c r="B70" s="581" t="s">
        <v>127</v>
      </c>
      <c r="C70" s="580">
        <v>6078</v>
      </c>
      <c r="D70" s="581" t="s">
        <v>132</v>
      </c>
      <c r="E70" s="583">
        <v>5091</v>
      </c>
      <c r="F70" s="581" t="s">
        <v>119</v>
      </c>
      <c r="G70" s="580">
        <v>2085</v>
      </c>
      <c r="H70" s="581" t="s">
        <v>109</v>
      </c>
      <c r="I70" s="580">
        <v>3079</v>
      </c>
      <c r="J70" s="581" t="s">
        <v>113</v>
      </c>
      <c r="K70" s="578"/>
      <c r="L70" s="578"/>
      <c r="M70" s="580">
        <v>7248</v>
      </c>
      <c r="N70" s="581" t="s">
        <v>120</v>
      </c>
    </row>
    <row r="71" spans="1:14">
      <c r="A71" s="580">
        <v>4123</v>
      </c>
      <c r="B71" s="581" t="s">
        <v>127</v>
      </c>
      <c r="C71" s="580">
        <v>6079</v>
      </c>
      <c r="D71" s="581" t="s">
        <v>132</v>
      </c>
      <c r="E71" s="583">
        <v>5092</v>
      </c>
      <c r="F71" s="581" t="s">
        <v>119</v>
      </c>
      <c r="G71" s="580">
        <v>2086</v>
      </c>
      <c r="H71" s="581" t="s">
        <v>109</v>
      </c>
      <c r="I71" s="580">
        <v>3081</v>
      </c>
      <c r="J71" s="581" t="s">
        <v>115</v>
      </c>
      <c r="K71" s="578"/>
      <c r="L71" s="578"/>
      <c r="M71" s="580">
        <v>7249</v>
      </c>
      <c r="N71" s="581" t="s">
        <v>120</v>
      </c>
    </row>
    <row r="72" spans="1:14">
      <c r="A72" s="580">
        <v>4124</v>
      </c>
      <c r="B72" s="581" t="s">
        <v>127</v>
      </c>
      <c r="C72" s="580">
        <v>6081</v>
      </c>
      <c r="D72" s="581" t="s">
        <v>132</v>
      </c>
      <c r="E72" s="583">
        <v>5093</v>
      </c>
      <c r="F72" s="581" t="s">
        <v>119</v>
      </c>
      <c r="G72" s="580">
        <v>2087</v>
      </c>
      <c r="H72" s="581" t="s">
        <v>109</v>
      </c>
      <c r="I72" s="580">
        <v>3082</v>
      </c>
      <c r="J72" s="581" t="s">
        <v>628</v>
      </c>
      <c r="K72" s="578"/>
      <c r="L72" s="578"/>
      <c r="M72" s="580">
        <v>7250</v>
      </c>
      <c r="N72" s="581" t="s">
        <v>120</v>
      </c>
    </row>
    <row r="73" spans="1:14">
      <c r="A73" s="580">
        <v>4125</v>
      </c>
      <c r="B73" s="581" t="s">
        <v>127</v>
      </c>
      <c r="C73" s="580">
        <v>6082</v>
      </c>
      <c r="D73" s="581" t="s">
        <v>132</v>
      </c>
      <c r="E73" s="583">
        <v>5094</v>
      </c>
      <c r="F73" s="581" t="s">
        <v>119</v>
      </c>
      <c r="G73" s="580">
        <v>2088</v>
      </c>
      <c r="H73" s="581" t="s">
        <v>109</v>
      </c>
      <c r="I73" s="580">
        <v>3083</v>
      </c>
      <c r="J73" s="581" t="s">
        <v>115</v>
      </c>
      <c r="K73" s="578"/>
      <c r="L73" s="578"/>
      <c r="M73" s="580">
        <v>7252</v>
      </c>
      <c r="N73" s="581" t="s">
        <v>120</v>
      </c>
    </row>
    <row r="74" spans="1:14">
      <c r="A74" s="580">
        <v>4127</v>
      </c>
      <c r="B74" s="581" t="s">
        <v>127</v>
      </c>
      <c r="C74" s="580">
        <v>6083</v>
      </c>
      <c r="D74" s="581" t="s">
        <v>132</v>
      </c>
      <c r="E74" s="583">
        <v>5095</v>
      </c>
      <c r="F74" s="581" t="s">
        <v>119</v>
      </c>
      <c r="G74" s="580">
        <v>2089</v>
      </c>
      <c r="H74" s="581" t="s">
        <v>109</v>
      </c>
      <c r="I74" s="580">
        <v>3084</v>
      </c>
      <c r="J74" s="581" t="s">
        <v>117</v>
      </c>
      <c r="K74" s="578"/>
      <c r="L74" s="578"/>
      <c r="M74" s="580">
        <v>7253</v>
      </c>
      <c r="N74" s="581" t="s">
        <v>120</v>
      </c>
    </row>
    <row r="75" spans="1:14">
      <c r="A75" s="580">
        <v>4128</v>
      </c>
      <c r="B75" s="581" t="s">
        <v>127</v>
      </c>
      <c r="C75" s="580">
        <v>6084</v>
      </c>
      <c r="D75" s="581" t="s">
        <v>132</v>
      </c>
      <c r="E75" s="583">
        <v>5096</v>
      </c>
      <c r="F75" s="581" t="s">
        <v>119</v>
      </c>
      <c r="G75" s="580">
        <v>2090</v>
      </c>
      <c r="H75" s="581" t="s">
        <v>109</v>
      </c>
      <c r="I75" s="580">
        <v>3085</v>
      </c>
      <c r="J75" s="581" t="s">
        <v>115</v>
      </c>
      <c r="K75" s="578"/>
      <c r="L75" s="578"/>
      <c r="M75" s="580">
        <v>7254</v>
      </c>
      <c r="N75" s="581" t="s">
        <v>120</v>
      </c>
    </row>
    <row r="76" spans="1:14">
      <c r="A76" s="580">
        <v>4129</v>
      </c>
      <c r="B76" s="581" t="s">
        <v>127</v>
      </c>
      <c r="C76" s="580">
        <v>6100</v>
      </c>
      <c r="D76" s="581" t="s">
        <v>132</v>
      </c>
      <c r="E76" s="583">
        <v>5097</v>
      </c>
      <c r="F76" s="581" t="s">
        <v>119</v>
      </c>
      <c r="G76" s="580">
        <v>2092</v>
      </c>
      <c r="H76" s="581" t="s">
        <v>109</v>
      </c>
      <c r="I76" s="580">
        <v>3086</v>
      </c>
      <c r="J76" s="581" t="s">
        <v>115</v>
      </c>
      <c r="K76" s="578"/>
      <c r="L76" s="578"/>
      <c r="M76" s="580">
        <v>7255</v>
      </c>
      <c r="N76" s="581" t="s">
        <v>120</v>
      </c>
    </row>
    <row r="77" spans="1:14">
      <c r="A77" s="580">
        <v>4130</v>
      </c>
      <c r="B77" s="581" t="s">
        <v>127</v>
      </c>
      <c r="C77" s="580">
        <v>6101</v>
      </c>
      <c r="D77" s="581" t="s">
        <v>132</v>
      </c>
      <c r="E77" s="583">
        <v>5098</v>
      </c>
      <c r="F77" s="581" t="s">
        <v>119</v>
      </c>
      <c r="G77" s="580">
        <v>2093</v>
      </c>
      <c r="H77" s="581" t="s">
        <v>109</v>
      </c>
      <c r="I77" s="580">
        <v>3087</v>
      </c>
      <c r="J77" s="581" t="s">
        <v>115</v>
      </c>
      <c r="K77" s="578"/>
      <c r="L77" s="578"/>
      <c r="M77" s="580">
        <v>7256</v>
      </c>
      <c r="N77" s="581" t="s">
        <v>120</v>
      </c>
    </row>
    <row r="78" spans="1:14">
      <c r="A78" s="580">
        <v>4131</v>
      </c>
      <c r="B78" s="581" t="s">
        <v>127</v>
      </c>
      <c r="C78" s="580">
        <v>6102</v>
      </c>
      <c r="D78" s="581" t="s">
        <v>132</v>
      </c>
      <c r="E78" s="583">
        <v>5106</v>
      </c>
      <c r="F78" s="581" t="s">
        <v>119</v>
      </c>
      <c r="G78" s="580">
        <v>2094</v>
      </c>
      <c r="H78" s="581" t="s">
        <v>109</v>
      </c>
      <c r="I78" s="580">
        <v>3088</v>
      </c>
      <c r="J78" s="581" t="s">
        <v>628</v>
      </c>
      <c r="K78" s="578"/>
      <c r="L78" s="578"/>
      <c r="M78" s="580">
        <v>7257</v>
      </c>
      <c r="N78" s="581" t="s">
        <v>120</v>
      </c>
    </row>
    <row r="79" spans="1:14">
      <c r="A79" s="580">
        <v>4132</v>
      </c>
      <c r="B79" s="581" t="s">
        <v>127</v>
      </c>
      <c r="C79" s="580">
        <v>6103</v>
      </c>
      <c r="D79" s="581" t="s">
        <v>132</v>
      </c>
      <c r="E79" s="583">
        <v>5107</v>
      </c>
      <c r="F79" s="581" t="s">
        <v>119</v>
      </c>
      <c r="G79" s="580">
        <v>2095</v>
      </c>
      <c r="H79" s="581" t="s">
        <v>109</v>
      </c>
      <c r="I79" s="580">
        <v>3089</v>
      </c>
      <c r="J79" s="581" t="s">
        <v>628</v>
      </c>
      <c r="K79" s="578"/>
      <c r="L79" s="578"/>
      <c r="M79" s="580">
        <v>7258</v>
      </c>
      <c r="N79" s="581" t="s">
        <v>120</v>
      </c>
    </row>
    <row r="80" spans="1:14">
      <c r="A80" s="580">
        <v>4133</v>
      </c>
      <c r="B80" s="581" t="s">
        <v>127</v>
      </c>
      <c r="C80" s="580">
        <v>6104</v>
      </c>
      <c r="D80" s="581" t="s">
        <v>132</v>
      </c>
      <c r="E80" s="583">
        <v>5108</v>
      </c>
      <c r="F80" s="581" t="s">
        <v>119</v>
      </c>
      <c r="G80" s="580">
        <v>2096</v>
      </c>
      <c r="H80" s="581" t="s">
        <v>109</v>
      </c>
      <c r="I80" s="580">
        <v>3090</v>
      </c>
      <c r="J80" s="581" t="s">
        <v>628</v>
      </c>
      <c r="K80" s="578"/>
      <c r="L80" s="578"/>
      <c r="M80" s="580">
        <v>7259</v>
      </c>
      <c r="N80" s="581" t="s">
        <v>120</v>
      </c>
    </row>
    <row r="81" spans="1:14">
      <c r="A81" s="580">
        <v>4151</v>
      </c>
      <c r="B81" s="581" t="s">
        <v>127</v>
      </c>
      <c r="C81" s="580">
        <v>6105</v>
      </c>
      <c r="D81" s="581" t="s">
        <v>132</v>
      </c>
      <c r="E81" s="583">
        <v>5109</v>
      </c>
      <c r="F81" s="581" t="s">
        <v>119</v>
      </c>
      <c r="G81" s="580">
        <v>2097</v>
      </c>
      <c r="H81" s="581" t="s">
        <v>109</v>
      </c>
      <c r="I81" s="580">
        <v>3091</v>
      </c>
      <c r="J81" s="581" t="s">
        <v>628</v>
      </c>
      <c r="K81" s="578"/>
      <c r="L81" s="578"/>
      <c r="M81" s="580">
        <v>7260</v>
      </c>
      <c r="N81" s="581" t="s">
        <v>120</v>
      </c>
    </row>
    <row r="82" spans="1:14">
      <c r="A82" s="580">
        <v>4152</v>
      </c>
      <c r="B82" s="581" t="s">
        <v>127</v>
      </c>
      <c r="C82" s="580">
        <v>6106</v>
      </c>
      <c r="D82" s="581" t="s">
        <v>132</v>
      </c>
      <c r="E82" s="583">
        <v>5110</v>
      </c>
      <c r="F82" s="581" t="s">
        <v>119</v>
      </c>
      <c r="G82" s="580">
        <v>2099</v>
      </c>
      <c r="H82" s="581" t="s">
        <v>109</v>
      </c>
      <c r="I82" s="580">
        <v>3093</v>
      </c>
      <c r="J82" s="581" t="s">
        <v>117</v>
      </c>
      <c r="K82" s="578"/>
      <c r="L82" s="578"/>
      <c r="M82" s="580">
        <v>7261</v>
      </c>
      <c r="N82" s="581" t="s">
        <v>120</v>
      </c>
    </row>
    <row r="83" spans="1:14">
      <c r="A83" s="580">
        <v>4153</v>
      </c>
      <c r="B83" s="581" t="s">
        <v>127</v>
      </c>
      <c r="C83" s="580">
        <v>6107</v>
      </c>
      <c r="D83" s="581" t="s">
        <v>132</v>
      </c>
      <c r="E83" s="583">
        <v>5111</v>
      </c>
      <c r="F83" s="581" t="s">
        <v>119</v>
      </c>
      <c r="G83" s="580">
        <v>2100</v>
      </c>
      <c r="H83" s="581" t="s">
        <v>109</v>
      </c>
      <c r="I83" s="580">
        <v>3094</v>
      </c>
      <c r="J83" s="581" t="s">
        <v>628</v>
      </c>
      <c r="K83" s="578"/>
      <c r="L83" s="578"/>
      <c r="M83" s="580">
        <v>7262</v>
      </c>
      <c r="N83" s="581" t="s">
        <v>120</v>
      </c>
    </row>
    <row r="84" spans="1:14">
      <c r="A84" s="580">
        <v>4154</v>
      </c>
      <c r="B84" s="581" t="s">
        <v>127</v>
      </c>
      <c r="C84" s="580">
        <v>6108</v>
      </c>
      <c r="D84" s="581" t="s">
        <v>132</v>
      </c>
      <c r="E84" s="583">
        <v>5112</v>
      </c>
      <c r="F84" s="581" t="s">
        <v>119</v>
      </c>
      <c r="G84" s="580">
        <v>2101</v>
      </c>
      <c r="H84" s="581" t="s">
        <v>109</v>
      </c>
      <c r="I84" s="580">
        <v>3095</v>
      </c>
      <c r="J84" s="581" t="s">
        <v>628</v>
      </c>
      <c r="K84" s="578"/>
      <c r="L84" s="578"/>
      <c r="M84" s="580">
        <v>7263</v>
      </c>
      <c r="N84" s="581" t="s">
        <v>120</v>
      </c>
    </row>
    <row r="85" spans="1:14">
      <c r="A85" s="580">
        <v>4155</v>
      </c>
      <c r="B85" s="581" t="s">
        <v>127</v>
      </c>
      <c r="C85" s="580">
        <v>6109</v>
      </c>
      <c r="D85" s="581" t="s">
        <v>132</v>
      </c>
      <c r="E85" s="583">
        <v>5113</v>
      </c>
      <c r="F85" s="581" t="s">
        <v>119</v>
      </c>
      <c r="G85" s="580">
        <v>2102</v>
      </c>
      <c r="H85" s="581" t="s">
        <v>109</v>
      </c>
      <c r="I85" s="580">
        <v>3096</v>
      </c>
      <c r="J85" s="581" t="s">
        <v>628</v>
      </c>
      <c r="K85" s="578"/>
      <c r="L85" s="578"/>
      <c r="M85" s="580">
        <v>7264</v>
      </c>
      <c r="N85" s="581" t="s">
        <v>120</v>
      </c>
    </row>
    <row r="86" spans="1:14">
      <c r="A86" s="580">
        <v>4156</v>
      </c>
      <c r="B86" s="581" t="s">
        <v>127</v>
      </c>
      <c r="C86" s="580">
        <v>6110</v>
      </c>
      <c r="D86" s="581" t="s">
        <v>132</v>
      </c>
      <c r="E86" s="583">
        <v>5114</v>
      </c>
      <c r="F86" s="581" t="s">
        <v>119</v>
      </c>
      <c r="G86" s="580">
        <v>2103</v>
      </c>
      <c r="H86" s="581" t="s">
        <v>109</v>
      </c>
      <c r="I86" s="580">
        <v>3097</v>
      </c>
      <c r="J86" s="581" t="s">
        <v>628</v>
      </c>
      <c r="K86" s="578"/>
      <c r="L86" s="578"/>
      <c r="M86" s="580">
        <v>7265</v>
      </c>
      <c r="N86" s="581" t="s">
        <v>120</v>
      </c>
    </row>
    <row r="87" spans="1:14">
      <c r="A87" s="580">
        <v>4157</v>
      </c>
      <c r="B87" s="581" t="s">
        <v>127</v>
      </c>
      <c r="C87" s="580">
        <v>6111</v>
      </c>
      <c r="D87" s="581" t="s">
        <v>132</v>
      </c>
      <c r="E87" s="583">
        <v>5115</v>
      </c>
      <c r="F87" s="581" t="s">
        <v>119</v>
      </c>
      <c r="G87" s="580">
        <v>2104</v>
      </c>
      <c r="H87" s="581" t="s">
        <v>109</v>
      </c>
      <c r="I87" s="580">
        <v>3099</v>
      </c>
      <c r="J87" s="581" t="s">
        <v>628</v>
      </c>
      <c r="K87" s="578"/>
      <c r="L87" s="578"/>
      <c r="M87" s="580">
        <v>7267</v>
      </c>
      <c r="N87" s="581" t="s">
        <v>120</v>
      </c>
    </row>
    <row r="88" spans="1:14">
      <c r="A88" s="580">
        <v>4158</v>
      </c>
      <c r="B88" s="581" t="s">
        <v>127</v>
      </c>
      <c r="C88" s="580">
        <v>6112</v>
      </c>
      <c r="D88" s="581" t="s">
        <v>132</v>
      </c>
      <c r="E88" s="583">
        <v>5116</v>
      </c>
      <c r="F88" s="581" t="s">
        <v>119</v>
      </c>
      <c r="G88" s="580">
        <v>2105</v>
      </c>
      <c r="H88" s="581" t="s">
        <v>109</v>
      </c>
      <c r="I88" s="580">
        <v>3101</v>
      </c>
      <c r="J88" s="581" t="s">
        <v>113</v>
      </c>
      <c r="K88" s="578"/>
      <c r="L88" s="578"/>
      <c r="M88" s="580">
        <v>7268</v>
      </c>
      <c r="N88" s="581" t="s">
        <v>120</v>
      </c>
    </row>
    <row r="89" spans="1:14">
      <c r="A89" s="580">
        <v>4159</v>
      </c>
      <c r="B89" s="581" t="s">
        <v>127</v>
      </c>
      <c r="C89" s="580">
        <v>6121</v>
      </c>
      <c r="D89" s="581" t="s">
        <v>132</v>
      </c>
      <c r="E89" s="583">
        <v>5117</v>
      </c>
      <c r="F89" s="581" t="s">
        <v>119</v>
      </c>
      <c r="G89" s="580">
        <v>2106</v>
      </c>
      <c r="H89" s="581" t="s">
        <v>109</v>
      </c>
      <c r="I89" s="580">
        <v>3102</v>
      </c>
      <c r="J89" s="581" t="s">
        <v>113</v>
      </c>
      <c r="K89" s="578"/>
      <c r="L89" s="578"/>
      <c r="M89" s="580">
        <v>7270</v>
      </c>
      <c r="N89" s="581" t="s">
        <v>120</v>
      </c>
    </row>
    <row r="90" spans="1:14">
      <c r="A90" s="580">
        <v>4160</v>
      </c>
      <c r="B90" s="581" t="s">
        <v>127</v>
      </c>
      <c r="C90" s="580">
        <v>6122</v>
      </c>
      <c r="D90" s="581" t="s">
        <v>132</v>
      </c>
      <c r="E90" s="583">
        <v>5118</v>
      </c>
      <c r="F90" s="581" t="s">
        <v>119</v>
      </c>
      <c r="G90" s="580">
        <v>2107</v>
      </c>
      <c r="H90" s="581" t="s">
        <v>109</v>
      </c>
      <c r="I90" s="580">
        <v>3103</v>
      </c>
      <c r="J90" s="581" t="s">
        <v>113</v>
      </c>
      <c r="K90" s="578"/>
      <c r="L90" s="578"/>
      <c r="M90" s="580">
        <v>7275</v>
      </c>
      <c r="N90" s="581" t="s">
        <v>120</v>
      </c>
    </row>
    <row r="91" spans="1:14">
      <c r="A91" s="580">
        <v>4161</v>
      </c>
      <c r="B91" s="581" t="s">
        <v>127</v>
      </c>
      <c r="C91" s="580">
        <v>6123</v>
      </c>
      <c r="D91" s="581" t="s">
        <v>132</v>
      </c>
      <c r="E91" s="583">
        <v>5120</v>
      </c>
      <c r="F91" s="581" t="s">
        <v>119</v>
      </c>
      <c r="G91" s="580">
        <v>2108</v>
      </c>
      <c r="H91" s="581" t="s">
        <v>109</v>
      </c>
      <c r="I91" s="580">
        <v>3104</v>
      </c>
      <c r="J91" s="581" t="s">
        <v>113</v>
      </c>
      <c r="K91" s="578"/>
      <c r="L91" s="578"/>
      <c r="M91" s="580">
        <v>7276</v>
      </c>
      <c r="N91" s="581" t="s">
        <v>120</v>
      </c>
    </row>
    <row r="92" spans="1:14">
      <c r="A92" s="580">
        <v>4163</v>
      </c>
      <c r="B92" s="581" t="s">
        <v>127</v>
      </c>
      <c r="C92" s="580">
        <v>6124</v>
      </c>
      <c r="D92" s="581" t="s">
        <v>132</v>
      </c>
      <c r="E92" s="583">
        <v>5121</v>
      </c>
      <c r="F92" s="581" t="s">
        <v>119</v>
      </c>
      <c r="G92" s="580">
        <v>2109</v>
      </c>
      <c r="H92" s="581" t="s">
        <v>109</v>
      </c>
      <c r="I92" s="580">
        <v>3105</v>
      </c>
      <c r="J92" s="581" t="s">
        <v>113</v>
      </c>
      <c r="K92" s="578"/>
      <c r="L92" s="578"/>
      <c r="M92" s="580">
        <v>7277</v>
      </c>
      <c r="N92" s="581" t="s">
        <v>120</v>
      </c>
    </row>
    <row r="93" spans="1:14">
      <c r="A93" s="580">
        <v>4164</v>
      </c>
      <c r="B93" s="581" t="s">
        <v>127</v>
      </c>
      <c r="C93" s="580">
        <v>6125</v>
      </c>
      <c r="D93" s="581" t="s">
        <v>132</v>
      </c>
      <c r="E93" s="583">
        <v>5125</v>
      </c>
      <c r="F93" s="581" t="s">
        <v>119</v>
      </c>
      <c r="G93" s="580">
        <v>2110</v>
      </c>
      <c r="H93" s="581" t="s">
        <v>109</v>
      </c>
      <c r="I93" s="580">
        <v>3106</v>
      </c>
      <c r="J93" s="581" t="s">
        <v>117</v>
      </c>
      <c r="K93" s="578"/>
      <c r="L93" s="578"/>
      <c r="M93" s="580">
        <v>7290</v>
      </c>
      <c r="N93" s="581" t="s">
        <v>120</v>
      </c>
    </row>
    <row r="94" spans="1:14">
      <c r="A94" s="580">
        <v>4165</v>
      </c>
      <c r="B94" s="581" t="s">
        <v>127</v>
      </c>
      <c r="C94" s="580">
        <v>6126</v>
      </c>
      <c r="D94" s="581" t="s">
        <v>132</v>
      </c>
      <c r="E94" s="583">
        <v>5126</v>
      </c>
      <c r="F94" s="581" t="s">
        <v>119</v>
      </c>
      <c r="G94" s="580">
        <v>2111</v>
      </c>
      <c r="H94" s="581" t="s">
        <v>109</v>
      </c>
      <c r="I94" s="580">
        <v>3107</v>
      </c>
      <c r="J94" s="581" t="s">
        <v>117</v>
      </c>
      <c r="K94" s="578"/>
      <c r="L94" s="578"/>
      <c r="M94" s="580">
        <v>7291</v>
      </c>
      <c r="N94" s="581" t="s">
        <v>120</v>
      </c>
    </row>
    <row r="95" spans="1:14">
      <c r="A95" s="580">
        <v>4169</v>
      </c>
      <c r="B95" s="581" t="s">
        <v>127</v>
      </c>
      <c r="C95" s="580">
        <v>6147</v>
      </c>
      <c r="D95" s="581" t="s">
        <v>132</v>
      </c>
      <c r="E95" s="583">
        <v>5127</v>
      </c>
      <c r="F95" s="581" t="s">
        <v>119</v>
      </c>
      <c r="G95" s="580">
        <v>2112</v>
      </c>
      <c r="H95" s="581" t="s">
        <v>109</v>
      </c>
      <c r="I95" s="580">
        <v>3108</v>
      </c>
      <c r="J95" s="581" t="s">
        <v>113</v>
      </c>
      <c r="K95" s="578"/>
      <c r="L95" s="578"/>
      <c r="M95" s="580">
        <v>7292</v>
      </c>
      <c r="N95" s="581" t="s">
        <v>120</v>
      </c>
    </row>
    <row r="96" spans="1:14">
      <c r="A96" s="580">
        <v>4170</v>
      </c>
      <c r="B96" s="581" t="s">
        <v>127</v>
      </c>
      <c r="C96" s="580">
        <v>6148</v>
      </c>
      <c r="D96" s="581" t="s">
        <v>132</v>
      </c>
      <c r="E96" s="583">
        <v>5131</v>
      </c>
      <c r="F96" s="581" t="s">
        <v>119</v>
      </c>
      <c r="G96" s="580">
        <v>2113</v>
      </c>
      <c r="H96" s="581" t="s">
        <v>109</v>
      </c>
      <c r="I96" s="580">
        <v>3109</v>
      </c>
      <c r="J96" s="581" t="s">
        <v>117</v>
      </c>
      <c r="K96" s="578"/>
      <c r="L96" s="578"/>
      <c r="M96" s="580">
        <v>7300</v>
      </c>
      <c r="N96" s="581" t="s">
        <v>120</v>
      </c>
    </row>
    <row r="97" spans="1:14">
      <c r="A97" s="580">
        <v>4171</v>
      </c>
      <c r="B97" s="581" t="s">
        <v>127</v>
      </c>
      <c r="C97" s="580">
        <v>6149</v>
      </c>
      <c r="D97" s="581" t="s">
        <v>132</v>
      </c>
      <c r="E97" s="583">
        <v>5132</v>
      </c>
      <c r="F97" s="581" t="s">
        <v>119</v>
      </c>
      <c r="G97" s="580">
        <v>2114</v>
      </c>
      <c r="H97" s="581" t="s">
        <v>109</v>
      </c>
      <c r="I97" s="580">
        <v>3111</v>
      </c>
      <c r="J97" s="581" t="s">
        <v>117</v>
      </c>
      <c r="K97" s="578"/>
      <c r="L97" s="578"/>
      <c r="M97" s="580">
        <v>7301</v>
      </c>
      <c r="N97" s="581" t="s">
        <v>120</v>
      </c>
    </row>
    <row r="98" spans="1:14">
      <c r="A98" s="580">
        <v>4172</v>
      </c>
      <c r="B98" s="581" t="s">
        <v>127</v>
      </c>
      <c r="C98" s="580">
        <v>6150</v>
      </c>
      <c r="D98" s="581" t="s">
        <v>132</v>
      </c>
      <c r="E98" s="583">
        <v>5133</v>
      </c>
      <c r="F98" s="581" t="s">
        <v>119</v>
      </c>
      <c r="G98" s="580">
        <v>2115</v>
      </c>
      <c r="H98" s="581" t="s">
        <v>109</v>
      </c>
      <c r="I98" s="580">
        <v>3113</v>
      </c>
      <c r="J98" s="581" t="s">
        <v>117</v>
      </c>
      <c r="K98" s="578"/>
      <c r="L98" s="578"/>
      <c r="M98" s="580">
        <v>7302</v>
      </c>
      <c r="N98" s="581" t="s">
        <v>120</v>
      </c>
    </row>
    <row r="99" spans="1:14">
      <c r="A99" s="580">
        <v>4173</v>
      </c>
      <c r="B99" s="581" t="s">
        <v>127</v>
      </c>
      <c r="C99" s="580">
        <v>6151</v>
      </c>
      <c r="D99" s="581" t="s">
        <v>132</v>
      </c>
      <c r="E99" s="583">
        <v>5134</v>
      </c>
      <c r="F99" s="581" t="s">
        <v>119</v>
      </c>
      <c r="G99" s="580">
        <v>2116</v>
      </c>
      <c r="H99" s="581" t="s">
        <v>109</v>
      </c>
      <c r="I99" s="580">
        <v>3114</v>
      </c>
      <c r="J99" s="581" t="s">
        <v>117</v>
      </c>
      <c r="K99" s="578"/>
      <c r="L99" s="578"/>
      <c r="M99" s="580">
        <v>7303</v>
      </c>
      <c r="N99" s="581" t="s">
        <v>120</v>
      </c>
    </row>
    <row r="100" spans="1:14">
      <c r="A100" s="580">
        <v>4174</v>
      </c>
      <c r="B100" s="581" t="s">
        <v>127</v>
      </c>
      <c r="C100" s="580">
        <v>6152</v>
      </c>
      <c r="D100" s="581" t="s">
        <v>132</v>
      </c>
      <c r="E100" s="583">
        <v>5136</v>
      </c>
      <c r="F100" s="581" t="s">
        <v>119</v>
      </c>
      <c r="G100" s="580">
        <v>2117</v>
      </c>
      <c r="H100" s="581" t="s">
        <v>109</v>
      </c>
      <c r="I100" s="580">
        <v>3115</v>
      </c>
      <c r="J100" s="581" t="s">
        <v>628</v>
      </c>
      <c r="K100" s="578"/>
      <c r="L100" s="578"/>
      <c r="M100" s="580">
        <v>7304</v>
      </c>
      <c r="N100" s="581" t="s">
        <v>120</v>
      </c>
    </row>
    <row r="101" spans="1:14">
      <c r="A101" s="580">
        <v>4178</v>
      </c>
      <c r="B101" s="581" t="s">
        <v>127</v>
      </c>
      <c r="C101" s="580">
        <v>6153</v>
      </c>
      <c r="D101" s="581" t="s">
        <v>132</v>
      </c>
      <c r="E101" s="583">
        <v>5137</v>
      </c>
      <c r="F101" s="581" t="s">
        <v>119</v>
      </c>
      <c r="G101" s="580">
        <v>2118</v>
      </c>
      <c r="H101" s="581" t="s">
        <v>109</v>
      </c>
      <c r="I101" s="580">
        <v>3116</v>
      </c>
      <c r="J101" s="581" t="s">
        <v>628</v>
      </c>
      <c r="K101" s="578"/>
      <c r="L101" s="578"/>
      <c r="M101" s="580">
        <v>7305</v>
      </c>
      <c r="N101" s="581" t="s">
        <v>120</v>
      </c>
    </row>
    <row r="102" spans="1:14">
      <c r="A102" s="580">
        <v>4179</v>
      </c>
      <c r="B102" s="581" t="s">
        <v>127</v>
      </c>
      <c r="C102" s="580">
        <v>6154</v>
      </c>
      <c r="D102" s="581" t="s">
        <v>132</v>
      </c>
      <c r="E102" s="583">
        <v>5138</v>
      </c>
      <c r="F102" s="581" t="s">
        <v>119</v>
      </c>
      <c r="G102" s="580">
        <v>2119</v>
      </c>
      <c r="H102" s="581" t="s">
        <v>109</v>
      </c>
      <c r="I102" s="580">
        <v>3121</v>
      </c>
      <c r="J102" s="581" t="s">
        <v>113</v>
      </c>
      <c r="K102" s="578"/>
      <c r="L102" s="578"/>
      <c r="M102" s="580">
        <v>7306</v>
      </c>
      <c r="N102" s="581" t="s">
        <v>120</v>
      </c>
    </row>
    <row r="103" spans="1:14">
      <c r="A103" s="580">
        <v>4179</v>
      </c>
      <c r="B103" s="581" t="s">
        <v>127</v>
      </c>
      <c r="C103" s="580">
        <v>6155</v>
      </c>
      <c r="D103" s="581" t="s">
        <v>132</v>
      </c>
      <c r="E103" s="583">
        <v>5139</v>
      </c>
      <c r="F103" s="581" t="s">
        <v>119</v>
      </c>
      <c r="G103" s="580">
        <v>2120</v>
      </c>
      <c r="H103" s="581" t="s">
        <v>109</v>
      </c>
      <c r="I103" s="580">
        <v>3122</v>
      </c>
      <c r="J103" s="581" t="s">
        <v>113</v>
      </c>
      <c r="K103" s="578"/>
      <c r="L103" s="578"/>
      <c r="M103" s="580">
        <v>7307</v>
      </c>
      <c r="N103" s="581" t="s">
        <v>120</v>
      </c>
    </row>
    <row r="104" spans="1:14">
      <c r="A104" s="580">
        <v>4180</v>
      </c>
      <c r="B104" s="581" t="s">
        <v>127</v>
      </c>
      <c r="C104" s="580">
        <v>6156</v>
      </c>
      <c r="D104" s="581" t="s">
        <v>132</v>
      </c>
      <c r="E104" s="583">
        <v>5140</v>
      </c>
      <c r="F104" s="581" t="s">
        <v>119</v>
      </c>
      <c r="G104" s="580">
        <v>2121</v>
      </c>
      <c r="H104" s="581" t="s">
        <v>109</v>
      </c>
      <c r="I104" s="580">
        <v>3123</v>
      </c>
      <c r="J104" s="581" t="s">
        <v>113</v>
      </c>
      <c r="K104" s="578"/>
      <c r="L104" s="578"/>
      <c r="M104" s="580">
        <v>7310</v>
      </c>
      <c r="N104" s="581" t="s">
        <v>120</v>
      </c>
    </row>
    <row r="105" spans="1:14">
      <c r="A105" s="580">
        <v>4181</v>
      </c>
      <c r="B105" s="581" t="s">
        <v>127</v>
      </c>
      <c r="C105" s="580">
        <v>6157</v>
      </c>
      <c r="D105" s="581" t="s">
        <v>132</v>
      </c>
      <c r="E105" s="583">
        <v>5141</v>
      </c>
      <c r="F105" s="581" t="s">
        <v>119</v>
      </c>
      <c r="G105" s="580">
        <v>2122</v>
      </c>
      <c r="H105" s="581" t="s">
        <v>109</v>
      </c>
      <c r="I105" s="580">
        <v>3124</v>
      </c>
      <c r="J105" s="581" t="s">
        <v>113</v>
      </c>
      <c r="K105" s="578"/>
      <c r="L105" s="578"/>
      <c r="M105" s="580">
        <v>7315</v>
      </c>
      <c r="N105" s="581" t="s">
        <v>120</v>
      </c>
    </row>
    <row r="106" spans="1:14">
      <c r="A106" s="580">
        <v>4182</v>
      </c>
      <c r="B106" s="581" t="s">
        <v>127</v>
      </c>
      <c r="C106" s="580">
        <v>6158</v>
      </c>
      <c r="D106" s="581" t="s">
        <v>132</v>
      </c>
      <c r="E106" s="583">
        <v>5142</v>
      </c>
      <c r="F106" s="581" t="s">
        <v>119</v>
      </c>
      <c r="G106" s="580">
        <v>2125</v>
      </c>
      <c r="H106" s="581" t="s">
        <v>109</v>
      </c>
      <c r="I106" s="580">
        <v>3125</v>
      </c>
      <c r="J106" s="581" t="s">
        <v>113</v>
      </c>
      <c r="K106" s="578"/>
      <c r="L106" s="578"/>
      <c r="M106" s="580">
        <v>7316</v>
      </c>
      <c r="N106" s="581" t="s">
        <v>120</v>
      </c>
    </row>
    <row r="107" spans="1:14">
      <c r="A107" s="580">
        <v>4183</v>
      </c>
      <c r="B107" s="581" t="s">
        <v>127</v>
      </c>
      <c r="C107" s="580">
        <v>6159</v>
      </c>
      <c r="D107" s="581" t="s">
        <v>132</v>
      </c>
      <c r="E107" s="583">
        <v>5144</v>
      </c>
      <c r="F107" s="581" t="s">
        <v>119</v>
      </c>
      <c r="G107" s="580">
        <v>2126</v>
      </c>
      <c r="H107" s="581" t="s">
        <v>109</v>
      </c>
      <c r="I107" s="580">
        <v>3126</v>
      </c>
      <c r="J107" s="581" t="s">
        <v>113</v>
      </c>
      <c r="K107" s="578"/>
      <c r="L107" s="578"/>
      <c r="M107" s="580">
        <v>7320</v>
      </c>
      <c r="N107" s="581" t="s">
        <v>120</v>
      </c>
    </row>
    <row r="108" spans="1:14">
      <c r="A108" s="580">
        <v>4184</v>
      </c>
      <c r="B108" s="581" t="s">
        <v>127</v>
      </c>
      <c r="C108" s="580">
        <v>6160</v>
      </c>
      <c r="D108" s="581" t="s">
        <v>132</v>
      </c>
      <c r="E108" s="583">
        <v>5150</v>
      </c>
      <c r="F108" s="581" t="s">
        <v>119</v>
      </c>
      <c r="G108" s="580">
        <v>2127</v>
      </c>
      <c r="H108" s="581" t="s">
        <v>109</v>
      </c>
      <c r="I108" s="580">
        <v>3127</v>
      </c>
      <c r="J108" s="581" t="s">
        <v>113</v>
      </c>
      <c r="K108" s="578"/>
      <c r="L108" s="578"/>
      <c r="M108" s="580">
        <v>7321</v>
      </c>
      <c r="N108" s="581" t="s">
        <v>120</v>
      </c>
    </row>
    <row r="109" spans="1:14">
      <c r="A109" s="580">
        <v>4205</v>
      </c>
      <c r="B109" s="581" t="s">
        <v>127</v>
      </c>
      <c r="C109" s="580">
        <v>6162</v>
      </c>
      <c r="D109" s="581" t="s">
        <v>132</v>
      </c>
      <c r="E109" s="583">
        <v>5151</v>
      </c>
      <c r="F109" s="581" t="s">
        <v>119</v>
      </c>
      <c r="G109" s="580">
        <v>2128</v>
      </c>
      <c r="H109" s="581" t="s">
        <v>109</v>
      </c>
      <c r="I109" s="580">
        <v>3128</v>
      </c>
      <c r="J109" s="581" t="s">
        <v>117</v>
      </c>
      <c r="K109" s="578"/>
      <c r="L109" s="578"/>
      <c r="M109" s="580">
        <v>7322</v>
      </c>
      <c r="N109" s="581" t="s">
        <v>120</v>
      </c>
    </row>
    <row r="110" spans="1:14">
      <c r="A110" s="580">
        <v>4207</v>
      </c>
      <c r="B110" s="581" t="s">
        <v>127</v>
      </c>
      <c r="C110" s="580">
        <v>6163</v>
      </c>
      <c r="D110" s="581" t="s">
        <v>132</v>
      </c>
      <c r="E110" s="583">
        <v>5152</v>
      </c>
      <c r="F110" s="581" t="s">
        <v>119</v>
      </c>
      <c r="G110" s="580">
        <v>2130</v>
      </c>
      <c r="H110" s="581" t="s">
        <v>109</v>
      </c>
      <c r="I110" s="580">
        <v>3129</v>
      </c>
      <c r="J110" s="581" t="s">
        <v>113</v>
      </c>
      <c r="K110" s="578"/>
      <c r="L110" s="578"/>
      <c r="M110" s="580">
        <v>7325</v>
      </c>
      <c r="N110" s="581" t="s">
        <v>120</v>
      </c>
    </row>
    <row r="111" spans="1:14">
      <c r="A111" s="580">
        <v>4208</v>
      </c>
      <c r="B111" s="581" t="s">
        <v>127</v>
      </c>
      <c r="C111" s="580">
        <v>6164</v>
      </c>
      <c r="D111" s="581" t="s">
        <v>132</v>
      </c>
      <c r="E111" s="583">
        <v>5153</v>
      </c>
      <c r="F111" s="581" t="s">
        <v>119</v>
      </c>
      <c r="G111" s="580">
        <v>2131</v>
      </c>
      <c r="H111" s="581" t="s">
        <v>109</v>
      </c>
      <c r="I111" s="580">
        <v>3130</v>
      </c>
      <c r="J111" s="581" t="s">
        <v>117</v>
      </c>
      <c r="K111" s="578"/>
      <c r="L111" s="578"/>
      <c r="M111" s="580">
        <v>7330</v>
      </c>
      <c r="N111" s="581" t="s">
        <v>120</v>
      </c>
    </row>
    <row r="112" spans="1:14">
      <c r="A112" s="580">
        <v>4209</v>
      </c>
      <c r="B112" s="581" t="s">
        <v>127</v>
      </c>
      <c r="C112" s="580">
        <v>6165</v>
      </c>
      <c r="D112" s="581" t="s">
        <v>132</v>
      </c>
      <c r="E112" s="583">
        <v>5154</v>
      </c>
      <c r="F112" s="581" t="s">
        <v>119</v>
      </c>
      <c r="G112" s="580">
        <v>2132</v>
      </c>
      <c r="H112" s="581" t="s">
        <v>109</v>
      </c>
      <c r="I112" s="580">
        <v>3131</v>
      </c>
      <c r="J112" s="581" t="s">
        <v>117</v>
      </c>
      <c r="K112" s="578"/>
      <c r="L112" s="578"/>
      <c r="M112" s="580">
        <v>7331</v>
      </c>
      <c r="N112" s="581" t="s">
        <v>120</v>
      </c>
    </row>
    <row r="113" spans="1:14">
      <c r="A113" s="580">
        <v>4210</v>
      </c>
      <c r="B113" s="581" t="s">
        <v>127</v>
      </c>
      <c r="C113" s="580">
        <v>6166</v>
      </c>
      <c r="D113" s="581" t="s">
        <v>132</v>
      </c>
      <c r="E113" s="583">
        <v>5155</v>
      </c>
      <c r="F113" s="581" t="s">
        <v>119</v>
      </c>
      <c r="G113" s="580">
        <v>2133</v>
      </c>
      <c r="H113" s="581" t="s">
        <v>109</v>
      </c>
      <c r="I113" s="580">
        <v>3132</v>
      </c>
      <c r="J113" s="581" t="s">
        <v>117</v>
      </c>
      <c r="K113" s="578"/>
      <c r="L113" s="578"/>
      <c r="M113" s="580">
        <v>7466</v>
      </c>
      <c r="N113" s="581" t="s">
        <v>120</v>
      </c>
    </row>
    <row r="114" spans="1:14">
      <c r="A114" s="580">
        <v>4211</v>
      </c>
      <c r="B114" s="581" t="s">
        <v>127</v>
      </c>
      <c r="C114" s="580">
        <v>6167</v>
      </c>
      <c r="D114" s="581" t="s">
        <v>132</v>
      </c>
      <c r="E114" s="583">
        <v>5156</v>
      </c>
      <c r="F114" s="581" t="s">
        <v>119</v>
      </c>
      <c r="G114" s="580">
        <v>2134</v>
      </c>
      <c r="H114" s="581" t="s">
        <v>109</v>
      </c>
      <c r="I114" s="580">
        <v>3133</v>
      </c>
      <c r="J114" s="581" t="s">
        <v>117</v>
      </c>
      <c r="K114" s="578"/>
      <c r="L114" s="578"/>
      <c r="M114" s="580">
        <v>7467</v>
      </c>
      <c r="N114" s="581" t="s">
        <v>120</v>
      </c>
    </row>
    <row r="115" spans="1:14">
      <c r="A115" s="580">
        <v>4212</v>
      </c>
      <c r="B115" s="581" t="s">
        <v>127</v>
      </c>
      <c r="C115" s="580">
        <v>6168</v>
      </c>
      <c r="D115" s="581" t="s">
        <v>132</v>
      </c>
      <c r="E115" s="583">
        <v>5157</v>
      </c>
      <c r="F115" s="581" t="s">
        <v>119</v>
      </c>
      <c r="G115" s="580">
        <v>2135</v>
      </c>
      <c r="H115" s="581" t="s">
        <v>109</v>
      </c>
      <c r="I115" s="580">
        <v>3134</v>
      </c>
      <c r="J115" s="581" t="s">
        <v>117</v>
      </c>
      <c r="K115" s="578"/>
      <c r="L115" s="578"/>
      <c r="M115" s="580">
        <v>7468</v>
      </c>
      <c r="N115" s="581" t="s">
        <v>120</v>
      </c>
    </row>
    <row r="116" spans="1:14">
      <c r="A116" s="580">
        <v>4213</v>
      </c>
      <c r="B116" s="581" t="s">
        <v>127</v>
      </c>
      <c r="C116" s="580">
        <v>6169</v>
      </c>
      <c r="D116" s="581" t="s">
        <v>132</v>
      </c>
      <c r="E116" s="583">
        <v>5158</v>
      </c>
      <c r="F116" s="581" t="s">
        <v>119</v>
      </c>
      <c r="G116" s="580">
        <v>2136</v>
      </c>
      <c r="H116" s="581" t="s">
        <v>109</v>
      </c>
      <c r="I116" s="580">
        <v>3135</v>
      </c>
      <c r="J116" s="581" t="s">
        <v>628</v>
      </c>
      <c r="K116" s="578"/>
      <c r="L116" s="578"/>
      <c r="M116" s="580">
        <v>7469</v>
      </c>
      <c r="N116" s="581" t="s">
        <v>120</v>
      </c>
    </row>
    <row r="117" spans="1:14">
      <c r="A117" s="580">
        <v>4214</v>
      </c>
      <c r="B117" s="581" t="s">
        <v>127</v>
      </c>
      <c r="C117" s="580">
        <v>6170</v>
      </c>
      <c r="D117" s="581" t="s">
        <v>132</v>
      </c>
      <c r="E117" s="583">
        <v>5159</v>
      </c>
      <c r="F117" s="581" t="s">
        <v>119</v>
      </c>
      <c r="G117" s="580">
        <v>2137</v>
      </c>
      <c r="H117" s="581" t="s">
        <v>109</v>
      </c>
      <c r="I117" s="580">
        <v>3136</v>
      </c>
      <c r="J117" s="581" t="s">
        <v>628</v>
      </c>
      <c r="K117" s="578"/>
      <c r="L117" s="578"/>
      <c r="M117" s="580">
        <v>7470</v>
      </c>
      <c r="N117" s="581" t="s">
        <v>120</v>
      </c>
    </row>
    <row r="118" spans="1:14">
      <c r="A118" s="580">
        <v>4215</v>
      </c>
      <c r="B118" s="581" t="s">
        <v>127</v>
      </c>
      <c r="C118" s="580">
        <v>6171</v>
      </c>
      <c r="D118" s="581" t="s">
        <v>132</v>
      </c>
      <c r="E118" s="583">
        <v>5160</v>
      </c>
      <c r="F118" s="581" t="s">
        <v>119</v>
      </c>
      <c r="G118" s="580">
        <v>2138</v>
      </c>
      <c r="H118" s="581" t="s">
        <v>109</v>
      </c>
      <c r="I118" s="580">
        <v>3137</v>
      </c>
      <c r="J118" s="581" t="s">
        <v>628</v>
      </c>
      <c r="K118" s="578"/>
      <c r="L118" s="578"/>
      <c r="M118" s="578"/>
      <c r="N118" s="578"/>
    </row>
    <row r="119" spans="1:14">
      <c r="A119" s="580">
        <v>4216</v>
      </c>
      <c r="B119" s="581" t="s">
        <v>127</v>
      </c>
      <c r="C119" s="580">
        <v>6172</v>
      </c>
      <c r="D119" s="581" t="s">
        <v>132</v>
      </c>
      <c r="E119" s="583">
        <v>5161</v>
      </c>
      <c r="F119" s="581" t="s">
        <v>119</v>
      </c>
      <c r="G119" s="580">
        <v>2140</v>
      </c>
      <c r="H119" s="581" t="s">
        <v>109</v>
      </c>
      <c r="I119" s="580">
        <v>3138</v>
      </c>
      <c r="J119" s="581" t="s">
        <v>628</v>
      </c>
      <c r="K119" s="578"/>
      <c r="L119" s="578"/>
      <c r="M119" s="578"/>
      <c r="N119" s="578"/>
    </row>
    <row r="120" spans="1:14">
      <c r="A120" s="580">
        <v>4217</v>
      </c>
      <c r="B120" s="581" t="s">
        <v>127</v>
      </c>
      <c r="C120" s="580">
        <v>6173</v>
      </c>
      <c r="D120" s="581" t="s">
        <v>132</v>
      </c>
      <c r="E120" s="583">
        <v>5162</v>
      </c>
      <c r="F120" s="581" t="s">
        <v>119</v>
      </c>
      <c r="G120" s="580">
        <v>2141</v>
      </c>
      <c r="H120" s="581" t="s">
        <v>109</v>
      </c>
      <c r="I120" s="580">
        <v>3139</v>
      </c>
      <c r="J120" s="581" t="s">
        <v>628</v>
      </c>
      <c r="K120" s="578"/>
      <c r="L120" s="578"/>
      <c r="M120" s="578"/>
      <c r="N120" s="578"/>
    </row>
    <row r="121" spans="1:14">
      <c r="A121" s="580">
        <v>4218</v>
      </c>
      <c r="B121" s="581" t="s">
        <v>127</v>
      </c>
      <c r="C121" s="580">
        <v>6174</v>
      </c>
      <c r="D121" s="581" t="s">
        <v>132</v>
      </c>
      <c r="E121" s="583">
        <v>5163</v>
      </c>
      <c r="F121" s="581" t="s">
        <v>119</v>
      </c>
      <c r="G121" s="580">
        <v>2142</v>
      </c>
      <c r="H121" s="581" t="s">
        <v>109</v>
      </c>
      <c r="I121" s="580">
        <v>3140</v>
      </c>
      <c r="J121" s="581" t="s">
        <v>628</v>
      </c>
      <c r="K121" s="578"/>
      <c r="L121" s="578"/>
      <c r="M121" s="578"/>
      <c r="N121" s="578"/>
    </row>
    <row r="122" spans="1:14">
      <c r="A122" s="580">
        <v>4219</v>
      </c>
      <c r="B122" s="581" t="s">
        <v>127</v>
      </c>
      <c r="C122" s="580">
        <v>6175</v>
      </c>
      <c r="D122" s="581" t="s">
        <v>132</v>
      </c>
      <c r="E122" s="583">
        <v>5164</v>
      </c>
      <c r="F122" s="581" t="s">
        <v>119</v>
      </c>
      <c r="G122" s="580">
        <v>2143</v>
      </c>
      <c r="H122" s="581" t="s">
        <v>109</v>
      </c>
      <c r="I122" s="580">
        <v>3141</v>
      </c>
      <c r="J122" s="581" t="s">
        <v>113</v>
      </c>
      <c r="K122" s="578"/>
      <c r="L122" s="578"/>
      <c r="M122" s="578"/>
      <c r="N122" s="578"/>
    </row>
    <row r="123" spans="1:14">
      <c r="A123" s="580">
        <v>4220</v>
      </c>
      <c r="B123" s="581" t="s">
        <v>127</v>
      </c>
      <c r="C123" s="580">
        <v>6176</v>
      </c>
      <c r="D123" s="581" t="s">
        <v>132</v>
      </c>
      <c r="E123" s="583">
        <v>5165</v>
      </c>
      <c r="F123" s="581" t="s">
        <v>119</v>
      </c>
      <c r="G123" s="580">
        <v>2144</v>
      </c>
      <c r="H123" s="581" t="s">
        <v>109</v>
      </c>
      <c r="I123" s="580">
        <v>3142</v>
      </c>
      <c r="J123" s="581" t="s">
        <v>113</v>
      </c>
      <c r="K123" s="578"/>
      <c r="L123" s="578"/>
      <c r="M123" s="578"/>
      <c r="N123" s="578"/>
    </row>
    <row r="124" spans="1:14">
      <c r="A124" s="580">
        <v>4221</v>
      </c>
      <c r="B124" s="581" t="s">
        <v>127</v>
      </c>
      <c r="C124" s="580">
        <v>6180</v>
      </c>
      <c r="D124" s="581" t="s">
        <v>132</v>
      </c>
      <c r="E124" s="583">
        <v>5166</v>
      </c>
      <c r="F124" s="581" t="s">
        <v>119</v>
      </c>
      <c r="G124" s="580">
        <v>2145</v>
      </c>
      <c r="H124" s="581" t="s">
        <v>109</v>
      </c>
      <c r="I124" s="580">
        <v>3143</v>
      </c>
      <c r="J124" s="581" t="s">
        <v>113</v>
      </c>
      <c r="K124" s="578"/>
      <c r="L124" s="578"/>
      <c r="M124" s="578"/>
      <c r="N124" s="578"/>
    </row>
    <row r="125" spans="1:14">
      <c r="A125" s="580">
        <v>4223</v>
      </c>
      <c r="B125" s="581" t="s">
        <v>127</v>
      </c>
      <c r="C125" s="580">
        <v>6181</v>
      </c>
      <c r="D125" s="581" t="s">
        <v>132</v>
      </c>
      <c r="E125" s="583">
        <v>5167</v>
      </c>
      <c r="F125" s="581" t="s">
        <v>119</v>
      </c>
      <c r="G125" s="580">
        <v>2146</v>
      </c>
      <c r="H125" s="581" t="s">
        <v>109</v>
      </c>
      <c r="I125" s="580">
        <v>3144</v>
      </c>
      <c r="J125" s="581" t="s">
        <v>113</v>
      </c>
      <c r="K125" s="578"/>
      <c r="L125" s="578"/>
      <c r="M125" s="578"/>
      <c r="N125" s="578"/>
    </row>
    <row r="126" spans="1:14">
      <c r="A126" s="580">
        <v>4224</v>
      </c>
      <c r="B126" s="581" t="s">
        <v>127</v>
      </c>
      <c r="C126" s="580">
        <v>6182</v>
      </c>
      <c r="D126" s="581" t="s">
        <v>132</v>
      </c>
      <c r="E126" s="583">
        <v>5168</v>
      </c>
      <c r="F126" s="581" t="s">
        <v>119</v>
      </c>
      <c r="G126" s="580">
        <v>2147</v>
      </c>
      <c r="H126" s="581" t="s">
        <v>109</v>
      </c>
      <c r="I126" s="580">
        <v>3145</v>
      </c>
      <c r="J126" s="581" t="s">
        <v>117</v>
      </c>
      <c r="K126" s="578"/>
      <c r="L126" s="578"/>
      <c r="M126" s="578"/>
      <c r="N126" s="578"/>
    </row>
    <row r="127" spans="1:14">
      <c r="A127" s="580">
        <v>4225</v>
      </c>
      <c r="B127" s="581" t="s">
        <v>127</v>
      </c>
      <c r="C127" s="580">
        <v>6208</v>
      </c>
      <c r="D127" s="581" t="s">
        <v>132</v>
      </c>
      <c r="E127" s="583">
        <v>5169</v>
      </c>
      <c r="F127" s="581" t="s">
        <v>119</v>
      </c>
      <c r="G127" s="580">
        <v>2148</v>
      </c>
      <c r="H127" s="581" t="s">
        <v>109</v>
      </c>
      <c r="I127" s="580">
        <v>3146</v>
      </c>
      <c r="J127" s="581" t="s">
        <v>117</v>
      </c>
      <c r="K127" s="578"/>
      <c r="L127" s="578"/>
      <c r="M127" s="578"/>
      <c r="N127" s="578"/>
    </row>
    <row r="128" spans="1:14">
      <c r="A128" s="580">
        <v>4226</v>
      </c>
      <c r="B128" s="581" t="s">
        <v>127</v>
      </c>
      <c r="C128" s="580">
        <v>6209</v>
      </c>
      <c r="D128" s="581" t="s">
        <v>132</v>
      </c>
      <c r="E128" s="583">
        <v>5170</v>
      </c>
      <c r="F128" s="581" t="s">
        <v>119</v>
      </c>
      <c r="G128" s="580">
        <v>2150</v>
      </c>
      <c r="H128" s="581" t="s">
        <v>109</v>
      </c>
      <c r="I128" s="580">
        <v>3147</v>
      </c>
      <c r="J128" s="581" t="s">
        <v>117</v>
      </c>
      <c r="K128" s="578"/>
      <c r="L128" s="578"/>
      <c r="M128" s="578"/>
      <c r="N128" s="578"/>
    </row>
    <row r="129" spans="1:10">
      <c r="A129" s="580">
        <v>4227</v>
      </c>
      <c r="B129" s="581" t="s">
        <v>127</v>
      </c>
      <c r="C129" s="580">
        <v>6210</v>
      </c>
      <c r="D129" s="581" t="s">
        <v>132</v>
      </c>
      <c r="E129" s="583">
        <v>5171</v>
      </c>
      <c r="F129" s="581" t="s">
        <v>119</v>
      </c>
      <c r="G129" s="580">
        <v>2151</v>
      </c>
      <c r="H129" s="581" t="s">
        <v>109</v>
      </c>
      <c r="I129" s="580">
        <v>3148</v>
      </c>
      <c r="J129" s="581" t="s">
        <v>117</v>
      </c>
    </row>
    <row r="130" spans="1:10">
      <c r="A130" s="580">
        <v>4228</v>
      </c>
      <c r="B130" s="581" t="s">
        <v>127</v>
      </c>
      <c r="C130" s="580">
        <v>6211</v>
      </c>
      <c r="D130" s="581" t="s">
        <v>132</v>
      </c>
      <c r="E130" s="583">
        <v>5172</v>
      </c>
      <c r="F130" s="581" t="s">
        <v>119</v>
      </c>
      <c r="G130" s="580">
        <v>2152</v>
      </c>
      <c r="H130" s="581" t="s">
        <v>109</v>
      </c>
      <c r="I130" s="580">
        <v>3149</v>
      </c>
      <c r="J130" s="581" t="s">
        <v>117</v>
      </c>
    </row>
    <row r="131" spans="1:10">
      <c r="A131" s="580">
        <v>4230</v>
      </c>
      <c r="B131" s="581" t="s">
        <v>127</v>
      </c>
      <c r="C131" s="580">
        <v>6213</v>
      </c>
      <c r="D131" s="581" t="s">
        <v>132</v>
      </c>
      <c r="E131" s="583">
        <v>5173</v>
      </c>
      <c r="F131" s="581" t="s">
        <v>119</v>
      </c>
      <c r="G131" s="580">
        <v>2153</v>
      </c>
      <c r="H131" s="581" t="s">
        <v>109</v>
      </c>
      <c r="I131" s="580">
        <v>3150</v>
      </c>
      <c r="J131" s="581" t="s">
        <v>117</v>
      </c>
    </row>
    <row r="132" spans="1:10">
      <c r="A132" s="580">
        <v>4270</v>
      </c>
      <c r="B132" s="581" t="s">
        <v>127</v>
      </c>
      <c r="C132" s="580">
        <v>6214</v>
      </c>
      <c r="D132" s="581" t="s">
        <v>132</v>
      </c>
      <c r="E132" s="583">
        <v>5174</v>
      </c>
      <c r="F132" s="581" t="s">
        <v>119</v>
      </c>
      <c r="G132" s="580">
        <v>2154</v>
      </c>
      <c r="H132" s="581" t="s">
        <v>109</v>
      </c>
      <c r="I132" s="580">
        <v>3151</v>
      </c>
      <c r="J132" s="581" t="s">
        <v>117</v>
      </c>
    </row>
    <row r="133" spans="1:10">
      <c r="A133" s="580">
        <v>4271</v>
      </c>
      <c r="B133" s="581" t="s">
        <v>127</v>
      </c>
      <c r="C133" s="580">
        <v>6215</v>
      </c>
      <c r="D133" s="581" t="s">
        <v>132</v>
      </c>
      <c r="E133" s="580">
        <v>5201</v>
      </c>
      <c r="F133" s="581" t="s">
        <v>119</v>
      </c>
      <c r="G133" s="580">
        <v>2155</v>
      </c>
      <c r="H133" s="581" t="s">
        <v>109</v>
      </c>
      <c r="I133" s="580">
        <v>3152</v>
      </c>
      <c r="J133" s="581" t="s">
        <v>117</v>
      </c>
    </row>
    <row r="134" spans="1:10">
      <c r="A134" s="580">
        <v>4272</v>
      </c>
      <c r="B134" s="581" t="s">
        <v>127</v>
      </c>
      <c r="C134" s="580">
        <v>6218</v>
      </c>
      <c r="D134" s="581" t="s">
        <v>132</v>
      </c>
      <c r="E134" s="580">
        <v>5202</v>
      </c>
      <c r="F134" s="581" t="s">
        <v>119</v>
      </c>
      <c r="G134" s="580">
        <v>2156</v>
      </c>
      <c r="H134" s="581" t="s">
        <v>109</v>
      </c>
      <c r="I134" s="580">
        <v>3153</v>
      </c>
      <c r="J134" s="581" t="s">
        <v>628</v>
      </c>
    </row>
    <row r="135" spans="1:10">
      <c r="A135" s="580">
        <v>4275</v>
      </c>
      <c r="B135" s="581" t="s">
        <v>127</v>
      </c>
      <c r="C135" s="580">
        <v>6220</v>
      </c>
      <c r="D135" s="581" t="s">
        <v>132</v>
      </c>
      <c r="E135" s="580">
        <v>5210</v>
      </c>
      <c r="F135" s="581" t="s">
        <v>119</v>
      </c>
      <c r="G135" s="580">
        <v>2157</v>
      </c>
      <c r="H135" s="581" t="s">
        <v>109</v>
      </c>
      <c r="I135" s="580">
        <v>3154</v>
      </c>
      <c r="J135" s="581" t="s">
        <v>628</v>
      </c>
    </row>
    <row r="136" spans="1:10">
      <c r="A136" s="580">
        <v>4280</v>
      </c>
      <c r="B136" s="581" t="s">
        <v>127</v>
      </c>
      <c r="C136" s="580">
        <v>6221</v>
      </c>
      <c r="D136" s="581" t="s">
        <v>132</v>
      </c>
      <c r="E136" s="580">
        <v>5211</v>
      </c>
      <c r="F136" s="581" t="s">
        <v>119</v>
      </c>
      <c r="G136" s="580">
        <v>2158</v>
      </c>
      <c r="H136" s="581" t="s">
        <v>109</v>
      </c>
      <c r="I136" s="580">
        <v>3155</v>
      </c>
      <c r="J136" s="581" t="s">
        <v>628</v>
      </c>
    </row>
    <row r="137" spans="1:10">
      <c r="A137" s="580">
        <v>4285</v>
      </c>
      <c r="B137" s="581" t="s">
        <v>127</v>
      </c>
      <c r="C137" s="580">
        <v>6223</v>
      </c>
      <c r="D137" s="581" t="s">
        <v>132</v>
      </c>
      <c r="E137" s="580">
        <v>5212</v>
      </c>
      <c r="F137" s="581" t="s">
        <v>119</v>
      </c>
      <c r="G137" s="580">
        <v>2159</v>
      </c>
      <c r="H137" s="581" t="s">
        <v>109</v>
      </c>
      <c r="I137" s="580">
        <v>3156</v>
      </c>
      <c r="J137" s="581" t="s">
        <v>117</v>
      </c>
    </row>
    <row r="138" spans="1:10">
      <c r="A138" s="580">
        <v>4287</v>
      </c>
      <c r="B138" s="581" t="s">
        <v>127</v>
      </c>
      <c r="C138" s="580">
        <v>6224</v>
      </c>
      <c r="D138" s="581" t="s">
        <v>132</v>
      </c>
      <c r="E138" s="580">
        <v>5213</v>
      </c>
      <c r="F138" s="581" t="s">
        <v>119</v>
      </c>
      <c r="G138" s="580">
        <v>2160</v>
      </c>
      <c r="H138" s="581" t="s">
        <v>109</v>
      </c>
      <c r="I138" s="580">
        <v>3158</v>
      </c>
      <c r="J138" s="581" t="s">
        <v>628</v>
      </c>
    </row>
    <row r="139" spans="1:10">
      <c r="A139" s="580">
        <v>4300</v>
      </c>
      <c r="B139" s="581" t="s">
        <v>127</v>
      </c>
      <c r="C139" s="580">
        <v>6225</v>
      </c>
      <c r="D139" s="581" t="s">
        <v>132</v>
      </c>
      <c r="E139" s="580">
        <v>5214</v>
      </c>
      <c r="F139" s="581" t="s">
        <v>119</v>
      </c>
      <c r="G139" s="580">
        <v>2161</v>
      </c>
      <c r="H139" s="581" t="s">
        <v>109</v>
      </c>
      <c r="I139" s="580">
        <v>3159</v>
      </c>
      <c r="J139" s="581" t="s">
        <v>628</v>
      </c>
    </row>
    <row r="140" spans="1:10">
      <c r="A140" s="580">
        <v>4301</v>
      </c>
      <c r="B140" s="581" t="s">
        <v>127</v>
      </c>
      <c r="C140" s="580">
        <v>6226</v>
      </c>
      <c r="D140" s="581" t="s">
        <v>132</v>
      </c>
      <c r="E140" s="580">
        <v>5220</v>
      </c>
      <c r="F140" s="581" t="s">
        <v>119</v>
      </c>
      <c r="G140" s="580">
        <v>2162</v>
      </c>
      <c r="H140" s="581" t="s">
        <v>109</v>
      </c>
      <c r="I140" s="580">
        <v>3160</v>
      </c>
      <c r="J140" s="581" t="s">
        <v>628</v>
      </c>
    </row>
    <row r="141" spans="1:10">
      <c r="A141" s="580">
        <v>4303</v>
      </c>
      <c r="B141" s="581" t="s">
        <v>127</v>
      </c>
      <c r="C141" s="580">
        <v>6227</v>
      </c>
      <c r="D141" s="581" t="s">
        <v>132</v>
      </c>
      <c r="E141" s="580">
        <v>5221</v>
      </c>
      <c r="F141" s="581" t="s">
        <v>119</v>
      </c>
      <c r="G141" s="580">
        <v>2163</v>
      </c>
      <c r="H141" s="581" t="s">
        <v>109</v>
      </c>
      <c r="I141" s="580">
        <v>3161</v>
      </c>
      <c r="J141" s="581" t="s">
        <v>113</v>
      </c>
    </row>
    <row r="142" spans="1:10">
      <c r="A142" s="580">
        <v>4304</v>
      </c>
      <c r="B142" s="581" t="s">
        <v>127</v>
      </c>
      <c r="C142" s="580">
        <v>6228</v>
      </c>
      <c r="D142" s="581" t="s">
        <v>132</v>
      </c>
      <c r="E142" s="580">
        <v>5222</v>
      </c>
      <c r="F142" s="581" t="s">
        <v>119</v>
      </c>
      <c r="G142" s="580">
        <v>2164</v>
      </c>
      <c r="H142" s="581" t="s">
        <v>109</v>
      </c>
      <c r="I142" s="580">
        <v>3162</v>
      </c>
      <c r="J142" s="581" t="s">
        <v>117</v>
      </c>
    </row>
    <row r="143" spans="1:10">
      <c r="A143" s="580">
        <v>4305</v>
      </c>
      <c r="B143" s="581" t="s">
        <v>127</v>
      </c>
      <c r="C143" s="580">
        <v>6229</v>
      </c>
      <c r="D143" s="581" t="s">
        <v>132</v>
      </c>
      <c r="E143" s="580">
        <v>5223</v>
      </c>
      <c r="F143" s="581" t="s">
        <v>119</v>
      </c>
      <c r="G143" s="580">
        <v>2165</v>
      </c>
      <c r="H143" s="581" t="s">
        <v>109</v>
      </c>
      <c r="I143" s="580">
        <v>3163</v>
      </c>
      <c r="J143" s="581" t="s">
        <v>117</v>
      </c>
    </row>
    <row r="144" spans="1:10">
      <c r="A144" s="580">
        <v>4306</v>
      </c>
      <c r="B144" s="581" t="s">
        <v>127</v>
      </c>
      <c r="C144" s="580">
        <v>6230</v>
      </c>
      <c r="D144" s="581" t="s">
        <v>132</v>
      </c>
      <c r="E144" s="580">
        <v>5231</v>
      </c>
      <c r="F144" s="581" t="s">
        <v>119</v>
      </c>
      <c r="G144" s="580">
        <v>2166</v>
      </c>
      <c r="H144" s="581" t="s">
        <v>109</v>
      </c>
      <c r="I144" s="580">
        <v>3165</v>
      </c>
      <c r="J144" s="581" t="s">
        <v>117</v>
      </c>
    </row>
    <row r="145" spans="1:10">
      <c r="A145" s="580">
        <v>4307</v>
      </c>
      <c r="B145" s="581" t="s">
        <v>127</v>
      </c>
      <c r="C145" s="580">
        <v>6232</v>
      </c>
      <c r="D145" s="581" t="s">
        <v>132</v>
      </c>
      <c r="E145" s="580">
        <v>5232</v>
      </c>
      <c r="F145" s="581" t="s">
        <v>119</v>
      </c>
      <c r="G145" s="580">
        <v>2167</v>
      </c>
      <c r="H145" s="581" t="s">
        <v>109</v>
      </c>
      <c r="I145" s="580">
        <v>3166</v>
      </c>
      <c r="J145" s="581" t="s">
        <v>117</v>
      </c>
    </row>
    <row r="146" spans="1:10">
      <c r="A146" s="580">
        <v>4309</v>
      </c>
      <c r="B146" s="581" t="s">
        <v>127</v>
      </c>
      <c r="C146" s="580">
        <v>6233</v>
      </c>
      <c r="D146" s="581" t="s">
        <v>132</v>
      </c>
      <c r="E146" s="580">
        <v>5233</v>
      </c>
      <c r="F146" s="581" t="s">
        <v>119</v>
      </c>
      <c r="G146" s="580">
        <v>2168</v>
      </c>
      <c r="H146" s="581" t="s">
        <v>109</v>
      </c>
      <c r="I146" s="580">
        <v>3167</v>
      </c>
      <c r="J146" s="581" t="s">
        <v>117</v>
      </c>
    </row>
    <row r="147" spans="1:10">
      <c r="A147" s="580">
        <v>4310</v>
      </c>
      <c r="B147" s="581" t="s">
        <v>127</v>
      </c>
      <c r="C147" s="580">
        <v>6236</v>
      </c>
      <c r="D147" s="581" t="s">
        <v>132</v>
      </c>
      <c r="E147" s="580">
        <v>5234</v>
      </c>
      <c r="F147" s="581" t="s">
        <v>119</v>
      </c>
      <c r="G147" s="580">
        <v>2170</v>
      </c>
      <c r="H147" s="581" t="s">
        <v>109</v>
      </c>
      <c r="I147" s="580">
        <v>3168</v>
      </c>
      <c r="J147" s="581" t="s">
        <v>117</v>
      </c>
    </row>
    <row r="148" spans="1:10">
      <c r="A148" s="580">
        <v>4311</v>
      </c>
      <c r="B148" s="581" t="s">
        <v>127</v>
      </c>
      <c r="C148" s="580">
        <v>6237</v>
      </c>
      <c r="D148" s="581" t="s">
        <v>132</v>
      </c>
      <c r="E148" s="580">
        <v>5235</v>
      </c>
      <c r="F148" s="581" t="s">
        <v>119</v>
      </c>
      <c r="G148" s="580">
        <v>2171</v>
      </c>
      <c r="H148" s="581" t="s">
        <v>109</v>
      </c>
      <c r="I148" s="580">
        <v>3169</v>
      </c>
      <c r="J148" s="581" t="s">
        <v>117</v>
      </c>
    </row>
    <row r="149" spans="1:10">
      <c r="A149" s="580">
        <v>4312</v>
      </c>
      <c r="B149" s="581" t="s">
        <v>127</v>
      </c>
      <c r="C149" s="580">
        <v>6239</v>
      </c>
      <c r="D149" s="581" t="s">
        <v>132</v>
      </c>
      <c r="E149" s="580">
        <v>5236</v>
      </c>
      <c r="F149" s="581" t="s">
        <v>119</v>
      </c>
      <c r="G149" s="580">
        <v>2172</v>
      </c>
      <c r="H149" s="581" t="s">
        <v>109</v>
      </c>
      <c r="I149" s="580">
        <v>3170</v>
      </c>
      <c r="J149" s="581" t="s">
        <v>117</v>
      </c>
    </row>
    <row r="150" spans="1:10">
      <c r="A150" s="580">
        <v>4313</v>
      </c>
      <c r="B150" s="581" t="s">
        <v>127</v>
      </c>
      <c r="C150" s="580">
        <v>6240</v>
      </c>
      <c r="D150" s="581" t="s">
        <v>132</v>
      </c>
      <c r="E150" s="580">
        <v>5237</v>
      </c>
      <c r="F150" s="581" t="s">
        <v>119</v>
      </c>
      <c r="G150" s="580">
        <v>2173</v>
      </c>
      <c r="H150" s="581" t="s">
        <v>109</v>
      </c>
      <c r="I150" s="580">
        <v>3171</v>
      </c>
      <c r="J150" s="581" t="s">
        <v>117</v>
      </c>
    </row>
    <row r="151" spans="1:10">
      <c r="A151" s="580">
        <v>4314</v>
      </c>
      <c r="B151" s="581" t="s">
        <v>127</v>
      </c>
      <c r="C151" s="580">
        <v>6243</v>
      </c>
      <c r="D151" s="581" t="s">
        <v>132</v>
      </c>
      <c r="E151" s="580">
        <v>5238</v>
      </c>
      <c r="F151" s="581" t="s">
        <v>119</v>
      </c>
      <c r="G151" s="580">
        <v>2174</v>
      </c>
      <c r="H151" s="581" t="s">
        <v>109</v>
      </c>
      <c r="I151" s="580">
        <v>3172</v>
      </c>
      <c r="J151" s="581" t="s">
        <v>117</v>
      </c>
    </row>
    <row r="152" spans="1:10">
      <c r="A152" s="580">
        <v>4340</v>
      </c>
      <c r="B152" s="581" t="s">
        <v>127</v>
      </c>
      <c r="C152" s="580">
        <v>6244</v>
      </c>
      <c r="D152" s="581" t="s">
        <v>132</v>
      </c>
      <c r="E152" s="580">
        <v>5240</v>
      </c>
      <c r="F152" s="581" t="s">
        <v>119</v>
      </c>
      <c r="G152" s="580">
        <v>2175</v>
      </c>
      <c r="H152" s="581" t="s">
        <v>109</v>
      </c>
      <c r="I152" s="580">
        <v>3173</v>
      </c>
      <c r="J152" s="581" t="s">
        <v>117</v>
      </c>
    </row>
    <row r="153" spans="1:10">
      <c r="A153" s="580">
        <v>4341</v>
      </c>
      <c r="B153" s="581" t="s">
        <v>127</v>
      </c>
      <c r="C153" s="580">
        <v>6251</v>
      </c>
      <c r="D153" s="581" t="s">
        <v>132</v>
      </c>
      <c r="E153" s="580">
        <v>5241</v>
      </c>
      <c r="F153" s="581" t="s">
        <v>119</v>
      </c>
      <c r="G153" s="580">
        <v>2176</v>
      </c>
      <c r="H153" s="581" t="s">
        <v>109</v>
      </c>
      <c r="I153" s="580">
        <v>3174</v>
      </c>
      <c r="J153" s="581" t="s">
        <v>117</v>
      </c>
    </row>
    <row r="154" spans="1:10">
      <c r="A154" s="580">
        <v>4342</v>
      </c>
      <c r="B154" s="581" t="s">
        <v>127</v>
      </c>
      <c r="C154" s="580">
        <v>6252</v>
      </c>
      <c r="D154" s="581" t="s">
        <v>132</v>
      </c>
      <c r="E154" s="580">
        <v>5242</v>
      </c>
      <c r="F154" s="581" t="s">
        <v>119</v>
      </c>
      <c r="G154" s="580">
        <v>2177</v>
      </c>
      <c r="H154" s="581" t="s">
        <v>109</v>
      </c>
      <c r="I154" s="580">
        <v>3175</v>
      </c>
      <c r="J154" s="581" t="s">
        <v>117</v>
      </c>
    </row>
    <row r="155" spans="1:10">
      <c r="A155" s="580">
        <v>4343</v>
      </c>
      <c r="B155" s="581" t="s">
        <v>127</v>
      </c>
      <c r="C155" s="580">
        <v>6253</v>
      </c>
      <c r="D155" s="581" t="s">
        <v>132</v>
      </c>
      <c r="E155" s="580">
        <v>5243</v>
      </c>
      <c r="F155" s="581" t="s">
        <v>119</v>
      </c>
      <c r="G155" s="580">
        <v>2178</v>
      </c>
      <c r="H155" s="581" t="s">
        <v>109</v>
      </c>
      <c r="I155" s="580">
        <v>3177</v>
      </c>
      <c r="J155" s="581" t="s">
        <v>117</v>
      </c>
    </row>
    <row r="156" spans="1:10">
      <c r="A156" s="580">
        <v>4344</v>
      </c>
      <c r="B156" s="581" t="s">
        <v>127</v>
      </c>
      <c r="C156" s="580">
        <v>6254</v>
      </c>
      <c r="D156" s="581" t="s">
        <v>132</v>
      </c>
      <c r="E156" s="580">
        <v>5244</v>
      </c>
      <c r="F156" s="581" t="s">
        <v>119</v>
      </c>
      <c r="G156" s="580">
        <v>2179</v>
      </c>
      <c r="H156" s="581" t="s">
        <v>109</v>
      </c>
      <c r="I156" s="580">
        <v>3178</v>
      </c>
      <c r="J156" s="581" t="s">
        <v>117</v>
      </c>
    </row>
    <row r="157" spans="1:10">
      <c r="A157" s="580">
        <v>4345</v>
      </c>
      <c r="B157" s="581" t="s">
        <v>127</v>
      </c>
      <c r="C157" s="580">
        <v>6255</v>
      </c>
      <c r="D157" s="581" t="s">
        <v>132</v>
      </c>
      <c r="E157" s="580">
        <v>5245</v>
      </c>
      <c r="F157" s="581" t="s">
        <v>119</v>
      </c>
      <c r="G157" s="580">
        <v>2190</v>
      </c>
      <c r="H157" s="581" t="s">
        <v>109</v>
      </c>
      <c r="I157" s="580">
        <v>3179</v>
      </c>
      <c r="J157" s="581" t="s">
        <v>117</v>
      </c>
    </row>
    <row r="158" spans="1:10">
      <c r="A158" s="580">
        <v>4346</v>
      </c>
      <c r="B158" s="581" t="s">
        <v>127</v>
      </c>
      <c r="C158" s="580">
        <v>6256</v>
      </c>
      <c r="D158" s="581" t="s">
        <v>132</v>
      </c>
      <c r="E158" s="580">
        <v>5250</v>
      </c>
      <c r="F158" s="581" t="s">
        <v>119</v>
      </c>
      <c r="G158" s="580">
        <v>2191</v>
      </c>
      <c r="H158" s="581" t="s">
        <v>109</v>
      </c>
      <c r="I158" s="580">
        <v>3180</v>
      </c>
      <c r="J158" s="581" t="s">
        <v>117</v>
      </c>
    </row>
    <row r="159" spans="1:10">
      <c r="A159" s="580">
        <v>4347</v>
      </c>
      <c r="B159" s="581" t="s">
        <v>127</v>
      </c>
      <c r="C159" s="580">
        <v>6258</v>
      </c>
      <c r="D159" s="581" t="s">
        <v>132</v>
      </c>
      <c r="E159" s="580">
        <v>5251</v>
      </c>
      <c r="F159" s="581" t="s">
        <v>119</v>
      </c>
      <c r="G159" s="580">
        <v>2192</v>
      </c>
      <c r="H159" s="581" t="s">
        <v>109</v>
      </c>
      <c r="I159" s="580">
        <v>3181</v>
      </c>
      <c r="J159" s="581" t="s">
        <v>113</v>
      </c>
    </row>
    <row r="160" spans="1:10">
      <c r="A160" s="580">
        <v>4350</v>
      </c>
      <c r="B160" s="581" t="s">
        <v>126</v>
      </c>
      <c r="C160" s="580">
        <v>6260</v>
      </c>
      <c r="D160" s="581" t="s">
        <v>132</v>
      </c>
      <c r="E160" s="580">
        <v>5252</v>
      </c>
      <c r="F160" s="581" t="s">
        <v>119</v>
      </c>
      <c r="G160" s="580">
        <v>2193</v>
      </c>
      <c r="H160" s="581" t="s">
        <v>109</v>
      </c>
      <c r="I160" s="580">
        <v>3182</v>
      </c>
      <c r="J160" s="581" t="s">
        <v>113</v>
      </c>
    </row>
    <row r="161" spans="1:10">
      <c r="A161" s="580">
        <v>4352</v>
      </c>
      <c r="B161" s="581" t="s">
        <v>126</v>
      </c>
      <c r="C161" s="580">
        <v>6262</v>
      </c>
      <c r="D161" s="581" t="s">
        <v>132</v>
      </c>
      <c r="E161" s="580">
        <v>5253</v>
      </c>
      <c r="F161" s="581" t="s">
        <v>119</v>
      </c>
      <c r="G161" s="580">
        <v>2194</v>
      </c>
      <c r="H161" s="581" t="s">
        <v>109</v>
      </c>
      <c r="I161" s="580">
        <v>3183</v>
      </c>
      <c r="J161" s="581" t="s">
        <v>113</v>
      </c>
    </row>
    <row r="162" spans="1:10">
      <c r="A162" s="580">
        <v>4353</v>
      </c>
      <c r="B162" s="581" t="s">
        <v>126</v>
      </c>
      <c r="C162" s="580">
        <v>6271</v>
      </c>
      <c r="D162" s="581" t="s">
        <v>132</v>
      </c>
      <c r="E162" s="580">
        <v>5254</v>
      </c>
      <c r="F162" s="581" t="s">
        <v>119</v>
      </c>
      <c r="G162" s="580">
        <v>2195</v>
      </c>
      <c r="H162" s="581" t="s">
        <v>109</v>
      </c>
      <c r="I162" s="580">
        <v>3184</v>
      </c>
      <c r="J162" s="581" t="s">
        <v>117</v>
      </c>
    </row>
    <row r="163" spans="1:10">
      <c r="A163" s="580">
        <v>4354</v>
      </c>
      <c r="B163" s="581" t="s">
        <v>126</v>
      </c>
      <c r="C163" s="580">
        <v>6275</v>
      </c>
      <c r="D163" s="581" t="s">
        <v>132</v>
      </c>
      <c r="E163" s="580">
        <v>5255</v>
      </c>
      <c r="F163" s="581" t="s">
        <v>119</v>
      </c>
      <c r="G163" s="580">
        <v>2196</v>
      </c>
      <c r="H163" s="581" t="s">
        <v>109</v>
      </c>
      <c r="I163" s="580">
        <v>3185</v>
      </c>
      <c r="J163" s="581" t="s">
        <v>117</v>
      </c>
    </row>
    <row r="164" spans="1:10">
      <c r="A164" s="580">
        <v>4355</v>
      </c>
      <c r="B164" s="581" t="s">
        <v>126</v>
      </c>
      <c r="C164" s="580">
        <v>6280</v>
      </c>
      <c r="D164" s="581" t="s">
        <v>132</v>
      </c>
      <c r="E164" s="580">
        <v>5256</v>
      </c>
      <c r="F164" s="581" t="s">
        <v>119</v>
      </c>
      <c r="G164" s="580">
        <v>2197</v>
      </c>
      <c r="H164" s="581" t="s">
        <v>109</v>
      </c>
      <c r="I164" s="580">
        <v>3186</v>
      </c>
      <c r="J164" s="581" t="s">
        <v>117</v>
      </c>
    </row>
    <row r="165" spans="1:10">
      <c r="A165" s="580">
        <v>4356</v>
      </c>
      <c r="B165" s="581" t="s">
        <v>126</v>
      </c>
      <c r="C165" s="580">
        <v>6281</v>
      </c>
      <c r="D165" s="581" t="s">
        <v>132</v>
      </c>
      <c r="E165" s="580">
        <v>5259</v>
      </c>
      <c r="F165" s="581" t="s">
        <v>119</v>
      </c>
      <c r="G165" s="580">
        <v>2198</v>
      </c>
      <c r="H165" s="581" t="s">
        <v>109</v>
      </c>
      <c r="I165" s="580">
        <v>3187</v>
      </c>
      <c r="J165" s="581" t="s">
        <v>117</v>
      </c>
    </row>
    <row r="166" spans="1:10">
      <c r="A166" s="580">
        <v>4357</v>
      </c>
      <c r="B166" s="581" t="s">
        <v>126</v>
      </c>
      <c r="C166" s="580">
        <v>6282</v>
      </c>
      <c r="D166" s="581" t="s">
        <v>132</v>
      </c>
      <c r="E166" s="580">
        <v>5260</v>
      </c>
      <c r="F166" s="581" t="s">
        <v>119</v>
      </c>
      <c r="G166" s="580">
        <v>2199</v>
      </c>
      <c r="H166" s="581" t="s">
        <v>109</v>
      </c>
      <c r="I166" s="580">
        <v>3188</v>
      </c>
      <c r="J166" s="581" t="s">
        <v>117</v>
      </c>
    </row>
    <row r="167" spans="1:10">
      <c r="A167" s="580">
        <v>4358</v>
      </c>
      <c r="B167" s="581" t="s">
        <v>126</v>
      </c>
      <c r="C167" s="580">
        <v>6284</v>
      </c>
      <c r="D167" s="581" t="s">
        <v>132</v>
      </c>
      <c r="E167" s="580">
        <v>5261</v>
      </c>
      <c r="F167" s="581" t="s">
        <v>119</v>
      </c>
      <c r="G167" s="580">
        <v>2200</v>
      </c>
      <c r="H167" s="581" t="s">
        <v>109</v>
      </c>
      <c r="I167" s="580">
        <v>3189</v>
      </c>
      <c r="J167" s="581" t="s">
        <v>117</v>
      </c>
    </row>
    <row r="168" spans="1:10">
      <c r="A168" s="580">
        <v>4359</v>
      </c>
      <c r="B168" s="581" t="s">
        <v>126</v>
      </c>
      <c r="C168" s="580">
        <v>6285</v>
      </c>
      <c r="D168" s="581" t="s">
        <v>132</v>
      </c>
      <c r="E168" s="580">
        <v>5262</v>
      </c>
      <c r="F168" s="581" t="s">
        <v>119</v>
      </c>
      <c r="G168" s="580">
        <v>2203</v>
      </c>
      <c r="H168" s="581" t="s">
        <v>109</v>
      </c>
      <c r="I168" s="580">
        <v>3190</v>
      </c>
      <c r="J168" s="581" t="s">
        <v>117</v>
      </c>
    </row>
    <row r="169" spans="1:10">
      <c r="A169" s="580">
        <v>4360</v>
      </c>
      <c r="B169" s="581" t="s">
        <v>126</v>
      </c>
      <c r="C169" s="580">
        <v>6286</v>
      </c>
      <c r="D169" s="581" t="s">
        <v>132</v>
      </c>
      <c r="E169" s="580">
        <v>5263</v>
      </c>
      <c r="F169" s="581" t="s">
        <v>119</v>
      </c>
      <c r="G169" s="580">
        <v>2204</v>
      </c>
      <c r="H169" s="581" t="s">
        <v>109</v>
      </c>
      <c r="I169" s="580">
        <v>3191</v>
      </c>
      <c r="J169" s="581" t="s">
        <v>117</v>
      </c>
    </row>
    <row r="170" spans="1:10">
      <c r="A170" s="580">
        <v>4361</v>
      </c>
      <c r="B170" s="581" t="s">
        <v>126</v>
      </c>
      <c r="C170" s="580">
        <v>6288</v>
      </c>
      <c r="D170" s="581" t="s">
        <v>132</v>
      </c>
      <c r="E170" s="580">
        <v>5264</v>
      </c>
      <c r="F170" s="581" t="s">
        <v>119</v>
      </c>
      <c r="G170" s="580">
        <v>2205</v>
      </c>
      <c r="H170" s="581" t="s">
        <v>109</v>
      </c>
      <c r="I170" s="580">
        <v>3192</v>
      </c>
      <c r="J170" s="581" t="s">
        <v>117</v>
      </c>
    </row>
    <row r="171" spans="1:10">
      <c r="A171" s="580">
        <v>4363</v>
      </c>
      <c r="B171" s="581" t="s">
        <v>126</v>
      </c>
      <c r="C171" s="580">
        <v>6290</v>
      </c>
      <c r="D171" s="581" t="s">
        <v>132</v>
      </c>
      <c r="E171" s="580">
        <v>5265</v>
      </c>
      <c r="F171" s="581" t="s">
        <v>119</v>
      </c>
      <c r="G171" s="580">
        <v>2206</v>
      </c>
      <c r="H171" s="581" t="s">
        <v>109</v>
      </c>
      <c r="I171" s="580">
        <v>3193</v>
      </c>
      <c r="J171" s="581" t="s">
        <v>117</v>
      </c>
    </row>
    <row r="172" spans="1:10">
      <c r="A172" s="580">
        <v>4364</v>
      </c>
      <c r="B172" s="581" t="s">
        <v>126</v>
      </c>
      <c r="C172" s="580">
        <v>6302</v>
      </c>
      <c r="D172" s="581" t="s">
        <v>132</v>
      </c>
      <c r="E172" s="580">
        <v>5266</v>
      </c>
      <c r="F172" s="581" t="s">
        <v>119</v>
      </c>
      <c r="G172" s="580">
        <v>2207</v>
      </c>
      <c r="H172" s="581" t="s">
        <v>109</v>
      </c>
      <c r="I172" s="580">
        <v>3194</v>
      </c>
      <c r="J172" s="581" t="s">
        <v>117</v>
      </c>
    </row>
    <row r="173" spans="1:10">
      <c r="A173" s="580">
        <v>4365</v>
      </c>
      <c r="B173" s="581" t="s">
        <v>126</v>
      </c>
      <c r="C173" s="580">
        <v>6304</v>
      </c>
      <c r="D173" s="581" t="s">
        <v>132</v>
      </c>
      <c r="E173" s="580">
        <v>5267</v>
      </c>
      <c r="F173" s="581" t="s">
        <v>119</v>
      </c>
      <c r="G173" s="580">
        <v>2208</v>
      </c>
      <c r="H173" s="581" t="s">
        <v>109</v>
      </c>
      <c r="I173" s="580">
        <v>3195</v>
      </c>
      <c r="J173" s="581" t="s">
        <v>117</v>
      </c>
    </row>
    <row r="174" spans="1:10">
      <c r="A174" s="580">
        <v>4370</v>
      </c>
      <c r="B174" s="581" t="s">
        <v>126</v>
      </c>
      <c r="C174" s="580">
        <v>6306</v>
      </c>
      <c r="D174" s="581" t="s">
        <v>132</v>
      </c>
      <c r="E174" s="580">
        <v>5268</v>
      </c>
      <c r="F174" s="581" t="s">
        <v>119</v>
      </c>
      <c r="G174" s="580">
        <v>2209</v>
      </c>
      <c r="H174" s="581" t="s">
        <v>109</v>
      </c>
      <c r="I174" s="580">
        <v>3196</v>
      </c>
      <c r="J174" s="581" t="s">
        <v>117</v>
      </c>
    </row>
    <row r="175" spans="1:10">
      <c r="A175" s="580">
        <v>4371</v>
      </c>
      <c r="B175" s="581" t="s">
        <v>126</v>
      </c>
      <c r="C175" s="580">
        <v>6308</v>
      </c>
      <c r="D175" s="581" t="s">
        <v>132</v>
      </c>
      <c r="E175" s="580">
        <v>5269</v>
      </c>
      <c r="F175" s="581" t="s">
        <v>119</v>
      </c>
      <c r="G175" s="580">
        <v>2210</v>
      </c>
      <c r="H175" s="581" t="s">
        <v>109</v>
      </c>
      <c r="I175" s="580">
        <v>3197</v>
      </c>
      <c r="J175" s="581" t="s">
        <v>117</v>
      </c>
    </row>
    <row r="176" spans="1:10">
      <c r="A176" s="580">
        <v>4372</v>
      </c>
      <c r="B176" s="581" t="s">
        <v>126</v>
      </c>
      <c r="C176" s="580">
        <v>6309</v>
      </c>
      <c r="D176" s="581" t="s">
        <v>132</v>
      </c>
      <c r="E176" s="580">
        <v>5270</v>
      </c>
      <c r="F176" s="581" t="s">
        <v>119</v>
      </c>
      <c r="G176" s="580">
        <v>2211</v>
      </c>
      <c r="H176" s="581" t="s">
        <v>109</v>
      </c>
      <c r="I176" s="580">
        <v>3198</v>
      </c>
      <c r="J176" s="581" t="s">
        <v>117</v>
      </c>
    </row>
    <row r="177" spans="1:10">
      <c r="A177" s="580">
        <v>4373</v>
      </c>
      <c r="B177" s="581" t="s">
        <v>126</v>
      </c>
      <c r="C177" s="580">
        <v>6311</v>
      </c>
      <c r="D177" s="581" t="s">
        <v>132</v>
      </c>
      <c r="E177" s="580">
        <v>5271</v>
      </c>
      <c r="F177" s="581" t="s">
        <v>119</v>
      </c>
      <c r="G177" s="580">
        <v>2212</v>
      </c>
      <c r="H177" s="581" t="s">
        <v>109</v>
      </c>
      <c r="I177" s="580">
        <v>3199</v>
      </c>
      <c r="J177" s="581" t="s">
        <v>117</v>
      </c>
    </row>
    <row r="178" spans="1:10">
      <c r="A178" s="580">
        <v>4374</v>
      </c>
      <c r="B178" s="581" t="s">
        <v>126</v>
      </c>
      <c r="C178" s="580">
        <v>6312</v>
      </c>
      <c r="D178" s="581" t="s">
        <v>132</v>
      </c>
      <c r="E178" s="580">
        <v>5272</v>
      </c>
      <c r="F178" s="581" t="s">
        <v>119</v>
      </c>
      <c r="G178" s="580">
        <v>2213</v>
      </c>
      <c r="H178" s="581" t="s">
        <v>109</v>
      </c>
      <c r="I178" s="580">
        <v>3200</v>
      </c>
      <c r="J178" s="581" t="s">
        <v>117</v>
      </c>
    </row>
    <row r="179" spans="1:10">
      <c r="A179" s="580">
        <v>4375</v>
      </c>
      <c r="B179" s="581" t="s">
        <v>126</v>
      </c>
      <c r="C179" s="580">
        <v>6313</v>
      </c>
      <c r="D179" s="581" t="s">
        <v>132</v>
      </c>
      <c r="E179" s="580">
        <v>5273</v>
      </c>
      <c r="F179" s="581" t="s">
        <v>119</v>
      </c>
      <c r="G179" s="580">
        <v>2214</v>
      </c>
      <c r="H179" s="581" t="s">
        <v>109</v>
      </c>
      <c r="I179" s="580">
        <v>3201</v>
      </c>
      <c r="J179" s="581" t="s">
        <v>117</v>
      </c>
    </row>
    <row r="180" spans="1:10">
      <c r="A180" s="580">
        <v>4376</v>
      </c>
      <c r="B180" s="581" t="s">
        <v>126</v>
      </c>
      <c r="C180" s="580">
        <v>6315</v>
      </c>
      <c r="D180" s="581" t="s">
        <v>132</v>
      </c>
      <c r="E180" s="580">
        <v>5275</v>
      </c>
      <c r="F180" s="581" t="s">
        <v>119</v>
      </c>
      <c r="G180" s="580">
        <v>2216</v>
      </c>
      <c r="H180" s="581" t="s">
        <v>109</v>
      </c>
      <c r="I180" s="580">
        <v>3202</v>
      </c>
      <c r="J180" s="581" t="s">
        <v>117</v>
      </c>
    </row>
    <row r="181" spans="1:10">
      <c r="A181" s="580">
        <v>4377</v>
      </c>
      <c r="B181" s="581" t="s">
        <v>126</v>
      </c>
      <c r="C181" s="580">
        <v>6316</v>
      </c>
      <c r="D181" s="581" t="s">
        <v>132</v>
      </c>
      <c r="E181" s="580">
        <v>5276</v>
      </c>
      <c r="F181" s="581" t="s">
        <v>119</v>
      </c>
      <c r="G181" s="580">
        <v>2217</v>
      </c>
      <c r="H181" s="581" t="s">
        <v>109</v>
      </c>
      <c r="I181" s="580">
        <v>3204</v>
      </c>
      <c r="J181" s="581" t="s">
        <v>117</v>
      </c>
    </row>
    <row r="182" spans="1:10">
      <c r="A182" s="580">
        <v>4380</v>
      </c>
      <c r="B182" s="581" t="s">
        <v>126</v>
      </c>
      <c r="C182" s="580">
        <v>6317</v>
      </c>
      <c r="D182" s="581" t="s">
        <v>132</v>
      </c>
      <c r="E182" s="580">
        <v>5277</v>
      </c>
      <c r="F182" s="581" t="s">
        <v>119</v>
      </c>
      <c r="G182" s="580">
        <v>2218</v>
      </c>
      <c r="H182" s="581" t="s">
        <v>109</v>
      </c>
      <c r="I182" s="580">
        <v>3205</v>
      </c>
      <c r="J182" s="581" t="s">
        <v>113</v>
      </c>
    </row>
    <row r="183" spans="1:10">
      <c r="A183" s="580">
        <v>4381</v>
      </c>
      <c r="B183" s="581" t="s">
        <v>126</v>
      </c>
      <c r="C183" s="580">
        <v>6318</v>
      </c>
      <c r="D183" s="581" t="s">
        <v>132</v>
      </c>
      <c r="E183" s="580">
        <v>5278</v>
      </c>
      <c r="F183" s="581" t="s">
        <v>119</v>
      </c>
      <c r="G183" s="580">
        <v>2219</v>
      </c>
      <c r="H183" s="581" t="s">
        <v>109</v>
      </c>
      <c r="I183" s="580">
        <v>3206</v>
      </c>
      <c r="J183" s="581" t="s">
        <v>113</v>
      </c>
    </row>
    <row r="184" spans="1:10">
      <c r="A184" s="580">
        <v>4382</v>
      </c>
      <c r="B184" s="581" t="s">
        <v>126</v>
      </c>
      <c r="C184" s="580">
        <v>6320</v>
      </c>
      <c r="D184" s="581" t="s">
        <v>132</v>
      </c>
      <c r="E184" s="580">
        <v>5279</v>
      </c>
      <c r="F184" s="581" t="s">
        <v>119</v>
      </c>
      <c r="G184" s="580">
        <v>2220</v>
      </c>
      <c r="H184" s="581" t="s">
        <v>109</v>
      </c>
      <c r="I184" s="580">
        <v>3207</v>
      </c>
      <c r="J184" s="581" t="s">
        <v>113</v>
      </c>
    </row>
    <row r="185" spans="1:10">
      <c r="A185" s="580">
        <v>4383</v>
      </c>
      <c r="B185" s="581" t="s">
        <v>126</v>
      </c>
      <c r="C185" s="580">
        <v>6321</v>
      </c>
      <c r="D185" s="581" t="s">
        <v>132</v>
      </c>
      <c r="E185" s="580">
        <v>5280</v>
      </c>
      <c r="F185" s="581" t="s">
        <v>119</v>
      </c>
      <c r="G185" s="580">
        <v>2221</v>
      </c>
      <c r="H185" s="581" t="s">
        <v>109</v>
      </c>
      <c r="I185" s="580">
        <v>3211</v>
      </c>
      <c r="J185" s="581" t="s">
        <v>113</v>
      </c>
    </row>
    <row r="186" spans="1:10">
      <c r="A186" s="580">
        <v>4384</v>
      </c>
      <c r="B186" s="581" t="s">
        <v>126</v>
      </c>
      <c r="C186" s="580">
        <v>6322</v>
      </c>
      <c r="D186" s="581" t="s">
        <v>132</v>
      </c>
      <c r="E186" s="580">
        <v>5290</v>
      </c>
      <c r="F186" s="581" t="s">
        <v>119</v>
      </c>
      <c r="G186" s="580">
        <v>2222</v>
      </c>
      <c r="H186" s="581" t="s">
        <v>109</v>
      </c>
      <c r="I186" s="580">
        <v>3212</v>
      </c>
      <c r="J186" s="581" t="s">
        <v>113</v>
      </c>
    </row>
    <row r="187" spans="1:10">
      <c r="A187" s="580">
        <v>4385</v>
      </c>
      <c r="B187" s="581" t="s">
        <v>126</v>
      </c>
      <c r="C187" s="580">
        <v>6323</v>
      </c>
      <c r="D187" s="581" t="s">
        <v>132</v>
      </c>
      <c r="E187" s="580">
        <v>5291</v>
      </c>
      <c r="F187" s="581" t="s">
        <v>119</v>
      </c>
      <c r="G187" s="580">
        <v>2223</v>
      </c>
      <c r="H187" s="581" t="s">
        <v>109</v>
      </c>
      <c r="I187" s="580">
        <v>3213</v>
      </c>
      <c r="J187" s="581" t="s">
        <v>113</v>
      </c>
    </row>
    <row r="188" spans="1:10">
      <c r="A188" s="580">
        <v>4387</v>
      </c>
      <c r="B188" s="581" t="s">
        <v>126</v>
      </c>
      <c r="C188" s="580">
        <v>6324</v>
      </c>
      <c r="D188" s="581" t="s">
        <v>132</v>
      </c>
      <c r="E188" s="580">
        <v>5301</v>
      </c>
      <c r="F188" s="581" t="s">
        <v>119</v>
      </c>
      <c r="G188" s="580">
        <v>2224</v>
      </c>
      <c r="H188" s="581" t="s">
        <v>109</v>
      </c>
      <c r="I188" s="580">
        <v>3214</v>
      </c>
      <c r="J188" s="581" t="s">
        <v>113</v>
      </c>
    </row>
    <row r="189" spans="1:10">
      <c r="A189" s="580">
        <v>4388</v>
      </c>
      <c r="B189" s="581" t="s">
        <v>126</v>
      </c>
      <c r="C189" s="580">
        <v>6326</v>
      </c>
      <c r="D189" s="581" t="s">
        <v>132</v>
      </c>
      <c r="E189" s="580">
        <v>5302</v>
      </c>
      <c r="F189" s="581" t="s">
        <v>119</v>
      </c>
      <c r="G189" s="580">
        <v>2225</v>
      </c>
      <c r="H189" s="581" t="s">
        <v>109</v>
      </c>
      <c r="I189" s="580">
        <v>3215</v>
      </c>
      <c r="J189" s="581" t="s">
        <v>113</v>
      </c>
    </row>
    <row r="190" spans="1:10">
      <c r="A190" s="580">
        <v>4390</v>
      </c>
      <c r="B190" s="581" t="s">
        <v>126</v>
      </c>
      <c r="C190" s="580">
        <v>6327</v>
      </c>
      <c r="D190" s="581" t="s">
        <v>132</v>
      </c>
      <c r="E190" s="580">
        <v>5303</v>
      </c>
      <c r="F190" s="581" t="s">
        <v>119</v>
      </c>
      <c r="G190" s="580">
        <v>2226</v>
      </c>
      <c r="H190" s="581" t="s">
        <v>109</v>
      </c>
      <c r="I190" s="580">
        <v>3216</v>
      </c>
      <c r="J190" s="581" t="s">
        <v>113</v>
      </c>
    </row>
    <row r="191" spans="1:10">
      <c r="A191" s="580">
        <v>4400</v>
      </c>
      <c r="B191" s="581" t="s">
        <v>126</v>
      </c>
      <c r="C191" s="580">
        <v>6328</v>
      </c>
      <c r="D191" s="581" t="s">
        <v>132</v>
      </c>
      <c r="E191" s="580">
        <v>5304</v>
      </c>
      <c r="F191" s="581" t="s">
        <v>119</v>
      </c>
      <c r="G191" s="580">
        <v>2227</v>
      </c>
      <c r="H191" s="581" t="s">
        <v>109</v>
      </c>
      <c r="I191" s="580">
        <v>3214</v>
      </c>
      <c r="J191" s="581" t="s">
        <v>113</v>
      </c>
    </row>
    <row r="192" spans="1:10">
      <c r="A192" s="580">
        <v>4401</v>
      </c>
      <c r="B192" s="581" t="s">
        <v>126</v>
      </c>
      <c r="C192" s="580">
        <v>6330</v>
      </c>
      <c r="D192" s="581" t="s">
        <v>132</v>
      </c>
      <c r="E192" s="580">
        <v>5306</v>
      </c>
      <c r="F192" s="581" t="s">
        <v>119</v>
      </c>
      <c r="G192" s="580">
        <v>2228</v>
      </c>
      <c r="H192" s="581" t="s">
        <v>109</v>
      </c>
      <c r="I192" s="580">
        <v>3215</v>
      </c>
      <c r="J192" s="581" t="s">
        <v>113</v>
      </c>
    </row>
    <row r="193" spans="1:10">
      <c r="A193" s="580">
        <v>4402</v>
      </c>
      <c r="B193" s="581" t="s">
        <v>126</v>
      </c>
      <c r="C193" s="580">
        <v>6333</v>
      </c>
      <c r="D193" s="581" t="s">
        <v>132</v>
      </c>
      <c r="E193" s="580">
        <v>5307</v>
      </c>
      <c r="F193" s="581" t="s">
        <v>119</v>
      </c>
      <c r="G193" s="580">
        <v>2229</v>
      </c>
      <c r="H193" s="581" t="s">
        <v>109</v>
      </c>
      <c r="I193" s="580">
        <v>3216</v>
      </c>
      <c r="J193" s="581" t="s">
        <v>113</v>
      </c>
    </row>
    <row r="194" spans="1:10">
      <c r="A194" s="580">
        <v>4403</v>
      </c>
      <c r="B194" s="581" t="s">
        <v>126</v>
      </c>
      <c r="C194" s="580">
        <v>6335</v>
      </c>
      <c r="D194" s="581" t="s">
        <v>132</v>
      </c>
      <c r="E194" s="580">
        <v>5308</v>
      </c>
      <c r="F194" s="581" t="s">
        <v>119</v>
      </c>
      <c r="G194" s="580">
        <v>2230</v>
      </c>
      <c r="H194" s="581" t="s">
        <v>104</v>
      </c>
      <c r="I194" s="580">
        <v>3217</v>
      </c>
      <c r="J194" s="581" t="s">
        <v>113</v>
      </c>
    </row>
    <row r="195" spans="1:10">
      <c r="A195" s="580">
        <v>4404</v>
      </c>
      <c r="B195" s="581" t="s">
        <v>126</v>
      </c>
      <c r="C195" s="580">
        <v>6336</v>
      </c>
      <c r="D195" s="581" t="s">
        <v>132</v>
      </c>
      <c r="E195" s="580">
        <v>5309</v>
      </c>
      <c r="F195" s="581" t="s">
        <v>119</v>
      </c>
      <c r="G195" s="580">
        <v>2231</v>
      </c>
      <c r="H195" s="581" t="s">
        <v>104</v>
      </c>
      <c r="I195" s="580">
        <v>3218</v>
      </c>
      <c r="J195" s="581" t="s">
        <v>113</v>
      </c>
    </row>
    <row r="196" spans="1:10">
      <c r="A196" s="580">
        <v>4405</v>
      </c>
      <c r="B196" s="581" t="s">
        <v>126</v>
      </c>
      <c r="C196" s="580">
        <v>6337</v>
      </c>
      <c r="D196" s="581" t="s">
        <v>132</v>
      </c>
      <c r="E196" s="580">
        <v>5310</v>
      </c>
      <c r="F196" s="581" t="s">
        <v>119</v>
      </c>
      <c r="G196" s="580">
        <v>2232</v>
      </c>
      <c r="H196" s="581" t="s">
        <v>104</v>
      </c>
      <c r="I196" s="580">
        <v>3219</v>
      </c>
      <c r="J196" s="581" t="s">
        <v>113</v>
      </c>
    </row>
    <row r="197" spans="1:10">
      <c r="A197" s="580">
        <v>4406</v>
      </c>
      <c r="B197" s="581" t="s">
        <v>126</v>
      </c>
      <c r="C197" s="580">
        <v>6338</v>
      </c>
      <c r="D197" s="581" t="s">
        <v>132</v>
      </c>
      <c r="E197" s="580">
        <v>5311</v>
      </c>
      <c r="F197" s="581" t="s">
        <v>119</v>
      </c>
      <c r="G197" s="580">
        <v>2233</v>
      </c>
      <c r="H197" s="581" t="s">
        <v>104</v>
      </c>
      <c r="I197" s="580">
        <v>3220</v>
      </c>
      <c r="J197" s="581" t="s">
        <v>113</v>
      </c>
    </row>
    <row r="198" spans="1:10">
      <c r="A198" s="580">
        <v>4407</v>
      </c>
      <c r="B198" s="581" t="s">
        <v>126</v>
      </c>
      <c r="C198" s="580">
        <v>6341</v>
      </c>
      <c r="D198" s="581" t="s">
        <v>132</v>
      </c>
      <c r="E198" s="580">
        <v>5312</v>
      </c>
      <c r="F198" s="581" t="s">
        <v>119</v>
      </c>
      <c r="G198" s="580">
        <v>2234</v>
      </c>
      <c r="H198" s="581" t="s">
        <v>104</v>
      </c>
      <c r="I198" s="580">
        <v>3221</v>
      </c>
      <c r="J198" s="581" t="s">
        <v>113</v>
      </c>
    </row>
    <row r="199" spans="1:10">
      <c r="A199" s="580">
        <v>4408</v>
      </c>
      <c r="B199" s="581" t="s">
        <v>126</v>
      </c>
      <c r="C199" s="580">
        <v>6343</v>
      </c>
      <c r="D199" s="581" t="s">
        <v>132</v>
      </c>
      <c r="E199" s="580">
        <v>5320</v>
      </c>
      <c r="F199" s="581" t="s">
        <v>119</v>
      </c>
      <c r="G199" s="580">
        <v>2235</v>
      </c>
      <c r="H199" s="581" t="s">
        <v>104</v>
      </c>
      <c r="I199" s="580">
        <v>3222</v>
      </c>
      <c r="J199" s="581" t="s">
        <v>113</v>
      </c>
    </row>
    <row r="200" spans="1:10">
      <c r="A200" s="580">
        <v>4410</v>
      </c>
      <c r="B200" s="581" t="s">
        <v>126</v>
      </c>
      <c r="C200" s="580">
        <v>6346</v>
      </c>
      <c r="D200" s="581" t="s">
        <v>132</v>
      </c>
      <c r="E200" s="580">
        <v>5321</v>
      </c>
      <c r="F200" s="581" t="s">
        <v>119</v>
      </c>
      <c r="G200" s="580">
        <v>2236</v>
      </c>
      <c r="H200" s="581" t="s">
        <v>104</v>
      </c>
      <c r="I200" s="580">
        <v>3223</v>
      </c>
      <c r="J200" s="581" t="s">
        <v>113</v>
      </c>
    </row>
    <row r="201" spans="1:10">
      <c r="A201" s="580">
        <v>4411</v>
      </c>
      <c r="B201" s="581" t="s">
        <v>126</v>
      </c>
      <c r="C201" s="580">
        <v>6348</v>
      </c>
      <c r="D201" s="581" t="s">
        <v>132</v>
      </c>
      <c r="E201" s="580">
        <v>5322</v>
      </c>
      <c r="F201" s="581" t="s">
        <v>119</v>
      </c>
      <c r="G201" s="580">
        <v>2237</v>
      </c>
      <c r="H201" s="581" t="s">
        <v>104</v>
      </c>
      <c r="I201" s="580">
        <v>3224</v>
      </c>
      <c r="J201" s="581" t="s">
        <v>113</v>
      </c>
    </row>
    <row r="202" spans="1:10">
      <c r="A202" s="580">
        <v>4412</v>
      </c>
      <c r="B202" s="581" t="s">
        <v>126</v>
      </c>
      <c r="C202" s="580">
        <v>6350</v>
      </c>
      <c r="D202" s="581" t="s">
        <v>132</v>
      </c>
      <c r="E202" s="580">
        <v>5330</v>
      </c>
      <c r="F202" s="581" t="s">
        <v>119</v>
      </c>
      <c r="G202" s="580">
        <v>2238</v>
      </c>
      <c r="H202" s="581" t="s">
        <v>104</v>
      </c>
      <c r="I202" s="580">
        <v>3225</v>
      </c>
      <c r="J202" s="581" t="s">
        <v>113</v>
      </c>
    </row>
    <row r="203" spans="1:10">
      <c r="A203" s="580">
        <v>4413</v>
      </c>
      <c r="B203" s="581" t="s">
        <v>126</v>
      </c>
      <c r="C203" s="580">
        <v>6351</v>
      </c>
      <c r="D203" s="581" t="s">
        <v>132</v>
      </c>
      <c r="E203" s="580">
        <v>5331</v>
      </c>
      <c r="F203" s="581" t="s">
        <v>119</v>
      </c>
      <c r="G203" s="580">
        <v>2239</v>
      </c>
      <c r="H203" s="581" t="s">
        <v>104</v>
      </c>
      <c r="I203" s="580">
        <v>3226</v>
      </c>
      <c r="J203" s="581" t="s">
        <v>113</v>
      </c>
    </row>
    <row r="204" spans="1:10">
      <c r="A204" s="580">
        <v>4415</v>
      </c>
      <c r="B204" s="581" t="s">
        <v>126</v>
      </c>
      <c r="C204" s="580">
        <v>6352</v>
      </c>
      <c r="D204" s="581" t="s">
        <v>132</v>
      </c>
      <c r="E204" s="580">
        <v>5332</v>
      </c>
      <c r="F204" s="581" t="s">
        <v>119</v>
      </c>
      <c r="G204" s="580">
        <v>2240</v>
      </c>
      <c r="H204" s="581" t="s">
        <v>104</v>
      </c>
      <c r="I204" s="580">
        <v>3227</v>
      </c>
      <c r="J204" s="581" t="s">
        <v>113</v>
      </c>
    </row>
    <row r="205" spans="1:10">
      <c r="A205" s="580">
        <v>4416</v>
      </c>
      <c r="B205" s="581" t="s">
        <v>126</v>
      </c>
      <c r="C205" s="580">
        <v>6353</v>
      </c>
      <c r="D205" s="581" t="s">
        <v>132</v>
      </c>
      <c r="E205" s="580">
        <v>5333</v>
      </c>
      <c r="F205" s="581" t="s">
        <v>119</v>
      </c>
      <c r="G205" s="580">
        <v>2241</v>
      </c>
      <c r="H205" s="581" t="s">
        <v>104</v>
      </c>
      <c r="I205" s="580">
        <v>3228</v>
      </c>
      <c r="J205" s="581" t="s">
        <v>113</v>
      </c>
    </row>
    <row r="206" spans="1:10">
      <c r="A206" s="580">
        <v>4417</v>
      </c>
      <c r="B206" s="581" t="s">
        <v>126</v>
      </c>
      <c r="C206" s="580">
        <v>6355</v>
      </c>
      <c r="D206" s="581" t="s">
        <v>132</v>
      </c>
      <c r="E206" s="580">
        <v>5340</v>
      </c>
      <c r="F206" s="581" t="s">
        <v>119</v>
      </c>
      <c r="G206" s="580">
        <v>2242</v>
      </c>
      <c r="H206" s="581" t="s">
        <v>104</v>
      </c>
      <c r="I206" s="580">
        <v>3230</v>
      </c>
      <c r="J206" s="581" t="s">
        <v>113</v>
      </c>
    </row>
    <row r="207" spans="1:10">
      <c r="A207" s="580">
        <v>4418</v>
      </c>
      <c r="B207" s="581" t="s">
        <v>126</v>
      </c>
      <c r="C207" s="580">
        <v>6356</v>
      </c>
      <c r="D207" s="581" t="s">
        <v>132</v>
      </c>
      <c r="E207" s="580">
        <v>5341</v>
      </c>
      <c r="F207" s="581" t="s">
        <v>119</v>
      </c>
      <c r="G207" s="580">
        <v>2243</v>
      </c>
      <c r="H207" s="581" t="s">
        <v>104</v>
      </c>
      <c r="I207" s="580">
        <v>3231</v>
      </c>
      <c r="J207" s="581" t="s">
        <v>113</v>
      </c>
    </row>
    <row r="208" spans="1:10">
      <c r="A208" s="580">
        <v>4419</v>
      </c>
      <c r="B208" s="581" t="s">
        <v>126</v>
      </c>
      <c r="C208" s="580">
        <v>6357</v>
      </c>
      <c r="D208" s="581" t="s">
        <v>132</v>
      </c>
      <c r="E208" s="580">
        <v>5342</v>
      </c>
      <c r="F208" s="581" t="s">
        <v>119</v>
      </c>
      <c r="G208" s="580">
        <v>2244</v>
      </c>
      <c r="H208" s="581" t="s">
        <v>104</v>
      </c>
      <c r="I208" s="580">
        <v>3232</v>
      </c>
      <c r="J208" s="581" t="s">
        <v>113</v>
      </c>
    </row>
    <row r="209" spans="1:10">
      <c r="A209" s="580">
        <v>4420</v>
      </c>
      <c r="B209" s="581" t="s">
        <v>126</v>
      </c>
      <c r="C209" s="580">
        <v>6358</v>
      </c>
      <c r="D209" s="581" t="s">
        <v>132</v>
      </c>
      <c r="E209" s="580">
        <v>5343</v>
      </c>
      <c r="F209" s="581" t="s">
        <v>119</v>
      </c>
      <c r="G209" s="580">
        <v>2245</v>
      </c>
      <c r="H209" s="581" t="s">
        <v>104</v>
      </c>
      <c r="I209" s="580">
        <v>3233</v>
      </c>
      <c r="J209" s="581" t="s">
        <v>113</v>
      </c>
    </row>
    <row r="210" spans="1:10">
      <c r="A210" s="580">
        <v>4421</v>
      </c>
      <c r="B210" s="581" t="s">
        <v>126</v>
      </c>
      <c r="C210" s="580">
        <v>6359</v>
      </c>
      <c r="D210" s="581" t="s">
        <v>132</v>
      </c>
      <c r="E210" s="580">
        <v>5344</v>
      </c>
      <c r="F210" s="581" t="s">
        <v>119</v>
      </c>
      <c r="G210" s="580">
        <v>2246</v>
      </c>
      <c r="H210" s="581" t="s">
        <v>104</v>
      </c>
      <c r="I210" s="580">
        <v>3235</v>
      </c>
      <c r="J210" s="581" t="s">
        <v>113</v>
      </c>
    </row>
    <row r="211" spans="1:10">
      <c r="A211" s="580">
        <v>4422</v>
      </c>
      <c r="B211" s="581" t="s">
        <v>126</v>
      </c>
      <c r="C211" s="580">
        <v>6361</v>
      </c>
      <c r="D211" s="581" t="s">
        <v>132</v>
      </c>
      <c r="E211" s="580">
        <v>5345</v>
      </c>
      <c r="F211" s="581" t="s">
        <v>119</v>
      </c>
      <c r="G211" s="580">
        <v>2247</v>
      </c>
      <c r="H211" s="581" t="s">
        <v>104</v>
      </c>
      <c r="I211" s="580">
        <v>3236</v>
      </c>
      <c r="J211" s="581" t="s">
        <v>113</v>
      </c>
    </row>
    <row r="212" spans="1:10">
      <c r="A212" s="580">
        <v>4423</v>
      </c>
      <c r="B212" s="581" t="s">
        <v>126</v>
      </c>
      <c r="C212" s="580">
        <v>6363</v>
      </c>
      <c r="D212" s="581" t="s">
        <v>132</v>
      </c>
      <c r="E212" s="580">
        <v>5350</v>
      </c>
      <c r="F212" s="581" t="s">
        <v>119</v>
      </c>
      <c r="G212" s="580">
        <v>2248</v>
      </c>
      <c r="H212" s="581" t="s">
        <v>104</v>
      </c>
      <c r="I212" s="580">
        <v>3237</v>
      </c>
      <c r="J212" s="581" t="s">
        <v>113</v>
      </c>
    </row>
    <row r="213" spans="1:10">
      <c r="A213" s="580">
        <v>4424</v>
      </c>
      <c r="B213" s="581" t="s">
        <v>126</v>
      </c>
      <c r="C213" s="580">
        <v>6365</v>
      </c>
      <c r="D213" s="581" t="s">
        <v>132</v>
      </c>
      <c r="E213" s="580">
        <v>5351</v>
      </c>
      <c r="F213" s="581" t="s">
        <v>119</v>
      </c>
      <c r="G213" s="580">
        <v>2249</v>
      </c>
      <c r="H213" s="581" t="s">
        <v>104</v>
      </c>
      <c r="I213" s="580">
        <v>3238</v>
      </c>
      <c r="J213" s="581" t="s">
        <v>113</v>
      </c>
    </row>
    <row r="214" spans="1:10">
      <c r="A214" s="580">
        <v>4425</v>
      </c>
      <c r="B214" s="581" t="s">
        <v>126</v>
      </c>
      <c r="C214" s="580">
        <v>6367</v>
      </c>
      <c r="D214" s="581" t="s">
        <v>132</v>
      </c>
      <c r="E214" s="580">
        <v>5352</v>
      </c>
      <c r="F214" s="581" t="s">
        <v>119</v>
      </c>
      <c r="G214" s="580">
        <v>2250</v>
      </c>
      <c r="H214" s="581" t="s">
        <v>104</v>
      </c>
      <c r="I214" s="580">
        <v>3239</v>
      </c>
      <c r="J214" s="581" t="s">
        <v>113</v>
      </c>
    </row>
    <row r="215" spans="1:10">
      <c r="A215" s="580">
        <v>4426</v>
      </c>
      <c r="B215" s="581" t="s">
        <v>126</v>
      </c>
      <c r="C215" s="580">
        <v>6368</v>
      </c>
      <c r="D215" s="581" t="s">
        <v>132</v>
      </c>
      <c r="E215" s="580">
        <v>5353</v>
      </c>
      <c r="F215" s="581" t="s">
        <v>119</v>
      </c>
      <c r="G215" s="580">
        <v>2251</v>
      </c>
      <c r="H215" s="581" t="s">
        <v>104</v>
      </c>
      <c r="I215" s="580">
        <v>3240</v>
      </c>
      <c r="J215" s="581" t="s">
        <v>113</v>
      </c>
    </row>
    <row r="216" spans="1:10">
      <c r="A216" s="580">
        <v>4427</v>
      </c>
      <c r="B216" s="581" t="s">
        <v>126</v>
      </c>
      <c r="C216" s="580">
        <v>6369</v>
      </c>
      <c r="D216" s="581" t="s">
        <v>132</v>
      </c>
      <c r="E216" s="580">
        <v>5354</v>
      </c>
      <c r="F216" s="581" t="s">
        <v>119</v>
      </c>
      <c r="G216" s="580">
        <v>2256</v>
      </c>
      <c r="H216" s="581" t="s">
        <v>104</v>
      </c>
      <c r="I216" s="580">
        <v>3241</v>
      </c>
      <c r="J216" s="581" t="s">
        <v>113</v>
      </c>
    </row>
    <row r="217" spans="1:10">
      <c r="A217" s="580">
        <v>4428</v>
      </c>
      <c r="B217" s="581" t="s">
        <v>126</v>
      </c>
      <c r="C217" s="580">
        <v>6370</v>
      </c>
      <c r="D217" s="581" t="s">
        <v>132</v>
      </c>
      <c r="E217" s="580">
        <v>5355</v>
      </c>
      <c r="F217" s="581" t="s">
        <v>119</v>
      </c>
      <c r="G217" s="580">
        <v>2257</v>
      </c>
      <c r="H217" s="581" t="s">
        <v>104</v>
      </c>
      <c r="I217" s="580">
        <v>3242</v>
      </c>
      <c r="J217" s="581" t="s">
        <v>113</v>
      </c>
    </row>
    <row r="218" spans="1:10">
      <c r="A218" s="580">
        <v>4454</v>
      </c>
      <c r="B218" s="581" t="s">
        <v>126</v>
      </c>
      <c r="C218" s="580">
        <v>6372</v>
      </c>
      <c r="D218" s="581" t="s">
        <v>132</v>
      </c>
      <c r="E218" s="580">
        <v>5356</v>
      </c>
      <c r="F218" s="581" t="s">
        <v>119</v>
      </c>
      <c r="G218" s="580">
        <v>2258</v>
      </c>
      <c r="H218" s="581" t="s">
        <v>104</v>
      </c>
      <c r="I218" s="580">
        <v>3243</v>
      </c>
      <c r="J218" s="581" t="s">
        <v>113</v>
      </c>
    </row>
    <row r="219" spans="1:10">
      <c r="A219" s="580">
        <v>4455</v>
      </c>
      <c r="B219" s="581" t="s">
        <v>126</v>
      </c>
      <c r="C219" s="580">
        <v>6373</v>
      </c>
      <c r="D219" s="581" t="s">
        <v>132</v>
      </c>
      <c r="E219" s="580">
        <v>5357</v>
      </c>
      <c r="F219" s="581" t="s">
        <v>119</v>
      </c>
      <c r="G219" s="580">
        <v>2259</v>
      </c>
      <c r="H219" s="581" t="s">
        <v>104</v>
      </c>
      <c r="I219" s="580">
        <v>3249</v>
      </c>
      <c r="J219" s="581" t="s">
        <v>113</v>
      </c>
    </row>
    <row r="220" spans="1:10">
      <c r="A220" s="580">
        <v>4461</v>
      </c>
      <c r="B220" s="581" t="s">
        <v>126</v>
      </c>
      <c r="C220" s="580">
        <v>6375</v>
      </c>
      <c r="D220" s="581" t="s">
        <v>132</v>
      </c>
      <c r="E220" s="580">
        <v>5360</v>
      </c>
      <c r="F220" s="581" t="s">
        <v>119</v>
      </c>
      <c r="G220" s="580">
        <v>2260</v>
      </c>
      <c r="H220" s="581" t="s">
        <v>104</v>
      </c>
      <c r="I220" s="580">
        <v>3250</v>
      </c>
      <c r="J220" s="581" t="s">
        <v>113</v>
      </c>
    </row>
    <row r="221" spans="1:10">
      <c r="A221" s="580">
        <v>4462</v>
      </c>
      <c r="B221" s="581" t="s">
        <v>126</v>
      </c>
      <c r="C221" s="580">
        <v>6383</v>
      </c>
      <c r="D221" s="581" t="s">
        <v>132</v>
      </c>
      <c r="E221" s="580">
        <v>5371</v>
      </c>
      <c r="F221" s="581" t="s">
        <v>119</v>
      </c>
      <c r="G221" s="580">
        <v>2261</v>
      </c>
      <c r="H221" s="581" t="s">
        <v>104</v>
      </c>
      <c r="I221" s="580">
        <v>3251</v>
      </c>
      <c r="J221" s="581" t="s">
        <v>113</v>
      </c>
    </row>
    <row r="222" spans="1:10">
      <c r="A222" s="580">
        <v>4465</v>
      </c>
      <c r="B222" s="581" t="s">
        <v>126</v>
      </c>
      <c r="C222" s="580">
        <v>6384</v>
      </c>
      <c r="D222" s="581" t="s">
        <v>132</v>
      </c>
      <c r="E222" s="580">
        <v>5372</v>
      </c>
      <c r="F222" s="581" t="s">
        <v>119</v>
      </c>
      <c r="G222" s="580">
        <v>2262</v>
      </c>
      <c r="H222" s="581" t="s">
        <v>104</v>
      </c>
      <c r="I222" s="580">
        <v>3254</v>
      </c>
      <c r="J222" s="581" t="s">
        <v>113</v>
      </c>
    </row>
    <row r="223" spans="1:10">
      <c r="A223" s="580">
        <v>4467</v>
      </c>
      <c r="B223" s="581" t="s">
        <v>126</v>
      </c>
      <c r="C223" s="580">
        <v>6385</v>
      </c>
      <c r="D223" s="581" t="s">
        <v>132</v>
      </c>
      <c r="E223" s="580">
        <v>5373</v>
      </c>
      <c r="F223" s="581" t="s">
        <v>119</v>
      </c>
      <c r="G223" s="580">
        <v>2263</v>
      </c>
      <c r="H223" s="581" t="s">
        <v>104</v>
      </c>
      <c r="I223" s="580">
        <v>3260</v>
      </c>
      <c r="J223" s="581" t="s">
        <v>113</v>
      </c>
    </row>
    <row r="224" spans="1:10">
      <c r="A224" s="580">
        <v>4470</v>
      </c>
      <c r="B224" s="581" t="s">
        <v>126</v>
      </c>
      <c r="C224" s="580">
        <v>6386</v>
      </c>
      <c r="D224" s="581" t="s">
        <v>132</v>
      </c>
      <c r="E224" s="580">
        <v>5374</v>
      </c>
      <c r="F224" s="581" t="s">
        <v>119</v>
      </c>
      <c r="G224" s="580">
        <v>2264</v>
      </c>
      <c r="H224" s="581" t="s">
        <v>104</v>
      </c>
      <c r="I224" s="580">
        <v>3264</v>
      </c>
      <c r="J224" s="581" t="s">
        <v>113</v>
      </c>
    </row>
    <row r="225" spans="1:10">
      <c r="A225" s="580">
        <v>4472</v>
      </c>
      <c r="B225" s="581" t="s">
        <v>126</v>
      </c>
      <c r="C225" s="580">
        <v>6390</v>
      </c>
      <c r="D225" s="581" t="s">
        <v>132</v>
      </c>
      <c r="E225" s="580">
        <v>5381</v>
      </c>
      <c r="F225" s="581" t="s">
        <v>119</v>
      </c>
      <c r="G225" s="580">
        <v>2265</v>
      </c>
      <c r="H225" s="581" t="s">
        <v>104</v>
      </c>
      <c r="I225" s="580">
        <v>3265</v>
      </c>
      <c r="J225" s="581" t="s">
        <v>113</v>
      </c>
    </row>
    <row r="226" spans="1:10">
      <c r="A226" s="580">
        <v>4474</v>
      </c>
      <c r="B226" s="581" t="s">
        <v>126</v>
      </c>
      <c r="C226" s="580">
        <v>6391</v>
      </c>
      <c r="D226" s="581" t="s">
        <v>132</v>
      </c>
      <c r="E226" s="580">
        <v>5400</v>
      </c>
      <c r="F226" s="581" t="s">
        <v>119</v>
      </c>
      <c r="G226" s="580">
        <v>2267</v>
      </c>
      <c r="H226" s="581" t="s">
        <v>104</v>
      </c>
      <c r="I226" s="580">
        <v>3266</v>
      </c>
      <c r="J226" s="581" t="s">
        <v>113</v>
      </c>
    </row>
    <row r="227" spans="1:10">
      <c r="A227" s="580">
        <v>4477</v>
      </c>
      <c r="B227" s="581" t="s">
        <v>126</v>
      </c>
      <c r="C227" s="580">
        <v>6392</v>
      </c>
      <c r="D227" s="581" t="s">
        <v>132</v>
      </c>
      <c r="E227" s="580">
        <v>5401</v>
      </c>
      <c r="F227" s="581" t="s">
        <v>119</v>
      </c>
      <c r="G227" s="580">
        <v>2278</v>
      </c>
      <c r="H227" s="581" t="s">
        <v>104</v>
      </c>
      <c r="I227" s="580">
        <v>3267</v>
      </c>
      <c r="J227" s="581" t="s">
        <v>113</v>
      </c>
    </row>
    <row r="228" spans="1:10">
      <c r="A228" s="580">
        <v>4478</v>
      </c>
      <c r="B228" s="581" t="s">
        <v>126</v>
      </c>
      <c r="C228" s="580">
        <v>6393</v>
      </c>
      <c r="D228" s="581" t="s">
        <v>132</v>
      </c>
      <c r="E228" s="580">
        <v>5410</v>
      </c>
      <c r="F228" s="581" t="s">
        <v>119</v>
      </c>
      <c r="G228" s="580">
        <v>2280</v>
      </c>
      <c r="H228" s="581" t="s">
        <v>109</v>
      </c>
      <c r="I228" s="580">
        <v>3270</v>
      </c>
      <c r="J228" s="581" t="s">
        <v>113</v>
      </c>
    </row>
    <row r="229" spans="1:10">
      <c r="A229" s="580">
        <v>4479</v>
      </c>
      <c r="B229" s="581" t="s">
        <v>126</v>
      </c>
      <c r="C229" s="580">
        <v>6394</v>
      </c>
      <c r="D229" s="581" t="s">
        <v>132</v>
      </c>
      <c r="E229" s="580">
        <v>5411</v>
      </c>
      <c r="F229" s="581" t="s">
        <v>119</v>
      </c>
      <c r="G229" s="580">
        <v>2281</v>
      </c>
      <c r="H229" s="581" t="s">
        <v>109</v>
      </c>
      <c r="I229" s="580">
        <v>3271</v>
      </c>
      <c r="J229" s="581" t="s">
        <v>113</v>
      </c>
    </row>
    <row r="230" spans="1:10">
      <c r="A230" s="580">
        <v>4480</v>
      </c>
      <c r="B230" s="581" t="s">
        <v>126</v>
      </c>
      <c r="C230" s="580">
        <v>6395</v>
      </c>
      <c r="D230" s="581" t="s">
        <v>132</v>
      </c>
      <c r="E230" s="580">
        <v>5412</v>
      </c>
      <c r="F230" s="581" t="s">
        <v>119</v>
      </c>
      <c r="G230" s="580">
        <v>2282</v>
      </c>
      <c r="H230" s="581" t="s">
        <v>109</v>
      </c>
      <c r="I230" s="580">
        <v>3272</v>
      </c>
      <c r="J230" s="581" t="s">
        <v>113</v>
      </c>
    </row>
    <row r="231" spans="1:10">
      <c r="A231" s="580">
        <v>4481</v>
      </c>
      <c r="B231" s="581" t="s">
        <v>126</v>
      </c>
      <c r="C231" s="580">
        <v>6396</v>
      </c>
      <c r="D231" s="581" t="s">
        <v>132</v>
      </c>
      <c r="E231" s="580">
        <v>5413</v>
      </c>
      <c r="F231" s="581" t="s">
        <v>119</v>
      </c>
      <c r="G231" s="580">
        <v>2283</v>
      </c>
      <c r="H231" s="581" t="s">
        <v>109</v>
      </c>
      <c r="I231" s="580">
        <v>3273</v>
      </c>
      <c r="J231" s="581" t="s">
        <v>113</v>
      </c>
    </row>
    <row r="232" spans="1:10" ht="16.2" thickBot="1">
      <c r="A232" s="580">
        <v>4482</v>
      </c>
      <c r="B232" s="581" t="s">
        <v>126</v>
      </c>
      <c r="C232" s="580">
        <v>6397</v>
      </c>
      <c r="D232" s="581" t="s">
        <v>132</v>
      </c>
      <c r="E232" s="582">
        <v>5414</v>
      </c>
      <c r="F232" s="581" t="s">
        <v>119</v>
      </c>
      <c r="G232" s="580">
        <v>2284</v>
      </c>
      <c r="H232" s="581" t="s">
        <v>109</v>
      </c>
      <c r="I232" s="580">
        <v>3274</v>
      </c>
      <c r="J232" s="581" t="s">
        <v>113</v>
      </c>
    </row>
    <row r="233" spans="1:10" ht="16.2" thickBot="1">
      <c r="A233" s="580">
        <v>4486</v>
      </c>
      <c r="B233" s="581" t="s">
        <v>126</v>
      </c>
      <c r="C233" s="580">
        <v>6398</v>
      </c>
      <c r="D233" s="581" t="s">
        <v>132</v>
      </c>
      <c r="E233" s="582">
        <v>5415</v>
      </c>
      <c r="F233" s="581" t="s">
        <v>119</v>
      </c>
      <c r="G233" s="580">
        <v>2285</v>
      </c>
      <c r="H233" s="581" t="s">
        <v>109</v>
      </c>
      <c r="I233" s="580">
        <v>3275</v>
      </c>
      <c r="J233" s="581" t="s">
        <v>113</v>
      </c>
    </row>
    <row r="234" spans="1:10" ht="16.2" thickBot="1">
      <c r="A234" s="580">
        <v>4487</v>
      </c>
      <c r="B234" s="581" t="s">
        <v>126</v>
      </c>
      <c r="C234" s="580">
        <v>6401</v>
      </c>
      <c r="D234" s="581" t="s">
        <v>132</v>
      </c>
      <c r="E234" s="582">
        <v>5416</v>
      </c>
      <c r="F234" s="581" t="s">
        <v>119</v>
      </c>
      <c r="G234" s="580">
        <v>2286</v>
      </c>
      <c r="H234" s="581" t="s">
        <v>109</v>
      </c>
      <c r="I234" s="580">
        <v>3276</v>
      </c>
      <c r="J234" s="581" t="s">
        <v>113</v>
      </c>
    </row>
    <row r="235" spans="1:10" ht="16.2" thickBot="1">
      <c r="A235" s="580">
        <v>4488</v>
      </c>
      <c r="B235" s="581" t="s">
        <v>126</v>
      </c>
      <c r="C235" s="580">
        <v>6403</v>
      </c>
      <c r="D235" s="581" t="s">
        <v>132</v>
      </c>
      <c r="E235" s="582">
        <v>5417</v>
      </c>
      <c r="F235" s="581" t="s">
        <v>119</v>
      </c>
      <c r="G235" s="580">
        <v>2287</v>
      </c>
      <c r="H235" s="581" t="s">
        <v>109</v>
      </c>
      <c r="I235" s="580">
        <v>3277</v>
      </c>
      <c r="J235" s="581" t="s">
        <v>113</v>
      </c>
    </row>
    <row r="236" spans="1:10" ht="16.2" thickBot="1">
      <c r="A236" s="580">
        <v>4489</v>
      </c>
      <c r="B236" s="581" t="s">
        <v>126</v>
      </c>
      <c r="C236" s="580">
        <v>6405</v>
      </c>
      <c r="D236" s="581" t="s">
        <v>132</v>
      </c>
      <c r="E236" s="582">
        <v>5418</v>
      </c>
      <c r="F236" s="581" t="s">
        <v>119</v>
      </c>
      <c r="G236" s="580">
        <v>2289</v>
      </c>
      <c r="H236" s="581" t="s">
        <v>109</v>
      </c>
      <c r="I236" s="580">
        <v>3278</v>
      </c>
      <c r="J236" s="581" t="s">
        <v>113</v>
      </c>
    </row>
    <row r="237" spans="1:10" ht="16.2" thickBot="1">
      <c r="A237" s="580">
        <v>4490</v>
      </c>
      <c r="B237" s="581" t="s">
        <v>126</v>
      </c>
      <c r="C237" s="580">
        <v>6407</v>
      </c>
      <c r="D237" s="581" t="s">
        <v>132</v>
      </c>
      <c r="E237" s="582">
        <v>5419</v>
      </c>
      <c r="F237" s="581" t="s">
        <v>119</v>
      </c>
      <c r="G237" s="580">
        <v>2290</v>
      </c>
      <c r="H237" s="581" t="s">
        <v>109</v>
      </c>
      <c r="I237" s="580">
        <v>3279</v>
      </c>
      <c r="J237" s="581" t="s">
        <v>113</v>
      </c>
    </row>
    <row r="238" spans="1:10" ht="16.2" thickBot="1">
      <c r="A238" s="580">
        <v>4491</v>
      </c>
      <c r="B238" s="581" t="s">
        <v>126</v>
      </c>
      <c r="C238" s="580">
        <v>6409</v>
      </c>
      <c r="D238" s="581" t="s">
        <v>132</v>
      </c>
      <c r="E238" s="582">
        <v>5420</v>
      </c>
      <c r="F238" s="581" t="s">
        <v>119</v>
      </c>
      <c r="G238" s="580">
        <v>2291</v>
      </c>
      <c r="H238" s="581" t="s">
        <v>109</v>
      </c>
      <c r="I238" s="580">
        <v>3280</v>
      </c>
      <c r="J238" s="581" t="s">
        <v>113</v>
      </c>
    </row>
    <row r="239" spans="1:10" ht="16.2" thickBot="1">
      <c r="A239" s="580">
        <v>4492</v>
      </c>
      <c r="B239" s="581" t="s">
        <v>126</v>
      </c>
      <c r="C239" s="580">
        <v>6410</v>
      </c>
      <c r="D239" s="581" t="s">
        <v>132</v>
      </c>
      <c r="E239" s="582">
        <v>5421</v>
      </c>
      <c r="F239" s="581" t="s">
        <v>119</v>
      </c>
      <c r="G239" s="580">
        <v>2292</v>
      </c>
      <c r="H239" s="581" t="s">
        <v>109</v>
      </c>
      <c r="I239" s="580">
        <v>3281</v>
      </c>
      <c r="J239" s="581" t="s">
        <v>113</v>
      </c>
    </row>
    <row r="240" spans="1:10" ht="16.2" thickBot="1">
      <c r="A240" s="580">
        <v>4493</v>
      </c>
      <c r="B240" s="581" t="s">
        <v>126</v>
      </c>
      <c r="C240" s="580">
        <v>6411</v>
      </c>
      <c r="D240" s="581" t="s">
        <v>132</v>
      </c>
      <c r="E240" s="582">
        <v>5422</v>
      </c>
      <c r="F240" s="581" t="s">
        <v>119</v>
      </c>
      <c r="G240" s="580">
        <v>2293</v>
      </c>
      <c r="H240" s="581" t="s">
        <v>109</v>
      </c>
      <c r="I240" s="580">
        <v>3282</v>
      </c>
      <c r="J240" s="581" t="s">
        <v>113</v>
      </c>
    </row>
    <row r="241" spans="1:10" ht="16.2" thickBot="1">
      <c r="A241" s="580">
        <v>4494</v>
      </c>
      <c r="B241" s="581" t="s">
        <v>126</v>
      </c>
      <c r="C241" s="580">
        <v>6412</v>
      </c>
      <c r="D241" s="581" t="s">
        <v>132</v>
      </c>
      <c r="E241" s="582">
        <v>5431</v>
      </c>
      <c r="F241" s="581" t="s">
        <v>119</v>
      </c>
      <c r="G241" s="580">
        <v>2294</v>
      </c>
      <c r="H241" s="581" t="s">
        <v>109</v>
      </c>
      <c r="I241" s="580">
        <v>3283</v>
      </c>
      <c r="J241" s="581" t="s">
        <v>113</v>
      </c>
    </row>
    <row r="242" spans="1:10" ht="16.2" thickBot="1">
      <c r="A242" s="580">
        <v>4496</v>
      </c>
      <c r="B242" s="581" t="s">
        <v>126</v>
      </c>
      <c r="C242" s="580">
        <v>6413</v>
      </c>
      <c r="D242" s="581" t="s">
        <v>132</v>
      </c>
      <c r="E242" s="582">
        <v>5432</v>
      </c>
      <c r="F242" s="581" t="s">
        <v>119</v>
      </c>
      <c r="G242" s="580">
        <v>2295</v>
      </c>
      <c r="H242" s="581" t="s">
        <v>109</v>
      </c>
      <c r="I242" s="580">
        <v>3284</v>
      </c>
      <c r="J242" s="581" t="s">
        <v>113</v>
      </c>
    </row>
    <row r="243" spans="1:10" ht="16.2" thickBot="1">
      <c r="A243" s="580">
        <v>4497</v>
      </c>
      <c r="B243" s="581" t="s">
        <v>126</v>
      </c>
      <c r="C243" s="580">
        <v>6414</v>
      </c>
      <c r="D243" s="581" t="s">
        <v>132</v>
      </c>
      <c r="E243" s="582">
        <v>5433</v>
      </c>
      <c r="F243" s="581" t="s">
        <v>119</v>
      </c>
      <c r="G243" s="580">
        <v>2296</v>
      </c>
      <c r="H243" s="581" t="s">
        <v>109</v>
      </c>
      <c r="I243" s="580">
        <v>3285</v>
      </c>
      <c r="J243" s="581" t="s">
        <v>113</v>
      </c>
    </row>
    <row r="244" spans="1:10" ht="16.2" thickBot="1">
      <c r="A244" s="580">
        <v>4498</v>
      </c>
      <c r="B244" s="581" t="s">
        <v>126</v>
      </c>
      <c r="C244" s="580">
        <v>6415</v>
      </c>
      <c r="D244" s="581" t="s">
        <v>132</v>
      </c>
      <c r="E244" s="582">
        <v>5434</v>
      </c>
      <c r="F244" s="581" t="s">
        <v>119</v>
      </c>
      <c r="G244" s="580">
        <v>2297</v>
      </c>
      <c r="H244" s="581" t="s">
        <v>109</v>
      </c>
      <c r="I244" s="580">
        <v>3286</v>
      </c>
      <c r="J244" s="581" t="s">
        <v>113</v>
      </c>
    </row>
    <row r="245" spans="1:10" ht="16.2" thickBot="1">
      <c r="A245" s="580">
        <v>4500</v>
      </c>
      <c r="B245" s="581" t="s">
        <v>126</v>
      </c>
      <c r="C245" s="580">
        <v>6418</v>
      </c>
      <c r="D245" s="581" t="s">
        <v>132</v>
      </c>
      <c r="E245" s="582">
        <v>5440</v>
      </c>
      <c r="F245" s="581" t="s">
        <v>119</v>
      </c>
      <c r="G245" s="580">
        <v>2298</v>
      </c>
      <c r="H245" s="581" t="s">
        <v>109</v>
      </c>
      <c r="I245" s="580">
        <v>3287</v>
      </c>
      <c r="J245" s="581" t="s">
        <v>113</v>
      </c>
    </row>
    <row r="246" spans="1:10" ht="16.2" thickBot="1">
      <c r="A246" s="580">
        <v>4501</v>
      </c>
      <c r="B246" s="581" t="s">
        <v>126</v>
      </c>
      <c r="C246" s="580">
        <v>6419</v>
      </c>
      <c r="D246" s="581" t="s">
        <v>132</v>
      </c>
      <c r="E246" s="582">
        <v>5451</v>
      </c>
      <c r="F246" s="581" t="s">
        <v>119</v>
      </c>
      <c r="G246" s="580">
        <v>2299</v>
      </c>
      <c r="H246" s="581" t="s">
        <v>109</v>
      </c>
      <c r="I246" s="580">
        <v>3289</v>
      </c>
      <c r="J246" s="581" t="s">
        <v>113</v>
      </c>
    </row>
    <row r="247" spans="1:10" ht="16.2" thickBot="1">
      <c r="A247" s="580">
        <v>4502</v>
      </c>
      <c r="B247" s="581" t="s">
        <v>126</v>
      </c>
      <c r="C247" s="580">
        <v>6420</v>
      </c>
      <c r="D247" s="581" t="s">
        <v>132</v>
      </c>
      <c r="E247" s="582">
        <v>5452</v>
      </c>
      <c r="F247" s="581" t="s">
        <v>119</v>
      </c>
      <c r="G247" s="580">
        <v>2300</v>
      </c>
      <c r="H247" s="581" t="s">
        <v>109</v>
      </c>
      <c r="I247" s="580">
        <v>3292</v>
      </c>
      <c r="J247" s="581" t="s">
        <v>113</v>
      </c>
    </row>
    <row r="248" spans="1:10" ht="16.2" thickBot="1">
      <c r="A248" s="580">
        <v>4503</v>
      </c>
      <c r="B248" s="581" t="s">
        <v>126</v>
      </c>
      <c r="C248" s="580">
        <v>6421</v>
      </c>
      <c r="D248" s="581" t="s">
        <v>132</v>
      </c>
      <c r="E248" s="582">
        <v>5453</v>
      </c>
      <c r="F248" s="581" t="s">
        <v>119</v>
      </c>
      <c r="G248" s="580">
        <v>2302</v>
      </c>
      <c r="H248" s="581" t="s">
        <v>109</v>
      </c>
      <c r="I248" s="580">
        <v>3293</v>
      </c>
      <c r="J248" s="581" t="s">
        <v>113</v>
      </c>
    </row>
    <row r="249" spans="1:10" ht="16.2" thickBot="1">
      <c r="A249" s="580">
        <v>4504</v>
      </c>
      <c r="B249" s="581" t="s">
        <v>126</v>
      </c>
      <c r="C249" s="580">
        <v>6422</v>
      </c>
      <c r="D249" s="581" t="s">
        <v>132</v>
      </c>
      <c r="E249" s="582">
        <v>5454</v>
      </c>
      <c r="F249" s="581" t="s">
        <v>119</v>
      </c>
      <c r="G249" s="580">
        <v>2303</v>
      </c>
      <c r="H249" s="581" t="s">
        <v>109</v>
      </c>
      <c r="I249" s="580">
        <v>3294</v>
      </c>
      <c r="J249" s="581" t="s">
        <v>113</v>
      </c>
    </row>
    <row r="250" spans="1:10" ht="16.2" thickBot="1">
      <c r="A250" s="580">
        <v>4505</v>
      </c>
      <c r="B250" s="581" t="s">
        <v>126</v>
      </c>
      <c r="C250" s="580">
        <v>6423</v>
      </c>
      <c r="D250" s="581" t="s">
        <v>132</v>
      </c>
      <c r="E250" s="582">
        <v>5455</v>
      </c>
      <c r="F250" s="581" t="s">
        <v>119</v>
      </c>
      <c r="G250" s="580">
        <v>2304</v>
      </c>
      <c r="H250" s="581" t="s">
        <v>109</v>
      </c>
      <c r="I250" s="580">
        <v>3300</v>
      </c>
      <c r="J250" s="581" t="s">
        <v>113</v>
      </c>
    </row>
    <row r="251" spans="1:10" ht="16.2" thickBot="1">
      <c r="A251" s="580">
        <v>4506</v>
      </c>
      <c r="B251" s="581" t="s">
        <v>126</v>
      </c>
      <c r="C251" s="580">
        <v>6424</v>
      </c>
      <c r="D251" s="581" t="s">
        <v>132</v>
      </c>
      <c r="E251" s="582">
        <v>5460</v>
      </c>
      <c r="F251" s="581" t="s">
        <v>119</v>
      </c>
      <c r="G251" s="580">
        <v>2305</v>
      </c>
      <c r="H251" s="581" t="s">
        <v>109</v>
      </c>
      <c r="I251" s="580">
        <v>3301</v>
      </c>
      <c r="J251" s="581" t="s">
        <v>113</v>
      </c>
    </row>
    <row r="252" spans="1:10" ht="16.2" thickBot="1">
      <c r="A252" s="580">
        <v>4507</v>
      </c>
      <c r="B252" s="581" t="s">
        <v>126</v>
      </c>
      <c r="C252" s="580">
        <v>6425</v>
      </c>
      <c r="D252" s="581" t="s">
        <v>132</v>
      </c>
      <c r="E252" s="582">
        <v>5461</v>
      </c>
      <c r="F252" s="581" t="s">
        <v>119</v>
      </c>
      <c r="G252" s="580">
        <v>2306</v>
      </c>
      <c r="H252" s="581" t="s">
        <v>109</v>
      </c>
      <c r="I252" s="580">
        <v>3302</v>
      </c>
      <c r="J252" s="581" t="s">
        <v>113</v>
      </c>
    </row>
    <row r="253" spans="1:10" ht="16.2" thickBot="1">
      <c r="A253" s="580">
        <v>4508</v>
      </c>
      <c r="B253" s="581" t="s">
        <v>126</v>
      </c>
      <c r="C253" s="580">
        <v>6426</v>
      </c>
      <c r="D253" s="581" t="s">
        <v>132</v>
      </c>
      <c r="E253" s="582">
        <v>5462</v>
      </c>
      <c r="F253" s="581" t="s">
        <v>119</v>
      </c>
      <c r="G253" s="580">
        <v>2307</v>
      </c>
      <c r="H253" s="581" t="s">
        <v>109</v>
      </c>
      <c r="I253" s="580">
        <v>3304</v>
      </c>
      <c r="J253" s="581" t="s">
        <v>113</v>
      </c>
    </row>
    <row r="254" spans="1:10" ht="16.2" thickBot="1">
      <c r="A254" s="580">
        <v>4509</v>
      </c>
      <c r="B254" s="581" t="s">
        <v>126</v>
      </c>
      <c r="C254" s="580">
        <v>6427</v>
      </c>
      <c r="D254" s="581" t="s">
        <v>132</v>
      </c>
      <c r="E254" s="582">
        <v>5464</v>
      </c>
      <c r="F254" s="581" t="s">
        <v>119</v>
      </c>
      <c r="G254" s="580">
        <v>2308</v>
      </c>
      <c r="H254" s="581" t="s">
        <v>109</v>
      </c>
      <c r="I254" s="580">
        <v>3305</v>
      </c>
      <c r="J254" s="581" t="s">
        <v>113</v>
      </c>
    </row>
    <row r="255" spans="1:10" ht="16.2" thickBot="1">
      <c r="A255" s="580">
        <v>4510</v>
      </c>
      <c r="B255" s="581" t="s">
        <v>126</v>
      </c>
      <c r="C255" s="580">
        <v>6428</v>
      </c>
      <c r="D255" s="581" t="s">
        <v>132</v>
      </c>
      <c r="E255" s="582">
        <v>5470</v>
      </c>
      <c r="F255" s="581" t="s">
        <v>119</v>
      </c>
      <c r="G255" s="580">
        <v>2312</v>
      </c>
      <c r="H255" s="581" t="s">
        <v>109</v>
      </c>
      <c r="I255" s="580">
        <v>3309</v>
      </c>
      <c r="J255" s="581" t="s">
        <v>113</v>
      </c>
    </row>
    <row r="256" spans="1:10" ht="16.2" thickBot="1">
      <c r="A256" s="580">
        <v>4511</v>
      </c>
      <c r="B256" s="581" t="s">
        <v>126</v>
      </c>
      <c r="C256" s="580">
        <v>6429</v>
      </c>
      <c r="D256" s="581" t="s">
        <v>132</v>
      </c>
      <c r="E256" s="582">
        <v>5471</v>
      </c>
      <c r="F256" s="581" t="s">
        <v>119</v>
      </c>
      <c r="G256" s="580">
        <v>2315</v>
      </c>
      <c r="H256" s="581" t="s">
        <v>109</v>
      </c>
      <c r="I256" s="580">
        <v>3310</v>
      </c>
      <c r="J256" s="581" t="s">
        <v>113</v>
      </c>
    </row>
    <row r="257" spans="1:10" ht="16.2" thickBot="1">
      <c r="A257" s="580">
        <v>4512</v>
      </c>
      <c r="B257" s="581" t="s">
        <v>126</v>
      </c>
      <c r="C257" s="580">
        <v>6430</v>
      </c>
      <c r="D257" s="581" t="s">
        <v>132</v>
      </c>
      <c r="E257" s="582">
        <v>5472</v>
      </c>
      <c r="F257" s="581" t="s">
        <v>119</v>
      </c>
      <c r="G257" s="580">
        <v>2316</v>
      </c>
      <c r="H257" s="581" t="s">
        <v>109</v>
      </c>
      <c r="I257" s="580">
        <v>3311</v>
      </c>
      <c r="J257" s="581" t="s">
        <v>113</v>
      </c>
    </row>
    <row r="258" spans="1:10" ht="16.2" thickBot="1">
      <c r="A258" s="580">
        <v>4514</v>
      </c>
      <c r="B258" s="581" t="s">
        <v>126</v>
      </c>
      <c r="C258" s="580">
        <v>6431</v>
      </c>
      <c r="D258" s="581" t="s">
        <v>132</v>
      </c>
      <c r="E258" s="582">
        <v>5473</v>
      </c>
      <c r="F258" s="581" t="s">
        <v>119</v>
      </c>
      <c r="G258" s="580">
        <v>2317</v>
      </c>
      <c r="H258" s="581" t="s">
        <v>109</v>
      </c>
      <c r="I258" s="580">
        <v>3312</v>
      </c>
      <c r="J258" s="581" t="s">
        <v>113</v>
      </c>
    </row>
    <row r="259" spans="1:10" ht="16.2" thickBot="1">
      <c r="A259" s="580">
        <v>4515</v>
      </c>
      <c r="B259" s="581" t="s">
        <v>126</v>
      </c>
      <c r="C259" s="580">
        <v>6432</v>
      </c>
      <c r="D259" s="581" t="s">
        <v>132</v>
      </c>
      <c r="E259" s="582">
        <v>5480</v>
      </c>
      <c r="F259" s="581" t="s">
        <v>119</v>
      </c>
      <c r="G259" s="580">
        <v>2318</v>
      </c>
      <c r="H259" s="581" t="s">
        <v>109</v>
      </c>
      <c r="I259" s="580">
        <v>3314</v>
      </c>
      <c r="J259" s="581" t="s">
        <v>113</v>
      </c>
    </row>
    <row r="260" spans="1:10" ht="16.2" thickBot="1">
      <c r="A260" s="580">
        <v>4516</v>
      </c>
      <c r="B260" s="581" t="s">
        <v>126</v>
      </c>
      <c r="C260" s="580">
        <v>6434</v>
      </c>
      <c r="D260" s="581" t="s">
        <v>132</v>
      </c>
      <c r="E260" s="582">
        <v>5481</v>
      </c>
      <c r="F260" s="581" t="s">
        <v>119</v>
      </c>
      <c r="G260" s="580">
        <v>2319</v>
      </c>
      <c r="H260" s="581" t="s">
        <v>109</v>
      </c>
      <c r="I260" s="580">
        <v>3315</v>
      </c>
      <c r="J260" s="581" t="s">
        <v>113</v>
      </c>
    </row>
    <row r="261" spans="1:10" ht="16.2" thickBot="1">
      <c r="A261" s="580">
        <v>4517</v>
      </c>
      <c r="B261" s="581" t="s">
        <v>126</v>
      </c>
      <c r="C261" s="580">
        <v>6436</v>
      </c>
      <c r="D261" s="581" t="s">
        <v>132</v>
      </c>
      <c r="E261" s="582">
        <v>5482</v>
      </c>
      <c r="F261" s="581" t="s">
        <v>119</v>
      </c>
      <c r="G261" s="580">
        <v>2320</v>
      </c>
      <c r="H261" s="581" t="s">
        <v>109</v>
      </c>
      <c r="I261" s="580">
        <v>3317</v>
      </c>
      <c r="J261" s="581" t="s">
        <v>113</v>
      </c>
    </row>
    <row r="262" spans="1:10" ht="16.2" thickBot="1">
      <c r="A262" s="580">
        <v>4518</v>
      </c>
      <c r="B262" s="581" t="s">
        <v>126</v>
      </c>
      <c r="C262" s="580">
        <v>6437</v>
      </c>
      <c r="D262" s="581" t="s">
        <v>132</v>
      </c>
      <c r="E262" s="582">
        <v>5483</v>
      </c>
      <c r="F262" s="581" t="s">
        <v>119</v>
      </c>
      <c r="G262" s="580">
        <v>2321</v>
      </c>
      <c r="H262" s="581" t="s">
        <v>109</v>
      </c>
      <c r="I262" s="580">
        <v>3318</v>
      </c>
      <c r="J262" s="581" t="s">
        <v>113</v>
      </c>
    </row>
    <row r="263" spans="1:10" ht="16.2" thickBot="1">
      <c r="A263" s="580">
        <v>4519</v>
      </c>
      <c r="B263" s="581" t="s">
        <v>126</v>
      </c>
      <c r="C263" s="580">
        <v>6438</v>
      </c>
      <c r="D263" s="581" t="s">
        <v>132</v>
      </c>
      <c r="E263" s="582">
        <v>5485</v>
      </c>
      <c r="F263" s="581" t="s">
        <v>119</v>
      </c>
      <c r="G263" s="580">
        <v>2322</v>
      </c>
      <c r="H263" s="581" t="s">
        <v>109</v>
      </c>
      <c r="I263" s="580">
        <v>3319</v>
      </c>
      <c r="J263" s="581" t="s">
        <v>113</v>
      </c>
    </row>
    <row r="264" spans="1:10" ht="16.2" thickBot="1">
      <c r="A264" s="580">
        <v>4520</v>
      </c>
      <c r="B264" s="581" t="s">
        <v>126</v>
      </c>
      <c r="C264" s="580">
        <v>6440</v>
      </c>
      <c r="D264" s="581" t="s">
        <v>132</v>
      </c>
      <c r="E264" s="582">
        <v>5490</v>
      </c>
      <c r="F264" s="581" t="s">
        <v>119</v>
      </c>
      <c r="G264" s="580">
        <v>2323</v>
      </c>
      <c r="H264" s="581" t="s">
        <v>109</v>
      </c>
      <c r="I264" s="580">
        <v>3321</v>
      </c>
      <c r="J264" s="581" t="s">
        <v>113</v>
      </c>
    </row>
    <row r="265" spans="1:10" ht="16.2" thickBot="1">
      <c r="A265" s="580">
        <v>4521</v>
      </c>
      <c r="B265" s="581" t="s">
        <v>126</v>
      </c>
      <c r="C265" s="580">
        <v>6442</v>
      </c>
      <c r="D265" s="581" t="s">
        <v>132</v>
      </c>
      <c r="E265" s="582">
        <v>5491</v>
      </c>
      <c r="F265" s="581" t="s">
        <v>119</v>
      </c>
      <c r="G265" s="580">
        <v>2324</v>
      </c>
      <c r="H265" s="581" t="s">
        <v>109</v>
      </c>
      <c r="I265" s="580">
        <v>3322</v>
      </c>
      <c r="J265" s="581" t="s">
        <v>113</v>
      </c>
    </row>
    <row r="266" spans="1:10" ht="16.2" thickBot="1">
      <c r="A266" s="580">
        <v>4550</v>
      </c>
      <c r="B266" s="581" t="s">
        <v>126</v>
      </c>
      <c r="C266" s="580">
        <v>6443</v>
      </c>
      <c r="D266" s="581" t="s">
        <v>132</v>
      </c>
      <c r="E266" s="582">
        <v>5493</v>
      </c>
      <c r="F266" s="581" t="s">
        <v>119</v>
      </c>
      <c r="G266" s="580">
        <v>2325</v>
      </c>
      <c r="H266" s="581" t="s">
        <v>109</v>
      </c>
      <c r="I266" s="580">
        <v>3323</v>
      </c>
      <c r="J266" s="581" t="s">
        <v>113</v>
      </c>
    </row>
    <row r="267" spans="1:10" ht="16.2" thickBot="1">
      <c r="A267" s="580">
        <v>4551</v>
      </c>
      <c r="B267" s="581" t="s">
        <v>126</v>
      </c>
      <c r="C267" s="580">
        <v>6445</v>
      </c>
      <c r="D267" s="581" t="s">
        <v>132</v>
      </c>
      <c r="E267" s="582">
        <v>5495</v>
      </c>
      <c r="F267" s="581" t="s">
        <v>119</v>
      </c>
      <c r="G267" s="580">
        <v>2326</v>
      </c>
      <c r="H267" s="581" t="s">
        <v>109</v>
      </c>
      <c r="I267" s="580">
        <v>3324</v>
      </c>
      <c r="J267" s="581" t="s">
        <v>113</v>
      </c>
    </row>
    <row r="268" spans="1:10" ht="16.2" thickBot="1">
      <c r="A268" s="580">
        <v>4552</v>
      </c>
      <c r="B268" s="581" t="s">
        <v>126</v>
      </c>
      <c r="C268" s="580">
        <v>6446</v>
      </c>
      <c r="D268" s="581" t="s">
        <v>132</v>
      </c>
      <c r="E268" s="582">
        <v>5501</v>
      </c>
      <c r="F268" s="581" t="s">
        <v>119</v>
      </c>
      <c r="G268" s="580">
        <v>2327</v>
      </c>
      <c r="H268" s="581" t="s">
        <v>109</v>
      </c>
      <c r="I268" s="580">
        <v>3325</v>
      </c>
      <c r="J268" s="581" t="s">
        <v>113</v>
      </c>
    </row>
    <row r="269" spans="1:10" ht="16.2" thickBot="1">
      <c r="A269" s="580">
        <v>4553</v>
      </c>
      <c r="B269" s="581" t="s">
        <v>126</v>
      </c>
      <c r="C269" s="580">
        <v>6447</v>
      </c>
      <c r="D269" s="581" t="s">
        <v>132</v>
      </c>
      <c r="E269" s="582">
        <v>5502</v>
      </c>
      <c r="F269" s="581" t="s">
        <v>119</v>
      </c>
      <c r="G269" s="580">
        <v>2330</v>
      </c>
      <c r="H269" s="581" t="s">
        <v>109</v>
      </c>
      <c r="I269" s="580">
        <v>3328</v>
      </c>
      <c r="J269" s="581" t="s">
        <v>113</v>
      </c>
    </row>
    <row r="270" spans="1:10" ht="16.2" thickBot="1">
      <c r="A270" s="580">
        <v>4554</v>
      </c>
      <c r="B270" s="581" t="s">
        <v>126</v>
      </c>
      <c r="C270" s="580">
        <v>6450</v>
      </c>
      <c r="D270" s="581" t="s">
        <v>132</v>
      </c>
      <c r="E270" s="582">
        <v>5503</v>
      </c>
      <c r="F270" s="581" t="s">
        <v>119</v>
      </c>
      <c r="G270" s="580">
        <v>2333</v>
      </c>
      <c r="H270" s="581" t="s">
        <v>109</v>
      </c>
      <c r="I270" s="580">
        <v>3329</v>
      </c>
      <c r="J270" s="581" t="s">
        <v>113</v>
      </c>
    </row>
    <row r="271" spans="1:10" ht="16.2" thickBot="1">
      <c r="A271" s="580">
        <v>4555</v>
      </c>
      <c r="B271" s="581" t="s">
        <v>126</v>
      </c>
      <c r="C271" s="580">
        <v>6452</v>
      </c>
      <c r="D271" s="581" t="s">
        <v>132</v>
      </c>
      <c r="E271" s="582">
        <v>5504</v>
      </c>
      <c r="F271" s="581" t="s">
        <v>119</v>
      </c>
      <c r="G271" s="580">
        <v>2334</v>
      </c>
      <c r="H271" s="581" t="s">
        <v>109</v>
      </c>
      <c r="I271" s="580">
        <v>3330</v>
      </c>
      <c r="J271" s="581" t="s">
        <v>113</v>
      </c>
    </row>
    <row r="272" spans="1:10" ht="16.2" thickBot="1">
      <c r="A272" s="580">
        <v>4556</v>
      </c>
      <c r="B272" s="581" t="s">
        <v>126</v>
      </c>
      <c r="C272" s="580">
        <v>6460</v>
      </c>
      <c r="D272" s="581" t="s">
        <v>132</v>
      </c>
      <c r="E272" s="582">
        <v>5505</v>
      </c>
      <c r="F272" s="581" t="s">
        <v>119</v>
      </c>
      <c r="G272" s="580">
        <v>2335</v>
      </c>
      <c r="H272" s="581" t="s">
        <v>104</v>
      </c>
      <c r="I272" s="580">
        <v>3331</v>
      </c>
      <c r="J272" s="581" t="s">
        <v>113</v>
      </c>
    </row>
    <row r="273" spans="1:10" ht="16.2" thickBot="1">
      <c r="A273" s="580">
        <v>4557</v>
      </c>
      <c r="B273" s="581" t="s">
        <v>126</v>
      </c>
      <c r="C273" s="580">
        <v>6461</v>
      </c>
      <c r="D273" s="581" t="s">
        <v>132</v>
      </c>
      <c r="E273" s="582">
        <v>5506</v>
      </c>
      <c r="F273" s="581" t="s">
        <v>119</v>
      </c>
      <c r="G273" s="580">
        <v>2336</v>
      </c>
      <c r="H273" s="581" t="s">
        <v>104</v>
      </c>
      <c r="I273" s="580">
        <v>3332</v>
      </c>
      <c r="J273" s="581" t="s">
        <v>113</v>
      </c>
    </row>
    <row r="274" spans="1:10" ht="16.2" thickBot="1">
      <c r="A274" s="580">
        <v>4558</v>
      </c>
      <c r="B274" s="581" t="s">
        <v>126</v>
      </c>
      <c r="C274" s="580">
        <v>6462</v>
      </c>
      <c r="D274" s="581" t="s">
        <v>132</v>
      </c>
      <c r="E274" s="582">
        <v>5507</v>
      </c>
      <c r="F274" s="581" t="s">
        <v>119</v>
      </c>
      <c r="G274" s="580">
        <v>2337</v>
      </c>
      <c r="H274" s="581" t="s">
        <v>104</v>
      </c>
      <c r="I274" s="580">
        <v>3333</v>
      </c>
      <c r="J274" s="581" t="s">
        <v>113</v>
      </c>
    </row>
    <row r="275" spans="1:10" ht="16.2" thickBot="1">
      <c r="A275" s="580">
        <v>4559</v>
      </c>
      <c r="B275" s="581" t="s">
        <v>126</v>
      </c>
      <c r="C275" s="580">
        <v>6463</v>
      </c>
      <c r="D275" s="581" t="s">
        <v>132</v>
      </c>
      <c r="E275" s="582">
        <v>5508</v>
      </c>
      <c r="F275" s="581" t="s">
        <v>119</v>
      </c>
      <c r="G275" s="580">
        <v>2338</v>
      </c>
      <c r="H275" s="581" t="s">
        <v>104</v>
      </c>
      <c r="I275" s="580">
        <v>3334</v>
      </c>
      <c r="J275" s="581" t="s">
        <v>113</v>
      </c>
    </row>
    <row r="276" spans="1:10" ht="16.2" thickBot="1">
      <c r="A276" s="580">
        <v>4560</v>
      </c>
      <c r="B276" s="581" t="s">
        <v>126</v>
      </c>
      <c r="C276" s="580">
        <v>6465</v>
      </c>
      <c r="D276" s="581" t="s">
        <v>132</v>
      </c>
      <c r="E276" s="582">
        <v>5510</v>
      </c>
      <c r="F276" s="581" t="s">
        <v>119</v>
      </c>
      <c r="G276" s="580">
        <v>2339</v>
      </c>
      <c r="H276" s="581" t="s">
        <v>104</v>
      </c>
      <c r="I276" s="580">
        <v>3335</v>
      </c>
      <c r="J276" s="581" t="s">
        <v>113</v>
      </c>
    </row>
    <row r="277" spans="1:10" ht="16.2" thickBot="1">
      <c r="A277" s="580">
        <v>4561</v>
      </c>
      <c r="B277" s="581" t="s">
        <v>126</v>
      </c>
      <c r="C277" s="580">
        <v>6466</v>
      </c>
      <c r="D277" s="581" t="s">
        <v>132</v>
      </c>
      <c r="E277" s="582">
        <v>5511</v>
      </c>
      <c r="F277" s="581" t="s">
        <v>119</v>
      </c>
      <c r="G277" s="580">
        <v>2340</v>
      </c>
      <c r="H277" s="581" t="s">
        <v>104</v>
      </c>
      <c r="I277" s="580">
        <v>3337</v>
      </c>
      <c r="J277" s="581" t="s">
        <v>113</v>
      </c>
    </row>
    <row r="278" spans="1:10" ht="16.2" thickBot="1">
      <c r="A278" s="580">
        <v>4562</v>
      </c>
      <c r="B278" s="581" t="s">
        <v>126</v>
      </c>
      <c r="C278" s="580">
        <v>6467</v>
      </c>
      <c r="D278" s="581" t="s">
        <v>132</v>
      </c>
      <c r="E278" s="582">
        <v>5512</v>
      </c>
      <c r="F278" s="581" t="s">
        <v>119</v>
      </c>
      <c r="G278" s="580">
        <v>2341</v>
      </c>
      <c r="H278" s="581" t="s">
        <v>104</v>
      </c>
      <c r="I278" s="580">
        <v>3338</v>
      </c>
      <c r="J278" s="581" t="s">
        <v>113</v>
      </c>
    </row>
    <row r="279" spans="1:10" ht="16.2" thickBot="1">
      <c r="A279" s="580">
        <v>4563</v>
      </c>
      <c r="B279" s="581" t="s">
        <v>126</v>
      </c>
      <c r="C279" s="580">
        <v>6468</v>
      </c>
      <c r="D279" s="581" t="s">
        <v>132</v>
      </c>
      <c r="E279" s="582">
        <v>5513</v>
      </c>
      <c r="F279" s="581" t="s">
        <v>119</v>
      </c>
      <c r="G279" s="580">
        <v>2342</v>
      </c>
      <c r="H279" s="581" t="s">
        <v>104</v>
      </c>
      <c r="I279" s="580">
        <v>3340</v>
      </c>
      <c r="J279" s="581" t="s">
        <v>113</v>
      </c>
    </row>
    <row r="280" spans="1:10" ht="16.2" thickBot="1">
      <c r="A280" s="580">
        <v>4564</v>
      </c>
      <c r="B280" s="581" t="s">
        <v>126</v>
      </c>
      <c r="C280" s="580">
        <v>6470</v>
      </c>
      <c r="D280" s="581" t="s">
        <v>132</v>
      </c>
      <c r="E280" s="582">
        <v>5514</v>
      </c>
      <c r="F280" s="581" t="s">
        <v>119</v>
      </c>
      <c r="G280" s="580">
        <v>2343</v>
      </c>
      <c r="H280" s="581" t="s">
        <v>104</v>
      </c>
      <c r="I280" s="580">
        <v>3341</v>
      </c>
      <c r="J280" s="581" t="s">
        <v>113</v>
      </c>
    </row>
    <row r="281" spans="1:10" ht="16.2" thickBot="1">
      <c r="A281" s="580">
        <v>4565</v>
      </c>
      <c r="B281" s="581" t="s">
        <v>126</v>
      </c>
      <c r="C281" s="580">
        <v>6472</v>
      </c>
      <c r="D281" s="581" t="s">
        <v>132</v>
      </c>
      <c r="E281" s="582">
        <v>5515</v>
      </c>
      <c r="F281" s="581" t="s">
        <v>119</v>
      </c>
      <c r="G281" s="580">
        <v>2344</v>
      </c>
      <c r="H281" s="581" t="s">
        <v>104</v>
      </c>
      <c r="I281" s="580">
        <v>3342</v>
      </c>
      <c r="J281" s="581" t="s">
        <v>113</v>
      </c>
    </row>
    <row r="282" spans="1:10" ht="16.2" thickBot="1">
      <c r="A282" s="580">
        <v>4566</v>
      </c>
      <c r="B282" s="581" t="s">
        <v>126</v>
      </c>
      <c r="C282" s="580">
        <v>6473</v>
      </c>
      <c r="D282" s="581" t="s">
        <v>132</v>
      </c>
      <c r="E282" s="582">
        <v>5516</v>
      </c>
      <c r="F282" s="581" t="s">
        <v>119</v>
      </c>
      <c r="G282" s="580">
        <v>2345</v>
      </c>
      <c r="H282" s="581" t="s">
        <v>104</v>
      </c>
      <c r="I282" s="580">
        <v>3345</v>
      </c>
      <c r="J282" s="581" t="s">
        <v>113</v>
      </c>
    </row>
    <row r="283" spans="1:10" ht="16.2" thickBot="1">
      <c r="A283" s="580">
        <v>4567</v>
      </c>
      <c r="B283" s="581" t="s">
        <v>126</v>
      </c>
      <c r="C283" s="580">
        <v>6475</v>
      </c>
      <c r="D283" s="581" t="s">
        <v>132</v>
      </c>
      <c r="E283" s="582">
        <v>5517</v>
      </c>
      <c r="F283" s="581" t="s">
        <v>119</v>
      </c>
      <c r="G283" s="580">
        <v>2346</v>
      </c>
      <c r="H283" s="581" t="s">
        <v>104</v>
      </c>
      <c r="I283" s="580">
        <v>3350</v>
      </c>
      <c r="J283" s="581" t="s">
        <v>113</v>
      </c>
    </row>
    <row r="284" spans="1:10" ht="16.2" thickBot="1">
      <c r="A284" s="580">
        <v>4570</v>
      </c>
      <c r="B284" s="581" t="s">
        <v>126</v>
      </c>
      <c r="C284" s="580">
        <v>6476</v>
      </c>
      <c r="D284" s="581" t="s">
        <v>132</v>
      </c>
      <c r="E284" s="582">
        <v>5518</v>
      </c>
      <c r="F284" s="581" t="s">
        <v>119</v>
      </c>
      <c r="G284" s="580">
        <v>2347</v>
      </c>
      <c r="H284" s="581" t="s">
        <v>104</v>
      </c>
      <c r="I284" s="580">
        <v>3351</v>
      </c>
      <c r="J284" s="581" t="s">
        <v>113</v>
      </c>
    </row>
    <row r="285" spans="1:10" ht="16.2" thickBot="1">
      <c r="A285" s="580">
        <v>4571</v>
      </c>
      <c r="B285" s="581" t="s">
        <v>126</v>
      </c>
      <c r="C285" s="580">
        <v>6477</v>
      </c>
      <c r="D285" s="581" t="s">
        <v>132</v>
      </c>
      <c r="E285" s="582">
        <v>5519</v>
      </c>
      <c r="F285" s="581" t="s">
        <v>119</v>
      </c>
      <c r="G285" s="580">
        <v>2350</v>
      </c>
      <c r="H285" s="581" t="s">
        <v>104</v>
      </c>
      <c r="I285" s="580">
        <v>3352</v>
      </c>
      <c r="J285" s="581" t="s">
        <v>113</v>
      </c>
    </row>
    <row r="286" spans="1:10" ht="16.2" thickBot="1">
      <c r="A286" s="580">
        <v>4572</v>
      </c>
      <c r="B286" s="581" t="s">
        <v>126</v>
      </c>
      <c r="C286" s="580">
        <v>6479</v>
      </c>
      <c r="D286" s="581" t="s">
        <v>132</v>
      </c>
      <c r="E286" s="582">
        <v>5520</v>
      </c>
      <c r="F286" s="581" t="s">
        <v>119</v>
      </c>
      <c r="G286" s="580">
        <v>2351</v>
      </c>
      <c r="H286" s="581" t="s">
        <v>104</v>
      </c>
      <c r="I286" s="580">
        <v>3355</v>
      </c>
      <c r="J286" s="581" t="s">
        <v>113</v>
      </c>
    </row>
    <row r="287" spans="1:10" ht="16.2" thickBot="1">
      <c r="A287" s="580">
        <v>4573</v>
      </c>
      <c r="B287" s="581" t="s">
        <v>126</v>
      </c>
      <c r="C287" s="580">
        <v>6480</v>
      </c>
      <c r="D287" s="581" t="s">
        <v>132</v>
      </c>
      <c r="E287" s="582">
        <v>5521</v>
      </c>
      <c r="F287" s="581" t="s">
        <v>119</v>
      </c>
      <c r="G287" s="580">
        <v>2352</v>
      </c>
      <c r="H287" s="581" t="s">
        <v>104</v>
      </c>
      <c r="I287" s="580">
        <v>3356</v>
      </c>
      <c r="J287" s="581" t="s">
        <v>113</v>
      </c>
    </row>
    <row r="288" spans="1:10" ht="16.2" thickBot="1">
      <c r="A288" s="580">
        <v>4574</v>
      </c>
      <c r="B288" s="581" t="s">
        <v>126</v>
      </c>
      <c r="C288" s="580">
        <v>6485</v>
      </c>
      <c r="D288" s="581" t="s">
        <v>132</v>
      </c>
      <c r="E288" s="582">
        <v>5522</v>
      </c>
      <c r="F288" s="581" t="s">
        <v>119</v>
      </c>
      <c r="G288" s="580">
        <v>2353</v>
      </c>
      <c r="H288" s="581" t="s">
        <v>104</v>
      </c>
      <c r="I288" s="580">
        <v>3357</v>
      </c>
      <c r="J288" s="581" t="s">
        <v>113</v>
      </c>
    </row>
    <row r="289" spans="1:10" ht="16.2" thickBot="1">
      <c r="A289" s="580">
        <v>4575</v>
      </c>
      <c r="B289" s="581" t="s">
        <v>126</v>
      </c>
      <c r="C289" s="580">
        <v>6487</v>
      </c>
      <c r="D289" s="581" t="s">
        <v>132</v>
      </c>
      <c r="E289" s="582">
        <v>5523</v>
      </c>
      <c r="F289" s="581" t="s">
        <v>119</v>
      </c>
      <c r="G289" s="580">
        <v>2354</v>
      </c>
      <c r="H289" s="581" t="s">
        <v>104</v>
      </c>
      <c r="I289" s="580">
        <v>3360</v>
      </c>
      <c r="J289" s="581" t="s">
        <v>113</v>
      </c>
    </row>
    <row r="290" spans="1:10" ht="16.2" thickBot="1">
      <c r="A290" s="580">
        <v>4580</v>
      </c>
      <c r="B290" s="581" t="s">
        <v>126</v>
      </c>
      <c r="C290" s="580">
        <v>6488</v>
      </c>
      <c r="D290" s="581" t="s">
        <v>132</v>
      </c>
      <c r="E290" s="582">
        <v>5540</v>
      </c>
      <c r="F290" s="581" t="s">
        <v>119</v>
      </c>
      <c r="G290" s="580">
        <v>2355</v>
      </c>
      <c r="H290" s="581" t="s">
        <v>104</v>
      </c>
      <c r="I290" s="580">
        <v>3361</v>
      </c>
      <c r="J290" s="581" t="s">
        <v>113</v>
      </c>
    </row>
    <row r="291" spans="1:10" ht="16.2" thickBot="1">
      <c r="A291" s="580">
        <v>4581</v>
      </c>
      <c r="B291" s="581" t="s">
        <v>126</v>
      </c>
      <c r="C291" s="580">
        <v>6489</v>
      </c>
      <c r="D291" s="581" t="s">
        <v>132</v>
      </c>
      <c r="E291" s="582">
        <v>5550</v>
      </c>
      <c r="F291" s="581" t="s">
        <v>119</v>
      </c>
      <c r="G291" s="580">
        <v>2356</v>
      </c>
      <c r="H291" s="581" t="s">
        <v>104</v>
      </c>
      <c r="I291" s="580">
        <v>3363</v>
      </c>
      <c r="J291" s="581" t="s">
        <v>113</v>
      </c>
    </row>
    <row r="292" spans="1:10" ht="16.2" thickBot="1">
      <c r="A292" s="580">
        <v>4600</v>
      </c>
      <c r="B292" s="581" t="s">
        <v>126</v>
      </c>
      <c r="C292" s="580">
        <v>6490</v>
      </c>
      <c r="D292" s="581" t="s">
        <v>132</v>
      </c>
      <c r="E292" s="582">
        <v>5552</v>
      </c>
      <c r="F292" s="581" t="s">
        <v>119</v>
      </c>
      <c r="G292" s="580">
        <v>2357</v>
      </c>
      <c r="H292" s="581" t="s">
        <v>104</v>
      </c>
      <c r="I292" s="580">
        <v>3364</v>
      </c>
      <c r="J292" s="581" t="s">
        <v>113</v>
      </c>
    </row>
    <row r="293" spans="1:10" ht="16.2" thickBot="1">
      <c r="A293" s="580">
        <v>4601</v>
      </c>
      <c r="B293" s="581" t="s">
        <v>126</v>
      </c>
      <c r="C293" s="580">
        <v>6501</v>
      </c>
      <c r="D293" s="581" t="s">
        <v>132</v>
      </c>
      <c r="E293" s="582">
        <v>5554</v>
      </c>
      <c r="F293" s="581" t="s">
        <v>119</v>
      </c>
      <c r="G293" s="580">
        <v>2358</v>
      </c>
      <c r="H293" s="581" t="s">
        <v>104</v>
      </c>
      <c r="I293" s="580">
        <v>3370</v>
      </c>
      <c r="J293" s="581" t="s">
        <v>113</v>
      </c>
    </row>
    <row r="294" spans="1:10" ht="16.2" thickBot="1">
      <c r="A294" s="580">
        <v>4605</v>
      </c>
      <c r="B294" s="581" t="s">
        <v>126</v>
      </c>
      <c r="C294" s="580">
        <v>6502</v>
      </c>
      <c r="D294" s="581" t="s">
        <v>132</v>
      </c>
      <c r="E294" s="582">
        <v>5555</v>
      </c>
      <c r="F294" s="581" t="s">
        <v>119</v>
      </c>
      <c r="G294" s="580">
        <v>2359</v>
      </c>
      <c r="H294" s="581" t="s">
        <v>104</v>
      </c>
      <c r="I294" s="580">
        <v>3371</v>
      </c>
      <c r="J294" s="581" t="s">
        <v>113</v>
      </c>
    </row>
    <row r="295" spans="1:10" ht="16.2" thickBot="1">
      <c r="A295" s="580">
        <v>4606</v>
      </c>
      <c r="B295" s="581" t="s">
        <v>126</v>
      </c>
      <c r="C295" s="580">
        <v>6503</v>
      </c>
      <c r="D295" s="581" t="s">
        <v>132</v>
      </c>
      <c r="E295" s="582">
        <v>5556</v>
      </c>
      <c r="F295" s="581" t="s">
        <v>119</v>
      </c>
      <c r="G295" s="580">
        <v>2360</v>
      </c>
      <c r="H295" s="581" t="s">
        <v>104</v>
      </c>
      <c r="I295" s="580">
        <v>3373</v>
      </c>
      <c r="J295" s="581" t="s">
        <v>113</v>
      </c>
    </row>
    <row r="296" spans="1:10" ht="16.2" thickBot="1">
      <c r="A296" s="580">
        <v>4608</v>
      </c>
      <c r="B296" s="581" t="s">
        <v>126</v>
      </c>
      <c r="C296" s="580">
        <v>6504</v>
      </c>
      <c r="D296" s="581" t="s">
        <v>132</v>
      </c>
      <c r="E296" s="582">
        <v>5558</v>
      </c>
      <c r="F296" s="581" t="s">
        <v>119</v>
      </c>
      <c r="G296" s="580">
        <v>2361</v>
      </c>
      <c r="H296" s="581" t="s">
        <v>104</v>
      </c>
      <c r="I296" s="580">
        <v>3374</v>
      </c>
      <c r="J296" s="581" t="s">
        <v>113</v>
      </c>
    </row>
    <row r="297" spans="1:10" ht="16.2" thickBot="1">
      <c r="A297" s="580">
        <v>4610</v>
      </c>
      <c r="B297" s="581" t="s">
        <v>126</v>
      </c>
      <c r="C297" s="580">
        <v>6505</v>
      </c>
      <c r="D297" s="581" t="s">
        <v>132</v>
      </c>
      <c r="E297" s="582">
        <v>5560</v>
      </c>
      <c r="F297" s="581" t="s">
        <v>119</v>
      </c>
      <c r="G297" s="580">
        <v>2365</v>
      </c>
      <c r="H297" s="581" t="s">
        <v>104</v>
      </c>
      <c r="I297" s="580">
        <v>3375</v>
      </c>
      <c r="J297" s="581" t="s">
        <v>113</v>
      </c>
    </row>
    <row r="298" spans="1:10" ht="16.2" thickBot="1">
      <c r="A298" s="580">
        <v>4611</v>
      </c>
      <c r="B298" s="581" t="s">
        <v>126</v>
      </c>
      <c r="C298" s="580">
        <v>6506</v>
      </c>
      <c r="D298" s="581" t="s">
        <v>132</v>
      </c>
      <c r="E298" s="582">
        <v>5570</v>
      </c>
      <c r="F298" s="581" t="s">
        <v>119</v>
      </c>
      <c r="G298" s="580">
        <v>2369</v>
      </c>
      <c r="H298" s="581" t="s">
        <v>104</v>
      </c>
      <c r="I298" s="580">
        <v>3377</v>
      </c>
      <c r="J298" s="581" t="s">
        <v>113</v>
      </c>
    </row>
    <row r="299" spans="1:10" ht="16.2" thickBot="1">
      <c r="A299" s="580">
        <v>4612</v>
      </c>
      <c r="B299" s="581" t="s">
        <v>126</v>
      </c>
      <c r="C299" s="580">
        <v>6507</v>
      </c>
      <c r="D299" s="581" t="s">
        <v>132</v>
      </c>
      <c r="E299" s="582">
        <v>5571</v>
      </c>
      <c r="F299" s="581" t="s">
        <v>119</v>
      </c>
      <c r="G299" s="580">
        <v>2370</v>
      </c>
      <c r="H299" s="581" t="s">
        <v>104</v>
      </c>
      <c r="I299" s="580">
        <v>3378</v>
      </c>
      <c r="J299" s="581" t="s">
        <v>113</v>
      </c>
    </row>
    <row r="300" spans="1:10" ht="16.2" thickBot="1">
      <c r="A300" s="580">
        <v>4613</v>
      </c>
      <c r="B300" s="581" t="s">
        <v>126</v>
      </c>
      <c r="C300" s="580">
        <v>6509</v>
      </c>
      <c r="D300" s="581" t="s">
        <v>132</v>
      </c>
      <c r="E300" s="582">
        <v>5572</v>
      </c>
      <c r="F300" s="581" t="s">
        <v>119</v>
      </c>
      <c r="G300" s="580">
        <v>2371</v>
      </c>
      <c r="H300" s="581" t="s">
        <v>104</v>
      </c>
      <c r="I300" s="580">
        <v>3380</v>
      </c>
      <c r="J300" s="581" t="s">
        <v>113</v>
      </c>
    </row>
    <row r="301" spans="1:10" ht="16.2" thickBot="1">
      <c r="A301" s="580">
        <v>4614</v>
      </c>
      <c r="B301" s="581" t="s">
        <v>126</v>
      </c>
      <c r="C301" s="580">
        <v>6510</v>
      </c>
      <c r="D301" s="581" t="s">
        <v>132</v>
      </c>
      <c r="E301" s="582">
        <v>5573</v>
      </c>
      <c r="F301" s="581" t="s">
        <v>119</v>
      </c>
      <c r="G301" s="580">
        <v>2372</v>
      </c>
      <c r="H301" s="581" t="s">
        <v>104</v>
      </c>
      <c r="I301" s="580">
        <v>3381</v>
      </c>
      <c r="J301" s="581" t="s">
        <v>113</v>
      </c>
    </row>
    <row r="302" spans="1:10" ht="16.2" thickBot="1">
      <c r="A302" s="580">
        <v>4615</v>
      </c>
      <c r="B302" s="581" t="s">
        <v>126</v>
      </c>
      <c r="C302" s="580">
        <v>6511</v>
      </c>
      <c r="D302" s="581" t="s">
        <v>132</v>
      </c>
      <c r="E302" s="582">
        <v>5575</v>
      </c>
      <c r="F302" s="581" t="s">
        <v>119</v>
      </c>
      <c r="G302" s="580">
        <v>2379</v>
      </c>
      <c r="H302" s="581" t="s">
        <v>104</v>
      </c>
      <c r="I302" s="580">
        <v>3384</v>
      </c>
      <c r="J302" s="581" t="s">
        <v>113</v>
      </c>
    </row>
    <row r="303" spans="1:10" ht="16.2" thickBot="1">
      <c r="A303" s="580">
        <v>4620</v>
      </c>
      <c r="B303" s="581" t="s">
        <v>126</v>
      </c>
      <c r="C303" s="580">
        <v>6512</v>
      </c>
      <c r="D303" s="581" t="s">
        <v>132</v>
      </c>
      <c r="E303" s="582">
        <v>5576</v>
      </c>
      <c r="F303" s="581" t="s">
        <v>119</v>
      </c>
      <c r="G303" s="580">
        <v>2380</v>
      </c>
      <c r="H303" s="581" t="s">
        <v>104</v>
      </c>
      <c r="I303" s="580">
        <v>3385</v>
      </c>
      <c r="J303" s="581" t="s">
        <v>113</v>
      </c>
    </row>
    <row r="304" spans="1:10" ht="16.2" thickBot="1">
      <c r="A304" s="580">
        <v>4621</v>
      </c>
      <c r="B304" s="581" t="s">
        <v>126</v>
      </c>
      <c r="C304" s="580">
        <v>6513</v>
      </c>
      <c r="D304" s="581" t="s">
        <v>132</v>
      </c>
      <c r="E304" s="582">
        <v>5577</v>
      </c>
      <c r="F304" s="581" t="s">
        <v>119</v>
      </c>
      <c r="G304" s="580">
        <v>2381</v>
      </c>
      <c r="H304" s="581" t="s">
        <v>104</v>
      </c>
      <c r="I304" s="580">
        <v>3387</v>
      </c>
      <c r="J304" s="581" t="s">
        <v>113</v>
      </c>
    </row>
    <row r="305" spans="1:10" ht="16.2" thickBot="1">
      <c r="A305" s="580">
        <v>4625</v>
      </c>
      <c r="B305" s="581" t="s">
        <v>126</v>
      </c>
      <c r="C305" s="580">
        <v>6514</v>
      </c>
      <c r="D305" s="581" t="s">
        <v>132</v>
      </c>
      <c r="E305" s="582">
        <v>5580</v>
      </c>
      <c r="F305" s="581" t="s">
        <v>119</v>
      </c>
      <c r="G305" s="580">
        <v>2382</v>
      </c>
      <c r="H305" s="581" t="s">
        <v>104</v>
      </c>
      <c r="I305" s="580">
        <v>3388</v>
      </c>
      <c r="J305" s="581" t="s">
        <v>113</v>
      </c>
    </row>
    <row r="306" spans="1:10" ht="16.2" thickBot="1">
      <c r="A306" s="580">
        <v>4626</v>
      </c>
      <c r="B306" s="581" t="s">
        <v>126</v>
      </c>
      <c r="C306" s="580">
        <v>6515</v>
      </c>
      <c r="D306" s="581" t="s">
        <v>132</v>
      </c>
      <c r="E306" s="582">
        <v>5581</v>
      </c>
      <c r="F306" s="581" t="s">
        <v>119</v>
      </c>
      <c r="G306" s="580">
        <v>2386</v>
      </c>
      <c r="H306" s="581" t="s">
        <v>104</v>
      </c>
      <c r="I306" s="580">
        <v>3390</v>
      </c>
      <c r="J306" s="581" t="s">
        <v>113</v>
      </c>
    </row>
    <row r="307" spans="1:10" ht="16.2" thickBot="1">
      <c r="A307" s="580">
        <v>4627</v>
      </c>
      <c r="B307" s="581" t="s">
        <v>126</v>
      </c>
      <c r="C307" s="580">
        <v>6043</v>
      </c>
      <c r="D307" s="581" t="s">
        <v>130</v>
      </c>
      <c r="E307" s="582">
        <v>5582</v>
      </c>
      <c r="F307" s="581" t="s">
        <v>119</v>
      </c>
      <c r="G307" s="580">
        <v>2387</v>
      </c>
      <c r="H307" s="581" t="s">
        <v>104</v>
      </c>
      <c r="I307" s="580">
        <v>3391</v>
      </c>
      <c r="J307" s="581" t="s">
        <v>113</v>
      </c>
    </row>
    <row r="308" spans="1:10" ht="16.2" thickBot="1">
      <c r="A308" s="580">
        <v>4630</v>
      </c>
      <c r="B308" s="581" t="s">
        <v>126</v>
      </c>
      <c r="C308" s="580">
        <v>6044</v>
      </c>
      <c r="D308" s="581" t="s">
        <v>130</v>
      </c>
      <c r="E308" s="582">
        <v>5583</v>
      </c>
      <c r="F308" s="581" t="s">
        <v>119</v>
      </c>
      <c r="G308" s="580">
        <v>2390</v>
      </c>
      <c r="H308" s="581" t="s">
        <v>104</v>
      </c>
      <c r="I308" s="580">
        <v>3392</v>
      </c>
      <c r="J308" s="581" t="s">
        <v>113</v>
      </c>
    </row>
    <row r="309" spans="1:10" ht="16.2" thickBot="1">
      <c r="A309" s="580">
        <v>4631</v>
      </c>
      <c r="B309" s="581" t="s">
        <v>126</v>
      </c>
      <c r="C309" s="580">
        <v>6045</v>
      </c>
      <c r="D309" s="581" t="s">
        <v>130</v>
      </c>
      <c r="E309" s="582">
        <v>5600</v>
      </c>
      <c r="F309" s="581" t="s">
        <v>119</v>
      </c>
      <c r="G309" s="580">
        <v>2396</v>
      </c>
      <c r="H309" s="581" t="s">
        <v>104</v>
      </c>
      <c r="I309" s="580">
        <v>3393</v>
      </c>
      <c r="J309" s="581" t="s">
        <v>113</v>
      </c>
    </row>
    <row r="310" spans="1:10" ht="16.2" thickBot="1">
      <c r="A310" s="580">
        <v>4634</v>
      </c>
      <c r="B310" s="581" t="s">
        <v>126</v>
      </c>
      <c r="C310" s="580">
        <v>6046</v>
      </c>
      <c r="D310" s="581" t="s">
        <v>130</v>
      </c>
      <c r="E310" s="582">
        <v>5601</v>
      </c>
      <c r="F310" s="581" t="s">
        <v>119</v>
      </c>
      <c r="G310" s="580">
        <v>2397</v>
      </c>
      <c r="H310" s="581" t="s">
        <v>104</v>
      </c>
      <c r="I310" s="580">
        <v>3395</v>
      </c>
      <c r="J310" s="581" t="s">
        <v>113</v>
      </c>
    </row>
    <row r="311" spans="1:10" ht="16.2" thickBot="1">
      <c r="A311" s="580">
        <v>4635</v>
      </c>
      <c r="B311" s="581" t="s">
        <v>126</v>
      </c>
      <c r="C311" s="580">
        <v>6047</v>
      </c>
      <c r="D311" s="581" t="s">
        <v>130</v>
      </c>
      <c r="E311" s="582">
        <v>5602</v>
      </c>
      <c r="F311" s="581" t="s">
        <v>119</v>
      </c>
      <c r="G311" s="580">
        <v>2398</v>
      </c>
      <c r="H311" s="581" t="s">
        <v>104</v>
      </c>
      <c r="I311" s="580">
        <v>3396</v>
      </c>
      <c r="J311" s="581" t="s">
        <v>113</v>
      </c>
    </row>
    <row r="312" spans="1:10" ht="16.2" thickBot="1">
      <c r="A312" s="580">
        <v>4636</v>
      </c>
      <c r="B312" s="581" t="s">
        <v>126</v>
      </c>
      <c r="C312" s="580">
        <v>6051</v>
      </c>
      <c r="D312" s="581" t="s">
        <v>130</v>
      </c>
      <c r="E312" s="582">
        <v>5603</v>
      </c>
      <c r="F312" s="581" t="s">
        <v>119</v>
      </c>
      <c r="G312" s="580">
        <v>2399</v>
      </c>
      <c r="H312" s="581" t="s">
        <v>104</v>
      </c>
      <c r="I312" s="580">
        <v>3400</v>
      </c>
      <c r="J312" s="581" t="s">
        <v>113</v>
      </c>
    </row>
    <row r="313" spans="1:10" ht="16.2" thickBot="1">
      <c r="A313" s="580">
        <v>4637</v>
      </c>
      <c r="B313" s="581" t="s">
        <v>126</v>
      </c>
      <c r="C313" s="580">
        <v>6052</v>
      </c>
      <c r="D313" s="581" t="s">
        <v>130</v>
      </c>
      <c r="E313" s="582">
        <v>5604</v>
      </c>
      <c r="F313" s="581" t="s">
        <v>119</v>
      </c>
      <c r="G313" s="580">
        <v>2400</v>
      </c>
      <c r="H313" s="581" t="s">
        <v>104</v>
      </c>
      <c r="I313" s="580">
        <v>3401</v>
      </c>
      <c r="J313" s="581" t="s">
        <v>113</v>
      </c>
    </row>
    <row r="314" spans="1:10" ht="16.2" thickBot="1">
      <c r="A314" s="580">
        <v>4640</v>
      </c>
      <c r="B314" s="581" t="s">
        <v>126</v>
      </c>
      <c r="C314" s="580">
        <v>6053</v>
      </c>
      <c r="D314" s="581" t="s">
        <v>130</v>
      </c>
      <c r="E314" s="582">
        <v>5605</v>
      </c>
      <c r="F314" s="581" t="s">
        <v>119</v>
      </c>
      <c r="G314" s="580">
        <v>2401</v>
      </c>
      <c r="H314" s="581" t="s">
        <v>104</v>
      </c>
      <c r="I314" s="580">
        <v>3407</v>
      </c>
      <c r="J314" s="581" t="s">
        <v>113</v>
      </c>
    </row>
    <row r="315" spans="1:10" ht="16.2" thickBot="1">
      <c r="A315" s="580">
        <v>4641</v>
      </c>
      <c r="B315" s="581" t="s">
        <v>126</v>
      </c>
      <c r="C315" s="580">
        <v>6054</v>
      </c>
      <c r="D315" s="581" t="s">
        <v>130</v>
      </c>
      <c r="E315" s="582">
        <v>5606</v>
      </c>
      <c r="F315" s="581" t="s">
        <v>119</v>
      </c>
      <c r="G315" s="580">
        <v>2402</v>
      </c>
      <c r="H315" s="581" t="s">
        <v>104</v>
      </c>
      <c r="I315" s="580">
        <v>3409</v>
      </c>
      <c r="J315" s="581" t="s">
        <v>113</v>
      </c>
    </row>
    <row r="316" spans="1:10" ht="16.2" thickBot="1">
      <c r="A316" s="580">
        <v>4643</v>
      </c>
      <c r="B316" s="581" t="s">
        <v>126</v>
      </c>
      <c r="C316" s="580">
        <v>6055</v>
      </c>
      <c r="D316" s="581" t="s">
        <v>130</v>
      </c>
      <c r="E316" s="582">
        <v>5607</v>
      </c>
      <c r="F316" s="581" t="s">
        <v>119</v>
      </c>
      <c r="G316" s="580">
        <v>2403</v>
      </c>
      <c r="H316" s="581" t="s">
        <v>104</v>
      </c>
      <c r="I316" s="580">
        <v>3412</v>
      </c>
      <c r="J316" s="581" t="s">
        <v>113</v>
      </c>
    </row>
    <row r="317" spans="1:10" ht="16.2" thickBot="1">
      <c r="A317" s="580">
        <v>4644</v>
      </c>
      <c r="B317" s="581" t="s">
        <v>126</v>
      </c>
      <c r="C317" s="580">
        <v>6056</v>
      </c>
      <c r="D317" s="581" t="s">
        <v>130</v>
      </c>
      <c r="E317" s="582">
        <v>5608</v>
      </c>
      <c r="F317" s="581" t="s">
        <v>119</v>
      </c>
      <c r="G317" s="580">
        <v>2404</v>
      </c>
      <c r="H317" s="581" t="s">
        <v>104</v>
      </c>
      <c r="I317" s="580">
        <v>3413</v>
      </c>
      <c r="J317" s="581" t="s">
        <v>113</v>
      </c>
    </row>
    <row r="318" spans="1:10" ht="16.2" thickBot="1">
      <c r="A318" s="580">
        <v>4650</v>
      </c>
      <c r="B318" s="581" t="s">
        <v>126</v>
      </c>
      <c r="C318" s="580">
        <v>6057</v>
      </c>
      <c r="D318" s="581" t="s">
        <v>130</v>
      </c>
      <c r="E318" s="582">
        <v>5609</v>
      </c>
      <c r="F318" s="581" t="s">
        <v>119</v>
      </c>
      <c r="G318" s="580">
        <v>2405</v>
      </c>
      <c r="H318" s="581" t="s">
        <v>104</v>
      </c>
      <c r="I318" s="580">
        <v>3414</v>
      </c>
      <c r="J318" s="581" t="s">
        <v>113</v>
      </c>
    </row>
    <row r="319" spans="1:10" ht="16.2" thickBot="1">
      <c r="A319" s="580">
        <v>4655</v>
      </c>
      <c r="B319" s="581" t="s">
        <v>126</v>
      </c>
      <c r="C319" s="580">
        <v>6058</v>
      </c>
      <c r="D319" s="581" t="s">
        <v>130</v>
      </c>
      <c r="E319" s="582">
        <v>5630</v>
      </c>
      <c r="F319" s="581" t="s">
        <v>119</v>
      </c>
      <c r="G319" s="580">
        <v>2406</v>
      </c>
      <c r="H319" s="581" t="s">
        <v>104</v>
      </c>
      <c r="I319" s="580">
        <v>3415</v>
      </c>
      <c r="J319" s="581" t="s">
        <v>113</v>
      </c>
    </row>
    <row r="320" spans="1:10" ht="16.2" thickBot="1">
      <c r="A320" s="580">
        <v>4659</v>
      </c>
      <c r="B320" s="581" t="s">
        <v>126</v>
      </c>
      <c r="C320" s="580">
        <v>6059</v>
      </c>
      <c r="D320" s="581" t="s">
        <v>130</v>
      </c>
      <c r="E320" s="582">
        <v>5631</v>
      </c>
      <c r="F320" s="581" t="s">
        <v>119</v>
      </c>
      <c r="G320" s="580">
        <v>2408</v>
      </c>
      <c r="H320" s="581" t="s">
        <v>104</v>
      </c>
      <c r="I320" s="580">
        <v>3418</v>
      </c>
      <c r="J320" s="581" t="s">
        <v>113</v>
      </c>
    </row>
    <row r="321" spans="1:10" ht="16.2" thickBot="1">
      <c r="A321" s="580">
        <v>4660</v>
      </c>
      <c r="B321" s="581" t="s">
        <v>126</v>
      </c>
      <c r="C321" s="580">
        <v>6060</v>
      </c>
      <c r="D321" s="581" t="s">
        <v>130</v>
      </c>
      <c r="E321" s="582">
        <v>5632</v>
      </c>
      <c r="F321" s="581" t="s">
        <v>119</v>
      </c>
      <c r="G321" s="580">
        <v>2409</v>
      </c>
      <c r="H321" s="581" t="s">
        <v>104</v>
      </c>
      <c r="I321" s="580">
        <v>3419</v>
      </c>
      <c r="J321" s="581" t="s">
        <v>113</v>
      </c>
    </row>
    <row r="322" spans="1:10" ht="16.2" thickBot="1">
      <c r="A322" s="580">
        <v>4662</v>
      </c>
      <c r="B322" s="581" t="s">
        <v>126</v>
      </c>
      <c r="C322" s="580">
        <v>6061</v>
      </c>
      <c r="D322" s="581" t="s">
        <v>130</v>
      </c>
      <c r="E322" s="582">
        <v>5633</v>
      </c>
      <c r="F322" s="581" t="s">
        <v>119</v>
      </c>
      <c r="G322" s="580">
        <v>2410</v>
      </c>
      <c r="H322" s="581" t="s">
        <v>104</v>
      </c>
      <c r="I322" s="580">
        <v>3420</v>
      </c>
      <c r="J322" s="581" t="s">
        <v>113</v>
      </c>
    </row>
    <row r="323" spans="1:10" ht="16.2" thickBot="1">
      <c r="A323" s="580">
        <v>4670</v>
      </c>
      <c r="B323" s="581" t="s">
        <v>126</v>
      </c>
      <c r="C323" s="580">
        <v>6062</v>
      </c>
      <c r="D323" s="581" t="s">
        <v>130</v>
      </c>
      <c r="E323" s="582">
        <v>5640</v>
      </c>
      <c r="F323" s="581" t="s">
        <v>119</v>
      </c>
      <c r="G323" s="580">
        <v>2411</v>
      </c>
      <c r="H323" s="581" t="s">
        <v>104</v>
      </c>
      <c r="I323" s="580">
        <v>3423</v>
      </c>
      <c r="J323" s="581" t="s">
        <v>113</v>
      </c>
    </row>
    <row r="324" spans="1:10" ht="16.2" thickBot="1">
      <c r="A324" s="580">
        <v>4671</v>
      </c>
      <c r="B324" s="581" t="s">
        <v>126</v>
      </c>
      <c r="C324" s="580">
        <v>6063</v>
      </c>
      <c r="D324" s="581" t="s">
        <v>130</v>
      </c>
      <c r="E324" s="582">
        <v>5641</v>
      </c>
      <c r="F324" s="581" t="s">
        <v>119</v>
      </c>
      <c r="G324" s="580">
        <v>2415</v>
      </c>
      <c r="H324" s="581" t="s">
        <v>109</v>
      </c>
      <c r="I324" s="580">
        <v>3424</v>
      </c>
      <c r="J324" s="581" t="s">
        <v>113</v>
      </c>
    </row>
    <row r="325" spans="1:10" ht="16.2" thickBot="1">
      <c r="A325" s="580">
        <v>4673</v>
      </c>
      <c r="B325" s="581" t="s">
        <v>126</v>
      </c>
      <c r="C325" s="580">
        <v>6064</v>
      </c>
      <c r="D325" s="581" t="s">
        <v>130</v>
      </c>
      <c r="E325" s="582">
        <v>5642</v>
      </c>
      <c r="F325" s="581" t="s">
        <v>119</v>
      </c>
      <c r="G325" s="580">
        <v>2420</v>
      </c>
      <c r="H325" s="581" t="s">
        <v>109</v>
      </c>
      <c r="I325" s="580">
        <v>3427</v>
      </c>
      <c r="J325" s="581" t="s">
        <v>113</v>
      </c>
    </row>
    <row r="326" spans="1:10" ht="16.2" thickBot="1">
      <c r="A326" s="580">
        <v>4674</v>
      </c>
      <c r="B326" s="581" t="s">
        <v>126</v>
      </c>
      <c r="C326" s="580">
        <v>6110</v>
      </c>
      <c r="D326" s="581" t="s">
        <v>130</v>
      </c>
      <c r="E326" s="582">
        <v>5650</v>
      </c>
      <c r="F326" s="581" t="s">
        <v>119</v>
      </c>
      <c r="G326" s="580">
        <v>2421</v>
      </c>
      <c r="H326" s="581" t="s">
        <v>109</v>
      </c>
      <c r="I326" s="580">
        <v>3428</v>
      </c>
      <c r="J326" s="581" t="s">
        <v>113</v>
      </c>
    </row>
    <row r="327" spans="1:10" ht="16.2" thickBot="1">
      <c r="A327" s="580">
        <v>4676</v>
      </c>
      <c r="B327" s="581" t="s">
        <v>126</v>
      </c>
      <c r="C327" s="580">
        <v>6121</v>
      </c>
      <c r="D327" s="581" t="s">
        <v>130</v>
      </c>
      <c r="E327" s="582">
        <v>5651</v>
      </c>
      <c r="F327" s="581" t="s">
        <v>119</v>
      </c>
      <c r="G327" s="580">
        <v>2422</v>
      </c>
      <c r="H327" s="581" t="s">
        <v>109</v>
      </c>
      <c r="I327" s="580">
        <v>3429</v>
      </c>
      <c r="J327" s="581" t="s">
        <v>113</v>
      </c>
    </row>
    <row r="328" spans="1:10" ht="16.2" thickBot="1">
      <c r="A328" s="580">
        <v>4677</v>
      </c>
      <c r="B328" s="581" t="s">
        <v>126</v>
      </c>
      <c r="C328" s="580">
        <v>6122</v>
      </c>
      <c r="D328" s="581" t="s">
        <v>130</v>
      </c>
      <c r="E328" s="582">
        <v>5652</v>
      </c>
      <c r="F328" s="581" t="s">
        <v>119</v>
      </c>
      <c r="G328" s="580">
        <v>2423</v>
      </c>
      <c r="H328" s="581" t="s">
        <v>109</v>
      </c>
      <c r="I328" s="580">
        <v>3430</v>
      </c>
      <c r="J328" s="581" t="s">
        <v>113</v>
      </c>
    </row>
    <row r="329" spans="1:10" ht="16.2" thickBot="1">
      <c r="A329" s="580">
        <v>4678</v>
      </c>
      <c r="B329" s="581" t="s">
        <v>126</v>
      </c>
      <c r="C329" s="580">
        <v>6123</v>
      </c>
      <c r="D329" s="581" t="s">
        <v>130</v>
      </c>
      <c r="E329" s="582">
        <v>5653</v>
      </c>
      <c r="F329" s="581" t="s">
        <v>119</v>
      </c>
      <c r="G329" s="580">
        <v>2424</v>
      </c>
      <c r="H329" s="581" t="s">
        <v>109</v>
      </c>
      <c r="I329" s="580">
        <v>3431</v>
      </c>
      <c r="J329" s="581" t="s">
        <v>113</v>
      </c>
    </row>
    <row r="330" spans="1:10" ht="16.2" thickBot="1">
      <c r="A330" s="580">
        <v>4680</v>
      </c>
      <c r="B330" s="581" t="s">
        <v>126</v>
      </c>
      <c r="C330" s="580">
        <v>6124</v>
      </c>
      <c r="D330" s="581" t="s">
        <v>130</v>
      </c>
      <c r="E330" s="582">
        <v>5654</v>
      </c>
      <c r="F330" s="581" t="s">
        <v>119</v>
      </c>
      <c r="G330" s="580">
        <v>2425</v>
      </c>
      <c r="H330" s="581" t="s">
        <v>109</v>
      </c>
      <c r="I330" s="580">
        <v>3432</v>
      </c>
      <c r="J330" s="581" t="s">
        <v>113</v>
      </c>
    </row>
    <row r="331" spans="1:10" ht="16.2" thickBot="1">
      <c r="A331" s="580">
        <v>4694</v>
      </c>
      <c r="B331" s="581" t="s">
        <v>126</v>
      </c>
      <c r="C331" s="580">
        <v>6125</v>
      </c>
      <c r="D331" s="581" t="s">
        <v>130</v>
      </c>
      <c r="E331" s="582">
        <v>5655</v>
      </c>
      <c r="F331" s="581" t="s">
        <v>119</v>
      </c>
      <c r="G331" s="580">
        <v>2426</v>
      </c>
      <c r="H331" s="581" t="s">
        <v>109</v>
      </c>
      <c r="I331" s="580">
        <v>3433</v>
      </c>
      <c r="J331" s="581" t="s">
        <v>113</v>
      </c>
    </row>
    <row r="332" spans="1:10" ht="16.2" thickBot="1">
      <c r="A332" s="580">
        <v>4695</v>
      </c>
      <c r="B332" s="581" t="s">
        <v>126</v>
      </c>
      <c r="C332" s="580">
        <v>6126</v>
      </c>
      <c r="D332" s="581" t="s">
        <v>130</v>
      </c>
      <c r="E332" s="582">
        <v>5660</v>
      </c>
      <c r="F332" s="581" t="s">
        <v>119</v>
      </c>
      <c r="G332" s="580">
        <v>2427</v>
      </c>
      <c r="H332" s="581" t="s">
        <v>109</v>
      </c>
      <c r="I332" s="580">
        <v>3434</v>
      </c>
      <c r="J332" s="581" t="s">
        <v>113</v>
      </c>
    </row>
    <row r="333" spans="1:10" ht="16.2" thickBot="1">
      <c r="A333" s="580">
        <v>4697</v>
      </c>
      <c r="B333" s="581" t="s">
        <v>126</v>
      </c>
      <c r="C333" s="580">
        <v>6147</v>
      </c>
      <c r="D333" s="581" t="s">
        <v>130</v>
      </c>
      <c r="E333" s="582">
        <v>5661</v>
      </c>
      <c r="F333" s="581" t="s">
        <v>119</v>
      </c>
      <c r="G333" s="580">
        <v>2428</v>
      </c>
      <c r="H333" s="581" t="s">
        <v>109</v>
      </c>
      <c r="I333" s="580">
        <v>3435</v>
      </c>
      <c r="J333" s="581" t="s">
        <v>113</v>
      </c>
    </row>
    <row r="334" spans="1:10" ht="16.2" thickBot="1">
      <c r="A334" s="580">
        <v>4699</v>
      </c>
      <c r="B334" s="581" t="s">
        <v>126</v>
      </c>
      <c r="C334" s="580">
        <v>6148</v>
      </c>
      <c r="D334" s="581" t="s">
        <v>130</v>
      </c>
      <c r="E334" s="582">
        <v>5662</v>
      </c>
      <c r="F334" s="581" t="s">
        <v>119</v>
      </c>
      <c r="G334" s="580">
        <v>2429</v>
      </c>
      <c r="H334" s="581" t="s">
        <v>109</v>
      </c>
      <c r="I334" s="580">
        <v>3437</v>
      </c>
      <c r="J334" s="581" t="s">
        <v>113</v>
      </c>
    </row>
    <row r="335" spans="1:10" ht="16.2" thickBot="1">
      <c r="A335" s="580">
        <v>4700</v>
      </c>
      <c r="B335" s="581" t="s">
        <v>126</v>
      </c>
      <c r="C335" s="580">
        <v>6149</v>
      </c>
      <c r="D335" s="581" t="s">
        <v>130</v>
      </c>
      <c r="E335" s="582">
        <v>5670</v>
      </c>
      <c r="F335" s="581" t="s">
        <v>119</v>
      </c>
      <c r="G335" s="580">
        <v>2430</v>
      </c>
      <c r="H335" s="581" t="s">
        <v>109</v>
      </c>
      <c r="I335" s="580">
        <v>3438</v>
      </c>
      <c r="J335" s="581" t="s">
        <v>113</v>
      </c>
    </row>
    <row r="336" spans="1:10" ht="16.2" thickBot="1">
      <c r="A336" s="580">
        <v>4701</v>
      </c>
      <c r="B336" s="581" t="s">
        <v>126</v>
      </c>
      <c r="C336" s="580">
        <v>6150</v>
      </c>
      <c r="D336" s="581" t="s">
        <v>130</v>
      </c>
      <c r="E336" s="582">
        <v>5671</v>
      </c>
      <c r="F336" s="581" t="s">
        <v>119</v>
      </c>
      <c r="G336" s="580">
        <v>2431</v>
      </c>
      <c r="H336" s="581" t="s">
        <v>109</v>
      </c>
      <c r="I336" s="580">
        <v>3440</v>
      </c>
      <c r="J336" s="581" t="s">
        <v>113</v>
      </c>
    </row>
    <row r="337" spans="1:10" ht="16.2" thickBot="1">
      <c r="A337" s="580">
        <v>4702</v>
      </c>
      <c r="B337" s="581" t="s">
        <v>126</v>
      </c>
      <c r="C337" s="580">
        <v>6151</v>
      </c>
      <c r="D337" s="581" t="s">
        <v>130</v>
      </c>
      <c r="E337" s="582">
        <v>5680</v>
      </c>
      <c r="F337" s="581" t="s">
        <v>119</v>
      </c>
      <c r="G337" s="580">
        <v>2439</v>
      </c>
      <c r="H337" s="581" t="s">
        <v>109</v>
      </c>
      <c r="I337" s="580">
        <v>3441</v>
      </c>
      <c r="J337" s="581" t="s">
        <v>113</v>
      </c>
    </row>
    <row r="338" spans="1:10" ht="16.2" thickBot="1">
      <c r="A338" s="580">
        <v>4703</v>
      </c>
      <c r="B338" s="581" t="s">
        <v>126</v>
      </c>
      <c r="C338" s="580">
        <v>6152</v>
      </c>
      <c r="D338" s="581" t="s">
        <v>130</v>
      </c>
      <c r="E338" s="582">
        <v>5690</v>
      </c>
      <c r="F338" s="581" t="s">
        <v>119</v>
      </c>
      <c r="G338" s="580">
        <v>2440</v>
      </c>
      <c r="H338" s="581" t="s">
        <v>106</v>
      </c>
      <c r="I338" s="580">
        <v>3442</v>
      </c>
      <c r="J338" s="581" t="s">
        <v>113</v>
      </c>
    </row>
    <row r="339" spans="1:10" ht="16.2" thickBot="1">
      <c r="A339" s="580">
        <v>4704</v>
      </c>
      <c r="B339" s="581" t="s">
        <v>126</v>
      </c>
      <c r="C339" s="580">
        <v>6153</v>
      </c>
      <c r="D339" s="581" t="s">
        <v>130</v>
      </c>
      <c r="E339" s="582">
        <v>5700</v>
      </c>
      <c r="F339" s="581" t="s">
        <v>119</v>
      </c>
      <c r="G339" s="580">
        <v>2441</v>
      </c>
      <c r="H339" s="581" t="s">
        <v>106</v>
      </c>
      <c r="I339" s="580">
        <v>3444</v>
      </c>
      <c r="J339" s="581" t="s">
        <v>113</v>
      </c>
    </row>
    <row r="340" spans="1:10" ht="16.2" thickBot="1">
      <c r="A340" s="580">
        <v>4705</v>
      </c>
      <c r="B340" s="581" t="s">
        <v>126</v>
      </c>
      <c r="C340" s="580">
        <v>6154</v>
      </c>
      <c r="D340" s="581" t="s">
        <v>130</v>
      </c>
      <c r="E340" s="582">
        <v>5701</v>
      </c>
      <c r="F340" s="581" t="s">
        <v>119</v>
      </c>
      <c r="G340" s="580">
        <v>2443</v>
      </c>
      <c r="H340" s="581" t="s">
        <v>106</v>
      </c>
      <c r="I340" s="580">
        <v>3446</v>
      </c>
      <c r="J340" s="581" t="s">
        <v>113</v>
      </c>
    </row>
    <row r="341" spans="1:10" ht="16.2" thickBot="1">
      <c r="A341" s="580">
        <v>4706</v>
      </c>
      <c r="B341" s="581" t="s">
        <v>126</v>
      </c>
      <c r="C341" s="580">
        <v>6155</v>
      </c>
      <c r="D341" s="581" t="s">
        <v>130</v>
      </c>
      <c r="E341" s="582">
        <v>5702</v>
      </c>
      <c r="F341" s="581" t="s">
        <v>119</v>
      </c>
      <c r="G341" s="580">
        <v>2444</v>
      </c>
      <c r="H341" s="581" t="s">
        <v>106</v>
      </c>
      <c r="I341" s="580">
        <v>3447</v>
      </c>
      <c r="J341" s="581" t="s">
        <v>113</v>
      </c>
    </row>
    <row r="342" spans="1:10" ht="16.2" thickBot="1">
      <c r="A342" s="580">
        <v>4707</v>
      </c>
      <c r="B342" s="581" t="s">
        <v>126</v>
      </c>
      <c r="C342" s="580">
        <v>6156</v>
      </c>
      <c r="D342" s="581" t="s">
        <v>130</v>
      </c>
      <c r="E342" s="582">
        <v>5703</v>
      </c>
      <c r="F342" s="581" t="s">
        <v>119</v>
      </c>
      <c r="G342" s="580">
        <v>2445</v>
      </c>
      <c r="H342" s="581" t="s">
        <v>106</v>
      </c>
      <c r="I342" s="580">
        <v>3448</v>
      </c>
      <c r="J342" s="581" t="s">
        <v>113</v>
      </c>
    </row>
    <row r="343" spans="1:10" ht="16.2" thickBot="1">
      <c r="A343" s="580">
        <v>4709</v>
      </c>
      <c r="B343" s="581" t="s">
        <v>126</v>
      </c>
      <c r="C343" s="580">
        <v>6157</v>
      </c>
      <c r="D343" s="581" t="s">
        <v>130</v>
      </c>
      <c r="E343" s="582">
        <v>5704</v>
      </c>
      <c r="F343" s="581" t="s">
        <v>119</v>
      </c>
      <c r="G343" s="580">
        <v>2446</v>
      </c>
      <c r="H343" s="581" t="s">
        <v>106</v>
      </c>
      <c r="I343" s="580">
        <v>3450</v>
      </c>
      <c r="J343" s="581" t="s">
        <v>113</v>
      </c>
    </row>
    <row r="344" spans="1:10" ht="16.2" thickBot="1">
      <c r="A344" s="580">
        <v>4710</v>
      </c>
      <c r="B344" s="581" t="s">
        <v>126</v>
      </c>
      <c r="C344" s="580">
        <v>6158</v>
      </c>
      <c r="D344" s="581" t="s">
        <v>130</v>
      </c>
      <c r="E344" s="582">
        <v>5705</v>
      </c>
      <c r="F344" s="581" t="s">
        <v>119</v>
      </c>
      <c r="G344" s="580">
        <v>2447</v>
      </c>
      <c r="H344" s="581" t="s">
        <v>106</v>
      </c>
      <c r="I344" s="580">
        <v>3451</v>
      </c>
      <c r="J344" s="581" t="s">
        <v>113</v>
      </c>
    </row>
    <row r="345" spans="1:10" ht="16.2" thickBot="1">
      <c r="A345" s="580">
        <v>4711</v>
      </c>
      <c r="B345" s="581" t="s">
        <v>126</v>
      </c>
      <c r="C345" s="580">
        <v>6160</v>
      </c>
      <c r="D345" s="581" t="s">
        <v>130</v>
      </c>
      <c r="E345" s="582">
        <v>5706</v>
      </c>
      <c r="F345" s="581" t="s">
        <v>119</v>
      </c>
      <c r="G345" s="580">
        <v>2448</v>
      </c>
      <c r="H345" s="581" t="s">
        <v>106</v>
      </c>
      <c r="I345" s="580">
        <v>3453</v>
      </c>
      <c r="J345" s="581" t="s">
        <v>113</v>
      </c>
    </row>
    <row r="346" spans="1:10" ht="16.2" thickBot="1">
      <c r="A346" s="580">
        <v>4712</v>
      </c>
      <c r="B346" s="581" t="s">
        <v>126</v>
      </c>
      <c r="C346" s="580">
        <v>6162</v>
      </c>
      <c r="D346" s="581" t="s">
        <v>130</v>
      </c>
      <c r="E346" s="582">
        <v>5707</v>
      </c>
      <c r="F346" s="581" t="s">
        <v>119</v>
      </c>
      <c r="G346" s="580">
        <v>2449</v>
      </c>
      <c r="H346" s="581" t="s">
        <v>106</v>
      </c>
      <c r="I346" s="580">
        <v>3458</v>
      </c>
      <c r="J346" s="581" t="s">
        <v>113</v>
      </c>
    </row>
    <row r="347" spans="1:10" ht="16.2" thickBot="1">
      <c r="A347" s="580">
        <v>4713</v>
      </c>
      <c r="B347" s="581" t="s">
        <v>126</v>
      </c>
      <c r="C347" s="580">
        <v>6163</v>
      </c>
      <c r="D347" s="581" t="s">
        <v>130</v>
      </c>
      <c r="E347" s="582">
        <v>5708</v>
      </c>
      <c r="F347" s="581" t="s">
        <v>119</v>
      </c>
      <c r="G347" s="580">
        <v>2450</v>
      </c>
      <c r="H347" s="581" t="s">
        <v>106</v>
      </c>
      <c r="I347" s="580">
        <v>3460</v>
      </c>
      <c r="J347" s="581" t="s">
        <v>113</v>
      </c>
    </row>
    <row r="348" spans="1:10" ht="16.2" thickBot="1">
      <c r="A348" s="580">
        <v>4714</v>
      </c>
      <c r="B348" s="581" t="s">
        <v>126</v>
      </c>
      <c r="C348" s="580">
        <v>6164</v>
      </c>
      <c r="D348" s="581" t="s">
        <v>130</v>
      </c>
      <c r="E348" s="582">
        <v>5710</v>
      </c>
      <c r="F348" s="581" t="s">
        <v>119</v>
      </c>
      <c r="G348" s="580">
        <v>2452</v>
      </c>
      <c r="H348" s="581" t="s">
        <v>106</v>
      </c>
      <c r="I348" s="580">
        <v>3461</v>
      </c>
      <c r="J348" s="581" t="s">
        <v>113</v>
      </c>
    </row>
    <row r="349" spans="1:10" ht="16.2" thickBot="1">
      <c r="A349" s="580">
        <v>4715</v>
      </c>
      <c r="B349" s="581" t="s">
        <v>126</v>
      </c>
      <c r="C349" s="580">
        <v>6165</v>
      </c>
      <c r="D349" s="581" t="s">
        <v>130</v>
      </c>
      <c r="E349" s="582">
        <v>5713</v>
      </c>
      <c r="F349" s="581" t="s">
        <v>119</v>
      </c>
      <c r="G349" s="580">
        <v>2453</v>
      </c>
      <c r="H349" s="581" t="s">
        <v>106</v>
      </c>
      <c r="I349" s="580">
        <v>3462</v>
      </c>
      <c r="J349" s="581" t="s">
        <v>113</v>
      </c>
    </row>
    <row r="350" spans="1:10" ht="16.2" thickBot="1">
      <c r="A350" s="580">
        <v>4716</v>
      </c>
      <c r="B350" s="581" t="s">
        <v>126</v>
      </c>
      <c r="C350" s="580">
        <v>6166</v>
      </c>
      <c r="D350" s="581" t="s">
        <v>130</v>
      </c>
      <c r="E350" s="582">
        <v>5715</v>
      </c>
      <c r="F350" s="581" t="s">
        <v>119</v>
      </c>
      <c r="G350" s="580">
        <v>2454</v>
      </c>
      <c r="H350" s="581" t="s">
        <v>106</v>
      </c>
      <c r="I350" s="580">
        <v>3463</v>
      </c>
      <c r="J350" s="581" t="s">
        <v>113</v>
      </c>
    </row>
    <row r="351" spans="1:10" ht="16.2" thickBot="1">
      <c r="A351" s="580">
        <v>4717</v>
      </c>
      <c r="B351" s="581" t="s">
        <v>126</v>
      </c>
      <c r="C351" s="580">
        <v>6167</v>
      </c>
      <c r="D351" s="581" t="s">
        <v>130</v>
      </c>
      <c r="E351" s="582">
        <v>5717</v>
      </c>
      <c r="F351" s="581" t="s">
        <v>119</v>
      </c>
      <c r="G351" s="580">
        <v>2455</v>
      </c>
      <c r="H351" s="581" t="s">
        <v>106</v>
      </c>
      <c r="I351" s="580">
        <v>3464</v>
      </c>
      <c r="J351" s="581" t="s">
        <v>113</v>
      </c>
    </row>
    <row r="352" spans="1:10" ht="16.2" thickBot="1">
      <c r="A352" s="580">
        <v>4718</v>
      </c>
      <c r="B352" s="581" t="s">
        <v>126</v>
      </c>
      <c r="C352" s="580">
        <v>6168</v>
      </c>
      <c r="D352" s="581" t="s">
        <v>130</v>
      </c>
      <c r="E352" s="582">
        <v>5719</v>
      </c>
      <c r="F352" s="581" t="s">
        <v>119</v>
      </c>
      <c r="G352" s="580">
        <v>2456</v>
      </c>
      <c r="H352" s="581" t="s">
        <v>106</v>
      </c>
      <c r="I352" s="580">
        <v>3465</v>
      </c>
      <c r="J352" s="581" t="s">
        <v>113</v>
      </c>
    </row>
    <row r="353" spans="1:10" ht="16.2" thickBot="1">
      <c r="A353" s="580">
        <v>4719</v>
      </c>
      <c r="B353" s="581" t="s">
        <v>126</v>
      </c>
      <c r="C353" s="580">
        <v>6169</v>
      </c>
      <c r="D353" s="581" t="s">
        <v>130</v>
      </c>
      <c r="E353" s="582">
        <v>5720</v>
      </c>
      <c r="F353" s="581" t="s">
        <v>119</v>
      </c>
      <c r="G353" s="580">
        <v>2460</v>
      </c>
      <c r="H353" s="581" t="s">
        <v>106</v>
      </c>
      <c r="I353" s="580">
        <v>3467</v>
      </c>
      <c r="J353" s="581" t="s">
        <v>113</v>
      </c>
    </row>
    <row r="354" spans="1:10" ht="16.2" thickBot="1">
      <c r="A354" s="580">
        <v>4720</v>
      </c>
      <c r="B354" s="581" t="s">
        <v>126</v>
      </c>
      <c r="C354" s="580">
        <v>6170</v>
      </c>
      <c r="D354" s="581" t="s">
        <v>130</v>
      </c>
      <c r="E354" s="582">
        <v>5722</v>
      </c>
      <c r="F354" s="581" t="s">
        <v>119</v>
      </c>
      <c r="G354" s="580">
        <v>2462</v>
      </c>
      <c r="H354" s="581" t="s">
        <v>106</v>
      </c>
      <c r="I354" s="580">
        <v>3468</v>
      </c>
      <c r="J354" s="581" t="s">
        <v>113</v>
      </c>
    </row>
    <row r="355" spans="1:10" ht="16.2" thickBot="1">
      <c r="A355" s="580">
        <v>4721</v>
      </c>
      <c r="B355" s="581" t="s">
        <v>126</v>
      </c>
      <c r="C355" s="580">
        <v>6171</v>
      </c>
      <c r="D355" s="581" t="s">
        <v>130</v>
      </c>
      <c r="E355" s="582">
        <v>5723</v>
      </c>
      <c r="F355" s="581" t="s">
        <v>119</v>
      </c>
      <c r="G355" s="580">
        <v>2463</v>
      </c>
      <c r="H355" s="581" t="s">
        <v>106</v>
      </c>
      <c r="I355" s="580">
        <v>3469</v>
      </c>
      <c r="J355" s="581" t="s">
        <v>113</v>
      </c>
    </row>
    <row r="356" spans="1:10" ht="16.2" thickBot="1">
      <c r="A356" s="580">
        <v>4722</v>
      </c>
      <c r="B356" s="581" t="s">
        <v>126</v>
      </c>
      <c r="C356" s="580">
        <v>6172</v>
      </c>
      <c r="D356" s="581" t="s">
        <v>130</v>
      </c>
      <c r="E356" s="582">
        <v>5724</v>
      </c>
      <c r="F356" s="581" t="s">
        <v>119</v>
      </c>
      <c r="G356" s="580">
        <v>2464</v>
      </c>
      <c r="H356" s="581" t="s">
        <v>106</v>
      </c>
      <c r="I356" s="580">
        <v>3472</v>
      </c>
      <c r="J356" s="581" t="s">
        <v>113</v>
      </c>
    </row>
    <row r="357" spans="1:10" ht="16.2" thickBot="1">
      <c r="A357" s="580">
        <v>4723</v>
      </c>
      <c r="B357" s="581" t="s">
        <v>126</v>
      </c>
      <c r="C357" s="580">
        <v>6173</v>
      </c>
      <c r="D357" s="581" t="s">
        <v>130</v>
      </c>
      <c r="E357" s="582">
        <v>5725</v>
      </c>
      <c r="F357" s="581" t="s">
        <v>119</v>
      </c>
      <c r="G357" s="580">
        <v>2465</v>
      </c>
      <c r="H357" s="581" t="s">
        <v>106</v>
      </c>
      <c r="I357" s="580">
        <v>3475</v>
      </c>
      <c r="J357" s="581" t="s">
        <v>113</v>
      </c>
    </row>
    <row r="358" spans="1:10" ht="16.2" thickBot="1">
      <c r="A358" s="580">
        <v>4724</v>
      </c>
      <c r="B358" s="581" t="s">
        <v>126</v>
      </c>
      <c r="C358" s="580">
        <v>6174</v>
      </c>
      <c r="D358" s="581" t="s">
        <v>130</v>
      </c>
      <c r="E358" s="582">
        <v>5730</v>
      </c>
      <c r="F358" s="581" t="s">
        <v>119</v>
      </c>
      <c r="G358" s="580">
        <v>2466</v>
      </c>
      <c r="H358" s="581" t="s">
        <v>106</v>
      </c>
      <c r="I358" s="580">
        <v>3477</v>
      </c>
      <c r="J358" s="581" t="s">
        <v>113</v>
      </c>
    </row>
    <row r="359" spans="1:10" ht="16.2" thickBot="1">
      <c r="A359" s="580">
        <v>4725</v>
      </c>
      <c r="B359" s="581" t="s">
        <v>126</v>
      </c>
      <c r="C359" s="580">
        <v>6175</v>
      </c>
      <c r="D359" s="581" t="s">
        <v>130</v>
      </c>
      <c r="E359" s="582">
        <v>5731</v>
      </c>
      <c r="F359" s="581" t="s">
        <v>119</v>
      </c>
      <c r="G359" s="580">
        <v>2469</v>
      </c>
      <c r="H359" s="581" t="s">
        <v>106</v>
      </c>
      <c r="I359" s="580">
        <v>3478</v>
      </c>
      <c r="J359" s="581" t="s">
        <v>113</v>
      </c>
    </row>
    <row r="360" spans="1:10" ht="16.2" thickBot="1">
      <c r="A360" s="580">
        <v>4726</v>
      </c>
      <c r="B360" s="581" t="s">
        <v>126</v>
      </c>
      <c r="C360" s="580">
        <v>6176</v>
      </c>
      <c r="D360" s="581" t="s">
        <v>130</v>
      </c>
      <c r="E360" s="582">
        <v>5732</v>
      </c>
      <c r="F360" s="581" t="s">
        <v>119</v>
      </c>
      <c r="G360" s="580">
        <v>2470</v>
      </c>
      <c r="H360" s="581" t="s">
        <v>106</v>
      </c>
      <c r="I360" s="580">
        <v>3480</v>
      </c>
      <c r="J360" s="581" t="s">
        <v>113</v>
      </c>
    </row>
    <row r="361" spans="1:10" ht="16.2" thickBot="1">
      <c r="A361" s="580">
        <v>4727</v>
      </c>
      <c r="B361" s="581" t="s">
        <v>126</v>
      </c>
      <c r="C361" s="580">
        <v>6315</v>
      </c>
      <c r="D361" s="581" t="s">
        <v>130</v>
      </c>
      <c r="E361" s="582">
        <v>5733</v>
      </c>
      <c r="F361" s="581" t="s">
        <v>119</v>
      </c>
      <c r="G361" s="580">
        <v>2471</v>
      </c>
      <c r="H361" s="581" t="s">
        <v>106</v>
      </c>
      <c r="I361" s="580">
        <v>3482</v>
      </c>
      <c r="J361" s="581" t="s">
        <v>113</v>
      </c>
    </row>
    <row r="362" spans="1:10" ht="16.2" thickBot="1">
      <c r="A362" s="580">
        <v>4728</v>
      </c>
      <c r="B362" s="581" t="s">
        <v>126</v>
      </c>
      <c r="C362" s="580">
        <v>6316</v>
      </c>
      <c r="D362" s="581" t="s">
        <v>130</v>
      </c>
      <c r="E362" s="582">
        <v>5734</v>
      </c>
      <c r="F362" s="581" t="s">
        <v>119</v>
      </c>
      <c r="G362" s="580">
        <v>2472</v>
      </c>
      <c r="H362" s="581" t="s">
        <v>106</v>
      </c>
      <c r="I362" s="580">
        <v>3483</v>
      </c>
      <c r="J362" s="581" t="s">
        <v>113</v>
      </c>
    </row>
    <row r="363" spans="1:10">
      <c r="A363" s="580">
        <v>4730</v>
      </c>
      <c r="B363" s="581" t="s">
        <v>126</v>
      </c>
      <c r="C363" s="580">
        <v>6317</v>
      </c>
      <c r="D363" s="581" t="s">
        <v>130</v>
      </c>
      <c r="E363" s="578"/>
      <c r="F363" s="578"/>
      <c r="G363" s="580">
        <v>2473</v>
      </c>
      <c r="H363" s="581" t="s">
        <v>106</v>
      </c>
      <c r="I363" s="580">
        <v>3485</v>
      </c>
      <c r="J363" s="581" t="s">
        <v>113</v>
      </c>
    </row>
    <row r="364" spans="1:10">
      <c r="A364" s="580">
        <v>4731</v>
      </c>
      <c r="B364" s="581" t="s">
        <v>126</v>
      </c>
      <c r="C364" s="580">
        <v>6318</v>
      </c>
      <c r="D364" s="581" t="s">
        <v>130</v>
      </c>
      <c r="E364" s="578"/>
      <c r="F364" s="578"/>
      <c r="G364" s="580">
        <v>2474</v>
      </c>
      <c r="H364" s="581" t="s">
        <v>106</v>
      </c>
      <c r="I364" s="580">
        <v>3487</v>
      </c>
      <c r="J364" s="581" t="s">
        <v>113</v>
      </c>
    </row>
    <row r="365" spans="1:10">
      <c r="A365" s="580">
        <v>4732</v>
      </c>
      <c r="B365" s="581" t="s">
        <v>126</v>
      </c>
      <c r="C365" s="580">
        <v>6330</v>
      </c>
      <c r="D365" s="581" t="s">
        <v>130</v>
      </c>
      <c r="E365" s="578"/>
      <c r="F365" s="578"/>
      <c r="G365" s="580">
        <v>2475</v>
      </c>
      <c r="H365" s="581" t="s">
        <v>106</v>
      </c>
      <c r="I365" s="580">
        <v>3488</v>
      </c>
      <c r="J365" s="581" t="s">
        <v>113</v>
      </c>
    </row>
    <row r="366" spans="1:10">
      <c r="A366" s="580">
        <v>4733</v>
      </c>
      <c r="B366" s="581" t="s">
        <v>126</v>
      </c>
      <c r="C366" s="580">
        <v>6333</v>
      </c>
      <c r="D366" s="581" t="s">
        <v>130</v>
      </c>
      <c r="E366" s="578"/>
      <c r="F366" s="578"/>
      <c r="G366" s="580">
        <v>2476</v>
      </c>
      <c r="H366" s="581" t="s">
        <v>106</v>
      </c>
      <c r="I366" s="580">
        <v>3489</v>
      </c>
      <c r="J366" s="581" t="s">
        <v>113</v>
      </c>
    </row>
    <row r="367" spans="1:10">
      <c r="A367" s="580">
        <v>4735</v>
      </c>
      <c r="B367" s="581" t="s">
        <v>126</v>
      </c>
      <c r="C367" s="580">
        <v>6335</v>
      </c>
      <c r="D367" s="581" t="s">
        <v>130</v>
      </c>
      <c r="E367" s="578"/>
      <c r="F367" s="578"/>
      <c r="G367" s="580">
        <v>2477</v>
      </c>
      <c r="H367" s="581" t="s">
        <v>106</v>
      </c>
      <c r="I367" s="580">
        <v>3490</v>
      </c>
      <c r="J367" s="581" t="s">
        <v>113</v>
      </c>
    </row>
    <row r="368" spans="1:10">
      <c r="A368" s="580">
        <v>4736</v>
      </c>
      <c r="B368" s="581" t="s">
        <v>126</v>
      </c>
      <c r="C368" s="580">
        <v>6336</v>
      </c>
      <c r="D368" s="581" t="s">
        <v>130</v>
      </c>
      <c r="E368" s="578"/>
      <c r="F368" s="578"/>
      <c r="G368" s="580">
        <v>2478</v>
      </c>
      <c r="H368" s="581" t="s">
        <v>106</v>
      </c>
      <c r="I368" s="580">
        <v>3491</v>
      </c>
      <c r="J368" s="581" t="s">
        <v>113</v>
      </c>
    </row>
    <row r="369" spans="1:10">
      <c r="A369" s="580">
        <v>4737</v>
      </c>
      <c r="B369" s="581" t="s">
        <v>126</v>
      </c>
      <c r="C369" s="580">
        <v>6337</v>
      </c>
      <c r="D369" s="581" t="s">
        <v>130</v>
      </c>
      <c r="E369" s="578"/>
      <c r="F369" s="578"/>
      <c r="G369" s="580">
        <v>2479</v>
      </c>
      <c r="H369" s="581" t="s">
        <v>106</v>
      </c>
      <c r="I369" s="580">
        <v>3494</v>
      </c>
      <c r="J369" s="581" t="s">
        <v>113</v>
      </c>
    </row>
    <row r="370" spans="1:10">
      <c r="A370" s="580">
        <v>4738</v>
      </c>
      <c r="B370" s="581" t="s">
        <v>126</v>
      </c>
      <c r="C370" s="580">
        <v>6346</v>
      </c>
      <c r="D370" s="581" t="s">
        <v>130</v>
      </c>
      <c r="E370" s="578"/>
      <c r="F370" s="578"/>
      <c r="G370" s="580">
        <v>2480</v>
      </c>
      <c r="H370" s="581" t="s">
        <v>106</v>
      </c>
      <c r="I370" s="580">
        <v>3496</v>
      </c>
      <c r="J370" s="581" t="s">
        <v>113</v>
      </c>
    </row>
    <row r="371" spans="1:10">
      <c r="A371" s="580">
        <v>4739</v>
      </c>
      <c r="B371" s="581" t="s">
        <v>126</v>
      </c>
      <c r="C371" s="580">
        <v>6350</v>
      </c>
      <c r="D371" s="581" t="s">
        <v>130</v>
      </c>
      <c r="E371" s="578"/>
      <c r="F371" s="578"/>
      <c r="G371" s="580">
        <v>2481</v>
      </c>
      <c r="H371" s="581" t="s">
        <v>106</v>
      </c>
      <c r="I371" s="580">
        <v>3498</v>
      </c>
      <c r="J371" s="581" t="s">
        <v>113</v>
      </c>
    </row>
    <row r="372" spans="1:10">
      <c r="A372" s="580">
        <v>4740</v>
      </c>
      <c r="B372" s="581" t="s">
        <v>126</v>
      </c>
      <c r="C372" s="580">
        <v>6351</v>
      </c>
      <c r="D372" s="581" t="s">
        <v>130</v>
      </c>
      <c r="E372" s="578"/>
      <c r="F372" s="578"/>
      <c r="G372" s="580">
        <v>2482</v>
      </c>
      <c r="H372" s="581" t="s">
        <v>106</v>
      </c>
      <c r="I372" s="580">
        <v>3500</v>
      </c>
      <c r="J372" s="581" t="s">
        <v>113</v>
      </c>
    </row>
    <row r="373" spans="1:10">
      <c r="A373" s="580">
        <v>4741</v>
      </c>
      <c r="B373" s="581" t="s">
        <v>126</v>
      </c>
      <c r="C373" s="580">
        <v>6352</v>
      </c>
      <c r="D373" s="581" t="s">
        <v>130</v>
      </c>
      <c r="E373" s="578"/>
      <c r="F373" s="578"/>
      <c r="G373" s="580">
        <v>2483</v>
      </c>
      <c r="H373" s="581" t="s">
        <v>106</v>
      </c>
      <c r="I373" s="580">
        <v>3501</v>
      </c>
      <c r="J373" s="581" t="s">
        <v>113</v>
      </c>
    </row>
    <row r="374" spans="1:10">
      <c r="A374" s="580">
        <v>4742</v>
      </c>
      <c r="B374" s="581" t="s">
        <v>126</v>
      </c>
      <c r="C374" s="580">
        <v>6353</v>
      </c>
      <c r="D374" s="581" t="s">
        <v>130</v>
      </c>
      <c r="E374" s="578"/>
      <c r="F374" s="578"/>
      <c r="G374" s="580">
        <v>2484</v>
      </c>
      <c r="H374" s="581" t="s">
        <v>106</v>
      </c>
      <c r="I374" s="580">
        <v>3505</v>
      </c>
      <c r="J374" s="581" t="s">
        <v>113</v>
      </c>
    </row>
    <row r="375" spans="1:10">
      <c r="A375" s="580">
        <v>4743</v>
      </c>
      <c r="B375" s="581" t="s">
        <v>126</v>
      </c>
      <c r="C375" s="580">
        <v>6355</v>
      </c>
      <c r="D375" s="581" t="s">
        <v>130</v>
      </c>
      <c r="E375" s="578"/>
      <c r="F375" s="578"/>
      <c r="G375" s="580">
        <v>2485</v>
      </c>
      <c r="H375" s="581" t="s">
        <v>106</v>
      </c>
      <c r="I375" s="580">
        <v>3506</v>
      </c>
      <c r="J375" s="581" t="s">
        <v>113</v>
      </c>
    </row>
    <row r="376" spans="1:10">
      <c r="A376" s="580">
        <v>4744</v>
      </c>
      <c r="B376" s="581" t="s">
        <v>126</v>
      </c>
      <c r="C376" s="580">
        <v>6356</v>
      </c>
      <c r="D376" s="581" t="s">
        <v>130</v>
      </c>
      <c r="E376" s="578"/>
      <c r="F376" s="578"/>
      <c r="G376" s="580">
        <v>2486</v>
      </c>
      <c r="H376" s="581" t="s">
        <v>106</v>
      </c>
      <c r="I376" s="580">
        <v>3507</v>
      </c>
      <c r="J376" s="581" t="s">
        <v>113</v>
      </c>
    </row>
    <row r="377" spans="1:10">
      <c r="A377" s="580">
        <v>4745</v>
      </c>
      <c r="B377" s="581" t="s">
        <v>126</v>
      </c>
      <c r="C377" s="580">
        <v>6357</v>
      </c>
      <c r="D377" s="581" t="s">
        <v>130</v>
      </c>
      <c r="E377" s="578"/>
      <c r="F377" s="578"/>
      <c r="G377" s="580">
        <v>2487</v>
      </c>
      <c r="H377" s="581" t="s">
        <v>106</v>
      </c>
      <c r="I377" s="580">
        <v>3509</v>
      </c>
      <c r="J377" s="581" t="s">
        <v>113</v>
      </c>
    </row>
    <row r="378" spans="1:10">
      <c r="A378" s="580">
        <v>4746</v>
      </c>
      <c r="B378" s="581" t="s">
        <v>126</v>
      </c>
      <c r="C378" s="580">
        <v>6358</v>
      </c>
      <c r="D378" s="581" t="s">
        <v>130</v>
      </c>
      <c r="E378" s="578"/>
      <c r="F378" s="578"/>
      <c r="G378" s="580">
        <v>2488</v>
      </c>
      <c r="H378" s="581" t="s">
        <v>106</v>
      </c>
      <c r="I378" s="580">
        <v>3512</v>
      </c>
      <c r="J378" s="581" t="s">
        <v>113</v>
      </c>
    </row>
    <row r="379" spans="1:10">
      <c r="A379" s="580">
        <v>4750</v>
      </c>
      <c r="B379" s="581" t="s">
        <v>126</v>
      </c>
      <c r="C379" s="580">
        <v>6359</v>
      </c>
      <c r="D379" s="581" t="s">
        <v>130</v>
      </c>
      <c r="E379" s="578"/>
      <c r="F379" s="578"/>
      <c r="G379" s="580">
        <v>2489</v>
      </c>
      <c r="H379" s="581" t="s">
        <v>106</v>
      </c>
      <c r="I379" s="580">
        <v>3515</v>
      </c>
      <c r="J379" s="581" t="s">
        <v>113</v>
      </c>
    </row>
    <row r="380" spans="1:10">
      <c r="A380" s="580">
        <v>4751</v>
      </c>
      <c r="B380" s="581" t="s">
        <v>126</v>
      </c>
      <c r="C380" s="580">
        <v>6361</v>
      </c>
      <c r="D380" s="581" t="s">
        <v>130</v>
      </c>
      <c r="E380" s="578"/>
      <c r="F380" s="578"/>
      <c r="G380" s="580">
        <v>2490</v>
      </c>
      <c r="H380" s="581" t="s">
        <v>106</v>
      </c>
      <c r="I380" s="580">
        <v>3516</v>
      </c>
      <c r="J380" s="581" t="s">
        <v>113</v>
      </c>
    </row>
    <row r="381" spans="1:10">
      <c r="A381" s="580">
        <v>4753</v>
      </c>
      <c r="B381" s="581" t="s">
        <v>126</v>
      </c>
      <c r="C381" s="580">
        <v>6363</v>
      </c>
      <c r="D381" s="581" t="s">
        <v>130</v>
      </c>
      <c r="E381" s="578"/>
      <c r="F381" s="578"/>
      <c r="G381" s="580">
        <v>2491</v>
      </c>
      <c r="H381" s="581" t="s">
        <v>106</v>
      </c>
      <c r="I381" s="580">
        <v>3517</v>
      </c>
      <c r="J381" s="581" t="s">
        <v>113</v>
      </c>
    </row>
    <row r="382" spans="1:10">
      <c r="A382" s="580">
        <v>4754</v>
      </c>
      <c r="B382" s="581" t="s">
        <v>126</v>
      </c>
      <c r="C382" s="580">
        <v>6365</v>
      </c>
      <c r="D382" s="581" t="s">
        <v>130</v>
      </c>
      <c r="E382" s="578"/>
      <c r="F382" s="578"/>
      <c r="G382" s="580">
        <v>2492</v>
      </c>
      <c r="H382" s="581" t="s">
        <v>106</v>
      </c>
      <c r="I382" s="580">
        <v>3518</v>
      </c>
      <c r="J382" s="581" t="s">
        <v>113</v>
      </c>
    </row>
    <row r="383" spans="1:10">
      <c r="A383" s="580">
        <v>4756</v>
      </c>
      <c r="B383" s="581" t="s">
        <v>126</v>
      </c>
      <c r="C383" s="580">
        <v>6367</v>
      </c>
      <c r="D383" s="581" t="s">
        <v>130</v>
      </c>
      <c r="E383" s="578"/>
      <c r="F383" s="578"/>
      <c r="G383" s="580">
        <v>2493</v>
      </c>
      <c r="H383" s="581" t="s">
        <v>106</v>
      </c>
      <c r="I383" s="580">
        <v>3520</v>
      </c>
      <c r="J383" s="581" t="s">
        <v>113</v>
      </c>
    </row>
    <row r="384" spans="1:10">
      <c r="A384" s="580">
        <v>4757</v>
      </c>
      <c r="B384" s="581" t="s">
        <v>126</v>
      </c>
      <c r="C384" s="580">
        <v>6368</v>
      </c>
      <c r="D384" s="581" t="s">
        <v>130</v>
      </c>
      <c r="E384" s="578"/>
      <c r="F384" s="578"/>
      <c r="G384" s="580">
        <v>2494</v>
      </c>
      <c r="H384" s="581" t="s">
        <v>106</v>
      </c>
      <c r="I384" s="580">
        <v>3521</v>
      </c>
      <c r="J384" s="581" t="s">
        <v>113</v>
      </c>
    </row>
    <row r="385" spans="1:10">
      <c r="A385" s="580">
        <v>4798</v>
      </c>
      <c r="B385" s="581" t="s">
        <v>126</v>
      </c>
      <c r="C385" s="580">
        <v>6369</v>
      </c>
      <c r="D385" s="581" t="s">
        <v>130</v>
      </c>
      <c r="E385" s="578"/>
      <c r="F385" s="578"/>
      <c r="G385" s="580">
        <v>2495</v>
      </c>
      <c r="H385" s="581" t="s">
        <v>106</v>
      </c>
      <c r="I385" s="580">
        <v>3522</v>
      </c>
      <c r="J385" s="581" t="s">
        <v>113</v>
      </c>
    </row>
    <row r="386" spans="1:10">
      <c r="A386" s="580">
        <v>4799</v>
      </c>
      <c r="B386" s="581" t="s">
        <v>126</v>
      </c>
      <c r="C386" s="580">
        <v>6370</v>
      </c>
      <c r="D386" s="581" t="s">
        <v>130</v>
      </c>
      <c r="E386" s="578"/>
      <c r="F386" s="578"/>
      <c r="G386" s="580">
        <v>2496</v>
      </c>
      <c r="H386" s="581" t="s">
        <v>106</v>
      </c>
      <c r="I386" s="580">
        <v>3523</v>
      </c>
      <c r="J386" s="581" t="s">
        <v>113</v>
      </c>
    </row>
    <row r="387" spans="1:10">
      <c r="A387" s="580">
        <v>4800</v>
      </c>
      <c r="B387" s="581" t="s">
        <v>126</v>
      </c>
      <c r="C387" s="580">
        <v>6372</v>
      </c>
      <c r="D387" s="581" t="s">
        <v>130</v>
      </c>
      <c r="E387" s="578"/>
      <c r="F387" s="578"/>
      <c r="G387" s="580">
        <v>2497</v>
      </c>
      <c r="H387" s="581" t="s">
        <v>106</v>
      </c>
      <c r="I387" s="580">
        <v>3525</v>
      </c>
      <c r="J387" s="581" t="s">
        <v>113</v>
      </c>
    </row>
    <row r="388" spans="1:10">
      <c r="A388" s="580">
        <v>4801</v>
      </c>
      <c r="B388" s="581" t="s">
        <v>126</v>
      </c>
      <c r="C388" s="580">
        <v>6373</v>
      </c>
      <c r="D388" s="581" t="s">
        <v>130</v>
      </c>
      <c r="E388" s="578"/>
      <c r="F388" s="578"/>
      <c r="G388" s="580">
        <v>2498</v>
      </c>
      <c r="H388" s="581" t="s">
        <v>106</v>
      </c>
      <c r="I388" s="580">
        <v>3527</v>
      </c>
      <c r="J388" s="581" t="s">
        <v>113</v>
      </c>
    </row>
    <row r="389" spans="1:10">
      <c r="A389" s="580">
        <v>4802</v>
      </c>
      <c r="B389" s="581" t="s">
        <v>126</v>
      </c>
      <c r="C389" s="580">
        <v>6375</v>
      </c>
      <c r="D389" s="581" t="s">
        <v>130</v>
      </c>
      <c r="E389" s="578"/>
      <c r="F389" s="578"/>
      <c r="G389" s="580">
        <v>2499</v>
      </c>
      <c r="H389" s="581" t="s">
        <v>106</v>
      </c>
      <c r="I389" s="580">
        <v>3529</v>
      </c>
      <c r="J389" s="581" t="s">
        <v>113</v>
      </c>
    </row>
    <row r="390" spans="1:10">
      <c r="A390" s="580">
        <v>4803</v>
      </c>
      <c r="B390" s="581" t="s">
        <v>126</v>
      </c>
      <c r="C390" s="580">
        <v>6383</v>
      </c>
      <c r="D390" s="581" t="s">
        <v>130</v>
      </c>
      <c r="E390" s="578"/>
      <c r="F390" s="578"/>
      <c r="G390" s="580">
        <v>2500</v>
      </c>
      <c r="H390" s="581" t="s">
        <v>104</v>
      </c>
      <c r="I390" s="580">
        <v>3530</v>
      </c>
      <c r="J390" s="581" t="s">
        <v>113</v>
      </c>
    </row>
    <row r="391" spans="1:10">
      <c r="A391" s="580">
        <v>4804</v>
      </c>
      <c r="B391" s="581" t="s">
        <v>126</v>
      </c>
      <c r="C391" s="580">
        <v>6384</v>
      </c>
      <c r="D391" s="581" t="s">
        <v>130</v>
      </c>
      <c r="E391" s="578"/>
      <c r="F391" s="578"/>
      <c r="G391" s="580">
        <v>2502</v>
      </c>
      <c r="H391" s="581" t="s">
        <v>104</v>
      </c>
      <c r="I391" s="580">
        <v>3531</v>
      </c>
      <c r="J391" s="581" t="s">
        <v>113</v>
      </c>
    </row>
    <row r="392" spans="1:10">
      <c r="A392" s="580">
        <v>4805</v>
      </c>
      <c r="B392" s="581" t="s">
        <v>126</v>
      </c>
      <c r="C392" s="580">
        <v>6385</v>
      </c>
      <c r="D392" s="581" t="s">
        <v>130</v>
      </c>
      <c r="E392" s="578"/>
      <c r="F392" s="578"/>
      <c r="G392" s="580">
        <v>2505</v>
      </c>
      <c r="H392" s="581" t="s">
        <v>104</v>
      </c>
      <c r="I392" s="580">
        <v>3533</v>
      </c>
      <c r="J392" s="581" t="s">
        <v>113</v>
      </c>
    </row>
    <row r="393" spans="1:10">
      <c r="A393" s="580">
        <v>4806</v>
      </c>
      <c r="B393" s="581" t="s">
        <v>126</v>
      </c>
      <c r="C393" s="580">
        <v>6390</v>
      </c>
      <c r="D393" s="581" t="s">
        <v>130</v>
      </c>
      <c r="E393" s="578"/>
      <c r="F393" s="578"/>
      <c r="G393" s="580">
        <v>2506</v>
      </c>
      <c r="H393" s="581" t="s">
        <v>104</v>
      </c>
      <c r="I393" s="580">
        <v>3537</v>
      </c>
      <c r="J393" s="581" t="s">
        <v>113</v>
      </c>
    </row>
    <row r="394" spans="1:10">
      <c r="A394" s="580">
        <v>4807</v>
      </c>
      <c r="B394" s="581" t="s">
        <v>126</v>
      </c>
      <c r="C394" s="580">
        <v>6391</v>
      </c>
      <c r="D394" s="581" t="s">
        <v>130</v>
      </c>
      <c r="E394" s="578"/>
      <c r="F394" s="578"/>
      <c r="G394" s="580">
        <v>2508</v>
      </c>
      <c r="H394" s="581" t="s">
        <v>104</v>
      </c>
      <c r="I394" s="580">
        <v>3540</v>
      </c>
      <c r="J394" s="581" t="s">
        <v>113</v>
      </c>
    </row>
    <row r="395" spans="1:10">
      <c r="A395" s="580">
        <v>4808</v>
      </c>
      <c r="B395" s="581" t="s">
        <v>126</v>
      </c>
      <c r="C395" s="580">
        <v>6392</v>
      </c>
      <c r="D395" s="581" t="s">
        <v>130</v>
      </c>
      <c r="E395" s="578"/>
      <c r="F395" s="578"/>
      <c r="G395" s="580">
        <v>2515</v>
      </c>
      <c r="H395" s="581" t="s">
        <v>104</v>
      </c>
      <c r="I395" s="580">
        <v>3542</v>
      </c>
      <c r="J395" s="581" t="s">
        <v>113</v>
      </c>
    </row>
    <row r="396" spans="1:10">
      <c r="A396" s="580">
        <v>4809</v>
      </c>
      <c r="B396" s="581" t="s">
        <v>126</v>
      </c>
      <c r="C396" s="580">
        <v>6393</v>
      </c>
      <c r="D396" s="581" t="s">
        <v>130</v>
      </c>
      <c r="E396" s="578"/>
      <c r="F396" s="578"/>
      <c r="G396" s="580">
        <v>2516</v>
      </c>
      <c r="H396" s="581" t="s">
        <v>104</v>
      </c>
      <c r="I396" s="580">
        <v>3546</v>
      </c>
      <c r="J396" s="581" t="s">
        <v>113</v>
      </c>
    </row>
    <row r="397" spans="1:10">
      <c r="A397" s="580">
        <v>4810</v>
      </c>
      <c r="B397" s="581" t="s">
        <v>126</v>
      </c>
      <c r="C397" s="580">
        <v>6394</v>
      </c>
      <c r="D397" s="581" t="s">
        <v>130</v>
      </c>
      <c r="E397" s="578"/>
      <c r="F397" s="578"/>
      <c r="G397" s="580">
        <v>2517</v>
      </c>
      <c r="H397" s="581" t="s">
        <v>104</v>
      </c>
      <c r="I397" s="580">
        <v>3549</v>
      </c>
      <c r="J397" s="581" t="s">
        <v>113</v>
      </c>
    </row>
    <row r="398" spans="1:10">
      <c r="A398" s="580">
        <v>4811</v>
      </c>
      <c r="B398" s="581" t="s">
        <v>126</v>
      </c>
      <c r="C398" s="580">
        <v>6395</v>
      </c>
      <c r="D398" s="581" t="s">
        <v>130</v>
      </c>
      <c r="E398" s="578"/>
      <c r="F398" s="578"/>
      <c r="G398" s="580">
        <v>2518</v>
      </c>
      <c r="H398" s="581" t="s">
        <v>104</v>
      </c>
      <c r="I398" s="580">
        <v>3550</v>
      </c>
      <c r="J398" s="581" t="s">
        <v>113</v>
      </c>
    </row>
    <row r="399" spans="1:10">
      <c r="A399" s="580">
        <v>4812</v>
      </c>
      <c r="B399" s="581" t="s">
        <v>126</v>
      </c>
      <c r="C399" s="580">
        <v>6396</v>
      </c>
      <c r="D399" s="581" t="s">
        <v>130</v>
      </c>
      <c r="E399" s="578"/>
      <c r="F399" s="578"/>
      <c r="G399" s="580">
        <v>2519</v>
      </c>
      <c r="H399" s="581" t="s">
        <v>104</v>
      </c>
      <c r="I399" s="580">
        <v>3551</v>
      </c>
      <c r="J399" s="581" t="s">
        <v>113</v>
      </c>
    </row>
    <row r="400" spans="1:10">
      <c r="A400" s="580">
        <v>4813</v>
      </c>
      <c r="B400" s="581" t="s">
        <v>126</v>
      </c>
      <c r="C400" s="580">
        <v>6397</v>
      </c>
      <c r="D400" s="581" t="s">
        <v>130</v>
      </c>
      <c r="E400" s="578"/>
      <c r="F400" s="578"/>
      <c r="G400" s="580">
        <v>2520</v>
      </c>
      <c r="H400" s="581" t="s">
        <v>104</v>
      </c>
      <c r="I400" s="580">
        <v>3555</v>
      </c>
      <c r="J400" s="581" t="s">
        <v>113</v>
      </c>
    </row>
    <row r="401" spans="1:10">
      <c r="A401" s="580">
        <v>4814</v>
      </c>
      <c r="B401" s="581" t="s">
        <v>126</v>
      </c>
      <c r="C401" s="580">
        <v>6398</v>
      </c>
      <c r="D401" s="581" t="s">
        <v>130</v>
      </c>
      <c r="E401" s="578"/>
      <c r="F401" s="578"/>
      <c r="G401" s="580">
        <v>2522</v>
      </c>
      <c r="H401" s="581" t="s">
        <v>104</v>
      </c>
      <c r="I401" s="580">
        <v>3556</v>
      </c>
      <c r="J401" s="581" t="s">
        <v>113</v>
      </c>
    </row>
    <row r="402" spans="1:10">
      <c r="A402" s="580">
        <v>4815</v>
      </c>
      <c r="B402" s="581" t="s">
        <v>126</v>
      </c>
      <c r="C402" s="580">
        <v>6401</v>
      </c>
      <c r="D402" s="581" t="s">
        <v>130</v>
      </c>
      <c r="E402" s="578"/>
      <c r="F402" s="578"/>
      <c r="G402" s="580">
        <v>2525</v>
      </c>
      <c r="H402" s="581" t="s">
        <v>104</v>
      </c>
      <c r="I402" s="580">
        <v>3557</v>
      </c>
      <c r="J402" s="581" t="s">
        <v>113</v>
      </c>
    </row>
    <row r="403" spans="1:10">
      <c r="A403" s="580">
        <v>4816</v>
      </c>
      <c r="B403" s="581" t="s">
        <v>126</v>
      </c>
      <c r="C403" s="580">
        <v>6403</v>
      </c>
      <c r="D403" s="581" t="s">
        <v>130</v>
      </c>
      <c r="E403" s="578"/>
      <c r="F403" s="578"/>
      <c r="G403" s="580">
        <v>2526</v>
      </c>
      <c r="H403" s="581" t="s">
        <v>104</v>
      </c>
      <c r="I403" s="580">
        <v>3558</v>
      </c>
      <c r="J403" s="581" t="s">
        <v>113</v>
      </c>
    </row>
    <row r="404" spans="1:10">
      <c r="A404" s="580">
        <v>4817</v>
      </c>
      <c r="B404" s="581" t="s">
        <v>126</v>
      </c>
      <c r="C404" s="580">
        <v>6405</v>
      </c>
      <c r="D404" s="581" t="s">
        <v>130</v>
      </c>
      <c r="E404" s="578"/>
      <c r="F404" s="578"/>
      <c r="G404" s="580">
        <v>2527</v>
      </c>
      <c r="H404" s="581" t="s">
        <v>104</v>
      </c>
      <c r="I404" s="580">
        <v>3559</v>
      </c>
      <c r="J404" s="581" t="s">
        <v>113</v>
      </c>
    </row>
    <row r="405" spans="1:10">
      <c r="A405" s="580">
        <v>4818</v>
      </c>
      <c r="B405" s="581" t="s">
        <v>126</v>
      </c>
      <c r="C405" s="580">
        <v>6407</v>
      </c>
      <c r="D405" s="581" t="s">
        <v>130</v>
      </c>
      <c r="E405" s="578"/>
      <c r="F405" s="578"/>
      <c r="G405" s="580">
        <v>2528</v>
      </c>
      <c r="H405" s="581" t="s">
        <v>104</v>
      </c>
      <c r="I405" s="580">
        <v>3561</v>
      </c>
      <c r="J405" s="581" t="s">
        <v>113</v>
      </c>
    </row>
    <row r="406" spans="1:10">
      <c r="A406" s="580">
        <v>4819</v>
      </c>
      <c r="B406" s="581" t="s">
        <v>126</v>
      </c>
      <c r="C406" s="580">
        <v>6409</v>
      </c>
      <c r="D406" s="581" t="s">
        <v>130</v>
      </c>
      <c r="E406" s="578"/>
      <c r="F406" s="578"/>
      <c r="G406" s="580">
        <v>2529</v>
      </c>
      <c r="H406" s="581" t="s">
        <v>104</v>
      </c>
      <c r="I406" s="580">
        <v>3562</v>
      </c>
      <c r="J406" s="581" t="s">
        <v>113</v>
      </c>
    </row>
    <row r="407" spans="1:10">
      <c r="A407" s="580">
        <v>4820</v>
      </c>
      <c r="B407" s="581" t="s">
        <v>126</v>
      </c>
      <c r="C407" s="580">
        <v>6410</v>
      </c>
      <c r="D407" s="581" t="s">
        <v>130</v>
      </c>
      <c r="E407" s="578"/>
      <c r="F407" s="578"/>
      <c r="G407" s="580">
        <v>2530</v>
      </c>
      <c r="H407" s="581" t="s">
        <v>104</v>
      </c>
      <c r="I407" s="580">
        <v>3563</v>
      </c>
      <c r="J407" s="581" t="s">
        <v>113</v>
      </c>
    </row>
    <row r="408" spans="1:10">
      <c r="A408" s="580">
        <v>4821</v>
      </c>
      <c r="B408" s="581" t="s">
        <v>126</v>
      </c>
      <c r="C408" s="580">
        <v>6411</v>
      </c>
      <c r="D408" s="581" t="s">
        <v>130</v>
      </c>
      <c r="E408" s="578"/>
      <c r="F408" s="578"/>
      <c r="G408" s="580">
        <v>2533</v>
      </c>
      <c r="H408" s="581" t="s">
        <v>104</v>
      </c>
      <c r="I408" s="580">
        <v>3564</v>
      </c>
      <c r="J408" s="581" t="s">
        <v>113</v>
      </c>
    </row>
    <row r="409" spans="1:10">
      <c r="A409" s="580">
        <v>4822</v>
      </c>
      <c r="B409" s="581" t="s">
        <v>126</v>
      </c>
      <c r="C409" s="580">
        <v>6412</v>
      </c>
      <c r="D409" s="581" t="s">
        <v>130</v>
      </c>
      <c r="E409" s="578"/>
      <c r="F409" s="578"/>
      <c r="G409" s="580">
        <v>2534</v>
      </c>
      <c r="H409" s="581" t="s">
        <v>104</v>
      </c>
      <c r="I409" s="580">
        <v>3565</v>
      </c>
      <c r="J409" s="581" t="s">
        <v>113</v>
      </c>
    </row>
    <row r="410" spans="1:10">
      <c r="A410" s="580">
        <v>4823</v>
      </c>
      <c r="B410" s="581" t="s">
        <v>126</v>
      </c>
      <c r="C410" s="580">
        <v>6413</v>
      </c>
      <c r="D410" s="581" t="s">
        <v>130</v>
      </c>
      <c r="E410" s="578"/>
      <c r="F410" s="578"/>
      <c r="G410" s="580">
        <v>2535</v>
      </c>
      <c r="H410" s="581" t="s">
        <v>104</v>
      </c>
      <c r="I410" s="580">
        <v>3566</v>
      </c>
      <c r="J410" s="581" t="s">
        <v>113</v>
      </c>
    </row>
    <row r="411" spans="1:10">
      <c r="A411" s="580">
        <v>4824</v>
      </c>
      <c r="B411" s="581" t="s">
        <v>126</v>
      </c>
      <c r="C411" s="580">
        <v>6414</v>
      </c>
      <c r="D411" s="581" t="s">
        <v>130</v>
      </c>
      <c r="E411" s="578"/>
      <c r="F411" s="578"/>
      <c r="G411" s="580">
        <v>2536</v>
      </c>
      <c r="H411" s="581" t="s">
        <v>104</v>
      </c>
      <c r="I411" s="580">
        <v>3567</v>
      </c>
      <c r="J411" s="581" t="s">
        <v>113</v>
      </c>
    </row>
    <row r="412" spans="1:10">
      <c r="A412" s="580">
        <v>4825</v>
      </c>
      <c r="B412" s="581" t="s">
        <v>126</v>
      </c>
      <c r="C412" s="580">
        <v>6415</v>
      </c>
      <c r="D412" s="581" t="s">
        <v>130</v>
      </c>
      <c r="E412" s="578"/>
      <c r="F412" s="578"/>
      <c r="G412" s="580">
        <v>2537</v>
      </c>
      <c r="H412" s="581" t="s">
        <v>104</v>
      </c>
      <c r="I412" s="580">
        <v>3568</v>
      </c>
      <c r="J412" s="581" t="s">
        <v>113</v>
      </c>
    </row>
    <row r="413" spans="1:10">
      <c r="A413" s="580">
        <v>4828</v>
      </c>
      <c r="B413" s="581" t="s">
        <v>126</v>
      </c>
      <c r="C413" s="580">
        <v>6418</v>
      </c>
      <c r="D413" s="581" t="s">
        <v>130</v>
      </c>
      <c r="E413" s="578"/>
      <c r="F413" s="578"/>
      <c r="G413" s="580">
        <v>2538</v>
      </c>
      <c r="H413" s="581" t="s">
        <v>104</v>
      </c>
      <c r="I413" s="580">
        <v>3570</v>
      </c>
      <c r="J413" s="581" t="s">
        <v>113</v>
      </c>
    </row>
    <row r="414" spans="1:10">
      <c r="A414" s="580">
        <v>4829</v>
      </c>
      <c r="B414" s="581" t="s">
        <v>126</v>
      </c>
      <c r="C414" s="580">
        <v>6419</v>
      </c>
      <c r="D414" s="581" t="s">
        <v>130</v>
      </c>
      <c r="E414" s="578"/>
      <c r="F414" s="578"/>
      <c r="G414" s="580">
        <v>2539</v>
      </c>
      <c r="H414" s="581" t="s">
        <v>104</v>
      </c>
      <c r="I414" s="580">
        <v>3571</v>
      </c>
      <c r="J414" s="581" t="s">
        <v>113</v>
      </c>
    </row>
    <row r="415" spans="1:10">
      <c r="A415" s="580">
        <v>4830</v>
      </c>
      <c r="B415" s="581" t="s">
        <v>126</v>
      </c>
      <c r="C415" s="580">
        <v>6420</v>
      </c>
      <c r="D415" s="581" t="s">
        <v>130</v>
      </c>
      <c r="E415" s="578"/>
      <c r="F415" s="578"/>
      <c r="G415" s="580">
        <v>2540</v>
      </c>
      <c r="H415" s="581" t="s">
        <v>104</v>
      </c>
      <c r="I415" s="580">
        <v>3572</v>
      </c>
      <c r="J415" s="581" t="s">
        <v>113</v>
      </c>
    </row>
    <row r="416" spans="1:10">
      <c r="A416" s="580">
        <v>4849</v>
      </c>
      <c r="B416" s="581" t="s">
        <v>126</v>
      </c>
      <c r="C416" s="580">
        <v>6421</v>
      </c>
      <c r="D416" s="581" t="s">
        <v>130</v>
      </c>
      <c r="E416" s="578"/>
      <c r="F416" s="578"/>
      <c r="G416" s="580">
        <v>2541</v>
      </c>
      <c r="H416" s="581" t="s">
        <v>104</v>
      </c>
      <c r="I416" s="580">
        <v>3573</v>
      </c>
      <c r="J416" s="581" t="s">
        <v>113</v>
      </c>
    </row>
    <row r="417" spans="1:10">
      <c r="A417" s="580">
        <v>4850</v>
      </c>
      <c r="B417" s="581" t="s">
        <v>126</v>
      </c>
      <c r="C417" s="580">
        <v>6422</v>
      </c>
      <c r="D417" s="581" t="s">
        <v>130</v>
      </c>
      <c r="E417" s="578"/>
      <c r="F417" s="578"/>
      <c r="G417" s="580">
        <v>2545</v>
      </c>
      <c r="H417" s="581" t="s">
        <v>104</v>
      </c>
      <c r="I417" s="580">
        <v>3575</v>
      </c>
      <c r="J417" s="581" t="s">
        <v>113</v>
      </c>
    </row>
    <row r="418" spans="1:10">
      <c r="A418" s="580">
        <v>4852</v>
      </c>
      <c r="B418" s="581" t="s">
        <v>126</v>
      </c>
      <c r="C418" s="580">
        <v>6423</v>
      </c>
      <c r="D418" s="581" t="s">
        <v>130</v>
      </c>
      <c r="E418" s="578"/>
      <c r="F418" s="578"/>
      <c r="G418" s="580">
        <v>2546</v>
      </c>
      <c r="H418" s="581" t="s">
        <v>104</v>
      </c>
      <c r="I418" s="580">
        <v>3576</v>
      </c>
      <c r="J418" s="581" t="s">
        <v>113</v>
      </c>
    </row>
    <row r="419" spans="1:10">
      <c r="A419" s="580">
        <v>4854</v>
      </c>
      <c r="B419" s="581" t="s">
        <v>126</v>
      </c>
      <c r="C419" s="580">
        <v>6424</v>
      </c>
      <c r="D419" s="581" t="s">
        <v>130</v>
      </c>
      <c r="E419" s="578"/>
      <c r="F419" s="578"/>
      <c r="G419" s="580">
        <v>2548</v>
      </c>
      <c r="H419" s="581" t="s">
        <v>104</v>
      </c>
      <c r="I419" s="580">
        <v>3579</v>
      </c>
      <c r="J419" s="581" t="s">
        <v>113</v>
      </c>
    </row>
    <row r="420" spans="1:10">
      <c r="A420" s="580">
        <v>4855</v>
      </c>
      <c r="B420" s="581" t="s">
        <v>126</v>
      </c>
      <c r="C420" s="580">
        <v>6425</v>
      </c>
      <c r="D420" s="581" t="s">
        <v>130</v>
      </c>
      <c r="E420" s="578"/>
      <c r="F420" s="578"/>
      <c r="G420" s="580">
        <v>2549</v>
      </c>
      <c r="H420" s="581" t="s">
        <v>104</v>
      </c>
      <c r="I420" s="580">
        <v>3580</v>
      </c>
      <c r="J420" s="581" t="s">
        <v>113</v>
      </c>
    </row>
    <row r="421" spans="1:10">
      <c r="A421" s="580">
        <v>4856</v>
      </c>
      <c r="B421" s="581" t="s">
        <v>126</v>
      </c>
      <c r="C421" s="580">
        <v>6426</v>
      </c>
      <c r="D421" s="581" t="s">
        <v>130</v>
      </c>
      <c r="E421" s="578"/>
      <c r="F421" s="578"/>
      <c r="G421" s="580">
        <v>2550</v>
      </c>
      <c r="H421" s="581" t="s">
        <v>104</v>
      </c>
      <c r="I421" s="580">
        <v>3581</v>
      </c>
      <c r="J421" s="581" t="s">
        <v>113</v>
      </c>
    </row>
    <row r="422" spans="1:10">
      <c r="A422" s="580">
        <v>4858</v>
      </c>
      <c r="B422" s="581" t="s">
        <v>126</v>
      </c>
      <c r="C422" s="580">
        <v>6427</v>
      </c>
      <c r="D422" s="581" t="s">
        <v>130</v>
      </c>
      <c r="E422" s="578"/>
      <c r="F422" s="578"/>
      <c r="G422" s="580">
        <v>2551</v>
      </c>
      <c r="H422" s="581" t="s">
        <v>104</v>
      </c>
      <c r="I422" s="580">
        <v>3583</v>
      </c>
      <c r="J422" s="581" t="s">
        <v>113</v>
      </c>
    </row>
    <row r="423" spans="1:10">
      <c r="A423" s="580">
        <v>4859</v>
      </c>
      <c r="B423" s="581" t="s">
        <v>126</v>
      </c>
      <c r="C423" s="580">
        <v>6428</v>
      </c>
      <c r="D423" s="581" t="s">
        <v>130</v>
      </c>
      <c r="E423" s="578"/>
      <c r="F423" s="578"/>
      <c r="G423" s="580">
        <v>2555</v>
      </c>
      <c r="H423" s="581" t="s">
        <v>104</v>
      </c>
      <c r="I423" s="580">
        <v>3584</v>
      </c>
      <c r="J423" s="581" t="s">
        <v>113</v>
      </c>
    </row>
    <row r="424" spans="1:10">
      <c r="A424" s="580">
        <v>4860</v>
      </c>
      <c r="B424" s="581" t="s">
        <v>126</v>
      </c>
      <c r="C424" s="580">
        <v>6429</v>
      </c>
      <c r="D424" s="581" t="s">
        <v>130</v>
      </c>
      <c r="E424" s="578"/>
      <c r="F424" s="578"/>
      <c r="G424" s="580">
        <v>2556</v>
      </c>
      <c r="H424" s="581" t="s">
        <v>104</v>
      </c>
      <c r="I424" s="580">
        <v>3585</v>
      </c>
      <c r="J424" s="581" t="s">
        <v>113</v>
      </c>
    </row>
    <row r="425" spans="1:10">
      <c r="A425" s="580">
        <v>4861</v>
      </c>
      <c r="B425" s="581" t="s">
        <v>126</v>
      </c>
      <c r="C425" s="580">
        <v>6430</v>
      </c>
      <c r="D425" s="581" t="s">
        <v>130</v>
      </c>
      <c r="E425" s="578"/>
      <c r="F425" s="578"/>
      <c r="G425" s="580">
        <v>2557</v>
      </c>
      <c r="H425" s="581" t="s">
        <v>104</v>
      </c>
      <c r="I425" s="580">
        <v>3586</v>
      </c>
      <c r="J425" s="581" t="s">
        <v>113</v>
      </c>
    </row>
    <row r="426" spans="1:10">
      <c r="A426" s="580">
        <v>4865</v>
      </c>
      <c r="B426" s="581" t="s">
        <v>126</v>
      </c>
      <c r="C426" s="580">
        <v>6431</v>
      </c>
      <c r="D426" s="581" t="s">
        <v>130</v>
      </c>
      <c r="E426" s="578"/>
      <c r="F426" s="578"/>
      <c r="G426" s="580">
        <v>2558</v>
      </c>
      <c r="H426" s="581" t="s">
        <v>104</v>
      </c>
      <c r="I426" s="580">
        <v>3588</v>
      </c>
      <c r="J426" s="581" t="s">
        <v>113</v>
      </c>
    </row>
    <row r="427" spans="1:10">
      <c r="A427" s="580">
        <v>4868</v>
      </c>
      <c r="B427" s="581" t="s">
        <v>126</v>
      </c>
      <c r="C427" s="580">
        <v>6432</v>
      </c>
      <c r="D427" s="581" t="s">
        <v>130</v>
      </c>
      <c r="E427" s="578"/>
      <c r="F427" s="578"/>
      <c r="G427" s="580">
        <v>2559</v>
      </c>
      <c r="H427" s="581" t="s">
        <v>104</v>
      </c>
      <c r="I427" s="580">
        <v>3589</v>
      </c>
      <c r="J427" s="581" t="s">
        <v>113</v>
      </c>
    </row>
    <row r="428" spans="1:10">
      <c r="A428" s="580">
        <v>4869</v>
      </c>
      <c r="B428" s="581" t="s">
        <v>126</v>
      </c>
      <c r="C428" s="580">
        <v>6434</v>
      </c>
      <c r="D428" s="581" t="s">
        <v>130</v>
      </c>
      <c r="E428" s="578"/>
      <c r="F428" s="578"/>
      <c r="G428" s="580">
        <v>2560</v>
      </c>
      <c r="H428" s="581" t="s">
        <v>104</v>
      </c>
      <c r="I428" s="580">
        <v>3590</v>
      </c>
      <c r="J428" s="581" t="s">
        <v>113</v>
      </c>
    </row>
    <row r="429" spans="1:10">
      <c r="A429" s="580">
        <v>4870</v>
      </c>
      <c r="B429" s="581" t="s">
        <v>126</v>
      </c>
      <c r="C429" s="580">
        <v>6436</v>
      </c>
      <c r="D429" s="581" t="s">
        <v>130</v>
      </c>
      <c r="E429" s="578"/>
      <c r="F429" s="578"/>
      <c r="G429" s="580">
        <v>2563</v>
      </c>
      <c r="H429" s="581" t="s">
        <v>104</v>
      </c>
      <c r="I429" s="580">
        <v>3591</v>
      </c>
      <c r="J429" s="581" t="s">
        <v>113</v>
      </c>
    </row>
    <row r="430" spans="1:10">
      <c r="A430" s="580">
        <v>4871</v>
      </c>
      <c r="B430" s="581" t="s">
        <v>126</v>
      </c>
      <c r="C430" s="580">
        <v>6437</v>
      </c>
      <c r="D430" s="581" t="s">
        <v>130</v>
      </c>
      <c r="E430" s="578"/>
      <c r="F430" s="578"/>
      <c r="G430" s="580">
        <v>2564</v>
      </c>
      <c r="H430" s="581" t="s">
        <v>104</v>
      </c>
      <c r="I430" s="580">
        <v>3594</v>
      </c>
      <c r="J430" s="581" t="s">
        <v>113</v>
      </c>
    </row>
    <row r="431" spans="1:10">
      <c r="A431" s="580">
        <v>4872</v>
      </c>
      <c r="B431" s="581" t="s">
        <v>126</v>
      </c>
      <c r="C431" s="580">
        <v>6438</v>
      </c>
      <c r="D431" s="581" t="s">
        <v>130</v>
      </c>
      <c r="E431" s="578"/>
      <c r="F431" s="578"/>
      <c r="G431" s="580">
        <v>2565</v>
      </c>
      <c r="H431" s="581" t="s">
        <v>104</v>
      </c>
      <c r="I431" s="580">
        <v>3595</v>
      </c>
      <c r="J431" s="581" t="s">
        <v>113</v>
      </c>
    </row>
    <row r="432" spans="1:10">
      <c r="A432" s="580">
        <v>4873</v>
      </c>
      <c r="B432" s="581" t="s">
        <v>126</v>
      </c>
      <c r="C432" s="580">
        <v>6440</v>
      </c>
      <c r="D432" s="581" t="s">
        <v>130</v>
      </c>
      <c r="E432" s="578"/>
      <c r="F432" s="578"/>
      <c r="G432" s="580">
        <v>2566</v>
      </c>
      <c r="H432" s="581" t="s">
        <v>104</v>
      </c>
      <c r="I432" s="580">
        <v>3596</v>
      </c>
      <c r="J432" s="581" t="s">
        <v>113</v>
      </c>
    </row>
    <row r="433" spans="1:10">
      <c r="A433" s="580">
        <v>4874</v>
      </c>
      <c r="B433" s="581" t="s">
        <v>126</v>
      </c>
      <c r="C433" s="580">
        <v>6442</v>
      </c>
      <c r="D433" s="581" t="s">
        <v>130</v>
      </c>
      <c r="E433" s="578"/>
      <c r="F433" s="578"/>
      <c r="G433" s="580">
        <v>2567</v>
      </c>
      <c r="H433" s="581" t="s">
        <v>104</v>
      </c>
      <c r="I433" s="580">
        <v>3597</v>
      </c>
      <c r="J433" s="581" t="s">
        <v>113</v>
      </c>
    </row>
    <row r="434" spans="1:10">
      <c r="A434" s="580">
        <v>4875</v>
      </c>
      <c r="B434" s="581" t="s">
        <v>126</v>
      </c>
      <c r="C434" s="580">
        <v>6443</v>
      </c>
      <c r="D434" s="581" t="s">
        <v>130</v>
      </c>
      <c r="E434" s="578"/>
      <c r="F434" s="578"/>
      <c r="G434" s="580">
        <v>2568</v>
      </c>
      <c r="H434" s="581" t="s">
        <v>104</v>
      </c>
      <c r="I434" s="580">
        <v>3599</v>
      </c>
      <c r="J434" s="581" t="s">
        <v>113</v>
      </c>
    </row>
    <row r="435" spans="1:10">
      <c r="A435" s="580">
        <v>4876</v>
      </c>
      <c r="B435" s="581" t="s">
        <v>126</v>
      </c>
      <c r="C435" s="580">
        <v>6445</v>
      </c>
      <c r="D435" s="581" t="s">
        <v>130</v>
      </c>
      <c r="E435" s="578"/>
      <c r="F435" s="578"/>
      <c r="G435" s="580">
        <v>2569</v>
      </c>
      <c r="H435" s="581" t="s">
        <v>104</v>
      </c>
      <c r="I435" s="580">
        <v>3607</v>
      </c>
      <c r="J435" s="581" t="s">
        <v>113</v>
      </c>
    </row>
    <row r="436" spans="1:10">
      <c r="A436" s="580">
        <v>4877</v>
      </c>
      <c r="B436" s="581" t="s">
        <v>126</v>
      </c>
      <c r="C436" s="580">
        <v>6446</v>
      </c>
      <c r="D436" s="581" t="s">
        <v>130</v>
      </c>
      <c r="E436" s="578"/>
      <c r="F436" s="578"/>
      <c r="G436" s="580">
        <v>2570</v>
      </c>
      <c r="H436" s="581" t="s">
        <v>104</v>
      </c>
      <c r="I436" s="580">
        <v>3608</v>
      </c>
      <c r="J436" s="581" t="s">
        <v>113</v>
      </c>
    </row>
    <row r="437" spans="1:10">
      <c r="A437" s="580">
        <v>4878</v>
      </c>
      <c r="B437" s="581" t="s">
        <v>126</v>
      </c>
      <c r="C437" s="580">
        <v>6447</v>
      </c>
      <c r="D437" s="581" t="s">
        <v>130</v>
      </c>
      <c r="E437" s="578"/>
      <c r="F437" s="578"/>
      <c r="G437" s="580">
        <v>2571</v>
      </c>
      <c r="H437" s="581" t="s">
        <v>104</v>
      </c>
      <c r="I437" s="580">
        <v>3610</v>
      </c>
      <c r="J437" s="581" t="s">
        <v>113</v>
      </c>
    </row>
    <row r="438" spans="1:10">
      <c r="A438" s="580">
        <v>4879</v>
      </c>
      <c r="B438" s="581" t="s">
        <v>126</v>
      </c>
      <c r="C438" s="580">
        <v>6450</v>
      </c>
      <c r="D438" s="581" t="s">
        <v>130</v>
      </c>
      <c r="E438" s="578"/>
      <c r="F438" s="578"/>
      <c r="G438" s="580">
        <v>2572</v>
      </c>
      <c r="H438" s="581" t="s">
        <v>104</v>
      </c>
      <c r="I438" s="580">
        <v>3612</v>
      </c>
      <c r="J438" s="581" t="s">
        <v>113</v>
      </c>
    </row>
    <row r="439" spans="1:10">
      <c r="A439" s="580">
        <v>4880</v>
      </c>
      <c r="B439" s="581" t="s">
        <v>126</v>
      </c>
      <c r="C439" s="580">
        <v>6452</v>
      </c>
      <c r="D439" s="581" t="s">
        <v>130</v>
      </c>
      <c r="E439" s="578"/>
      <c r="F439" s="578"/>
      <c r="G439" s="580">
        <v>2573</v>
      </c>
      <c r="H439" s="581" t="s">
        <v>104</v>
      </c>
      <c r="I439" s="580">
        <v>3614</v>
      </c>
      <c r="J439" s="581" t="s">
        <v>113</v>
      </c>
    </row>
    <row r="440" spans="1:10">
      <c r="A440" s="580">
        <v>4881</v>
      </c>
      <c r="B440" s="581" t="s">
        <v>126</v>
      </c>
      <c r="C440" s="580">
        <v>6460</v>
      </c>
      <c r="D440" s="581" t="s">
        <v>130</v>
      </c>
      <c r="E440" s="578"/>
      <c r="F440" s="578"/>
      <c r="G440" s="580">
        <v>2574</v>
      </c>
      <c r="H440" s="581" t="s">
        <v>104</v>
      </c>
      <c r="I440" s="580">
        <v>3616</v>
      </c>
      <c r="J440" s="581" t="s">
        <v>113</v>
      </c>
    </row>
    <row r="441" spans="1:10">
      <c r="A441" s="580">
        <v>4882</v>
      </c>
      <c r="B441" s="581" t="s">
        <v>126</v>
      </c>
      <c r="C441" s="580">
        <v>6461</v>
      </c>
      <c r="D441" s="581" t="s">
        <v>130</v>
      </c>
      <c r="E441" s="578"/>
      <c r="F441" s="578"/>
      <c r="G441" s="580">
        <v>2575</v>
      </c>
      <c r="H441" s="581" t="s">
        <v>104</v>
      </c>
      <c r="I441" s="580">
        <v>3617</v>
      </c>
      <c r="J441" s="581" t="s">
        <v>113</v>
      </c>
    </row>
    <row r="442" spans="1:10">
      <c r="A442" s="580">
        <v>4883</v>
      </c>
      <c r="B442" s="581" t="s">
        <v>126</v>
      </c>
      <c r="C442" s="580">
        <v>6462</v>
      </c>
      <c r="D442" s="581" t="s">
        <v>130</v>
      </c>
      <c r="E442" s="578"/>
      <c r="F442" s="578"/>
      <c r="G442" s="580">
        <v>2576</v>
      </c>
      <c r="H442" s="581" t="s">
        <v>104</v>
      </c>
      <c r="I442" s="580">
        <v>3618</v>
      </c>
      <c r="J442" s="581" t="s">
        <v>113</v>
      </c>
    </row>
    <row r="443" spans="1:10">
      <c r="A443" s="580">
        <v>4884</v>
      </c>
      <c r="B443" s="581" t="s">
        <v>126</v>
      </c>
      <c r="C443" s="580">
        <v>6463</v>
      </c>
      <c r="D443" s="581" t="s">
        <v>130</v>
      </c>
      <c r="E443" s="578"/>
      <c r="F443" s="578"/>
      <c r="G443" s="580">
        <v>2577</v>
      </c>
      <c r="H443" s="581" t="s">
        <v>104</v>
      </c>
      <c r="I443" s="580">
        <v>3620</v>
      </c>
      <c r="J443" s="581" t="s">
        <v>113</v>
      </c>
    </row>
    <row r="444" spans="1:10">
      <c r="A444" s="580">
        <v>4885</v>
      </c>
      <c r="B444" s="581" t="s">
        <v>126</v>
      </c>
      <c r="C444" s="580">
        <v>6465</v>
      </c>
      <c r="D444" s="581" t="s">
        <v>130</v>
      </c>
      <c r="E444" s="578"/>
      <c r="F444" s="578"/>
      <c r="G444" s="580">
        <v>2578</v>
      </c>
      <c r="H444" s="581" t="s">
        <v>104</v>
      </c>
      <c r="I444" s="580">
        <v>3621</v>
      </c>
      <c r="J444" s="581" t="s">
        <v>113</v>
      </c>
    </row>
    <row r="445" spans="1:10">
      <c r="A445" s="580">
        <v>4886</v>
      </c>
      <c r="B445" s="581" t="s">
        <v>126</v>
      </c>
      <c r="C445" s="580">
        <v>6466</v>
      </c>
      <c r="D445" s="581" t="s">
        <v>130</v>
      </c>
      <c r="E445" s="578"/>
      <c r="F445" s="578"/>
      <c r="G445" s="580">
        <v>2579</v>
      </c>
      <c r="H445" s="581" t="s">
        <v>104</v>
      </c>
      <c r="I445" s="580">
        <v>3622</v>
      </c>
      <c r="J445" s="581" t="s">
        <v>113</v>
      </c>
    </row>
    <row r="446" spans="1:10">
      <c r="A446" s="580">
        <v>4887</v>
      </c>
      <c r="B446" s="581" t="s">
        <v>126</v>
      </c>
      <c r="C446" s="580">
        <v>6467</v>
      </c>
      <c r="D446" s="581" t="s">
        <v>130</v>
      </c>
      <c r="E446" s="578"/>
      <c r="F446" s="578"/>
      <c r="G446" s="580">
        <v>2580</v>
      </c>
      <c r="H446" s="581" t="s">
        <v>104</v>
      </c>
      <c r="I446" s="580">
        <v>3623</v>
      </c>
      <c r="J446" s="581" t="s">
        <v>113</v>
      </c>
    </row>
    <row r="447" spans="1:10">
      <c r="A447" s="580">
        <v>4888</v>
      </c>
      <c r="B447" s="581" t="s">
        <v>126</v>
      </c>
      <c r="C447" s="580">
        <v>6468</v>
      </c>
      <c r="D447" s="581" t="s">
        <v>130</v>
      </c>
      <c r="E447" s="578"/>
      <c r="F447" s="578"/>
      <c r="G447" s="580">
        <v>2581</v>
      </c>
      <c r="H447" s="581" t="s">
        <v>104</v>
      </c>
      <c r="I447" s="580">
        <v>3624</v>
      </c>
      <c r="J447" s="581" t="s">
        <v>113</v>
      </c>
    </row>
    <row r="448" spans="1:10">
      <c r="A448" s="580">
        <v>4890</v>
      </c>
      <c r="B448" s="581" t="s">
        <v>126</v>
      </c>
      <c r="C448" s="580">
        <v>6470</v>
      </c>
      <c r="D448" s="581" t="s">
        <v>130</v>
      </c>
      <c r="E448" s="578"/>
      <c r="F448" s="578"/>
      <c r="G448" s="580">
        <v>2582</v>
      </c>
      <c r="H448" s="581" t="s">
        <v>104</v>
      </c>
      <c r="I448" s="580">
        <v>3629</v>
      </c>
      <c r="J448" s="581" t="s">
        <v>113</v>
      </c>
    </row>
    <row r="449" spans="1:10">
      <c r="A449" s="580">
        <v>4891</v>
      </c>
      <c r="B449" s="581" t="s">
        <v>126</v>
      </c>
      <c r="C449" s="580">
        <v>6472</v>
      </c>
      <c r="D449" s="581" t="s">
        <v>130</v>
      </c>
      <c r="E449" s="578"/>
      <c r="F449" s="578"/>
      <c r="G449" s="580">
        <v>2583</v>
      </c>
      <c r="H449" s="581" t="s">
        <v>104</v>
      </c>
      <c r="I449" s="580">
        <v>3630</v>
      </c>
      <c r="J449" s="581" t="s">
        <v>113</v>
      </c>
    </row>
    <row r="450" spans="1:10">
      <c r="A450" s="580">
        <v>4892</v>
      </c>
      <c r="B450" s="581" t="s">
        <v>126</v>
      </c>
      <c r="C450" s="580">
        <v>6473</v>
      </c>
      <c r="D450" s="581" t="s">
        <v>130</v>
      </c>
      <c r="E450" s="578"/>
      <c r="F450" s="578"/>
      <c r="G450" s="580">
        <v>2584</v>
      </c>
      <c r="H450" s="581" t="s">
        <v>104</v>
      </c>
      <c r="I450" s="580">
        <v>3631</v>
      </c>
      <c r="J450" s="581" t="s">
        <v>113</v>
      </c>
    </row>
    <row r="451" spans="1:10">
      <c r="A451" s="580">
        <v>4895</v>
      </c>
      <c r="B451" s="581" t="s">
        <v>126</v>
      </c>
      <c r="C451" s="580">
        <v>6475</v>
      </c>
      <c r="D451" s="581" t="s">
        <v>130</v>
      </c>
      <c r="E451" s="578"/>
      <c r="F451" s="578"/>
      <c r="G451" s="580">
        <v>2585</v>
      </c>
      <c r="H451" s="581" t="s">
        <v>104</v>
      </c>
      <c r="I451" s="580">
        <v>3632</v>
      </c>
      <c r="J451" s="581" t="s">
        <v>113</v>
      </c>
    </row>
    <row r="452" spans="1:10">
      <c r="A452" s="580">
        <v>4895</v>
      </c>
      <c r="B452" s="581" t="s">
        <v>126</v>
      </c>
      <c r="C452" s="580">
        <v>6476</v>
      </c>
      <c r="D452" s="581" t="s">
        <v>130</v>
      </c>
      <c r="E452" s="578"/>
      <c r="F452" s="578"/>
      <c r="G452" s="580">
        <v>2586</v>
      </c>
      <c r="H452" s="581" t="s">
        <v>104</v>
      </c>
      <c r="I452" s="580">
        <v>3633</v>
      </c>
      <c r="J452" s="581" t="s">
        <v>113</v>
      </c>
    </row>
    <row r="453" spans="1:10">
      <c r="A453" s="580">
        <v>4896</v>
      </c>
      <c r="B453" s="581" t="s">
        <v>126</v>
      </c>
      <c r="C453" s="580">
        <v>6477</v>
      </c>
      <c r="D453" s="581" t="s">
        <v>130</v>
      </c>
      <c r="E453" s="578"/>
      <c r="F453" s="578"/>
      <c r="G453" s="580">
        <v>2587</v>
      </c>
      <c r="H453" s="581" t="s">
        <v>104</v>
      </c>
      <c r="I453" s="580">
        <v>3634</v>
      </c>
      <c r="J453" s="581" t="s">
        <v>113</v>
      </c>
    </row>
    <row r="454" spans="1:10">
      <c r="A454" s="580">
        <v>4898</v>
      </c>
      <c r="B454" s="581" t="s">
        <v>126</v>
      </c>
      <c r="C454" s="580">
        <v>6479</v>
      </c>
      <c r="D454" s="581" t="s">
        <v>130</v>
      </c>
      <c r="E454" s="578"/>
      <c r="F454" s="578"/>
      <c r="G454" s="580">
        <v>2588</v>
      </c>
      <c r="H454" s="581" t="s">
        <v>104</v>
      </c>
      <c r="I454" s="580">
        <v>3635</v>
      </c>
      <c r="J454" s="581" t="s">
        <v>113</v>
      </c>
    </row>
    <row r="455" spans="1:10">
      <c r="A455" s="580">
        <v>4899</v>
      </c>
      <c r="B455" s="581" t="s">
        <v>126</v>
      </c>
      <c r="C455" s="580">
        <v>6480</v>
      </c>
      <c r="D455" s="581" t="s">
        <v>130</v>
      </c>
      <c r="E455" s="578"/>
      <c r="F455" s="578"/>
      <c r="G455" s="580">
        <v>2590</v>
      </c>
      <c r="H455" s="581" t="s">
        <v>104</v>
      </c>
      <c r="I455" s="580">
        <v>3636</v>
      </c>
      <c r="J455" s="581" t="s">
        <v>113</v>
      </c>
    </row>
    <row r="456" spans="1:10">
      <c r="A456" s="578"/>
      <c r="B456" s="578"/>
      <c r="C456" s="580">
        <v>6485</v>
      </c>
      <c r="D456" s="581" t="s">
        <v>130</v>
      </c>
      <c r="E456" s="578"/>
      <c r="F456" s="578"/>
      <c r="G456" s="580">
        <v>2594</v>
      </c>
      <c r="H456" s="581" t="s">
        <v>104</v>
      </c>
      <c r="I456" s="580">
        <v>3637</v>
      </c>
      <c r="J456" s="581" t="s">
        <v>113</v>
      </c>
    </row>
    <row r="457" spans="1:10">
      <c r="A457" s="578"/>
      <c r="B457" s="578"/>
      <c r="C457" s="580">
        <v>6487</v>
      </c>
      <c r="D457" s="581" t="s">
        <v>130</v>
      </c>
      <c r="E457" s="578"/>
      <c r="F457" s="578"/>
      <c r="G457" s="580">
        <v>2611</v>
      </c>
      <c r="H457" s="581" t="s">
        <v>106</v>
      </c>
      <c r="I457" s="580">
        <v>3638</v>
      </c>
      <c r="J457" s="581" t="s">
        <v>113</v>
      </c>
    </row>
    <row r="458" spans="1:10">
      <c r="A458" s="578"/>
      <c r="B458" s="578"/>
      <c r="C458" s="580">
        <v>6488</v>
      </c>
      <c r="D458" s="581" t="s">
        <v>130</v>
      </c>
      <c r="E458" s="578"/>
      <c r="F458" s="578"/>
      <c r="G458" s="580">
        <v>2612</v>
      </c>
      <c r="H458" s="581" t="s">
        <v>106</v>
      </c>
      <c r="I458" s="580">
        <v>3639</v>
      </c>
      <c r="J458" s="581" t="s">
        <v>113</v>
      </c>
    </row>
    <row r="459" spans="1:10">
      <c r="A459" s="578"/>
      <c r="B459" s="578"/>
      <c r="C459" s="580">
        <v>6489</v>
      </c>
      <c r="D459" s="581" t="s">
        <v>130</v>
      </c>
      <c r="E459" s="578"/>
      <c r="F459" s="578"/>
      <c r="G459" s="580">
        <v>2614</v>
      </c>
      <c r="H459" s="581" t="s">
        <v>106</v>
      </c>
      <c r="I459" s="580">
        <v>3640</v>
      </c>
      <c r="J459" s="581" t="s">
        <v>113</v>
      </c>
    </row>
    <row r="460" spans="1:10">
      <c r="A460" s="578"/>
      <c r="B460" s="578"/>
      <c r="C460" s="580">
        <v>6490</v>
      </c>
      <c r="D460" s="581" t="s">
        <v>130</v>
      </c>
      <c r="E460" s="578"/>
      <c r="F460" s="578"/>
      <c r="G460" s="580">
        <v>2615</v>
      </c>
      <c r="H460" s="581" t="s">
        <v>106</v>
      </c>
      <c r="I460" s="580">
        <v>3641</v>
      </c>
      <c r="J460" s="581" t="s">
        <v>113</v>
      </c>
    </row>
    <row r="461" spans="1:10">
      <c r="A461" s="578"/>
      <c r="B461" s="578"/>
      <c r="C461" s="580">
        <v>6501</v>
      </c>
      <c r="D461" s="581" t="s">
        <v>130</v>
      </c>
      <c r="E461" s="578"/>
      <c r="F461" s="578"/>
      <c r="G461" s="580">
        <v>2617</v>
      </c>
      <c r="H461" s="581" t="s">
        <v>106</v>
      </c>
      <c r="I461" s="580">
        <v>3643</v>
      </c>
      <c r="J461" s="581" t="s">
        <v>113</v>
      </c>
    </row>
    <row r="462" spans="1:10">
      <c r="A462" s="578"/>
      <c r="B462" s="578"/>
      <c r="C462" s="580">
        <v>6502</v>
      </c>
      <c r="D462" s="581" t="s">
        <v>130</v>
      </c>
      <c r="E462" s="578"/>
      <c r="F462" s="578"/>
      <c r="G462" s="580">
        <v>2618</v>
      </c>
      <c r="H462" s="581" t="s">
        <v>106</v>
      </c>
      <c r="I462" s="580">
        <v>3644</v>
      </c>
      <c r="J462" s="581" t="s">
        <v>113</v>
      </c>
    </row>
    <row r="463" spans="1:10">
      <c r="A463" s="578"/>
      <c r="B463" s="578"/>
      <c r="C463" s="580">
        <v>6503</v>
      </c>
      <c r="D463" s="581" t="s">
        <v>130</v>
      </c>
      <c r="E463" s="578"/>
      <c r="F463" s="578"/>
      <c r="G463" s="580">
        <v>2619</v>
      </c>
      <c r="H463" s="581" t="s">
        <v>106</v>
      </c>
      <c r="I463" s="580">
        <v>3646</v>
      </c>
      <c r="J463" s="581" t="s">
        <v>113</v>
      </c>
    </row>
    <row r="464" spans="1:10">
      <c r="A464" s="578"/>
      <c r="B464" s="578"/>
      <c r="C464" s="580">
        <v>6504</v>
      </c>
      <c r="D464" s="581" t="s">
        <v>130</v>
      </c>
      <c r="E464" s="578"/>
      <c r="F464" s="578"/>
      <c r="G464" s="580">
        <v>2620</v>
      </c>
      <c r="H464" s="581" t="s">
        <v>106</v>
      </c>
      <c r="I464" s="580">
        <v>3647</v>
      </c>
      <c r="J464" s="581" t="s">
        <v>113</v>
      </c>
    </row>
    <row r="465" spans="1:10">
      <c r="A465" s="578"/>
      <c r="B465" s="578"/>
      <c r="C465" s="580">
        <v>6505</v>
      </c>
      <c r="D465" s="581" t="s">
        <v>130</v>
      </c>
      <c r="E465" s="578"/>
      <c r="F465" s="578"/>
      <c r="G465" s="580">
        <v>2621</v>
      </c>
      <c r="H465" s="581" t="s">
        <v>106</v>
      </c>
      <c r="I465" s="580">
        <v>3649</v>
      </c>
      <c r="J465" s="581" t="s">
        <v>113</v>
      </c>
    </row>
    <row r="466" spans="1:10">
      <c r="C466" s="580">
        <v>6506</v>
      </c>
      <c r="D466" s="581" t="s">
        <v>130</v>
      </c>
      <c r="E466" s="578"/>
      <c r="F466" s="578"/>
      <c r="G466" s="580">
        <v>2622</v>
      </c>
      <c r="H466" s="581" t="s">
        <v>106</v>
      </c>
      <c r="I466" s="580">
        <v>3658</v>
      </c>
      <c r="J466" s="581" t="s">
        <v>113</v>
      </c>
    </row>
    <row r="467" spans="1:10">
      <c r="C467" s="580">
        <v>6507</v>
      </c>
      <c r="D467" s="581" t="s">
        <v>130</v>
      </c>
      <c r="E467" s="578"/>
      <c r="F467" s="578"/>
      <c r="G467" s="580">
        <v>2623</v>
      </c>
      <c r="H467" s="581" t="s">
        <v>106</v>
      </c>
      <c r="I467" s="580">
        <v>3659</v>
      </c>
      <c r="J467" s="581" t="s">
        <v>113</v>
      </c>
    </row>
    <row r="468" spans="1:10">
      <c r="C468" s="580">
        <v>6509</v>
      </c>
      <c r="D468" s="581" t="s">
        <v>130</v>
      </c>
      <c r="E468" s="578"/>
      <c r="F468" s="578"/>
      <c r="G468" s="580">
        <v>2624</v>
      </c>
      <c r="H468" s="581" t="s">
        <v>106</v>
      </c>
      <c r="I468" s="580">
        <v>3660</v>
      </c>
      <c r="J468" s="581" t="s">
        <v>113</v>
      </c>
    </row>
    <row r="469" spans="1:10">
      <c r="C469" s="580">
        <v>6510</v>
      </c>
      <c r="D469" s="581" t="s">
        <v>130</v>
      </c>
      <c r="E469" s="578"/>
      <c r="F469" s="578"/>
      <c r="G469" s="580">
        <v>2625</v>
      </c>
      <c r="H469" s="581" t="s">
        <v>106</v>
      </c>
      <c r="I469" s="580">
        <v>3662</v>
      </c>
      <c r="J469" s="581" t="s">
        <v>113</v>
      </c>
    </row>
    <row r="470" spans="1:10">
      <c r="C470" s="580">
        <v>6511</v>
      </c>
      <c r="D470" s="581" t="s">
        <v>130</v>
      </c>
      <c r="E470" s="578"/>
      <c r="F470" s="578"/>
      <c r="G470" s="580">
        <v>2626</v>
      </c>
      <c r="H470" s="581" t="s">
        <v>106</v>
      </c>
      <c r="I470" s="580">
        <v>3663</v>
      </c>
      <c r="J470" s="581" t="s">
        <v>113</v>
      </c>
    </row>
    <row r="471" spans="1:10">
      <c r="C471" s="580">
        <v>6512</v>
      </c>
      <c r="D471" s="581" t="s">
        <v>130</v>
      </c>
      <c r="E471" s="578"/>
      <c r="F471" s="578"/>
      <c r="G471" s="580">
        <v>2627</v>
      </c>
      <c r="H471" s="581" t="s">
        <v>106</v>
      </c>
      <c r="I471" s="580">
        <v>3664</v>
      </c>
      <c r="J471" s="581" t="s">
        <v>113</v>
      </c>
    </row>
    <row r="472" spans="1:10">
      <c r="C472" s="580">
        <v>6513</v>
      </c>
      <c r="D472" s="581" t="s">
        <v>130</v>
      </c>
      <c r="E472" s="578"/>
      <c r="F472" s="578"/>
      <c r="G472" s="580">
        <v>2628</v>
      </c>
      <c r="H472" s="581" t="s">
        <v>106</v>
      </c>
      <c r="I472" s="580">
        <v>3665</v>
      </c>
      <c r="J472" s="581" t="s">
        <v>113</v>
      </c>
    </row>
    <row r="473" spans="1:10">
      <c r="C473" s="580">
        <v>6514</v>
      </c>
      <c r="D473" s="581" t="s">
        <v>130</v>
      </c>
      <c r="E473" s="578"/>
      <c r="F473" s="578"/>
      <c r="G473" s="580">
        <v>2629</v>
      </c>
      <c r="H473" s="581" t="s">
        <v>106</v>
      </c>
      <c r="I473" s="580">
        <v>3666</v>
      </c>
      <c r="J473" s="581" t="s">
        <v>113</v>
      </c>
    </row>
    <row r="474" spans="1:10">
      <c r="C474" s="580">
        <v>6515</v>
      </c>
      <c r="D474" s="581" t="s">
        <v>130</v>
      </c>
      <c r="E474" s="578"/>
      <c r="F474" s="578"/>
      <c r="G474" s="580">
        <v>2630</v>
      </c>
      <c r="H474" s="581" t="s">
        <v>106</v>
      </c>
      <c r="I474" s="580">
        <v>3669</v>
      </c>
      <c r="J474" s="581" t="s">
        <v>113</v>
      </c>
    </row>
    <row r="475" spans="1:10">
      <c r="C475" s="578"/>
      <c r="D475" s="578"/>
      <c r="E475" s="578"/>
      <c r="F475" s="578"/>
      <c r="G475" s="580">
        <v>2631</v>
      </c>
      <c r="H475" s="581" t="s">
        <v>106</v>
      </c>
      <c r="I475" s="580">
        <v>3670</v>
      </c>
      <c r="J475" s="581" t="s">
        <v>113</v>
      </c>
    </row>
    <row r="476" spans="1:10">
      <c r="C476" s="578"/>
      <c r="D476" s="578"/>
      <c r="E476" s="578"/>
      <c r="F476" s="578"/>
      <c r="G476" s="580">
        <v>2632</v>
      </c>
      <c r="H476" s="581" t="s">
        <v>106</v>
      </c>
      <c r="I476" s="580">
        <v>3672</v>
      </c>
      <c r="J476" s="581" t="s">
        <v>113</v>
      </c>
    </row>
    <row r="477" spans="1:10">
      <c r="C477" s="578"/>
      <c r="D477" s="578"/>
      <c r="E477" s="578"/>
      <c r="F477" s="578"/>
      <c r="G477" s="580">
        <v>2633</v>
      </c>
      <c r="H477" s="581" t="s">
        <v>106</v>
      </c>
      <c r="I477" s="580">
        <v>3673</v>
      </c>
      <c r="J477" s="581" t="s">
        <v>113</v>
      </c>
    </row>
    <row r="478" spans="1:10">
      <c r="C478" s="578"/>
      <c r="D478" s="578"/>
      <c r="E478" s="578"/>
      <c r="F478" s="578"/>
      <c r="G478" s="580">
        <v>2640</v>
      </c>
      <c r="H478" s="581" t="s">
        <v>106</v>
      </c>
      <c r="I478" s="580">
        <v>3675</v>
      </c>
      <c r="J478" s="581" t="s">
        <v>113</v>
      </c>
    </row>
    <row r="479" spans="1:10">
      <c r="C479" s="578"/>
      <c r="D479" s="578"/>
      <c r="E479" s="578"/>
      <c r="F479" s="578"/>
      <c r="G479" s="580">
        <v>2641</v>
      </c>
      <c r="H479" s="581" t="s">
        <v>106</v>
      </c>
      <c r="I479" s="580">
        <v>3676</v>
      </c>
      <c r="J479" s="581" t="s">
        <v>113</v>
      </c>
    </row>
    <row r="480" spans="1:10">
      <c r="C480" s="578"/>
      <c r="D480" s="578"/>
      <c r="E480" s="578"/>
      <c r="F480" s="578"/>
      <c r="G480" s="580">
        <v>2642</v>
      </c>
      <c r="H480" s="581" t="s">
        <v>106</v>
      </c>
      <c r="I480" s="580">
        <v>3677</v>
      </c>
      <c r="J480" s="581" t="s">
        <v>113</v>
      </c>
    </row>
    <row r="481" spans="7:10">
      <c r="G481" s="580">
        <v>2643</v>
      </c>
      <c r="H481" s="581" t="s">
        <v>106</v>
      </c>
      <c r="I481" s="580">
        <v>3678</v>
      </c>
      <c r="J481" s="581" t="s">
        <v>113</v>
      </c>
    </row>
    <row r="482" spans="7:10">
      <c r="G482" s="580">
        <v>2644</v>
      </c>
      <c r="H482" s="581" t="s">
        <v>106</v>
      </c>
      <c r="I482" s="580">
        <v>3682</v>
      </c>
      <c r="J482" s="581" t="s">
        <v>113</v>
      </c>
    </row>
    <row r="483" spans="7:10">
      <c r="G483" s="580">
        <v>2645</v>
      </c>
      <c r="H483" s="581" t="s">
        <v>106</v>
      </c>
      <c r="I483" s="580">
        <v>3683</v>
      </c>
      <c r="J483" s="581" t="s">
        <v>113</v>
      </c>
    </row>
    <row r="484" spans="7:10">
      <c r="G484" s="580">
        <v>2646</v>
      </c>
      <c r="H484" s="581" t="s">
        <v>106</v>
      </c>
      <c r="I484" s="580">
        <v>3685</v>
      </c>
      <c r="J484" s="581" t="s">
        <v>113</v>
      </c>
    </row>
    <row r="485" spans="7:10">
      <c r="G485" s="580">
        <v>2647</v>
      </c>
      <c r="H485" s="581" t="s">
        <v>106</v>
      </c>
      <c r="I485" s="580">
        <v>3687</v>
      </c>
      <c r="J485" s="581" t="s">
        <v>113</v>
      </c>
    </row>
    <row r="486" spans="7:10">
      <c r="G486" s="580">
        <v>2648</v>
      </c>
      <c r="H486" s="581" t="s">
        <v>106</v>
      </c>
      <c r="I486" s="580">
        <v>3688</v>
      </c>
      <c r="J486" s="581" t="s">
        <v>113</v>
      </c>
    </row>
    <row r="487" spans="7:10">
      <c r="G487" s="580">
        <v>2649</v>
      </c>
      <c r="H487" s="581" t="s">
        <v>106</v>
      </c>
      <c r="I487" s="580">
        <v>3690</v>
      </c>
      <c r="J487" s="581" t="s">
        <v>113</v>
      </c>
    </row>
    <row r="488" spans="7:10">
      <c r="G488" s="580">
        <v>2650</v>
      </c>
      <c r="H488" s="581" t="s">
        <v>106</v>
      </c>
      <c r="I488" s="580">
        <v>3691</v>
      </c>
      <c r="J488" s="581" t="s">
        <v>113</v>
      </c>
    </row>
    <row r="489" spans="7:10">
      <c r="G489" s="580">
        <v>2651</v>
      </c>
      <c r="H489" s="581" t="s">
        <v>106</v>
      </c>
      <c r="I489" s="580">
        <v>3694</v>
      </c>
      <c r="J489" s="581" t="s">
        <v>113</v>
      </c>
    </row>
    <row r="490" spans="7:10">
      <c r="G490" s="580">
        <v>2652</v>
      </c>
      <c r="H490" s="581" t="s">
        <v>106</v>
      </c>
      <c r="I490" s="580">
        <v>3695</v>
      </c>
      <c r="J490" s="581" t="s">
        <v>113</v>
      </c>
    </row>
    <row r="491" spans="7:10">
      <c r="G491" s="580">
        <v>2653</v>
      </c>
      <c r="H491" s="581" t="s">
        <v>106</v>
      </c>
      <c r="I491" s="580">
        <v>3700</v>
      </c>
      <c r="J491" s="581" t="s">
        <v>113</v>
      </c>
    </row>
    <row r="492" spans="7:10">
      <c r="G492" s="580">
        <v>2655</v>
      </c>
      <c r="H492" s="581" t="s">
        <v>106</v>
      </c>
      <c r="I492" s="580">
        <v>3701</v>
      </c>
      <c r="J492" s="581" t="s">
        <v>113</v>
      </c>
    </row>
    <row r="493" spans="7:10">
      <c r="G493" s="580">
        <v>2658</v>
      </c>
      <c r="H493" s="581" t="s">
        <v>106</v>
      </c>
      <c r="I493" s="580">
        <v>3704</v>
      </c>
      <c r="J493" s="581" t="s">
        <v>113</v>
      </c>
    </row>
    <row r="494" spans="7:10">
      <c r="G494" s="580">
        <v>2659</v>
      </c>
      <c r="H494" s="581" t="s">
        <v>106</v>
      </c>
      <c r="I494" s="580">
        <v>3705</v>
      </c>
      <c r="J494" s="581" t="s">
        <v>113</v>
      </c>
    </row>
    <row r="495" spans="7:10">
      <c r="G495" s="580">
        <v>2660</v>
      </c>
      <c r="H495" s="581" t="s">
        <v>106</v>
      </c>
      <c r="I495" s="580">
        <v>3707</v>
      </c>
      <c r="J495" s="581" t="s">
        <v>113</v>
      </c>
    </row>
    <row r="496" spans="7:10">
      <c r="G496" s="580">
        <v>2661</v>
      </c>
      <c r="H496" s="581" t="s">
        <v>106</v>
      </c>
      <c r="I496" s="580">
        <v>3708</v>
      </c>
      <c r="J496" s="581" t="s">
        <v>113</v>
      </c>
    </row>
    <row r="497" spans="7:10">
      <c r="G497" s="580">
        <v>2663</v>
      </c>
      <c r="H497" s="581" t="s">
        <v>106</v>
      </c>
      <c r="I497" s="580">
        <v>3709</v>
      </c>
      <c r="J497" s="581" t="s">
        <v>113</v>
      </c>
    </row>
    <row r="498" spans="7:10">
      <c r="G498" s="580">
        <v>2665</v>
      </c>
      <c r="H498" s="581" t="s">
        <v>106</v>
      </c>
      <c r="I498" s="580">
        <v>3711</v>
      </c>
      <c r="J498" s="581" t="s">
        <v>113</v>
      </c>
    </row>
    <row r="499" spans="7:10">
      <c r="G499" s="580">
        <v>2666</v>
      </c>
      <c r="H499" s="581" t="s">
        <v>106</v>
      </c>
      <c r="I499" s="580">
        <v>3712</v>
      </c>
      <c r="J499" s="581" t="s">
        <v>113</v>
      </c>
    </row>
    <row r="500" spans="7:10">
      <c r="G500" s="580">
        <v>2668</v>
      </c>
      <c r="H500" s="581" t="s">
        <v>106</v>
      </c>
      <c r="I500" s="580">
        <v>3713</v>
      </c>
      <c r="J500" s="581" t="s">
        <v>113</v>
      </c>
    </row>
    <row r="501" spans="7:10">
      <c r="G501" s="580">
        <v>2671</v>
      </c>
      <c r="H501" s="581" t="s">
        <v>106</v>
      </c>
      <c r="I501" s="580">
        <v>3715</v>
      </c>
      <c r="J501" s="581" t="s">
        <v>113</v>
      </c>
    </row>
    <row r="502" spans="7:10">
      <c r="G502" s="580">
        <v>2672</v>
      </c>
      <c r="H502" s="581" t="s">
        <v>106</v>
      </c>
      <c r="I502" s="580">
        <v>3717</v>
      </c>
      <c r="J502" s="581" t="s">
        <v>113</v>
      </c>
    </row>
    <row r="503" spans="7:10">
      <c r="G503" s="580">
        <v>2675</v>
      </c>
      <c r="H503" s="581" t="s">
        <v>106</v>
      </c>
      <c r="I503" s="580">
        <v>3718</v>
      </c>
      <c r="J503" s="581" t="s">
        <v>113</v>
      </c>
    </row>
    <row r="504" spans="7:10">
      <c r="G504" s="580">
        <v>2678</v>
      </c>
      <c r="H504" s="581" t="s">
        <v>106</v>
      </c>
      <c r="I504" s="580">
        <v>3719</v>
      </c>
      <c r="J504" s="581" t="s">
        <v>113</v>
      </c>
    </row>
    <row r="505" spans="7:10">
      <c r="G505" s="580">
        <v>2680</v>
      </c>
      <c r="H505" s="581" t="s">
        <v>106</v>
      </c>
      <c r="I505" s="580">
        <v>3720</v>
      </c>
      <c r="J505" s="581" t="s">
        <v>113</v>
      </c>
    </row>
    <row r="506" spans="7:10">
      <c r="G506" s="580">
        <v>2681</v>
      </c>
      <c r="H506" s="581" t="s">
        <v>106</v>
      </c>
      <c r="I506" s="580">
        <v>3722</v>
      </c>
      <c r="J506" s="581" t="s">
        <v>113</v>
      </c>
    </row>
    <row r="507" spans="7:10">
      <c r="G507" s="580">
        <v>2700</v>
      </c>
      <c r="H507" s="581" t="s">
        <v>106</v>
      </c>
      <c r="I507" s="580">
        <v>3723</v>
      </c>
      <c r="J507" s="581" t="s">
        <v>113</v>
      </c>
    </row>
    <row r="508" spans="7:10">
      <c r="G508" s="580">
        <v>2701</v>
      </c>
      <c r="H508" s="581" t="s">
        <v>106</v>
      </c>
      <c r="I508" s="580">
        <v>3724</v>
      </c>
      <c r="J508" s="581" t="s">
        <v>113</v>
      </c>
    </row>
    <row r="509" spans="7:10">
      <c r="G509" s="580">
        <v>2702</v>
      </c>
      <c r="H509" s="581" t="s">
        <v>106</v>
      </c>
      <c r="I509" s="580">
        <v>3725</v>
      </c>
      <c r="J509" s="581" t="s">
        <v>113</v>
      </c>
    </row>
    <row r="510" spans="7:10">
      <c r="G510" s="580">
        <v>2703</v>
      </c>
      <c r="H510" s="581" t="s">
        <v>106</v>
      </c>
      <c r="I510" s="580">
        <v>3726</v>
      </c>
      <c r="J510" s="581" t="s">
        <v>113</v>
      </c>
    </row>
    <row r="511" spans="7:10">
      <c r="G511" s="580">
        <v>2705</v>
      </c>
      <c r="H511" s="581" t="s">
        <v>106</v>
      </c>
      <c r="I511" s="580">
        <v>3727</v>
      </c>
      <c r="J511" s="581" t="s">
        <v>113</v>
      </c>
    </row>
    <row r="512" spans="7:10">
      <c r="G512" s="580">
        <v>2706</v>
      </c>
      <c r="H512" s="581" t="s">
        <v>106</v>
      </c>
      <c r="I512" s="580">
        <v>3728</v>
      </c>
      <c r="J512" s="581" t="s">
        <v>113</v>
      </c>
    </row>
    <row r="513" spans="7:10">
      <c r="G513" s="580">
        <v>2707</v>
      </c>
      <c r="H513" s="581" t="s">
        <v>106</v>
      </c>
      <c r="I513" s="580">
        <v>3730</v>
      </c>
      <c r="J513" s="581" t="s">
        <v>113</v>
      </c>
    </row>
    <row r="514" spans="7:10">
      <c r="G514" s="580">
        <v>2710</v>
      </c>
      <c r="H514" s="581" t="s">
        <v>106</v>
      </c>
      <c r="I514" s="580">
        <v>3732</v>
      </c>
      <c r="J514" s="581" t="s">
        <v>113</v>
      </c>
    </row>
    <row r="515" spans="7:10">
      <c r="G515" s="580">
        <v>2711</v>
      </c>
      <c r="H515" s="581" t="s">
        <v>106</v>
      </c>
      <c r="I515" s="580">
        <v>3733</v>
      </c>
      <c r="J515" s="581" t="s">
        <v>113</v>
      </c>
    </row>
    <row r="516" spans="7:10">
      <c r="G516" s="580">
        <v>2712</v>
      </c>
      <c r="H516" s="581" t="s">
        <v>106</v>
      </c>
      <c r="I516" s="580">
        <v>3735</v>
      </c>
      <c r="J516" s="581" t="s">
        <v>113</v>
      </c>
    </row>
    <row r="517" spans="7:10">
      <c r="G517" s="580">
        <v>2713</v>
      </c>
      <c r="H517" s="581" t="s">
        <v>106</v>
      </c>
      <c r="I517" s="580">
        <v>3737</v>
      </c>
      <c r="J517" s="581" t="s">
        <v>113</v>
      </c>
    </row>
    <row r="518" spans="7:10">
      <c r="G518" s="580">
        <v>2714</v>
      </c>
      <c r="H518" s="581" t="s">
        <v>106</v>
      </c>
      <c r="I518" s="580">
        <v>3738</v>
      </c>
      <c r="J518" s="581" t="s">
        <v>113</v>
      </c>
    </row>
    <row r="519" spans="7:10">
      <c r="G519" s="580">
        <v>2715</v>
      </c>
      <c r="H519" s="581" t="s">
        <v>106</v>
      </c>
      <c r="I519" s="580">
        <v>3739</v>
      </c>
      <c r="J519" s="581" t="s">
        <v>113</v>
      </c>
    </row>
    <row r="520" spans="7:10">
      <c r="G520" s="580">
        <v>2716</v>
      </c>
      <c r="H520" s="581" t="s">
        <v>106</v>
      </c>
      <c r="I520" s="580">
        <v>3740</v>
      </c>
      <c r="J520" s="581" t="s">
        <v>113</v>
      </c>
    </row>
    <row r="521" spans="7:10">
      <c r="G521" s="580">
        <v>2717</v>
      </c>
      <c r="H521" s="581" t="s">
        <v>106</v>
      </c>
      <c r="I521" s="580">
        <v>3741</v>
      </c>
      <c r="J521" s="581" t="s">
        <v>113</v>
      </c>
    </row>
    <row r="522" spans="7:10">
      <c r="G522" s="580">
        <v>2720</v>
      </c>
      <c r="H522" s="581" t="s">
        <v>106</v>
      </c>
      <c r="I522" s="580">
        <v>3744</v>
      </c>
      <c r="J522" s="581" t="s">
        <v>113</v>
      </c>
    </row>
    <row r="523" spans="7:10">
      <c r="G523" s="580">
        <v>2721</v>
      </c>
      <c r="H523" s="581" t="s">
        <v>106</v>
      </c>
      <c r="I523" s="580">
        <v>3746</v>
      </c>
      <c r="J523" s="581" t="s">
        <v>113</v>
      </c>
    </row>
    <row r="524" spans="7:10">
      <c r="G524" s="580">
        <v>2722</v>
      </c>
      <c r="H524" s="581" t="s">
        <v>106</v>
      </c>
      <c r="I524" s="580">
        <v>3747</v>
      </c>
      <c r="J524" s="581" t="s">
        <v>113</v>
      </c>
    </row>
    <row r="525" spans="7:10">
      <c r="G525" s="580">
        <v>2725</v>
      </c>
      <c r="H525" s="581" t="s">
        <v>106</v>
      </c>
      <c r="I525" s="580">
        <v>3749</v>
      </c>
      <c r="J525" s="581" t="s">
        <v>113</v>
      </c>
    </row>
    <row r="526" spans="7:10">
      <c r="G526" s="580">
        <v>2726</v>
      </c>
      <c r="H526" s="581" t="s">
        <v>106</v>
      </c>
      <c r="I526" s="580">
        <v>3750</v>
      </c>
      <c r="J526" s="581" t="s">
        <v>113</v>
      </c>
    </row>
    <row r="527" spans="7:10">
      <c r="G527" s="580">
        <v>2727</v>
      </c>
      <c r="H527" s="581" t="s">
        <v>106</v>
      </c>
      <c r="I527" s="580">
        <v>3751</v>
      </c>
      <c r="J527" s="581" t="s">
        <v>113</v>
      </c>
    </row>
    <row r="528" spans="7:10">
      <c r="G528" s="580">
        <v>2729</v>
      </c>
      <c r="H528" s="581" t="s">
        <v>106</v>
      </c>
      <c r="I528" s="580">
        <v>3752</v>
      </c>
      <c r="J528" s="581" t="s">
        <v>113</v>
      </c>
    </row>
    <row r="529" spans="7:10">
      <c r="G529" s="580">
        <v>2730</v>
      </c>
      <c r="H529" s="581" t="s">
        <v>106</v>
      </c>
      <c r="I529" s="580">
        <v>3753</v>
      </c>
      <c r="J529" s="581" t="s">
        <v>113</v>
      </c>
    </row>
    <row r="530" spans="7:10">
      <c r="G530" s="580">
        <v>2731</v>
      </c>
      <c r="H530" s="581" t="s">
        <v>106</v>
      </c>
      <c r="I530" s="580">
        <v>3754</v>
      </c>
      <c r="J530" s="581" t="s">
        <v>113</v>
      </c>
    </row>
    <row r="531" spans="7:10">
      <c r="G531" s="580">
        <v>2732</v>
      </c>
      <c r="H531" s="581" t="s">
        <v>106</v>
      </c>
      <c r="I531" s="580">
        <v>3755</v>
      </c>
      <c r="J531" s="581" t="s">
        <v>113</v>
      </c>
    </row>
    <row r="532" spans="7:10">
      <c r="G532" s="580">
        <v>2733</v>
      </c>
      <c r="H532" s="581" t="s">
        <v>106</v>
      </c>
      <c r="I532" s="580">
        <v>3756</v>
      </c>
      <c r="J532" s="581" t="s">
        <v>113</v>
      </c>
    </row>
    <row r="533" spans="7:10">
      <c r="G533" s="580">
        <v>2734</v>
      </c>
      <c r="H533" s="581" t="s">
        <v>106</v>
      </c>
      <c r="I533" s="580">
        <v>3757</v>
      </c>
      <c r="J533" s="581" t="s">
        <v>113</v>
      </c>
    </row>
    <row r="534" spans="7:10">
      <c r="G534" s="580">
        <v>2735</v>
      </c>
      <c r="H534" s="581" t="s">
        <v>106</v>
      </c>
      <c r="I534" s="580">
        <v>3758</v>
      </c>
      <c r="J534" s="581" t="s">
        <v>113</v>
      </c>
    </row>
    <row r="535" spans="7:10">
      <c r="G535" s="580">
        <v>2736</v>
      </c>
      <c r="H535" s="581" t="s">
        <v>106</v>
      </c>
      <c r="I535" s="580">
        <v>3759</v>
      </c>
      <c r="J535" s="581" t="s">
        <v>113</v>
      </c>
    </row>
    <row r="536" spans="7:10">
      <c r="G536" s="580">
        <v>2737</v>
      </c>
      <c r="H536" s="581" t="s">
        <v>106</v>
      </c>
      <c r="I536" s="580">
        <v>3760</v>
      </c>
      <c r="J536" s="581" t="s">
        <v>113</v>
      </c>
    </row>
    <row r="537" spans="7:10">
      <c r="G537" s="580">
        <v>2738</v>
      </c>
      <c r="H537" s="581" t="s">
        <v>106</v>
      </c>
      <c r="I537" s="580">
        <v>3761</v>
      </c>
      <c r="J537" s="581" t="s">
        <v>113</v>
      </c>
    </row>
    <row r="538" spans="7:10">
      <c r="G538" s="580">
        <v>2739</v>
      </c>
      <c r="H538" s="581" t="s">
        <v>106</v>
      </c>
      <c r="I538" s="580">
        <v>3762</v>
      </c>
      <c r="J538" s="581" t="s">
        <v>113</v>
      </c>
    </row>
    <row r="539" spans="7:10">
      <c r="G539" s="580">
        <v>2745</v>
      </c>
      <c r="H539" s="581" t="s">
        <v>104</v>
      </c>
      <c r="I539" s="580">
        <v>3763</v>
      </c>
      <c r="J539" s="581" t="s">
        <v>113</v>
      </c>
    </row>
    <row r="540" spans="7:10">
      <c r="G540" s="580">
        <v>2747</v>
      </c>
      <c r="H540" s="581" t="s">
        <v>104</v>
      </c>
      <c r="I540" s="580">
        <v>3764</v>
      </c>
      <c r="J540" s="581" t="s">
        <v>113</v>
      </c>
    </row>
    <row r="541" spans="7:10">
      <c r="G541" s="580">
        <v>2748</v>
      </c>
      <c r="H541" s="581" t="s">
        <v>104</v>
      </c>
      <c r="I541" s="580">
        <v>3765</v>
      </c>
      <c r="J541" s="581" t="s">
        <v>113</v>
      </c>
    </row>
    <row r="542" spans="7:10">
      <c r="G542" s="580">
        <v>2749</v>
      </c>
      <c r="H542" s="581" t="s">
        <v>104</v>
      </c>
      <c r="I542" s="580">
        <v>3766</v>
      </c>
      <c r="J542" s="581" t="s">
        <v>113</v>
      </c>
    </row>
    <row r="543" spans="7:10">
      <c r="G543" s="580">
        <v>2750</v>
      </c>
      <c r="H543" s="581" t="s">
        <v>104</v>
      </c>
      <c r="I543" s="580">
        <v>3767</v>
      </c>
      <c r="J543" s="581" t="s">
        <v>113</v>
      </c>
    </row>
    <row r="544" spans="7:10">
      <c r="G544" s="580">
        <v>2752</v>
      </c>
      <c r="H544" s="581" t="s">
        <v>104</v>
      </c>
      <c r="I544" s="580">
        <v>3770</v>
      </c>
      <c r="J544" s="581" t="s">
        <v>113</v>
      </c>
    </row>
    <row r="545" spans="7:10">
      <c r="G545" s="580">
        <v>2753</v>
      </c>
      <c r="H545" s="581" t="s">
        <v>104</v>
      </c>
      <c r="I545" s="580">
        <v>3775</v>
      </c>
      <c r="J545" s="581" t="s">
        <v>113</v>
      </c>
    </row>
    <row r="546" spans="7:10">
      <c r="G546" s="580">
        <v>2754</v>
      </c>
      <c r="H546" s="581" t="s">
        <v>104</v>
      </c>
      <c r="I546" s="580">
        <v>3777</v>
      </c>
      <c r="J546" s="581" t="s">
        <v>113</v>
      </c>
    </row>
    <row r="547" spans="7:10">
      <c r="G547" s="580">
        <v>2755</v>
      </c>
      <c r="H547" s="581" t="s">
        <v>104</v>
      </c>
      <c r="I547" s="580">
        <v>3778</v>
      </c>
      <c r="J547" s="581" t="s">
        <v>113</v>
      </c>
    </row>
    <row r="548" spans="7:10">
      <c r="G548" s="580">
        <v>2756</v>
      </c>
      <c r="H548" s="581" t="s">
        <v>104</v>
      </c>
      <c r="I548" s="580">
        <v>3779</v>
      </c>
      <c r="J548" s="581" t="s">
        <v>113</v>
      </c>
    </row>
    <row r="549" spans="7:10">
      <c r="G549" s="580">
        <v>2757</v>
      </c>
      <c r="H549" s="581" t="s">
        <v>104</v>
      </c>
      <c r="I549" s="580">
        <v>3781</v>
      </c>
      <c r="J549" s="581" t="s">
        <v>113</v>
      </c>
    </row>
    <row r="550" spans="7:10">
      <c r="G550" s="580">
        <v>2758</v>
      </c>
      <c r="H550" s="581" t="s">
        <v>104</v>
      </c>
      <c r="I550" s="580">
        <v>3782</v>
      </c>
      <c r="J550" s="581" t="s">
        <v>113</v>
      </c>
    </row>
    <row r="551" spans="7:10">
      <c r="G551" s="580">
        <v>2759</v>
      </c>
      <c r="H551" s="581" t="s">
        <v>104</v>
      </c>
      <c r="I551" s="580">
        <v>3783</v>
      </c>
      <c r="J551" s="581" t="s">
        <v>113</v>
      </c>
    </row>
    <row r="552" spans="7:10">
      <c r="G552" s="580">
        <v>2760</v>
      </c>
      <c r="H552" s="581" t="s">
        <v>104</v>
      </c>
      <c r="I552" s="580">
        <v>3785</v>
      </c>
      <c r="J552" s="581" t="s">
        <v>113</v>
      </c>
    </row>
    <row r="553" spans="7:10">
      <c r="G553" s="580">
        <v>2761</v>
      </c>
      <c r="H553" s="581" t="s">
        <v>104</v>
      </c>
      <c r="I553" s="580">
        <v>3786</v>
      </c>
      <c r="J553" s="581" t="s">
        <v>113</v>
      </c>
    </row>
    <row r="554" spans="7:10">
      <c r="G554" s="580">
        <v>2762</v>
      </c>
      <c r="H554" s="581" t="s">
        <v>104</v>
      </c>
      <c r="I554" s="580">
        <v>3787</v>
      </c>
      <c r="J554" s="581" t="s">
        <v>113</v>
      </c>
    </row>
    <row r="555" spans="7:10">
      <c r="G555" s="580">
        <v>2763</v>
      </c>
      <c r="H555" s="581" t="s">
        <v>104</v>
      </c>
      <c r="I555" s="580">
        <v>3788</v>
      </c>
      <c r="J555" s="581" t="s">
        <v>113</v>
      </c>
    </row>
    <row r="556" spans="7:10">
      <c r="G556" s="580">
        <v>2765</v>
      </c>
      <c r="H556" s="581" t="s">
        <v>104</v>
      </c>
      <c r="I556" s="580">
        <v>3789</v>
      </c>
      <c r="J556" s="581" t="s">
        <v>113</v>
      </c>
    </row>
    <row r="557" spans="7:10">
      <c r="G557" s="580">
        <v>2766</v>
      </c>
      <c r="H557" s="581" t="s">
        <v>104</v>
      </c>
      <c r="I557" s="580">
        <v>3791</v>
      </c>
      <c r="J557" s="581" t="s">
        <v>113</v>
      </c>
    </row>
    <row r="558" spans="7:10">
      <c r="G558" s="580">
        <v>2767</v>
      </c>
      <c r="H558" s="581" t="s">
        <v>104</v>
      </c>
      <c r="I558" s="580">
        <v>3792</v>
      </c>
      <c r="J558" s="581" t="s">
        <v>113</v>
      </c>
    </row>
    <row r="559" spans="7:10">
      <c r="G559" s="580">
        <v>2768</v>
      </c>
      <c r="H559" s="581" t="s">
        <v>104</v>
      </c>
      <c r="I559" s="580">
        <v>3793</v>
      </c>
      <c r="J559" s="581" t="s">
        <v>113</v>
      </c>
    </row>
    <row r="560" spans="7:10">
      <c r="G560" s="580">
        <v>2769</v>
      </c>
      <c r="H560" s="581" t="s">
        <v>104</v>
      </c>
      <c r="I560" s="580">
        <v>3795</v>
      </c>
      <c r="J560" s="581" t="s">
        <v>113</v>
      </c>
    </row>
    <row r="561" spans="7:10">
      <c r="G561" s="580">
        <v>2770</v>
      </c>
      <c r="H561" s="581" t="s">
        <v>104</v>
      </c>
      <c r="I561" s="580">
        <v>3796</v>
      </c>
      <c r="J561" s="581" t="s">
        <v>113</v>
      </c>
    </row>
    <row r="562" spans="7:10">
      <c r="G562" s="580">
        <v>2773</v>
      </c>
      <c r="H562" s="581" t="s">
        <v>104</v>
      </c>
      <c r="I562" s="580">
        <v>3797</v>
      </c>
      <c r="J562" s="581" t="s">
        <v>113</v>
      </c>
    </row>
    <row r="563" spans="7:10">
      <c r="G563" s="580">
        <v>2774</v>
      </c>
      <c r="H563" s="581" t="s">
        <v>104</v>
      </c>
      <c r="I563" s="580">
        <v>3799</v>
      </c>
      <c r="J563" s="581" t="s">
        <v>113</v>
      </c>
    </row>
    <row r="564" spans="7:10">
      <c r="G564" s="580">
        <v>2775</v>
      </c>
      <c r="H564" s="581" t="s">
        <v>104</v>
      </c>
      <c r="I564" s="580">
        <v>3800</v>
      </c>
      <c r="J564" s="581" t="s">
        <v>628</v>
      </c>
    </row>
    <row r="565" spans="7:10">
      <c r="G565" s="580">
        <v>2776</v>
      </c>
      <c r="H565" s="581" t="s">
        <v>104</v>
      </c>
      <c r="I565" s="580">
        <v>3802</v>
      </c>
      <c r="J565" s="581" t="s">
        <v>628</v>
      </c>
    </row>
    <row r="566" spans="7:10">
      <c r="G566" s="580">
        <v>2777</v>
      </c>
      <c r="H566" s="581" t="s">
        <v>104</v>
      </c>
      <c r="I566" s="580">
        <v>3803</v>
      </c>
      <c r="J566" s="581" t="s">
        <v>628</v>
      </c>
    </row>
    <row r="567" spans="7:10">
      <c r="G567" s="580">
        <v>2778</v>
      </c>
      <c r="H567" s="581" t="s">
        <v>104</v>
      </c>
      <c r="I567" s="580">
        <v>3804</v>
      </c>
      <c r="J567" s="581" t="s">
        <v>628</v>
      </c>
    </row>
    <row r="568" spans="7:10">
      <c r="G568" s="580">
        <v>2779</v>
      </c>
      <c r="H568" s="581" t="s">
        <v>104</v>
      </c>
      <c r="I568" s="580">
        <v>3805</v>
      </c>
      <c r="J568" s="581" t="s">
        <v>628</v>
      </c>
    </row>
    <row r="569" spans="7:10">
      <c r="G569" s="580">
        <v>2780</v>
      </c>
      <c r="H569" s="581" t="s">
        <v>104</v>
      </c>
      <c r="I569" s="580">
        <v>3806</v>
      </c>
      <c r="J569" s="581" t="s">
        <v>628</v>
      </c>
    </row>
    <row r="570" spans="7:10">
      <c r="G570" s="580">
        <v>2782</v>
      </c>
      <c r="H570" s="581" t="s">
        <v>104</v>
      </c>
      <c r="I570" s="580">
        <v>3807</v>
      </c>
      <c r="J570" s="581" t="s">
        <v>628</v>
      </c>
    </row>
    <row r="571" spans="7:10">
      <c r="G571" s="580">
        <v>2783</v>
      </c>
      <c r="H571" s="581" t="s">
        <v>104</v>
      </c>
      <c r="I571" s="580">
        <v>3808</v>
      </c>
      <c r="J571" s="581" t="s">
        <v>628</v>
      </c>
    </row>
    <row r="572" spans="7:10">
      <c r="G572" s="580">
        <v>2784</v>
      </c>
      <c r="H572" s="581" t="s">
        <v>104</v>
      </c>
      <c r="I572" s="580">
        <v>3809</v>
      </c>
      <c r="J572" s="581" t="s">
        <v>628</v>
      </c>
    </row>
    <row r="573" spans="7:10">
      <c r="G573" s="580">
        <v>2785</v>
      </c>
      <c r="H573" s="581" t="s">
        <v>104</v>
      </c>
      <c r="I573" s="580">
        <v>3810</v>
      </c>
      <c r="J573" s="581" t="s">
        <v>628</v>
      </c>
    </row>
    <row r="574" spans="7:10">
      <c r="G574" s="580">
        <v>2786</v>
      </c>
      <c r="H574" s="581" t="s">
        <v>104</v>
      </c>
      <c r="I574" s="580">
        <v>3812</v>
      </c>
      <c r="J574" s="581" t="s">
        <v>628</v>
      </c>
    </row>
    <row r="575" spans="7:10">
      <c r="G575" s="580">
        <v>2787</v>
      </c>
      <c r="H575" s="581" t="s">
        <v>104</v>
      </c>
      <c r="I575" s="580">
        <v>3813</v>
      </c>
      <c r="J575" s="581" t="s">
        <v>628</v>
      </c>
    </row>
    <row r="576" spans="7:10">
      <c r="G576" s="580">
        <v>2790</v>
      </c>
      <c r="H576" s="581" t="s">
        <v>104</v>
      </c>
      <c r="I576" s="580">
        <v>3814</v>
      </c>
      <c r="J576" s="581" t="s">
        <v>628</v>
      </c>
    </row>
    <row r="577" spans="7:10">
      <c r="G577" s="580">
        <v>2791</v>
      </c>
      <c r="H577" s="581" t="s">
        <v>104</v>
      </c>
      <c r="I577" s="580">
        <v>3815</v>
      </c>
      <c r="J577" s="581" t="s">
        <v>628</v>
      </c>
    </row>
    <row r="578" spans="7:10">
      <c r="G578" s="580">
        <v>2792</v>
      </c>
      <c r="H578" s="581" t="s">
        <v>104</v>
      </c>
      <c r="I578" s="580">
        <v>3816</v>
      </c>
      <c r="J578" s="581" t="s">
        <v>628</v>
      </c>
    </row>
    <row r="579" spans="7:10">
      <c r="G579" s="580">
        <v>2793</v>
      </c>
      <c r="H579" s="581" t="s">
        <v>104</v>
      </c>
      <c r="I579" s="580">
        <v>3818</v>
      </c>
      <c r="J579" s="581" t="s">
        <v>628</v>
      </c>
    </row>
    <row r="580" spans="7:10">
      <c r="G580" s="580">
        <v>2794</v>
      </c>
      <c r="H580" s="581" t="s">
        <v>104</v>
      </c>
      <c r="I580" s="580">
        <v>3820</v>
      </c>
      <c r="J580" s="581" t="s">
        <v>628</v>
      </c>
    </row>
    <row r="581" spans="7:10">
      <c r="G581" s="580">
        <v>2795</v>
      </c>
      <c r="H581" s="581" t="s">
        <v>106</v>
      </c>
      <c r="I581" s="580">
        <v>3821</v>
      </c>
      <c r="J581" s="581" t="s">
        <v>628</v>
      </c>
    </row>
    <row r="582" spans="7:10">
      <c r="G582" s="580">
        <v>2797</v>
      </c>
      <c r="H582" s="581" t="s">
        <v>106</v>
      </c>
      <c r="I582" s="580">
        <v>3822</v>
      </c>
      <c r="J582" s="581" t="s">
        <v>628</v>
      </c>
    </row>
    <row r="583" spans="7:10">
      <c r="G583" s="580">
        <v>2798</v>
      </c>
      <c r="H583" s="581" t="s">
        <v>106</v>
      </c>
      <c r="I583" s="580">
        <v>3823</v>
      </c>
      <c r="J583" s="581" t="s">
        <v>628</v>
      </c>
    </row>
    <row r="584" spans="7:10">
      <c r="G584" s="580">
        <v>2799</v>
      </c>
      <c r="H584" s="581" t="s">
        <v>106</v>
      </c>
      <c r="I584" s="580">
        <v>3824</v>
      </c>
      <c r="J584" s="581" t="s">
        <v>628</v>
      </c>
    </row>
    <row r="585" spans="7:10">
      <c r="G585" s="580">
        <v>2800</v>
      </c>
      <c r="H585" s="581" t="s">
        <v>106</v>
      </c>
      <c r="I585" s="580">
        <v>3825</v>
      </c>
      <c r="J585" s="581" t="s">
        <v>628</v>
      </c>
    </row>
    <row r="586" spans="7:10">
      <c r="G586" s="580">
        <v>2803</v>
      </c>
      <c r="H586" s="581" t="s">
        <v>106</v>
      </c>
      <c r="I586" s="580">
        <v>3831</v>
      </c>
      <c r="J586" s="581" t="s">
        <v>628</v>
      </c>
    </row>
    <row r="587" spans="7:10">
      <c r="G587" s="580">
        <v>2804</v>
      </c>
      <c r="H587" s="581" t="s">
        <v>106</v>
      </c>
      <c r="I587" s="580">
        <v>3832</v>
      </c>
      <c r="J587" s="581" t="s">
        <v>628</v>
      </c>
    </row>
    <row r="588" spans="7:10">
      <c r="G588" s="580">
        <v>2805</v>
      </c>
      <c r="H588" s="581" t="s">
        <v>106</v>
      </c>
      <c r="I588" s="580">
        <v>3833</v>
      </c>
      <c r="J588" s="581" t="s">
        <v>628</v>
      </c>
    </row>
    <row r="589" spans="7:10">
      <c r="G589" s="580">
        <v>2806</v>
      </c>
      <c r="H589" s="581" t="s">
        <v>106</v>
      </c>
      <c r="I589" s="580">
        <v>3835</v>
      </c>
      <c r="J589" s="581" t="s">
        <v>628</v>
      </c>
    </row>
    <row r="590" spans="7:10">
      <c r="G590" s="580">
        <v>2807</v>
      </c>
      <c r="H590" s="581" t="s">
        <v>106</v>
      </c>
      <c r="I590" s="580">
        <v>3840</v>
      </c>
      <c r="J590" s="581" t="s">
        <v>628</v>
      </c>
    </row>
    <row r="591" spans="7:10">
      <c r="G591" s="580">
        <v>2808</v>
      </c>
      <c r="H591" s="581" t="s">
        <v>106</v>
      </c>
      <c r="I591" s="580">
        <v>3842</v>
      </c>
      <c r="J591" s="581" t="s">
        <v>628</v>
      </c>
    </row>
    <row r="592" spans="7:10">
      <c r="G592" s="580">
        <v>2809</v>
      </c>
      <c r="H592" s="581" t="s">
        <v>106</v>
      </c>
      <c r="I592" s="580">
        <v>3844</v>
      </c>
      <c r="J592" s="581" t="s">
        <v>628</v>
      </c>
    </row>
    <row r="593" spans="7:10">
      <c r="G593" s="580">
        <v>2810</v>
      </c>
      <c r="H593" s="581" t="s">
        <v>106</v>
      </c>
      <c r="I593" s="580">
        <v>3847</v>
      </c>
      <c r="J593" s="581" t="s">
        <v>628</v>
      </c>
    </row>
    <row r="594" spans="7:10">
      <c r="G594" s="580">
        <v>2817</v>
      </c>
      <c r="H594" s="581" t="s">
        <v>106</v>
      </c>
      <c r="I594" s="580">
        <v>3850</v>
      </c>
      <c r="J594" s="581" t="s">
        <v>628</v>
      </c>
    </row>
    <row r="595" spans="7:10">
      <c r="G595" s="580">
        <v>2820</v>
      </c>
      <c r="H595" s="581" t="s">
        <v>106</v>
      </c>
      <c r="I595" s="580">
        <v>3851</v>
      </c>
      <c r="J595" s="581" t="s">
        <v>628</v>
      </c>
    </row>
    <row r="596" spans="7:10">
      <c r="G596" s="580">
        <v>2821</v>
      </c>
      <c r="H596" s="581" t="s">
        <v>106</v>
      </c>
      <c r="I596" s="580">
        <v>3852</v>
      </c>
      <c r="J596" s="581" t="s">
        <v>628</v>
      </c>
    </row>
    <row r="597" spans="7:10">
      <c r="G597" s="580">
        <v>2823</v>
      </c>
      <c r="H597" s="581" t="s">
        <v>106</v>
      </c>
      <c r="I597" s="580">
        <v>3854</v>
      </c>
      <c r="J597" s="581" t="s">
        <v>628</v>
      </c>
    </row>
    <row r="598" spans="7:10">
      <c r="G598" s="580">
        <v>2824</v>
      </c>
      <c r="H598" s="581" t="s">
        <v>106</v>
      </c>
      <c r="I598" s="580">
        <v>3856</v>
      </c>
      <c r="J598" s="581" t="s">
        <v>628</v>
      </c>
    </row>
    <row r="599" spans="7:10">
      <c r="G599" s="580">
        <v>2825</v>
      </c>
      <c r="H599" s="581" t="s">
        <v>106</v>
      </c>
      <c r="I599" s="580">
        <v>3857</v>
      </c>
      <c r="J599" s="581" t="s">
        <v>628</v>
      </c>
    </row>
    <row r="600" spans="7:10">
      <c r="G600" s="580">
        <v>2827</v>
      </c>
      <c r="H600" s="581" t="s">
        <v>106</v>
      </c>
      <c r="I600" s="580">
        <v>3858</v>
      </c>
      <c r="J600" s="581" t="s">
        <v>628</v>
      </c>
    </row>
    <row r="601" spans="7:10">
      <c r="G601" s="580">
        <v>2828</v>
      </c>
      <c r="H601" s="581" t="s">
        <v>106</v>
      </c>
      <c r="I601" s="580">
        <v>3859</v>
      </c>
      <c r="J601" s="581" t="s">
        <v>628</v>
      </c>
    </row>
    <row r="602" spans="7:10">
      <c r="G602" s="580">
        <v>2829</v>
      </c>
      <c r="H602" s="581" t="s">
        <v>106</v>
      </c>
      <c r="I602" s="580">
        <v>3860</v>
      </c>
      <c r="J602" s="581" t="s">
        <v>628</v>
      </c>
    </row>
    <row r="603" spans="7:10">
      <c r="G603" s="580">
        <v>2830</v>
      </c>
      <c r="H603" s="581" t="s">
        <v>106</v>
      </c>
      <c r="I603" s="580">
        <v>3862</v>
      </c>
      <c r="J603" s="581" t="s">
        <v>628</v>
      </c>
    </row>
    <row r="604" spans="7:10">
      <c r="G604" s="580">
        <v>2831</v>
      </c>
      <c r="H604" s="581" t="s">
        <v>106</v>
      </c>
      <c r="I604" s="580">
        <v>3864</v>
      </c>
      <c r="J604" s="581" t="s">
        <v>628</v>
      </c>
    </row>
    <row r="605" spans="7:10">
      <c r="G605" s="580">
        <v>2832</v>
      </c>
      <c r="H605" s="581" t="s">
        <v>106</v>
      </c>
      <c r="I605" s="580">
        <v>3865</v>
      </c>
      <c r="J605" s="581" t="s">
        <v>628</v>
      </c>
    </row>
    <row r="606" spans="7:10">
      <c r="G606" s="580">
        <v>2833</v>
      </c>
      <c r="H606" s="581" t="s">
        <v>106</v>
      </c>
      <c r="I606" s="580">
        <v>3869</v>
      </c>
      <c r="J606" s="581" t="s">
        <v>628</v>
      </c>
    </row>
    <row r="607" spans="7:10">
      <c r="G607" s="580">
        <v>2834</v>
      </c>
      <c r="H607" s="581" t="s">
        <v>106</v>
      </c>
      <c r="I607" s="580">
        <v>3870</v>
      </c>
      <c r="J607" s="581" t="s">
        <v>628</v>
      </c>
    </row>
    <row r="608" spans="7:10">
      <c r="G608" s="580">
        <v>2835</v>
      </c>
      <c r="H608" s="581" t="s">
        <v>106</v>
      </c>
      <c r="I608" s="580">
        <v>3871</v>
      </c>
      <c r="J608" s="581" t="s">
        <v>628</v>
      </c>
    </row>
    <row r="609" spans="7:10">
      <c r="G609" s="580">
        <v>2836</v>
      </c>
      <c r="H609" s="581" t="s">
        <v>106</v>
      </c>
      <c r="I609" s="580">
        <v>3873</v>
      </c>
      <c r="J609" s="581" t="s">
        <v>628</v>
      </c>
    </row>
    <row r="610" spans="7:10">
      <c r="G610" s="580">
        <v>2839</v>
      </c>
      <c r="H610" s="581" t="s">
        <v>106</v>
      </c>
      <c r="I610" s="580">
        <v>3874</v>
      </c>
      <c r="J610" s="581" t="s">
        <v>628</v>
      </c>
    </row>
    <row r="611" spans="7:10">
      <c r="G611" s="580">
        <v>2840</v>
      </c>
      <c r="H611" s="581" t="s">
        <v>106</v>
      </c>
      <c r="I611" s="580">
        <v>3875</v>
      </c>
      <c r="J611" s="581" t="s">
        <v>628</v>
      </c>
    </row>
    <row r="612" spans="7:10">
      <c r="G612" s="580">
        <v>2842</v>
      </c>
      <c r="H612" s="581" t="s">
        <v>106</v>
      </c>
      <c r="I612" s="580">
        <v>3878</v>
      </c>
      <c r="J612" s="581" t="s">
        <v>628</v>
      </c>
    </row>
    <row r="613" spans="7:10">
      <c r="G613" s="580">
        <v>2843</v>
      </c>
      <c r="H613" s="581" t="s">
        <v>106</v>
      </c>
      <c r="I613" s="580">
        <v>3880</v>
      </c>
      <c r="J613" s="581" t="s">
        <v>628</v>
      </c>
    </row>
    <row r="614" spans="7:10">
      <c r="G614" s="580">
        <v>2844</v>
      </c>
      <c r="H614" s="581" t="s">
        <v>106</v>
      </c>
      <c r="I614" s="580">
        <v>3882</v>
      </c>
      <c r="J614" s="581" t="s">
        <v>628</v>
      </c>
    </row>
    <row r="615" spans="7:10">
      <c r="G615" s="580">
        <v>2845</v>
      </c>
      <c r="H615" s="581" t="s">
        <v>106</v>
      </c>
      <c r="I615" s="580">
        <v>3885</v>
      </c>
      <c r="J615" s="581" t="s">
        <v>628</v>
      </c>
    </row>
    <row r="616" spans="7:10">
      <c r="G616" s="580">
        <v>2846</v>
      </c>
      <c r="H616" s="581" t="s">
        <v>106</v>
      </c>
      <c r="I616" s="580">
        <v>3886</v>
      </c>
      <c r="J616" s="581" t="s">
        <v>628</v>
      </c>
    </row>
    <row r="617" spans="7:10">
      <c r="G617" s="580">
        <v>2847</v>
      </c>
      <c r="H617" s="581" t="s">
        <v>106</v>
      </c>
      <c r="I617" s="580">
        <v>3887</v>
      </c>
      <c r="J617" s="581" t="s">
        <v>628</v>
      </c>
    </row>
    <row r="618" spans="7:10">
      <c r="G618" s="580">
        <v>2848</v>
      </c>
      <c r="H618" s="581" t="s">
        <v>106</v>
      </c>
      <c r="I618" s="580">
        <v>3888</v>
      </c>
      <c r="J618" s="581" t="s">
        <v>628</v>
      </c>
    </row>
    <row r="619" spans="7:10">
      <c r="G619" s="580">
        <v>2849</v>
      </c>
      <c r="H619" s="581" t="s">
        <v>106</v>
      </c>
      <c r="I619" s="580">
        <v>3889</v>
      </c>
      <c r="J619" s="581" t="s">
        <v>628</v>
      </c>
    </row>
    <row r="620" spans="7:10">
      <c r="G620" s="580">
        <v>2850</v>
      </c>
      <c r="H620" s="581" t="s">
        <v>106</v>
      </c>
      <c r="I620" s="580">
        <v>3890</v>
      </c>
      <c r="J620" s="581" t="s">
        <v>628</v>
      </c>
    </row>
    <row r="621" spans="7:10">
      <c r="G621" s="580">
        <v>2852</v>
      </c>
      <c r="H621" s="581" t="s">
        <v>106</v>
      </c>
      <c r="I621" s="580">
        <v>3891</v>
      </c>
      <c r="J621" s="581" t="s">
        <v>628</v>
      </c>
    </row>
    <row r="622" spans="7:10">
      <c r="G622" s="580">
        <v>2864</v>
      </c>
      <c r="H622" s="581" t="s">
        <v>106</v>
      </c>
      <c r="I622" s="580">
        <v>3892</v>
      </c>
      <c r="J622" s="581" t="s">
        <v>628</v>
      </c>
    </row>
    <row r="623" spans="7:10">
      <c r="G623" s="580">
        <v>2865</v>
      </c>
      <c r="H623" s="581" t="s">
        <v>106</v>
      </c>
      <c r="I623" s="580">
        <v>3893</v>
      </c>
      <c r="J623" s="581" t="s">
        <v>628</v>
      </c>
    </row>
    <row r="624" spans="7:10">
      <c r="G624" s="580">
        <v>2866</v>
      </c>
      <c r="H624" s="581" t="s">
        <v>106</v>
      </c>
      <c r="I624" s="580">
        <v>3895</v>
      </c>
      <c r="J624" s="581" t="s">
        <v>628</v>
      </c>
    </row>
    <row r="625" spans="7:10">
      <c r="G625" s="580">
        <v>2867</v>
      </c>
      <c r="H625" s="581" t="s">
        <v>106</v>
      </c>
      <c r="I625" s="580">
        <v>3896</v>
      </c>
      <c r="J625" s="581" t="s">
        <v>628</v>
      </c>
    </row>
    <row r="626" spans="7:10">
      <c r="G626" s="580">
        <v>2868</v>
      </c>
      <c r="H626" s="581" t="s">
        <v>106</v>
      </c>
      <c r="I626" s="580">
        <v>3898</v>
      </c>
      <c r="J626" s="581" t="s">
        <v>628</v>
      </c>
    </row>
    <row r="627" spans="7:10">
      <c r="G627" s="580">
        <v>2869</v>
      </c>
      <c r="H627" s="581" t="s">
        <v>106</v>
      </c>
      <c r="I627" s="580">
        <v>3900</v>
      </c>
      <c r="J627" s="581" t="s">
        <v>628</v>
      </c>
    </row>
    <row r="628" spans="7:10">
      <c r="G628" s="580">
        <v>2870</v>
      </c>
      <c r="H628" s="581" t="s">
        <v>106</v>
      </c>
      <c r="I628" s="580">
        <v>3902</v>
      </c>
      <c r="J628" s="581" t="s">
        <v>628</v>
      </c>
    </row>
    <row r="629" spans="7:10">
      <c r="G629" s="580">
        <v>2871</v>
      </c>
      <c r="H629" s="581" t="s">
        <v>106</v>
      </c>
      <c r="I629" s="580">
        <v>3903</v>
      </c>
      <c r="J629" s="581" t="s">
        <v>628</v>
      </c>
    </row>
    <row r="630" spans="7:10">
      <c r="G630" s="580">
        <v>2873</v>
      </c>
      <c r="H630" s="581" t="s">
        <v>106</v>
      </c>
      <c r="I630" s="580">
        <v>3904</v>
      </c>
      <c r="J630" s="581" t="s">
        <v>628</v>
      </c>
    </row>
    <row r="631" spans="7:10">
      <c r="G631" s="580">
        <v>2874</v>
      </c>
      <c r="H631" s="581" t="s">
        <v>106</v>
      </c>
      <c r="I631" s="580">
        <v>3909</v>
      </c>
      <c r="J631" s="581" t="s">
        <v>628</v>
      </c>
    </row>
    <row r="632" spans="7:10">
      <c r="G632" s="580">
        <v>2875</v>
      </c>
      <c r="H632" s="581" t="s">
        <v>106</v>
      </c>
      <c r="I632" s="580">
        <v>3910</v>
      </c>
      <c r="J632" s="581" t="s">
        <v>628</v>
      </c>
    </row>
    <row r="633" spans="7:10">
      <c r="G633" s="580">
        <v>2876</v>
      </c>
      <c r="H633" s="581" t="s">
        <v>106</v>
      </c>
      <c r="I633" s="580">
        <v>3911</v>
      </c>
      <c r="J633" s="581" t="s">
        <v>628</v>
      </c>
    </row>
    <row r="634" spans="7:10">
      <c r="G634" s="580">
        <v>2877</v>
      </c>
      <c r="H634" s="581" t="s">
        <v>106</v>
      </c>
      <c r="I634" s="580">
        <v>3912</v>
      </c>
      <c r="J634" s="581" t="s">
        <v>628</v>
      </c>
    </row>
    <row r="635" spans="7:10">
      <c r="G635" s="580">
        <v>2878</v>
      </c>
      <c r="H635" s="581" t="s">
        <v>106</v>
      </c>
      <c r="I635" s="580">
        <v>3913</v>
      </c>
      <c r="J635" s="581" t="s">
        <v>628</v>
      </c>
    </row>
    <row r="636" spans="7:10">
      <c r="G636" s="580">
        <v>2879</v>
      </c>
      <c r="H636" s="581" t="s">
        <v>106</v>
      </c>
      <c r="I636" s="580">
        <v>3915</v>
      </c>
      <c r="J636" s="581" t="s">
        <v>628</v>
      </c>
    </row>
    <row r="637" spans="7:10">
      <c r="G637" s="580">
        <v>2880</v>
      </c>
      <c r="H637" s="581" t="s">
        <v>106</v>
      </c>
      <c r="I637" s="580">
        <v>3916</v>
      </c>
      <c r="J637" s="581" t="s">
        <v>628</v>
      </c>
    </row>
    <row r="638" spans="7:10">
      <c r="G638" s="580">
        <v>2881</v>
      </c>
      <c r="H638" s="581" t="s">
        <v>106</v>
      </c>
      <c r="I638" s="580">
        <v>3918</v>
      </c>
      <c r="J638" s="581" t="s">
        <v>628</v>
      </c>
    </row>
    <row r="639" spans="7:10">
      <c r="G639" s="580">
        <v>2882</v>
      </c>
      <c r="H639" s="581" t="s">
        <v>106</v>
      </c>
      <c r="I639" s="580">
        <v>3919</v>
      </c>
      <c r="J639" s="581" t="s">
        <v>628</v>
      </c>
    </row>
    <row r="640" spans="7:10">
      <c r="G640" s="580">
        <v>2883</v>
      </c>
      <c r="H640" s="581" t="s">
        <v>106</v>
      </c>
      <c r="I640" s="580">
        <v>3920</v>
      </c>
      <c r="J640" s="581" t="s">
        <v>628</v>
      </c>
    </row>
    <row r="641" spans="7:10">
      <c r="G641" s="580">
        <v>2898</v>
      </c>
      <c r="H641" s="581" t="s">
        <v>106</v>
      </c>
      <c r="I641" s="580">
        <v>3921</v>
      </c>
      <c r="J641" s="581" t="s">
        <v>628</v>
      </c>
    </row>
    <row r="642" spans="7:10">
      <c r="G642" s="580">
        <v>2899</v>
      </c>
      <c r="H642" s="581" t="s">
        <v>106</v>
      </c>
      <c r="I642" s="580">
        <v>3922</v>
      </c>
      <c r="J642" s="581" t="s">
        <v>628</v>
      </c>
    </row>
    <row r="643" spans="7:10">
      <c r="G643" s="578"/>
      <c r="H643" s="578"/>
      <c r="I643" s="580">
        <v>3923</v>
      </c>
      <c r="J643" s="581" t="s">
        <v>628</v>
      </c>
    </row>
    <row r="644" spans="7:10">
      <c r="G644" s="578"/>
      <c r="H644" s="578"/>
      <c r="I644" s="580">
        <v>3925</v>
      </c>
      <c r="J644" s="581" t="s">
        <v>628</v>
      </c>
    </row>
    <row r="645" spans="7:10">
      <c r="G645" s="578"/>
      <c r="H645" s="578"/>
      <c r="I645" s="580">
        <v>3926</v>
      </c>
      <c r="J645" s="581" t="s">
        <v>628</v>
      </c>
    </row>
    <row r="646" spans="7:10">
      <c r="G646" s="578"/>
      <c r="H646" s="578"/>
      <c r="I646" s="580">
        <v>3927</v>
      </c>
      <c r="J646" s="581" t="s">
        <v>628</v>
      </c>
    </row>
    <row r="647" spans="7:10">
      <c r="G647" s="578"/>
      <c r="H647" s="578"/>
      <c r="I647" s="580">
        <v>3928</v>
      </c>
      <c r="J647" s="581" t="s">
        <v>628</v>
      </c>
    </row>
    <row r="648" spans="7:10">
      <c r="G648" s="578"/>
      <c r="H648" s="578"/>
      <c r="I648" s="580">
        <v>3929</v>
      </c>
      <c r="J648" s="581" t="s">
        <v>628</v>
      </c>
    </row>
    <row r="649" spans="7:10">
      <c r="G649" s="578"/>
      <c r="H649" s="578"/>
      <c r="I649" s="580">
        <v>3930</v>
      </c>
      <c r="J649" s="581" t="s">
        <v>628</v>
      </c>
    </row>
    <row r="650" spans="7:10">
      <c r="G650" s="578"/>
      <c r="H650" s="578"/>
      <c r="I650" s="580">
        <v>3931</v>
      </c>
      <c r="J650" s="581" t="s">
        <v>628</v>
      </c>
    </row>
    <row r="651" spans="7:10">
      <c r="G651" s="578"/>
      <c r="H651" s="578"/>
      <c r="I651" s="580">
        <v>3933</v>
      </c>
      <c r="J651" s="581" t="s">
        <v>628</v>
      </c>
    </row>
    <row r="652" spans="7:10">
      <c r="G652" s="578"/>
      <c r="H652" s="578"/>
      <c r="I652" s="580">
        <v>3934</v>
      </c>
      <c r="J652" s="581" t="s">
        <v>628</v>
      </c>
    </row>
    <row r="653" spans="7:10">
      <c r="G653" s="578"/>
      <c r="H653" s="578"/>
      <c r="I653" s="580">
        <v>3936</v>
      </c>
      <c r="J653" s="581" t="s">
        <v>628</v>
      </c>
    </row>
    <row r="654" spans="7:10">
      <c r="G654" s="578"/>
      <c r="H654" s="578"/>
      <c r="I654" s="580">
        <v>3937</v>
      </c>
      <c r="J654" s="581" t="s">
        <v>628</v>
      </c>
    </row>
    <row r="655" spans="7:10">
      <c r="G655" s="578"/>
      <c r="H655" s="578"/>
      <c r="I655" s="580">
        <v>3938</v>
      </c>
      <c r="J655" s="581" t="s">
        <v>628</v>
      </c>
    </row>
    <row r="656" spans="7:10">
      <c r="G656" s="578"/>
      <c r="H656" s="578"/>
      <c r="I656" s="580">
        <v>3939</v>
      </c>
      <c r="J656" s="581" t="s">
        <v>628</v>
      </c>
    </row>
    <row r="657" spans="9:10">
      <c r="I657" s="580">
        <v>3940</v>
      </c>
      <c r="J657" s="581" t="s">
        <v>628</v>
      </c>
    </row>
    <row r="658" spans="9:10">
      <c r="I658" s="580">
        <v>3941</v>
      </c>
      <c r="J658" s="581" t="s">
        <v>628</v>
      </c>
    </row>
    <row r="659" spans="9:10">
      <c r="I659" s="580">
        <v>3942</v>
      </c>
      <c r="J659" s="581" t="s">
        <v>628</v>
      </c>
    </row>
    <row r="660" spans="9:10">
      <c r="I660" s="580">
        <v>3943</v>
      </c>
      <c r="J660" s="581" t="s">
        <v>628</v>
      </c>
    </row>
    <row r="661" spans="9:10">
      <c r="I661" s="580">
        <v>3944</v>
      </c>
      <c r="J661" s="581" t="s">
        <v>628</v>
      </c>
    </row>
    <row r="662" spans="9:10">
      <c r="I662" s="580">
        <v>3945</v>
      </c>
      <c r="J662" s="581" t="s">
        <v>628</v>
      </c>
    </row>
    <row r="663" spans="9:10">
      <c r="I663" s="580">
        <v>3946</v>
      </c>
      <c r="J663" s="581" t="s">
        <v>628</v>
      </c>
    </row>
    <row r="664" spans="9:10">
      <c r="I664" s="580">
        <v>3950</v>
      </c>
      <c r="J664" s="581" t="s">
        <v>628</v>
      </c>
    </row>
    <row r="665" spans="9:10">
      <c r="I665" s="580">
        <v>3951</v>
      </c>
      <c r="J665" s="581" t="s">
        <v>628</v>
      </c>
    </row>
    <row r="666" spans="9:10">
      <c r="I666" s="580">
        <v>3953</v>
      </c>
      <c r="J666" s="581" t="s">
        <v>628</v>
      </c>
    </row>
    <row r="667" spans="9:10">
      <c r="I667" s="580">
        <v>3954</v>
      </c>
      <c r="J667" s="581" t="s">
        <v>628</v>
      </c>
    </row>
    <row r="668" spans="9:10">
      <c r="I668" s="580">
        <v>3956</v>
      </c>
      <c r="J668" s="581" t="s">
        <v>628</v>
      </c>
    </row>
    <row r="669" spans="9:10">
      <c r="I669" s="580">
        <v>3957</v>
      </c>
      <c r="J669" s="581" t="s">
        <v>628</v>
      </c>
    </row>
    <row r="670" spans="9:10">
      <c r="I670" s="580">
        <v>3958</v>
      </c>
      <c r="J670" s="581" t="s">
        <v>628</v>
      </c>
    </row>
    <row r="671" spans="9:10">
      <c r="I671" s="580">
        <v>3959</v>
      </c>
      <c r="J671" s="581" t="s">
        <v>628</v>
      </c>
    </row>
    <row r="672" spans="9:10">
      <c r="I672" s="580">
        <v>3960</v>
      </c>
      <c r="J672" s="581" t="s">
        <v>628</v>
      </c>
    </row>
    <row r="673" spans="9:10">
      <c r="I673" s="580">
        <v>3962</v>
      </c>
      <c r="J673" s="581" t="s">
        <v>628</v>
      </c>
    </row>
    <row r="674" spans="9:10">
      <c r="I674" s="580">
        <v>3964</v>
      </c>
      <c r="J674" s="581" t="s">
        <v>628</v>
      </c>
    </row>
    <row r="675" spans="9:10">
      <c r="I675" s="580">
        <v>3965</v>
      </c>
      <c r="J675" s="581" t="s">
        <v>628</v>
      </c>
    </row>
    <row r="676" spans="9:10">
      <c r="I676" s="580">
        <v>3966</v>
      </c>
      <c r="J676" s="581" t="s">
        <v>628</v>
      </c>
    </row>
    <row r="677" spans="9:10">
      <c r="I677" s="580">
        <v>3967</v>
      </c>
      <c r="J677" s="581" t="s">
        <v>628</v>
      </c>
    </row>
    <row r="678" spans="9:10">
      <c r="I678" s="580">
        <v>3971</v>
      </c>
      <c r="J678" s="581" t="s">
        <v>628</v>
      </c>
    </row>
    <row r="679" spans="9:10">
      <c r="I679" s="580">
        <v>3975</v>
      </c>
      <c r="J679" s="581" t="s">
        <v>628</v>
      </c>
    </row>
    <row r="680" spans="9:10">
      <c r="I680" s="580">
        <v>3976</v>
      </c>
      <c r="J680" s="581" t="s">
        <v>628</v>
      </c>
    </row>
    <row r="681" spans="9:10">
      <c r="I681" s="580">
        <v>3977</v>
      </c>
      <c r="J681" s="581" t="s">
        <v>628</v>
      </c>
    </row>
    <row r="682" spans="9:10">
      <c r="I682" s="580">
        <v>3978</v>
      </c>
      <c r="J682" s="581" t="s">
        <v>628</v>
      </c>
    </row>
    <row r="683" spans="9:10">
      <c r="I683" s="580">
        <v>3980</v>
      </c>
      <c r="J683" s="581" t="s">
        <v>628</v>
      </c>
    </row>
    <row r="684" spans="9:10">
      <c r="I684" s="580">
        <v>3981</v>
      </c>
      <c r="J684" s="581" t="s">
        <v>628</v>
      </c>
    </row>
    <row r="685" spans="9:10">
      <c r="I685" s="580">
        <v>3984</v>
      </c>
      <c r="J685" s="581" t="s">
        <v>628</v>
      </c>
    </row>
    <row r="686" spans="9:10">
      <c r="I686" s="580">
        <v>3987</v>
      </c>
      <c r="J686" s="581" t="s">
        <v>628</v>
      </c>
    </row>
    <row r="687" spans="9:10">
      <c r="I687" s="580">
        <v>3988</v>
      </c>
      <c r="J687" s="581" t="s">
        <v>628</v>
      </c>
    </row>
    <row r="688" spans="9:10">
      <c r="I688" s="580">
        <v>3990</v>
      </c>
      <c r="J688" s="581" t="s">
        <v>628</v>
      </c>
    </row>
    <row r="689" spans="9:10">
      <c r="I689" s="580">
        <v>3991</v>
      </c>
      <c r="J689" s="581" t="s">
        <v>628</v>
      </c>
    </row>
    <row r="690" spans="9:10">
      <c r="I690" s="580">
        <v>3992</v>
      </c>
      <c r="J690" s="581" t="s">
        <v>628</v>
      </c>
    </row>
    <row r="691" spans="9:10">
      <c r="I691" s="580">
        <v>3995</v>
      </c>
      <c r="J691" s="581" t="s">
        <v>628</v>
      </c>
    </row>
    <row r="692" spans="9:10">
      <c r="I692" s="580">
        <v>3996</v>
      </c>
      <c r="J692" s="581" t="s">
        <v>628</v>
      </c>
    </row>
    <row r="693" spans="9:10">
      <c r="I693" s="580">
        <v>3997</v>
      </c>
      <c r="J693" s="581" t="s">
        <v>628</v>
      </c>
    </row>
    <row r="694" spans="9:10">
      <c r="I694" s="580">
        <v>3998</v>
      </c>
      <c r="J694" s="581" t="s">
        <v>628</v>
      </c>
    </row>
    <row r="695" spans="9:10">
      <c r="I695">
        <v>3084</v>
      </c>
      <c r="J695" t="s">
        <v>117</v>
      </c>
    </row>
    <row r="696" spans="9:10">
      <c r="I696">
        <v>3093</v>
      </c>
      <c r="J696" t="s">
        <v>117</v>
      </c>
    </row>
    <row r="697" spans="9:10">
      <c r="I697">
        <v>3106</v>
      </c>
      <c r="J697" t="s">
        <v>117</v>
      </c>
    </row>
    <row r="698" spans="9:10">
      <c r="I698">
        <v>3107</v>
      </c>
      <c r="J698" t="s">
        <v>117</v>
      </c>
    </row>
    <row r="699" spans="9:10">
      <c r="I699">
        <v>3109</v>
      </c>
      <c r="J699" t="s">
        <v>117</v>
      </c>
    </row>
    <row r="700" spans="9:10">
      <c r="I700">
        <v>3111</v>
      </c>
      <c r="J700" t="s">
        <v>117</v>
      </c>
    </row>
    <row r="701" spans="9:10">
      <c r="I701">
        <v>3113</v>
      </c>
      <c r="J701" t="s">
        <v>117</v>
      </c>
    </row>
    <row r="702" spans="9:10">
      <c r="I702">
        <v>3114</v>
      </c>
      <c r="J702" t="s">
        <v>117</v>
      </c>
    </row>
    <row r="703" spans="9:10">
      <c r="I703">
        <v>3128</v>
      </c>
      <c r="J703" t="s">
        <v>117</v>
      </c>
    </row>
    <row r="704" spans="9:10">
      <c r="I704">
        <v>3130</v>
      </c>
      <c r="J704" t="s">
        <v>117</v>
      </c>
    </row>
    <row r="705" spans="9:10">
      <c r="I705">
        <v>3131</v>
      </c>
      <c r="J705" t="s">
        <v>117</v>
      </c>
    </row>
    <row r="706" spans="9:10">
      <c r="I706">
        <v>3132</v>
      </c>
      <c r="J706" t="s">
        <v>117</v>
      </c>
    </row>
    <row r="707" spans="9:10">
      <c r="I707">
        <v>3133</v>
      </c>
      <c r="J707" t="s">
        <v>117</v>
      </c>
    </row>
    <row r="708" spans="9:10">
      <c r="I708">
        <v>3134</v>
      </c>
      <c r="J708" t="s">
        <v>117</v>
      </c>
    </row>
    <row r="709" spans="9:10">
      <c r="I709">
        <v>3145</v>
      </c>
      <c r="J709" t="s">
        <v>117</v>
      </c>
    </row>
    <row r="710" spans="9:10">
      <c r="I710">
        <v>3146</v>
      </c>
      <c r="J710" t="s">
        <v>117</v>
      </c>
    </row>
    <row r="711" spans="9:10">
      <c r="I711">
        <v>3147</v>
      </c>
      <c r="J711" t="s">
        <v>117</v>
      </c>
    </row>
    <row r="712" spans="9:10">
      <c r="I712">
        <v>3148</v>
      </c>
      <c r="J712" t="s">
        <v>117</v>
      </c>
    </row>
    <row r="713" spans="9:10">
      <c r="I713">
        <v>3149</v>
      </c>
      <c r="J713" t="s">
        <v>117</v>
      </c>
    </row>
    <row r="714" spans="9:10">
      <c r="I714">
        <v>3150</v>
      </c>
      <c r="J714" t="s">
        <v>117</v>
      </c>
    </row>
    <row r="715" spans="9:10">
      <c r="I715">
        <v>3151</v>
      </c>
      <c r="J715" t="s">
        <v>117</v>
      </c>
    </row>
    <row r="716" spans="9:10">
      <c r="I716">
        <v>3152</v>
      </c>
      <c r="J716" t="s">
        <v>117</v>
      </c>
    </row>
    <row r="717" spans="9:10">
      <c r="I717">
        <v>3156</v>
      </c>
      <c r="J717" t="s">
        <v>117</v>
      </c>
    </row>
    <row r="718" spans="9:10">
      <c r="I718">
        <v>3162</v>
      </c>
      <c r="J718" t="s">
        <v>117</v>
      </c>
    </row>
    <row r="719" spans="9:10">
      <c r="I719">
        <v>3163</v>
      </c>
      <c r="J719" t="s">
        <v>117</v>
      </c>
    </row>
    <row r="720" spans="9:10">
      <c r="I720">
        <v>3165</v>
      </c>
      <c r="J720" t="s">
        <v>117</v>
      </c>
    </row>
    <row r="721" spans="9:10">
      <c r="I721">
        <v>3166</v>
      </c>
      <c r="J721" t="s">
        <v>117</v>
      </c>
    </row>
    <row r="722" spans="9:10">
      <c r="I722">
        <v>3167</v>
      </c>
      <c r="J722" t="s">
        <v>117</v>
      </c>
    </row>
    <row r="723" spans="9:10">
      <c r="I723">
        <v>3168</v>
      </c>
      <c r="J723" t="s">
        <v>117</v>
      </c>
    </row>
    <row r="724" spans="9:10">
      <c r="I724">
        <v>3169</v>
      </c>
      <c r="J724" t="s">
        <v>117</v>
      </c>
    </row>
    <row r="725" spans="9:10">
      <c r="I725">
        <v>3170</v>
      </c>
      <c r="J725" t="s">
        <v>117</v>
      </c>
    </row>
    <row r="726" spans="9:10">
      <c r="I726">
        <v>3171</v>
      </c>
      <c r="J726" t="s">
        <v>117</v>
      </c>
    </row>
    <row r="727" spans="9:10">
      <c r="I727">
        <v>3172</v>
      </c>
      <c r="J727" t="s">
        <v>117</v>
      </c>
    </row>
    <row r="728" spans="9:10">
      <c r="I728">
        <v>3173</v>
      </c>
      <c r="J728" t="s">
        <v>117</v>
      </c>
    </row>
    <row r="729" spans="9:10">
      <c r="I729">
        <v>3174</v>
      </c>
      <c r="J729" t="s">
        <v>117</v>
      </c>
    </row>
    <row r="730" spans="9:10">
      <c r="I730">
        <v>3175</v>
      </c>
      <c r="J730" t="s">
        <v>117</v>
      </c>
    </row>
    <row r="731" spans="9:10">
      <c r="I731">
        <v>3177</v>
      </c>
      <c r="J731" t="s">
        <v>117</v>
      </c>
    </row>
    <row r="732" spans="9:10">
      <c r="I732">
        <v>3178</v>
      </c>
      <c r="J732" t="s">
        <v>117</v>
      </c>
    </row>
    <row r="733" spans="9:10">
      <c r="I733">
        <v>3179</v>
      </c>
      <c r="J733" t="s">
        <v>117</v>
      </c>
    </row>
    <row r="734" spans="9:10">
      <c r="I734">
        <v>3180</v>
      </c>
      <c r="J734" t="s">
        <v>117</v>
      </c>
    </row>
    <row r="735" spans="9:10">
      <c r="I735">
        <v>3184</v>
      </c>
      <c r="J735" t="s">
        <v>117</v>
      </c>
    </row>
    <row r="736" spans="9:10">
      <c r="I736">
        <v>3185</v>
      </c>
      <c r="J736" t="s">
        <v>117</v>
      </c>
    </row>
    <row r="737" spans="9:10">
      <c r="I737">
        <v>3186</v>
      </c>
      <c r="J737" t="s">
        <v>117</v>
      </c>
    </row>
    <row r="738" spans="9:10">
      <c r="I738">
        <v>3187</v>
      </c>
      <c r="J738" t="s">
        <v>117</v>
      </c>
    </row>
    <row r="739" spans="9:10">
      <c r="I739">
        <v>3188</v>
      </c>
      <c r="J739" t="s">
        <v>117</v>
      </c>
    </row>
    <row r="740" spans="9:10">
      <c r="I740">
        <v>3189</v>
      </c>
      <c r="J740" t="s">
        <v>117</v>
      </c>
    </row>
    <row r="741" spans="9:10">
      <c r="I741">
        <v>3190</v>
      </c>
      <c r="J741" t="s">
        <v>117</v>
      </c>
    </row>
    <row r="742" spans="9:10">
      <c r="I742">
        <v>3191</v>
      </c>
      <c r="J742" t="s">
        <v>117</v>
      </c>
    </row>
    <row r="743" spans="9:10">
      <c r="I743">
        <v>3192</v>
      </c>
      <c r="J743" t="s">
        <v>117</v>
      </c>
    </row>
    <row r="744" spans="9:10">
      <c r="I744">
        <v>3193</v>
      </c>
      <c r="J744" t="s">
        <v>117</v>
      </c>
    </row>
    <row r="745" spans="9:10">
      <c r="I745">
        <v>3194</v>
      </c>
      <c r="J745" t="s">
        <v>117</v>
      </c>
    </row>
    <row r="746" spans="9:10">
      <c r="I746">
        <v>3195</v>
      </c>
      <c r="J746" t="s">
        <v>117</v>
      </c>
    </row>
    <row r="747" spans="9:10">
      <c r="I747">
        <v>3196</v>
      </c>
      <c r="J747" t="s">
        <v>117</v>
      </c>
    </row>
    <row r="748" spans="9:10">
      <c r="I748">
        <v>3197</v>
      </c>
      <c r="J748" t="s">
        <v>117</v>
      </c>
    </row>
    <row r="749" spans="9:10">
      <c r="I749">
        <v>3198</v>
      </c>
      <c r="J749" t="s">
        <v>117</v>
      </c>
    </row>
    <row r="750" spans="9:10">
      <c r="I750">
        <v>3199</v>
      </c>
      <c r="J750" t="s">
        <v>117</v>
      </c>
    </row>
    <row r="751" spans="9:10">
      <c r="I751">
        <v>3200</v>
      </c>
      <c r="J751" t="s">
        <v>117</v>
      </c>
    </row>
    <row r="752" spans="9:10">
      <c r="I752">
        <v>3201</v>
      </c>
      <c r="J752" t="s">
        <v>117</v>
      </c>
    </row>
    <row r="753" spans="9:10">
      <c r="I753">
        <v>3202</v>
      </c>
      <c r="J753" t="s">
        <v>117</v>
      </c>
    </row>
    <row r="754" spans="9:10">
      <c r="I754">
        <v>3204</v>
      </c>
      <c r="J754" t="s">
        <v>117</v>
      </c>
    </row>
    <row r="755" spans="9:10">
      <c r="I755">
        <v>3802</v>
      </c>
      <c r="J755" t="s">
        <v>117</v>
      </c>
    </row>
    <row r="756" spans="9:10">
      <c r="I756">
        <v>3803</v>
      </c>
      <c r="J756" t="s">
        <v>117</v>
      </c>
    </row>
    <row r="757" spans="9:10">
      <c r="I757">
        <v>3804</v>
      </c>
      <c r="J757" t="s">
        <v>117</v>
      </c>
    </row>
    <row r="758" spans="9:10">
      <c r="I758">
        <v>3910</v>
      </c>
      <c r="J758" t="s">
        <v>117</v>
      </c>
    </row>
    <row r="759" spans="9:10">
      <c r="I759">
        <v>3911</v>
      </c>
      <c r="J759" t="s">
        <v>117</v>
      </c>
    </row>
    <row r="760" spans="9:10">
      <c r="I760">
        <v>3912</v>
      </c>
      <c r="J760" t="s">
        <v>117</v>
      </c>
    </row>
    <row r="761" spans="9:10">
      <c r="I761">
        <v>3913</v>
      </c>
      <c r="J761" t="s">
        <v>117</v>
      </c>
    </row>
    <row r="762" spans="9:10">
      <c r="I762">
        <v>3915</v>
      </c>
      <c r="J762" t="s">
        <v>117</v>
      </c>
    </row>
    <row r="763" spans="9:10">
      <c r="I763">
        <v>3916</v>
      </c>
      <c r="J763" t="s">
        <v>117</v>
      </c>
    </row>
    <row r="764" spans="9:10">
      <c r="I764">
        <v>3918</v>
      </c>
      <c r="J764" t="s">
        <v>117</v>
      </c>
    </row>
    <row r="765" spans="9:10">
      <c r="I765">
        <v>3919</v>
      </c>
      <c r="J765" t="s">
        <v>117</v>
      </c>
    </row>
    <row r="766" spans="9:10">
      <c r="I766">
        <v>3920</v>
      </c>
      <c r="J766" t="s">
        <v>117</v>
      </c>
    </row>
    <row r="767" spans="9:10">
      <c r="I767">
        <v>3926</v>
      </c>
      <c r="J767" t="s">
        <v>117</v>
      </c>
    </row>
    <row r="768" spans="9:10">
      <c r="I768">
        <v>3927</v>
      </c>
      <c r="J768" t="s">
        <v>117</v>
      </c>
    </row>
    <row r="769" spans="9:10">
      <c r="I769">
        <v>3928</v>
      </c>
      <c r="J769" t="s">
        <v>117</v>
      </c>
    </row>
    <row r="770" spans="9:10">
      <c r="I770">
        <v>3929</v>
      </c>
      <c r="J770" t="s">
        <v>117</v>
      </c>
    </row>
    <row r="771" spans="9:10">
      <c r="I771">
        <v>3930</v>
      </c>
      <c r="J771" t="s">
        <v>117</v>
      </c>
    </row>
    <row r="772" spans="9:10">
      <c r="I772">
        <v>3931</v>
      </c>
      <c r="J772" t="s">
        <v>117</v>
      </c>
    </row>
    <row r="773" spans="9:10">
      <c r="I773">
        <v>3933</v>
      </c>
      <c r="J773" t="s">
        <v>117</v>
      </c>
    </row>
    <row r="774" spans="9:10">
      <c r="I774">
        <v>3934</v>
      </c>
      <c r="J774" t="s">
        <v>117</v>
      </c>
    </row>
    <row r="775" spans="9:10">
      <c r="I775">
        <v>3936</v>
      </c>
      <c r="J775" t="s">
        <v>117</v>
      </c>
    </row>
    <row r="776" spans="9:10">
      <c r="I776">
        <v>3937</v>
      </c>
      <c r="J776" t="s">
        <v>117</v>
      </c>
    </row>
    <row r="777" spans="9:10">
      <c r="I777">
        <v>3938</v>
      </c>
      <c r="J777" t="s">
        <v>117</v>
      </c>
    </row>
    <row r="778" spans="9:10">
      <c r="I778">
        <v>3939</v>
      </c>
      <c r="J778" t="s">
        <v>117</v>
      </c>
    </row>
    <row r="779" spans="9:10">
      <c r="I779">
        <v>3940</v>
      </c>
      <c r="J779" t="s">
        <v>117</v>
      </c>
    </row>
    <row r="780" spans="9:10">
      <c r="I780">
        <v>3941</v>
      </c>
      <c r="J780" t="s">
        <v>117</v>
      </c>
    </row>
    <row r="781" spans="9:10">
      <c r="I781">
        <v>3942</v>
      </c>
      <c r="J781" t="s">
        <v>117</v>
      </c>
    </row>
    <row r="782" spans="9:10">
      <c r="I782">
        <v>3943</v>
      </c>
      <c r="J782" t="s">
        <v>117</v>
      </c>
    </row>
    <row r="783" spans="9:10">
      <c r="I783">
        <v>3944</v>
      </c>
      <c r="J783" t="s">
        <v>117</v>
      </c>
    </row>
    <row r="784" spans="9:10">
      <c r="I784">
        <v>3975</v>
      </c>
      <c r="J784" t="s">
        <v>117</v>
      </c>
    </row>
    <row r="785" spans="9:10">
      <c r="I785">
        <v>3976</v>
      </c>
      <c r="J785" t="s">
        <v>117</v>
      </c>
    </row>
    <row r="786" spans="9:10">
      <c r="I786">
        <v>3977</v>
      </c>
      <c r="J786" t="s">
        <v>117</v>
      </c>
    </row>
  </sheetData>
  <mergeCells count="3">
    <mergeCell ref="T1:U1"/>
    <mergeCell ref="T7:U7"/>
    <mergeCell ref="AB9:AB12"/>
  </mergeCell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ABAD2-B174-4E1B-ACE7-4F02D46EE2B5}">
  <sheetPr codeName="Sheet24">
    <tabColor rgb="FF7030A0"/>
  </sheetPr>
  <dimension ref="B1:AE70"/>
  <sheetViews>
    <sheetView workbookViewId="0">
      <selection activeCell="Q40" sqref="Q40"/>
    </sheetView>
  </sheetViews>
  <sheetFormatPr defaultColWidth="8.09765625" defaultRowHeight="15.6"/>
  <cols>
    <col min="1" max="1" width="3.3984375" style="867" customWidth="1"/>
    <col min="2" max="2" width="15.5" style="867" customWidth="1"/>
    <col min="3" max="3" width="10.59765625" style="867" customWidth="1"/>
    <col min="4" max="4" width="6.59765625" style="867" customWidth="1"/>
    <col min="5" max="5" width="25" style="867" bestFit="1" customWidth="1"/>
    <col min="6" max="7" width="17.09765625" style="867" customWidth="1"/>
    <col min="8" max="8" width="19.59765625" style="869" customWidth="1"/>
    <col min="9" max="9" width="29.59765625" style="869" customWidth="1"/>
    <col min="10" max="13" width="29.59765625" style="867" customWidth="1"/>
    <col min="14" max="14" width="238.09765625" style="867" bestFit="1" customWidth="1"/>
    <col min="15" max="15" width="23.09765625" style="867" customWidth="1"/>
    <col min="16" max="16" width="15.59765625" style="867" customWidth="1"/>
    <col min="17" max="17" width="25.59765625" style="867" bestFit="1" customWidth="1"/>
    <col min="18" max="18" width="10.09765625" style="869" customWidth="1"/>
    <col min="19" max="19" width="22.8984375" style="869" bestFit="1" customWidth="1"/>
    <col min="20" max="20" width="13.59765625" style="869" customWidth="1"/>
    <col min="21" max="21" width="9.3984375" style="869" customWidth="1"/>
    <col min="22" max="22" width="22.59765625" style="869" customWidth="1"/>
    <col min="23" max="26" width="23.59765625" style="869" customWidth="1"/>
    <col min="27" max="27" width="40.09765625" style="869" customWidth="1"/>
    <col min="28" max="28" width="8.09765625" style="869"/>
    <col min="29" max="29" width="8.09765625" style="867"/>
    <col min="30" max="30" width="4.59765625" style="867" bestFit="1" customWidth="1"/>
    <col min="31" max="31" width="24.09765625" style="867" customWidth="1"/>
    <col min="32" max="32" width="16.09765625" style="867" bestFit="1" customWidth="1"/>
    <col min="33" max="16384" width="8.09765625" style="867"/>
  </cols>
  <sheetData>
    <row r="1" spans="2:31" ht="17.399999999999999">
      <c r="B1" s="866"/>
      <c r="C1" s="866"/>
      <c r="D1" s="1209"/>
      <c r="E1" s="1401" t="s">
        <v>673</v>
      </c>
      <c r="F1" s="1402"/>
      <c r="G1" s="1402"/>
      <c r="H1" s="1402"/>
      <c r="I1" s="1402"/>
      <c r="J1" s="1402"/>
      <c r="K1" s="1402"/>
      <c r="L1" s="870"/>
      <c r="N1" s="869"/>
      <c r="O1" s="869"/>
      <c r="AA1" s="867"/>
      <c r="AB1" s="867"/>
    </row>
    <row r="2" spans="2:31" ht="46.8">
      <c r="B2" s="866"/>
      <c r="C2" s="866"/>
      <c r="E2" s="893" t="s">
        <v>50</v>
      </c>
      <c r="F2" s="894" t="s">
        <v>674</v>
      </c>
      <c r="G2" s="894" t="s">
        <v>675</v>
      </c>
      <c r="H2" s="894" t="s">
        <v>676</v>
      </c>
      <c r="I2" s="895" t="s">
        <v>677</v>
      </c>
      <c r="J2" s="895" t="s">
        <v>678</v>
      </c>
      <c r="K2" s="895" t="s">
        <v>679</v>
      </c>
      <c r="L2" s="896" t="s">
        <v>680</v>
      </c>
      <c r="N2" s="869"/>
      <c r="O2" s="869"/>
      <c r="AA2" s="867"/>
      <c r="AB2" s="867"/>
    </row>
    <row r="3" spans="2:31" ht="16.2" thickBot="1">
      <c r="B3" s="866"/>
      <c r="C3" s="866"/>
      <c r="E3" s="897" t="str">
        <f>SOLAR!E31</f>
        <v>Ausgrid</v>
      </c>
      <c r="F3" s="898">
        <f>SOLAR!F23</f>
        <v>0</v>
      </c>
      <c r="G3" s="898">
        <f>'AC Calculator'!B15</f>
        <v>110</v>
      </c>
      <c r="H3" s="898">
        <f>BESS!F4</f>
        <v>50</v>
      </c>
      <c r="I3" s="898">
        <f>G3+F3</f>
        <v>110</v>
      </c>
      <c r="J3" s="898">
        <f>H3+F3</f>
        <v>50</v>
      </c>
      <c r="K3" s="898" t="str">
        <f>SOLAR!F24</f>
        <v>No</v>
      </c>
      <c r="L3" s="899" t="str">
        <f>IF(OR(SOLAR!D59="Export Limiting GPU",SOLAR!D59="Master-Slave Export Limiting GPU"),"Yes","No")</f>
        <v>No</v>
      </c>
      <c r="N3" s="869"/>
      <c r="O3" s="869"/>
      <c r="AA3" s="867"/>
      <c r="AB3" s="867"/>
    </row>
    <row r="4" spans="2:31">
      <c r="B4" s="866"/>
      <c r="C4" s="866"/>
      <c r="E4" s="867" t="str">
        <f>IF(E3='DNSP Calc'!U10,"","DNSP Different From NMI")</f>
        <v>DNSP Different From NMI</v>
      </c>
      <c r="H4" s="867"/>
      <c r="I4" s="867"/>
      <c r="N4" s="869"/>
      <c r="O4" s="869"/>
      <c r="AA4" s="867"/>
      <c r="AB4" s="867"/>
    </row>
    <row r="5" spans="2:31">
      <c r="H5" s="867"/>
      <c r="I5" s="867"/>
      <c r="AA5" s="867"/>
      <c r="AB5" s="867"/>
    </row>
    <row r="6" spans="2:31" ht="18.600000000000001" thickBot="1">
      <c r="D6" s="868"/>
      <c r="H6" s="867"/>
      <c r="I6" s="867"/>
      <c r="M6" s="939" t="s">
        <v>681</v>
      </c>
      <c r="AA6" s="867"/>
      <c r="AB6" s="867"/>
    </row>
    <row r="7" spans="2:31" ht="39.6">
      <c r="B7" s="872" t="s">
        <v>682</v>
      </c>
      <c r="C7" s="873" t="s">
        <v>683</v>
      </c>
      <c r="D7" s="874" t="s">
        <v>264</v>
      </c>
      <c r="E7" s="873" t="s">
        <v>50</v>
      </c>
      <c r="F7" s="873" t="s">
        <v>684</v>
      </c>
      <c r="G7" s="873" t="s">
        <v>685</v>
      </c>
      <c r="H7" s="873" t="s">
        <v>686</v>
      </c>
      <c r="I7" s="873" t="s">
        <v>687</v>
      </c>
      <c r="J7" s="873" t="s">
        <v>688</v>
      </c>
      <c r="K7" s="875" t="s">
        <v>689</v>
      </c>
      <c r="L7" s="875" t="s">
        <v>690</v>
      </c>
      <c r="M7" s="938" t="s">
        <v>691</v>
      </c>
      <c r="N7" s="876" t="s">
        <v>692</v>
      </c>
      <c r="P7" s="1403" t="s">
        <v>693</v>
      </c>
      <c r="Q7" s="1404"/>
      <c r="R7" s="866"/>
      <c r="S7" s="1407" t="s">
        <v>309</v>
      </c>
      <c r="T7" s="1408"/>
      <c r="U7" s="1408"/>
      <c r="V7" s="1408"/>
      <c r="W7" s="1409"/>
      <c r="X7" s="866"/>
      <c r="Y7" s="866"/>
      <c r="Z7" s="866"/>
      <c r="AA7" s="866"/>
      <c r="AB7" s="866"/>
      <c r="AC7" s="866"/>
      <c r="AD7" s="866"/>
      <c r="AE7" s="866"/>
    </row>
    <row r="8" spans="2:31" ht="15.6" customHeight="1">
      <c r="B8" s="877" t="b">
        <f>IF(AND($E$3=E8,$J$3&gt;=F8, $J$3&lt;=G8),TRUE,FALSE)</f>
        <v>0</v>
      </c>
      <c r="C8" s="878" t="b">
        <f>IF(AND($E$3='1. Prelim'!E8,$I$3&gt;=F8, $I$3&lt;=G8),TRUE,FALSE)</f>
        <v>0</v>
      </c>
      <c r="D8" s="844" t="s">
        <v>615</v>
      </c>
      <c r="E8" s="851" t="s">
        <v>119</v>
      </c>
      <c r="F8" s="851">
        <v>0</v>
      </c>
      <c r="G8" s="851">
        <v>30</v>
      </c>
      <c r="H8" s="845">
        <v>0</v>
      </c>
      <c r="I8" s="845">
        <v>0</v>
      </c>
      <c r="J8" s="845">
        <v>0</v>
      </c>
      <c r="K8" s="846">
        <f>6522+SUM($H$11:$J$11)-SUM(H8:J8)</f>
        <v>29426</v>
      </c>
      <c r="L8" s="845">
        <v>0</v>
      </c>
      <c r="M8" s="846">
        <f t="shared" ref="M8:M10" si="0">H8+I8+J8+IF($K$3&lt;&gt;"No",K8,0)+IF($L$3&lt;&gt;"No",L8,0)</f>
        <v>0</v>
      </c>
      <c r="N8" s="879" t="s">
        <v>694</v>
      </c>
      <c r="P8" s="1405"/>
      <c r="Q8" s="1406"/>
      <c r="R8" s="866"/>
      <c r="S8" s="1410"/>
      <c r="T8" s="1411"/>
      <c r="U8" s="1411"/>
      <c r="V8" s="1411"/>
      <c r="W8" s="1412"/>
      <c r="X8" s="866"/>
      <c r="Y8" s="866"/>
      <c r="Z8" s="866"/>
      <c r="AA8" s="866"/>
      <c r="AB8" s="866"/>
      <c r="AC8" s="866"/>
      <c r="AD8" s="866"/>
      <c r="AE8" s="866"/>
    </row>
    <row r="9" spans="2:31" ht="43.2">
      <c r="B9" s="877" t="b">
        <f t="shared" ref="B9:B11" si="1">IF(AND($E$3=E9,$J$3&gt;=F9, $J$3&lt;=G9),TRUE,FALSE)</f>
        <v>0</v>
      </c>
      <c r="C9" s="878" t="b">
        <f>IF(AND($E$3='1. Prelim'!E9,$I$3&gt;=F9, $I$3&lt;=G9),TRUE,FALSE)</f>
        <v>0</v>
      </c>
      <c r="D9" s="844" t="s">
        <v>615</v>
      </c>
      <c r="E9" s="851" t="s">
        <v>119</v>
      </c>
      <c r="F9" s="851">
        <v>30.01</v>
      </c>
      <c r="G9" s="851">
        <v>200</v>
      </c>
      <c r="H9" s="846">
        <v>0</v>
      </c>
      <c r="I9" s="846">
        <v>5038</v>
      </c>
      <c r="J9" s="845">
        <v>0</v>
      </c>
      <c r="K9" s="846">
        <f>6522+SUM($H$11:$J$11)-SUM(H9:J9)</f>
        <v>24388</v>
      </c>
      <c r="L9" s="845">
        <v>0</v>
      </c>
      <c r="M9" s="846">
        <f t="shared" si="0"/>
        <v>5038</v>
      </c>
      <c r="N9" s="931" t="s">
        <v>695</v>
      </c>
      <c r="O9" s="1210"/>
      <c r="P9" s="919" t="s">
        <v>696</v>
      </c>
      <c r="Q9" s="920" t="s">
        <v>697</v>
      </c>
      <c r="R9" s="866"/>
      <c r="S9" s="903" t="s">
        <v>50</v>
      </c>
      <c r="T9" s="900" t="s">
        <v>698</v>
      </c>
      <c r="U9" s="900" t="s">
        <v>699</v>
      </c>
      <c r="V9" s="900" t="s">
        <v>700</v>
      </c>
      <c r="W9" s="904" t="s">
        <v>682</v>
      </c>
      <c r="X9" s="866"/>
      <c r="Y9" s="866"/>
      <c r="Z9" s="866"/>
      <c r="AA9" s="866"/>
      <c r="AB9" s="866"/>
      <c r="AC9" s="866"/>
      <c r="AD9" s="866"/>
      <c r="AE9" s="866"/>
    </row>
    <row r="10" spans="2:31" ht="28.8">
      <c r="B10" s="877" t="b">
        <f t="shared" si="1"/>
        <v>0</v>
      </c>
      <c r="C10" s="878" t="b">
        <f>IF(AND($E$3='1. Prelim'!E10,$I$3&gt;=F10, $I$3&lt;=G10),TRUE,FALSE)</f>
        <v>0</v>
      </c>
      <c r="D10" s="844" t="s">
        <v>615</v>
      </c>
      <c r="E10" s="851" t="s">
        <v>119</v>
      </c>
      <c r="F10" s="851">
        <v>200.01</v>
      </c>
      <c r="G10" s="851">
        <v>500</v>
      </c>
      <c r="H10" s="846">
        <v>0</v>
      </c>
      <c r="I10" s="846">
        <v>5038</v>
      </c>
      <c r="J10" s="845">
        <v>0</v>
      </c>
      <c r="K10" s="846">
        <f>6522+SUM($H$11:$J$11)-SUM(H10:J10)</f>
        <v>24388</v>
      </c>
      <c r="L10" s="845">
        <v>21362</v>
      </c>
      <c r="M10" s="846">
        <f t="shared" si="0"/>
        <v>5038</v>
      </c>
      <c r="N10" s="931" t="s">
        <v>701</v>
      </c>
      <c r="O10" s="1210"/>
      <c r="P10" s="921" t="s">
        <v>304</v>
      </c>
      <c r="Q10" s="922">
        <v>0</v>
      </c>
      <c r="R10" s="866"/>
      <c r="S10" s="905" t="s">
        <v>312</v>
      </c>
      <c r="T10" s="901" t="s">
        <v>648</v>
      </c>
      <c r="U10" s="227">
        <v>0</v>
      </c>
      <c r="V10" s="912">
        <f>IF($I$3&gt;T10,U10,0)</f>
        <v>0</v>
      </c>
      <c r="W10" s="915">
        <f>IF($J$3&gt;T10,U10,0)</f>
        <v>0</v>
      </c>
      <c r="X10" s="866"/>
      <c r="Y10" s="866"/>
      <c r="Z10" s="866"/>
      <c r="AA10" s="866"/>
      <c r="AB10" s="866"/>
      <c r="AC10" s="866"/>
      <c r="AD10" s="866"/>
      <c r="AE10" s="866"/>
    </row>
    <row r="11" spans="2:31" ht="28.8">
      <c r="B11" s="877" t="b">
        <f t="shared" si="1"/>
        <v>0</v>
      </c>
      <c r="C11" s="878" t="b">
        <f>IF(AND($E$3='1. Prelim'!E11,$I$3&gt;=F11, $I$3&lt;=G11),TRUE,FALSE)</f>
        <v>0</v>
      </c>
      <c r="D11" s="844" t="s">
        <v>615</v>
      </c>
      <c r="E11" s="851" t="s">
        <v>119</v>
      </c>
      <c r="F11" s="851">
        <v>500.01</v>
      </c>
      <c r="G11" s="851">
        <v>5000</v>
      </c>
      <c r="H11" s="846">
        <v>0</v>
      </c>
      <c r="I11" s="846">
        <v>4268</v>
      </c>
      <c r="J11" s="845">
        <f>5194+13442</f>
        <v>18636</v>
      </c>
      <c r="K11" s="846">
        <v>6522</v>
      </c>
      <c r="L11" s="845">
        <v>0</v>
      </c>
      <c r="M11" s="846">
        <f>H11+I11+J11+IF($K$3&lt;&gt;"No",K11,0)+IF($L$3&lt;&gt;"No",L11,0)</f>
        <v>22904</v>
      </c>
      <c r="N11" s="931" t="s">
        <v>701</v>
      </c>
      <c r="O11" s="1210"/>
      <c r="P11" s="923" t="s">
        <v>702</v>
      </c>
      <c r="Q11" s="924">
        <f>3000+SUM(SOLAR!I31,SOLAR!I33:I103)*1.2*0.01+IF(SOLAR!F18&lt;&gt;"QLD",0,SUM(SOLAR!I31,SOLAR!I33:I103)*1.2*0.00575)</f>
        <v>4106.4563152938663</v>
      </c>
      <c r="R11" s="866"/>
      <c r="S11" s="907" t="s">
        <v>109</v>
      </c>
      <c r="T11" s="902">
        <v>200</v>
      </c>
      <c r="U11" s="29">
        <v>1000</v>
      </c>
      <c r="V11" s="913">
        <f t="shared" ref="V11:V25" si="2">IF($I$3&gt;T11,U11,0)</f>
        <v>0</v>
      </c>
      <c r="W11" s="917">
        <f>IF($J$3&gt;T11,U11,0)</f>
        <v>0</v>
      </c>
      <c r="X11" s="866"/>
      <c r="Y11" s="866"/>
      <c r="Z11" s="866"/>
      <c r="AA11" s="866"/>
      <c r="AB11" s="866"/>
      <c r="AC11" s="866"/>
      <c r="AD11" s="866"/>
      <c r="AE11" s="866"/>
    </row>
    <row r="12" spans="2:31" ht="21" customHeight="1">
      <c r="B12" s="877" t="b">
        <f t="shared" ref="B12:B18" si="3">IF(AND($E$3=E12,$J$3&gt;=F12, $J$3&lt;=G12),TRUE,FALSE)</f>
        <v>0</v>
      </c>
      <c r="C12" s="878" t="b">
        <f>IF(AND($E$3='1. Prelim'!E12,$I$3&gt;=F12, $I$3&lt;=G12),TRUE,FALSE)</f>
        <v>0</v>
      </c>
      <c r="D12" s="847" t="s">
        <v>616</v>
      </c>
      <c r="E12" s="852" t="s">
        <v>628</v>
      </c>
      <c r="F12" s="852">
        <v>0</v>
      </c>
      <c r="G12" s="852">
        <v>30</v>
      </c>
      <c r="H12" s="848">
        <v>0</v>
      </c>
      <c r="I12" s="848">
        <v>405</v>
      </c>
      <c r="J12" s="849">
        <v>0</v>
      </c>
      <c r="K12" s="848" t="s">
        <v>703</v>
      </c>
      <c r="L12" s="848">
        <v>0</v>
      </c>
      <c r="M12" s="848">
        <f t="shared" ref="M12:M23" si="4">H12+I12+J12+IF($K$3&lt;&gt;"No",K12,0)+IF($L$3&lt;&gt;"No",L12,0)</f>
        <v>405</v>
      </c>
      <c r="N12" s="880" t="s">
        <v>694</v>
      </c>
      <c r="P12" s="925" t="s">
        <v>138</v>
      </c>
      <c r="Q12" s="926">
        <v>0</v>
      </c>
      <c r="R12" s="866"/>
      <c r="S12" s="905" t="s">
        <v>106</v>
      </c>
      <c r="T12" s="901" t="s">
        <v>648</v>
      </c>
      <c r="U12" s="227">
        <v>0</v>
      </c>
      <c r="V12" s="912">
        <f t="shared" si="2"/>
        <v>0</v>
      </c>
      <c r="W12" s="915">
        <f t="shared" ref="W12:W25" si="5">IF($J$3&gt;T12,U12,0)</f>
        <v>0</v>
      </c>
      <c r="X12" s="866"/>
      <c r="Y12" s="866"/>
      <c r="Z12" s="866"/>
      <c r="AA12" s="866"/>
      <c r="AB12" s="866"/>
      <c r="AC12" s="866"/>
      <c r="AD12" s="866"/>
      <c r="AE12" s="866"/>
    </row>
    <row r="13" spans="2:31" ht="36" customHeight="1" thickBot="1">
      <c r="B13" s="877" t="b">
        <f t="shared" si="3"/>
        <v>0</v>
      </c>
      <c r="C13" s="878" t="b">
        <f>IF(AND($E$3='1. Prelim'!E13,$I$3&gt;=F13, $I$3&lt;=G13),TRUE,FALSE)</f>
        <v>0</v>
      </c>
      <c r="D13" s="847" t="s">
        <v>616</v>
      </c>
      <c r="E13" s="852" t="s">
        <v>628</v>
      </c>
      <c r="F13" s="852">
        <v>30.01</v>
      </c>
      <c r="G13" s="852">
        <v>200</v>
      </c>
      <c r="H13" s="848">
        <v>0</v>
      </c>
      <c r="I13" s="848">
        <v>2200</v>
      </c>
      <c r="J13" s="849">
        <v>0</v>
      </c>
      <c r="K13" s="848" t="s">
        <v>703</v>
      </c>
      <c r="L13" s="848">
        <v>0</v>
      </c>
      <c r="M13" s="848">
        <f t="shared" si="4"/>
        <v>2200</v>
      </c>
      <c r="N13" s="880" t="s">
        <v>704</v>
      </c>
      <c r="P13" s="866"/>
      <c r="Q13" s="866"/>
      <c r="R13" s="866"/>
      <c r="S13" s="907" t="s">
        <v>104</v>
      </c>
      <c r="T13" s="902" t="s">
        <v>648</v>
      </c>
      <c r="U13" s="29">
        <v>0</v>
      </c>
      <c r="V13" s="913">
        <f t="shared" si="2"/>
        <v>0</v>
      </c>
      <c r="W13" s="917">
        <f t="shared" si="5"/>
        <v>0</v>
      </c>
      <c r="X13" s="866"/>
      <c r="Y13" s="866"/>
      <c r="Z13" s="866"/>
      <c r="AA13" s="866"/>
      <c r="AB13" s="866"/>
      <c r="AC13" s="866"/>
      <c r="AD13" s="866"/>
      <c r="AE13" s="866"/>
    </row>
    <row r="14" spans="2:31">
      <c r="B14" s="877" t="b">
        <f t="shared" si="3"/>
        <v>0</v>
      </c>
      <c r="C14" s="878" t="b">
        <f>IF(AND($E$3='1. Prelim'!E14,$I$3&gt;=F14, $I$3&lt;=G14),TRUE,FALSE)</f>
        <v>0</v>
      </c>
      <c r="D14" s="847" t="s">
        <v>616</v>
      </c>
      <c r="E14" s="852" t="s">
        <v>628</v>
      </c>
      <c r="F14" s="852">
        <v>200.01</v>
      </c>
      <c r="G14" s="852">
        <v>1500</v>
      </c>
      <c r="H14" s="848">
        <v>0</v>
      </c>
      <c r="I14" s="848">
        <v>3300</v>
      </c>
      <c r="J14" s="849">
        <v>4704</v>
      </c>
      <c r="K14" s="848" t="s">
        <v>703</v>
      </c>
      <c r="L14" s="848">
        <v>0</v>
      </c>
      <c r="M14" s="848">
        <f t="shared" si="4"/>
        <v>8004</v>
      </c>
      <c r="N14" s="880" t="s">
        <v>705</v>
      </c>
      <c r="P14" s="1403" t="s">
        <v>306</v>
      </c>
      <c r="Q14" s="1404"/>
      <c r="R14" s="866"/>
      <c r="S14" s="905" t="s">
        <v>127</v>
      </c>
      <c r="T14" s="901">
        <v>30</v>
      </c>
      <c r="U14" s="227">
        <v>5210</v>
      </c>
      <c r="V14" s="912">
        <f t="shared" si="2"/>
        <v>5210</v>
      </c>
      <c r="W14" s="915">
        <f t="shared" si="5"/>
        <v>5210</v>
      </c>
      <c r="X14" s="866"/>
      <c r="Y14" s="866"/>
      <c r="Z14" s="866"/>
      <c r="AA14" s="866"/>
      <c r="AB14" s="866"/>
      <c r="AC14" s="866"/>
      <c r="AD14" s="866"/>
      <c r="AE14" s="866"/>
    </row>
    <row r="15" spans="2:31">
      <c r="B15" s="877" t="b">
        <f t="shared" si="3"/>
        <v>0</v>
      </c>
      <c r="C15" s="878" t="b">
        <f>IF(AND($E$3='1. Prelim'!E15,$I$3&gt;=F15, $I$3&lt;=G15),TRUE,FALSE)</f>
        <v>0</v>
      </c>
      <c r="D15" s="847" t="s">
        <v>616</v>
      </c>
      <c r="E15" s="852" t="s">
        <v>113</v>
      </c>
      <c r="F15" s="852">
        <v>0</v>
      </c>
      <c r="G15" s="852">
        <v>200</v>
      </c>
      <c r="H15" s="848">
        <v>0</v>
      </c>
      <c r="I15" s="848">
        <v>0</v>
      </c>
      <c r="J15" s="849">
        <v>0</v>
      </c>
      <c r="K15" s="848" t="s">
        <v>703</v>
      </c>
      <c r="L15" s="848">
        <v>0</v>
      </c>
      <c r="M15" s="848">
        <f t="shared" si="4"/>
        <v>0</v>
      </c>
      <c r="N15" s="880"/>
      <c r="P15" s="1405"/>
      <c r="Q15" s="1406"/>
      <c r="R15" s="866"/>
      <c r="S15" s="907" t="s">
        <v>126</v>
      </c>
      <c r="T15" s="902">
        <v>30</v>
      </c>
      <c r="U15" s="29">
        <v>5210</v>
      </c>
      <c r="V15" s="913">
        <f t="shared" si="2"/>
        <v>5210</v>
      </c>
      <c r="W15" s="917">
        <f t="shared" si="5"/>
        <v>5210</v>
      </c>
      <c r="X15" s="866"/>
      <c r="Y15" s="866"/>
      <c r="Z15" s="866"/>
      <c r="AA15" s="866"/>
      <c r="AB15" s="866"/>
      <c r="AC15" s="866"/>
      <c r="AD15" s="866"/>
      <c r="AE15" s="866"/>
    </row>
    <row r="16" spans="2:31">
      <c r="B16" s="877" t="b">
        <f t="shared" si="3"/>
        <v>0</v>
      </c>
      <c r="C16" s="878" t="b">
        <f>IF(AND($E$3='1. Prelim'!E16,$I$3&gt;=F16, $I$3&lt;=G16),TRUE,FALSE)</f>
        <v>0</v>
      </c>
      <c r="D16" s="847" t="s">
        <v>616</v>
      </c>
      <c r="E16" s="852" t="s">
        <v>113</v>
      </c>
      <c r="F16" s="852">
        <v>200.01</v>
      </c>
      <c r="G16" s="852">
        <v>1500</v>
      </c>
      <c r="H16" s="848">
        <v>0</v>
      </c>
      <c r="I16" s="848">
        <v>2430</v>
      </c>
      <c r="J16" s="849">
        <v>3776</v>
      </c>
      <c r="K16" s="848" t="s">
        <v>703</v>
      </c>
      <c r="L16" s="848">
        <v>0</v>
      </c>
      <c r="M16" s="848">
        <f t="shared" si="4"/>
        <v>6206</v>
      </c>
      <c r="N16" s="880" t="s">
        <v>706</v>
      </c>
      <c r="P16" s="919" t="s">
        <v>293</v>
      </c>
      <c r="Q16" s="920" t="s">
        <v>697</v>
      </c>
      <c r="R16" s="866"/>
      <c r="S16" s="905" t="s">
        <v>111</v>
      </c>
      <c r="T16" s="901">
        <v>30</v>
      </c>
      <c r="U16" s="227">
        <v>1200</v>
      </c>
      <c r="V16" s="912">
        <f t="shared" si="2"/>
        <v>1200</v>
      </c>
      <c r="W16" s="915">
        <f t="shared" si="5"/>
        <v>1200</v>
      </c>
      <c r="X16" s="866"/>
      <c r="Y16" s="866"/>
      <c r="Z16" s="866"/>
      <c r="AA16" s="866"/>
      <c r="AB16" s="866"/>
      <c r="AC16" s="866"/>
      <c r="AD16" s="866"/>
      <c r="AE16" s="866"/>
    </row>
    <row r="17" spans="2:31">
      <c r="B17" s="877" t="b">
        <f t="shared" si="3"/>
        <v>0</v>
      </c>
      <c r="C17" s="878" t="b">
        <f>IF(AND($E$3='1. Prelim'!E17,$I$3&gt;=F17, $I$3&lt;=G17),TRUE,FALSE)</f>
        <v>0</v>
      </c>
      <c r="D17" s="847" t="s">
        <v>616</v>
      </c>
      <c r="E17" s="852" t="s">
        <v>115</v>
      </c>
      <c r="F17" s="852">
        <v>0</v>
      </c>
      <c r="G17" s="852">
        <v>30</v>
      </c>
      <c r="H17" s="848">
        <v>0</v>
      </c>
      <c r="I17" s="848">
        <v>0</v>
      </c>
      <c r="J17" s="849">
        <v>0</v>
      </c>
      <c r="K17" s="848" t="s">
        <v>703</v>
      </c>
      <c r="L17" s="848">
        <v>2500</v>
      </c>
      <c r="M17" s="848">
        <f t="shared" si="4"/>
        <v>0</v>
      </c>
      <c r="N17" s="880"/>
      <c r="P17" s="921" t="s">
        <v>307</v>
      </c>
      <c r="Q17" s="922">
        <f>800+SOLAR!G33*(1000+IF(SOLAR!F13&gt;800,400,0))</f>
        <v>1800</v>
      </c>
      <c r="R17" s="866"/>
      <c r="S17" s="907" t="s">
        <v>113</v>
      </c>
      <c r="T17" s="902" t="s">
        <v>648</v>
      </c>
      <c r="U17" s="29">
        <v>0</v>
      </c>
      <c r="V17" s="913">
        <f t="shared" si="2"/>
        <v>0</v>
      </c>
      <c r="W17" s="917">
        <f t="shared" si="5"/>
        <v>0</v>
      </c>
      <c r="X17" s="866"/>
      <c r="Y17" s="866"/>
      <c r="Z17" s="866"/>
      <c r="AA17" s="866"/>
      <c r="AB17" s="866"/>
      <c r="AC17" s="866"/>
      <c r="AD17" s="866"/>
      <c r="AE17" s="866"/>
    </row>
    <row r="18" spans="2:31">
      <c r="B18" s="877" t="b">
        <f t="shared" si="3"/>
        <v>0</v>
      </c>
      <c r="C18" s="878" t="b">
        <f>IF(AND($E$3='1. Prelim'!E18,$I$3&gt;=F18, $I$3&lt;=G18),TRUE,FALSE)</f>
        <v>0</v>
      </c>
      <c r="D18" s="847" t="s">
        <v>616</v>
      </c>
      <c r="E18" s="852" t="s">
        <v>115</v>
      </c>
      <c r="F18" s="852">
        <v>30.01</v>
      </c>
      <c r="G18" s="852">
        <v>200</v>
      </c>
      <c r="H18" s="848">
        <v>0</v>
      </c>
      <c r="I18" s="848">
        <v>2508</v>
      </c>
      <c r="J18" s="849">
        <v>0</v>
      </c>
      <c r="K18" s="848" t="s">
        <v>703</v>
      </c>
      <c r="L18" s="848">
        <v>0</v>
      </c>
      <c r="M18" s="848">
        <f t="shared" si="4"/>
        <v>2508</v>
      </c>
      <c r="N18" s="880" t="s">
        <v>707</v>
      </c>
      <c r="P18" s="923" t="s">
        <v>708</v>
      </c>
      <c r="Q18" s="927">
        <f>SOLAR!G33*1000</f>
        <v>1000</v>
      </c>
      <c r="R18" s="866"/>
      <c r="S18" s="905" t="s">
        <v>115</v>
      </c>
      <c r="T18" s="901">
        <v>30</v>
      </c>
      <c r="U18" s="227">
        <v>1200</v>
      </c>
      <c r="V18" s="912">
        <f t="shared" si="2"/>
        <v>1200</v>
      </c>
      <c r="W18" s="915">
        <f t="shared" si="5"/>
        <v>1200</v>
      </c>
      <c r="X18" s="866"/>
      <c r="Y18" s="866"/>
      <c r="Z18" s="866"/>
      <c r="AA18" s="866"/>
      <c r="AB18" s="866"/>
      <c r="AC18" s="866"/>
      <c r="AD18" s="866"/>
      <c r="AE18" s="866"/>
    </row>
    <row r="19" spans="2:31" ht="60.75" customHeight="1">
      <c r="B19" s="877" t="b">
        <f t="shared" ref="B19:B21" si="6">IF(AND($E$3=E19,$J$3&gt;=F19, $J$3&lt;=G19),TRUE,FALSE)</f>
        <v>0</v>
      </c>
      <c r="C19" s="878" t="b">
        <f>IF(AND($E$3='1. Prelim'!E19,$I$3&gt;=F19, $I$3&lt;=G19),TRUE,FALSE)</f>
        <v>0</v>
      </c>
      <c r="D19" s="847" t="s">
        <v>616</v>
      </c>
      <c r="E19" s="852" t="s">
        <v>115</v>
      </c>
      <c r="F19" s="852">
        <v>200.01</v>
      </c>
      <c r="G19" s="852">
        <v>500</v>
      </c>
      <c r="H19" s="848">
        <v>0</v>
      </c>
      <c r="I19" s="848">
        <v>3696</v>
      </c>
      <c r="J19" s="849">
        <v>0</v>
      </c>
      <c r="K19" s="848" t="s">
        <v>703</v>
      </c>
      <c r="L19" s="848">
        <v>0</v>
      </c>
      <c r="M19" s="848">
        <f t="shared" si="4"/>
        <v>3696</v>
      </c>
      <c r="N19" s="880" t="s">
        <v>707</v>
      </c>
      <c r="P19" s="921" t="s">
        <v>138</v>
      </c>
      <c r="Q19" s="928">
        <v>0</v>
      </c>
      <c r="R19" s="866"/>
      <c r="S19" s="907" t="s">
        <v>117</v>
      </c>
      <c r="T19" s="902">
        <v>200</v>
      </c>
      <c r="U19" s="29">
        <v>2200</v>
      </c>
      <c r="V19" s="913">
        <f t="shared" si="2"/>
        <v>0</v>
      </c>
      <c r="W19" s="917">
        <f t="shared" si="5"/>
        <v>0</v>
      </c>
      <c r="X19" s="866"/>
      <c r="Y19" s="866"/>
      <c r="Z19" s="866"/>
      <c r="AA19" s="866"/>
      <c r="AB19" s="866"/>
      <c r="AC19" s="866"/>
      <c r="AD19" s="866"/>
      <c r="AE19" s="866"/>
    </row>
    <row r="20" spans="2:31" ht="60.75" customHeight="1">
      <c r="B20" s="877" t="b">
        <f t="shared" si="6"/>
        <v>0</v>
      </c>
      <c r="C20" s="878" t="b">
        <f>IF(AND($E$3='1. Prelim'!E20,$I$3&gt;=F20, $I$3&lt;=G20),TRUE,FALSE)</f>
        <v>0</v>
      </c>
      <c r="D20" s="847" t="s">
        <v>616</v>
      </c>
      <c r="E20" s="852" t="s">
        <v>115</v>
      </c>
      <c r="F20" s="852">
        <v>500.01</v>
      </c>
      <c r="G20" s="852">
        <v>1500</v>
      </c>
      <c r="H20" s="848">
        <v>0</v>
      </c>
      <c r="I20" s="848">
        <v>8514</v>
      </c>
      <c r="J20" s="848">
        <v>0</v>
      </c>
      <c r="K20" s="848" t="s">
        <v>703</v>
      </c>
      <c r="L20" s="848">
        <v>0</v>
      </c>
      <c r="M20" s="848">
        <f t="shared" si="4"/>
        <v>8514</v>
      </c>
      <c r="N20" s="880" t="s">
        <v>707</v>
      </c>
      <c r="P20" s="929" t="s">
        <v>709</v>
      </c>
      <c r="Q20" s="930">
        <v>0</v>
      </c>
      <c r="R20" s="866"/>
      <c r="S20" s="905" t="s">
        <v>124</v>
      </c>
      <c r="T20" s="901">
        <v>30</v>
      </c>
      <c r="U20" s="227">
        <v>1000</v>
      </c>
      <c r="V20" s="912">
        <f t="shared" si="2"/>
        <v>1000</v>
      </c>
      <c r="W20" s="915">
        <f t="shared" si="5"/>
        <v>1000</v>
      </c>
      <c r="X20" s="866"/>
      <c r="Y20" s="866"/>
      <c r="Z20" s="866"/>
      <c r="AA20" s="866"/>
      <c r="AB20" s="866"/>
      <c r="AC20" s="866"/>
      <c r="AD20" s="866"/>
      <c r="AE20" s="866"/>
    </row>
    <row r="21" spans="2:31" ht="60.75" customHeight="1" thickBot="1">
      <c r="B21" s="877" t="b">
        <f t="shared" si="6"/>
        <v>0</v>
      </c>
      <c r="C21" s="878" t="b">
        <f>IF(AND($E$3='1. Prelim'!E21,$I$3&gt;=F21, $I$3&lt;=G21),TRUE,FALSE)</f>
        <v>0</v>
      </c>
      <c r="D21" s="847" t="s">
        <v>616</v>
      </c>
      <c r="E21" s="852" t="s">
        <v>115</v>
      </c>
      <c r="F21" s="852">
        <v>1500.01</v>
      </c>
      <c r="G21" s="852">
        <v>5000</v>
      </c>
      <c r="H21" s="848">
        <v>0</v>
      </c>
      <c r="I21" s="848">
        <v>15378</v>
      </c>
      <c r="J21" s="849">
        <v>0</v>
      </c>
      <c r="K21" s="848" t="s">
        <v>703</v>
      </c>
      <c r="L21" s="848">
        <v>0</v>
      </c>
      <c r="M21" s="848">
        <f t="shared" si="4"/>
        <v>15378</v>
      </c>
      <c r="N21" s="880" t="s">
        <v>707</v>
      </c>
      <c r="P21" s="866"/>
      <c r="Q21" s="866"/>
      <c r="R21" s="866"/>
      <c r="S21" s="907" t="s">
        <v>119</v>
      </c>
      <c r="T21" s="902">
        <v>30</v>
      </c>
      <c r="U21" s="29">
        <v>2000</v>
      </c>
      <c r="V21" s="913">
        <f t="shared" si="2"/>
        <v>2000</v>
      </c>
      <c r="W21" s="917">
        <f t="shared" si="5"/>
        <v>2000</v>
      </c>
      <c r="X21" s="866"/>
      <c r="Y21" s="866"/>
      <c r="Z21" s="866"/>
      <c r="AA21" s="866"/>
      <c r="AB21" s="866"/>
      <c r="AC21" s="866"/>
      <c r="AD21" s="866"/>
      <c r="AE21" s="866"/>
    </row>
    <row r="22" spans="2:31">
      <c r="B22" s="877" t="b">
        <f t="shared" ref="B22:B62" si="7">IF(AND($E$3=E22,$J$3&gt;=F22, $J$3&lt;=G22),TRUE,FALSE)</f>
        <v>0</v>
      </c>
      <c r="C22" s="878" t="b">
        <f>IF(AND($E$3='1. Prelim'!E22,$I$3&gt;=F22, $I$3&lt;=G22),TRUE,FALSE)</f>
        <v>0</v>
      </c>
      <c r="D22" s="847" t="s">
        <v>616</v>
      </c>
      <c r="E22" s="852" t="s">
        <v>117</v>
      </c>
      <c r="F22" s="852">
        <v>0</v>
      </c>
      <c r="G22" s="852">
        <v>30</v>
      </c>
      <c r="H22" s="848">
        <v>0</v>
      </c>
      <c r="I22" s="848">
        <v>0</v>
      </c>
      <c r="J22" s="849">
        <v>0</v>
      </c>
      <c r="K22" s="848" t="s">
        <v>703</v>
      </c>
      <c r="L22" s="848">
        <v>0</v>
      </c>
      <c r="M22" s="848">
        <f t="shared" si="4"/>
        <v>0</v>
      </c>
      <c r="N22" s="880"/>
      <c r="P22" s="1403" t="s">
        <v>311</v>
      </c>
      <c r="Q22" s="1404"/>
      <c r="R22" s="866"/>
      <c r="S22" s="905" t="s">
        <v>130</v>
      </c>
      <c r="T22" s="901">
        <v>30</v>
      </c>
      <c r="U22" s="227">
        <v>2000</v>
      </c>
      <c r="V22" s="912">
        <f t="shared" si="2"/>
        <v>2000</v>
      </c>
      <c r="W22" s="915">
        <f t="shared" si="5"/>
        <v>2000</v>
      </c>
      <c r="X22" s="866"/>
      <c r="Y22" s="866"/>
      <c r="Z22" s="866"/>
      <c r="AA22" s="866"/>
      <c r="AB22" s="866"/>
      <c r="AC22" s="866"/>
      <c r="AD22" s="866"/>
      <c r="AE22" s="866"/>
    </row>
    <row r="23" spans="2:31">
      <c r="B23" s="877" t="b">
        <f t="shared" si="7"/>
        <v>0</v>
      </c>
      <c r="C23" s="878" t="b">
        <f>IF(AND($E$3='1. Prelim'!E23,$I$3&gt;=F23, $I$3&lt;=G23),TRUE,FALSE)</f>
        <v>0</v>
      </c>
      <c r="D23" s="847" t="s">
        <v>616</v>
      </c>
      <c r="E23" s="852" t="s">
        <v>117</v>
      </c>
      <c r="F23" s="852">
        <v>30.01</v>
      </c>
      <c r="G23" s="852">
        <v>200</v>
      </c>
      <c r="H23" s="848">
        <v>0</v>
      </c>
      <c r="I23" s="848">
        <v>0</v>
      </c>
      <c r="J23" s="849">
        <v>0</v>
      </c>
      <c r="K23" s="848" t="s">
        <v>703</v>
      </c>
      <c r="L23" s="848">
        <v>0</v>
      </c>
      <c r="M23" s="848">
        <f t="shared" si="4"/>
        <v>0</v>
      </c>
      <c r="N23" s="880" t="s">
        <v>710</v>
      </c>
      <c r="P23" s="1405"/>
      <c r="Q23" s="1406"/>
      <c r="R23" s="866"/>
      <c r="S23" s="907" t="s">
        <v>132</v>
      </c>
      <c r="T23" s="902">
        <v>30</v>
      </c>
      <c r="U23" s="29">
        <v>2000</v>
      </c>
      <c r="V23" s="913">
        <f t="shared" si="2"/>
        <v>2000</v>
      </c>
      <c r="W23" s="917">
        <f t="shared" si="5"/>
        <v>2000</v>
      </c>
      <c r="X23" s="866"/>
      <c r="Y23" s="866"/>
      <c r="Z23" s="866"/>
      <c r="AA23" s="866"/>
      <c r="AB23" s="866"/>
      <c r="AC23" s="866"/>
      <c r="AD23" s="866"/>
      <c r="AE23" s="866"/>
    </row>
    <row r="24" spans="2:31">
      <c r="B24" s="877" t="b">
        <f t="shared" si="7"/>
        <v>0</v>
      </c>
      <c r="C24" s="878" t="b">
        <f>IF(AND($E$3='1. Prelim'!E24,$I$3&gt;=F24, $I$3&lt;=G24),TRUE,FALSE)</f>
        <v>0</v>
      </c>
      <c r="D24" s="847" t="s">
        <v>616</v>
      </c>
      <c r="E24" s="852" t="s">
        <v>117</v>
      </c>
      <c r="F24" s="852">
        <v>200.01</v>
      </c>
      <c r="G24" s="852">
        <v>1000</v>
      </c>
      <c r="H24" s="848">
        <v>0</v>
      </c>
      <c r="I24" s="848">
        <v>3300</v>
      </c>
      <c r="J24" s="848">
        <v>4704</v>
      </c>
      <c r="K24" s="848" t="s">
        <v>703</v>
      </c>
      <c r="L24" s="848">
        <v>0</v>
      </c>
      <c r="M24" s="848">
        <f>H24+I24+J24+IF($K$3&lt;&gt;"No",K24,0)+IF($L$3&lt;&gt;"No",L24,0)</f>
        <v>8004</v>
      </c>
      <c r="N24" s="880" t="s">
        <v>711</v>
      </c>
      <c r="P24" s="163" t="s">
        <v>293</v>
      </c>
      <c r="Q24" s="164" t="s">
        <v>712</v>
      </c>
      <c r="R24" s="866"/>
      <c r="S24" s="905" t="s">
        <v>120</v>
      </c>
      <c r="T24" s="901">
        <v>30</v>
      </c>
      <c r="U24" s="227">
        <v>2000</v>
      </c>
      <c r="V24" s="912">
        <f t="shared" si="2"/>
        <v>2000</v>
      </c>
      <c r="W24" s="915">
        <f t="shared" si="5"/>
        <v>2000</v>
      </c>
      <c r="X24" s="866"/>
      <c r="Y24" s="866"/>
      <c r="Z24" s="866"/>
      <c r="AA24" s="866"/>
      <c r="AB24" s="866"/>
      <c r="AC24" s="866"/>
      <c r="AD24" s="866"/>
      <c r="AE24" s="866"/>
    </row>
    <row r="25" spans="2:31" ht="16.2" thickBot="1">
      <c r="B25" s="877" t="b">
        <f t="shared" si="7"/>
        <v>0</v>
      </c>
      <c r="C25" s="878" t="b">
        <f>IF(AND($E$3='1. Prelim'!E25,$I$3&gt;=F25, $I$3&lt;=G25),TRUE,FALSE)</f>
        <v>0</v>
      </c>
      <c r="D25" s="850" t="s">
        <v>480</v>
      </c>
      <c r="E25" s="853" t="s">
        <v>132</v>
      </c>
      <c r="F25" s="853">
        <v>0</v>
      </c>
      <c r="G25" s="853">
        <v>30</v>
      </c>
      <c r="H25" s="846">
        <v>0</v>
      </c>
      <c r="I25" s="846">
        <v>0</v>
      </c>
      <c r="J25" s="846">
        <v>0</v>
      </c>
      <c r="K25" s="846" t="s">
        <v>703</v>
      </c>
      <c r="L25" s="846">
        <v>0</v>
      </c>
      <c r="M25" s="871">
        <f t="shared" ref="M25:M32" si="8">H25+I25+J25+IF($K$3&lt;&gt;"No",K25,0)+IF($L$3&lt;&gt;"No",L25,0)</f>
        <v>0</v>
      </c>
      <c r="N25" s="880" t="s">
        <v>713</v>
      </c>
      <c r="P25" s="77" t="s">
        <v>312</v>
      </c>
      <c r="Q25" s="165">
        <v>0</v>
      </c>
      <c r="R25" s="866"/>
      <c r="S25" s="909" t="s">
        <v>122</v>
      </c>
      <c r="T25" s="910">
        <v>30</v>
      </c>
      <c r="U25" s="916">
        <v>2000</v>
      </c>
      <c r="V25" s="914">
        <f t="shared" si="2"/>
        <v>2000</v>
      </c>
      <c r="W25" s="918">
        <f t="shared" si="5"/>
        <v>2000</v>
      </c>
      <c r="X25" s="866"/>
      <c r="Y25" s="866"/>
      <c r="Z25" s="866"/>
      <c r="AA25" s="866"/>
      <c r="AB25" s="866"/>
      <c r="AC25" s="866"/>
      <c r="AD25" s="866"/>
      <c r="AE25" s="866"/>
    </row>
    <row r="26" spans="2:31" ht="33" customHeight="1" thickBot="1">
      <c r="B26" s="877" t="b">
        <f t="shared" si="7"/>
        <v>0</v>
      </c>
      <c r="C26" s="878" t="b">
        <f>IF(AND($E$3='1. Prelim'!E26,$I$3&gt;=F26, $I$3&lt;=G26),TRUE,FALSE)</f>
        <v>0</v>
      </c>
      <c r="D26" s="850" t="s">
        <v>480</v>
      </c>
      <c r="E26" s="853" t="s">
        <v>132</v>
      </c>
      <c r="F26" s="853">
        <v>30.01</v>
      </c>
      <c r="G26" s="853">
        <v>200</v>
      </c>
      <c r="H26" s="846">
        <v>275</v>
      </c>
      <c r="I26" s="846">
        <v>5500</v>
      </c>
      <c r="J26" s="846">
        <v>0</v>
      </c>
      <c r="K26" s="846" t="s">
        <v>703</v>
      </c>
      <c r="L26" s="846">
        <v>0</v>
      </c>
      <c r="M26" s="871">
        <f t="shared" si="8"/>
        <v>5775</v>
      </c>
      <c r="N26" s="880" t="s">
        <v>714</v>
      </c>
      <c r="P26" s="79" t="s">
        <v>582</v>
      </c>
      <c r="Q26" s="166">
        <v>2000</v>
      </c>
      <c r="R26" s="866"/>
      <c r="S26" s="866"/>
      <c r="T26" s="866"/>
      <c r="U26" s="866"/>
      <c r="V26" s="866"/>
      <c r="W26" s="866"/>
      <c r="X26" s="866"/>
      <c r="Y26" s="866"/>
      <c r="Z26" s="866"/>
      <c r="AA26" s="866"/>
      <c r="AB26" s="866"/>
      <c r="AC26" s="866"/>
      <c r="AD26" s="866"/>
      <c r="AE26" s="866"/>
    </row>
    <row r="27" spans="2:31" ht="56.25" customHeight="1">
      <c r="B27" s="877" t="b">
        <f t="shared" si="7"/>
        <v>0</v>
      </c>
      <c r="C27" s="878" t="b">
        <f>IF(AND($E$3='1. Prelim'!E27,$I$3&gt;=F27, $I$3&lt;=G27),TRUE,FALSE)</f>
        <v>0</v>
      </c>
      <c r="D27" s="850" t="s">
        <v>480</v>
      </c>
      <c r="E27" s="853" t="s">
        <v>132</v>
      </c>
      <c r="F27" s="853">
        <v>200.01</v>
      </c>
      <c r="G27" s="853">
        <v>999.99</v>
      </c>
      <c r="H27" s="846">
        <v>3850</v>
      </c>
      <c r="I27" s="846">
        <v>5500</v>
      </c>
      <c r="J27" s="846">
        <v>16500</v>
      </c>
      <c r="K27" s="846" t="s">
        <v>703</v>
      </c>
      <c r="L27" s="846">
        <v>0</v>
      </c>
      <c r="M27" s="871">
        <f t="shared" si="8"/>
        <v>25850</v>
      </c>
      <c r="N27" s="880" t="s">
        <v>715</v>
      </c>
      <c r="P27" s="77" t="s">
        <v>716</v>
      </c>
      <c r="Q27" s="165">
        <v>1000</v>
      </c>
      <c r="R27" s="866"/>
      <c r="S27" s="1407" t="s">
        <v>717</v>
      </c>
      <c r="T27" s="1408"/>
      <c r="U27" s="1408"/>
      <c r="V27" s="1409"/>
      <c r="W27" s="866"/>
      <c r="X27" s="866"/>
      <c r="Y27" s="866"/>
      <c r="Z27" s="866"/>
      <c r="AA27" s="866"/>
      <c r="AB27" s="866"/>
      <c r="AC27" s="866"/>
      <c r="AD27" s="866"/>
      <c r="AE27" s="866"/>
    </row>
    <row r="28" spans="2:31" ht="51" customHeight="1">
      <c r="B28" s="877" t="b">
        <f t="shared" si="7"/>
        <v>0</v>
      </c>
      <c r="C28" s="878" t="b">
        <f>IF(AND($E$3='1. Prelim'!E28,$I$3&gt;=F28, $I$3&lt;=G28),TRUE,FALSE)</f>
        <v>0</v>
      </c>
      <c r="D28" s="850" t="s">
        <v>480</v>
      </c>
      <c r="E28" s="853" t="s">
        <v>132</v>
      </c>
      <c r="F28" s="853">
        <v>1000</v>
      </c>
      <c r="G28" s="853">
        <v>5000</v>
      </c>
      <c r="H28" s="846">
        <v>3850</v>
      </c>
      <c r="I28" s="846" t="s">
        <v>703</v>
      </c>
      <c r="J28" s="846" t="s">
        <v>703</v>
      </c>
      <c r="K28" s="846" t="s">
        <v>703</v>
      </c>
      <c r="L28" s="846">
        <v>0</v>
      </c>
      <c r="M28" s="871" t="e">
        <f t="shared" si="8"/>
        <v>#VALUE!</v>
      </c>
      <c r="N28" s="880" t="s">
        <v>715</v>
      </c>
      <c r="P28" s="79" t="s">
        <v>718</v>
      </c>
      <c r="Q28" s="166">
        <v>9000</v>
      </c>
      <c r="R28" s="866"/>
      <c r="S28" s="1410"/>
      <c r="T28" s="1411"/>
      <c r="U28" s="1411"/>
      <c r="V28" s="1412"/>
      <c r="W28" s="866"/>
      <c r="X28" s="866"/>
      <c r="Y28" s="866"/>
      <c r="Z28" s="866"/>
      <c r="AA28" s="866"/>
      <c r="AB28" s="866"/>
      <c r="AC28" s="866"/>
      <c r="AD28" s="866"/>
      <c r="AE28" s="866"/>
    </row>
    <row r="29" spans="2:31" ht="17.25" customHeight="1">
      <c r="B29" s="877" t="b">
        <f t="shared" si="7"/>
        <v>0</v>
      </c>
      <c r="C29" s="878" t="b">
        <f>IF(AND($E$3='1. Prelim'!E29,$I$3&gt;=F29, $I$3&lt;=G29),TRUE,FALSE)</f>
        <v>0</v>
      </c>
      <c r="D29" s="850" t="s">
        <v>480</v>
      </c>
      <c r="E29" s="853" t="s">
        <v>130</v>
      </c>
      <c r="F29" s="853">
        <v>0</v>
      </c>
      <c r="G29" s="853">
        <v>5</v>
      </c>
      <c r="H29" s="846">
        <v>0</v>
      </c>
      <c r="I29" s="846">
        <v>0</v>
      </c>
      <c r="J29" s="846">
        <v>0</v>
      </c>
      <c r="K29" s="846" t="s">
        <v>703</v>
      </c>
      <c r="L29" s="846">
        <v>0</v>
      </c>
      <c r="M29" s="871">
        <f t="shared" si="8"/>
        <v>0</v>
      </c>
      <c r="N29" s="880"/>
      <c r="P29" s="77" t="s">
        <v>719</v>
      </c>
      <c r="Q29" s="165">
        <v>11000</v>
      </c>
      <c r="R29" s="866"/>
      <c r="S29" s="903" t="s">
        <v>50</v>
      </c>
      <c r="T29" s="900" t="s">
        <v>698</v>
      </c>
      <c r="U29" s="1415" t="s">
        <v>720</v>
      </c>
      <c r="V29" s="1416"/>
      <c r="W29" s="866"/>
      <c r="X29" s="866"/>
      <c r="Y29" s="866"/>
      <c r="Z29" s="866"/>
      <c r="AA29" s="866"/>
      <c r="AB29" s="866"/>
      <c r="AC29" s="866"/>
      <c r="AD29" s="866"/>
      <c r="AE29" s="866"/>
    </row>
    <row r="30" spans="2:31" ht="15.75" customHeight="1">
      <c r="B30" s="877" t="b">
        <f t="shared" si="7"/>
        <v>0</v>
      </c>
      <c r="C30" s="878" t="b">
        <f>IF(AND($E$3='1. Prelim'!E30,$I$3&gt;=F30, $I$3&lt;=G30),TRUE,FALSE)</f>
        <v>0</v>
      </c>
      <c r="D30" s="850" t="s">
        <v>480</v>
      </c>
      <c r="E30" s="853" t="s">
        <v>130</v>
      </c>
      <c r="F30" s="853">
        <v>5.01</v>
      </c>
      <c r="G30" s="853">
        <v>30</v>
      </c>
      <c r="H30" s="846">
        <v>0</v>
      </c>
      <c r="I30" s="846">
        <v>2000</v>
      </c>
      <c r="J30" s="846">
        <v>0</v>
      </c>
      <c r="K30" s="846" t="s">
        <v>703</v>
      </c>
      <c r="L30" s="846">
        <v>0</v>
      </c>
      <c r="M30" s="871">
        <f t="shared" si="8"/>
        <v>2000</v>
      </c>
      <c r="N30" s="880"/>
      <c r="P30" s="866"/>
      <c r="Q30" s="866"/>
      <c r="R30" s="866"/>
      <c r="S30" s="905" t="s">
        <v>312</v>
      </c>
      <c r="T30" s="1001"/>
      <c r="U30" s="1397"/>
      <c r="V30" s="1398"/>
      <c r="W30" s="866"/>
      <c r="X30" s="866"/>
      <c r="Y30" s="866"/>
      <c r="Z30" s="866"/>
      <c r="AA30" s="866"/>
      <c r="AB30" s="866"/>
      <c r="AC30" s="866"/>
      <c r="AD30" s="866"/>
      <c r="AE30" s="866"/>
    </row>
    <row r="31" spans="2:31" ht="15.75" customHeight="1">
      <c r="B31" s="877" t="b">
        <f t="shared" si="7"/>
        <v>0</v>
      </c>
      <c r="C31" s="878" t="b">
        <f>IF(AND($E$3='1. Prelim'!E31,$I$3&gt;=F31, $I$3&lt;=G31),TRUE,FALSE)</f>
        <v>0</v>
      </c>
      <c r="D31" s="850" t="s">
        <v>480</v>
      </c>
      <c r="E31" s="853" t="s">
        <v>130</v>
      </c>
      <c r="F31" s="853">
        <v>30.01</v>
      </c>
      <c r="G31" s="853">
        <v>200</v>
      </c>
      <c r="H31" s="846">
        <v>0</v>
      </c>
      <c r="I31" s="846">
        <v>4000</v>
      </c>
      <c r="J31" s="846">
        <v>14000</v>
      </c>
      <c r="K31" s="846" t="s">
        <v>703</v>
      </c>
      <c r="L31" s="846">
        <v>0</v>
      </c>
      <c r="M31" s="871">
        <f t="shared" si="8"/>
        <v>18000</v>
      </c>
      <c r="N31" s="880" t="s">
        <v>721</v>
      </c>
      <c r="P31" s="866"/>
      <c r="Q31" s="866"/>
      <c r="R31" s="866"/>
      <c r="S31" s="907" t="s">
        <v>109</v>
      </c>
      <c r="T31" s="1002">
        <v>200.01</v>
      </c>
      <c r="U31" s="1399"/>
      <c r="V31" s="1400"/>
      <c r="W31" s="866"/>
      <c r="X31" s="866"/>
      <c r="Y31" s="866"/>
      <c r="Z31" s="866"/>
      <c r="AA31" s="866"/>
      <c r="AB31" s="866"/>
      <c r="AC31" s="866"/>
      <c r="AD31" s="866"/>
      <c r="AE31" s="866"/>
    </row>
    <row r="32" spans="2:31" ht="16.5" customHeight="1">
      <c r="B32" s="877" t="b">
        <f t="shared" si="7"/>
        <v>0</v>
      </c>
      <c r="C32" s="878" t="b">
        <f>IF(AND($E$3='1. Prelim'!E32,$I$3&gt;=F32, $I$3&lt;=G32),TRUE,FALSE)</f>
        <v>0</v>
      </c>
      <c r="D32" s="850" t="s">
        <v>480</v>
      </c>
      <c r="E32" s="853" t="s">
        <v>130</v>
      </c>
      <c r="F32" s="853">
        <v>200.01</v>
      </c>
      <c r="G32" s="853">
        <v>1000</v>
      </c>
      <c r="H32" s="846">
        <v>0</v>
      </c>
      <c r="I32" s="846">
        <v>11429</v>
      </c>
      <c r="J32" s="846">
        <v>14000</v>
      </c>
      <c r="K32" s="846" t="s">
        <v>703</v>
      </c>
      <c r="L32" s="846">
        <v>0</v>
      </c>
      <c r="M32" s="871">
        <f t="shared" si="8"/>
        <v>25429</v>
      </c>
      <c r="N32" s="880" t="s">
        <v>722</v>
      </c>
      <c r="P32" s="866"/>
      <c r="Q32" s="866"/>
      <c r="R32" s="866"/>
      <c r="S32" s="905" t="s">
        <v>106</v>
      </c>
      <c r="T32" s="901">
        <v>200</v>
      </c>
      <c r="U32" s="1397"/>
      <c r="V32" s="1398"/>
      <c r="W32" s="866"/>
      <c r="X32" s="866"/>
      <c r="Y32" s="866"/>
      <c r="Z32" s="866"/>
      <c r="AA32" s="866"/>
      <c r="AB32" s="866"/>
      <c r="AC32" s="866"/>
      <c r="AD32" s="866"/>
      <c r="AE32" s="866"/>
    </row>
    <row r="33" spans="2:31" ht="16.5" customHeight="1">
      <c r="B33" s="877" t="b">
        <f t="shared" si="7"/>
        <v>0</v>
      </c>
      <c r="C33" s="878" t="b">
        <f>IF(AND($E$3='1. Prelim'!E33,$I$3&gt;=F33, $I$3&lt;=G33),TRUE,FALSE)</f>
        <v>0</v>
      </c>
      <c r="D33" s="850" t="s">
        <v>480</v>
      </c>
      <c r="E33" s="853" t="s">
        <v>130</v>
      </c>
      <c r="F33" s="853">
        <v>1000.01</v>
      </c>
      <c r="G33" s="853">
        <v>5000</v>
      </c>
      <c r="H33" s="846">
        <v>0</v>
      </c>
      <c r="I33" s="846" t="s">
        <v>703</v>
      </c>
      <c r="J33" s="846">
        <v>14000</v>
      </c>
      <c r="K33" s="846" t="s">
        <v>703</v>
      </c>
      <c r="L33" s="846">
        <v>0</v>
      </c>
      <c r="M33" s="871" t="e">
        <f t="shared" ref="M33:M43" si="9">H33+I33+J33+IF($K$3&lt;&gt;"No",K33,0)+IF($L$3&lt;&gt;"No",L33,0)</f>
        <v>#VALUE!</v>
      </c>
      <c r="N33" s="880" t="s">
        <v>723</v>
      </c>
      <c r="P33" s="866"/>
      <c r="Q33" s="866"/>
      <c r="R33" s="866"/>
      <c r="S33" s="907" t="s">
        <v>104</v>
      </c>
      <c r="T33" s="902">
        <v>200</v>
      </c>
      <c r="U33" s="1399"/>
      <c r="V33" s="1400"/>
      <c r="W33" s="866"/>
      <c r="X33" s="866"/>
      <c r="Y33" s="866"/>
      <c r="Z33" s="866"/>
      <c r="AA33" s="866"/>
      <c r="AB33" s="866"/>
      <c r="AC33" s="866"/>
      <c r="AD33" s="866"/>
      <c r="AE33" s="866"/>
    </row>
    <row r="34" spans="2:31" ht="39" customHeight="1">
      <c r="B34" s="877" t="b">
        <f t="shared" si="7"/>
        <v>0</v>
      </c>
      <c r="C34" s="878" t="b">
        <f>IF(AND($E$3='1. Prelim'!E34,$I$3&gt;=F34, $I$3&lt;=G34),TRUE,FALSE)</f>
        <v>0</v>
      </c>
      <c r="D34" s="847" t="s">
        <v>614</v>
      </c>
      <c r="E34" s="852" t="s">
        <v>127</v>
      </c>
      <c r="F34" s="852">
        <v>0</v>
      </c>
      <c r="G34" s="852">
        <v>30</v>
      </c>
      <c r="H34" s="848">
        <v>0</v>
      </c>
      <c r="I34" s="848">
        <v>0</v>
      </c>
      <c r="J34" s="848">
        <v>0</v>
      </c>
      <c r="K34" s="848" t="s">
        <v>703</v>
      </c>
      <c r="L34" s="848">
        <v>334</v>
      </c>
      <c r="M34" s="848">
        <f t="shared" si="9"/>
        <v>0</v>
      </c>
      <c r="N34" s="880" t="s">
        <v>724</v>
      </c>
      <c r="P34" s="866"/>
      <c r="Q34" s="866"/>
      <c r="R34" s="866"/>
      <c r="S34" s="905" t="s">
        <v>127</v>
      </c>
      <c r="T34" s="901">
        <v>200</v>
      </c>
      <c r="U34" s="1397"/>
      <c r="V34" s="1398"/>
      <c r="W34" s="866"/>
      <c r="X34" s="866"/>
      <c r="Y34" s="866"/>
      <c r="Z34" s="866"/>
      <c r="AA34" s="866"/>
      <c r="AB34" s="866"/>
      <c r="AC34" s="866"/>
      <c r="AD34" s="866"/>
      <c r="AE34" s="866"/>
    </row>
    <row r="35" spans="2:31" ht="48.75" customHeight="1">
      <c r="B35" s="877" t="b">
        <f t="shared" si="7"/>
        <v>0</v>
      </c>
      <c r="C35" s="878" t="b">
        <f>IF(AND($E$3='1. Prelim'!E35,$I$3&gt;=F35, $I$3&lt;=G35),TRUE,FALSE)</f>
        <v>0</v>
      </c>
      <c r="D35" s="847" t="s">
        <v>614</v>
      </c>
      <c r="E35" s="852" t="s">
        <v>127</v>
      </c>
      <c r="F35" s="852">
        <v>30.01</v>
      </c>
      <c r="G35" s="852">
        <v>200</v>
      </c>
      <c r="H35" s="848">
        <v>1182</v>
      </c>
      <c r="I35" s="848">
        <v>644</v>
      </c>
      <c r="J35" s="848">
        <v>0</v>
      </c>
      <c r="K35" s="848" t="s">
        <v>703</v>
      </c>
      <c r="L35" s="848">
        <f>1802-644</f>
        <v>1158</v>
      </c>
      <c r="M35" s="848">
        <f t="shared" si="9"/>
        <v>1826</v>
      </c>
      <c r="N35" s="880" t="s">
        <v>725</v>
      </c>
      <c r="P35" s="866"/>
      <c r="Q35" s="866"/>
      <c r="R35" s="866"/>
      <c r="S35" s="907" t="s">
        <v>126</v>
      </c>
      <c r="T35" s="902">
        <v>200</v>
      </c>
      <c r="U35" s="1399"/>
      <c r="V35" s="1400"/>
      <c r="W35" s="866"/>
      <c r="X35" s="866"/>
      <c r="Y35" s="866"/>
      <c r="Z35" s="866"/>
      <c r="AA35" s="866"/>
      <c r="AB35" s="866"/>
      <c r="AC35" s="866"/>
      <c r="AD35" s="866"/>
      <c r="AE35" s="866"/>
    </row>
    <row r="36" spans="2:31" ht="39" customHeight="1">
      <c r="B36" s="877" t="b">
        <f t="shared" si="7"/>
        <v>0</v>
      </c>
      <c r="C36" s="878" t="b">
        <f>IF(AND($E$3='1. Prelim'!E36,$I$3&gt;=F36, $I$3&lt;=G36),TRUE,FALSE)</f>
        <v>0</v>
      </c>
      <c r="D36" s="847" t="s">
        <v>614</v>
      </c>
      <c r="E36" s="852" t="s">
        <v>127</v>
      </c>
      <c r="F36" s="852">
        <v>200.01</v>
      </c>
      <c r="G36" s="852">
        <v>500</v>
      </c>
      <c r="H36" s="848">
        <v>1182</v>
      </c>
      <c r="I36" s="848">
        <v>3959</v>
      </c>
      <c r="J36" s="848">
        <v>0</v>
      </c>
      <c r="K36" s="848" t="s">
        <v>703</v>
      </c>
      <c r="L36" s="848">
        <v>0</v>
      </c>
      <c r="M36" s="848">
        <f t="shared" si="9"/>
        <v>5141</v>
      </c>
      <c r="N36" s="880" t="s">
        <v>726</v>
      </c>
      <c r="P36" s="866"/>
      <c r="Q36" s="866"/>
      <c r="R36" s="866"/>
      <c r="S36" s="905" t="s">
        <v>111</v>
      </c>
      <c r="T36" s="901">
        <v>30</v>
      </c>
      <c r="U36" s="1397"/>
      <c r="V36" s="1398"/>
      <c r="W36" s="866"/>
      <c r="X36" s="866"/>
      <c r="Y36" s="866"/>
      <c r="Z36" s="866"/>
      <c r="AA36" s="866"/>
      <c r="AB36" s="866"/>
      <c r="AC36" s="866"/>
      <c r="AD36" s="866"/>
      <c r="AE36" s="866"/>
    </row>
    <row r="37" spans="2:31" ht="39" customHeight="1">
      <c r="B37" s="877" t="b">
        <f t="shared" si="7"/>
        <v>0</v>
      </c>
      <c r="C37" s="878" t="b">
        <f>IF(AND($E$3='1. Prelim'!E37,$I$3&gt;=F37, $I$3&lt;=G37),TRUE,FALSE)</f>
        <v>0</v>
      </c>
      <c r="D37" s="847" t="s">
        <v>614</v>
      </c>
      <c r="E37" s="852" t="s">
        <v>127</v>
      </c>
      <c r="F37" s="852">
        <v>500.01</v>
      </c>
      <c r="G37" s="852">
        <v>1500</v>
      </c>
      <c r="H37" s="848">
        <v>1182</v>
      </c>
      <c r="I37" s="848">
        <v>5113</v>
      </c>
      <c r="J37" s="848">
        <v>0</v>
      </c>
      <c r="K37" s="848" t="s">
        <v>703</v>
      </c>
      <c r="L37" s="848">
        <v>0</v>
      </c>
      <c r="M37" s="848">
        <f t="shared" si="9"/>
        <v>6295</v>
      </c>
      <c r="N37" s="880" t="s">
        <v>726</v>
      </c>
      <c r="P37" s="866"/>
      <c r="Q37" s="866"/>
      <c r="R37" s="866"/>
      <c r="S37" s="907" t="s">
        <v>113</v>
      </c>
      <c r="T37" s="1002">
        <v>200.01</v>
      </c>
      <c r="U37" s="1399"/>
      <c r="V37" s="1400"/>
      <c r="W37" s="866"/>
      <c r="X37" s="866"/>
      <c r="Y37" s="866"/>
      <c r="Z37" s="866"/>
      <c r="AA37" s="866"/>
      <c r="AB37" s="866"/>
      <c r="AC37" s="866"/>
      <c r="AD37" s="866"/>
      <c r="AE37" s="866"/>
    </row>
    <row r="38" spans="2:31" ht="39" customHeight="1">
      <c r="B38" s="877" t="b">
        <f t="shared" si="7"/>
        <v>0</v>
      </c>
      <c r="C38" s="878" t="b">
        <f>IF(AND($E$3='1. Prelim'!E38,$I$3&gt;=F38, $I$3&lt;=G38),TRUE,FALSE)</f>
        <v>0</v>
      </c>
      <c r="D38" s="847" t="s">
        <v>614</v>
      </c>
      <c r="E38" s="852" t="s">
        <v>127</v>
      </c>
      <c r="F38" s="852">
        <v>1500.01</v>
      </c>
      <c r="G38" s="852">
        <v>5000</v>
      </c>
      <c r="H38" s="848">
        <v>1182</v>
      </c>
      <c r="I38" s="848" t="s">
        <v>703</v>
      </c>
      <c r="J38" s="848" t="s">
        <v>703</v>
      </c>
      <c r="K38" s="848" t="s">
        <v>703</v>
      </c>
      <c r="L38" s="848">
        <v>0</v>
      </c>
      <c r="M38" s="848" t="e">
        <f t="shared" si="9"/>
        <v>#VALUE!</v>
      </c>
      <c r="N38" s="880" t="s">
        <v>726</v>
      </c>
      <c r="P38" s="866"/>
      <c r="Q38" s="866"/>
      <c r="R38" s="866"/>
      <c r="S38" s="905" t="s">
        <v>115</v>
      </c>
      <c r="T38" s="1001">
        <v>200.01</v>
      </c>
      <c r="U38" s="1397"/>
      <c r="V38" s="1398"/>
      <c r="W38" s="866"/>
      <c r="X38" s="866"/>
      <c r="Y38" s="866"/>
      <c r="Z38" s="866"/>
      <c r="AA38" s="866"/>
      <c r="AB38" s="866"/>
      <c r="AC38" s="866"/>
      <c r="AD38" s="866"/>
      <c r="AE38" s="866"/>
    </row>
    <row r="39" spans="2:31" ht="39" customHeight="1">
      <c r="B39" s="877" t="b">
        <f t="shared" ref="B39:B43" si="10">IF(AND($E$3=E39,$J$3&gt;=F39, $J$3&lt;=G39),TRUE,FALSE)</f>
        <v>0</v>
      </c>
      <c r="C39" s="878" t="b">
        <f>IF(AND($E$3='1. Prelim'!E39,$I$3&gt;=F39, $I$3&lt;=G39),TRUE,FALSE)</f>
        <v>0</v>
      </c>
      <c r="D39" s="847" t="s">
        <v>614</v>
      </c>
      <c r="E39" s="852" t="s">
        <v>126</v>
      </c>
      <c r="F39" s="852">
        <v>0</v>
      </c>
      <c r="G39" s="852">
        <v>30</v>
      </c>
      <c r="H39" s="848">
        <v>0</v>
      </c>
      <c r="I39" s="848">
        <v>0</v>
      </c>
      <c r="J39" s="848">
        <v>0</v>
      </c>
      <c r="K39" s="848" t="s">
        <v>703</v>
      </c>
      <c r="L39" s="848">
        <v>334</v>
      </c>
      <c r="M39" s="848">
        <f t="shared" si="9"/>
        <v>0</v>
      </c>
      <c r="N39" s="880" t="s">
        <v>724</v>
      </c>
      <c r="P39" s="866"/>
      <c r="Q39" s="866"/>
      <c r="R39" s="866"/>
      <c r="S39" s="907" t="s">
        <v>117</v>
      </c>
      <c r="T39" s="1002">
        <v>200.01</v>
      </c>
      <c r="U39" s="1399"/>
      <c r="V39" s="1400"/>
      <c r="W39" s="866"/>
      <c r="X39" s="866"/>
      <c r="Y39" s="866"/>
      <c r="Z39" s="866"/>
      <c r="AA39" s="866"/>
      <c r="AB39" s="866"/>
      <c r="AC39" s="866"/>
      <c r="AD39" s="866"/>
      <c r="AE39" s="866"/>
    </row>
    <row r="40" spans="2:31" ht="39" customHeight="1">
      <c r="B40" s="877" t="b">
        <f t="shared" si="10"/>
        <v>0</v>
      </c>
      <c r="C40" s="878" t="b">
        <f>IF(AND($E$3='1. Prelim'!E40,$I$3&gt;=F40, $I$3&lt;=G40),TRUE,FALSE)</f>
        <v>0</v>
      </c>
      <c r="D40" s="847" t="s">
        <v>614</v>
      </c>
      <c r="E40" s="852" t="s">
        <v>126</v>
      </c>
      <c r="F40" s="852">
        <v>30.01</v>
      </c>
      <c r="G40" s="852">
        <v>200</v>
      </c>
      <c r="H40" s="848">
        <v>1182</v>
      </c>
      <c r="I40" s="848">
        <v>644</v>
      </c>
      <c r="J40" s="848">
        <v>0</v>
      </c>
      <c r="K40" s="848" t="s">
        <v>703</v>
      </c>
      <c r="L40" s="848">
        <f>1802-644</f>
        <v>1158</v>
      </c>
      <c r="M40" s="848">
        <f t="shared" si="9"/>
        <v>1826</v>
      </c>
      <c r="N40" s="880" t="s">
        <v>725</v>
      </c>
      <c r="P40" s="866"/>
      <c r="Q40" s="866"/>
      <c r="R40" s="866"/>
      <c r="S40" s="905" t="s">
        <v>124</v>
      </c>
      <c r="T40" s="901">
        <v>200</v>
      </c>
      <c r="U40" s="1397"/>
      <c r="V40" s="1398"/>
      <c r="W40" s="866"/>
      <c r="X40" s="866"/>
      <c r="Y40" s="866"/>
      <c r="Z40" s="866"/>
      <c r="AA40" s="866"/>
      <c r="AB40" s="866"/>
      <c r="AC40" s="866"/>
      <c r="AD40" s="866"/>
      <c r="AE40" s="866"/>
    </row>
    <row r="41" spans="2:31" ht="39" customHeight="1">
      <c r="B41" s="877" t="b">
        <f t="shared" si="10"/>
        <v>0</v>
      </c>
      <c r="C41" s="878" t="b">
        <f>IF(AND($E$3='1. Prelim'!E41,$I$3&gt;=F41, $I$3&lt;=G41),TRUE,FALSE)</f>
        <v>0</v>
      </c>
      <c r="D41" s="847" t="s">
        <v>614</v>
      </c>
      <c r="E41" s="852" t="s">
        <v>126</v>
      </c>
      <c r="F41" s="852">
        <v>200.01</v>
      </c>
      <c r="G41" s="852">
        <v>500</v>
      </c>
      <c r="H41" s="848">
        <v>1182</v>
      </c>
      <c r="I41" s="848">
        <v>3959</v>
      </c>
      <c r="J41" s="848">
        <v>0</v>
      </c>
      <c r="K41" s="848" t="s">
        <v>703</v>
      </c>
      <c r="L41" s="848">
        <v>0</v>
      </c>
      <c r="M41" s="848">
        <f t="shared" si="9"/>
        <v>5141</v>
      </c>
      <c r="N41" s="880" t="s">
        <v>726</v>
      </c>
      <c r="P41" s="866"/>
      <c r="Q41" s="866"/>
      <c r="R41" s="866"/>
      <c r="S41" s="907" t="s">
        <v>119</v>
      </c>
      <c r="T41" s="902">
        <v>200</v>
      </c>
      <c r="U41" s="1399" t="s">
        <v>145</v>
      </c>
      <c r="V41" s="1400"/>
      <c r="W41" s="866"/>
      <c r="X41" s="866"/>
      <c r="Y41" s="866"/>
      <c r="Z41" s="866"/>
      <c r="AA41" s="866"/>
      <c r="AB41" s="866"/>
      <c r="AC41" s="866"/>
      <c r="AD41" s="866"/>
      <c r="AE41" s="866"/>
    </row>
    <row r="42" spans="2:31" ht="39" customHeight="1">
      <c r="B42" s="877" t="b">
        <f t="shared" si="10"/>
        <v>0</v>
      </c>
      <c r="C42" s="878" t="b">
        <f>IF(AND($E$3='1. Prelim'!E42,$I$3&gt;=F42, $I$3&lt;=G42),TRUE,FALSE)</f>
        <v>0</v>
      </c>
      <c r="D42" s="847" t="s">
        <v>614</v>
      </c>
      <c r="E42" s="852" t="s">
        <v>126</v>
      </c>
      <c r="F42" s="852">
        <v>500.01</v>
      </c>
      <c r="G42" s="852">
        <v>1500</v>
      </c>
      <c r="H42" s="848">
        <v>1182</v>
      </c>
      <c r="I42" s="848">
        <v>5113</v>
      </c>
      <c r="J42" s="848">
        <v>0</v>
      </c>
      <c r="K42" s="848" t="s">
        <v>703</v>
      </c>
      <c r="L42" s="848">
        <v>0</v>
      </c>
      <c r="M42" s="848">
        <f t="shared" si="9"/>
        <v>6295</v>
      </c>
      <c r="N42" s="880" t="s">
        <v>726</v>
      </c>
      <c r="P42" s="866"/>
      <c r="Q42" s="866"/>
      <c r="R42" s="866"/>
      <c r="S42" s="905" t="s">
        <v>130</v>
      </c>
      <c r="T42" s="901">
        <v>200</v>
      </c>
      <c r="U42" s="1397" t="s">
        <v>145</v>
      </c>
      <c r="V42" s="1398"/>
      <c r="W42" s="866"/>
      <c r="X42" s="866"/>
      <c r="Y42" s="866"/>
      <c r="Z42" s="866"/>
      <c r="AA42" s="866"/>
      <c r="AB42" s="866"/>
      <c r="AC42" s="866"/>
      <c r="AD42" s="866"/>
      <c r="AE42" s="866"/>
    </row>
    <row r="43" spans="2:31" ht="39" customHeight="1">
      <c r="B43" s="877" t="b">
        <f t="shared" si="10"/>
        <v>0</v>
      </c>
      <c r="C43" s="878" t="b">
        <f>IF(AND($E$3='1. Prelim'!E43,$I$3&gt;=F43, $I$3&lt;=G43),TRUE,FALSE)</f>
        <v>0</v>
      </c>
      <c r="D43" s="847" t="s">
        <v>614</v>
      </c>
      <c r="E43" s="852" t="s">
        <v>126</v>
      </c>
      <c r="F43" s="852">
        <v>1500.01</v>
      </c>
      <c r="G43" s="852">
        <v>5000</v>
      </c>
      <c r="H43" s="848">
        <v>1182</v>
      </c>
      <c r="I43" s="848" t="s">
        <v>703</v>
      </c>
      <c r="J43" s="848" t="s">
        <v>703</v>
      </c>
      <c r="K43" s="848" t="s">
        <v>703</v>
      </c>
      <c r="L43" s="848">
        <v>0</v>
      </c>
      <c r="M43" s="848" t="e">
        <f t="shared" si="9"/>
        <v>#VALUE!</v>
      </c>
      <c r="N43" s="880" t="s">
        <v>726</v>
      </c>
      <c r="P43" s="866"/>
      <c r="Q43" s="866"/>
      <c r="R43" s="866"/>
      <c r="S43" s="907" t="s">
        <v>132</v>
      </c>
      <c r="T43" s="902">
        <v>30</v>
      </c>
      <c r="U43" s="1399" t="s">
        <v>145</v>
      </c>
      <c r="V43" s="1400"/>
      <c r="W43" s="866"/>
      <c r="X43" s="866"/>
      <c r="Y43" s="866"/>
      <c r="Z43" s="866"/>
      <c r="AA43" s="866"/>
      <c r="AB43" s="866"/>
      <c r="AC43" s="866"/>
      <c r="AD43" s="866"/>
      <c r="AE43" s="866"/>
    </row>
    <row r="44" spans="2:31">
      <c r="B44" s="877" t="b">
        <f t="shared" si="7"/>
        <v>0</v>
      </c>
      <c r="C44" s="878" t="b">
        <f>IF(AND($E$3='1. Prelim'!E44,$I$3&gt;=F44, $I$3&lt;=G44),TRUE,FALSE)</f>
        <v>0</v>
      </c>
      <c r="D44" s="850" t="s">
        <v>617</v>
      </c>
      <c r="E44" s="851" t="s">
        <v>124</v>
      </c>
      <c r="F44" s="851">
        <v>0</v>
      </c>
      <c r="G44" s="851">
        <v>30</v>
      </c>
      <c r="H44" s="846">
        <v>0</v>
      </c>
      <c r="I44" s="846">
        <v>0</v>
      </c>
      <c r="J44" s="846">
        <v>0</v>
      </c>
      <c r="K44" s="846" t="s">
        <v>703</v>
      </c>
      <c r="L44" s="846">
        <v>0</v>
      </c>
      <c r="M44" s="846">
        <f t="shared" ref="M44:M52" si="11">H44+I44+J44+IF($K$3&lt;&gt;"No",K44,0)+IF($L$3&lt;&gt;"No",L44,0)</f>
        <v>0</v>
      </c>
      <c r="N44" s="880"/>
      <c r="P44" s="866"/>
      <c r="Q44" s="866"/>
      <c r="R44" s="866"/>
      <c r="S44" s="905" t="s">
        <v>120</v>
      </c>
      <c r="T44" s="901">
        <v>30</v>
      </c>
      <c r="U44" s="1397"/>
      <c r="V44" s="1398"/>
      <c r="W44" s="866"/>
      <c r="X44" s="866"/>
      <c r="Y44" s="866"/>
      <c r="Z44" s="866"/>
      <c r="AA44" s="866"/>
      <c r="AB44" s="866"/>
      <c r="AC44" s="866"/>
      <c r="AD44" s="866"/>
      <c r="AE44" s="866"/>
    </row>
    <row r="45" spans="2:31" ht="16.2" thickBot="1">
      <c r="B45" s="877" t="b">
        <f t="shared" si="7"/>
        <v>0</v>
      </c>
      <c r="C45" s="878" t="b">
        <f>IF(AND($E$3='1. Prelim'!E45,$I$3&gt;=F45, $I$3&lt;=G45),TRUE,FALSE)</f>
        <v>0</v>
      </c>
      <c r="D45" s="850" t="s">
        <v>617</v>
      </c>
      <c r="E45" s="851" t="s">
        <v>124</v>
      </c>
      <c r="F45" s="851">
        <v>30.01</v>
      </c>
      <c r="G45" s="851">
        <v>60</v>
      </c>
      <c r="H45" s="846">
        <v>648</v>
      </c>
      <c r="I45" s="846">
        <v>4323</v>
      </c>
      <c r="J45" s="846">
        <v>0</v>
      </c>
      <c r="K45" s="846" t="s">
        <v>703</v>
      </c>
      <c r="L45" s="846">
        <v>0</v>
      </c>
      <c r="M45" s="846">
        <f t="shared" si="11"/>
        <v>4971</v>
      </c>
      <c r="N45" s="880" t="s">
        <v>727</v>
      </c>
      <c r="P45" s="866"/>
      <c r="Q45" s="866"/>
      <c r="R45" s="866"/>
      <c r="S45" s="909" t="s">
        <v>122</v>
      </c>
      <c r="T45" s="910">
        <v>30</v>
      </c>
      <c r="U45" s="1413"/>
      <c r="V45" s="1414"/>
      <c r="W45" s="866"/>
      <c r="X45" s="866"/>
      <c r="Y45" s="866"/>
      <c r="Z45" s="866"/>
      <c r="AA45" s="866"/>
      <c r="AB45" s="866"/>
      <c r="AC45" s="866"/>
      <c r="AD45" s="866"/>
      <c r="AE45" s="866"/>
    </row>
    <row r="46" spans="2:31">
      <c r="B46" s="877" t="b">
        <f t="shared" si="7"/>
        <v>0</v>
      </c>
      <c r="C46" s="878" t="b">
        <f>IF(AND($E$3='1. Prelim'!E46,$I$3&gt;=F46, $I$3&lt;=G46),TRUE,FALSE)</f>
        <v>0</v>
      </c>
      <c r="D46" s="850" t="s">
        <v>617</v>
      </c>
      <c r="E46" s="851" t="s">
        <v>124</v>
      </c>
      <c r="F46" s="851">
        <v>60.01</v>
      </c>
      <c r="G46" s="851">
        <v>120</v>
      </c>
      <c r="H46" s="846">
        <v>648</v>
      </c>
      <c r="I46" s="846">
        <v>6484</v>
      </c>
      <c r="J46" s="846">
        <v>0</v>
      </c>
      <c r="K46" s="846" t="s">
        <v>703</v>
      </c>
      <c r="L46" s="846">
        <v>0</v>
      </c>
      <c r="M46" s="846">
        <f t="shared" si="11"/>
        <v>7132</v>
      </c>
      <c r="N46" s="880" t="s">
        <v>727</v>
      </c>
      <c r="P46" s="866"/>
      <c r="Q46" s="866"/>
      <c r="R46" s="866"/>
      <c r="S46" s="866"/>
      <c r="T46" s="866"/>
      <c r="U46" s="866"/>
      <c r="V46" s="866"/>
      <c r="W46" s="866"/>
      <c r="X46" s="866"/>
      <c r="Y46" s="866"/>
      <c r="Z46" s="866"/>
      <c r="AA46" s="866"/>
      <c r="AB46" s="866"/>
      <c r="AC46" s="866"/>
      <c r="AD46" s="866"/>
      <c r="AE46" s="866"/>
    </row>
    <row r="47" spans="2:31">
      <c r="B47" s="877" t="b">
        <f t="shared" si="7"/>
        <v>0</v>
      </c>
      <c r="C47" s="878" t="b">
        <f>IF(AND($E$3='1. Prelim'!E47,$I$3&gt;=F47, $I$3&lt;=G47),TRUE,FALSE)</f>
        <v>0</v>
      </c>
      <c r="D47" s="850" t="s">
        <v>617</v>
      </c>
      <c r="E47" s="851" t="s">
        <v>124</v>
      </c>
      <c r="F47" s="851">
        <v>120.01</v>
      </c>
      <c r="G47" s="851">
        <v>200</v>
      </c>
      <c r="H47" s="846">
        <v>648</v>
      </c>
      <c r="I47" s="846">
        <v>8645</v>
      </c>
      <c r="J47" s="846">
        <v>0</v>
      </c>
      <c r="K47" s="846" t="s">
        <v>703</v>
      </c>
      <c r="L47" s="846">
        <v>0</v>
      </c>
      <c r="M47" s="846">
        <f t="shared" si="11"/>
        <v>9293</v>
      </c>
      <c r="N47" s="880" t="s">
        <v>727</v>
      </c>
      <c r="P47" s="866"/>
      <c r="Q47" s="866"/>
      <c r="R47" s="866"/>
      <c r="S47" s="866"/>
      <c r="T47" s="866"/>
      <c r="U47" s="866"/>
      <c r="V47" s="866"/>
      <c r="W47" s="866"/>
      <c r="X47" s="866"/>
      <c r="Y47" s="866"/>
      <c r="Z47" s="866"/>
      <c r="AA47" s="866"/>
      <c r="AB47" s="866"/>
      <c r="AC47" s="866"/>
      <c r="AD47" s="866"/>
      <c r="AE47" s="866"/>
    </row>
    <row r="48" spans="2:31">
      <c r="B48" s="877" t="b">
        <f t="shared" si="7"/>
        <v>0</v>
      </c>
      <c r="C48" s="878" t="b">
        <f>IF(AND($E$3='1. Prelim'!E48,$I$3&gt;=F48, $I$3&lt;=G48),TRUE,FALSE)</f>
        <v>0</v>
      </c>
      <c r="D48" s="850" t="s">
        <v>617</v>
      </c>
      <c r="E48" s="851" t="s">
        <v>124</v>
      </c>
      <c r="F48" s="851">
        <v>200.01</v>
      </c>
      <c r="G48" s="851">
        <v>1500</v>
      </c>
      <c r="H48" s="846">
        <v>648</v>
      </c>
      <c r="I48" s="846">
        <v>12968</v>
      </c>
      <c r="J48" s="846">
        <v>0</v>
      </c>
      <c r="K48" s="846" t="s">
        <v>703</v>
      </c>
      <c r="L48" s="846">
        <v>0</v>
      </c>
      <c r="M48" s="846">
        <f t="shared" si="11"/>
        <v>13616</v>
      </c>
      <c r="N48" s="880" t="s">
        <v>728</v>
      </c>
      <c r="P48" s="866"/>
      <c r="Q48" s="866"/>
      <c r="R48" s="866"/>
      <c r="S48" s="866"/>
      <c r="T48" s="866"/>
      <c r="U48" s="866"/>
      <c r="V48" s="866"/>
      <c r="W48" s="866"/>
      <c r="X48" s="866"/>
      <c r="Y48" s="866"/>
      <c r="Z48" s="866"/>
      <c r="AA48" s="866"/>
      <c r="AB48" s="866"/>
      <c r="AC48" s="866"/>
      <c r="AD48" s="866"/>
      <c r="AE48" s="866"/>
    </row>
    <row r="49" spans="2:31">
      <c r="B49" s="877" t="b">
        <f t="shared" si="7"/>
        <v>0</v>
      </c>
      <c r="C49" s="878" t="b">
        <f>IF(AND($E$3='1. Prelim'!E49,$I$3&gt;=F49, $I$3&lt;=G49),TRUE,FALSE)</f>
        <v>0</v>
      </c>
      <c r="D49" s="850" t="s">
        <v>617</v>
      </c>
      <c r="E49" s="851" t="s">
        <v>124</v>
      </c>
      <c r="F49" s="851">
        <v>1500.01</v>
      </c>
      <c r="G49" s="851">
        <v>5000</v>
      </c>
      <c r="H49" s="846">
        <v>1296</v>
      </c>
      <c r="I49" s="846">
        <v>16210</v>
      </c>
      <c r="J49" s="846">
        <v>0</v>
      </c>
      <c r="K49" s="846" t="s">
        <v>703</v>
      </c>
      <c r="L49" s="846">
        <v>0</v>
      </c>
      <c r="M49" s="846">
        <f t="shared" si="11"/>
        <v>17506</v>
      </c>
      <c r="N49" s="880" t="s">
        <v>728</v>
      </c>
      <c r="P49" s="866"/>
      <c r="Q49" s="866"/>
      <c r="R49" s="866"/>
      <c r="S49" s="866"/>
      <c r="T49" s="866"/>
      <c r="U49" s="866"/>
      <c r="V49" s="866"/>
      <c r="W49" s="866"/>
      <c r="X49" s="866"/>
      <c r="Y49" s="866"/>
      <c r="Z49" s="866"/>
      <c r="AA49" s="866"/>
      <c r="AB49" s="866"/>
      <c r="AC49" s="866"/>
      <c r="AD49" s="866"/>
      <c r="AE49" s="866"/>
    </row>
    <row r="50" spans="2:31">
      <c r="B50" s="877" t="b">
        <f t="shared" si="7"/>
        <v>0</v>
      </c>
      <c r="C50" s="878" t="b">
        <f>IF(AND($E$3='1. Prelim'!E50,$I$3&gt;=F50, $I$3&lt;=G50),TRUE,FALSE)</f>
        <v>0</v>
      </c>
      <c r="D50" s="847" t="s">
        <v>248</v>
      </c>
      <c r="E50" s="852" t="s">
        <v>109</v>
      </c>
      <c r="F50" s="852">
        <v>0</v>
      </c>
      <c r="G50" s="852">
        <v>30</v>
      </c>
      <c r="H50" s="848">
        <v>0</v>
      </c>
      <c r="I50" s="848">
        <v>28</v>
      </c>
      <c r="J50" s="848">
        <v>0</v>
      </c>
      <c r="K50" s="848" t="s">
        <v>703</v>
      </c>
      <c r="L50" s="848">
        <v>0</v>
      </c>
      <c r="M50" s="848">
        <f t="shared" si="11"/>
        <v>28</v>
      </c>
      <c r="N50" s="880"/>
      <c r="P50" s="866"/>
      <c r="Q50" s="866"/>
      <c r="R50" s="866"/>
      <c r="S50" s="866"/>
      <c r="T50" s="866"/>
      <c r="U50" s="866"/>
      <c r="V50" s="866"/>
      <c r="W50" s="866"/>
      <c r="X50" s="866"/>
      <c r="Y50" s="866"/>
      <c r="Z50" s="866"/>
      <c r="AA50" s="866"/>
      <c r="AB50" s="866"/>
      <c r="AC50" s="866"/>
      <c r="AD50" s="866"/>
      <c r="AE50" s="866"/>
    </row>
    <row r="51" spans="2:31">
      <c r="B51" s="877" t="b">
        <f t="shared" si="7"/>
        <v>1</v>
      </c>
      <c r="C51" s="878" t="b">
        <f>IF(AND($E$3='1. Prelim'!E51,$I$3&gt;=F51, $I$3&lt;=G51),TRUE,FALSE)</f>
        <v>1</v>
      </c>
      <c r="D51" s="847" t="s">
        <v>248</v>
      </c>
      <c r="E51" s="852" t="s">
        <v>109</v>
      </c>
      <c r="F51" s="852">
        <v>30.01</v>
      </c>
      <c r="G51" s="852">
        <v>200</v>
      </c>
      <c r="H51" s="848">
        <v>0</v>
      </c>
      <c r="I51" s="848">
        <v>561</v>
      </c>
      <c r="J51" s="848">
        <v>0</v>
      </c>
      <c r="K51" s="848" t="s">
        <v>703</v>
      </c>
      <c r="L51" s="848">
        <v>0</v>
      </c>
      <c r="M51" s="848">
        <f t="shared" si="11"/>
        <v>561</v>
      </c>
      <c r="N51" s="880" t="s">
        <v>729</v>
      </c>
      <c r="P51" s="866"/>
      <c r="Q51" s="866"/>
      <c r="R51" s="866"/>
      <c r="S51" s="866"/>
      <c r="T51" s="866"/>
      <c r="U51" s="866"/>
      <c r="V51" s="866"/>
      <c r="W51" s="866"/>
      <c r="X51" s="866"/>
      <c r="Y51" s="866"/>
      <c r="Z51" s="866"/>
      <c r="AA51" s="866"/>
      <c r="AB51" s="866"/>
      <c r="AC51" s="866"/>
      <c r="AD51" s="866"/>
      <c r="AE51" s="866"/>
    </row>
    <row r="52" spans="2:31">
      <c r="B52" s="877" t="b">
        <f t="shared" si="7"/>
        <v>0</v>
      </c>
      <c r="C52" s="878" t="b">
        <f>IF(AND($E$3='1. Prelim'!E52,$I$3&gt;=F52, $I$3&lt;=G52),TRUE,FALSE)</f>
        <v>0</v>
      </c>
      <c r="D52" s="847" t="s">
        <v>248</v>
      </c>
      <c r="E52" s="852" t="s">
        <v>109</v>
      </c>
      <c r="F52" s="852">
        <v>200.01</v>
      </c>
      <c r="G52" s="852">
        <v>1000</v>
      </c>
      <c r="H52" s="848">
        <v>0</v>
      </c>
      <c r="I52" s="848">
        <v>4670</v>
      </c>
      <c r="J52" s="848">
        <v>0</v>
      </c>
      <c r="K52" s="848" t="s">
        <v>703</v>
      </c>
      <c r="L52" s="848">
        <v>0</v>
      </c>
      <c r="M52" s="848">
        <f t="shared" si="11"/>
        <v>4670</v>
      </c>
      <c r="N52" s="880" t="s">
        <v>728</v>
      </c>
      <c r="P52" s="866"/>
      <c r="Q52" s="866"/>
      <c r="R52" s="866"/>
      <c r="S52" s="866"/>
      <c r="T52" s="866"/>
      <c r="U52" s="866"/>
      <c r="V52" s="866"/>
      <c r="W52" s="866"/>
      <c r="X52" s="866"/>
      <c r="Y52" s="866"/>
      <c r="Z52" s="866"/>
      <c r="AA52" s="866"/>
      <c r="AB52" s="866"/>
      <c r="AC52" s="866"/>
      <c r="AD52" s="866"/>
      <c r="AE52" s="866"/>
    </row>
    <row r="53" spans="2:31">
      <c r="B53" s="877" t="b">
        <f t="shared" si="7"/>
        <v>0</v>
      </c>
      <c r="C53" s="878" t="b">
        <f>IF(AND($E$3='1. Prelim'!E53,$I$3&gt;=F53, $I$3&lt;=G53),TRUE,FALSE)</f>
        <v>0</v>
      </c>
      <c r="D53" s="847" t="s">
        <v>248</v>
      </c>
      <c r="E53" s="852" t="s">
        <v>109</v>
      </c>
      <c r="F53" s="852">
        <v>1000.01</v>
      </c>
      <c r="G53" s="852">
        <v>2000</v>
      </c>
      <c r="H53" s="848">
        <v>0</v>
      </c>
      <c r="I53" s="848">
        <v>4670</v>
      </c>
      <c r="J53" s="848" t="s">
        <v>703</v>
      </c>
      <c r="K53" s="848" t="s">
        <v>703</v>
      </c>
      <c r="L53" s="848">
        <v>0</v>
      </c>
      <c r="M53" s="848" t="e">
        <f t="shared" ref="M53:M61" si="12">H53+I53+J53+IF($K$3&lt;&gt;"No",K53,0)+IF($L$3&lt;&gt;"No",L53,0)</f>
        <v>#VALUE!</v>
      </c>
      <c r="N53" s="880" t="s">
        <v>730</v>
      </c>
      <c r="P53" s="866"/>
      <c r="Q53" s="866"/>
      <c r="R53" s="866"/>
      <c r="S53" s="866"/>
      <c r="T53" s="866"/>
      <c r="U53" s="866"/>
      <c r="V53" s="866"/>
      <c r="W53" s="866"/>
      <c r="X53" s="866"/>
      <c r="Y53" s="866"/>
      <c r="Z53" s="866"/>
      <c r="AA53" s="866"/>
      <c r="AB53" s="866"/>
      <c r="AC53" s="866"/>
      <c r="AD53" s="866"/>
      <c r="AE53" s="866"/>
    </row>
    <row r="54" spans="2:31">
      <c r="B54" s="877" t="b">
        <f t="shared" si="7"/>
        <v>0</v>
      </c>
      <c r="C54" s="878" t="b">
        <f>IF(AND($E$3='1. Prelim'!E54,$I$3&gt;=F54, $I$3&lt;=G54),TRUE,FALSE)</f>
        <v>0</v>
      </c>
      <c r="D54" s="847" t="s">
        <v>248</v>
      </c>
      <c r="E54" s="852" t="s">
        <v>109</v>
      </c>
      <c r="F54" s="852">
        <v>2000.01</v>
      </c>
      <c r="G54" s="852">
        <v>5000</v>
      </c>
      <c r="H54" s="848">
        <v>561</v>
      </c>
      <c r="I54" s="848" t="s">
        <v>703</v>
      </c>
      <c r="J54" s="848" t="s">
        <v>703</v>
      </c>
      <c r="K54" s="848" t="s">
        <v>703</v>
      </c>
      <c r="L54" s="848">
        <v>0</v>
      </c>
      <c r="M54" s="848" t="e">
        <f t="shared" si="12"/>
        <v>#VALUE!</v>
      </c>
      <c r="N54" s="880" t="s">
        <v>731</v>
      </c>
      <c r="P54" s="866"/>
      <c r="Q54" s="866"/>
      <c r="R54" s="866"/>
      <c r="S54" s="866"/>
      <c r="T54" s="866"/>
      <c r="U54" s="866"/>
      <c r="V54" s="866"/>
      <c r="W54" s="866"/>
      <c r="X54" s="866"/>
      <c r="Y54" s="866"/>
      <c r="Z54" s="866"/>
      <c r="AA54" s="866"/>
      <c r="AB54" s="866"/>
      <c r="AC54" s="866"/>
      <c r="AD54" s="866"/>
      <c r="AE54" s="866"/>
    </row>
    <row r="55" spans="2:31">
      <c r="B55" s="877" t="b">
        <f t="shared" si="7"/>
        <v>0</v>
      </c>
      <c r="C55" s="878" t="b">
        <f>IF(AND($E$3='1. Prelim'!E55,$I$3&gt;=F55, $I$3&lt;=G55),TRUE,FALSE)</f>
        <v>0</v>
      </c>
      <c r="D55" s="847" t="s">
        <v>248</v>
      </c>
      <c r="E55" s="852" t="s">
        <v>104</v>
      </c>
      <c r="F55" s="852">
        <v>0</v>
      </c>
      <c r="G55" s="852">
        <v>30</v>
      </c>
      <c r="H55" s="848">
        <v>0</v>
      </c>
      <c r="I55" s="848">
        <v>32</v>
      </c>
      <c r="J55" s="848">
        <v>0</v>
      </c>
      <c r="K55" s="848">
        <f>SUM($I$58:$J$58)-SUM(I55:J55)</f>
        <v>7436</v>
      </c>
      <c r="L55" s="848">
        <v>0</v>
      </c>
      <c r="M55" s="848">
        <f t="shared" si="12"/>
        <v>32</v>
      </c>
      <c r="N55" s="880"/>
      <c r="P55" s="866"/>
      <c r="Q55" s="866"/>
      <c r="R55" s="866"/>
      <c r="S55" s="866"/>
      <c r="T55" s="866"/>
      <c r="U55" s="866"/>
      <c r="V55" s="866"/>
      <c r="W55" s="866"/>
      <c r="X55" s="866"/>
      <c r="Y55" s="866"/>
      <c r="Z55" s="866"/>
      <c r="AA55" s="866"/>
      <c r="AB55" s="866"/>
      <c r="AC55" s="866"/>
      <c r="AD55" s="866"/>
      <c r="AE55" s="866"/>
    </row>
    <row r="56" spans="2:31">
      <c r="B56" s="877" t="b">
        <f t="shared" si="7"/>
        <v>0</v>
      </c>
      <c r="C56" s="878" t="b">
        <f>IF(AND($E$3='1. Prelim'!E56,$I$3&gt;=F56, $I$3&lt;=G56),TRUE,FALSE)</f>
        <v>0</v>
      </c>
      <c r="D56" s="847" t="s">
        <v>248</v>
      </c>
      <c r="E56" s="852" t="s">
        <v>104</v>
      </c>
      <c r="F56" s="852">
        <v>30.01</v>
      </c>
      <c r="G56" s="852">
        <v>200</v>
      </c>
      <c r="H56" s="848">
        <v>0</v>
      </c>
      <c r="I56" s="848">
        <v>439</v>
      </c>
      <c r="J56" s="848">
        <v>0</v>
      </c>
      <c r="K56" s="848">
        <f t="shared" ref="K56:K57" si="13">SUM($I$58:$J$58)-SUM(I56:J56)</f>
        <v>7029</v>
      </c>
      <c r="L56" s="848">
        <v>0</v>
      </c>
      <c r="M56" s="848">
        <f t="shared" si="12"/>
        <v>439</v>
      </c>
      <c r="N56" s="880" t="s">
        <v>732</v>
      </c>
      <c r="P56" s="866"/>
      <c r="Q56" s="866"/>
      <c r="R56" s="866"/>
      <c r="S56" s="866"/>
      <c r="T56" s="866"/>
      <c r="U56" s="866"/>
      <c r="V56" s="866"/>
      <c r="W56" s="866"/>
      <c r="X56" s="866"/>
      <c r="Y56" s="866"/>
      <c r="Z56" s="866"/>
      <c r="AA56" s="866"/>
      <c r="AB56" s="866"/>
      <c r="AC56" s="866"/>
      <c r="AD56" s="866"/>
      <c r="AE56" s="866"/>
    </row>
    <row r="57" spans="2:31">
      <c r="B57" s="877" t="b">
        <f t="shared" si="7"/>
        <v>0</v>
      </c>
      <c r="C57" s="878" t="b">
        <f>IF(AND($E$3='1. Prelim'!E57,$I$3&gt;=F57, $I$3&lt;=G57),TRUE,FALSE)</f>
        <v>0</v>
      </c>
      <c r="D57" s="847" t="s">
        <v>248</v>
      </c>
      <c r="E57" s="852" t="s">
        <v>104</v>
      </c>
      <c r="F57" s="852">
        <v>200.01</v>
      </c>
      <c r="G57" s="852">
        <v>500</v>
      </c>
      <c r="H57" s="848">
        <v>0</v>
      </c>
      <c r="I57" s="848">
        <v>439</v>
      </c>
      <c r="J57" s="848">
        <v>2343</v>
      </c>
      <c r="K57" s="848">
        <f t="shared" si="13"/>
        <v>4686</v>
      </c>
      <c r="L57" s="848">
        <v>0</v>
      </c>
      <c r="M57" s="848">
        <f t="shared" si="12"/>
        <v>2782</v>
      </c>
      <c r="N57" s="880"/>
      <c r="P57" s="866"/>
      <c r="Q57" s="866"/>
      <c r="R57" s="866"/>
      <c r="S57" s="866"/>
      <c r="T57" s="866"/>
      <c r="U57" s="866"/>
      <c r="V57" s="866"/>
      <c r="W57" s="866"/>
      <c r="X57" s="866"/>
      <c r="Y57" s="866"/>
      <c r="Z57" s="866"/>
      <c r="AA57" s="866"/>
      <c r="AB57" s="866"/>
      <c r="AC57" s="866"/>
      <c r="AD57" s="866"/>
      <c r="AE57" s="866"/>
    </row>
    <row r="58" spans="2:31">
      <c r="B58" s="877" t="b">
        <f t="shared" si="7"/>
        <v>0</v>
      </c>
      <c r="C58" s="878" t="b">
        <f>IF(AND($E$3='1. Prelim'!E58,$I$3&gt;=F58, $I$3&lt;=G58),TRUE,FALSE)</f>
        <v>0</v>
      </c>
      <c r="D58" s="847" t="s">
        <v>248</v>
      </c>
      <c r="E58" s="852" t="s">
        <v>104</v>
      </c>
      <c r="F58" s="852">
        <v>500.01</v>
      </c>
      <c r="G58" s="852">
        <v>5000</v>
      </c>
      <c r="H58" s="848">
        <v>0</v>
      </c>
      <c r="I58" s="848">
        <v>439</v>
      </c>
      <c r="J58" s="848">
        <v>7029</v>
      </c>
      <c r="K58" s="848">
        <v>0</v>
      </c>
      <c r="L58" s="848">
        <v>0</v>
      </c>
      <c r="M58" s="848">
        <f t="shared" si="12"/>
        <v>7468</v>
      </c>
      <c r="N58" s="880" t="s">
        <v>733</v>
      </c>
      <c r="P58" s="866"/>
      <c r="Q58" s="866"/>
      <c r="R58" s="866"/>
      <c r="S58" s="866"/>
      <c r="T58" s="866"/>
      <c r="U58" s="866"/>
      <c r="V58" s="866"/>
      <c r="W58" s="866"/>
      <c r="X58" s="866"/>
      <c r="Y58" s="866"/>
      <c r="Z58" s="866"/>
      <c r="AA58" s="866"/>
      <c r="AB58" s="866"/>
      <c r="AC58" s="866"/>
      <c r="AD58" s="866"/>
      <c r="AE58" s="866"/>
    </row>
    <row r="59" spans="2:31">
      <c r="B59" s="877" t="b">
        <f t="shared" si="7"/>
        <v>0</v>
      </c>
      <c r="C59" s="878" t="b">
        <f>IF(AND($E$3='1. Prelim'!E59,$I$3&gt;=F59, $I$3&lt;=G59),TRUE,FALSE)</f>
        <v>0</v>
      </c>
      <c r="D59" s="847" t="s">
        <v>248</v>
      </c>
      <c r="E59" s="852" t="s">
        <v>106</v>
      </c>
      <c r="F59" s="852">
        <v>0</v>
      </c>
      <c r="G59" s="852">
        <v>30</v>
      </c>
      <c r="H59" s="848">
        <v>0</v>
      </c>
      <c r="I59" s="848">
        <v>318</v>
      </c>
      <c r="J59" s="848">
        <v>0</v>
      </c>
      <c r="K59" s="848">
        <v>30000</v>
      </c>
      <c r="L59" s="848">
        <v>0</v>
      </c>
      <c r="M59" s="848">
        <f t="shared" si="12"/>
        <v>318</v>
      </c>
      <c r="N59" s="880" t="s">
        <v>734</v>
      </c>
      <c r="P59" s="866"/>
      <c r="Q59" s="866"/>
      <c r="R59" s="866"/>
      <c r="S59" s="866"/>
      <c r="T59" s="866"/>
      <c r="U59" s="866"/>
      <c r="V59" s="866"/>
      <c r="W59" s="866"/>
      <c r="X59" s="866"/>
      <c r="Y59" s="866"/>
      <c r="Z59" s="866"/>
      <c r="AA59" s="866"/>
      <c r="AB59" s="866"/>
      <c r="AC59" s="866"/>
      <c r="AD59" s="866"/>
      <c r="AE59" s="866"/>
    </row>
    <row r="60" spans="2:31">
      <c r="B60" s="877" t="b">
        <f t="shared" si="7"/>
        <v>0</v>
      </c>
      <c r="C60" s="878" t="b">
        <f>IF(AND($E$3='1. Prelim'!E60,$I$3&gt;=F60, $I$3&lt;=G60),TRUE,FALSE)</f>
        <v>0</v>
      </c>
      <c r="D60" s="847" t="s">
        <v>248</v>
      </c>
      <c r="E60" s="852" t="s">
        <v>106</v>
      </c>
      <c r="F60" s="852">
        <v>30.01</v>
      </c>
      <c r="G60" s="852">
        <v>1000</v>
      </c>
      <c r="H60" s="848">
        <v>0</v>
      </c>
      <c r="I60" s="848">
        <v>318</v>
      </c>
      <c r="J60" s="848">
        <v>0</v>
      </c>
      <c r="K60" s="848">
        <v>30000</v>
      </c>
      <c r="L60" s="848">
        <v>0</v>
      </c>
      <c r="M60" s="848">
        <f t="shared" si="12"/>
        <v>318</v>
      </c>
      <c r="N60" s="880" t="s">
        <v>735</v>
      </c>
      <c r="P60" s="866"/>
      <c r="Q60" s="866"/>
      <c r="R60" s="866"/>
      <c r="S60" s="866"/>
      <c r="T60" s="866"/>
      <c r="U60" s="866"/>
      <c r="V60" s="866"/>
      <c r="W60" s="866"/>
      <c r="X60" s="866"/>
      <c r="Y60" s="866"/>
      <c r="Z60" s="866"/>
      <c r="AA60" s="866"/>
      <c r="AB60" s="866"/>
      <c r="AC60" s="866"/>
      <c r="AD60" s="866"/>
      <c r="AE60" s="866"/>
    </row>
    <row r="61" spans="2:31">
      <c r="B61" s="877" t="b">
        <f t="shared" si="7"/>
        <v>0</v>
      </c>
      <c r="C61" s="878" t="b">
        <f>IF(AND($E$3='1. Prelim'!E61,$I$3&gt;=F61, $I$3&lt;=G61),TRUE,FALSE)</f>
        <v>0</v>
      </c>
      <c r="D61" s="847" t="s">
        <v>248</v>
      </c>
      <c r="E61" s="852" t="s">
        <v>106</v>
      </c>
      <c r="F61" s="852">
        <v>1000.01</v>
      </c>
      <c r="G61" s="852">
        <v>5000</v>
      </c>
      <c r="H61" s="848">
        <v>0</v>
      </c>
      <c r="I61" s="848" t="s">
        <v>703</v>
      </c>
      <c r="J61" s="848" t="s">
        <v>703</v>
      </c>
      <c r="K61" s="848">
        <v>30000</v>
      </c>
      <c r="L61" s="848">
        <v>0</v>
      </c>
      <c r="M61" s="848" t="e">
        <f t="shared" si="12"/>
        <v>#VALUE!</v>
      </c>
      <c r="N61" s="880" t="s">
        <v>734</v>
      </c>
      <c r="P61" s="866"/>
      <c r="Q61" s="866"/>
      <c r="R61" s="866"/>
      <c r="S61" s="866"/>
      <c r="T61" s="866"/>
      <c r="U61" s="866"/>
      <c r="V61" s="866"/>
      <c r="W61" s="866"/>
      <c r="X61" s="866"/>
      <c r="Y61" s="866"/>
      <c r="Z61" s="866"/>
      <c r="AA61" s="866"/>
      <c r="AB61" s="866"/>
      <c r="AC61" s="866"/>
      <c r="AD61" s="866"/>
      <c r="AE61" s="866"/>
    </row>
    <row r="62" spans="2:31">
      <c r="B62" s="877" t="b">
        <f t="shared" si="7"/>
        <v>0</v>
      </c>
      <c r="C62" s="878" t="b">
        <f>IF(AND($E$3='1. Prelim'!E62,$I$3&gt;=F62, $I$3&lt;=G62),TRUE,FALSE)</f>
        <v>0</v>
      </c>
      <c r="D62" s="850" t="s">
        <v>619</v>
      </c>
      <c r="E62" s="851" t="s">
        <v>122</v>
      </c>
      <c r="F62" s="851">
        <v>0</v>
      </c>
      <c r="G62" s="851">
        <v>30</v>
      </c>
      <c r="H62" s="846">
        <v>0</v>
      </c>
      <c r="I62" s="846">
        <v>0</v>
      </c>
      <c r="J62" s="846">
        <v>0</v>
      </c>
      <c r="K62" s="846" t="s">
        <v>703</v>
      </c>
      <c r="L62" s="846">
        <v>0</v>
      </c>
      <c r="M62" s="846">
        <f>H62+I62+J62+IF($K$3&lt;&gt;"No",K62,0)+IF($L$3&lt;&gt;"No",L62,0)</f>
        <v>0</v>
      </c>
      <c r="N62" s="880"/>
      <c r="P62" s="866"/>
      <c r="Q62" s="866"/>
      <c r="R62" s="866"/>
      <c r="S62" s="866"/>
      <c r="T62" s="866"/>
      <c r="U62" s="866"/>
      <c r="V62" s="866"/>
      <c r="W62" s="866"/>
      <c r="X62" s="866"/>
      <c r="Y62" s="866"/>
      <c r="Z62" s="866"/>
      <c r="AA62" s="866"/>
      <c r="AB62" s="866"/>
      <c r="AC62" s="866"/>
      <c r="AD62" s="866"/>
      <c r="AE62" s="866"/>
    </row>
    <row r="63" spans="2:31">
      <c r="B63" s="877" t="b">
        <f t="shared" ref="B63:B67" si="14">IF(AND($E$3=E63,$J$3&gt;=F63, $J$3&lt;=G63),TRUE,FALSE)</f>
        <v>0</v>
      </c>
      <c r="C63" s="878" t="b">
        <f>IF(AND($E$3='1. Prelim'!E63,$I$3&gt;=F63, $I$3&lt;=G63),TRUE,FALSE)</f>
        <v>0</v>
      </c>
      <c r="D63" s="850" t="s">
        <v>619</v>
      </c>
      <c r="E63" s="851" t="s">
        <v>122</v>
      </c>
      <c r="F63" s="851">
        <v>30.01</v>
      </c>
      <c r="G63" s="851">
        <v>200</v>
      </c>
      <c r="H63" s="846">
        <v>0</v>
      </c>
      <c r="I63" s="846">
        <v>560</v>
      </c>
      <c r="J63" s="846">
        <v>0</v>
      </c>
      <c r="K63" s="846" t="s">
        <v>703</v>
      </c>
      <c r="L63" s="846">
        <v>0</v>
      </c>
      <c r="M63" s="846">
        <f>H63+I63+J63+IF($K$3&lt;&gt;"No",K63,0)+IF($L$3&lt;&gt;"No",L63,0)</f>
        <v>560</v>
      </c>
      <c r="N63" s="880" t="s">
        <v>736</v>
      </c>
      <c r="P63" s="866"/>
      <c r="Q63" s="866"/>
      <c r="R63" s="866"/>
      <c r="S63" s="866"/>
      <c r="T63" s="866"/>
      <c r="U63" s="866"/>
      <c r="V63" s="866"/>
      <c r="W63" s="866"/>
      <c r="X63" s="866"/>
      <c r="Y63" s="866"/>
      <c r="Z63" s="866"/>
      <c r="AA63" s="866"/>
      <c r="AB63" s="866"/>
      <c r="AC63" s="866"/>
      <c r="AD63" s="866"/>
      <c r="AE63" s="866"/>
    </row>
    <row r="64" spans="2:31">
      <c r="B64" s="877" t="b">
        <f t="shared" si="14"/>
        <v>0</v>
      </c>
      <c r="C64" s="878" t="b">
        <f>IF(AND($E$3='1. Prelim'!E64,$I$3&gt;=F64, $I$3&lt;=G64),TRUE,FALSE)</f>
        <v>0</v>
      </c>
      <c r="D64" s="850" t="s">
        <v>619</v>
      </c>
      <c r="E64" s="851" t="s">
        <v>122</v>
      </c>
      <c r="F64" s="851">
        <v>200.01</v>
      </c>
      <c r="G64" s="851">
        <v>1000</v>
      </c>
      <c r="H64" s="846">
        <v>0</v>
      </c>
      <c r="I64" s="846">
        <v>3239</v>
      </c>
      <c r="J64" s="846">
        <v>0</v>
      </c>
      <c r="K64" s="846" t="s">
        <v>703</v>
      </c>
      <c r="L64" s="846">
        <v>0</v>
      </c>
      <c r="M64" s="846">
        <f>H64+I64+J64+IF($K$3&lt;&gt;"No",K64,0)+IF($L$3&lt;&gt;"No",L64,0)</f>
        <v>3239</v>
      </c>
      <c r="N64" s="880"/>
      <c r="P64" s="866"/>
      <c r="Q64" s="866"/>
      <c r="R64" s="866"/>
      <c r="S64" s="866"/>
      <c r="T64" s="866"/>
      <c r="U64" s="866"/>
      <c r="V64" s="866"/>
      <c r="W64" s="866"/>
      <c r="X64" s="866"/>
      <c r="Y64" s="866"/>
      <c r="Z64" s="866"/>
      <c r="AA64" s="866"/>
      <c r="AB64" s="866"/>
      <c r="AC64" s="866"/>
      <c r="AD64" s="866"/>
      <c r="AE64" s="866"/>
    </row>
    <row r="65" spans="2:31">
      <c r="B65" s="877" t="b">
        <f t="shared" si="14"/>
        <v>0</v>
      </c>
      <c r="C65" s="878" t="b">
        <f>IF(AND($E$3='1. Prelim'!E65,$I$3&gt;=F65, $I$3&lt;=G65),TRUE,FALSE)</f>
        <v>0</v>
      </c>
      <c r="D65" s="847" t="s">
        <v>618</v>
      </c>
      <c r="E65" s="852" t="s">
        <v>120</v>
      </c>
      <c r="F65" s="852">
        <v>0</v>
      </c>
      <c r="G65" s="852">
        <v>10</v>
      </c>
      <c r="H65" s="848">
        <v>0</v>
      </c>
      <c r="I65" s="848">
        <v>0</v>
      </c>
      <c r="J65" s="848">
        <v>0</v>
      </c>
      <c r="K65" s="848" t="s">
        <v>703</v>
      </c>
      <c r="L65" s="848">
        <v>0</v>
      </c>
      <c r="M65" s="848">
        <f>H65+I65+J65+IF($K$3&lt;&gt;"No",K65,0)+IF($L$3&lt;&gt;"No",L65,0)</f>
        <v>0</v>
      </c>
      <c r="N65" s="880"/>
      <c r="P65" s="866"/>
      <c r="Q65" s="866"/>
      <c r="R65" s="866"/>
      <c r="S65" s="866"/>
      <c r="T65" s="866"/>
      <c r="U65" s="866"/>
      <c r="V65" s="866"/>
      <c r="W65" s="866"/>
      <c r="X65" s="866"/>
      <c r="Y65" s="866"/>
      <c r="Z65" s="866"/>
      <c r="AA65" s="866"/>
      <c r="AB65" s="866"/>
      <c r="AC65" s="866"/>
      <c r="AD65" s="866"/>
      <c r="AE65" s="866"/>
    </row>
    <row r="66" spans="2:31">
      <c r="B66" s="877" t="b">
        <f t="shared" si="14"/>
        <v>0</v>
      </c>
      <c r="C66" s="878" t="b">
        <f>IF(AND($E$3='1. Prelim'!E66,$I$3&gt;=F66, $I$3&lt;=G66),TRUE,FALSE)</f>
        <v>0</v>
      </c>
      <c r="D66" s="847" t="s">
        <v>618</v>
      </c>
      <c r="E66" s="852" t="s">
        <v>120</v>
      </c>
      <c r="F66" s="852">
        <v>10.01</v>
      </c>
      <c r="G66" s="852">
        <v>200</v>
      </c>
      <c r="H66" s="848">
        <v>0</v>
      </c>
      <c r="I66" s="848">
        <v>342</v>
      </c>
      <c r="J66" s="848">
        <v>0</v>
      </c>
      <c r="K66" s="848" t="s">
        <v>703</v>
      </c>
      <c r="L66" s="848">
        <v>0</v>
      </c>
      <c r="M66" s="848">
        <f t="shared" ref="M66:M67" si="15">H66+I66+J66+IF($K$3&lt;&gt;"No",K66,0)+IF($L$3&lt;&gt;"No",L66,0)</f>
        <v>342</v>
      </c>
      <c r="N66" s="880" t="s">
        <v>736</v>
      </c>
      <c r="P66" s="866"/>
      <c r="Q66" s="866"/>
      <c r="R66" s="866"/>
      <c r="S66" s="866"/>
      <c r="T66" s="866"/>
      <c r="U66" s="866"/>
      <c r="V66" s="866"/>
      <c r="W66" s="866"/>
      <c r="X66" s="866"/>
      <c r="Y66" s="866"/>
      <c r="Z66" s="866"/>
      <c r="AA66" s="866"/>
      <c r="AB66" s="866"/>
      <c r="AC66" s="866"/>
      <c r="AD66" s="866"/>
      <c r="AE66" s="866"/>
    </row>
    <row r="67" spans="2:31" ht="16.2" thickBot="1">
      <c r="B67" s="881" t="b">
        <f t="shared" si="14"/>
        <v>0</v>
      </c>
      <c r="C67" s="882" t="b">
        <f>IF(AND($E$3='1. Prelim'!E67,$I$3&gt;=F67, $I$3&lt;=G67),TRUE,FALSE)</f>
        <v>0</v>
      </c>
      <c r="D67" s="883" t="s">
        <v>618</v>
      </c>
      <c r="E67" s="884" t="s">
        <v>120</v>
      </c>
      <c r="F67" s="884">
        <v>200.01</v>
      </c>
      <c r="G67" s="884">
        <v>5000</v>
      </c>
      <c r="H67" s="885">
        <v>0</v>
      </c>
      <c r="I67" s="885" t="s">
        <v>703</v>
      </c>
      <c r="J67" s="885">
        <v>10000</v>
      </c>
      <c r="K67" s="885" t="s">
        <v>703</v>
      </c>
      <c r="L67" s="885">
        <v>0</v>
      </c>
      <c r="M67" s="885" t="e">
        <f t="shared" si="15"/>
        <v>#VALUE!</v>
      </c>
      <c r="N67" s="886"/>
      <c r="P67" s="866"/>
      <c r="Q67" s="866"/>
      <c r="R67" s="866"/>
      <c r="S67" s="866"/>
      <c r="T67" s="866"/>
      <c r="U67" s="866"/>
      <c r="V67" s="866"/>
      <c r="W67" s="866"/>
      <c r="X67" s="866"/>
      <c r="Y67" s="866"/>
      <c r="Z67" s="866"/>
      <c r="AA67" s="866"/>
      <c r="AB67" s="866"/>
      <c r="AC67" s="866"/>
      <c r="AD67" s="866"/>
      <c r="AE67" s="866"/>
    </row>
    <row r="68" spans="2:31">
      <c r="H68" s="867"/>
      <c r="I68" s="867"/>
      <c r="P68" s="866"/>
      <c r="Q68" s="866"/>
      <c r="R68" s="866"/>
      <c r="S68" s="866"/>
      <c r="T68" s="866"/>
      <c r="U68" s="866"/>
      <c r="V68" s="866"/>
      <c r="W68" s="866"/>
      <c r="X68" s="866"/>
      <c r="Y68" s="866"/>
      <c r="Z68" s="866"/>
      <c r="AA68" s="866"/>
      <c r="AB68" s="866"/>
      <c r="AC68" s="866"/>
      <c r="AD68" s="866"/>
      <c r="AE68" s="866"/>
    </row>
    <row r="69" spans="2:31">
      <c r="H69" s="867"/>
      <c r="I69" s="867"/>
      <c r="P69" s="866"/>
      <c r="Q69" s="866"/>
      <c r="R69" s="866"/>
      <c r="S69" s="866"/>
      <c r="T69" s="866"/>
      <c r="U69" s="866"/>
      <c r="V69" s="866"/>
      <c r="W69" s="866"/>
      <c r="X69" s="866"/>
      <c r="Y69" s="866"/>
      <c r="Z69" s="866"/>
      <c r="AA69" s="866"/>
      <c r="AB69" s="866"/>
      <c r="AC69" s="866"/>
      <c r="AD69" s="866"/>
      <c r="AE69" s="866"/>
    </row>
    <row r="70" spans="2:31">
      <c r="H70" s="867"/>
      <c r="I70" s="867"/>
      <c r="P70" s="866"/>
      <c r="Q70" s="866"/>
      <c r="R70" s="866"/>
      <c r="S70" s="866"/>
      <c r="T70" s="866"/>
      <c r="U70" s="866"/>
      <c r="V70" s="866"/>
      <c r="W70" s="866"/>
      <c r="X70" s="866"/>
      <c r="Y70" s="866"/>
      <c r="Z70" s="866"/>
      <c r="AA70" s="866"/>
      <c r="AB70" s="866"/>
      <c r="AC70" s="866"/>
      <c r="AD70" s="866"/>
      <c r="AE70" s="866"/>
    </row>
  </sheetData>
  <mergeCells count="23">
    <mergeCell ref="U42:V42"/>
    <mergeCell ref="U43:V43"/>
    <mergeCell ref="U44:V44"/>
    <mergeCell ref="U45:V45"/>
    <mergeCell ref="S27:V28"/>
    <mergeCell ref="U37:V37"/>
    <mergeCell ref="U38:V38"/>
    <mergeCell ref="U39:V39"/>
    <mergeCell ref="U40:V40"/>
    <mergeCell ref="U41:V41"/>
    <mergeCell ref="U32:V32"/>
    <mergeCell ref="U33:V33"/>
    <mergeCell ref="U34:V34"/>
    <mergeCell ref="U35:V35"/>
    <mergeCell ref="U36:V36"/>
    <mergeCell ref="U29:V29"/>
    <mergeCell ref="U30:V30"/>
    <mergeCell ref="U31:V31"/>
    <mergeCell ref="E1:K1"/>
    <mergeCell ref="P7:Q8"/>
    <mergeCell ref="P14:Q15"/>
    <mergeCell ref="P22:Q23"/>
    <mergeCell ref="S7:W8"/>
  </mergeCells>
  <phoneticPr fontId="75" type="noConversion"/>
  <conditionalFormatting sqref="B8:C67">
    <cfRule type="cellIs" dxfId="374" priority="1" operator="equal">
      <formula>TRUE</formula>
    </cfRule>
    <cfRule type="cellIs" dxfId="373" priority="2" operator="equal">
      <formula>FALSE</formula>
    </cfRule>
  </conditionalFormatting>
  <dataValidations count="1">
    <dataValidation allowBlank="1" showInputMessage="1" showErrorMessage="1" sqref="E4:H6 J71:J1048576 E71:G1048576 E7:G67" xr:uid="{D33271A5-0499-4196-B55A-A1FA8B41F2FE}"/>
  </dataValidation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rgb="FF7030A0"/>
  </sheetPr>
  <dimension ref="A1:AW89"/>
  <sheetViews>
    <sheetView workbookViewId="0">
      <selection activeCell="H18" sqref="H18"/>
    </sheetView>
  </sheetViews>
  <sheetFormatPr defaultColWidth="11" defaultRowHeight="15.6"/>
  <cols>
    <col min="2" max="2" width="18.8984375" customWidth="1"/>
    <col min="3" max="3" width="11" style="651"/>
    <col min="4" max="4" width="43.5" customWidth="1"/>
    <col min="5" max="5" width="24.5" customWidth="1"/>
    <col min="6" max="6" width="28.59765625" customWidth="1"/>
    <col min="7" max="7" width="11" bestFit="1" customWidth="1"/>
    <col min="8" max="8" width="10" customWidth="1"/>
    <col min="9" max="9" width="20.09765625" bestFit="1" customWidth="1"/>
    <col min="10" max="10" width="11.09765625" customWidth="1"/>
    <col min="12" max="12" width="18.5" customWidth="1"/>
    <col min="15" max="15" width="11.09765625" bestFit="1" customWidth="1"/>
    <col min="16" max="16" width="41.5" customWidth="1"/>
    <col min="17" max="17" width="14.3984375" customWidth="1"/>
    <col min="18" max="18" width="11.5" customWidth="1"/>
    <col min="19" max="19" width="11" customWidth="1"/>
    <col min="21" max="21" width="12" bestFit="1" customWidth="1"/>
    <col min="24" max="24" width="23" customWidth="1"/>
    <col min="26" max="26" width="12" bestFit="1" customWidth="1"/>
    <col min="32" max="32" width="35" customWidth="1"/>
    <col min="33" max="33" width="15.5" bestFit="1" customWidth="1"/>
    <col min="36" max="36" width="9.09765625" customWidth="1"/>
    <col min="37" max="37" width="15" customWidth="1"/>
    <col min="38" max="38" width="14.5" customWidth="1"/>
    <col min="40" max="40" width="13.5" customWidth="1"/>
    <col min="41" max="41" width="14.5" customWidth="1"/>
    <col min="47" max="47" width="37.5" bestFit="1" customWidth="1"/>
  </cols>
  <sheetData>
    <row r="1" spans="2:49">
      <c r="C1" s="1211"/>
      <c r="D1" s="635" t="s">
        <v>737</v>
      </c>
      <c r="E1" s="636"/>
      <c r="F1" s="636"/>
      <c r="G1" s="641"/>
      <c r="H1" s="1426" t="s">
        <v>738</v>
      </c>
      <c r="I1" s="1427"/>
    </row>
    <row r="2" spans="2:49" ht="16.2" thickBot="1">
      <c r="C2" s="1211"/>
      <c r="D2" s="637"/>
      <c r="E2" s="237"/>
      <c r="F2" s="237"/>
      <c r="G2" s="237"/>
      <c r="H2" s="1428"/>
      <c r="I2" s="1429"/>
    </row>
    <row r="3" spans="2:49" ht="16.5" customHeight="1">
      <c r="B3" s="1423" t="s">
        <v>739</v>
      </c>
      <c r="C3" s="1211"/>
      <c r="D3" s="1432" t="s">
        <v>317</v>
      </c>
      <c r="E3" s="1433"/>
      <c r="F3" s="1433"/>
      <c r="G3" s="1433"/>
      <c r="H3" s="1428"/>
      <c r="I3" s="1429"/>
      <c r="L3" s="1434" t="s">
        <v>740</v>
      </c>
      <c r="M3" s="1435"/>
      <c r="N3" s="1031"/>
      <c r="P3" s="1438" t="s">
        <v>539</v>
      </c>
      <c r="Q3" s="1433"/>
      <c r="R3" s="1433"/>
      <c r="S3" s="1439"/>
      <c r="U3" s="1403" t="s">
        <v>322</v>
      </c>
      <c r="V3" s="1404"/>
      <c r="X3" s="1403" t="s">
        <v>62</v>
      </c>
      <c r="Y3" s="1417"/>
      <c r="Z3" s="1404"/>
      <c r="AB3" s="1403" t="s">
        <v>23</v>
      </c>
      <c r="AC3" s="1417"/>
      <c r="AD3" s="1417"/>
      <c r="AE3" s="1417"/>
      <c r="AF3" s="1417"/>
      <c r="AG3" s="1417"/>
      <c r="AH3" s="1417"/>
      <c r="AI3" s="1404"/>
      <c r="AK3" s="1403" t="s">
        <v>741</v>
      </c>
      <c r="AL3" s="1404"/>
      <c r="AN3" s="1403" t="s">
        <v>742</v>
      </c>
      <c r="AO3" s="1404"/>
      <c r="AQ3" s="1403" t="s">
        <v>42</v>
      </c>
      <c r="AR3" s="1417"/>
      <c r="AS3" s="1404"/>
      <c r="AT3" s="161"/>
      <c r="AU3" s="1403" t="s">
        <v>743</v>
      </c>
      <c r="AV3" s="1417"/>
      <c r="AW3" s="1404"/>
    </row>
    <row r="4" spans="2:49" ht="16.5" customHeight="1" thickBot="1">
      <c r="B4" s="1424"/>
      <c r="C4" s="1211"/>
      <c r="D4" s="1405"/>
      <c r="E4" s="1418"/>
      <c r="F4" s="1418"/>
      <c r="G4" s="1418"/>
      <c r="H4" s="1430"/>
      <c r="I4" s="1431"/>
      <c r="L4" s="1436"/>
      <c r="M4" s="1437"/>
      <c r="N4" s="1031"/>
      <c r="P4" s="1440"/>
      <c r="Q4" s="1418"/>
      <c r="R4" s="1418"/>
      <c r="S4" s="1441"/>
      <c r="U4" s="1405"/>
      <c r="V4" s="1406"/>
      <c r="X4" s="1405"/>
      <c r="Y4" s="1418"/>
      <c r="Z4" s="1406"/>
      <c r="AB4" s="1405"/>
      <c r="AC4" s="1418"/>
      <c r="AD4" s="1418"/>
      <c r="AE4" s="1418"/>
      <c r="AF4" s="1418"/>
      <c r="AG4" s="1418"/>
      <c r="AH4" s="1418"/>
      <c r="AI4" s="1406"/>
      <c r="AK4" s="1405"/>
      <c r="AL4" s="1406"/>
      <c r="AN4" s="1405"/>
      <c r="AO4" s="1406"/>
      <c r="AQ4" s="1405"/>
      <c r="AR4" s="1418"/>
      <c r="AS4" s="1406"/>
      <c r="AT4" s="161"/>
      <c r="AU4" s="1405"/>
      <c r="AV4" s="1418"/>
      <c r="AW4" s="1406"/>
    </row>
    <row r="5" spans="2:49" ht="16.5" customHeight="1" thickBot="1">
      <c r="B5" s="1425"/>
      <c r="C5" s="1211"/>
      <c r="D5" s="66"/>
      <c r="I5" s="67"/>
      <c r="L5" s="230"/>
      <c r="M5" s="231"/>
      <c r="P5" s="253"/>
      <c r="S5" s="254"/>
      <c r="U5" s="66"/>
      <c r="V5" s="67"/>
      <c r="X5" s="66"/>
      <c r="Z5" s="67"/>
      <c r="AB5" s="66"/>
      <c r="AI5" s="67"/>
      <c r="AK5" s="66"/>
      <c r="AL5" s="67"/>
      <c r="AN5" s="66"/>
      <c r="AO5" s="67"/>
      <c r="AQ5" s="66" t="s">
        <v>744</v>
      </c>
      <c r="AS5" s="67"/>
      <c r="AU5" s="66" t="s">
        <v>745</v>
      </c>
      <c r="AV5" s="803">
        <v>5000</v>
      </c>
      <c r="AW5" s="67" t="s">
        <v>746</v>
      </c>
    </row>
    <row r="6" spans="2:49">
      <c r="B6" t="s">
        <v>739</v>
      </c>
      <c r="C6" s="1422" t="s">
        <v>747</v>
      </c>
      <c r="D6" s="66" t="s">
        <v>315</v>
      </c>
      <c r="E6" t="s">
        <v>748</v>
      </c>
      <c r="F6" t="s">
        <v>749</v>
      </c>
      <c r="G6" s="633" t="s">
        <v>750</v>
      </c>
      <c r="H6" s="633" t="s">
        <v>751</v>
      </c>
      <c r="I6" s="652" t="s">
        <v>752</v>
      </c>
      <c r="J6" s="633" t="s">
        <v>753</v>
      </c>
      <c r="L6" s="230" t="s">
        <v>740</v>
      </c>
      <c r="M6" s="231"/>
      <c r="P6" s="964" t="s">
        <v>436</v>
      </c>
      <c r="Q6" s="961" t="s">
        <v>754</v>
      </c>
      <c r="R6" s="962" t="s">
        <v>755</v>
      </c>
      <c r="S6" s="965" t="s">
        <v>756</v>
      </c>
      <c r="U6" s="167" t="s">
        <v>757</v>
      </c>
      <c r="V6" s="89" t="s">
        <v>758</v>
      </c>
      <c r="X6" s="1181" t="s">
        <v>325</v>
      </c>
      <c r="Y6" s="633" t="s">
        <v>759</v>
      </c>
      <c r="Z6" s="1182" t="s">
        <v>760</v>
      </c>
      <c r="AB6" s="66"/>
      <c r="AI6" s="67"/>
      <c r="AK6" s="66"/>
      <c r="AL6" s="67"/>
      <c r="AN6" s="66"/>
      <c r="AO6" s="67"/>
      <c r="AQ6" s="66"/>
      <c r="AS6" s="67"/>
      <c r="AU6" s="66" t="s">
        <v>761</v>
      </c>
      <c r="AV6" s="803">
        <v>9000</v>
      </c>
      <c r="AW6" s="67" t="s">
        <v>746</v>
      </c>
    </row>
    <row r="7" spans="2:49" ht="16.2" thickBot="1">
      <c r="B7" s="640" t="str">
        <f>panelTable1[[#Headers],[Tier 1]]</f>
        <v>Tier 1</v>
      </c>
      <c r="C7" s="1422"/>
      <c r="D7" s="638" t="s">
        <v>316</v>
      </c>
      <c r="E7" s="573">
        <v>12</v>
      </c>
      <c r="F7" s="573">
        <v>25</v>
      </c>
      <c r="G7" s="752">
        <v>500</v>
      </c>
      <c r="H7" s="755">
        <f>AVERAGE(H10:H34)</f>
        <v>0.21921428571428572</v>
      </c>
      <c r="J7" s="654" t="s">
        <v>145</v>
      </c>
      <c r="L7" s="230" t="str">
        <f>'2. PV Components'!$P$7</f>
        <v>Sungrow</v>
      </c>
      <c r="M7" s="231"/>
      <c r="O7" s="1033" t="s">
        <v>762</v>
      </c>
      <c r="P7" s="968" t="s">
        <v>319</v>
      </c>
      <c r="Q7" s="619" t="s">
        <v>754</v>
      </c>
      <c r="R7" s="619" t="s">
        <v>755</v>
      </c>
      <c r="S7" s="619" t="s">
        <v>756</v>
      </c>
      <c r="U7" s="168" t="s">
        <v>85</v>
      </c>
      <c r="V7" s="90">
        <v>0</v>
      </c>
      <c r="X7" s="573" t="s">
        <v>138</v>
      </c>
      <c r="Y7" s="573">
        <v>0</v>
      </c>
      <c r="Z7" s="1183">
        <v>0</v>
      </c>
      <c r="AB7" s="68" t="s">
        <v>763</v>
      </c>
      <c r="AC7" s="772" t="s">
        <v>764</v>
      </c>
      <c r="AD7" t="s">
        <v>765</v>
      </c>
      <c r="AF7" t="s">
        <v>766</v>
      </c>
      <c r="AG7" s="7" t="s">
        <v>767</v>
      </c>
      <c r="AH7" s="7" t="s">
        <v>764</v>
      </c>
      <c r="AI7" s="156" t="s">
        <v>768</v>
      </c>
      <c r="AK7" s="92" t="s">
        <v>327</v>
      </c>
      <c r="AL7" s="93" t="s">
        <v>760</v>
      </c>
      <c r="AN7" s="66" t="s">
        <v>696</v>
      </c>
      <c r="AO7" s="67" t="s">
        <v>769</v>
      </c>
      <c r="AQ7" s="88"/>
      <c r="AR7" s="75"/>
      <c r="AS7" s="76"/>
      <c r="AT7" s="1"/>
      <c r="AU7" s="66" t="s">
        <v>770</v>
      </c>
      <c r="AV7" s="803">
        <v>20000</v>
      </c>
      <c r="AW7" s="67" t="s">
        <v>746</v>
      </c>
    </row>
    <row r="8" spans="2:49">
      <c r="B8" s="640" t="str">
        <f>panelTable2[[#Headers],[Jinko]]</f>
        <v>Jinko</v>
      </c>
      <c r="C8" s="1211"/>
      <c r="L8" s="230" t="str">
        <f>Sigenergy[[#Headers],[Sigenergy]]</f>
        <v>Sigenergy</v>
      </c>
      <c r="M8" s="231"/>
      <c r="O8" s="1032"/>
      <c r="P8" s="1171" t="s">
        <v>771</v>
      </c>
      <c r="Q8" s="18">
        <v>10</v>
      </c>
      <c r="R8" s="19">
        <v>5000</v>
      </c>
      <c r="S8" s="1166">
        <v>1300</v>
      </c>
      <c r="U8" s="167" t="s">
        <v>9</v>
      </c>
      <c r="V8" s="89">
        <f>300*IF(ISBLANK(SOLAR!G39),SOLAR!F39,SOLAR!G39)</f>
        <v>300</v>
      </c>
      <c r="X8" s="573" t="s">
        <v>772</v>
      </c>
      <c r="Y8" s="573">
        <v>700</v>
      </c>
      <c r="Z8" s="1184">
        <v>62</v>
      </c>
      <c r="AB8" s="69" t="s">
        <v>324</v>
      </c>
      <c r="AC8" s="772"/>
      <c r="AD8" s="459">
        <f>1.4*SUM(AD20:AD27)/8</f>
        <v>31.532199999999992</v>
      </c>
      <c r="AF8" t="s">
        <v>773</v>
      </c>
      <c r="AG8" s="40"/>
      <c r="AH8" s="40"/>
      <c r="AI8" s="157"/>
      <c r="AK8" s="77" t="s">
        <v>138</v>
      </c>
      <c r="AL8" s="78">
        <v>0</v>
      </c>
      <c r="AN8" s="66" t="s">
        <v>774</v>
      </c>
      <c r="AO8" s="71">
        <v>0</v>
      </c>
      <c r="AT8" s="1"/>
      <c r="AU8" s="66" t="s">
        <v>68</v>
      </c>
      <c r="AV8" s="803">
        <v>0</v>
      </c>
      <c r="AW8" s="67"/>
    </row>
    <row r="9" spans="2:49">
      <c r="B9" s="640" t="str">
        <f>panelTable3[[#Headers],[Risen]]</f>
        <v>Risen</v>
      </c>
      <c r="C9" s="1212">
        <v>46055</v>
      </c>
      <c r="D9" s="1188" t="s">
        <v>775</v>
      </c>
      <c r="E9" s="1189" t="s">
        <v>748</v>
      </c>
      <c r="F9" s="1189" t="s">
        <v>749</v>
      </c>
      <c r="G9" s="1190" t="s">
        <v>750</v>
      </c>
      <c r="H9" s="1190" t="s">
        <v>751</v>
      </c>
      <c r="I9" s="1190" t="s">
        <v>752</v>
      </c>
      <c r="J9" s="1191" t="s">
        <v>753</v>
      </c>
      <c r="L9" s="230" t="str">
        <f>Enphase[[#Headers],[Enphase]]</f>
        <v>Enphase</v>
      </c>
      <c r="M9" s="231"/>
      <c r="O9" s="1032"/>
      <c r="P9" s="1164" t="s">
        <v>776</v>
      </c>
      <c r="Q9" s="18">
        <v>10</v>
      </c>
      <c r="R9" s="18">
        <v>10000</v>
      </c>
      <c r="S9" s="1167">
        <v>1650</v>
      </c>
      <c r="U9" s="168" t="s">
        <v>777</v>
      </c>
      <c r="V9" s="90">
        <f>1500+V8</f>
        <v>1800</v>
      </c>
      <c r="X9" s="573" t="s">
        <v>778</v>
      </c>
      <c r="Y9" s="573">
        <v>1400</v>
      </c>
      <c r="Z9" s="1184">
        <v>113</v>
      </c>
      <c r="AB9" s="69" t="s">
        <v>779</v>
      </c>
      <c r="AC9" s="772"/>
      <c r="AD9" s="459">
        <v>40</v>
      </c>
      <c r="AG9" s="41"/>
      <c r="AH9" s="41"/>
      <c r="AI9" s="158"/>
      <c r="AK9" s="79" t="s">
        <v>312</v>
      </c>
      <c r="AL9" s="80">
        <v>0</v>
      </c>
      <c r="AN9" s="66" t="s">
        <v>136</v>
      </c>
      <c r="AO9" s="71">
        <v>1500</v>
      </c>
      <c r="AT9" s="1"/>
      <c r="AU9" s="1419" t="s">
        <v>780</v>
      </c>
      <c r="AV9" s="1420"/>
      <c r="AW9" s="1421"/>
    </row>
    <row r="10" spans="2:49">
      <c r="B10" s="640" t="str">
        <f>panelTable4[[#Headers],[Trina]]</f>
        <v>Trina</v>
      </c>
      <c r="C10" s="1211"/>
      <c r="D10" s="1093" t="s">
        <v>781</v>
      </c>
      <c r="E10" s="1168">
        <v>25</v>
      </c>
      <c r="F10" s="1168">
        <v>30</v>
      </c>
      <c r="G10" s="1168">
        <v>520</v>
      </c>
      <c r="H10" s="1168">
        <v>0.215</v>
      </c>
      <c r="I10" s="1168" t="s">
        <v>782</v>
      </c>
      <c r="J10" s="1091" t="s">
        <v>783</v>
      </c>
      <c r="L10" s="230" t="str">
        <f>Fronius[[#Headers],[Fronius ]]</f>
        <v xml:space="preserve">Fronius </v>
      </c>
      <c r="M10" s="231"/>
      <c r="O10" s="1032"/>
      <c r="P10" s="1171" t="s">
        <v>784</v>
      </c>
      <c r="Q10" s="18">
        <v>10</v>
      </c>
      <c r="R10" s="19">
        <v>15000</v>
      </c>
      <c r="S10" s="1166">
        <v>1950</v>
      </c>
      <c r="U10" s="167"/>
      <c r="V10" s="89"/>
      <c r="X10" s="573" t="s">
        <v>785</v>
      </c>
      <c r="Y10" s="573">
        <v>1200</v>
      </c>
      <c r="Z10" s="1184">
        <v>111</v>
      </c>
      <c r="AB10" s="69" t="s">
        <v>41</v>
      </c>
      <c r="AC10" s="772"/>
      <c r="AD10" s="459">
        <v>90</v>
      </c>
      <c r="AF10" t="s">
        <v>66</v>
      </c>
      <c r="AG10" s="154">
        <v>0</v>
      </c>
      <c r="AH10" s="154"/>
      <c r="AI10" s="159"/>
      <c r="AK10" s="77" t="s">
        <v>786</v>
      </c>
      <c r="AL10" s="78"/>
      <c r="AN10" s="66"/>
      <c r="AO10" s="67"/>
      <c r="AT10" s="1"/>
      <c r="AU10" s="66" t="s">
        <v>787</v>
      </c>
      <c r="AV10" s="803">
        <v>20000</v>
      </c>
      <c r="AW10" s="67" t="s">
        <v>746</v>
      </c>
    </row>
    <row r="11" spans="2:49" ht="16.2" thickBot="1">
      <c r="B11" s="640" t="str">
        <f>panelTable5[[#Headers],[Sunpower]]</f>
        <v>Sunpower</v>
      </c>
      <c r="C11" s="1211"/>
      <c r="L11" s="230" t="str">
        <f>SolarEdge[[#Headers],[Solar Edge]]</f>
        <v>Solar Edge</v>
      </c>
      <c r="M11" s="231"/>
      <c r="O11" s="1032"/>
      <c r="P11" s="1164" t="s">
        <v>788</v>
      </c>
      <c r="Q11" s="18">
        <v>10</v>
      </c>
      <c r="R11" s="18">
        <v>20000</v>
      </c>
      <c r="S11" s="1167">
        <v>2150</v>
      </c>
      <c r="U11" s="168"/>
      <c r="V11" s="90"/>
      <c r="X11" s="573" t="s">
        <v>789</v>
      </c>
      <c r="Y11" s="573">
        <v>1000</v>
      </c>
      <c r="Z11" s="1184">
        <v>87</v>
      </c>
      <c r="AB11" s="69" t="s">
        <v>45</v>
      </c>
      <c r="AC11" s="772"/>
      <c r="AD11" s="459">
        <f>IF(SOLAR!F13&lt;750,118,100)</f>
        <v>118</v>
      </c>
      <c r="AF11" t="s">
        <v>790</v>
      </c>
      <c r="AG11" s="444">
        <f>AI11*SOLAR!F38</f>
        <v>800</v>
      </c>
      <c r="AI11" s="67">
        <v>4</v>
      </c>
      <c r="AK11" s="79" t="s">
        <v>791</v>
      </c>
      <c r="AL11" s="80">
        <f>50*100</f>
        <v>5000</v>
      </c>
      <c r="AN11" s="88"/>
      <c r="AO11" s="76"/>
      <c r="AT11" s="1"/>
      <c r="AU11" s="66" t="s">
        <v>792</v>
      </c>
      <c r="AV11" s="803">
        <v>15000</v>
      </c>
      <c r="AW11" s="67" t="s">
        <v>793</v>
      </c>
    </row>
    <row r="12" spans="2:49">
      <c r="B12" s="640" t="str">
        <f>panelTable6[[#Headers],[Canadian Solar]]</f>
        <v>Canadian Solar</v>
      </c>
      <c r="C12" s="1212">
        <v>46072</v>
      </c>
      <c r="D12" s="66" t="s">
        <v>794</v>
      </c>
      <c r="E12" t="s">
        <v>748</v>
      </c>
      <c r="F12" t="s">
        <v>749</v>
      </c>
      <c r="G12" s="633" t="s">
        <v>750</v>
      </c>
      <c r="H12" s="633" t="s">
        <v>751</v>
      </c>
      <c r="I12" s="652" t="s">
        <v>752</v>
      </c>
      <c r="J12" s="633" t="s">
        <v>753</v>
      </c>
      <c r="L12" s="230"/>
      <c r="M12" s="231"/>
      <c r="O12" s="1032"/>
      <c r="P12" s="1171" t="s">
        <v>795</v>
      </c>
      <c r="Q12" s="18">
        <v>10</v>
      </c>
      <c r="R12" s="19">
        <v>29900</v>
      </c>
      <c r="S12" s="1166">
        <v>3089</v>
      </c>
      <c r="U12" s="167"/>
      <c r="V12" s="89"/>
      <c r="X12" s="573" t="s">
        <v>796</v>
      </c>
      <c r="Y12" s="573">
        <v>950</v>
      </c>
      <c r="Z12" s="1184">
        <v>100</v>
      </c>
      <c r="AB12" s="69" t="s">
        <v>48</v>
      </c>
      <c r="AC12" s="772" t="str">
        <f>"manual Input"</f>
        <v>manual Input</v>
      </c>
      <c r="AD12" s="459" t="str">
        <f>"Manual Input"</f>
        <v>Manual Input</v>
      </c>
      <c r="AF12" t="s">
        <v>69</v>
      </c>
      <c r="AG12" s="444">
        <f>AI12*SOLAR!F38</f>
        <v>2000</v>
      </c>
      <c r="AI12" s="71">
        <v>10</v>
      </c>
      <c r="AK12" s="77" t="s">
        <v>797</v>
      </c>
      <c r="AL12" s="78">
        <f>75*100</f>
        <v>7500</v>
      </c>
      <c r="AT12" s="1"/>
      <c r="AU12" s="66" t="s">
        <v>798</v>
      </c>
      <c r="AV12" s="803">
        <v>30000</v>
      </c>
      <c r="AW12" s="67" t="s">
        <v>793</v>
      </c>
    </row>
    <row r="13" spans="2:49">
      <c r="B13" s="640" t="str">
        <f>panelTable7[[#Headers],[Tindo Solar]]</f>
        <v>Tindo Solar</v>
      </c>
      <c r="C13"/>
      <c r="D13" s="639" t="s">
        <v>799</v>
      </c>
      <c r="E13" s="629">
        <v>25</v>
      </c>
      <c r="F13" s="629">
        <v>30</v>
      </c>
      <c r="G13" s="753">
        <v>475</v>
      </c>
      <c r="H13" s="755">
        <v>0.223</v>
      </c>
      <c r="I13" s="754" t="s">
        <v>800</v>
      </c>
      <c r="J13" s="738" t="s">
        <v>783</v>
      </c>
      <c r="L13" s="230"/>
      <c r="M13" s="231"/>
      <c r="O13" s="1032"/>
      <c r="P13" s="1164" t="s">
        <v>801</v>
      </c>
      <c r="Q13" s="18">
        <v>10</v>
      </c>
      <c r="R13" s="18">
        <v>50000</v>
      </c>
      <c r="S13" s="1167">
        <v>3831</v>
      </c>
      <c r="U13" s="66"/>
      <c r="V13" s="90"/>
      <c r="X13" s="573" t="s">
        <v>802</v>
      </c>
      <c r="Y13" s="573">
        <v>730</v>
      </c>
      <c r="Z13" s="1184">
        <v>88</v>
      </c>
      <c r="AB13" s="69" t="s">
        <v>52</v>
      </c>
      <c r="AC13" s="772" t="s">
        <v>803</v>
      </c>
      <c r="AD13" s="459" t="str">
        <f>"Manual Input"</f>
        <v>Manual Input</v>
      </c>
      <c r="AF13" t="s">
        <v>72</v>
      </c>
      <c r="AG13" s="155">
        <f>AI13*SOLAR!F38</f>
        <v>2000</v>
      </c>
      <c r="AH13" s="155"/>
      <c r="AI13" s="160">
        <v>10</v>
      </c>
      <c r="AK13" s="79" t="s">
        <v>804</v>
      </c>
      <c r="AL13" s="80">
        <f>100*100</f>
        <v>10000</v>
      </c>
      <c r="AT13" s="1"/>
      <c r="AU13" s="66" t="s">
        <v>805</v>
      </c>
      <c r="AV13" s="803">
        <v>30000</v>
      </c>
      <c r="AW13" s="67" t="s">
        <v>793</v>
      </c>
    </row>
    <row r="14" spans="2:49" ht="16.2" thickBot="1">
      <c r="B14" s="640" t="str">
        <f>panelTable8[[#Headers],[JA Solar]]</f>
        <v>JA Solar</v>
      </c>
      <c r="C14"/>
      <c r="D14" s="639" t="s">
        <v>806</v>
      </c>
      <c r="E14" s="629">
        <v>15</v>
      </c>
      <c r="F14" s="629">
        <v>30</v>
      </c>
      <c r="G14" s="629">
        <v>590</v>
      </c>
      <c r="H14" s="1192">
        <v>0.218</v>
      </c>
      <c r="I14" s="653" t="s">
        <v>807</v>
      </c>
      <c r="J14" s="629" t="s">
        <v>783</v>
      </c>
      <c r="L14" s="232"/>
      <c r="M14" s="233"/>
      <c r="O14" s="1032"/>
      <c r="P14" s="1171" t="s">
        <v>320</v>
      </c>
      <c r="Q14" s="18">
        <v>10</v>
      </c>
      <c r="R14" s="19">
        <v>110000</v>
      </c>
      <c r="S14" s="1166">
        <v>7099</v>
      </c>
      <c r="U14" s="169"/>
      <c r="V14" s="170"/>
      <c r="X14" s="573" t="s">
        <v>808</v>
      </c>
      <c r="Y14" s="573">
        <v>500</v>
      </c>
      <c r="Z14" s="1184">
        <v>60</v>
      </c>
      <c r="AB14" s="69" t="s">
        <v>56</v>
      </c>
      <c r="AC14" s="772"/>
      <c r="AD14" s="772">
        <v>180</v>
      </c>
      <c r="AF14" t="s">
        <v>75</v>
      </c>
      <c r="AG14" s="154">
        <f>AI14*SOLAR!F38</f>
        <v>4600</v>
      </c>
      <c r="AH14" s="154"/>
      <c r="AI14" s="159">
        <f>18+5</f>
        <v>23</v>
      </c>
      <c r="AK14" s="77" t="s">
        <v>809</v>
      </c>
      <c r="AL14" s="78">
        <f>125*100</f>
        <v>12500</v>
      </c>
      <c r="AU14" s="88" t="s">
        <v>68</v>
      </c>
      <c r="AV14" s="812">
        <v>0</v>
      </c>
      <c r="AW14" s="76"/>
    </row>
    <row r="15" spans="2:49">
      <c r="B15" t="str">
        <f>panelTable9[[#Headers],[AIKO]]</f>
        <v>AIKO</v>
      </c>
      <c r="C15" s="1211"/>
      <c r="D15" s="639" t="s">
        <v>810</v>
      </c>
      <c r="E15" s="629">
        <v>15</v>
      </c>
      <c r="F15" s="629">
        <v>30</v>
      </c>
      <c r="G15" s="629">
        <v>620</v>
      </c>
      <c r="H15" s="1192">
        <v>0.22</v>
      </c>
      <c r="I15" s="653" t="s">
        <v>811</v>
      </c>
      <c r="J15" s="629" t="s">
        <v>783</v>
      </c>
      <c r="P15" s="1172" t="str">
        <f>IFERROR(
    LEFT(IF(O14&lt;&gt;0,O14&amp;" x "&amp;P14 &amp;", ","")&amp;
         IF(O13&lt;&gt;0,O13&amp;" x "&amp;P13 &amp;", ","")&amp;
         IF(O12&lt;&gt;0,O12&amp;" x "&amp;P12 &amp;", ","")&amp;
         IF(O11&lt;&gt;0,O11&amp;" x "&amp;P11 &amp;", ","")&amp;
         IF(O10&lt;&gt;0,O10&amp;" x "&amp;P10 &amp;", ","")&amp;
         IF(O9&lt;&gt;0,O9&amp;" x "&amp;P9 &amp;", ","")&amp;
         IF(O8&lt;&gt;0,O8&amp;" x "&amp;P8 &amp;", ",""),
         LEN(IF(O14&lt;&gt;0,O14&amp;" x "&amp;P14 &amp;", ","")&amp;IF(O13&lt;&gt;0,O13&amp;" x "&amp;P13 &amp;", ","")&amp;IF(O12&lt;&gt;0,O12&amp;" x "&amp;P12 &amp;", ","")&amp;IF(O11&lt;&gt;0,O11&amp;" x "&amp;P11 &amp;", ","")&amp;IF(O10&lt;&gt;0,O10&amp;" x "&amp;P10 &amp;", ","")&amp;IF(O9&lt;&gt;0,O9&amp;" x "&amp;P9 &amp;", ","")&amp;IF(O8&lt;&gt;0,O8&amp;" x "&amp;P8 &amp;", ",""))-2),
       "None")</f>
        <v>None</v>
      </c>
      <c r="Q15" s="18">
        <v>10</v>
      </c>
      <c r="R15" s="19">
        <f>IFERROR(SUMPRODUCT($O$8:$O$14,R8:R14)/SUM($O$8:$O$14),
         0)</f>
        <v>0</v>
      </c>
      <c r="S15" s="1166">
        <f>IFERROR(SUMPRODUCT($O$8:$O$14,S8:S14)/SUM($O$8:$O$14),
         0)</f>
        <v>0</v>
      </c>
      <c r="X15" s="573" t="s">
        <v>812</v>
      </c>
      <c r="Y15" s="573">
        <v>440</v>
      </c>
      <c r="Z15" s="1184">
        <v>47</v>
      </c>
      <c r="AB15" s="69" t="s">
        <v>59</v>
      </c>
      <c r="AC15" s="772"/>
      <c r="AD15" s="772">
        <f>1300*SOLAR!F13/IF(ISBLANK(SOLAR!G38),SOLAR!F38,SOLAR!G38)</f>
        <v>650</v>
      </c>
      <c r="AF15" t="s">
        <v>78</v>
      </c>
      <c r="AG15" s="155">
        <f>AI15*SOLAR!F38</f>
        <v>4729.829999999999</v>
      </c>
      <c r="AH15" s="155"/>
      <c r="AI15" s="160">
        <f>AD8*0.75</f>
        <v>23.649149999999995</v>
      </c>
      <c r="AK15" s="79" t="s">
        <v>813</v>
      </c>
      <c r="AL15" s="80">
        <f>150*100</f>
        <v>15000</v>
      </c>
    </row>
    <row r="16" spans="2:49">
      <c r="C16"/>
      <c r="D16" s="66"/>
      <c r="G16" s="634"/>
      <c r="H16" s="632"/>
      <c r="I16" s="632"/>
      <c r="J16" s="654"/>
      <c r="AB16" s="69"/>
      <c r="AC16" s="772"/>
      <c r="AF16" t="s">
        <v>80</v>
      </c>
      <c r="AG16" s="154">
        <f>AG13+AG14</f>
        <v>6600</v>
      </c>
      <c r="AH16" s="154"/>
      <c r="AI16" s="159"/>
      <c r="AK16" s="77" t="s">
        <v>814</v>
      </c>
      <c r="AL16" s="78">
        <f>200*100</f>
        <v>20000</v>
      </c>
    </row>
    <row r="17" spans="3:38">
      <c r="C17" s="1212">
        <v>46055</v>
      </c>
      <c r="D17" s="66" t="s">
        <v>815</v>
      </c>
      <c r="E17" t="s">
        <v>748</v>
      </c>
      <c r="F17" t="s">
        <v>749</v>
      </c>
      <c r="G17" s="633" t="s">
        <v>750</v>
      </c>
      <c r="H17" s="633" t="s">
        <v>751</v>
      </c>
      <c r="I17" s="652" t="s">
        <v>752</v>
      </c>
      <c r="J17" s="633" t="s">
        <v>753</v>
      </c>
      <c r="L17" s="444"/>
      <c r="O17" s="1033" t="s">
        <v>762</v>
      </c>
      <c r="P17" s="968" t="s">
        <v>816</v>
      </c>
      <c r="Q17" s="1178" t="s">
        <v>754</v>
      </c>
      <c r="R17" s="1178" t="s">
        <v>755</v>
      </c>
      <c r="S17" s="1178" t="s">
        <v>756</v>
      </c>
      <c r="AB17" s="69"/>
      <c r="AC17" s="772"/>
      <c r="AF17" t="s">
        <v>83</v>
      </c>
      <c r="AG17" s="155">
        <f>AG13+AG15</f>
        <v>6729.829999999999</v>
      </c>
      <c r="AH17" s="155"/>
      <c r="AI17" s="160"/>
      <c r="AK17" s="79" t="s">
        <v>817</v>
      </c>
      <c r="AL17" s="80">
        <f>250*100</f>
        <v>25000</v>
      </c>
    </row>
    <row r="18" spans="3:38">
      <c r="C18"/>
      <c r="D18" s="1213" t="s">
        <v>818</v>
      </c>
      <c r="E18" s="1214">
        <v>12</v>
      </c>
      <c r="F18" s="1214">
        <v>25</v>
      </c>
      <c r="G18" s="1215">
        <v>625</v>
      </c>
      <c r="H18" s="755">
        <v>0.215</v>
      </c>
      <c r="I18" s="1199" t="s">
        <v>819</v>
      </c>
      <c r="J18" s="1214" t="s">
        <v>783</v>
      </c>
      <c r="O18" s="1032"/>
      <c r="P18" s="966" t="s">
        <v>820</v>
      </c>
      <c r="Q18" s="18">
        <v>10</v>
      </c>
      <c r="R18" s="1170">
        <v>50000</v>
      </c>
      <c r="S18" s="1166">
        <v>4385</v>
      </c>
      <c r="AB18" s="69"/>
      <c r="AC18" s="772"/>
      <c r="AF18" t="s">
        <v>87</v>
      </c>
      <c r="AG18" s="154">
        <f>AG14+AG15</f>
        <v>9329.8299999999981</v>
      </c>
      <c r="AH18" s="154"/>
      <c r="AI18" s="159"/>
      <c r="AK18" s="77" t="s">
        <v>821</v>
      </c>
      <c r="AL18" s="78">
        <f>300*100</f>
        <v>30000</v>
      </c>
    </row>
    <row r="19" spans="3:38">
      <c r="C19"/>
      <c r="D19" s="1213" t="s">
        <v>822</v>
      </c>
      <c r="E19" s="1214">
        <v>25</v>
      </c>
      <c r="F19" s="1214">
        <v>30</v>
      </c>
      <c r="G19" s="1215">
        <v>510</v>
      </c>
      <c r="H19" s="755">
        <v>0.22999999999999998</v>
      </c>
      <c r="I19" s="1199" t="s">
        <v>823</v>
      </c>
      <c r="J19" s="1214" t="s">
        <v>783</v>
      </c>
      <c r="O19" s="1032"/>
      <c r="P19" s="966" t="s">
        <v>824</v>
      </c>
      <c r="Q19" s="18">
        <v>10</v>
      </c>
      <c r="R19" s="1169">
        <v>99900</v>
      </c>
      <c r="S19" s="1167">
        <v>6976</v>
      </c>
      <c r="AB19" s="72" t="s">
        <v>825</v>
      </c>
      <c r="AC19" s="39" t="s">
        <v>826</v>
      </c>
      <c r="AD19" t="s">
        <v>827</v>
      </c>
      <c r="AF19" t="s">
        <v>89</v>
      </c>
      <c r="AG19" s="155">
        <f>SUM(AG13:AG15)</f>
        <v>11329.829999999998</v>
      </c>
      <c r="AH19" s="155"/>
      <c r="AI19" s="160"/>
      <c r="AK19" s="79" t="s">
        <v>828</v>
      </c>
      <c r="AL19" s="81" t="str">
        <f>"Manual Input"</f>
        <v>Manual Input</v>
      </c>
    </row>
    <row r="20" spans="3:38" ht="16.2" thickBot="1">
      <c r="C20" s="1211"/>
      <c r="J20" s="654"/>
      <c r="O20" s="1032"/>
      <c r="P20" s="966" t="s">
        <v>829</v>
      </c>
      <c r="Q20" s="18">
        <v>10</v>
      </c>
      <c r="R20" s="1170">
        <v>110000</v>
      </c>
      <c r="S20" s="1166">
        <v>7178</v>
      </c>
      <c r="AB20" s="73" t="s">
        <v>830</v>
      </c>
      <c r="AC20" s="40">
        <v>25.47</v>
      </c>
      <c r="AD20">
        <f>AC20*4.2</f>
        <v>106.974</v>
      </c>
      <c r="AI20" s="67"/>
      <c r="AK20" s="88"/>
      <c r="AL20" s="76"/>
    </row>
    <row r="21" spans="3:38">
      <c r="C21" s="1211"/>
      <c r="D21" s="66" t="s">
        <v>831</v>
      </c>
      <c r="E21" t="s">
        <v>748</v>
      </c>
      <c r="F21" t="s">
        <v>749</v>
      </c>
      <c r="G21" s="633" t="s">
        <v>750</v>
      </c>
      <c r="H21" s="633" t="s">
        <v>751</v>
      </c>
      <c r="I21" s="652" t="s">
        <v>752</v>
      </c>
      <c r="J21" s="633" t="s">
        <v>753</v>
      </c>
      <c r="L21" s="472"/>
      <c r="O21" s="1032"/>
      <c r="P21" s="969" t="s">
        <v>832</v>
      </c>
      <c r="Q21" s="18">
        <v>10</v>
      </c>
      <c r="R21" s="1169">
        <v>125000</v>
      </c>
      <c r="S21" s="1167">
        <v>7569</v>
      </c>
      <c r="AB21" s="74" t="s">
        <v>833</v>
      </c>
      <c r="AC21" s="41">
        <v>2.4500000000000002</v>
      </c>
      <c r="AD21">
        <f>AC21*3</f>
        <v>7.3500000000000005</v>
      </c>
      <c r="AI21" s="67"/>
    </row>
    <row r="22" spans="3:38">
      <c r="C22" s="1211"/>
      <c r="D22" s="1213" t="s">
        <v>834</v>
      </c>
      <c r="E22" s="1214"/>
      <c r="F22" s="1214"/>
      <c r="G22" s="1215"/>
      <c r="H22" s="755"/>
      <c r="I22" s="1199"/>
      <c r="J22" s="654"/>
      <c r="L22" s="472"/>
      <c r="P22" s="1165" t="str">
        <f>IFERROR(
    LEFT(IF(O21&lt;&gt;0,O21&amp;" x "&amp;P21 &amp;", ","")&amp;
         IF(O20&lt;&gt;0,O20&amp;" x "&amp;P20 &amp;", ","")&amp;
         IF(O19&lt;&gt;0,O19&amp;" x "&amp;P19 &amp;", ","")&amp;
         IF(O18&lt;&gt;0,O18&amp;" x "&amp;P18 &amp;", ",""),
         LEN(IF(O21&lt;&gt;0,O21&amp;" x "&amp;P21 &amp;", ","")&amp;IF(O20&lt;&gt;0,O20&amp;" x "&amp;P20 &amp;", ","")&amp;IF(O19&lt;&gt;0,O19&amp;" x "&amp;P19 &amp;", ","")&amp;IF(O18&lt;&gt;0,O18&amp;" x "&amp;P18 &amp;", ",""))-2),
       "None")</f>
        <v>None</v>
      </c>
      <c r="Q22" s="18" t="s">
        <v>669</v>
      </c>
      <c r="R22" s="1170">
        <f>IFERROR(SUMPRODUCT(O18:O21,R18:R21)/SUM(O18:O21),
         0)</f>
        <v>0</v>
      </c>
      <c r="S22" s="1167">
        <f>IFERROR(SUMPRODUCT($O$18:$O$21,S18:S21)/SUM($O$18:$O$21),
         0)</f>
        <v>0</v>
      </c>
      <c r="AB22" s="73" t="s">
        <v>835</v>
      </c>
      <c r="AC22" s="40">
        <v>0.95</v>
      </c>
      <c r="AD22">
        <f>AC22*14</f>
        <v>13.299999999999999</v>
      </c>
      <c r="AI22" s="67"/>
    </row>
    <row r="23" spans="3:38">
      <c r="C23"/>
      <c r="J23" s="654"/>
      <c r="L23" s="472"/>
      <c r="AB23" s="74" t="s">
        <v>836</v>
      </c>
      <c r="AC23" s="41">
        <v>0.95</v>
      </c>
      <c r="AD23">
        <f>AC23*4</f>
        <v>3.8</v>
      </c>
      <c r="AI23" s="67"/>
    </row>
    <row r="24" spans="3:38">
      <c r="C24"/>
      <c r="D24" s="66" t="s">
        <v>837</v>
      </c>
      <c r="E24" t="s">
        <v>748</v>
      </c>
      <c r="F24" t="s">
        <v>749</v>
      </c>
      <c r="G24" s="633" t="s">
        <v>750</v>
      </c>
      <c r="H24" s="633" t="s">
        <v>751</v>
      </c>
      <c r="I24" s="652" t="s">
        <v>752</v>
      </c>
      <c r="J24" s="633" t="s">
        <v>753</v>
      </c>
      <c r="L24" s="472"/>
      <c r="O24" s="1033" t="s">
        <v>762</v>
      </c>
      <c r="P24" s="1098" t="s">
        <v>838</v>
      </c>
      <c r="Q24" s="1178" t="s">
        <v>754</v>
      </c>
      <c r="R24" s="1178" t="s">
        <v>755</v>
      </c>
      <c r="S24" s="1178" t="s">
        <v>756</v>
      </c>
      <c r="AB24" s="73" t="s">
        <v>839</v>
      </c>
      <c r="AC24" s="40">
        <v>3.13</v>
      </c>
      <c r="AD24">
        <f>AC24*2</f>
        <v>6.26</v>
      </c>
      <c r="AI24" s="67"/>
    </row>
    <row r="25" spans="3:38">
      <c r="C25" s="1211"/>
      <c r="D25" s="1213" t="s">
        <v>834</v>
      </c>
      <c r="E25" s="1214"/>
      <c r="F25" s="1214"/>
      <c r="G25" s="1215"/>
      <c r="H25" s="755"/>
      <c r="I25" s="1216"/>
      <c r="J25" s="654"/>
      <c r="L25" s="472"/>
      <c r="O25" s="1032"/>
      <c r="P25" s="1173" t="s">
        <v>840</v>
      </c>
      <c r="Q25" s="1174">
        <v>10</v>
      </c>
      <c r="R25" s="1174">
        <v>380</v>
      </c>
      <c r="S25" s="1179">
        <v>132</v>
      </c>
      <c r="AB25" s="74" t="s">
        <v>841</v>
      </c>
      <c r="AC25" s="41">
        <v>0.4</v>
      </c>
      <c r="AD25">
        <f>AC25*8</f>
        <v>3.2</v>
      </c>
      <c r="AI25" s="67"/>
    </row>
    <row r="26" spans="3:38">
      <c r="C26"/>
      <c r="L26" s="472"/>
      <c r="O26" s="1032"/>
      <c r="P26" s="1173" t="s">
        <v>842</v>
      </c>
      <c r="Q26" s="1174">
        <v>10</v>
      </c>
      <c r="R26" s="1174">
        <v>380</v>
      </c>
      <c r="S26" s="1179">
        <v>165</v>
      </c>
      <c r="AB26" s="73" t="s">
        <v>843</v>
      </c>
      <c r="AC26" s="40">
        <v>1.71</v>
      </c>
      <c r="AD26">
        <f>AC26*14</f>
        <v>23.939999999999998</v>
      </c>
      <c r="AI26" s="67"/>
    </row>
    <row r="27" spans="3:38">
      <c r="C27"/>
      <c r="D27" s="1026" t="s">
        <v>844</v>
      </c>
      <c r="E27" s="1026" t="s">
        <v>748</v>
      </c>
      <c r="F27" s="1026" t="s">
        <v>749</v>
      </c>
      <c r="G27" s="1027" t="s">
        <v>750</v>
      </c>
      <c r="H27" s="1028" t="s">
        <v>751</v>
      </c>
      <c r="I27" s="652" t="s">
        <v>752</v>
      </c>
      <c r="J27" s="1029" t="s">
        <v>753</v>
      </c>
      <c r="L27" s="472"/>
      <c r="O27" s="1032"/>
      <c r="P27" s="1164" t="s">
        <v>845</v>
      </c>
      <c r="Q27" s="1174">
        <v>10</v>
      </c>
      <c r="R27" s="1174">
        <v>360</v>
      </c>
      <c r="S27" s="1179">
        <v>155</v>
      </c>
      <c r="AB27" s="74" t="s">
        <v>846</v>
      </c>
      <c r="AC27" s="41">
        <v>0.48</v>
      </c>
      <c r="AD27">
        <f>AC27*4*8</f>
        <v>15.36</v>
      </c>
      <c r="AI27" s="67"/>
      <c r="AK27" s="444"/>
    </row>
    <row r="28" spans="3:38" ht="16.2" thickBot="1">
      <c r="C28"/>
      <c r="D28" s="1217" t="s">
        <v>834</v>
      </c>
      <c r="E28" s="1218"/>
      <c r="F28" s="1218"/>
      <c r="G28" s="1219"/>
      <c r="H28" s="755"/>
      <c r="I28" s="1220"/>
      <c r="J28" s="751" t="s">
        <v>847</v>
      </c>
      <c r="P28" s="1175" t="str">
        <f>IFERROR(
    LEFT(IF(O27&lt;&gt;0,O27&amp;" x "&amp;P27 &amp;", ","")&amp;
         IF(O26&lt;&gt;0,O26&amp;" x "&amp;P26 &amp;", ","")&amp;
         IF(O25&lt;&gt;0,O25&amp;" x "&amp;P25 &amp;", ",""),
         LEN(IF(O27&lt;&gt;0,O27&amp;" x "&amp;P27 &amp;", ","")&amp;IF(O26&lt;&gt;0,O26&amp;" x "&amp;P26 &amp;", ","")&amp;IF(O25&lt;&gt;0,O25&amp;" x "&amp;P25 &amp;", ",""))-2),
       "None")</f>
        <v>None</v>
      </c>
      <c r="Q28" s="1174" t="s">
        <v>669</v>
      </c>
      <c r="R28" s="1176">
        <f>IFERROR(SUMPRODUCT(O25:O27,R25:R27)/SUM(O25:O27),
         0)</f>
        <v>0</v>
      </c>
      <c r="S28" s="1176">
        <f>IFERROR(SUMPRODUCT(O25:O27,S25:S27)/SUM(O25:O27),
         0)</f>
        <v>0</v>
      </c>
      <c r="AB28" s="88"/>
      <c r="AC28" s="75"/>
      <c r="AD28" s="75"/>
      <c r="AE28" s="75"/>
      <c r="AF28" s="75"/>
      <c r="AG28" s="75"/>
      <c r="AH28" s="75"/>
      <c r="AI28" s="76"/>
    </row>
    <row r="29" spans="3:38">
      <c r="C29"/>
      <c r="J29" t="s">
        <v>847</v>
      </c>
    </row>
    <row r="30" spans="3:38">
      <c r="C30"/>
      <c r="D30" s="1026" t="s">
        <v>848</v>
      </c>
      <c r="E30" s="1026" t="s">
        <v>748</v>
      </c>
      <c r="F30" s="1026" t="s">
        <v>749</v>
      </c>
      <c r="G30" s="1027" t="s">
        <v>750</v>
      </c>
      <c r="H30" s="1028" t="s">
        <v>751</v>
      </c>
      <c r="I30" s="652" t="s">
        <v>752</v>
      </c>
      <c r="J30" s="1029" t="s">
        <v>753</v>
      </c>
      <c r="O30" s="1033" t="s">
        <v>762</v>
      </c>
      <c r="P30" s="1098" t="s">
        <v>849</v>
      </c>
      <c r="Q30" s="1178" t="s">
        <v>754</v>
      </c>
      <c r="R30" s="1178" t="s">
        <v>755</v>
      </c>
      <c r="S30" s="1178" t="s">
        <v>756</v>
      </c>
    </row>
    <row r="31" spans="3:38">
      <c r="C31" s="1211"/>
      <c r="D31" s="1217" t="s">
        <v>834</v>
      </c>
      <c r="E31" s="1218"/>
      <c r="F31" s="1218"/>
      <c r="G31" s="1219"/>
      <c r="H31" s="1025"/>
      <c r="I31" s="1221"/>
      <c r="J31" s="751" t="s">
        <v>847</v>
      </c>
      <c r="O31" s="1032"/>
      <c r="P31" s="963" t="s">
        <v>850</v>
      </c>
      <c r="Q31" s="18">
        <v>5</v>
      </c>
      <c r="R31" s="18">
        <v>3000</v>
      </c>
      <c r="S31" s="1177">
        <v>1359</v>
      </c>
    </row>
    <row r="32" spans="3:38">
      <c r="C32" s="1211"/>
      <c r="O32" s="1032"/>
      <c r="P32" s="963" t="s">
        <v>851</v>
      </c>
      <c r="Q32" s="18">
        <v>5</v>
      </c>
      <c r="R32" s="18">
        <v>4000</v>
      </c>
      <c r="S32" s="1177">
        <v>1505</v>
      </c>
    </row>
    <row r="33" spans="3:19">
      <c r="C33" s="1211"/>
      <c r="D33" s="66" t="s">
        <v>852</v>
      </c>
      <c r="E33" s="633" t="s">
        <v>748</v>
      </c>
      <c r="F33" s="633" t="s">
        <v>749</v>
      </c>
      <c r="G33" s="652" t="s">
        <v>750</v>
      </c>
      <c r="H33" s="633" t="s">
        <v>751</v>
      </c>
      <c r="I33" s="652" t="s">
        <v>752</v>
      </c>
      <c r="J33" s="633" t="s">
        <v>753</v>
      </c>
      <c r="O33" s="1032"/>
      <c r="P33" s="963" t="s">
        <v>853</v>
      </c>
      <c r="Q33" s="18">
        <v>5</v>
      </c>
      <c r="R33" s="18">
        <v>5000</v>
      </c>
      <c r="S33" s="1177">
        <v>1675</v>
      </c>
    </row>
    <row r="34" spans="3:19">
      <c r="C34" s="1222">
        <v>46077</v>
      </c>
      <c r="D34" s="639" t="s">
        <v>854</v>
      </c>
      <c r="E34" s="1185">
        <v>12</v>
      </c>
      <c r="F34" s="1185">
        <v>30</v>
      </c>
      <c r="G34" s="1185">
        <v>595</v>
      </c>
      <c r="H34" s="1186">
        <f>0.1935+0.02</f>
        <v>0.2135</v>
      </c>
      <c r="I34" s="1187" t="s">
        <v>855</v>
      </c>
      <c r="J34" s="1185"/>
      <c r="O34" s="1032"/>
      <c r="P34" s="963" t="s">
        <v>856</v>
      </c>
      <c r="Q34" s="18">
        <v>5</v>
      </c>
      <c r="R34" s="18">
        <v>6000</v>
      </c>
      <c r="S34" s="1177">
        <v>1879</v>
      </c>
    </row>
    <row r="35" spans="3:19">
      <c r="C35" s="1211"/>
      <c r="O35" s="1032"/>
      <c r="P35" s="963" t="s">
        <v>857</v>
      </c>
      <c r="Q35" s="18">
        <v>5</v>
      </c>
      <c r="R35" s="18">
        <v>8000</v>
      </c>
      <c r="S35" s="1177">
        <v>2262</v>
      </c>
    </row>
    <row r="36" spans="3:19">
      <c r="C36" s="1211"/>
      <c r="O36" s="1032"/>
      <c r="P36" s="963" t="s">
        <v>858</v>
      </c>
      <c r="Q36" s="18">
        <v>5</v>
      </c>
      <c r="R36" s="18">
        <v>10000</v>
      </c>
      <c r="S36" s="1177">
        <v>2643</v>
      </c>
    </row>
    <row r="37" spans="3:19">
      <c r="C37" s="1211"/>
      <c r="O37" s="1032"/>
      <c r="P37" s="963" t="s">
        <v>859</v>
      </c>
      <c r="Q37" s="18">
        <v>5</v>
      </c>
      <c r="R37" s="18">
        <v>5000</v>
      </c>
      <c r="S37" s="1177">
        <v>2289</v>
      </c>
    </row>
    <row r="38" spans="3:19">
      <c r="C38" s="1211"/>
      <c r="O38" s="1032"/>
      <c r="P38" s="963" t="s">
        <v>860</v>
      </c>
      <c r="Q38" s="18">
        <v>5</v>
      </c>
      <c r="R38" s="18">
        <v>6000</v>
      </c>
      <c r="S38" s="1177">
        <v>2599</v>
      </c>
    </row>
    <row r="39" spans="3:19">
      <c r="C39" s="1211"/>
      <c r="O39" s="1032"/>
      <c r="P39" s="963" t="s">
        <v>861</v>
      </c>
      <c r="Q39" s="18">
        <v>5</v>
      </c>
      <c r="R39" s="18">
        <v>8000</v>
      </c>
      <c r="S39" s="1177">
        <v>2999</v>
      </c>
    </row>
    <row r="40" spans="3:19">
      <c r="C40" s="1211"/>
      <c r="O40" s="1032"/>
      <c r="P40" s="963" t="s">
        <v>862</v>
      </c>
      <c r="Q40" s="18">
        <v>5</v>
      </c>
      <c r="R40" s="18">
        <v>10000</v>
      </c>
      <c r="S40" s="1177">
        <v>3399</v>
      </c>
    </row>
    <row r="41" spans="3:19">
      <c r="C41" s="1211"/>
      <c r="O41" s="1032"/>
      <c r="P41" s="963" t="s">
        <v>863</v>
      </c>
      <c r="Q41" s="18">
        <v>5</v>
      </c>
      <c r="R41" s="18">
        <v>5000</v>
      </c>
      <c r="S41" s="1177">
        <v>1809</v>
      </c>
    </row>
    <row r="42" spans="3:19">
      <c r="C42" s="1211"/>
      <c r="O42" s="1032"/>
      <c r="P42" s="963" t="s">
        <v>864</v>
      </c>
      <c r="Q42" s="18">
        <v>5</v>
      </c>
      <c r="R42" s="18">
        <v>5000</v>
      </c>
      <c r="S42" s="1177">
        <v>2549</v>
      </c>
    </row>
    <row r="43" spans="3:19">
      <c r="C43" s="1211"/>
      <c r="O43" s="1032"/>
      <c r="P43" s="963" t="s">
        <v>865</v>
      </c>
      <c r="Q43" s="18">
        <v>5</v>
      </c>
      <c r="R43" s="18">
        <v>6000</v>
      </c>
      <c r="S43" s="1177">
        <v>2089</v>
      </c>
    </row>
    <row r="44" spans="3:19">
      <c r="C44" s="1211"/>
      <c r="O44" s="1032"/>
      <c r="P44" s="963" t="s">
        <v>866</v>
      </c>
      <c r="Q44" s="18">
        <v>5</v>
      </c>
      <c r="R44" s="18">
        <v>8000</v>
      </c>
      <c r="S44" s="1177">
        <v>2539</v>
      </c>
    </row>
    <row r="45" spans="3:19">
      <c r="C45" s="1211"/>
      <c r="O45" s="1032"/>
      <c r="P45" s="963" t="s">
        <v>867</v>
      </c>
      <c r="Q45" s="18">
        <v>5</v>
      </c>
      <c r="R45" s="18">
        <v>8000</v>
      </c>
      <c r="S45" s="1177">
        <v>3369</v>
      </c>
    </row>
    <row r="46" spans="3:19">
      <c r="C46" s="1211"/>
      <c r="O46" s="1032"/>
      <c r="P46" s="963" t="s">
        <v>868</v>
      </c>
      <c r="Q46" s="18">
        <v>5</v>
      </c>
      <c r="R46" s="18">
        <v>5000</v>
      </c>
      <c r="S46" s="1177">
        <v>920</v>
      </c>
    </row>
    <row r="47" spans="3:19">
      <c r="C47" s="1211"/>
      <c r="O47" s="1032"/>
      <c r="P47" s="963" t="s">
        <v>869</v>
      </c>
      <c r="Q47" s="18">
        <v>5</v>
      </c>
      <c r="R47" s="18">
        <v>8000</v>
      </c>
      <c r="S47" s="1177">
        <v>1250</v>
      </c>
    </row>
    <row r="48" spans="3:19">
      <c r="C48" s="1211"/>
      <c r="O48" s="1032"/>
      <c r="P48" s="963" t="s">
        <v>870</v>
      </c>
      <c r="Q48" s="18">
        <v>5</v>
      </c>
      <c r="R48" s="18">
        <v>20000</v>
      </c>
      <c r="S48" s="1177">
        <v>2729</v>
      </c>
    </row>
    <row r="49" spans="3:25">
      <c r="C49" s="1211"/>
      <c r="O49" s="1032"/>
      <c r="P49" s="963" t="s">
        <v>871</v>
      </c>
      <c r="Q49" s="18">
        <v>5</v>
      </c>
      <c r="R49" s="18">
        <v>25000</v>
      </c>
      <c r="S49" s="1177">
        <v>3499</v>
      </c>
    </row>
    <row r="50" spans="3:25">
      <c r="C50" s="1211"/>
      <c r="O50" s="1032"/>
      <c r="P50" s="963" t="s">
        <v>872</v>
      </c>
      <c r="Q50" s="18">
        <v>5</v>
      </c>
      <c r="R50" s="18">
        <v>33000</v>
      </c>
      <c r="S50" s="1177">
        <v>4099</v>
      </c>
    </row>
    <row r="51" spans="3:25">
      <c r="C51" s="1211"/>
      <c r="O51" s="1032"/>
      <c r="P51" s="963" t="s">
        <v>873</v>
      </c>
      <c r="Q51" s="18">
        <v>5</v>
      </c>
      <c r="R51" s="18">
        <v>50000</v>
      </c>
      <c r="S51" s="1177">
        <v>6099</v>
      </c>
    </row>
    <row r="52" spans="3:25">
      <c r="C52" s="1211"/>
      <c r="O52" s="1032"/>
      <c r="P52" s="963" t="s">
        <v>874</v>
      </c>
      <c r="Q52" s="18">
        <v>5</v>
      </c>
      <c r="R52" s="18">
        <v>50000</v>
      </c>
      <c r="S52" s="1177">
        <v>7749</v>
      </c>
    </row>
    <row r="53" spans="3:25">
      <c r="C53" s="1223"/>
      <c r="O53" s="1032"/>
      <c r="P53" s="963" t="s">
        <v>875</v>
      </c>
      <c r="Q53" s="18">
        <v>5</v>
      </c>
      <c r="R53" s="18">
        <v>100000</v>
      </c>
      <c r="S53" s="1177">
        <v>8249</v>
      </c>
    </row>
    <row r="54" spans="3:25">
      <c r="C54" s="1211"/>
      <c r="O54" s="1032"/>
      <c r="P54" s="1164" t="s">
        <v>876</v>
      </c>
      <c r="Q54" s="18">
        <v>5</v>
      </c>
      <c r="R54" s="18">
        <v>100000</v>
      </c>
      <c r="S54" s="1177">
        <v>7599</v>
      </c>
    </row>
    <row r="55" spans="3:25">
      <c r="C55" s="1211"/>
      <c r="P55" s="1164" t="str">
        <f>IFERROR(
    LEFT(
        IF(O54&lt;&gt;0,O54&amp;" x "&amp;P54 &amp;", ","")&amp;
        IF(O53&lt;&gt;0,O53&amp;" x "&amp;P53 &amp;", ","")&amp;
        IF(O52&lt;&gt;0,O52&amp;" x "&amp;P52 &amp;", ","")&amp;
        IF(O51&lt;&gt;0,O51&amp;" x "&amp;P51 &amp;", ","")&amp;
        IF(O50&lt;&gt;0,O50&amp;" x "&amp;P50 &amp;", ","")&amp;
        IF(O49&lt;&gt;0,O49&amp;" x "&amp;P49 &amp;", ","")&amp;
        IF(O48&lt;&gt;0,O48&amp;" x "&amp;P48 &amp;", ","")&amp;
        IF(O47&lt;&gt;0,O47&amp;" x "&amp;P47 &amp;", ","")&amp;
        IF(O46&lt;&gt;0,O46&amp;" x "&amp;P46 &amp;", ","")&amp;
        IF(O45&lt;&gt;0,O45&amp;" x "&amp;P45 &amp;", ","")&amp;
        IF(O44&lt;&gt;0,O44&amp;" x "&amp;P44 &amp;", ","")&amp;
        IF(O43&lt;&gt;0,O43&amp;" x "&amp;P43 &amp;", ","")&amp;
        IF(O42&lt;&gt;0,O42&amp;" x "&amp;P42 &amp;", ","")&amp;
        IF(O41&lt;&gt;0,O41&amp;" x "&amp;P41 &amp;", ","")&amp;
        IF(O40&lt;&gt;0,O40&amp;" x "&amp;P40 &amp;", ","")&amp;
        IF(O39&lt;&gt;0,O39&amp;" x "&amp;P39 &amp;", ","")&amp;
        IF(O38&lt;&gt;0,O38&amp;" x "&amp;P38 &amp;", ","")&amp;
        IF(O37&lt;&gt;0,O37&amp;" x "&amp;P37 &amp;", ","")&amp;
        IF(O36&lt;&gt;0,O36&amp;" x "&amp;P36 &amp;", ","")&amp;
        IF(O35&lt;&gt;0,O35&amp;" x "&amp;P35 &amp;", ","")&amp;
        IF(O34&lt;&gt;0,O34&amp;" x "&amp;P34 &amp;", ","")&amp;
        IF(O33&lt;&gt;0,O33&amp;" x "&amp;P33 &amp;", ","")&amp;
        IF(O32&lt;&gt;0,O32&amp;" x "&amp;P32 &amp;", ","")&amp;
        IF(O31&lt;&gt;0,O31&amp;" x "&amp;P31 &amp;", ",""),
        LEN(
            IF(O54&lt;&gt;0,O54&amp;" x "&amp;P54 &amp;", ","")&amp;
            IF(O53&lt;&gt;0,O53&amp;" x "&amp;P53 &amp;", ","")&amp;
            IF(O52&lt;&gt;0,O52&amp;" x "&amp;P52 &amp;", ","")&amp;
            IF(O51&lt;&gt;0,O51&amp;" x "&amp;P51 &amp;", ","")&amp;
            IF(O50&lt;&gt;0,O50&amp;" x "&amp;P50 &amp;", ","")&amp;
            IF(O49&lt;&gt;0,O49&amp;" x "&amp;P48 &amp;", ","")&amp;
            IF(O48&lt;&gt;0,O48&amp;" x "&amp;P48 &amp;", ","")&amp;
            IF(O47&lt;&gt;0,O47&amp;" x "&amp;P47 &amp;", ","")&amp;
            IF(O46&lt;&gt;0,O46&amp;" x "&amp;P46 &amp;", ","")&amp;
            IF(O45&lt;&gt;0,O45&amp;" x "&amp;P45 &amp;", ","")&amp;
            IF(O44&lt;&gt;0,O44&amp;" x "&amp;P44 &amp;", ","")&amp;
            IF(O43&lt;&gt;0,O43&amp;" x "&amp;P43 &amp;", ","")&amp;
            IF(O42&lt;&gt;0,O42&amp;" x "&amp;P42 &amp;", ","")&amp;
            IF(O41&lt;&gt;0,O41&amp;" x "&amp;P41 &amp;", ","")&amp;
            IF(O40&lt;&gt;0,O40&amp;" x "&amp;P40 &amp;", ","")&amp;
            IF(O39&lt;&gt;0,O39&amp;" x "&amp;P39 &amp;", ","")&amp;
            IF(O38&lt;&gt;0,O38&amp;" x "&amp;P38 &amp;", ","")&amp;
            IF(O37&lt;&gt;0,O37&amp;" x "&amp;P37 &amp;", ","")&amp;
            IF(O36&lt;&gt;0,O36&amp;" x "&amp;P36 &amp;", ","")&amp;
            IF(O35&lt;&gt;0,O35&amp;" x "&amp;P35 &amp;", ","")&amp;
            IF(O34&lt;&gt;0,O34&amp;" x "&amp;P34 &amp;", ","")&amp;
            IF(O33&lt;&gt;0,O33&amp;" x "&amp;P33 &amp;", ","")&amp;
            IF(O32&lt;&gt;0,O32&amp;" x "&amp;P32 &amp;", ","")&amp;
            IF(O31&lt;&gt;0,O31&amp;" x "&amp;P31 &amp;", ","")
        )-2
    ),
    "None"
)</f>
        <v>None</v>
      </c>
      <c r="Q55" s="18" t="s">
        <v>877</v>
      </c>
      <c r="R55" s="18">
        <f>IFERROR(SUMPRODUCT(O31:O54,R31:R54)/SUM(O31:O54),
         0)</f>
        <v>0</v>
      </c>
      <c r="S55" s="18">
        <f>IFERROR(SUMPRODUCT(O31:O54,S31:S54)/SUM(O31:O54),
         0)</f>
        <v>0</v>
      </c>
      <c r="U55" s="286"/>
      <c r="X55" s="287"/>
      <c r="Y55" s="288"/>
    </row>
    <row r="56" spans="3:25">
      <c r="C56" s="1211"/>
      <c r="U56" s="286"/>
      <c r="X56" s="287"/>
      <c r="Y56" s="288"/>
    </row>
    <row r="57" spans="3:25">
      <c r="C57" s="1211"/>
      <c r="U57" s="286"/>
      <c r="X57" s="287"/>
      <c r="Y57" s="288"/>
    </row>
    <row r="58" spans="3:25">
      <c r="C58" s="1211"/>
      <c r="U58" s="286"/>
      <c r="X58" s="287"/>
      <c r="Y58" s="288"/>
    </row>
    <row r="59" spans="3:25">
      <c r="C59" s="1224"/>
      <c r="O59" s="1033" t="s">
        <v>762</v>
      </c>
      <c r="P59" s="967" t="s">
        <v>878</v>
      </c>
      <c r="Q59" s="1178" t="s">
        <v>754</v>
      </c>
      <c r="R59" s="1178" t="s">
        <v>755</v>
      </c>
      <c r="S59" s="1178" t="s">
        <v>756</v>
      </c>
      <c r="U59" s="286"/>
      <c r="X59" s="287"/>
      <c r="Y59" s="288"/>
    </row>
    <row r="60" spans="3:25">
      <c r="C60" s="1211"/>
      <c r="O60" s="1032"/>
      <c r="P60" s="966" t="s">
        <v>879</v>
      </c>
      <c r="Q60" s="18">
        <v>12</v>
      </c>
      <c r="R60" s="18">
        <v>5000</v>
      </c>
      <c r="S60" s="1177">
        <v>1881</v>
      </c>
      <c r="U60" s="286"/>
      <c r="X60" s="287"/>
      <c r="Y60" s="288"/>
    </row>
    <row r="61" spans="3:25">
      <c r="C61" s="1211"/>
      <c r="O61" s="1032"/>
      <c r="P61" s="966" t="s">
        <v>880</v>
      </c>
      <c r="Q61" s="18">
        <v>12</v>
      </c>
      <c r="R61" s="18">
        <v>10000</v>
      </c>
      <c r="S61" s="1177">
        <v>1500</v>
      </c>
      <c r="U61" s="286"/>
      <c r="X61" s="287"/>
      <c r="Y61" s="288"/>
    </row>
    <row r="62" spans="3:25">
      <c r="C62" s="1211"/>
      <c r="O62" s="1032"/>
      <c r="P62" s="966" t="s">
        <v>881</v>
      </c>
      <c r="Q62" s="18">
        <v>12</v>
      </c>
      <c r="R62" s="18">
        <v>30000</v>
      </c>
      <c r="S62" s="1177">
        <v>1992</v>
      </c>
      <c r="U62" s="286"/>
      <c r="X62" s="287"/>
      <c r="Y62" s="288"/>
    </row>
    <row r="63" spans="3:25">
      <c r="C63" s="1211"/>
      <c r="O63" s="1032"/>
      <c r="P63" s="966" t="s">
        <v>882</v>
      </c>
      <c r="Q63" s="18">
        <v>12</v>
      </c>
      <c r="R63" s="18">
        <v>50000</v>
      </c>
      <c r="S63" s="1177">
        <v>4503.21</v>
      </c>
      <c r="U63" s="286"/>
      <c r="X63" s="287"/>
      <c r="Y63" s="288"/>
    </row>
    <row r="64" spans="3:25">
      <c r="C64" s="1211"/>
      <c r="O64" s="1032"/>
      <c r="P64" s="966" t="s">
        <v>883</v>
      </c>
      <c r="Q64" s="18">
        <v>12</v>
      </c>
      <c r="R64" s="18">
        <v>66600</v>
      </c>
      <c r="S64" s="1177">
        <v>4429</v>
      </c>
      <c r="U64" s="286"/>
      <c r="X64" s="287"/>
      <c r="Y64" s="288"/>
    </row>
    <row r="65" spans="3:25">
      <c r="C65" s="1211"/>
      <c r="O65" s="1032"/>
      <c r="P65" s="966" t="s">
        <v>884</v>
      </c>
      <c r="Q65" s="18">
        <v>12</v>
      </c>
      <c r="R65" s="18">
        <v>82800</v>
      </c>
      <c r="S65" s="1177">
        <v>5821.74</v>
      </c>
      <c r="U65" s="286"/>
      <c r="X65" s="287"/>
      <c r="Y65" s="288"/>
    </row>
    <row r="66" spans="3:25">
      <c r="C66" s="1211"/>
      <c r="O66" s="1032"/>
      <c r="P66" s="966" t="s">
        <v>885</v>
      </c>
      <c r="Q66" s="18">
        <v>12</v>
      </c>
      <c r="R66" s="18">
        <v>100000</v>
      </c>
      <c r="S66" s="1177">
        <v>6414</v>
      </c>
      <c r="U66" s="286"/>
      <c r="X66" s="287"/>
      <c r="Y66" s="288"/>
    </row>
    <row r="67" spans="3:25">
      <c r="C67" s="1211"/>
      <c r="P67" s="1164" t="str">
        <f>IFERROR(
    LEFT(
        IF(O66&lt;&gt;0,O66&amp;" x "&amp;P66 &amp;", ","")&amp;
        IF(O65&lt;&gt;0,O65&amp;" x "&amp;P65 &amp;", ","")&amp;
        IF(O64&lt;&gt;0,O64&amp;" x "&amp;P64 &amp;", ","")&amp;
        IF(O63&lt;&gt;0,O63&amp;" x "&amp;P63 &amp;", ","")&amp;
        IF(O62&lt;&gt;0,O62&amp;" x "&amp;P62 &amp;", ","")&amp;
        IF(O61&lt;&gt;0,O61&amp;" x "&amp;P61 &amp;", ","")&amp;
        IF(O60&lt;&gt;0,O60&amp;" x "&amp;P60 &amp;", ",""),
        LEN(
            IF(O58&lt;&gt;0,O58&amp;" x "&amp;P58 &amp;", ","")&amp;
            IF(O57&lt;&gt;0,O57&amp;" x "&amp;P57 &amp;", ","")&amp;
            IF(O56&lt;&gt;0,O56&amp;" x "&amp;P56 &amp;", ","")&amp;
            IF(O55&lt;&gt;0,O55&amp;" x "&amp;P55 &amp;", ","")&amp;
            IF(O54&lt;&gt;0,O54&amp;" x "&amp;P54 &amp;", ","")&amp;
            IF(O53&lt;&gt;0,O53&amp;" x "&amp;P53 &amp;", ","")&amp;
            IF(O52&lt;&gt;0,O52&amp;" x "&amp;P52 &amp;", ","")&amp;
            IF(O51&lt;&gt;0,O51&amp;" x "&amp;P51 &amp;", ","")&amp;
            IF(O50&lt;&gt;0,O50&amp;" x "&amp;P50 &amp;", ","")&amp;
            IF(O49&lt;&gt;0,O49&amp;" x "&amp;P49 &amp;", ","")&amp;
            IF(O48&lt;&gt;0,O48&amp;" x "&amp;P48 &amp;", ","")&amp;
            IF(O47&lt;&gt;0,O47&amp;" x "&amp;P47 &amp;", ","")&amp;
            IF(O46&lt;&gt;0,O46&amp;" x "&amp;P46 &amp;", ","")&amp;
            IF(O45&lt;&gt;0,O45&amp;" x "&amp;P45 &amp;", ","")&amp;
            IF(O44&lt;&gt;0,O44&amp;" x "&amp;P44 &amp;", ","")&amp;
            IF(O43&lt;&gt;0,O43&amp;" x "&amp;P43 &amp;", ","")
        )-2
    ),
    "None"
)</f>
        <v>None</v>
      </c>
      <c r="Q67" s="18">
        <v>12</v>
      </c>
      <c r="R67" s="18">
        <f>IFERROR(SUMPRODUCT(O60:O66,R60:R66)/SUM(O60:O66),
         0)</f>
        <v>0</v>
      </c>
      <c r="S67" s="1177">
        <f>IFERROR(SUMPRODUCT(O60:O66,S60:S66)/SUM(O60:O66),
         0)</f>
        <v>0</v>
      </c>
      <c r="U67" s="286"/>
      <c r="X67" s="287"/>
      <c r="Y67" s="288"/>
    </row>
    <row r="68" spans="3:25">
      <c r="C68" s="1211"/>
      <c r="U68" s="286"/>
      <c r="X68" s="287"/>
      <c r="Y68" s="288"/>
    </row>
    <row r="69" spans="3:25">
      <c r="C69" s="1211"/>
      <c r="U69" s="286"/>
      <c r="X69" s="287"/>
      <c r="Y69" s="288"/>
    </row>
    <row r="70" spans="3:25">
      <c r="C70" s="1211"/>
      <c r="U70" s="286"/>
      <c r="X70" s="287"/>
      <c r="Y70" s="288"/>
    </row>
    <row r="71" spans="3:25">
      <c r="C71" s="1211"/>
      <c r="U71" s="286"/>
      <c r="X71" s="287"/>
      <c r="Y71" s="288"/>
    </row>
    <row r="72" spans="3:25">
      <c r="C72" s="1211"/>
      <c r="U72" s="286"/>
      <c r="X72" s="287"/>
      <c r="Y72" s="288"/>
    </row>
    <row r="73" spans="3:25">
      <c r="C73" s="1211"/>
      <c r="U73" s="286"/>
      <c r="X73" s="287"/>
      <c r="Y73" s="288"/>
    </row>
    <row r="74" spans="3:25">
      <c r="C74" s="1211"/>
      <c r="U74" s="286"/>
      <c r="X74" s="287"/>
      <c r="Y74" s="288"/>
    </row>
    <row r="75" spans="3:25">
      <c r="C75" s="1211"/>
      <c r="U75" s="286"/>
      <c r="X75" s="287"/>
      <c r="Y75" s="288"/>
    </row>
    <row r="76" spans="3:25">
      <c r="C76" s="1211"/>
      <c r="U76" s="286"/>
      <c r="X76" s="287"/>
      <c r="Y76" s="288"/>
    </row>
    <row r="77" spans="3:25">
      <c r="C77" s="1211"/>
      <c r="U77" s="286"/>
      <c r="X77" s="287"/>
      <c r="Y77" s="288"/>
    </row>
    <row r="78" spans="3:25">
      <c r="C78" s="1211"/>
      <c r="U78" s="286"/>
      <c r="X78" s="287"/>
      <c r="Y78" s="288"/>
    </row>
    <row r="79" spans="3:25">
      <c r="C79" s="1211"/>
      <c r="U79" s="286"/>
      <c r="X79" s="287"/>
      <c r="Y79" s="288"/>
    </row>
    <row r="80" spans="3:25">
      <c r="C80" s="1211"/>
      <c r="U80" s="286"/>
      <c r="X80" s="287"/>
      <c r="Y80" s="288"/>
    </row>
    <row r="81" spans="1:25">
      <c r="A81" s="66"/>
      <c r="C81" s="1211"/>
      <c r="U81" s="286"/>
      <c r="X81" s="287"/>
      <c r="Y81" s="288"/>
    </row>
    <row r="82" spans="1:25">
      <c r="C82" s="1211"/>
      <c r="U82" s="286"/>
      <c r="X82" s="287"/>
      <c r="Y82" s="288"/>
    </row>
    <row r="83" spans="1:25">
      <c r="C83" s="1211"/>
      <c r="U83" s="286"/>
      <c r="X83" s="287"/>
      <c r="Y83" s="288"/>
    </row>
    <row r="84" spans="1:25">
      <c r="C84" s="1211"/>
      <c r="U84" s="286"/>
      <c r="X84" s="287"/>
      <c r="Y84" s="288"/>
    </row>
    <row r="85" spans="1:25">
      <c r="C85" s="1211"/>
      <c r="U85" s="286"/>
      <c r="X85" s="287"/>
      <c r="Y85" s="288"/>
    </row>
    <row r="86" spans="1:25">
      <c r="C86" s="1211"/>
      <c r="U86" s="286"/>
      <c r="X86" s="287"/>
      <c r="Y86" s="288"/>
    </row>
    <row r="87" spans="1:25">
      <c r="C87" s="1211"/>
      <c r="U87" s="286"/>
      <c r="X87" s="287"/>
      <c r="Y87" s="288"/>
    </row>
    <row r="88" spans="1:25">
      <c r="C88" s="1211"/>
      <c r="U88" s="286"/>
      <c r="X88" s="287"/>
      <c r="Y88" s="288"/>
    </row>
    <row r="89" spans="1:25">
      <c r="C89" s="1211"/>
      <c r="U89" s="286"/>
      <c r="X89" s="287"/>
      <c r="Y89" s="288"/>
    </row>
  </sheetData>
  <mergeCells count="14">
    <mergeCell ref="AU3:AW4"/>
    <mergeCell ref="AU9:AW9"/>
    <mergeCell ref="C6:C7"/>
    <mergeCell ref="B3:B5"/>
    <mergeCell ref="H1:I4"/>
    <mergeCell ref="D3:G4"/>
    <mergeCell ref="AQ3:AS4"/>
    <mergeCell ref="L3:M4"/>
    <mergeCell ref="U3:V4"/>
    <mergeCell ref="AN3:AO4"/>
    <mergeCell ref="P3:S4"/>
    <mergeCell ref="X3:Z4"/>
    <mergeCell ref="AB3:AI4"/>
    <mergeCell ref="AK3:AL4"/>
  </mergeCells>
  <phoneticPr fontId="75" type="noConversion"/>
  <pageMargins left="0.7" right="0.7" top="0.75" bottom="0.75" header="0.3" footer="0.3"/>
  <pageSetup orientation="portrait" r:id="rId1"/>
  <legacyDrawing r:id="rId2"/>
  <tableParts count="2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AC175-2AF5-4229-917D-CDE1BC740518}">
  <sheetPr codeName="Sheet25">
    <tabColor rgb="FF7030A0"/>
  </sheetPr>
  <dimension ref="A1:AM146"/>
  <sheetViews>
    <sheetView workbookViewId="0"/>
  </sheetViews>
  <sheetFormatPr defaultColWidth="8.59765625" defaultRowHeight="14.4"/>
  <cols>
    <col min="1" max="1" width="50.3984375" style="659" customWidth="1"/>
    <col min="2" max="2" width="14.3984375" style="659" customWidth="1"/>
    <col min="3" max="3" width="29.09765625" style="659" customWidth="1"/>
    <col min="4" max="4" width="17" style="659" customWidth="1"/>
    <col min="5" max="5" width="20.59765625" style="659" customWidth="1"/>
    <col min="6" max="6" width="14.8984375" style="659" customWidth="1"/>
    <col min="7" max="7" width="56.5" style="659" customWidth="1"/>
    <col min="8" max="8" width="16.8984375" style="659" bestFit="1" customWidth="1"/>
    <col min="9" max="9" width="14.8984375" style="659" customWidth="1"/>
    <col min="10" max="10" width="16.3984375" style="659" customWidth="1"/>
    <col min="11" max="11" width="20.3984375" style="659" customWidth="1"/>
    <col min="12" max="12" width="23.3984375" style="659" customWidth="1"/>
    <col min="13" max="13" width="13.09765625" style="659" customWidth="1"/>
    <col min="14" max="14" width="56.3984375" style="659" customWidth="1"/>
    <col min="15" max="15" width="10.3984375" style="658" customWidth="1"/>
    <col min="16" max="16" width="19" style="658" customWidth="1"/>
    <col min="17" max="17" width="12.59765625" style="658" bestFit="1" customWidth="1"/>
    <col min="18" max="18" width="5.09765625" style="658" customWidth="1"/>
    <col min="19" max="19" width="17.5" style="658" bestFit="1" customWidth="1"/>
    <col min="20" max="20" width="4" style="658" customWidth="1"/>
    <col min="21" max="21" width="10.8984375" style="658" bestFit="1" customWidth="1"/>
    <col min="22" max="22" width="8.59765625" style="658"/>
    <col min="23" max="23" width="24.5" style="658" bestFit="1" customWidth="1"/>
    <col min="24" max="24" width="8.59765625" style="658"/>
    <col min="25" max="25" width="10.59765625" style="658" customWidth="1"/>
    <col min="26" max="26" width="8.59765625" style="658"/>
    <col min="27" max="27" width="3.09765625" style="658" customWidth="1"/>
    <col min="28" max="28" width="8.59765625" style="658" hidden="1" customWidth="1"/>
    <col min="29" max="29" width="27.59765625" style="658" bestFit="1" customWidth="1"/>
    <col min="30" max="30" width="31.09765625" style="658" bestFit="1" customWidth="1"/>
    <col min="31" max="31" width="11.8984375" style="658" bestFit="1" customWidth="1"/>
    <col min="32" max="32" width="6.59765625" style="658" customWidth="1"/>
    <col min="33" max="33" width="20.8984375" style="658" bestFit="1" customWidth="1"/>
    <col min="34" max="34" width="11.59765625" style="658" bestFit="1" customWidth="1"/>
    <col min="35" max="35" width="22.8984375" style="658" bestFit="1" customWidth="1"/>
    <col min="36" max="36" width="15.5" style="658" bestFit="1" customWidth="1"/>
    <col min="37" max="37" width="6.09765625" style="658" bestFit="1" customWidth="1"/>
    <col min="38" max="38" width="13.5" style="658" bestFit="1" customWidth="1"/>
    <col min="39" max="39" width="12.8984375" style="658" bestFit="1" customWidth="1"/>
    <col min="40" max="16384" width="8.59765625" style="658"/>
  </cols>
  <sheetData>
    <row r="1" spans="1:39" s="659" customFormat="1" ht="31.2">
      <c r="A1" s="667" t="s">
        <v>886</v>
      </c>
      <c r="B1" s="667" t="s">
        <v>887</v>
      </c>
      <c r="C1" s="667" t="s">
        <v>888</v>
      </c>
      <c r="D1" s="667" t="s">
        <v>889</v>
      </c>
      <c r="E1" s="667" t="s">
        <v>435</v>
      </c>
      <c r="F1" s="667" t="s">
        <v>890</v>
      </c>
      <c r="G1" s="667" t="s">
        <v>891</v>
      </c>
      <c r="H1" s="667" t="s">
        <v>892</v>
      </c>
      <c r="I1" s="667" t="s">
        <v>692</v>
      </c>
      <c r="J1" s="667" t="s">
        <v>566</v>
      </c>
      <c r="K1" s="667" t="s">
        <v>395</v>
      </c>
      <c r="L1" s="667" t="s">
        <v>893</v>
      </c>
      <c r="M1" s="668"/>
      <c r="N1" s="667" t="s">
        <v>886</v>
      </c>
      <c r="O1" s="667" t="s">
        <v>894</v>
      </c>
      <c r="P1" s="667" t="s">
        <v>895</v>
      </c>
      <c r="Q1" s="669" t="s">
        <v>692</v>
      </c>
      <c r="S1" s="392" t="s">
        <v>896</v>
      </c>
      <c r="U1" s="1442" t="s">
        <v>897</v>
      </c>
      <c r="V1" s="1442"/>
      <c r="W1" s="1442"/>
      <c r="X1" s="1442"/>
      <c r="Y1" s="1442"/>
      <c r="Z1" s="1442"/>
      <c r="AC1" s="819" t="s">
        <v>898</v>
      </c>
      <c r="AD1" s="1202"/>
    </row>
    <row r="2" spans="1:39" ht="15.6">
      <c r="A2" s="670" t="s">
        <v>899</v>
      </c>
      <c r="B2" s="670">
        <v>5</v>
      </c>
      <c r="C2" s="671">
        <v>2000</v>
      </c>
      <c r="D2" s="672"/>
      <c r="E2" s="672" t="str">
        <f>INDEX(BESSTable1[#Headers],1)</f>
        <v>Chelion</v>
      </c>
      <c r="F2" s="672" t="str">
        <f ca="1">"PCSTable" &amp; MATCH(BESSTable1[[#This Row],[Brand]],INDIRECT("BESS_Brands[BESS Brands]"),0)</f>
        <v>PCSTable1</v>
      </c>
      <c r="G2" s="672" t="str" cm="1">
        <f t="array" aca="1" ref="G2"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2" s="672" cm="1">
        <f t="array" aca="1" ref="H2"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600</v>
      </c>
      <c r="I2" s="672"/>
      <c r="J2" s="670">
        <v>3</v>
      </c>
      <c r="K2" s="1225"/>
      <c r="L2" s="1226"/>
      <c r="M2" s="658" t="s">
        <v>847</v>
      </c>
      <c r="N2" s="670" t="s">
        <v>900</v>
      </c>
      <c r="O2" s="673">
        <v>5</v>
      </c>
      <c r="P2" s="671">
        <v>1000</v>
      </c>
      <c r="Q2" s="670"/>
      <c r="S2" t="str">
        <f>BESSTable1[[#Headers],[Chelion]]</f>
        <v>Chelion</v>
      </c>
      <c r="U2" s="1443" t="s">
        <v>901</v>
      </c>
      <c r="V2" s="1443"/>
      <c r="W2" s="1443"/>
      <c r="X2" s="1443"/>
      <c r="Y2" s="1443"/>
      <c r="Z2" s="1443"/>
      <c r="AC2" s="701" t="s">
        <v>141</v>
      </c>
    </row>
    <row r="3" spans="1:39" ht="15.6">
      <c r="A3" s="670" t="s">
        <v>902</v>
      </c>
      <c r="B3" s="670">
        <v>10</v>
      </c>
      <c r="C3" s="671">
        <v>4000</v>
      </c>
      <c r="D3" s="672"/>
      <c r="E3" s="672" t="str">
        <f>INDEX(BESSTable1[#Headers],1)</f>
        <v>Chelion</v>
      </c>
      <c r="F3" s="672" t="str">
        <f ca="1">"PCSTable" &amp; MATCH(BESSTable1[[#This Row],[Brand]],INDIRECT("BESS_Brands[BESS Brands]"),0)</f>
        <v>PCSTable1</v>
      </c>
      <c r="G3" s="672" t="str" cm="1">
        <f t="array" aca="1" ref="G3"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3" s="672" cm="1">
        <f t="array" aca="1" ref="H3"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500</v>
      </c>
      <c r="I3" s="672"/>
      <c r="J3" s="670">
        <v>3</v>
      </c>
      <c r="K3" s="1225"/>
      <c r="L3" s="1226"/>
      <c r="M3" s="658" t="s">
        <v>847</v>
      </c>
      <c r="N3" s="670" t="s">
        <v>903</v>
      </c>
      <c r="O3" s="673">
        <v>5</v>
      </c>
      <c r="P3" s="671">
        <v>1000</v>
      </c>
      <c r="Q3" s="670"/>
      <c r="S3" t="str">
        <f>BESSTable2[[#Headers],[Sungrow]]</f>
        <v>Sungrow</v>
      </c>
      <c r="U3" s="1443"/>
      <c r="V3" s="1443"/>
      <c r="W3" s="1443"/>
      <c r="X3" s="1443"/>
      <c r="Y3" s="1443"/>
      <c r="Z3" s="1443"/>
      <c r="AC3" s="701" t="s">
        <v>312</v>
      </c>
    </row>
    <row r="4" spans="1:39" ht="27.6" customHeight="1">
      <c r="A4" s="670" t="s">
        <v>904</v>
      </c>
      <c r="B4" s="670">
        <v>15</v>
      </c>
      <c r="C4" s="671">
        <v>6000</v>
      </c>
      <c r="D4" s="672"/>
      <c r="E4" s="672" t="str">
        <f>INDEX(BESSTable1[#Headers],1)</f>
        <v>Chelion</v>
      </c>
      <c r="F4" s="672" t="str">
        <f ca="1">"PCSTable" &amp; MATCH(BESSTable1[[#This Row],[Brand]],INDIRECT("BESS_Brands[BESS Brands]"),0)</f>
        <v>PCSTable1</v>
      </c>
      <c r="G4" s="672" t="str" cm="1">
        <f t="array" aca="1" ref="G4"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4" s="672" cm="1">
        <f t="array" aca="1" ref="H4"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466.66666666666669</v>
      </c>
      <c r="I4" s="672"/>
      <c r="J4" s="670">
        <v>3</v>
      </c>
      <c r="K4" s="1225"/>
      <c r="L4" s="1226"/>
      <c r="M4" s="658" t="s">
        <v>847</v>
      </c>
      <c r="N4" s="670" t="s">
        <v>905</v>
      </c>
      <c r="O4" s="673">
        <v>15</v>
      </c>
      <c r="P4" s="671">
        <v>1000</v>
      </c>
      <c r="Q4" s="670"/>
      <c r="S4" t="str">
        <f>BESSTable3[[#Headers],[Relectrify]]</f>
        <v>Relectrify</v>
      </c>
      <c r="U4" s="1443"/>
      <c r="V4" s="1443"/>
      <c r="W4" s="1443"/>
      <c r="X4" s="1443"/>
      <c r="Y4" s="1443"/>
      <c r="Z4" s="1443"/>
      <c r="AC4" s="1446" t="s">
        <v>906</v>
      </c>
    </row>
    <row r="5" spans="1:39" ht="18.75" customHeight="1">
      <c r="A5" s="670" t="s">
        <v>907</v>
      </c>
      <c r="B5" s="670">
        <v>20</v>
      </c>
      <c r="C5" s="671">
        <v>8000</v>
      </c>
      <c r="D5" s="672"/>
      <c r="E5" s="672" t="str">
        <f>INDEX(BESSTable1[#Headers],1)</f>
        <v>Chelion</v>
      </c>
      <c r="F5" s="672" t="str">
        <f ca="1">"PCSTable" &amp; MATCH(BESSTable1[[#This Row],[Brand]],INDIRECT("BESS_Brands[BESS Brands]"),0)</f>
        <v>PCSTable1</v>
      </c>
      <c r="G5" s="672" t="str" cm="1">
        <f t="array" aca="1" ref="G5"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5" s="672" cm="1">
        <f t="array" aca="1" ref="H5"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450</v>
      </c>
      <c r="I5" s="672"/>
      <c r="J5" s="670">
        <v>3</v>
      </c>
      <c r="K5" s="1225"/>
      <c r="L5" s="1226"/>
      <c r="M5" s="658" t="s">
        <v>847</v>
      </c>
      <c r="N5" s="670" t="s">
        <v>908</v>
      </c>
      <c r="O5" s="673">
        <v>30</v>
      </c>
      <c r="P5" s="671">
        <v>0</v>
      </c>
      <c r="Q5" s="670"/>
      <c r="S5" t="str">
        <f>BESSTable4[[#Headers],[Powerplus]]</f>
        <v>Powerplus</v>
      </c>
      <c r="U5" s="1443"/>
      <c r="V5" s="1443"/>
      <c r="W5" s="1443"/>
      <c r="X5" s="1443"/>
      <c r="Y5" s="1443"/>
      <c r="Z5" s="1443"/>
      <c r="AC5" s="1447"/>
    </row>
    <row r="6" spans="1:39" ht="15.6">
      <c r="A6" s="670" t="s">
        <v>909</v>
      </c>
      <c r="B6" s="670">
        <v>25</v>
      </c>
      <c r="C6" s="671">
        <v>10000</v>
      </c>
      <c r="D6" s="672"/>
      <c r="E6" s="672" t="str">
        <f>INDEX(BESSTable1[#Headers],1)</f>
        <v>Chelion</v>
      </c>
      <c r="F6" s="672" t="str">
        <f ca="1">"PCSTable" &amp; MATCH(BESSTable1[[#This Row],[Brand]],INDIRECT("BESS_Brands[BESS Brands]"),0)</f>
        <v>PCSTable1</v>
      </c>
      <c r="G6" s="672" t="str" cm="1">
        <f t="array" aca="1" ref="G6"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5 kVA - 1x iHome-INV5KHD01H01 Single Phase</v>
      </c>
      <c r="H6" s="672" cm="1">
        <f t="array" aca="1" ref="H6"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440</v>
      </c>
      <c r="I6" s="672"/>
      <c r="J6" s="670">
        <v>3</v>
      </c>
      <c r="K6" s="1225"/>
      <c r="L6" s="1226"/>
      <c r="M6" s="658" t="s">
        <v>847</v>
      </c>
      <c r="N6" s="670" t="s">
        <v>910</v>
      </c>
      <c r="O6" s="673">
        <v>50</v>
      </c>
      <c r="P6" s="671">
        <v>0</v>
      </c>
      <c r="Q6" s="670"/>
      <c r="S6" t="str">
        <f>BESSTable5[[#Headers],[EVO Power]]</f>
        <v>EVO Power</v>
      </c>
      <c r="U6" s="1443"/>
      <c r="V6" s="1443"/>
      <c r="W6" s="1443"/>
      <c r="X6" s="1443"/>
      <c r="Y6" s="1443"/>
      <c r="Z6" s="1443"/>
      <c r="AC6" s="701" t="s">
        <v>143</v>
      </c>
      <c r="AG6" s="790" t="s">
        <v>359</v>
      </c>
      <c r="AH6" s="790" t="s">
        <v>911</v>
      </c>
      <c r="AI6" s="790" t="s">
        <v>912</v>
      </c>
      <c r="AJ6" s="790" t="s">
        <v>913</v>
      </c>
      <c r="AK6" s="790" t="s">
        <v>914</v>
      </c>
      <c r="AL6" s="790" t="s">
        <v>915</v>
      </c>
      <c r="AM6" s="790" t="s">
        <v>916</v>
      </c>
    </row>
    <row r="7" spans="1:39" ht="15.6">
      <c r="A7" s="670" t="s">
        <v>917</v>
      </c>
      <c r="B7" s="670">
        <v>30</v>
      </c>
      <c r="C7" s="671">
        <v>12000</v>
      </c>
      <c r="D7" s="672"/>
      <c r="E7" s="672" t="str">
        <f>INDEX(BESSTable1[#Headers],1)</f>
        <v>Chelion</v>
      </c>
      <c r="F7" s="672" t="str">
        <f ca="1">"PCSTable" &amp; MATCH(BESSTable1[[#This Row],[Brand]],INDIRECT("BESS_Brands[BESS Brands]"),0)</f>
        <v>PCSTable1</v>
      </c>
      <c r="G7" s="672" t="str" cm="1">
        <f t="array" aca="1" ref="G7"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15 kVA - 1x iHome-INV5KHD01H01 Three Phase</v>
      </c>
      <c r="H7" s="672" cm="1">
        <f t="array" aca="1" ref="H7"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433.33333333333331</v>
      </c>
      <c r="I7" s="672"/>
      <c r="J7" s="670">
        <v>3</v>
      </c>
      <c r="K7" s="1225"/>
      <c r="L7" s="1226"/>
      <c r="M7" s="658" t="s">
        <v>847</v>
      </c>
      <c r="N7" s="670" t="s">
        <v>918</v>
      </c>
      <c r="O7" s="673">
        <v>30</v>
      </c>
      <c r="P7" s="671">
        <v>0</v>
      </c>
      <c r="Q7" s="670"/>
      <c r="S7" t="str">
        <f>BESSTable6[[#Headers],[Jinko]]</f>
        <v>Jinko</v>
      </c>
      <c r="AC7" s="701" t="s">
        <v>145</v>
      </c>
      <c r="AG7" s="1227" t="s">
        <v>919</v>
      </c>
      <c r="AH7" s="1228">
        <f>300+300*AK7</f>
        <v>600</v>
      </c>
      <c r="AI7" s="1229">
        <v>0</v>
      </c>
      <c r="AJ7" s="1230">
        <v>1300</v>
      </c>
      <c r="AK7" s="1231">
        <f>IF('Linking Cells'!B62&lt;200,1,2)</f>
        <v>1</v>
      </c>
      <c r="AL7" s="1227">
        <v>1</v>
      </c>
      <c r="AM7" s="1227"/>
    </row>
    <row r="8" spans="1:39" ht="15.6">
      <c r="A8" s="670" t="s">
        <v>920</v>
      </c>
      <c r="B8" s="670">
        <v>35</v>
      </c>
      <c r="C8" s="671">
        <v>14000</v>
      </c>
      <c r="D8" s="672"/>
      <c r="E8" s="672" t="str">
        <f>INDEX(BESSTable1[#Headers],1)</f>
        <v>Chelion</v>
      </c>
      <c r="F8" s="672" t="str">
        <f ca="1">"PCSTable" &amp; MATCH(BESSTable1[[#This Row],[Brand]],INDIRECT("BESS_Brands[BESS Brands]"),0)</f>
        <v>PCSTable1</v>
      </c>
      <c r="G8" s="672" t="str" cm="1">
        <f t="array" aca="1" ref="G8"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15 kVA - 1x iHome-INV5KHD01H01 Three Phase</v>
      </c>
      <c r="H8" s="672" cm="1">
        <f t="array" aca="1" ref="H8"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428.57142857142856</v>
      </c>
      <c r="I8" s="672"/>
      <c r="J8" s="670">
        <v>3</v>
      </c>
      <c r="K8" s="1225"/>
      <c r="L8" s="1226"/>
      <c r="M8" s="658" t="s">
        <v>847</v>
      </c>
      <c r="N8" s="670" t="s">
        <v>921</v>
      </c>
      <c r="O8" s="673">
        <v>60</v>
      </c>
      <c r="P8" s="671">
        <v>0</v>
      </c>
      <c r="Q8" s="670"/>
      <c r="S8" t="str">
        <f>BESSTable7[[#Headers],[Sigenergy - SigenStack]]</f>
        <v>Sigenergy - SigenStack</v>
      </c>
      <c r="AG8" s="1227" t="s">
        <v>922</v>
      </c>
      <c r="AH8" s="1228">
        <f>AI8*AM8+AJ8*AK8</f>
        <v>2852</v>
      </c>
      <c r="AI8" s="1229">
        <v>1000</v>
      </c>
      <c r="AJ8" s="1232">
        <v>426</v>
      </c>
      <c r="AK8" s="1227">
        <f>BESS!E3+BESS!E4</f>
        <v>2</v>
      </c>
      <c r="AL8" s="1227">
        <v>1</v>
      </c>
      <c r="AM8" s="1233">
        <f>ROUNDUP((AK8/1),0)</f>
        <v>2</v>
      </c>
    </row>
    <row r="9" spans="1:39" ht="15.6">
      <c r="A9" s="670" t="s">
        <v>923</v>
      </c>
      <c r="B9" s="670">
        <v>40</v>
      </c>
      <c r="C9" s="671">
        <v>16000</v>
      </c>
      <c r="D9" s="672"/>
      <c r="E9" s="672" t="str">
        <f>INDEX(BESSTable1[#Headers],1)</f>
        <v>Chelion</v>
      </c>
      <c r="F9" s="672" t="str">
        <f ca="1">"PCSTable" &amp; MATCH(BESSTable1[[#This Row],[Brand]],INDIRECT("BESS_Brands[BESS Brands]"),0)</f>
        <v>PCSTable1</v>
      </c>
      <c r="G9" s="672" t="str" cm="1">
        <f t="array" aca="1" ref="G9"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15 kVA - 1x iHome-INV5KHD01H01 Three Phase</v>
      </c>
      <c r="H9" s="672" cm="1">
        <f t="array" aca="1" ref="H9"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425</v>
      </c>
      <c r="I9" s="672"/>
      <c r="J9" s="670">
        <v>3</v>
      </c>
      <c r="K9" s="1225"/>
      <c r="L9" s="1226"/>
      <c r="M9" s="658" t="s">
        <v>847</v>
      </c>
      <c r="N9" s="670" t="s">
        <v>924</v>
      </c>
      <c r="O9" s="673">
        <v>60</v>
      </c>
      <c r="P9" s="671">
        <v>0</v>
      </c>
      <c r="Q9" s="670"/>
      <c r="S9" t="str">
        <f>BESSTable8[[#Headers],[RCT]]</f>
        <v>RCT</v>
      </c>
      <c r="AG9" s="1227" t="s">
        <v>138</v>
      </c>
      <c r="AH9" s="1228">
        <v>0</v>
      </c>
      <c r="AI9" s="709"/>
      <c r="AJ9" s="709"/>
      <c r="AK9" s="709"/>
      <c r="AL9" s="709"/>
    </row>
    <row r="10" spans="1:39" ht="15.6">
      <c r="A10" s="670" t="s">
        <v>925</v>
      </c>
      <c r="B10" s="1225">
        <v>60</v>
      </c>
      <c r="C10" s="671">
        <v>39708</v>
      </c>
      <c r="D10" s="672" t="s">
        <v>783</v>
      </c>
      <c r="E10" s="672" t="str">
        <f>INDEX(BESSTable1[#Headers],1)</f>
        <v>Chelion</v>
      </c>
      <c r="F10" s="672" t="str">
        <f ca="1">"PCSTable" &amp; MATCH(BESSTable1[[#This Row],[Brand]],INDIRECT("BESS_Brands[BESS Brands]"),0)</f>
        <v>PCSTable1</v>
      </c>
      <c r="G10" s="672" t="str" cm="1">
        <f t="array" aca="1" ref="G10"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0" s="672" cm="1">
        <f t="array" aca="1" ref="H10"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661.8</v>
      </c>
      <c r="I10" s="672"/>
      <c r="J10" s="670">
        <v>3</v>
      </c>
      <c r="K10" s="1225"/>
      <c r="L10" s="1226"/>
      <c r="M10" s="658" t="s">
        <v>847</v>
      </c>
      <c r="N10" s="670" t="s">
        <v>926</v>
      </c>
      <c r="O10" s="673">
        <v>100</v>
      </c>
      <c r="P10" s="671">
        <v>0</v>
      </c>
      <c r="Q10" s="670"/>
      <c r="S10" t="str">
        <f>BESSTable9[[#Headers],[Sigenergy - SigenStor]]</f>
        <v>Sigenergy - SigenStor</v>
      </c>
      <c r="U10" s="710"/>
      <c r="AF10" s="709"/>
      <c r="AG10" s="709"/>
      <c r="AH10" s="709"/>
      <c r="AI10" s="709"/>
      <c r="AJ10" s="709"/>
      <c r="AK10" s="709"/>
      <c r="AL10" s="709"/>
    </row>
    <row r="11" spans="1:39" ht="15.6">
      <c r="A11" s="670" t="s">
        <v>927</v>
      </c>
      <c r="B11" s="1225">
        <v>60</v>
      </c>
      <c r="C11" s="671">
        <v>41708</v>
      </c>
      <c r="D11" s="672" t="s">
        <v>783</v>
      </c>
      <c r="E11" s="672" t="str">
        <f>INDEX(BESSTable1[#Headers],1)</f>
        <v>Chelion</v>
      </c>
      <c r="F11" s="672" t="str">
        <f ca="1">"PCSTable" &amp; MATCH(BESSTable1[[#This Row],[Brand]],INDIRECT("BESS_Brands[BESS Brands]"),0)</f>
        <v>PCSTable1</v>
      </c>
      <c r="G11" s="672" t="str" cm="1">
        <f t="array" aca="1" ref="G11"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1" s="672" cm="1">
        <f t="array" aca="1" ref="H11"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695.13333333333333</v>
      </c>
      <c r="I11" s="672"/>
      <c r="J11" s="670">
        <v>3</v>
      </c>
      <c r="K11" s="1225"/>
      <c r="L11" s="1226"/>
      <c r="M11" s="658" t="s">
        <v>847</v>
      </c>
      <c r="N11" s="670" t="s">
        <v>928</v>
      </c>
      <c r="O11" s="673">
        <v>200</v>
      </c>
      <c r="P11" s="671">
        <v>0</v>
      </c>
      <c r="Q11" s="670"/>
      <c r="S11" t="str">
        <f>BESSTable10[[#Headers],[POWEROAD]]</f>
        <v>POWEROAD</v>
      </c>
      <c r="AD11" s="1444" t="s">
        <v>929</v>
      </c>
      <c r="AE11" s="1444"/>
      <c r="AF11" s="709"/>
      <c r="AG11" s="1444" t="s">
        <v>930</v>
      </c>
      <c r="AH11" s="1444"/>
      <c r="AI11" s="709"/>
      <c r="AJ11" s="709"/>
      <c r="AK11" s="709"/>
      <c r="AL11" s="709"/>
    </row>
    <row r="12" spans="1:39" ht="15.6">
      <c r="A12" s="670" t="s">
        <v>931</v>
      </c>
      <c r="B12" s="1225">
        <v>100</v>
      </c>
      <c r="C12" s="671">
        <v>64283</v>
      </c>
      <c r="D12" s="672" t="s">
        <v>783</v>
      </c>
      <c r="E12" s="672" t="str">
        <f>INDEX(BESSTable1[#Headers],1)</f>
        <v>Chelion</v>
      </c>
      <c r="F12" s="672" t="str">
        <f ca="1">"PCSTable" &amp; MATCH(BESSTable1[[#This Row],[Brand]],INDIRECT("BESS_Brands[BESS Brands]"),0)</f>
        <v>PCSTable1</v>
      </c>
      <c r="G12" s="672" t="str" cm="1">
        <f t="array" aca="1" ref="G12"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2" s="672" cm="1">
        <f t="array" aca="1" ref="H12"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642.83000000000004</v>
      </c>
      <c r="I12" s="672"/>
      <c r="J12" s="670">
        <v>3</v>
      </c>
      <c r="K12" s="1225"/>
      <c r="L12" s="1226"/>
      <c r="M12" s="658" t="s">
        <v>847</v>
      </c>
      <c r="N12" s="670" t="s">
        <v>932</v>
      </c>
      <c r="O12" s="673">
        <v>500</v>
      </c>
      <c r="P12" s="671">
        <v>0</v>
      </c>
      <c r="Q12" s="670"/>
      <c r="S12" t="s">
        <v>933</v>
      </c>
      <c r="AC12" s="714" t="s">
        <v>934</v>
      </c>
      <c r="AD12" s="711" t="str">
        <f>BESS!D3</f>
        <v>107 kWh - BC107DE2</v>
      </c>
      <c r="AE12" s="711">
        <f>_xlfn.XLOOKUP(AD12,$A:$A,$B:$B)</f>
        <v>107</v>
      </c>
      <c r="AF12" s="709"/>
      <c r="AG12" s="1234" t="s">
        <v>935</v>
      </c>
      <c r="AH12" s="1235">
        <v>30</v>
      </c>
      <c r="AI12" s="709"/>
      <c r="AJ12" s="709"/>
      <c r="AK12" s="709"/>
      <c r="AL12" s="709"/>
    </row>
    <row r="13" spans="1:39" ht="15.6">
      <c r="A13" s="670" t="s">
        <v>936</v>
      </c>
      <c r="B13" s="1225">
        <v>100</v>
      </c>
      <c r="C13" s="671">
        <v>74690</v>
      </c>
      <c r="D13" s="672" t="s">
        <v>783</v>
      </c>
      <c r="E13" s="672" t="str">
        <f>INDEX(BESSTable1[#Headers],1)</f>
        <v>Chelion</v>
      </c>
      <c r="F13" s="672" t="str">
        <f ca="1">"PCSTable" &amp; MATCH(BESSTable1[[#This Row],[Brand]],INDIRECT("BESS_Brands[BESS Brands]"),0)</f>
        <v>PCSTable1</v>
      </c>
      <c r="G13" s="672" t="str" cm="1">
        <f t="array" aca="1" ref="G13"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3" s="672" cm="1">
        <f t="array" aca="1" ref="H13"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746.9</v>
      </c>
      <c r="I13" s="672"/>
      <c r="J13" s="670">
        <v>3</v>
      </c>
      <c r="K13" s="1225"/>
      <c r="L13" s="1226"/>
      <c r="M13" s="658" t="s">
        <v>847</v>
      </c>
      <c r="N13" s="670" t="s">
        <v>937</v>
      </c>
      <c r="O13" s="673">
        <v>250</v>
      </c>
      <c r="P13" s="671">
        <v>0</v>
      </c>
      <c r="Q13" s="670"/>
      <c r="S13" t="str">
        <f>BESSTable12[[#Headers],[Kstar]]</f>
        <v>Kstar</v>
      </c>
      <c r="AC13" s="714" t="s">
        <v>938</v>
      </c>
      <c r="AD13" s="711" t="str">
        <f>BESS!D4</f>
        <v xml:space="preserve">50 kVA - KAC50DP2 </v>
      </c>
      <c r="AE13" s="711">
        <f>_xlfn.XLOOKUP(AD13,$N:$N,$O:$O)</f>
        <v>50</v>
      </c>
      <c r="AF13" s="709"/>
      <c r="AG13" s="1234" t="s">
        <v>939</v>
      </c>
      <c r="AH13" s="1235">
        <v>380</v>
      </c>
      <c r="AI13" s="709"/>
      <c r="AJ13" s="709"/>
      <c r="AK13" s="709"/>
      <c r="AL13" s="709"/>
    </row>
    <row r="14" spans="1:39" ht="15.6">
      <c r="A14" s="670" t="s">
        <v>940</v>
      </c>
      <c r="B14" s="1225">
        <v>133</v>
      </c>
      <c r="C14" s="671">
        <v>87164</v>
      </c>
      <c r="D14" s="672" t="s">
        <v>783</v>
      </c>
      <c r="E14" s="672" t="str">
        <f>INDEX(BESSTable1[#Headers],1)</f>
        <v>Chelion</v>
      </c>
      <c r="F14" s="672" t="str">
        <f ca="1">"PCSTable" &amp; MATCH(BESSTable1[[#This Row],[Brand]],INDIRECT("BESS_Brands[BESS Brands]"),0)</f>
        <v>PCSTable1</v>
      </c>
      <c r="G14" s="672" t="str" cm="1">
        <f t="array" aca="1" ref="G14"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4" s="672" cm="1">
        <f t="array" aca="1" ref="H14"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655.36842105263156</v>
      </c>
      <c r="I14" s="672"/>
      <c r="J14" s="670">
        <v>3</v>
      </c>
      <c r="K14" s="1225"/>
      <c r="L14" s="1226"/>
      <c r="M14" s="658" t="s">
        <v>847</v>
      </c>
      <c r="N14" s="670" t="s">
        <v>941</v>
      </c>
      <c r="O14" s="673">
        <v>500</v>
      </c>
      <c r="P14" s="671">
        <v>0</v>
      </c>
      <c r="Q14" s="670"/>
      <c r="AD14" s="711" t="s">
        <v>942</v>
      </c>
      <c r="AE14" s="711">
        <f>MIN((70.4/5)*AE12,1000)</f>
        <v>1000</v>
      </c>
      <c r="AF14" s="709"/>
      <c r="AG14" s="1234" t="s">
        <v>943</v>
      </c>
      <c r="AH14" s="789" t="s">
        <v>201</v>
      </c>
      <c r="AI14" s="709"/>
      <c r="AJ14" s="709"/>
      <c r="AK14" s="709"/>
      <c r="AL14" s="709"/>
    </row>
    <row r="15" spans="1:39" ht="15.6">
      <c r="A15" s="670" t="s">
        <v>944</v>
      </c>
      <c r="B15" s="1225">
        <v>300</v>
      </c>
      <c r="C15" s="671">
        <v>234743</v>
      </c>
      <c r="D15" s="672" t="s">
        <v>783</v>
      </c>
      <c r="E15" s="672" t="str">
        <f>INDEX(BESSTable1[#Headers],1)</f>
        <v>Chelion</v>
      </c>
      <c r="F15" s="672" t="str">
        <f ca="1">"PCSTable" &amp; MATCH(BESSTable1[[#This Row],[Brand]],INDIRECT("BESS_Brands[BESS Brands]"),0)</f>
        <v>PCSTable1</v>
      </c>
      <c r="G15" s="672" t="str" cm="1">
        <f t="array" aca="1" ref="G15"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5" s="672" cm="1">
        <f t="array" aca="1" ref="H15"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782.47666666666669</v>
      </c>
      <c r="I15" s="672"/>
      <c r="J15" s="670">
        <v>3</v>
      </c>
      <c r="K15" s="1225"/>
      <c r="L15" s="1226"/>
      <c r="M15" s="658" t="s">
        <v>847</v>
      </c>
      <c r="N15" s="670" t="s">
        <v>945</v>
      </c>
      <c r="O15" s="673">
        <v>750</v>
      </c>
      <c r="P15" s="671">
        <v>0</v>
      </c>
      <c r="Q15" s="670"/>
      <c r="AD15" s="711" t="s">
        <v>946</v>
      </c>
      <c r="AE15" s="711">
        <f>(AE12*1000)/AE14</f>
        <v>107</v>
      </c>
      <c r="AF15" s="709"/>
      <c r="AG15" s="1234" t="s">
        <v>455</v>
      </c>
      <c r="AH15" s="1236">
        <v>0</v>
      </c>
      <c r="AI15" s="709"/>
      <c r="AJ15" s="709"/>
      <c r="AK15" s="709"/>
      <c r="AL15" s="709"/>
    </row>
    <row r="16" spans="1:39" ht="15.6">
      <c r="A16" s="670" t="s">
        <v>947</v>
      </c>
      <c r="B16" s="1225">
        <v>600</v>
      </c>
      <c r="C16" s="671">
        <v>367529</v>
      </c>
      <c r="D16" s="672" t="s">
        <v>783</v>
      </c>
      <c r="E16" s="672" t="str">
        <f>INDEX(BESSTable1[#Headers],1)</f>
        <v>Chelion</v>
      </c>
      <c r="F16" s="672" t="str">
        <f ca="1">"PCSTable" &amp; MATCH(BESSTable1[[#This Row],[Brand]],INDIRECT("BESS_Brands[BESS Brands]"),0)</f>
        <v>PCSTable1</v>
      </c>
      <c r="G16" s="672" t="str" cm="1">
        <f t="array" aca="1" ref="G16"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6" s="672" cm="1">
        <f t="array" aca="1" ref="H16"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612.54833333333329</v>
      </c>
      <c r="I16" s="672"/>
      <c r="J16" s="670">
        <v>3</v>
      </c>
      <c r="K16" s="1225"/>
      <c r="L16" s="1226"/>
      <c r="M16" s="658" t="s">
        <v>847</v>
      </c>
      <c r="N16" s="670" t="s">
        <v>948</v>
      </c>
      <c r="O16" s="670">
        <v>500</v>
      </c>
      <c r="P16" s="671">
        <v>0</v>
      </c>
      <c r="Q16" s="670"/>
      <c r="AD16" s="711" t="s">
        <v>949</v>
      </c>
      <c r="AE16" s="712">
        <f>AE13/AE12</f>
        <v>0.46728971962616822</v>
      </c>
      <c r="AF16" s="709"/>
      <c r="AG16" s="1234"/>
      <c r="AH16" s="1236"/>
      <c r="AI16" s="709"/>
      <c r="AJ16" s="709"/>
      <c r="AK16" s="709"/>
      <c r="AL16" s="709"/>
    </row>
    <row r="17" spans="1:38" ht="15.6">
      <c r="A17" s="670" t="s">
        <v>950</v>
      </c>
      <c r="B17" s="1225">
        <v>900</v>
      </c>
      <c r="C17" s="671">
        <v>562610</v>
      </c>
      <c r="D17" s="672" t="s">
        <v>783</v>
      </c>
      <c r="E17" s="672" t="str">
        <f>INDEX(BESSTable1[#Headers],1)</f>
        <v>Chelion</v>
      </c>
      <c r="F17" s="672" t="str">
        <f ca="1">"PCSTable" &amp; MATCH(BESSTable1[[#This Row],[Brand]],INDIRECT("BESS_Brands[BESS Brands]"),0)</f>
        <v>PCSTable1</v>
      </c>
      <c r="G17" s="672" t="str" cm="1">
        <f t="array" aca="1" ref="G17"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7" s="672" cm="1">
        <f t="array" aca="1" ref="H17"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625.12222222222226</v>
      </c>
      <c r="I17" s="672"/>
      <c r="J17" s="670">
        <v>3</v>
      </c>
      <c r="K17" s="1225"/>
      <c r="L17" s="1226"/>
      <c r="M17" s="658" t="s">
        <v>847</v>
      </c>
      <c r="N17" s="670" t="s">
        <v>951</v>
      </c>
      <c r="O17" s="670">
        <v>1000</v>
      </c>
      <c r="P17" s="671">
        <v>0</v>
      </c>
      <c r="Q17" s="670"/>
      <c r="AD17" s="711" t="s">
        <v>952</v>
      </c>
      <c r="AE17" s="711">
        <f>IF(AE16&gt;0.5,1,0.5)</f>
        <v>0.5</v>
      </c>
      <c r="AF17" s="709"/>
      <c r="AG17" s="709"/>
      <c r="AH17" s="709"/>
      <c r="AI17" s="709"/>
      <c r="AJ17" s="709"/>
      <c r="AK17" s="709"/>
      <c r="AL17" s="709"/>
    </row>
    <row r="18" spans="1:38" ht="15.6">
      <c r="A18" s="670" t="s">
        <v>953</v>
      </c>
      <c r="B18" s="1225">
        <v>500</v>
      </c>
      <c r="C18" s="671">
        <v>291404</v>
      </c>
      <c r="D18" s="672" t="s">
        <v>783</v>
      </c>
      <c r="E18" s="672" t="str">
        <f>INDEX(BESSTable1[#Headers],1)</f>
        <v>Chelion</v>
      </c>
      <c r="F18" s="672" t="str">
        <f ca="1">"PCSTable" &amp; MATCH(BESSTable1[[#This Row],[Brand]],INDIRECT("BESS_Brands[BESS Brands]"),0)</f>
        <v>PCSTable1</v>
      </c>
      <c r="G18" s="672" t="str" cm="1">
        <f t="array" aca="1" ref="G18"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8" s="672" cm="1">
        <f t="array" aca="1" ref="H18"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582.80799999999999</v>
      </c>
      <c r="I18" s="672"/>
      <c r="J18" s="670">
        <v>3</v>
      </c>
      <c r="K18" s="1225"/>
      <c r="L18" s="1226"/>
      <c r="M18" s="658" t="s">
        <v>847</v>
      </c>
      <c r="N18" s="670" t="s">
        <v>954</v>
      </c>
      <c r="O18" s="673">
        <v>1500</v>
      </c>
      <c r="P18" s="671">
        <v>0</v>
      </c>
      <c r="Q18" s="670"/>
      <c r="AD18" s="711" t="s">
        <v>955</v>
      </c>
      <c r="AE18" s="711">
        <f>AE17*AE15</f>
        <v>53.5</v>
      </c>
      <c r="AF18" s="709"/>
      <c r="AG18" s="709"/>
      <c r="AH18" s="709"/>
      <c r="AI18" s="709"/>
      <c r="AJ18" s="709"/>
      <c r="AK18" s="709"/>
      <c r="AL18" s="709"/>
    </row>
    <row r="19" spans="1:38" ht="15.6">
      <c r="A19" s="670" t="s">
        <v>956</v>
      </c>
      <c r="B19" s="1225">
        <v>1152</v>
      </c>
      <c r="C19" s="671">
        <v>608940</v>
      </c>
      <c r="D19" s="672" t="s">
        <v>783</v>
      </c>
      <c r="E19" s="672" t="str">
        <f>INDEX(BESSTable1[#Headers],1)</f>
        <v>Chelion</v>
      </c>
      <c r="F19" s="672" t="str">
        <f ca="1">"PCSTable" &amp; MATCH(BESSTable1[[#This Row],[Brand]],INDIRECT("BESS_Brands[BESS Brands]"),0)</f>
        <v>PCSTable1</v>
      </c>
      <c r="G19" s="672" t="str" cm="1">
        <f t="array" aca="1" ref="G19"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19" s="672" cm="1">
        <f t="array" aca="1" ref="H19"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528.59375</v>
      </c>
      <c r="I19" s="672"/>
      <c r="J19" s="670">
        <v>3</v>
      </c>
      <c r="K19" s="1225"/>
      <c r="L19" s="1226"/>
      <c r="M19" s="658" t="s">
        <v>847</v>
      </c>
      <c r="P19" s="676"/>
      <c r="AD19" s="711" t="s">
        <v>957</v>
      </c>
      <c r="AE19" s="711">
        <f>AE18*1.25</f>
        <v>66.875</v>
      </c>
      <c r="AF19" s="709"/>
      <c r="AG19" s="709"/>
      <c r="AH19" s="709"/>
      <c r="AI19" s="709"/>
      <c r="AJ19" s="709"/>
      <c r="AK19" s="709"/>
      <c r="AL19" s="709"/>
    </row>
    <row r="20" spans="1:38" ht="15.6">
      <c r="A20" s="670" t="s">
        <v>958</v>
      </c>
      <c r="B20" s="1225">
        <v>1500</v>
      </c>
      <c r="C20" s="671">
        <v>778741</v>
      </c>
      <c r="D20" s="672" t="s">
        <v>783</v>
      </c>
      <c r="E20" s="672" t="str">
        <f>INDEX(BESSTable1[#Headers],1)</f>
        <v>Chelion</v>
      </c>
      <c r="F20" s="672" t="str">
        <f ca="1">"PCSTable" &amp; MATCH(BESSTable1[[#This Row],[Brand]],INDIRECT("BESS_Brands[BESS Brands]"),0)</f>
        <v>PCSTable1</v>
      </c>
      <c r="G20" s="672" t="str" cm="1">
        <f t="array" aca="1" ref="G20"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20" s="672" cm="1">
        <f t="array" aca="1" ref="H20"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519.16066666666666</v>
      </c>
      <c r="I20" s="672"/>
      <c r="J20" s="670">
        <v>3</v>
      </c>
      <c r="K20" s="1225"/>
      <c r="L20" s="1226"/>
      <c r="M20" s="658" t="s">
        <v>847</v>
      </c>
      <c r="AD20" s="711" t="s">
        <v>959</v>
      </c>
      <c r="AE20" s="711">
        <v>10</v>
      </c>
      <c r="AG20" s="1444" t="s">
        <v>368</v>
      </c>
      <c r="AH20" s="1444"/>
    </row>
    <row r="21" spans="1:38" ht="15.6">
      <c r="A21" s="670" t="s">
        <v>960</v>
      </c>
      <c r="B21" s="1225">
        <v>500</v>
      </c>
      <c r="C21" s="671" t="s">
        <v>961</v>
      </c>
      <c r="D21" s="672" t="s">
        <v>783</v>
      </c>
      <c r="E21" s="672" t="str">
        <f>INDEX(BESSTable1[#Headers],1)</f>
        <v>Chelion</v>
      </c>
      <c r="F21" s="672" t="str">
        <f ca="1">"PCSTable" &amp; MATCH(BESSTable1[[#This Row],[Brand]],INDIRECT("BESS_Brands[BESS Brands]"),0)</f>
        <v>PCSTable1</v>
      </c>
      <c r="G21" s="672" t="str" cm="1">
        <f t="array" aca="1" ref="G21"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21" s="672" t="e" cm="1">
        <f t="array" aca="1" ref="H21"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#VALUE!</v>
      </c>
      <c r="I21" s="672"/>
      <c r="J21" s="670">
        <v>3</v>
      </c>
      <c r="K21" s="1225"/>
      <c r="L21" s="1226"/>
      <c r="M21" s="658" t="s">
        <v>847</v>
      </c>
      <c r="AD21" s="711" t="s">
        <v>962</v>
      </c>
      <c r="AE21" s="713">
        <v>0.03</v>
      </c>
      <c r="AG21" s="1234" t="s">
        <v>466</v>
      </c>
      <c r="AH21" s="1237">
        <f>MAX(3*BESS!F3+BESS!F4,400)</f>
        <v>400</v>
      </c>
    </row>
    <row r="22" spans="1:38" ht="15.6">
      <c r="A22" s="670" t="s">
        <v>963</v>
      </c>
      <c r="B22" s="1225">
        <v>1152</v>
      </c>
      <c r="C22" s="671" t="s">
        <v>961</v>
      </c>
      <c r="D22" s="672" t="s">
        <v>783</v>
      </c>
      <c r="E22" s="672" t="str">
        <f>INDEX(BESSTable1[#Headers],1)</f>
        <v>Chelion</v>
      </c>
      <c r="F22" s="672" t="str">
        <f ca="1">"PCSTable" &amp; MATCH(BESSTable1[[#This Row],[Brand]],INDIRECT("BESS_Brands[BESS Brands]"),0)</f>
        <v>PCSTable1</v>
      </c>
      <c r="G22" s="672" t="str" cm="1">
        <f t="array" aca="1" ref="G22"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22" s="672" t="e" cm="1">
        <f t="array" aca="1" ref="H22"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#VALUE!</v>
      </c>
      <c r="I22" s="672"/>
      <c r="J22" s="670">
        <v>3</v>
      </c>
      <c r="K22" s="1225"/>
      <c r="L22" s="1226"/>
      <c r="M22" s="658" t="s">
        <v>847</v>
      </c>
      <c r="AD22" s="711" t="s">
        <v>964</v>
      </c>
      <c r="AE22" s="711" cm="1">
        <f t="array" ref="AE22">INDEX('AC Calculator'!E2:E70,_xlfn.XLOOKUP(0,('AC Calculator'!F2:F70-AE19),'AC Calculator'!D2:D70,,1))</f>
        <v>16</v>
      </c>
      <c r="AG22" s="1234" t="s">
        <v>965</v>
      </c>
      <c r="AH22" s="1236">
        <f>IF(BESS!F3&lt;=200,30*BESS!F3+10*BESS!F4,15*BESS!F3+5*BESS!F4)</f>
        <v>3710</v>
      </c>
    </row>
    <row r="23" spans="1:38">
      <c r="A23" s="670" t="s">
        <v>966</v>
      </c>
      <c r="B23" s="1225">
        <v>1500</v>
      </c>
      <c r="C23" s="670" t="s">
        <v>961</v>
      </c>
      <c r="D23" s="672" t="s">
        <v>783</v>
      </c>
      <c r="E23" s="672" t="str">
        <f>INDEX(BESSTable1[#Headers],1)</f>
        <v>Chelion</v>
      </c>
      <c r="F23" s="672" t="str">
        <f ca="1">"PCSTable" &amp; MATCH(BESSTable1[[#This Row],[Brand]],INDIRECT("BESS_Brands[BESS Brands]"),0)</f>
        <v>PCSTable1</v>
      </c>
      <c r="G23" s="672" t="str" cm="1">
        <f t="array" aca="1" ref="G23" ca="1">IF(ISBLANK(BESSTable1[[#This Row],[PCS included?]]),_xlfn.XLOOKUP(BESSTable1[[#This Row],[Nominal kWh]]/2,INDIRECT(BESSTable1[[#This Row],[PCS Table Ref.]]&amp; "[kVA]"),INDIRECT(BESSTable1[[#This Row],[PCS Table Ref.]]&amp; "["&amp;BESSTable1[[#This Row],[Brand]]&amp;"]"),INDEX(INDIRECT(BESSTable1[[#This Row],[PCS Table Ref.]]&amp; "["&amp;BESSTable1[[#This Row],[Brand]]&amp;"]"),1),-1),"INTEGRATED PCS")</f>
        <v>INTEGRATED PCS</v>
      </c>
      <c r="H23" s="672" t="e" cm="1">
        <f t="array" aca="1" ref="H23" ca="1">(BESSTable1[[#This Row],[Battery Price FOB (Ex.GST)]]+IF(BESSTable1[[#This Row],[Suggested PCS]]="INTEGRATED PCS",0,_xlfn.XLOOKUP(BESSTable1[[#This Row],[Suggested PCS]],INDIRECT(BESSTable1[[#This Row],[PCS Table Ref.]]&amp;"["&amp;BESSTable1[[#This Row],[Brand]]&amp;"]"),INDIRECT(BESSTable1[[#This Row],[PCS Table Ref.]]&amp;"[PCS Price (Ex. GST)]"))))/BESSTable1[[#This Row],[Nominal kWh]]</f>
        <v>#VALUE!</v>
      </c>
      <c r="I23" s="672"/>
      <c r="J23" s="670">
        <v>3</v>
      </c>
      <c r="K23" s="1225"/>
      <c r="L23" s="1226"/>
      <c r="M23" s="658" t="s">
        <v>847</v>
      </c>
      <c r="AD23" s="711" t="s">
        <v>179</v>
      </c>
      <c r="AE23" s="829">
        <f>_xlfn.XLOOKUP(AE22,'3. Cabling'!$E$16:$E$53,'3. Cabling'!$F$16:$F$53)*2*AE20</f>
        <v>0</v>
      </c>
    </row>
    <row r="24" spans="1:38" ht="15.6">
      <c r="M24" s="658" t="s">
        <v>847</v>
      </c>
      <c r="AG24" s="1444" t="s">
        <v>967</v>
      </c>
      <c r="AH24" s="1444"/>
    </row>
    <row r="25" spans="1:38" ht="31.2">
      <c r="A25" s="667" t="s">
        <v>319</v>
      </c>
      <c r="B25" s="667" t="s">
        <v>887</v>
      </c>
      <c r="C25" s="667" t="s">
        <v>888</v>
      </c>
      <c r="D25" s="667" t="s">
        <v>889</v>
      </c>
      <c r="E25" s="667" t="s">
        <v>435</v>
      </c>
      <c r="F25" s="667" t="s">
        <v>890</v>
      </c>
      <c r="G25" s="667" t="s">
        <v>891</v>
      </c>
      <c r="H25" s="667" t="s">
        <v>892</v>
      </c>
      <c r="I25" s="667" t="s">
        <v>692</v>
      </c>
      <c r="J25" s="667" t="s">
        <v>566</v>
      </c>
      <c r="K25" s="667" t="s">
        <v>395</v>
      </c>
      <c r="L25" s="667" t="s">
        <v>893</v>
      </c>
      <c r="M25" s="658" t="s">
        <v>847</v>
      </c>
      <c r="N25" s="677" t="s">
        <v>319</v>
      </c>
      <c r="O25" s="678" t="s">
        <v>894</v>
      </c>
      <c r="P25" s="678" t="s">
        <v>895</v>
      </c>
      <c r="Q25" s="678" t="s">
        <v>692</v>
      </c>
      <c r="AG25" s="1234" t="s">
        <v>460</v>
      </c>
      <c r="AH25" s="1237">
        <f>BESS!F3*25</f>
        <v>2675</v>
      </c>
    </row>
    <row r="26" spans="1:38" ht="15.6">
      <c r="A26" s="670" t="s">
        <v>968</v>
      </c>
      <c r="B26" s="673">
        <v>9.6</v>
      </c>
      <c r="C26" s="681">
        <v>5880</v>
      </c>
      <c r="D26" s="670"/>
      <c r="E26" s="670" t="str">
        <f>INDEX(BESSTable2[#Headers],1)</f>
        <v>Sungrow</v>
      </c>
      <c r="F26" s="670" t="str">
        <f ca="1">"PCSTable" &amp; MATCH(BESSTable2[[#This Row],[Brand]],INDIRECT("BESS_Brands[BESS Brands]"),0)</f>
        <v>PCSTable2</v>
      </c>
      <c r="G26" s="670" t="str" cm="1">
        <f t="array" aca="1" ref="G26"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5 kVA - SH5.0RT Three Phase</v>
      </c>
      <c r="H26" s="672" cm="1">
        <f t="array" aca="1" ref="H26"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916.45833333333337</v>
      </c>
      <c r="I26" s="700" t="s">
        <v>969</v>
      </c>
      <c r="J26" s="673">
        <v>10</v>
      </c>
      <c r="K26" s="673">
        <v>10</v>
      </c>
      <c r="L26" s="673"/>
      <c r="M26" s="658" t="s">
        <v>847</v>
      </c>
      <c r="N26" s="670" t="s">
        <v>970</v>
      </c>
      <c r="O26" s="673">
        <v>5</v>
      </c>
      <c r="P26" s="681">
        <v>2918</v>
      </c>
      <c r="Q26" s="1238" t="s">
        <v>971</v>
      </c>
      <c r="AD26" s="1445" t="s">
        <v>972</v>
      </c>
      <c r="AE26" s="1445"/>
      <c r="AG26" s="1234" t="s">
        <v>455</v>
      </c>
      <c r="AH26" s="1236">
        <v>0</v>
      </c>
    </row>
    <row r="27" spans="1:38" ht="15.6">
      <c r="A27" s="670" t="s">
        <v>973</v>
      </c>
      <c r="B27" s="673">
        <v>12.8</v>
      </c>
      <c r="C27" s="681">
        <v>7370</v>
      </c>
      <c r="D27" s="670"/>
      <c r="E27" s="670" t="str">
        <f>INDEX(BESSTable2[#Headers],1)</f>
        <v>Sungrow</v>
      </c>
      <c r="F27" s="670" t="str">
        <f ca="1">"PCSTable" &amp; MATCH(BESSTable2[[#This Row],[Brand]],INDIRECT("BESS_Brands[BESS Brands]"),0)</f>
        <v>PCSTable2</v>
      </c>
      <c r="G27" s="670" t="str" cm="1">
        <f t="array" aca="1" ref="G27"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6 kVA - SH6.0RS Single Phase</v>
      </c>
      <c r="H27" s="672" cm="1">
        <f t="array" aca="1" ref="H27"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742.421875</v>
      </c>
      <c r="I27" s="700" t="s">
        <v>969</v>
      </c>
      <c r="J27" s="673">
        <v>10</v>
      </c>
      <c r="K27" s="673">
        <v>10</v>
      </c>
      <c r="L27" s="673"/>
      <c r="M27" s="658" t="s">
        <v>847</v>
      </c>
      <c r="N27" s="670" t="s">
        <v>974</v>
      </c>
      <c r="O27" s="673">
        <v>10</v>
      </c>
      <c r="P27" s="681">
        <v>3540</v>
      </c>
      <c r="Q27" s="1238" t="s">
        <v>971</v>
      </c>
      <c r="AD27" s="716" t="s">
        <v>975</v>
      </c>
      <c r="AE27" s="717">
        <f>AE13*1000/3/230</f>
        <v>72.463768115942031</v>
      </c>
      <c r="AG27" s="1234"/>
      <c r="AH27" s="1236"/>
    </row>
    <row r="28" spans="1:38" ht="15.6">
      <c r="A28" s="670" t="s">
        <v>976</v>
      </c>
      <c r="B28" s="673">
        <v>16</v>
      </c>
      <c r="C28" s="681">
        <v>8860</v>
      </c>
      <c r="D28" s="670"/>
      <c r="E28" s="670" t="str">
        <f>INDEX(BESSTable2[#Headers],1)</f>
        <v>Sungrow</v>
      </c>
      <c r="F28" s="670" t="str">
        <f ca="1">"PCSTable" &amp; MATCH(BESSTable2[[#This Row],[Brand]],INDIRECT("BESS_Brands[BESS Brands]"),0)</f>
        <v>PCSTable2</v>
      </c>
      <c r="G28" s="670" t="str" cm="1">
        <f t="array" aca="1" ref="G28"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8 kVA - SH8.0RS Single Phase</v>
      </c>
      <c r="H28" s="672" cm="1">
        <f t="array" aca="1" ref="H28"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710</v>
      </c>
      <c r="I28" s="700" t="s">
        <v>969</v>
      </c>
      <c r="J28" s="673">
        <v>10</v>
      </c>
      <c r="K28" s="673">
        <v>10</v>
      </c>
      <c r="L28" s="673"/>
      <c r="M28" s="658" t="s">
        <v>847</v>
      </c>
      <c r="N28" s="1225" t="s">
        <v>977</v>
      </c>
      <c r="O28" s="673">
        <v>15</v>
      </c>
      <c r="P28" s="1239">
        <v>4000</v>
      </c>
      <c r="Q28" s="1238" t="s">
        <v>971</v>
      </c>
      <c r="AD28" s="716" t="s">
        <v>957</v>
      </c>
      <c r="AE28" s="716">
        <f>AE27*1.25</f>
        <v>90.579710144927532</v>
      </c>
    </row>
    <row r="29" spans="1:38" ht="15.6">
      <c r="A29" s="670" t="s">
        <v>978</v>
      </c>
      <c r="B29" s="673">
        <v>19.2</v>
      </c>
      <c r="C29" s="681">
        <v>10350</v>
      </c>
      <c r="D29" s="670"/>
      <c r="E29" s="670" t="str">
        <f>INDEX(BESSTable2[#Headers],1)</f>
        <v>Sungrow</v>
      </c>
      <c r="F29" s="670" t="str">
        <f ca="1">"PCSTable" &amp; MATCH(BESSTable2[[#This Row],[Brand]],INDIRECT("BESS_Brands[BESS Brands]"),0)</f>
        <v>PCSTable2</v>
      </c>
      <c r="G29" s="670" t="str" cm="1">
        <f t="array" aca="1" ref="G29"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8 kVA - SH8.0RS Single Phase</v>
      </c>
      <c r="H29" s="672" cm="1">
        <f t="array" aca="1" ref="H29"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669.27083333333337</v>
      </c>
      <c r="I29" s="700" t="s">
        <v>969</v>
      </c>
      <c r="J29" s="673">
        <v>10</v>
      </c>
      <c r="K29" s="673">
        <v>10</v>
      </c>
      <c r="L29" s="673"/>
      <c r="M29" s="658" t="s">
        <v>847</v>
      </c>
      <c r="N29" s="1225" t="s">
        <v>979</v>
      </c>
      <c r="O29" s="673">
        <v>20</v>
      </c>
      <c r="P29" s="1239">
        <v>5050</v>
      </c>
      <c r="Q29" s="1238" t="s">
        <v>971</v>
      </c>
      <c r="AD29" s="716" t="s">
        <v>980</v>
      </c>
      <c r="AE29" s="718">
        <v>1.4999999999999999E-2</v>
      </c>
      <c r="AG29" s="1444" t="s">
        <v>585</v>
      </c>
      <c r="AH29" s="1444"/>
    </row>
    <row r="30" spans="1:38" ht="15.6">
      <c r="A30" s="670" t="s">
        <v>981</v>
      </c>
      <c r="B30" s="673">
        <v>22.4</v>
      </c>
      <c r="C30" s="681">
        <v>11840</v>
      </c>
      <c r="D30" s="670"/>
      <c r="E30" s="670" t="str">
        <f>INDEX(BESSTable2[#Headers],1)</f>
        <v>Sungrow</v>
      </c>
      <c r="F30" s="670" t="str">
        <f ca="1">"PCSTable" &amp; MATCH(BESSTable2[[#This Row],[Brand]],INDIRECT("BESS_Brands[BESS Brands]"),0)</f>
        <v>PCSTable2</v>
      </c>
      <c r="G30" s="670" t="str" cm="1">
        <f t="array" aca="1" ref="G30"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10 kVA - SH10.0RT Three Phase</v>
      </c>
      <c r="H30" s="672" cm="1">
        <f t="array" aca="1" ref="H30"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686.60714285714289</v>
      </c>
      <c r="I30" s="700" t="s">
        <v>969</v>
      </c>
      <c r="J30" s="673">
        <v>10</v>
      </c>
      <c r="K30" s="673">
        <v>10</v>
      </c>
      <c r="L30" s="673"/>
      <c r="M30" s="658" t="s">
        <v>847</v>
      </c>
      <c r="N30" s="670" t="s">
        <v>982</v>
      </c>
      <c r="O30" s="673">
        <v>25</v>
      </c>
      <c r="P30" s="681">
        <v>6546</v>
      </c>
      <c r="Q30" s="1238" t="s">
        <v>971</v>
      </c>
      <c r="AD30" s="716" t="s">
        <v>983</v>
      </c>
      <c r="AE30" s="716" cm="1">
        <f t="array" ref="AE30">_xlfn.XLOOKUP(0,('AC Calculator'!F2:F70-AE28),'AC Calculator'!D2:D70,,1)</f>
        <v>8</v>
      </c>
      <c r="AG30" s="1234" t="s">
        <v>460</v>
      </c>
      <c r="AH30" s="1237">
        <f>MAX(6*BESS!F3,400)</f>
        <v>642</v>
      </c>
    </row>
    <row r="31" spans="1:38" ht="15.6">
      <c r="A31" s="670" t="s">
        <v>984</v>
      </c>
      <c r="B31" s="673">
        <v>25.6</v>
      </c>
      <c r="C31" s="681">
        <v>13330</v>
      </c>
      <c r="D31" s="670"/>
      <c r="E31" s="670" t="str">
        <f>INDEX(BESSTable2[#Headers],1)</f>
        <v>Sungrow</v>
      </c>
      <c r="F31" s="670" t="str">
        <f ca="1">"PCSTable" &amp; MATCH(BESSTable2[[#This Row],[Brand]],INDIRECT("BESS_Brands[BESS Brands]"),0)</f>
        <v>PCSTable2</v>
      </c>
      <c r="G31" s="670" t="str" cm="1">
        <f t="array" aca="1" ref="G31"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10 kVA - SH10.0RT Three Phase</v>
      </c>
      <c r="H31" s="672" cm="1">
        <f t="array" aca="1" ref="H31"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658.984375</v>
      </c>
      <c r="I31" s="700" t="s">
        <v>969</v>
      </c>
      <c r="J31" s="673">
        <v>10</v>
      </c>
      <c r="K31" s="673">
        <v>10</v>
      </c>
      <c r="L31" s="673"/>
      <c r="M31" s="658" t="s">
        <v>847</v>
      </c>
      <c r="N31" s="670" t="s">
        <v>985</v>
      </c>
      <c r="O31" s="673">
        <v>5</v>
      </c>
      <c r="P31" s="681">
        <v>1822</v>
      </c>
      <c r="Q31" s="1238" t="s">
        <v>971</v>
      </c>
      <c r="AD31" s="716" t="s">
        <v>986</v>
      </c>
      <c r="AE31" s="716" cm="1">
        <f t="array" ref="AE31">_xlfn.XLOOKUP(0,('AC Calculator'!J2:J70-AE29),'AC Calculator'!D2:D70,,-1)</f>
        <v>5</v>
      </c>
      <c r="AG31" s="1234" t="s">
        <v>455</v>
      </c>
      <c r="AH31" s="1240">
        <v>0</v>
      </c>
    </row>
    <row r="32" spans="1:38" ht="15.6">
      <c r="A32" s="670" t="s">
        <v>987</v>
      </c>
      <c r="B32" s="673">
        <v>20</v>
      </c>
      <c r="C32" s="681">
        <v>10800</v>
      </c>
      <c r="D32" s="672"/>
      <c r="E32" s="670" t="str">
        <f>INDEX(BESSTable2[#Headers],1)</f>
        <v>Sungrow</v>
      </c>
      <c r="F32" s="670" t="str">
        <f ca="1">"PCSTable" &amp; MATCH(BESSTable2[[#This Row],[Brand]],INDIRECT("BESS_Brands[BESS Brands]"),0)</f>
        <v>PCSTable2</v>
      </c>
      <c r="G32" s="670" t="str" cm="1">
        <f t="array" aca="1" ref="G32"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10 kVA - SH10.0RT Three Phase</v>
      </c>
      <c r="H32" s="672" cm="1">
        <f t="array" aca="1" ref="H32"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717</v>
      </c>
      <c r="I32" s="700" t="s">
        <v>988</v>
      </c>
      <c r="J32" s="673">
        <v>10</v>
      </c>
      <c r="K32" s="673">
        <v>10</v>
      </c>
      <c r="L32" s="673"/>
      <c r="M32" s="658" t="s">
        <v>847</v>
      </c>
      <c r="N32" s="670" t="s">
        <v>989</v>
      </c>
      <c r="O32" s="673">
        <v>6</v>
      </c>
      <c r="P32" s="681">
        <v>2133</v>
      </c>
      <c r="Q32" s="1238" t="s">
        <v>971</v>
      </c>
      <c r="AD32" s="716" t="s">
        <v>990</v>
      </c>
      <c r="AE32" s="716" cm="1">
        <f t="array" ref="AE32">INDEX('AC Calculator'!E2:E70,MAX(AE30,AE31))</f>
        <v>25</v>
      </c>
    </row>
    <row r="33" spans="1:34" ht="15.6">
      <c r="A33" s="670" t="s">
        <v>991</v>
      </c>
      <c r="B33" s="673">
        <v>25</v>
      </c>
      <c r="C33" s="681">
        <v>13200</v>
      </c>
      <c r="D33" s="672"/>
      <c r="E33" s="670" t="str">
        <f>INDEX(BESSTable2[#Headers],1)</f>
        <v>Sungrow</v>
      </c>
      <c r="F33" s="670" t="str">
        <f ca="1">"PCSTable" &amp; MATCH(BESSTable2[[#This Row],[Brand]],INDIRECT("BESS_Brands[BESS Brands]"),0)</f>
        <v>PCSTable2</v>
      </c>
      <c r="G33" s="670" t="str" cm="1">
        <f t="array" aca="1" ref="G33"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10 kVA - SH10.0RT Three Phase</v>
      </c>
      <c r="H33" s="672" cm="1">
        <f t="array" aca="1" ref="H33"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669.6</v>
      </c>
      <c r="I33" s="700" t="s">
        <v>988</v>
      </c>
      <c r="J33" s="673">
        <v>10</v>
      </c>
      <c r="K33" s="673">
        <v>10</v>
      </c>
      <c r="L33" s="673"/>
      <c r="M33" s="658" t="s">
        <v>847</v>
      </c>
      <c r="N33" s="670" t="s">
        <v>992</v>
      </c>
      <c r="O33" s="673">
        <v>8</v>
      </c>
      <c r="P33" s="681">
        <v>2500</v>
      </c>
      <c r="Q33" s="1238" t="s">
        <v>971</v>
      </c>
      <c r="AD33" s="1241" t="s">
        <v>993</v>
      </c>
      <c r="AE33" s="716" cm="1">
        <f t="array" ref="AE33">INDEX('4. Switch Gear'!H7:H22,MATCH(AE28,'4. Switch Gear'!H7:H22,1)+1)</f>
        <v>120</v>
      </c>
    </row>
    <row r="34" spans="1:34" ht="15.6">
      <c r="A34" s="670" t="s">
        <v>994</v>
      </c>
      <c r="B34" s="673">
        <v>30</v>
      </c>
      <c r="C34" s="681">
        <v>15610</v>
      </c>
      <c r="D34" s="672"/>
      <c r="E34" s="670" t="str">
        <f>INDEX(BESSTable2[#Headers],1)</f>
        <v>Sungrow</v>
      </c>
      <c r="F34" s="670" t="str">
        <f ca="1">"PCSTable" &amp; MATCH(BESSTable2[[#This Row],[Brand]],INDIRECT("BESS_Brands[BESS Brands]"),0)</f>
        <v>PCSTable2</v>
      </c>
      <c r="G34" s="670" t="str" cm="1">
        <f t="array" aca="1" ref="G34"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15 kVA - SH15T Three Phase</v>
      </c>
      <c r="H34" s="672" cm="1">
        <f t="array" aca="1" ref="H34"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653.66666666666663</v>
      </c>
      <c r="I34" s="700" t="s">
        <v>988</v>
      </c>
      <c r="J34" s="673">
        <v>10</v>
      </c>
      <c r="K34" s="673">
        <v>10</v>
      </c>
      <c r="L34" s="673"/>
      <c r="M34" s="658" t="s">
        <v>847</v>
      </c>
      <c r="N34" s="670" t="s">
        <v>995</v>
      </c>
      <c r="O34" s="673">
        <v>10</v>
      </c>
      <c r="P34" s="681">
        <v>2860</v>
      </c>
      <c r="Q34" s="1238" t="s">
        <v>971</v>
      </c>
    </row>
    <row r="35" spans="1:34" ht="15.6">
      <c r="A35" s="670" t="s">
        <v>996</v>
      </c>
      <c r="B35" s="673">
        <v>35</v>
      </c>
      <c r="C35" s="681">
        <v>18010</v>
      </c>
      <c r="D35" s="672"/>
      <c r="E35" s="670" t="str">
        <f>INDEX(BESSTable2[#Headers],1)</f>
        <v>Sungrow</v>
      </c>
      <c r="F35" s="670" t="str">
        <f ca="1">"PCSTable" &amp; MATCH(BESSTable2[[#This Row],[Brand]],INDIRECT("BESS_Brands[BESS Brands]"),0)</f>
        <v>PCSTable2</v>
      </c>
      <c r="G35" s="670" t="str" cm="1">
        <f t="array" aca="1" ref="G35"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15 kVA - SH15T Three Phase</v>
      </c>
      <c r="H35" s="672" cm="1">
        <f t="array" aca="1" ref="H35"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628.85714285714289</v>
      </c>
      <c r="I35" s="700" t="s">
        <v>988</v>
      </c>
      <c r="J35" s="673">
        <v>10</v>
      </c>
      <c r="K35" s="673">
        <v>10</v>
      </c>
      <c r="L35" s="673"/>
      <c r="M35" s="658" t="s">
        <v>847</v>
      </c>
      <c r="N35" s="1225" t="s">
        <v>997</v>
      </c>
      <c r="O35" s="673">
        <v>110</v>
      </c>
      <c r="P35" s="1239">
        <v>0</v>
      </c>
      <c r="Q35" s="1201"/>
      <c r="AD35" s="1445" t="s">
        <v>998</v>
      </c>
      <c r="AE35" s="1445" t="s">
        <v>999</v>
      </c>
      <c r="AG35" s="1444" t="s">
        <v>339</v>
      </c>
      <c r="AH35" s="1444"/>
    </row>
    <row r="36" spans="1:34" ht="15.6">
      <c r="A36" s="670" t="s">
        <v>1000</v>
      </c>
      <c r="B36" s="673">
        <v>40</v>
      </c>
      <c r="C36" s="681">
        <v>20500</v>
      </c>
      <c r="D36" s="672"/>
      <c r="E36" s="670" t="str">
        <f>INDEX(BESSTable2[#Headers],1)</f>
        <v>Sungrow</v>
      </c>
      <c r="F36" s="670" t="str">
        <f ca="1">"PCSTable" &amp; MATCH(BESSTable2[[#This Row],[Brand]],INDIRECT("BESS_Brands[BESS Brands]"),0)</f>
        <v>PCSTable2</v>
      </c>
      <c r="G36" s="670" t="str" cm="1">
        <f t="array" aca="1" ref="G36"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20 kVA - SH20T Three Phase</v>
      </c>
      <c r="H36" s="672" cm="1">
        <f t="array" aca="1" ref="H36"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638.75</v>
      </c>
      <c r="I36" s="700" t="s">
        <v>988</v>
      </c>
      <c r="J36" s="673">
        <v>10</v>
      </c>
      <c r="K36" s="673">
        <v>10</v>
      </c>
      <c r="L36" s="673"/>
      <c r="M36" s="658" t="s">
        <v>847</v>
      </c>
      <c r="AD36" s="716" t="s">
        <v>1001</v>
      </c>
      <c r="AE36" s="824">
        <v>960</v>
      </c>
      <c r="AG36" s="1234" t="s">
        <v>460</v>
      </c>
      <c r="AH36" s="1237">
        <f>40*15*BESS!E3</f>
        <v>600</v>
      </c>
    </row>
    <row r="37" spans="1:34" ht="15.6">
      <c r="A37" s="1225" t="s">
        <v>1002</v>
      </c>
      <c r="B37" s="670">
        <v>225</v>
      </c>
      <c r="C37" s="682">
        <f>78000*1.46</f>
        <v>113880</v>
      </c>
      <c r="D37" s="670" t="s">
        <v>783</v>
      </c>
      <c r="E37" s="670" t="str">
        <f>INDEX(BESSTable2[#Headers],1)</f>
        <v>Sungrow</v>
      </c>
      <c r="F37" s="670" t="str">
        <f ca="1">"PCSTable" &amp; MATCH(BESSTable2[[#This Row],[Brand]],INDIRECT("BESS_Brands[BESS Brands]"),0)</f>
        <v>PCSTable2</v>
      </c>
      <c r="G37" s="670" t="str" cm="1">
        <f t="array" aca="1" ref="G37"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INTEGRATED PCS</v>
      </c>
      <c r="H37" s="672" cm="1">
        <f t="array" aca="1" ref="H37"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506.13333333333333</v>
      </c>
      <c r="I37" s="700" t="s">
        <v>1003</v>
      </c>
      <c r="J37" s="673">
        <v>5</v>
      </c>
      <c r="K37" s="673">
        <v>5</v>
      </c>
      <c r="L37" s="673"/>
      <c r="M37" s="658" t="s">
        <v>847</v>
      </c>
      <c r="AD37" s="716" t="s">
        <v>1004</v>
      </c>
      <c r="AE37" s="824">
        <v>3759.876923076923</v>
      </c>
      <c r="AG37" s="1234" t="s">
        <v>455</v>
      </c>
      <c r="AH37" s="1240">
        <v>0</v>
      </c>
    </row>
    <row r="38" spans="1:34" ht="15.6">
      <c r="A38" s="670" t="s">
        <v>1005</v>
      </c>
      <c r="B38" s="670">
        <v>225</v>
      </c>
      <c r="C38" s="682">
        <f>88000*1.46</f>
        <v>128480</v>
      </c>
      <c r="D38" s="672" t="s">
        <v>783</v>
      </c>
      <c r="E38" s="670" t="str">
        <f>INDEX(BESSTable2[#Headers],1)</f>
        <v>Sungrow</v>
      </c>
      <c r="F38" s="670" t="str">
        <f ca="1">"PCSTable" &amp; MATCH(BESSTable2[[#This Row],[Brand]],INDIRECT("BESS_Brands[BESS Brands]"),0)</f>
        <v>PCSTable2</v>
      </c>
      <c r="G38" s="670" t="str" cm="1">
        <f t="array" aca="1" ref="G38" ca="1">IF(ISBLANK(BESSTable2[[#This Row],[PCS included?]]),_xlfn.XLOOKUP(BESSTable2[[#This Row],[Nominal kWh]]/2,INDIRECT(BESSTable2[[#This Row],[PCS Table Ref.]]&amp; "[kVA]"),INDIRECT(BESSTable2[[#This Row],[PCS Table Ref.]]&amp; "["&amp;BESSTable2[[#This Row],[Brand]]&amp;"]"),INDEX(INDIRECT(BESSTable2[[#This Row],[PCS Table Ref.]]&amp; "["&amp;BESSTable2[[#This Row],[Brand]]&amp;"]"),1),-1),"INTEGRATED PCS")</f>
        <v>INTEGRATED PCS</v>
      </c>
      <c r="H38" s="672" cm="1">
        <f t="array" aca="1" ref="H38" ca="1">(BESSTable2[[#This Row],[Battery Price FOB (Ex.GST)]]+IF(BESSTable2[[#This Row],[Suggested PCS]]="INTEGRATED PCS",0,_xlfn.XLOOKUP(BESSTable2[[#This Row],[Suggested PCS]],INDIRECT(BESSTable2[[#This Row],[PCS Table Ref.]]&amp;"["&amp;BESSTable2[[#This Row],[Brand]]&amp;"]"),INDIRECT(BESSTable2[[#This Row],[PCS Table Ref.]]&amp;"[PCS Price (Ex. GST)]"))))/BESSTable2[[#This Row],[Nominal kWh]]</f>
        <v>571.02222222222224</v>
      </c>
      <c r="I38" s="700" t="s">
        <v>1003</v>
      </c>
      <c r="J38" s="673">
        <v>5</v>
      </c>
      <c r="K38" s="673">
        <v>5</v>
      </c>
      <c r="L38" s="673"/>
      <c r="M38" s="658" t="s">
        <v>847</v>
      </c>
      <c r="AD38" s="716" t="s">
        <v>1006</v>
      </c>
      <c r="AE38" s="824">
        <v>1600</v>
      </c>
    </row>
    <row r="39" spans="1:34" ht="15.6">
      <c r="M39" s="658" t="s">
        <v>847</v>
      </c>
      <c r="AD39" s="716" t="s">
        <v>1007</v>
      </c>
      <c r="AE39" s="824">
        <v>5267</v>
      </c>
      <c r="AG39" s="1444" t="s">
        <v>1008</v>
      </c>
      <c r="AH39" s="1444" t="s">
        <v>699</v>
      </c>
    </row>
    <row r="40" spans="1:34" ht="31.2">
      <c r="A40" s="667" t="s">
        <v>1009</v>
      </c>
      <c r="B40" s="667" t="s">
        <v>887</v>
      </c>
      <c r="C40" s="667" t="s">
        <v>1010</v>
      </c>
      <c r="D40" s="667" t="s">
        <v>1011</v>
      </c>
      <c r="E40" s="667" t="s">
        <v>435</v>
      </c>
      <c r="F40" s="667" t="s">
        <v>890</v>
      </c>
      <c r="G40" s="667" t="s">
        <v>891</v>
      </c>
      <c r="H40" s="667" t="s">
        <v>892</v>
      </c>
      <c r="I40" s="667" t="s">
        <v>692</v>
      </c>
      <c r="J40" s="667" t="s">
        <v>566</v>
      </c>
      <c r="K40" s="667" t="s">
        <v>395</v>
      </c>
      <c r="L40" s="667" t="s">
        <v>893</v>
      </c>
      <c r="M40" s="658" t="s">
        <v>847</v>
      </c>
      <c r="N40" s="677" t="s">
        <v>1009</v>
      </c>
      <c r="O40" s="678" t="s">
        <v>894</v>
      </c>
      <c r="P40" s="678" t="s">
        <v>895</v>
      </c>
      <c r="Q40" s="678" t="s">
        <v>692</v>
      </c>
      <c r="AD40" s="716" t="s">
        <v>1012</v>
      </c>
      <c r="AE40" s="824">
        <v>1250</v>
      </c>
      <c r="AG40" s="1234" t="s">
        <v>460</v>
      </c>
      <c r="AH40" s="1237">
        <v>1000</v>
      </c>
    </row>
    <row r="41" spans="1:34" ht="15.6">
      <c r="A41" s="670" t="s">
        <v>1013</v>
      </c>
      <c r="B41" s="673">
        <v>1100</v>
      </c>
      <c r="C41" s="681">
        <v>565000</v>
      </c>
      <c r="D41" s="1225" t="s">
        <v>783</v>
      </c>
      <c r="E41" s="670" t="str">
        <f>INDEX(BESSTable3[#Headers],1)</f>
        <v>Relectrify</v>
      </c>
      <c r="F41" s="670" t="str">
        <f ca="1">"PCSTable" &amp; MATCH(BESSTable3[[#This Row],[Brand]],INDIRECT("BESS_Brands[BESS Brands]"),0)</f>
        <v>PCSTable3</v>
      </c>
      <c r="G41" s="670" t="str" cm="1">
        <f t="array" aca="1" ref="G41"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INTEGRATED PCS</v>
      </c>
      <c r="H41" s="672" cm="1">
        <f t="array" aca="1" ref="H41"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513.63636363636363</v>
      </c>
      <c r="I41" s="700" t="s">
        <v>1014</v>
      </c>
      <c r="J41" s="670">
        <v>5</v>
      </c>
      <c r="K41" s="670">
        <v>10</v>
      </c>
      <c r="L41" s="670"/>
      <c r="M41" s="658" t="s">
        <v>847</v>
      </c>
      <c r="N41" s="674" t="s">
        <v>1015</v>
      </c>
      <c r="O41" s="684">
        <v>250</v>
      </c>
      <c r="P41" s="685">
        <v>0</v>
      </c>
      <c r="Q41" s="674"/>
      <c r="AG41" s="1234" t="s">
        <v>455</v>
      </c>
      <c r="AH41" s="1237">
        <v>0</v>
      </c>
    </row>
    <row r="42" spans="1:34" ht="15.6">
      <c r="A42" s="670" t="s">
        <v>1016</v>
      </c>
      <c r="B42" s="673">
        <v>1100</v>
      </c>
      <c r="C42" s="681">
        <v>262750</v>
      </c>
      <c r="D42" s="1225" t="s">
        <v>783</v>
      </c>
      <c r="E42" s="670" t="str">
        <f>INDEX(BESSTable3[#Headers],1)</f>
        <v>Relectrify</v>
      </c>
      <c r="F42" s="670" t="str">
        <f ca="1">"PCSTable" &amp; MATCH(BESSTable3[[#This Row],[Brand]],INDIRECT("BESS_Brands[BESS Brands]"),0)</f>
        <v>PCSTable3</v>
      </c>
      <c r="G42" s="670" t="str" cm="1">
        <f t="array" aca="1" ref="G42"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INTEGRATED PCS</v>
      </c>
      <c r="H42" s="672" cm="1">
        <f t="array" aca="1" ref="H42"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238.86363636363637</v>
      </c>
      <c r="I42" s="700" t="s">
        <v>1014</v>
      </c>
      <c r="J42" s="670">
        <v>5</v>
      </c>
      <c r="K42" s="670">
        <v>10</v>
      </c>
      <c r="L42" s="670"/>
      <c r="M42" s="658" t="s">
        <v>847</v>
      </c>
      <c r="N42" s="675"/>
      <c r="O42" s="686"/>
      <c r="P42" s="687"/>
      <c r="Q42" s="675"/>
      <c r="AD42" s="1444" t="s">
        <v>473</v>
      </c>
      <c r="AE42" s="1444"/>
    </row>
    <row r="43" spans="1:34" ht="28.8">
      <c r="A43" s="670" t="s">
        <v>1017</v>
      </c>
      <c r="B43" s="673">
        <v>1100</v>
      </c>
      <c r="C43" s="681">
        <v>456190</v>
      </c>
      <c r="D43" s="1225" t="s">
        <v>783</v>
      </c>
      <c r="E43" s="670" t="str">
        <f>INDEX(BESSTable3[#Headers],1)</f>
        <v>Relectrify</v>
      </c>
      <c r="F43" s="670" t="str">
        <f ca="1">"PCSTable" &amp; MATCH(BESSTable3[[#This Row],[Brand]],INDIRECT("BESS_Brands[BESS Brands]"),0)</f>
        <v>PCSTable3</v>
      </c>
      <c r="G43" s="670" t="str" cm="1">
        <f t="array" aca="1" ref="G43"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INTEGRATED PCS</v>
      </c>
      <c r="H43" s="672" cm="1">
        <f t="array" aca="1" ref="H43"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414.71818181818179</v>
      </c>
      <c r="I43" s="700" t="s">
        <v>1018</v>
      </c>
      <c r="J43" s="670">
        <v>5</v>
      </c>
      <c r="K43" s="670">
        <v>10</v>
      </c>
      <c r="L43" s="670"/>
      <c r="M43" s="658" t="s">
        <v>847</v>
      </c>
      <c r="N43" s="670"/>
      <c r="O43" s="673"/>
      <c r="P43" s="673"/>
      <c r="Q43" s="670"/>
      <c r="AD43" s="1234" t="s">
        <v>1019</v>
      </c>
      <c r="AE43" s="1235">
        <v>9835</v>
      </c>
      <c r="AG43" s="1444" t="s">
        <v>582</v>
      </c>
      <c r="AH43" s="1444"/>
    </row>
    <row r="44" spans="1:34" ht="15.6">
      <c r="A44" s="670"/>
      <c r="B44" s="673"/>
      <c r="C44" s="681"/>
      <c r="D44" s="670"/>
      <c r="E44" s="670" t="str">
        <f>INDEX(BESSTable3[#Headers],1)</f>
        <v>Relectrify</v>
      </c>
      <c r="F44" s="670" t="str">
        <f ca="1">"PCSTable" &amp; MATCH(BESSTable3[[#This Row],[Brand]],INDIRECT("BESS_Brands[BESS Brands]"),0)</f>
        <v>PCSTable3</v>
      </c>
      <c r="G44" s="670" t="str" cm="1">
        <f t="array" aca="1" ref="G44"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4" s="672" t="e" cm="1">
        <f t="array" aca="1" ref="H44"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4" s="700"/>
      <c r="J44" s="670">
        <v>5</v>
      </c>
      <c r="K44" s="670">
        <v>10</v>
      </c>
      <c r="L44" s="670"/>
      <c r="M44" s="658" t="s">
        <v>847</v>
      </c>
      <c r="AD44" s="1234" t="s">
        <v>1020</v>
      </c>
      <c r="AE44" s="1235">
        <v>2800</v>
      </c>
      <c r="AG44" s="1234" t="s">
        <v>460</v>
      </c>
      <c r="AH44" s="1237">
        <f>'1. Prelim'!Q26/2</f>
        <v>1000</v>
      </c>
    </row>
    <row r="45" spans="1:34" ht="15.6">
      <c r="A45" s="670"/>
      <c r="B45" s="673"/>
      <c r="C45" s="681"/>
      <c r="D45" s="670"/>
      <c r="E45" s="670" t="str">
        <f>INDEX(BESSTable3[#Headers],1)</f>
        <v>Relectrify</v>
      </c>
      <c r="F45" s="670" t="str">
        <f ca="1">"PCSTable" &amp; MATCH(BESSTable3[[#This Row],[Brand]],INDIRECT("BESS_Brands[BESS Brands]"),0)</f>
        <v>PCSTable3</v>
      </c>
      <c r="G45" s="670" t="str" cm="1">
        <f t="array" aca="1" ref="G45"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5" s="672" t="e" cm="1">
        <f t="array" aca="1" ref="H45"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5" s="700"/>
      <c r="J45" s="670">
        <v>5</v>
      </c>
      <c r="K45" s="670">
        <v>10</v>
      </c>
      <c r="L45" s="670"/>
      <c r="M45" s="658" t="s">
        <v>847</v>
      </c>
      <c r="AD45" s="1234" t="s">
        <v>1021</v>
      </c>
      <c r="AE45" s="1242">
        <v>320</v>
      </c>
      <c r="AG45" s="1234" t="s">
        <v>455</v>
      </c>
      <c r="AH45" s="1237">
        <v>0</v>
      </c>
    </row>
    <row r="46" spans="1:34" ht="15.6">
      <c r="A46" s="670"/>
      <c r="B46" s="673"/>
      <c r="C46" s="681"/>
      <c r="D46" s="670"/>
      <c r="E46" s="670" t="str">
        <f>INDEX(BESSTable3[#Headers],1)</f>
        <v>Relectrify</v>
      </c>
      <c r="F46" s="670" t="str">
        <f ca="1">"PCSTable" &amp; MATCH(BESSTable3[[#This Row],[Brand]],INDIRECT("BESS_Brands[BESS Brands]"),0)</f>
        <v>PCSTable3</v>
      </c>
      <c r="G46" s="670" t="str" cm="1">
        <f t="array" aca="1" ref="G46"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6" s="672" t="e" cm="1">
        <f t="array" aca="1" ref="H46"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6" s="700"/>
      <c r="J46" s="670">
        <v>5</v>
      </c>
      <c r="K46" s="670">
        <v>10</v>
      </c>
      <c r="L46" s="670"/>
      <c r="M46" s="658" t="s">
        <v>847</v>
      </c>
    </row>
    <row r="47" spans="1:34" ht="15.6">
      <c r="A47" s="670"/>
      <c r="B47" s="673"/>
      <c r="C47" s="681"/>
      <c r="D47" s="670"/>
      <c r="E47" s="670" t="str">
        <f>INDEX(BESSTable3[#Headers],1)</f>
        <v>Relectrify</v>
      </c>
      <c r="F47" s="670" t="str">
        <f ca="1">"PCSTable" &amp; MATCH(BESSTable3[[#This Row],[Brand]],INDIRECT("BESS_Brands[BESS Brands]"),0)</f>
        <v>PCSTable3</v>
      </c>
      <c r="G47" s="670" t="str" cm="1">
        <f t="array" aca="1" ref="G47"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7" s="672" t="e" cm="1">
        <f t="array" aca="1" ref="H47"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7" s="700"/>
      <c r="J47" s="670">
        <v>5</v>
      </c>
      <c r="K47" s="670">
        <v>10</v>
      </c>
      <c r="L47" s="670"/>
      <c r="M47" s="658" t="s">
        <v>847</v>
      </c>
      <c r="AD47" s="1445" t="s">
        <v>1022</v>
      </c>
      <c r="AE47" s="1445"/>
    </row>
    <row r="48" spans="1:34" ht="15.6">
      <c r="A48" s="670"/>
      <c r="B48" s="673"/>
      <c r="C48" s="681"/>
      <c r="D48" s="670"/>
      <c r="E48" s="670" t="str">
        <f>INDEX(BESSTable3[#Headers],1)</f>
        <v>Relectrify</v>
      </c>
      <c r="F48" s="670" t="str">
        <f ca="1">"PCSTable" &amp; MATCH(BESSTable3[[#This Row],[Brand]],INDIRECT("BESS_Brands[BESS Brands]"),0)</f>
        <v>PCSTable3</v>
      </c>
      <c r="G48" s="670" t="str" cm="1">
        <f t="array" aca="1" ref="G48" ca="1">IF(ISBLANK(BESSTable3[[#This Row],[PCS Included?]]),_xlfn.XLOOKUP(BESSTable3[[#This Row],[Nominal kWh]]/2,INDIRECT(BESSTable3[[#This Row],[PCS Table Ref.]]&amp; "[kVA]"),INDIRECT(BESSTable3[[#This Row],[PCS Table Ref.]]&amp; "["&amp;BESSTable3[[#This Row],[Brand]]&amp;"]"),INDEX(INDIRECT(BESSTable3[[#This Row],[PCS Table Ref.]]&amp; "["&amp;BESSTable3[[#This Row],[Brand]]&amp;"]"),1),-1),"INTEGRATED PCS")</f>
        <v>250 kVA - AC1 1.1MWh / 250kVA</v>
      </c>
      <c r="H48" s="672" t="e" cm="1">
        <f t="array" aca="1" ref="H48" ca="1">(BESSTable3[[#This Row],[Battery Price FOB (Ex. GST)]]+IF(BESSTable3[[#This Row],[Suggested PCS]]="INTEGRATED PCS",0,_xlfn.XLOOKUP(BESSTable3[[#This Row],[Suggested PCS]],INDIRECT(BESSTable3[[#This Row],[PCS Table Ref.]]&amp;"["&amp;BESSTable3[[#This Row],[Brand]]&amp;"]"),INDIRECT(BESSTable3[[#This Row],[PCS Table Ref.]]&amp;"[PCS Price (Ex. GST)]"))))/BESSTable3[[#This Row],[Nominal kWh]]</f>
        <v>#DIV/0!</v>
      </c>
      <c r="I48" s="700"/>
      <c r="J48" s="670">
        <v>5</v>
      </c>
      <c r="K48" s="670">
        <v>10</v>
      </c>
      <c r="L48" s="670"/>
      <c r="M48" s="658" t="s">
        <v>847</v>
      </c>
      <c r="AD48" s="716" t="s">
        <v>1023</v>
      </c>
      <c r="AE48" s="825">
        <f>265*BESS!F3/100</f>
        <v>283.55</v>
      </c>
    </row>
    <row r="49" spans="1:32">
      <c r="B49" s="658"/>
      <c r="C49" s="658"/>
      <c r="M49" s="658" t="s">
        <v>847</v>
      </c>
      <c r="AD49" s="716" t="s">
        <v>463</v>
      </c>
      <c r="AE49" s="1243">
        <f>IF(BESS!F3&lt;=100,1500+300*(BESS!E3-1),1500+300*(SUM(BESS!E3:E4)-1))</f>
        <v>1800</v>
      </c>
    </row>
    <row r="50" spans="1:32" ht="31.2">
      <c r="A50" s="667" t="s">
        <v>1024</v>
      </c>
      <c r="B50" s="667" t="s">
        <v>887</v>
      </c>
      <c r="C50" s="667" t="s">
        <v>888</v>
      </c>
      <c r="D50" s="667" t="s">
        <v>889</v>
      </c>
      <c r="E50" s="667" t="s">
        <v>435</v>
      </c>
      <c r="F50" s="667" t="s">
        <v>890</v>
      </c>
      <c r="G50" s="667" t="s">
        <v>891</v>
      </c>
      <c r="H50" s="667" t="s">
        <v>892</v>
      </c>
      <c r="I50" s="667" t="s">
        <v>692</v>
      </c>
      <c r="J50" s="778" t="s">
        <v>566</v>
      </c>
      <c r="K50" s="778" t="s">
        <v>395</v>
      </c>
      <c r="L50" s="778" t="s">
        <v>893</v>
      </c>
      <c r="M50" s="658" t="s">
        <v>847</v>
      </c>
      <c r="N50" s="678" t="s">
        <v>1024</v>
      </c>
      <c r="O50" s="678" t="s">
        <v>894</v>
      </c>
      <c r="P50" s="678" t="s">
        <v>1025</v>
      </c>
      <c r="Q50" s="678" t="s">
        <v>692</v>
      </c>
      <c r="AD50" s="716" t="s">
        <v>68</v>
      </c>
      <c r="AE50" s="1243">
        <v>0</v>
      </c>
    </row>
    <row r="51" spans="1:32" ht="15.6">
      <c r="A51" s="1238" t="s">
        <v>1026</v>
      </c>
      <c r="B51" s="673">
        <v>53.2</v>
      </c>
      <c r="C51" s="688">
        <v>30800</v>
      </c>
      <c r="D51" s="670" t="s">
        <v>783</v>
      </c>
      <c r="E51" s="670" t="str">
        <f>INDEX(BESSTable4[#Headers],1)</f>
        <v>Powerplus</v>
      </c>
      <c r="F51" s="670" t="str">
        <f ca="1">"PCSTable" &amp; MATCH(BESSTable4[[#This Row],[Brand]],INDIRECT("BESS_Brands[BESS Brands]"),0)</f>
        <v>PCSTable4</v>
      </c>
      <c r="G51" s="670" t="str" cm="1">
        <f t="array" aca="1" ref="G51" ca="1">IF(ISBLANK(BESSTable4[[#This Row],[PCS included?]]),_xlfn.XLOOKUP(BESSTable4[[#This Row],[Nominal kWh]]/2,INDIRECT(BESSTable4[[#This Row],[PCS Table Ref.]]&amp; "[kVA]"),INDIRECT(BESSTable4[[#This Row],[PCS Table Ref.]]&amp; "["&amp;BESSTable4[[#This Row],[Brand]]&amp;"]"),INDEX(INDIRECT(BESSTable4[[#This Row],[PCS Table Ref.]]&amp; "["&amp;BESSTable4[[#This Row],[Brand]]&amp;"]"),1),-1),"INTEGRATED PCS")</f>
        <v>INTEGRATED PCS</v>
      </c>
      <c r="H51" s="672" cm="1">
        <f t="array" aca="1" ref="H51" ca="1">(BESSTable4[[#This Row],[Battery Price FOB (Ex.GST)]]+IF(BESSTable4[[#This Row],[Suggested PCS]]="INTEGRATED PCS",0,_xlfn.XLOOKUP(BESSTable4[[#This Row],[Suggested PCS]],INDIRECT(BESSTable4[[#This Row],[PCS Table Ref.]]&amp;"["&amp;BESSTable4[[#This Row],[Brand]]&amp;"]"),INDIRECT(BESSTable4[[#This Row],[PCS Table Ref.]]&amp;"[PCS Price (Ex. GST)]"))))/BESSTable4[[#This Row],[Nominal kWh]]</f>
        <v>578.9473684210526</v>
      </c>
      <c r="I51" s="700" t="s">
        <v>1027</v>
      </c>
      <c r="J51" s="670">
        <v>10</v>
      </c>
      <c r="K51" s="1225" t="s">
        <v>85</v>
      </c>
      <c r="L51" s="1225"/>
      <c r="M51" s="658" t="s">
        <v>847</v>
      </c>
      <c r="N51" s="1244" t="s">
        <v>1028</v>
      </c>
      <c r="O51" s="690">
        <v>29.7</v>
      </c>
      <c r="P51" s="691">
        <v>0</v>
      </c>
      <c r="Q51" s="689"/>
      <c r="AD51" s="716"/>
      <c r="AE51" s="1243"/>
    </row>
    <row r="52" spans="1:32" ht="15.6">
      <c r="A52" s="1238" t="s">
        <v>1029</v>
      </c>
      <c r="B52" s="673">
        <v>53.2</v>
      </c>
      <c r="C52" s="688">
        <v>36100</v>
      </c>
      <c r="D52" s="670" t="s">
        <v>783</v>
      </c>
      <c r="E52" s="670" t="str">
        <f>INDEX(BESSTable4[#Headers],1)</f>
        <v>Powerplus</v>
      </c>
      <c r="F52" s="670" t="str">
        <f ca="1">"PCSTable" &amp; MATCH(BESSTable4[[#This Row],[Brand]],INDIRECT("BESS_Brands[BESS Brands]"),0)</f>
        <v>PCSTable4</v>
      </c>
      <c r="G52" s="670" t="str" cm="1">
        <f t="array" aca="1" ref="G52" ca="1">IF(ISBLANK(BESSTable4[[#This Row],[PCS included?]]),_xlfn.XLOOKUP(BESSTable4[[#This Row],[Nominal kWh]]/2,INDIRECT(BESSTable4[[#This Row],[PCS Table Ref.]]&amp; "[kVA]"),INDIRECT(BESSTable4[[#This Row],[PCS Table Ref.]]&amp; "["&amp;BESSTable4[[#This Row],[Brand]]&amp;"]"),INDEX(INDIRECT(BESSTable4[[#This Row],[PCS Table Ref.]]&amp; "["&amp;BESSTable4[[#This Row],[Brand]]&amp;"]"),1),-1),"INTEGRATED PCS")</f>
        <v>INTEGRATED PCS</v>
      </c>
      <c r="H52" s="672" cm="1">
        <f t="array" aca="1" ref="H52" ca="1">(BESSTable4[[#This Row],[Battery Price FOB (Ex.GST)]]+IF(BESSTable4[[#This Row],[Suggested PCS]]="INTEGRATED PCS",0,_xlfn.XLOOKUP(BESSTable4[[#This Row],[Suggested PCS]],INDIRECT(BESSTable4[[#This Row],[PCS Table Ref.]]&amp;"["&amp;BESSTable4[[#This Row],[Brand]]&amp;"]"),INDIRECT(BESSTable4[[#This Row],[PCS Table Ref.]]&amp;"[PCS Price (Ex. GST)]"))))/BESSTable4[[#This Row],[Nominal kWh]]</f>
        <v>678.57142857142856</v>
      </c>
      <c r="I52" s="700" t="s">
        <v>1027</v>
      </c>
      <c r="J52" s="670">
        <v>10</v>
      </c>
      <c r="K52" s="1225" t="s">
        <v>85</v>
      </c>
      <c r="L52" s="1225"/>
      <c r="M52" s="658" t="s">
        <v>847</v>
      </c>
    </row>
    <row r="53" spans="1:32" ht="15.6">
      <c r="A53" s="1238" t="s">
        <v>1030</v>
      </c>
      <c r="B53" s="673">
        <v>53.2</v>
      </c>
      <c r="C53" s="688">
        <v>41300</v>
      </c>
      <c r="D53" s="670" t="s">
        <v>783</v>
      </c>
      <c r="E53" s="670" t="str">
        <f>INDEX(BESSTable4[#Headers],1)</f>
        <v>Powerplus</v>
      </c>
      <c r="F53" s="670" t="str">
        <f ca="1">"PCSTable" &amp; MATCH(BESSTable4[[#This Row],[Brand]],INDIRECT("BESS_Brands[BESS Brands]"),0)</f>
        <v>PCSTable4</v>
      </c>
      <c r="G53" s="670" t="str" cm="1">
        <f t="array" aca="1" ref="G53" ca="1">IF(ISBLANK(BESSTable4[[#This Row],[PCS included?]]),_xlfn.XLOOKUP(BESSTable4[[#This Row],[Nominal kWh]]/2,INDIRECT(BESSTable4[[#This Row],[PCS Table Ref.]]&amp; "[kVA]"),INDIRECT(BESSTable4[[#This Row],[PCS Table Ref.]]&amp; "["&amp;BESSTable4[[#This Row],[Brand]]&amp;"]"),INDEX(INDIRECT(BESSTable4[[#This Row],[PCS Table Ref.]]&amp; "["&amp;BESSTable4[[#This Row],[Brand]]&amp;"]"),1),-1),"INTEGRATED PCS")</f>
        <v>INTEGRATED PCS</v>
      </c>
      <c r="H53" s="672" cm="1">
        <f t="array" aca="1" ref="H53" ca="1">(BESSTable4[[#This Row],[Battery Price FOB (Ex.GST)]]+IF(BESSTable4[[#This Row],[Suggested PCS]]="INTEGRATED PCS",0,_xlfn.XLOOKUP(BESSTable4[[#This Row],[Suggested PCS]],INDIRECT(BESSTable4[[#This Row],[PCS Table Ref.]]&amp;"["&amp;BESSTable4[[#This Row],[Brand]]&amp;"]"),INDIRECT(BESSTable4[[#This Row],[PCS Table Ref.]]&amp;"[PCS Price (Ex. GST)]"))))/BESSTable4[[#This Row],[Nominal kWh]]</f>
        <v>776.31578947368416</v>
      </c>
      <c r="I53" s="700" t="s">
        <v>1027</v>
      </c>
      <c r="J53" s="670">
        <v>10</v>
      </c>
      <c r="K53" s="1225" t="s">
        <v>85</v>
      </c>
      <c r="L53" s="1225"/>
      <c r="M53" s="658" t="s">
        <v>847</v>
      </c>
      <c r="AD53" s="1444" t="s">
        <v>1031</v>
      </c>
      <c r="AE53" s="1444"/>
    </row>
    <row r="54" spans="1:32" ht="28.8">
      <c r="M54" s="658" t="s">
        <v>847</v>
      </c>
      <c r="AD54" s="827" t="s">
        <v>1032</v>
      </c>
      <c r="AE54" s="828">
        <v>1.6E-2</v>
      </c>
      <c r="AF54" s="826" t="s">
        <v>1033</v>
      </c>
    </row>
    <row r="55" spans="1:32" ht="31.2">
      <c r="A55" s="667" t="s">
        <v>1034</v>
      </c>
      <c r="B55" s="667" t="s">
        <v>887</v>
      </c>
      <c r="C55" s="667" t="s">
        <v>888</v>
      </c>
      <c r="D55" s="667" t="s">
        <v>889</v>
      </c>
      <c r="E55" s="667" t="s">
        <v>435</v>
      </c>
      <c r="F55" s="667" t="s">
        <v>890</v>
      </c>
      <c r="G55" s="667" t="s">
        <v>891</v>
      </c>
      <c r="H55" s="667" t="s">
        <v>892</v>
      </c>
      <c r="I55" s="667" t="s">
        <v>692</v>
      </c>
      <c r="J55" s="778" t="s">
        <v>566</v>
      </c>
      <c r="K55" s="778" t="s">
        <v>395</v>
      </c>
      <c r="L55" s="778" t="s">
        <v>893</v>
      </c>
      <c r="M55" s="658" t="s">
        <v>847</v>
      </c>
      <c r="N55" s="677" t="s">
        <v>1034</v>
      </c>
      <c r="O55" s="678" t="s">
        <v>894</v>
      </c>
      <c r="P55" s="678" t="s">
        <v>895</v>
      </c>
      <c r="Q55" s="678" t="s">
        <v>692</v>
      </c>
      <c r="AD55" s="711" t="s">
        <v>1035</v>
      </c>
      <c r="AE55" s="828">
        <v>3.2000000000000001E-2</v>
      </c>
      <c r="AF55" s="826" t="s">
        <v>1033</v>
      </c>
    </row>
    <row r="56" spans="1:32" ht="15.6">
      <c r="A56" s="1225" t="s">
        <v>1036</v>
      </c>
      <c r="B56" s="692">
        <v>228</v>
      </c>
      <c r="C56" s="688">
        <v>107164.43850490398</v>
      </c>
      <c r="D56" s="670"/>
      <c r="E56" s="670" t="str">
        <f>INDEX(BESSTable5[#Headers],1)</f>
        <v>EVO Power</v>
      </c>
      <c r="F56" s="670" t="str">
        <f ca="1">"PCSTable" &amp; MATCH(BESSTable5[[#This Row],[Brand]],INDIRECT("BESS_Brands[BESS Brands]"),0)</f>
        <v>PCSTable5</v>
      </c>
      <c r="G56" s="670" t="str" cm="1">
        <f t="array" aca="1" ref="G56"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100 kVA - NEO V2.0</v>
      </c>
      <c r="H56" s="672" cm="1">
        <f t="array" aca="1" ref="H56"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649.32266888115782</v>
      </c>
      <c r="I56" s="700" t="s">
        <v>1037</v>
      </c>
      <c r="J56" s="670">
        <v>10</v>
      </c>
      <c r="K56" s="1225" t="s">
        <v>85</v>
      </c>
      <c r="L56" s="1225" t="s">
        <v>783</v>
      </c>
      <c r="M56" s="658" t="s">
        <v>847</v>
      </c>
      <c r="N56" s="673" t="s">
        <v>1038</v>
      </c>
      <c r="O56" s="673">
        <v>100</v>
      </c>
      <c r="P56" s="1245">
        <v>40881.129999999997</v>
      </c>
      <c r="Q56" s="673"/>
      <c r="AD56" s="827" t="s">
        <v>1039</v>
      </c>
      <c r="AE56" s="828">
        <v>5.4999999999999997E-3</v>
      </c>
    </row>
    <row r="57" spans="1:32" ht="15.6">
      <c r="A57" s="1225" t="s">
        <v>1040</v>
      </c>
      <c r="B57" s="692">
        <v>250</v>
      </c>
      <c r="C57" s="688">
        <v>107164.43850490398</v>
      </c>
      <c r="D57" s="670"/>
      <c r="E57" s="670" t="str">
        <f>INDEX(BESSTable5[#Headers],1)</f>
        <v>EVO Power</v>
      </c>
      <c r="F57" s="670" t="str">
        <f ca="1">"PCSTable" &amp; MATCH(BESSTable5[[#This Row],[Brand]],INDIRECT("BESS_Brands[BESS Brands]"),0)</f>
        <v>PCSTable5</v>
      </c>
      <c r="G57" s="670" t="str" cm="1">
        <f t="array" aca="1" ref="G57"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100 kVA - NEO V2.0</v>
      </c>
      <c r="H57" s="672" cm="1">
        <f t="array" aca="1" ref="H57"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592.18227401961599</v>
      </c>
      <c r="I57" s="700" t="s">
        <v>1041</v>
      </c>
      <c r="J57" s="670">
        <v>10</v>
      </c>
      <c r="K57" s="1225" t="s">
        <v>85</v>
      </c>
      <c r="L57" s="1225" t="s">
        <v>783</v>
      </c>
      <c r="M57" s="658" t="s">
        <v>847</v>
      </c>
      <c r="N57" s="673" t="s">
        <v>1042</v>
      </c>
      <c r="O57" s="673">
        <v>200</v>
      </c>
      <c r="P57" s="1245">
        <v>81762.259999999995</v>
      </c>
      <c r="Q57" s="673"/>
      <c r="AD57" s="827" t="s">
        <v>1043</v>
      </c>
      <c r="AE57" s="829">
        <v>0.03</v>
      </c>
    </row>
    <row r="58" spans="1:32" ht="15.6">
      <c r="A58" s="1225" t="s">
        <v>1044</v>
      </c>
      <c r="B58" s="692">
        <v>456</v>
      </c>
      <c r="C58" s="688">
        <v>214328.14574484443</v>
      </c>
      <c r="D58" s="670"/>
      <c r="E58" s="670" t="str">
        <f>INDEX(BESSTable5[#Headers],1)</f>
        <v>EVO Power</v>
      </c>
      <c r="F58" s="670" t="str">
        <f ca="1">"PCSTable" &amp; MATCH(BESSTable5[[#This Row],[Brand]],INDIRECT("BESS_Brands[BESS Brands]"),0)</f>
        <v>PCSTable5</v>
      </c>
      <c r="G58" s="670" t="str" cm="1">
        <f t="array" aca="1" ref="G58"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200 kVA - NEO V2.0</v>
      </c>
      <c r="H58" s="672" cm="1">
        <f t="array" aca="1" ref="H58"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649.32106522992194</v>
      </c>
      <c r="I58" s="700" t="s">
        <v>1037</v>
      </c>
      <c r="J58" s="670">
        <v>10</v>
      </c>
      <c r="K58" s="1225" t="s">
        <v>85</v>
      </c>
      <c r="L58" s="1225" t="s">
        <v>783</v>
      </c>
      <c r="M58" s="658" t="s">
        <v>847</v>
      </c>
      <c r="N58" s="673" t="s">
        <v>1045</v>
      </c>
      <c r="O58" s="673">
        <v>300</v>
      </c>
      <c r="P58" s="1245">
        <v>122643.39</v>
      </c>
      <c r="Q58" s="673"/>
    </row>
    <row r="59" spans="1:32" ht="15.6">
      <c r="A59" s="1225" t="s">
        <v>1046</v>
      </c>
      <c r="B59" s="692">
        <v>500</v>
      </c>
      <c r="C59" s="688">
        <v>119714.62487380444</v>
      </c>
      <c r="D59" s="670"/>
      <c r="E59" s="670" t="str">
        <f>INDEX(BESSTable5[#Headers],1)</f>
        <v>EVO Power</v>
      </c>
      <c r="F59" s="670" t="str">
        <f ca="1">"PCSTable" &amp; MATCH(BESSTable5[[#This Row],[Brand]],INDIRECT("BESS_Brands[BESS Brands]"),0)</f>
        <v>PCSTable5</v>
      </c>
      <c r="G59" s="670" t="str" cm="1">
        <f t="array" aca="1" ref="G59"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200 kVA - NEO V2.0</v>
      </c>
      <c r="H59" s="672" cm="1">
        <f t="array" aca="1" ref="H59"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402.95376974760887</v>
      </c>
      <c r="I59" s="700" t="s">
        <v>1041</v>
      </c>
      <c r="J59" s="670">
        <v>10</v>
      </c>
      <c r="K59" s="1225" t="s">
        <v>85</v>
      </c>
      <c r="L59" s="1225" t="s">
        <v>783</v>
      </c>
      <c r="M59" s="658" t="s">
        <v>847</v>
      </c>
      <c r="N59" s="673" t="s">
        <v>1047</v>
      </c>
      <c r="O59" s="673">
        <v>400</v>
      </c>
      <c r="P59" s="1245">
        <v>163524.51999999999</v>
      </c>
      <c r="Q59" s="673"/>
    </row>
    <row r="60" spans="1:32" ht="15.6">
      <c r="A60" s="1225" t="s">
        <v>1048</v>
      </c>
      <c r="B60" s="692">
        <v>684</v>
      </c>
      <c r="C60" s="688">
        <v>297144</v>
      </c>
      <c r="D60" s="670"/>
      <c r="E60" s="670" t="str">
        <f>INDEX(BESSTable5[#Headers],1)</f>
        <v>EVO Power</v>
      </c>
      <c r="F60" s="670" t="str">
        <f ca="1">"PCSTable" &amp; MATCH(BESSTable5[[#This Row],[Brand]],INDIRECT("BESS_Brands[BESS Brands]"),0)</f>
        <v>PCSTable5</v>
      </c>
      <c r="G60" s="670" t="str" cm="1">
        <f t="array" aca="1" ref="G60"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300 kVA - NEO V2.0</v>
      </c>
      <c r="H60" s="672" cm="1">
        <f t="array" aca="1" ref="H60"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613.72425438596497</v>
      </c>
      <c r="I60" s="700" t="s">
        <v>1037</v>
      </c>
      <c r="J60" s="670">
        <v>10</v>
      </c>
      <c r="K60" s="1225" t="s">
        <v>85</v>
      </c>
      <c r="L60" s="1225"/>
      <c r="M60" s="658" t="s">
        <v>847</v>
      </c>
      <c r="N60" s="673" t="s">
        <v>1049</v>
      </c>
      <c r="O60" s="673">
        <v>500</v>
      </c>
      <c r="P60" s="1245">
        <f>P56*5</f>
        <v>204405.65</v>
      </c>
      <c r="Q60" s="673"/>
    </row>
    <row r="61" spans="1:32" ht="15.6">
      <c r="A61" s="1225" t="s">
        <v>1050</v>
      </c>
      <c r="B61" s="692">
        <v>911</v>
      </c>
      <c r="C61" s="688">
        <v>221358.22141098167</v>
      </c>
      <c r="D61" s="670"/>
      <c r="E61" s="670" t="str">
        <f>INDEX(BESSTable5[#Headers],1)</f>
        <v>EVO Power</v>
      </c>
      <c r="F61" s="670" t="str">
        <f ca="1">"PCSTable" &amp; MATCH(BESSTable5[[#This Row],[Brand]],INDIRECT("BESS_Brands[BESS Brands]"),0)</f>
        <v>PCSTable5</v>
      </c>
      <c r="G61" s="670" t="str" cm="1">
        <f t="array" aca="1" ref="G61"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400 kVA - NEO V2.0</v>
      </c>
      <c r="H61" s="672" cm="1">
        <f t="array" aca="1" ref="H61"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422.48379957297652</v>
      </c>
      <c r="I61" s="700" t="s">
        <v>1037</v>
      </c>
      <c r="J61" s="670">
        <v>10</v>
      </c>
      <c r="K61" s="1225" t="s">
        <v>85</v>
      </c>
      <c r="L61" s="1225"/>
      <c r="M61" s="658" t="s">
        <v>847</v>
      </c>
      <c r="N61" s="670" t="s">
        <v>1051</v>
      </c>
      <c r="O61" s="673">
        <v>600</v>
      </c>
      <c r="P61" s="1245">
        <v>190194</v>
      </c>
      <c r="Q61" s="670"/>
    </row>
    <row r="62" spans="1:32" ht="15.6">
      <c r="A62" s="1225" t="s">
        <v>1052</v>
      </c>
      <c r="B62" s="692">
        <v>1139</v>
      </c>
      <c r="C62" s="688">
        <v>460101.87122733123</v>
      </c>
      <c r="D62" s="670"/>
      <c r="E62" s="670" t="str">
        <f>INDEX(BESSTable5[#Headers],1)</f>
        <v>EVO Power</v>
      </c>
      <c r="F62" s="670" t="str">
        <f ca="1">"PCSTable" &amp; MATCH(BESSTable5[[#This Row],[Brand]],INDIRECT("BESS_Brands[BESS Brands]"),0)</f>
        <v>PCSTable5</v>
      </c>
      <c r="G62" s="670" t="str" cm="1">
        <f t="array" aca="1" ref="G62"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500 kVA - NEO V2.0</v>
      </c>
      <c r="H62" s="672" cm="1">
        <f t="array" aca="1" ref="H62"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583.41310028738474</v>
      </c>
      <c r="I62" s="700" t="s">
        <v>1037</v>
      </c>
      <c r="J62" s="670">
        <v>10</v>
      </c>
      <c r="K62" s="1225" t="s">
        <v>85</v>
      </c>
      <c r="L62" s="1225"/>
      <c r="M62" s="658" t="s">
        <v>847</v>
      </c>
      <c r="N62" s="670" t="s">
        <v>1053</v>
      </c>
      <c r="O62" s="673">
        <v>700</v>
      </c>
      <c r="P62" s="1245">
        <v>221893</v>
      </c>
      <c r="Q62" s="670"/>
    </row>
    <row r="63" spans="1:32" ht="15.6">
      <c r="A63" s="1225" t="s">
        <v>1054</v>
      </c>
      <c r="B63" s="692">
        <v>1367</v>
      </c>
      <c r="C63" s="688">
        <v>553186.89823206724</v>
      </c>
      <c r="D63" s="670"/>
      <c r="E63" s="670" t="str">
        <f>INDEX(BESSTable5[#Headers],1)</f>
        <v>EVO Power</v>
      </c>
      <c r="F63" s="670" t="str">
        <f ca="1">"PCSTable" &amp; MATCH(BESSTable5[[#This Row],[Brand]],INDIRECT("BESS_Brands[BESS Brands]"),0)</f>
        <v>PCSTable5</v>
      </c>
      <c r="G63" s="670" t="str" cm="1">
        <f t="array" aca="1" ref="G63"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600 kVA - NEO+ V2.0</v>
      </c>
      <c r="H63" s="672" cm="1">
        <f t="array" aca="1" ref="H63"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543.80460733874702</v>
      </c>
      <c r="I63" s="700" t="s">
        <v>1037</v>
      </c>
      <c r="J63" s="670">
        <v>10</v>
      </c>
      <c r="K63" s="1225" t="s">
        <v>85</v>
      </c>
      <c r="L63" s="1225"/>
      <c r="M63" s="658" t="s">
        <v>847</v>
      </c>
      <c r="N63" s="670" t="s">
        <v>1055</v>
      </c>
      <c r="O63" s="673">
        <v>800</v>
      </c>
      <c r="P63" s="1245">
        <v>253592</v>
      </c>
      <c r="Q63" s="670"/>
    </row>
    <row r="64" spans="1:32" ht="15.6">
      <c r="A64" s="1225" t="s">
        <v>1056</v>
      </c>
      <c r="B64" s="692">
        <v>750</v>
      </c>
      <c r="C64" s="688">
        <v>358002.1360667682</v>
      </c>
      <c r="D64" s="670"/>
      <c r="E64" s="670" t="str">
        <f>INDEX(BESSTable5[#Headers],1)</f>
        <v>EVO Power</v>
      </c>
      <c r="F64" s="670" t="str">
        <f ca="1">"PCSTable" &amp; MATCH(BESSTable5[[#This Row],[Brand]],INDIRECT("BESS_Brands[BESS Brands]"),0)</f>
        <v>PCSTable5</v>
      </c>
      <c r="G64" s="670" t="str" cm="1">
        <f t="array" aca="1" ref="G64"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300 kVA - NEO V2.0</v>
      </c>
      <c r="H64" s="672" cm="1">
        <f t="array" aca="1" ref="H64"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640.86070142235758</v>
      </c>
      <c r="I64" s="700" t="s">
        <v>1041</v>
      </c>
      <c r="J64" s="670">
        <v>10</v>
      </c>
      <c r="K64" s="1225" t="s">
        <v>85</v>
      </c>
      <c r="L64" s="1225" t="s">
        <v>783</v>
      </c>
      <c r="M64" s="658" t="s">
        <v>847</v>
      </c>
      <c r="N64" s="670" t="s">
        <v>1057</v>
      </c>
      <c r="O64" s="673">
        <v>900</v>
      </c>
      <c r="P64" s="1245">
        <v>285291</v>
      </c>
      <c r="Q64" s="670"/>
      <c r="R64" s="659"/>
      <c r="T64" s="659"/>
    </row>
    <row r="65" spans="1:20" ht="15.6">
      <c r="A65" s="1225" t="s">
        <v>1058</v>
      </c>
      <c r="B65" s="692">
        <v>1000</v>
      </c>
      <c r="C65" s="688">
        <v>466165.06016488012</v>
      </c>
      <c r="D65" s="670"/>
      <c r="E65" s="670" t="str">
        <f>INDEX(BESSTable5[#Headers],1)</f>
        <v>EVO Power</v>
      </c>
      <c r="F65" s="670" t="str">
        <f ca="1">"PCSTable" &amp; MATCH(BESSTable5[[#This Row],[Brand]],INDIRECT("BESS_Brands[BESS Brands]"),0)</f>
        <v>PCSTable5</v>
      </c>
      <c r="G65" s="670" t="str" cm="1">
        <f t="array" aca="1" ref="G65"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500 kVA - NEO V2.0</v>
      </c>
      <c r="H65" s="672" cm="1">
        <f t="array" aca="1" ref="H65"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670.5707101648801</v>
      </c>
      <c r="I65" s="700" t="s">
        <v>1041</v>
      </c>
      <c r="J65" s="670">
        <v>10</v>
      </c>
      <c r="K65" s="1225" t="s">
        <v>85</v>
      </c>
      <c r="L65" s="1225" t="s">
        <v>783</v>
      </c>
      <c r="M65" s="658" t="s">
        <v>847</v>
      </c>
      <c r="N65" s="670" t="s">
        <v>1059</v>
      </c>
      <c r="O65" s="673">
        <v>1000</v>
      </c>
      <c r="P65" s="1245">
        <v>316990</v>
      </c>
      <c r="Q65" s="670"/>
      <c r="T65" s="659"/>
    </row>
    <row r="66" spans="1:20" ht="15.6">
      <c r="A66" s="1225" t="s">
        <v>1060</v>
      </c>
      <c r="B66" s="692">
        <v>1139.2991999999999</v>
      </c>
      <c r="C66" s="688">
        <v>498938.49879611214</v>
      </c>
      <c r="D66" s="670"/>
      <c r="E66" s="670" t="str">
        <f>INDEX(BESSTable5[#Headers],1)</f>
        <v>EVO Power</v>
      </c>
      <c r="F66" s="670" t="str">
        <f ca="1">"PCSTable" &amp; MATCH(BESSTable5[[#This Row],[Brand]],INDIRECT("BESS_Brands[BESS Brands]"),0)</f>
        <v>PCSTable5</v>
      </c>
      <c r="G66" s="670" t="str" cm="1">
        <f t="array" aca="1" ref="G66"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500 kVA - NEO V2.0</v>
      </c>
      <c r="H66" s="672" cm="1">
        <f t="array" aca="1" ref="H66"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617.34805817129711</v>
      </c>
      <c r="I66" s="700" t="s">
        <v>1037</v>
      </c>
      <c r="J66" s="670">
        <v>10</v>
      </c>
      <c r="K66" s="1225" t="s">
        <v>85</v>
      </c>
      <c r="L66" s="1225"/>
      <c r="M66" s="658" t="s">
        <v>847</v>
      </c>
      <c r="R66" s="659"/>
      <c r="S66" s="659"/>
      <c r="T66" s="659"/>
    </row>
    <row r="67" spans="1:20" ht="15.6">
      <c r="A67" s="1225" t="s">
        <v>1061</v>
      </c>
      <c r="B67" s="692">
        <v>1367.15904</v>
      </c>
      <c r="C67" s="688">
        <v>592023.52580084815</v>
      </c>
      <c r="D67" s="670"/>
      <c r="E67" s="670" t="str">
        <f>INDEX(BESSTable5[#Headers],1)</f>
        <v>EVO Power</v>
      </c>
      <c r="F67" s="670" t="str">
        <f ca="1">"PCSTable" &amp; MATCH(BESSTable5[[#This Row],[Brand]],INDIRECT("BESS_Brands[BESS Brands]"),0)</f>
        <v>PCSTable5</v>
      </c>
      <c r="G67" s="670" t="str" cm="1">
        <f t="array" aca="1" ref="G67"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600 kVA - NEO+ V2.0</v>
      </c>
      <c r="H67" s="672" cm="1">
        <f t="array" aca="1" ref="H67"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572.14815754050687</v>
      </c>
      <c r="I67" s="700" t="s">
        <v>1037</v>
      </c>
      <c r="J67" s="670">
        <v>10</v>
      </c>
      <c r="K67" s="1225" t="s">
        <v>85</v>
      </c>
      <c r="L67" s="1225"/>
      <c r="M67" s="658" t="s">
        <v>847</v>
      </c>
      <c r="P67" s="1246"/>
      <c r="R67" s="659"/>
      <c r="S67" s="659"/>
      <c r="T67" s="659"/>
    </row>
    <row r="68" spans="1:20" ht="15.6">
      <c r="A68" s="1225" t="s">
        <v>1062</v>
      </c>
      <c r="B68" s="692">
        <v>1595.0188799999999</v>
      </c>
      <c r="C68" s="688">
        <v>685108.55280558404</v>
      </c>
      <c r="D68" s="670"/>
      <c r="E68" s="670" t="str">
        <f>INDEX(BESSTable5[#Headers],1)</f>
        <v>EVO Power</v>
      </c>
      <c r="F68" s="670" t="str">
        <f ca="1">"PCSTable" &amp; MATCH(BESSTable5[[#This Row],[Brand]],INDIRECT("BESS_Brands[BESS Brands]"),0)</f>
        <v>PCSTable5</v>
      </c>
      <c r="G68" s="670" t="str" cm="1">
        <f t="array" aca="1" ref="G68"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700 kVA - NEO+ V2.0</v>
      </c>
      <c r="H68" s="672" cm="1">
        <f t="array" aca="1" ref="H68"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568.64628010270587</v>
      </c>
      <c r="I68" s="700" t="s">
        <v>1037</v>
      </c>
      <c r="J68" s="670">
        <v>10</v>
      </c>
      <c r="K68" s="1225" t="s">
        <v>85</v>
      </c>
      <c r="L68" s="1225"/>
      <c r="M68" s="658" t="s">
        <v>847</v>
      </c>
      <c r="R68" s="659"/>
      <c r="S68" s="659"/>
      <c r="T68" s="659"/>
    </row>
    <row r="69" spans="1:20" ht="15.6">
      <c r="A69" s="1225" t="s">
        <v>1063</v>
      </c>
      <c r="B69" s="692">
        <v>1822.8787199999999</v>
      </c>
      <c r="C69" s="688">
        <v>778193.57981031993</v>
      </c>
      <c r="D69" s="670"/>
      <c r="E69" s="670" t="str">
        <f>INDEX(BESSTable5[#Headers],1)</f>
        <v>EVO Power</v>
      </c>
      <c r="F69" s="670" t="str">
        <f ca="1">"PCSTable" &amp; MATCH(BESSTable5[[#This Row],[Brand]],INDIRECT("BESS_Brands[BESS Brands]"),0)</f>
        <v>PCSTable5</v>
      </c>
      <c r="G69" s="670" t="str" cm="1">
        <f t="array" aca="1" ref="G69"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900 kVA - NEO+ V2.0</v>
      </c>
      <c r="H69" s="672" cm="1">
        <f t="array" aca="1" ref="H69"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583.4093997269988</v>
      </c>
      <c r="I69" s="700" t="s">
        <v>1037</v>
      </c>
      <c r="J69" s="670">
        <v>10</v>
      </c>
      <c r="K69" s="1225" t="s">
        <v>85</v>
      </c>
      <c r="L69" s="1225"/>
      <c r="M69" s="658" t="s">
        <v>847</v>
      </c>
      <c r="R69" s="659"/>
      <c r="S69" s="659"/>
      <c r="T69" s="659"/>
    </row>
    <row r="70" spans="1:20" ht="15.6">
      <c r="A70" s="1225" t="s">
        <v>1064</v>
      </c>
      <c r="B70" s="692">
        <v>1250</v>
      </c>
      <c r="C70" s="688">
        <v>571666.16129815264</v>
      </c>
      <c r="D70" s="670"/>
      <c r="E70" s="670" t="str">
        <f>INDEX(BESSTable5[#Headers],1)</f>
        <v>EVO Power</v>
      </c>
      <c r="F70" s="670" t="str">
        <f ca="1">"PCSTable" &amp; MATCH(BESSTable5[[#This Row],[Brand]],INDIRECT("BESS_Brands[BESS Brands]"),0)</f>
        <v>PCSTable5</v>
      </c>
      <c r="G70" s="670" t="str" cm="1">
        <f t="array" aca="1" ref="G70"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600 kVA - NEO+ V2.0</v>
      </c>
      <c r="H70" s="672" cm="1">
        <f t="array" aca="1" ref="H70"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609.48812903852206</v>
      </c>
      <c r="I70" s="700" t="s">
        <v>1041</v>
      </c>
      <c r="J70" s="670">
        <v>10</v>
      </c>
      <c r="K70" s="1225" t="s">
        <v>85</v>
      </c>
      <c r="L70" s="1225"/>
      <c r="M70" s="658" t="s">
        <v>847</v>
      </c>
      <c r="R70" s="659"/>
      <c r="S70" s="659"/>
      <c r="T70" s="659"/>
    </row>
    <row r="71" spans="1:20" ht="15.6">
      <c r="A71" s="1225" t="s">
        <v>1065</v>
      </c>
      <c r="B71" s="692">
        <v>1500</v>
      </c>
      <c r="C71" s="688">
        <v>684298.37696773408</v>
      </c>
      <c r="D71" s="670"/>
      <c r="E71" s="670" t="str">
        <f>INDEX(BESSTable5[#Headers],1)</f>
        <v>EVO Power</v>
      </c>
      <c r="F71" s="670" t="str">
        <f ca="1">"PCSTable" &amp; MATCH(BESSTable5[[#This Row],[Brand]],INDIRECT("BESS_Brands[BESS Brands]"),0)</f>
        <v>PCSTable5</v>
      </c>
      <c r="G71" s="670" t="str" cm="1">
        <f t="array" aca="1" ref="G71"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700 kVA - NEO+ V2.0</v>
      </c>
      <c r="H71" s="672" cm="1">
        <f t="array" aca="1" ref="H71"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604.12758464515605</v>
      </c>
      <c r="I71" s="700" t="s">
        <v>1041</v>
      </c>
      <c r="J71" s="670">
        <v>10</v>
      </c>
      <c r="K71" s="1225" t="s">
        <v>85</v>
      </c>
      <c r="L71" s="1225"/>
      <c r="M71" s="658" t="s">
        <v>847</v>
      </c>
      <c r="S71" s="659"/>
      <c r="T71" s="659"/>
    </row>
    <row r="72" spans="1:20" ht="15.6">
      <c r="A72" s="1225" t="s">
        <v>1066</v>
      </c>
      <c r="B72" s="692">
        <v>1750</v>
      </c>
      <c r="C72" s="688">
        <v>789591.79092870327</v>
      </c>
      <c r="D72" s="670"/>
      <c r="E72" s="670" t="str">
        <f>INDEX(BESSTable5[#Headers],1)</f>
        <v>EVO Power</v>
      </c>
      <c r="F72" s="670" t="str">
        <f ca="1">"PCSTable" &amp; MATCH(BESSTable5[[#This Row],[Brand]],INDIRECT("BESS_Brands[BESS Brands]"),0)</f>
        <v>PCSTable5</v>
      </c>
      <c r="G72" s="670" t="str" cm="1">
        <f t="array" aca="1" ref="G72"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800 kVA - NEO+ V2.0</v>
      </c>
      <c r="H72" s="672" cm="1">
        <f t="array" aca="1" ref="H72"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596.10502338783044</v>
      </c>
      <c r="I72" s="700" t="s">
        <v>1041</v>
      </c>
      <c r="J72" s="670">
        <v>10</v>
      </c>
      <c r="K72" s="1225" t="s">
        <v>85</v>
      </c>
      <c r="L72" s="1225"/>
      <c r="M72" s="658" t="s">
        <v>847</v>
      </c>
      <c r="S72" s="659"/>
      <c r="T72" s="659"/>
    </row>
    <row r="73" spans="1:20" ht="15.6">
      <c r="A73" s="1225" t="s">
        <v>1067</v>
      </c>
      <c r="B73" s="692">
        <v>2050.7385599999998</v>
      </c>
      <c r="C73" s="688">
        <v>870216.56528454321</v>
      </c>
      <c r="D73" s="670"/>
      <c r="E73" s="670" t="str">
        <f>INDEX(BESSTable5[#Headers],1)</f>
        <v>EVO Power</v>
      </c>
      <c r="F73" s="670" t="str">
        <f ca="1">"PCSTable" &amp; MATCH(BESSTable5[[#This Row],[Brand]],INDIRECT("BESS_Brands[BESS Brands]"),0)</f>
        <v>PCSTable5</v>
      </c>
      <c r="G73" s="670" t="str" cm="1">
        <f t="array" aca="1" ref="G73" ca="1">IF(ISBLANK(BESSTable5[[#This Row],[PCS included?]]),_xlfn.XLOOKUP(BESSTable5[[#This Row],[Nominal kWh]]/2,INDIRECT(BESSTable5[[#This Row],[PCS Table Ref.]]&amp; "[kVA]"),INDIRECT(BESSTable5[[#This Row],[PCS Table Ref.]]&amp; "["&amp;BESSTable5[[#This Row],[Brand]]&amp;"]"),INDEX(INDIRECT(BESSTable5[[#This Row],[PCS Table Ref.]]&amp; "["&amp;BESSTable5[[#This Row],[Brand]]&amp;"]"),1),-1),"INTEGRATED PCS")</f>
        <v>1 MVA - NEO+ V2.0</v>
      </c>
      <c r="H73" s="672" cm="1">
        <f t="array" aca="1" ref="H73" ca="1">(BESSTable5[[#This Row],[Battery Price FOB (Ex.GST)]]+IF(BESSTable5[[#This Row],[Suggested PCS]]="INTEGRATED PCS",0,_xlfn.XLOOKUP(BESSTable5[[#This Row],[Suggested PCS]],INDIRECT(BESSTable5[[#This Row],[PCS Table Ref.]]&amp;"["&amp;BESSTable5[[#This Row],[Brand]]&amp;"]"),INDIRECT(BESSTable5[[#This Row],[PCS Table Ref.]]&amp;"[PCS Price (Ex. GST)]"))))/BESSTable5[[#This Row],[Nominal kWh]]</f>
        <v>578.91658568342484</v>
      </c>
      <c r="I73" s="700" t="s">
        <v>1041</v>
      </c>
      <c r="J73" s="670">
        <v>10</v>
      </c>
      <c r="K73" s="1225" t="s">
        <v>85</v>
      </c>
      <c r="L73" s="1225" t="s">
        <v>783</v>
      </c>
      <c r="M73" s="658" t="s">
        <v>847</v>
      </c>
      <c r="S73" s="659"/>
      <c r="T73" s="659"/>
    </row>
    <row r="74" spans="1:20">
      <c r="M74" s="658" t="s">
        <v>847</v>
      </c>
      <c r="S74" s="659"/>
    </row>
    <row r="75" spans="1:20" ht="31.2">
      <c r="A75" s="667" t="s">
        <v>852</v>
      </c>
      <c r="B75" s="667" t="s">
        <v>887</v>
      </c>
      <c r="C75" s="667" t="s">
        <v>888</v>
      </c>
      <c r="D75" s="667" t="s">
        <v>889</v>
      </c>
      <c r="E75" s="667" t="s">
        <v>435</v>
      </c>
      <c r="F75" s="667" t="s">
        <v>890</v>
      </c>
      <c r="G75" s="667" t="s">
        <v>891</v>
      </c>
      <c r="H75" s="667" t="s">
        <v>892</v>
      </c>
      <c r="I75" s="667" t="s">
        <v>692</v>
      </c>
      <c r="J75" s="778" t="s">
        <v>566</v>
      </c>
      <c r="K75" s="778" t="s">
        <v>395</v>
      </c>
      <c r="L75" s="778" t="s">
        <v>893</v>
      </c>
      <c r="M75" s="658" t="s">
        <v>847</v>
      </c>
      <c r="N75" s="678" t="s">
        <v>852</v>
      </c>
      <c r="O75" s="678" t="s">
        <v>894</v>
      </c>
      <c r="P75" s="678" t="s">
        <v>895</v>
      </c>
      <c r="Q75" s="678" t="s">
        <v>692</v>
      </c>
      <c r="S75" s="659"/>
    </row>
    <row r="76" spans="1:20" ht="15.6">
      <c r="A76" s="670" t="s">
        <v>1068</v>
      </c>
      <c r="B76" s="692">
        <v>215</v>
      </c>
      <c r="C76" s="688">
        <f>280*1.51*BESSTable6[[#This Row],[Nominal kWh]]</f>
        <v>90902</v>
      </c>
      <c r="D76" s="670" t="s">
        <v>783</v>
      </c>
      <c r="E76" s="670" t="str">
        <f>INDEX(BESSTable6[#Headers],1)</f>
        <v>Jinko</v>
      </c>
      <c r="F76" s="670" t="str">
        <f ca="1">"PCSTable" &amp; MATCH(BESSTable6[[#This Row],[Brand]],INDIRECT("BESS_Brands[BESS Brands]"),0)</f>
        <v>PCSTable6</v>
      </c>
      <c r="G76" s="670" t="str" cm="1">
        <f t="array" aca="1" ref="G76" ca="1">IF(ISBLANK(BESSTable6[[#This Row],[PCS included?]]),_xlfn.XLOOKUP(BESSTable6[[#This Row],[Nominal kWh]]/2,INDIRECT(BESSTable6[[#This Row],[PCS Table Ref.]]&amp; "[kVA]"),INDIRECT(BESSTable6[[#This Row],[PCS Table Ref.]]&amp; "["&amp;BESSTable6[[#This Row],[Brand]]&amp;"]"),INDEX(INDIRECT(BESSTable6[[#This Row],[PCS Table Ref.]]&amp; "["&amp;BESSTable6[[#This Row],[Brand]]&amp;"]"),1),-1),"INTEGRATED PCS")</f>
        <v>INTEGRATED PCS</v>
      </c>
      <c r="H76" s="672" cm="1">
        <f t="array" aca="1" ref="H76" ca="1">(BESSTable6[[#This Row],[Battery Price FOB (Ex.GST)]]+IF(BESSTable6[[#This Row],[Suggested PCS]]="INTEGRATED PCS",0,_xlfn.XLOOKUP(BESSTable6[[#This Row],[Suggested PCS]],INDIRECT(BESSTable6[[#This Row],[PCS Table Ref.]]&amp;"["&amp;BESSTable6[[#This Row],[Brand]]&amp;"]"),INDIRECT(BESSTable6[[#This Row],[PCS Table Ref.]]&amp;"[PCS Price (Ex. GST)]"))))/BESSTable6[[#This Row],[Nominal kWh]]</f>
        <v>422.8</v>
      </c>
      <c r="I76" s="1247" t="s">
        <v>1069</v>
      </c>
      <c r="J76" s="670">
        <v>5</v>
      </c>
      <c r="K76" s="670">
        <v>10</v>
      </c>
      <c r="L76" s="670"/>
      <c r="M76" s="658" t="s">
        <v>847</v>
      </c>
      <c r="N76" s="1248" t="s">
        <v>1070</v>
      </c>
      <c r="O76" s="684">
        <v>100</v>
      </c>
      <c r="P76" s="694">
        <v>0</v>
      </c>
      <c r="Q76" s="693"/>
    </row>
    <row r="77" spans="1:20" ht="15.6">
      <c r="A77" s="670" t="s">
        <v>1071</v>
      </c>
      <c r="B77" s="692">
        <v>3760</v>
      </c>
      <c r="C77" s="688">
        <f>130*1.5*B77</f>
        <v>733200</v>
      </c>
      <c r="D77" s="670"/>
      <c r="E77" s="670" t="str">
        <f>INDEX(BESSTable6[#Headers],1)</f>
        <v>Jinko</v>
      </c>
      <c r="F77" s="670" t="str">
        <f ca="1">"PCSTable" &amp; MATCH(BESSTable6[[#This Row],[Brand]],INDIRECT("BESS_Brands[BESS Brands]"),0)</f>
        <v>PCSTable6</v>
      </c>
      <c r="G77" s="670" t="str" cm="1">
        <f t="array" aca="1" ref="G77" ca="1">IF(ISBLANK(BESSTable6[[#This Row],[PCS included?]]),_xlfn.XLOOKUP(BESSTable6[[#This Row],[Nominal kWh]]/2,INDIRECT(BESSTable6[[#This Row],[PCS Table Ref.]]&amp; "[kVA]"),INDIRECT(BESSTable6[[#This Row],[PCS Table Ref.]]&amp; "["&amp;BESSTable6[[#This Row],[Brand]]&amp;"]"),INDEX(INDIRECT(BESSTable6[[#This Row],[PCS Table Ref.]]&amp; "["&amp;BESSTable6[[#This Row],[Brand]]&amp;"]"),1),-1),"INTEGRATED PCS")</f>
        <v>250 kVA - Sinexcel PWS1-500KTL-4M + Energy Renaissance EMS</v>
      </c>
      <c r="H77" s="672" cm="1">
        <f t="array" aca="1" ref="H77" ca="1">(BESSTable6[[#This Row],[Battery Price FOB (Ex.GST)]]+IF(BESSTable6[[#This Row],[Suggested PCS]]="INTEGRATED PCS",0,_xlfn.XLOOKUP(BESSTable6[[#This Row],[Suggested PCS]],INDIRECT(BESSTable6[[#This Row],[PCS Table Ref.]]&amp;"["&amp;BESSTable6[[#This Row],[Brand]]&amp;"]"),INDIRECT(BESSTable6[[#This Row],[PCS Table Ref.]]&amp;"[PCS Price (Ex. GST)]"))))/BESSTable6[[#This Row],[Nominal kWh]]</f>
        <v>206.92414431082332</v>
      </c>
      <c r="I77" s="700" t="s">
        <v>1072</v>
      </c>
      <c r="J77" s="670">
        <v>5</v>
      </c>
      <c r="K77" s="670">
        <v>5</v>
      </c>
      <c r="L77" s="670"/>
      <c r="M77" s="658" t="s">
        <v>847</v>
      </c>
      <c r="N77" s="695" t="s">
        <v>1073</v>
      </c>
      <c r="O77" s="686">
        <v>250</v>
      </c>
      <c r="P77" s="681">
        <f>(38700/1.15)*1.05+9500</f>
        <v>44834.782608695656</v>
      </c>
      <c r="Q77" s="695"/>
    </row>
    <row r="78" spans="1:20" ht="15.6">
      <c r="A78" s="670" t="s">
        <v>1074</v>
      </c>
      <c r="B78" s="692">
        <v>5000</v>
      </c>
      <c r="C78" s="688">
        <f>130*1.5*B78</f>
        <v>975000</v>
      </c>
      <c r="D78" s="670"/>
      <c r="E78" s="670" t="str">
        <f>INDEX(BESSTable6[#Headers],1)</f>
        <v>Jinko</v>
      </c>
      <c r="F78" s="670" t="str">
        <f ca="1">"PCSTable" &amp; MATCH(BESSTable6[[#This Row],[Brand]],INDIRECT("BESS_Brands[BESS Brands]"),0)</f>
        <v>PCSTable6</v>
      </c>
      <c r="G78" s="670" t="str" cm="1">
        <f t="array" aca="1" ref="G78" ca="1">IF(ISBLANK(BESSTable6[[#This Row],[PCS included?]]),_xlfn.XLOOKUP(BESSTable6[[#This Row],[Nominal kWh]]/2,INDIRECT(BESSTable6[[#This Row],[PCS Table Ref.]]&amp; "[kVA]"),INDIRECT(BESSTable6[[#This Row],[PCS Table Ref.]]&amp; "["&amp;BESSTable6[[#This Row],[Brand]]&amp;"]"),INDEX(INDIRECT(BESSTable6[[#This Row],[PCS Table Ref.]]&amp; "["&amp;BESSTable6[[#This Row],[Brand]]&amp;"]"),1),-1),"INTEGRATED PCS")</f>
        <v>250 kVA - Sinexcel PWS1-500KTL-4M + Energy Renaissance EMS</v>
      </c>
      <c r="H78" s="672" cm="1">
        <f t="array" aca="1" ref="H78" ca="1">(BESSTable6[[#This Row],[Battery Price FOB (Ex.GST)]]+IF(BESSTable6[[#This Row],[Suggested PCS]]="INTEGRATED PCS",0,_xlfn.XLOOKUP(BESSTable6[[#This Row],[Suggested PCS]],INDIRECT(BESSTable6[[#This Row],[PCS Table Ref.]]&amp;"["&amp;BESSTable6[[#This Row],[Brand]]&amp;"]"),INDIRECT(BESSTable6[[#This Row],[PCS Table Ref.]]&amp;"[PCS Price (Ex. GST)]"))))/BESSTable6[[#This Row],[Nominal kWh]]</f>
        <v>203.96695652173915</v>
      </c>
      <c r="I78" s="700"/>
      <c r="J78" s="670">
        <v>5</v>
      </c>
      <c r="K78" s="670">
        <v>5</v>
      </c>
      <c r="L78" s="670"/>
      <c r="M78" s="658" t="s">
        <v>847</v>
      </c>
      <c r="N78" s="689" t="s">
        <v>1075</v>
      </c>
      <c r="O78" s="690">
        <v>100</v>
      </c>
      <c r="P78" s="690">
        <f>19500+4800+10500</f>
        <v>34800</v>
      </c>
      <c r="Q78" s="689"/>
    </row>
    <row r="79" spans="1:20">
      <c r="M79" s="658" t="s">
        <v>847</v>
      </c>
    </row>
    <row r="80" spans="1:20" ht="31.2">
      <c r="A80" s="667" t="s">
        <v>1076</v>
      </c>
      <c r="B80" s="667" t="s">
        <v>887</v>
      </c>
      <c r="C80" s="667" t="s">
        <v>888</v>
      </c>
      <c r="D80" s="667" t="s">
        <v>889</v>
      </c>
      <c r="E80" s="667" t="s">
        <v>435</v>
      </c>
      <c r="F80" s="667" t="s">
        <v>890</v>
      </c>
      <c r="G80" s="667" t="s">
        <v>891</v>
      </c>
      <c r="H80" s="667" t="s">
        <v>892</v>
      </c>
      <c r="I80" s="667" t="s">
        <v>692</v>
      </c>
      <c r="J80" s="778" t="s">
        <v>566</v>
      </c>
      <c r="K80" s="778" t="s">
        <v>395</v>
      </c>
      <c r="L80" s="778" t="s">
        <v>893</v>
      </c>
      <c r="M80" s="658"/>
      <c r="N80" s="683" t="s">
        <v>1076</v>
      </c>
      <c r="O80" s="679" t="s">
        <v>894</v>
      </c>
      <c r="P80" s="680" t="s">
        <v>895</v>
      </c>
      <c r="Q80" s="696" t="s">
        <v>692</v>
      </c>
    </row>
    <row r="81" spans="1:17" ht="15.6">
      <c r="A81" s="670" t="s">
        <v>1077</v>
      </c>
      <c r="B81" s="692">
        <v>48</v>
      </c>
      <c r="C81" s="688">
        <v>23316</v>
      </c>
      <c r="D81" s="670"/>
      <c r="E81" s="670" t="str">
        <f>INDEX(BESSTable7[#Headers],1)</f>
        <v>Sigenergy - SigenStack</v>
      </c>
      <c r="F81" s="670" t="str">
        <f ca="1">"PCSTable" &amp; MATCH(BESSTable7[[#This Row],[Brand]],INDIRECT("BESS_Brands[BESS Brands]"),0)</f>
        <v>PCSTable7</v>
      </c>
      <c r="G81" s="670" t="str" cm="1">
        <f t="array" aca="1" ref="G81"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1" s="672" cm="1">
        <f t="array" aca="1" ref="H81"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733.84375</v>
      </c>
      <c r="I81" s="1247" t="s">
        <v>1078</v>
      </c>
      <c r="J81" s="670">
        <v>10</v>
      </c>
      <c r="K81" s="670">
        <v>10</v>
      </c>
      <c r="L81" s="670"/>
      <c r="M81" s="658"/>
      <c r="N81" s="697" t="s">
        <v>1079</v>
      </c>
      <c r="O81" s="698">
        <v>50</v>
      </c>
      <c r="P81" s="1249">
        <v>11908.5</v>
      </c>
      <c r="Q81" s="698" t="s">
        <v>971</v>
      </c>
    </row>
    <row r="82" spans="1:17" ht="15.6">
      <c r="A82" s="670" t="s">
        <v>1080</v>
      </c>
      <c r="B82" s="692">
        <v>60</v>
      </c>
      <c r="C82" s="688">
        <v>25274</v>
      </c>
      <c r="D82" s="670"/>
      <c r="E82" s="670" t="str">
        <f>INDEX(BESSTable7[#Headers],1)</f>
        <v>Sigenergy - SigenStack</v>
      </c>
      <c r="F82" s="670" t="str">
        <f ca="1">"PCSTable" &amp; MATCH(BESSTable7[[#This Row],[Brand]],INDIRECT("BESS_Brands[BESS Brands]"),0)</f>
        <v>PCSTable7</v>
      </c>
      <c r="G82" s="670" t="str" cm="1">
        <f t="array" aca="1" ref="G82"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2" s="672" cm="1">
        <f t="array" aca="1" ref="H82"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619.70833333333337</v>
      </c>
      <c r="I82" s="1247" t="s">
        <v>1078</v>
      </c>
      <c r="J82" s="670">
        <v>10</v>
      </c>
      <c r="K82" s="670">
        <v>10</v>
      </c>
      <c r="L82" s="670"/>
      <c r="M82" s="658"/>
      <c r="N82" s="670" t="s">
        <v>1081</v>
      </c>
      <c r="O82" s="673">
        <v>100</v>
      </c>
      <c r="P82" s="1250">
        <v>14499.5</v>
      </c>
      <c r="Q82" s="673" t="s">
        <v>971</v>
      </c>
    </row>
    <row r="83" spans="1:17" ht="15.6">
      <c r="A83" s="670" t="s">
        <v>1082</v>
      </c>
      <c r="B83" s="692">
        <v>72</v>
      </c>
      <c r="C83" s="688">
        <v>30076</v>
      </c>
      <c r="D83" s="670"/>
      <c r="E83" s="670" t="str">
        <f>INDEX(BESSTable7[#Headers],1)</f>
        <v>Sigenergy - SigenStack</v>
      </c>
      <c r="F83" s="670" t="str">
        <f ca="1">"PCSTable" &amp; MATCH(BESSTable7[[#This Row],[Brand]],INDIRECT("BESS_Brands[BESS Brands]"),0)</f>
        <v>PCSTable7</v>
      </c>
      <c r="G83" s="670" t="str" cm="1">
        <f t="array" aca="1" ref="G83"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3" s="672" cm="1">
        <f t="array" aca="1" ref="H83"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583.11805555555554</v>
      </c>
      <c r="I83" s="1247" t="s">
        <v>1078</v>
      </c>
      <c r="J83" s="670">
        <v>10</v>
      </c>
      <c r="K83" s="670">
        <v>10</v>
      </c>
      <c r="L83" s="670"/>
      <c r="M83" s="658"/>
      <c r="N83" s="697" t="s">
        <v>1083</v>
      </c>
      <c r="O83" s="698">
        <v>110</v>
      </c>
      <c r="P83" s="1249">
        <v>14688.5</v>
      </c>
      <c r="Q83" s="698" t="s">
        <v>971</v>
      </c>
    </row>
    <row r="84" spans="1:17" ht="15.6">
      <c r="A84" s="670" t="s">
        <v>1084</v>
      </c>
      <c r="B84" s="692">
        <v>84</v>
      </c>
      <c r="C84" s="688">
        <v>34878</v>
      </c>
      <c r="D84" s="670"/>
      <c r="E84" s="670" t="str">
        <f>INDEX(BESSTable7[#Headers],1)</f>
        <v>Sigenergy - SigenStack</v>
      </c>
      <c r="F84" s="670" t="str">
        <f ca="1">"PCSTable" &amp; MATCH(BESSTable7[[#This Row],[Brand]],INDIRECT("BESS_Brands[BESS Brands]"),0)</f>
        <v>PCSTable7</v>
      </c>
      <c r="G84" s="670" t="str" cm="1">
        <f t="array" aca="1" ref="G84"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4" s="672" cm="1">
        <f t="array" aca="1" ref="H84"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556.98214285714289</v>
      </c>
      <c r="I84" s="1247" t="s">
        <v>1078</v>
      </c>
      <c r="J84" s="670">
        <v>10</v>
      </c>
      <c r="K84" s="670">
        <v>10</v>
      </c>
      <c r="L84" s="670"/>
      <c r="M84" s="658"/>
      <c r="N84" s="670" t="s">
        <v>1085</v>
      </c>
      <c r="O84" s="673">
        <v>125</v>
      </c>
      <c r="P84" s="1250">
        <v>15092.5</v>
      </c>
      <c r="Q84" s="673" t="s">
        <v>971</v>
      </c>
    </row>
    <row r="85" spans="1:17" ht="15.6">
      <c r="A85" s="670" t="s">
        <v>1086</v>
      </c>
      <c r="B85" s="692">
        <v>96</v>
      </c>
      <c r="C85" s="688">
        <v>46632</v>
      </c>
      <c r="D85" s="670"/>
      <c r="E85" s="670" t="str">
        <f>INDEX(BESSTable7[#Headers],1)</f>
        <v>Sigenergy - SigenStack</v>
      </c>
      <c r="F85" s="670" t="str">
        <f ca="1">"PCSTable" &amp; MATCH(BESSTable7[[#This Row],[Brand]],INDIRECT("BESS_Brands[BESS Brands]"),0)</f>
        <v>PCSTable7</v>
      </c>
      <c r="G85" s="670" t="str" cm="1">
        <f t="array" aca="1" ref="G85"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5" s="672" cm="1">
        <f t="array" aca="1" ref="H85"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609.796875</v>
      </c>
      <c r="I85" s="1247" t="s">
        <v>1078</v>
      </c>
      <c r="J85" s="670">
        <v>10</v>
      </c>
      <c r="K85" s="670">
        <v>10</v>
      </c>
      <c r="L85" s="670"/>
      <c r="M85" s="658"/>
      <c r="N85" s="697" t="s">
        <v>1087</v>
      </c>
      <c r="O85" s="698">
        <v>50</v>
      </c>
      <c r="P85" s="1249">
        <v>11908.5</v>
      </c>
      <c r="Q85" s="1251" t="s">
        <v>1088</v>
      </c>
    </row>
    <row r="86" spans="1:17" ht="15.6">
      <c r="A86" s="670" t="s">
        <v>1089</v>
      </c>
      <c r="B86" s="692">
        <v>108</v>
      </c>
      <c r="C86" s="688">
        <v>48590</v>
      </c>
      <c r="D86" s="670"/>
      <c r="E86" s="670" t="str">
        <f>INDEX(BESSTable7[#Headers],1)</f>
        <v>Sigenergy - SigenStack</v>
      </c>
      <c r="F86" s="670" t="str">
        <f ca="1">"PCSTable" &amp; MATCH(BESSTable7[[#This Row],[Brand]],INDIRECT("BESS_Brands[BESS Brands]"),0)</f>
        <v>PCSTable7</v>
      </c>
      <c r="G86" s="670" t="str" cm="1">
        <f t="array" aca="1" ref="G86"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6" s="672" cm="1">
        <f t="array" aca="1" ref="H86"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560.1712962962963</v>
      </c>
      <c r="I86" s="1247" t="s">
        <v>1078</v>
      </c>
      <c r="J86" s="670">
        <v>10</v>
      </c>
      <c r="K86" s="670">
        <v>10</v>
      </c>
      <c r="L86" s="670"/>
      <c r="M86" s="658"/>
      <c r="N86" s="670" t="s">
        <v>1090</v>
      </c>
      <c r="O86" s="673">
        <v>100</v>
      </c>
      <c r="P86" s="1250">
        <v>14499.5</v>
      </c>
      <c r="Q86" s="673" t="s">
        <v>1088</v>
      </c>
    </row>
    <row r="87" spans="1:17" ht="15.6">
      <c r="A87" s="670" t="s">
        <v>1091</v>
      </c>
      <c r="B87" s="692">
        <v>120</v>
      </c>
      <c r="C87" s="688">
        <v>50548</v>
      </c>
      <c r="D87" s="670"/>
      <c r="E87" s="670" t="str">
        <f>INDEX(BESSTable7[#Headers],1)</f>
        <v>Sigenergy - SigenStack</v>
      </c>
      <c r="F87" s="670" t="str">
        <f ca="1">"PCSTable" &amp; MATCH(BESSTable7[[#This Row],[Brand]],INDIRECT("BESS_Brands[BESS Brands]"),0)</f>
        <v>PCSTable7</v>
      </c>
      <c r="G87" s="670" t="str" cm="1">
        <f t="array" aca="1" ref="G87"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7" s="672" cm="1">
        <f t="array" aca="1" ref="H87"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520.4708333333333</v>
      </c>
      <c r="I87" s="1247" t="s">
        <v>1078</v>
      </c>
      <c r="J87" s="670">
        <v>10</v>
      </c>
      <c r="K87" s="670">
        <v>10</v>
      </c>
      <c r="L87" s="670"/>
      <c r="M87" s="658"/>
      <c r="N87" s="697" t="s">
        <v>1092</v>
      </c>
      <c r="O87" s="698">
        <v>110</v>
      </c>
      <c r="P87" s="1249">
        <v>14688.5</v>
      </c>
      <c r="Q87" s="698" t="s">
        <v>1088</v>
      </c>
    </row>
    <row r="88" spans="1:17" ht="15.6">
      <c r="A88" s="670" t="s">
        <v>1093</v>
      </c>
      <c r="B88" s="692">
        <v>132</v>
      </c>
      <c r="C88" s="688">
        <v>55350</v>
      </c>
      <c r="D88" s="670"/>
      <c r="E88" s="670" t="str">
        <f>INDEX(BESSTable7[#Headers],1)</f>
        <v>Sigenergy - SigenStack</v>
      </c>
      <c r="F88" s="670" t="str">
        <f ca="1">"PCSTable" &amp; MATCH(BESSTable7[[#This Row],[Brand]],INDIRECT("BESS_Brands[BESS Brands]"),0)</f>
        <v>PCSTable7</v>
      </c>
      <c r="G88" s="670" t="str" cm="1">
        <f t="array" aca="1" ref="G88"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8" s="672" cm="1">
        <f t="array" aca="1" ref="H88"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509.53409090909093</v>
      </c>
      <c r="I88" s="1247" t="s">
        <v>1078</v>
      </c>
      <c r="J88" s="670">
        <v>10</v>
      </c>
      <c r="K88" s="670">
        <v>10</v>
      </c>
      <c r="L88" s="670"/>
      <c r="M88" s="658"/>
    </row>
    <row r="89" spans="1:17" ht="15.6">
      <c r="A89" s="670" t="s">
        <v>1094</v>
      </c>
      <c r="B89" s="692">
        <v>144</v>
      </c>
      <c r="C89" s="688">
        <v>60152</v>
      </c>
      <c r="D89" s="670"/>
      <c r="E89" s="670" t="str">
        <f>INDEX(BESSTable7[#Headers],1)</f>
        <v>Sigenergy - SigenStack</v>
      </c>
      <c r="F89" s="670" t="str">
        <f ca="1">"PCSTable" &amp; MATCH(BESSTable7[[#This Row],[Brand]],INDIRECT("BESS_Brands[BESS Brands]"),0)</f>
        <v>PCSTable7</v>
      </c>
      <c r="G89" s="670" t="str" cm="1">
        <f t="array" aca="1" ref="G89"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89" s="672" cm="1">
        <f t="array" aca="1" ref="H89"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500.42013888888891</v>
      </c>
      <c r="I89" s="1247" t="s">
        <v>1078</v>
      </c>
      <c r="J89" s="670">
        <v>10</v>
      </c>
      <c r="K89" s="670">
        <v>10</v>
      </c>
      <c r="L89" s="670"/>
      <c r="M89" s="658"/>
      <c r="N89" s="658"/>
    </row>
    <row r="90" spans="1:17" ht="15.6">
      <c r="A90" s="670" t="s">
        <v>1095</v>
      </c>
      <c r="B90" s="692">
        <v>156</v>
      </c>
      <c r="C90" s="688">
        <v>64954</v>
      </c>
      <c r="D90" s="670"/>
      <c r="E90" s="670" t="str">
        <f>INDEX(BESSTable7[#Headers],1)</f>
        <v>Sigenergy - SigenStack</v>
      </c>
      <c r="F90" s="670" t="str">
        <f ca="1">"PCSTable" &amp; MATCH(BESSTable7[[#This Row],[Brand]],INDIRECT("BESS_Brands[BESS Brands]"),0)</f>
        <v>PCSTable7</v>
      </c>
      <c r="G90" s="670" t="str" cm="1">
        <f t="array" aca="1" ref="G90"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90" s="672" cm="1">
        <f t="array" aca="1" ref="H90"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492.70833333333331</v>
      </c>
      <c r="I90" s="1247" t="s">
        <v>1078</v>
      </c>
      <c r="J90" s="670">
        <v>10</v>
      </c>
      <c r="K90" s="670">
        <v>10</v>
      </c>
      <c r="L90" s="670"/>
      <c r="M90" s="658"/>
      <c r="N90" s="658"/>
    </row>
    <row r="91" spans="1:17" ht="15.6">
      <c r="A91" s="670" t="s">
        <v>1096</v>
      </c>
      <c r="B91" s="692">
        <v>168</v>
      </c>
      <c r="C91" s="688">
        <v>69756</v>
      </c>
      <c r="D91" s="670"/>
      <c r="E91" s="670" t="str">
        <f>INDEX(BESSTable7[#Headers],1)</f>
        <v>Sigenergy - SigenStack</v>
      </c>
      <c r="F91" s="670" t="str">
        <f ca="1">"PCSTable" &amp; MATCH(BESSTable7[[#This Row],[Brand]],INDIRECT("BESS_Brands[BESS Brands]"),0)</f>
        <v>PCSTable7</v>
      </c>
      <c r="G91" s="670" t="str" cm="1">
        <f t="array" aca="1" ref="G91"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91" s="672" cm="1">
        <f t="array" aca="1" ref="H91"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486.09821428571428</v>
      </c>
      <c r="I91" s="1247" t="s">
        <v>1078</v>
      </c>
      <c r="J91" s="670">
        <v>10</v>
      </c>
      <c r="K91" s="670">
        <v>10</v>
      </c>
      <c r="L91" s="670"/>
      <c r="M91" s="658"/>
      <c r="N91" s="658"/>
    </row>
    <row r="92" spans="1:17" ht="15.6">
      <c r="A92" s="670" t="s">
        <v>1097</v>
      </c>
      <c r="B92" s="692">
        <v>180</v>
      </c>
      <c r="C92" s="688">
        <v>75822</v>
      </c>
      <c r="D92" s="670"/>
      <c r="E92" s="670" t="str">
        <f>INDEX(BESSTable7[#Headers],1)</f>
        <v>Sigenergy - SigenStack</v>
      </c>
      <c r="F92" s="670" t="str">
        <f ca="1">"PCSTable" &amp; MATCH(BESSTable7[[#This Row],[Brand]],INDIRECT("BESS_Brands[BESS Brands]"),0)</f>
        <v>PCSTable7</v>
      </c>
      <c r="G92" s="670" t="str" cm="1">
        <f t="array" aca="1" ref="G92"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92" s="672" cm="1">
        <f t="array" aca="1" ref="H92"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487.39166666666665</v>
      </c>
      <c r="I92" s="1247" t="s">
        <v>1078</v>
      </c>
      <c r="J92" s="670">
        <v>10</v>
      </c>
      <c r="K92" s="670">
        <v>10</v>
      </c>
      <c r="L92" s="670"/>
      <c r="M92" s="658"/>
    </row>
    <row r="93" spans="1:17" ht="15.6">
      <c r="A93" s="670" t="s">
        <v>1098</v>
      </c>
      <c r="B93" s="692">
        <v>192</v>
      </c>
      <c r="C93" s="688">
        <v>80624</v>
      </c>
      <c r="D93" s="670"/>
      <c r="E93" s="670" t="str">
        <f>INDEX(BESSTable7[#Headers],1)</f>
        <v>Sigenergy - SigenStack</v>
      </c>
      <c r="F93" s="670" t="str">
        <f ca="1">"PCSTable" &amp; MATCH(BESSTable7[[#This Row],[Brand]],INDIRECT("BESS_Brands[BESS Brands]"),0)</f>
        <v>PCSTable7</v>
      </c>
      <c r="G93" s="670" t="str" cm="1">
        <f t="array" aca="1" ref="G93"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50 kVA - Sigen PV 50M1-HYA</v>
      </c>
      <c r="H93" s="672" cm="1">
        <f t="array" aca="1" ref="H93"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481.94010416666669</v>
      </c>
      <c r="I93" s="1247" t="s">
        <v>1078</v>
      </c>
      <c r="J93" s="670">
        <v>10</v>
      </c>
      <c r="K93" s="670">
        <v>10</v>
      </c>
      <c r="L93" s="670"/>
      <c r="M93" s="658"/>
    </row>
    <row r="94" spans="1:17" ht="15.6">
      <c r="A94" s="670" t="s">
        <v>1099</v>
      </c>
      <c r="B94" s="692">
        <v>204</v>
      </c>
      <c r="C94" s="688">
        <v>85426</v>
      </c>
      <c r="D94" s="670"/>
      <c r="E94" s="670" t="str">
        <f>INDEX(BESSTable7[#Headers],1)</f>
        <v>Sigenergy - SigenStack</v>
      </c>
      <c r="F94" s="670" t="str">
        <f ca="1">"PCSTable" &amp; MATCH(BESSTable7[[#This Row],[Brand]],INDIRECT("BESS_Brands[BESS Brands]"),0)</f>
        <v>PCSTable7</v>
      </c>
      <c r="G94" s="670" t="str" cm="1">
        <f t="array" aca="1" ref="G94"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100 kVA - Sigen PV 100M1-HYA</v>
      </c>
      <c r="H94" s="672" cm="1">
        <f t="array" aca="1" ref="H94"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489.83088235294116</v>
      </c>
      <c r="I94" s="1247" t="s">
        <v>1078</v>
      </c>
      <c r="J94" s="670">
        <v>10</v>
      </c>
      <c r="K94" s="670">
        <v>10</v>
      </c>
      <c r="L94" s="670"/>
      <c r="M94" s="658"/>
    </row>
    <row r="95" spans="1:17" ht="15.6">
      <c r="A95" s="670" t="s">
        <v>1100</v>
      </c>
      <c r="B95" s="692">
        <v>216</v>
      </c>
      <c r="C95" s="688">
        <v>90228</v>
      </c>
      <c r="D95" s="670"/>
      <c r="E95" s="670" t="str">
        <f>INDEX(BESSTable7[#Headers],1)</f>
        <v>Sigenergy - SigenStack</v>
      </c>
      <c r="F95" s="670" t="str">
        <f ca="1">"PCSTable" &amp; MATCH(BESSTable7[[#This Row],[Brand]],INDIRECT("BESS_Brands[BESS Brands]"),0)</f>
        <v>PCSTable7</v>
      </c>
      <c r="G95" s="670" t="str" cm="1">
        <f t="array" aca="1" ref="G95"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100 kVA - Sigen PV 100M1-HYA</v>
      </c>
      <c r="H95" s="672" cm="1">
        <f t="array" aca="1" ref="H95"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484.84953703703701</v>
      </c>
      <c r="I95" s="1247" t="s">
        <v>1078</v>
      </c>
      <c r="J95" s="670">
        <v>10</v>
      </c>
      <c r="K95" s="670">
        <v>10</v>
      </c>
      <c r="L95" s="670"/>
      <c r="M95" s="658"/>
    </row>
    <row r="96" spans="1:17" ht="15.6">
      <c r="A96" s="670" t="s">
        <v>1101</v>
      </c>
      <c r="B96" s="692">
        <v>228</v>
      </c>
      <c r="C96" s="688">
        <v>95030</v>
      </c>
      <c r="D96" s="670"/>
      <c r="E96" s="670" t="str">
        <f>INDEX(BESSTable7[#Headers],1)</f>
        <v>Sigenergy - SigenStack</v>
      </c>
      <c r="F96" s="670" t="str">
        <f ca="1">"PCSTable" &amp; MATCH(BESSTable7[[#This Row],[Brand]],INDIRECT("BESS_Brands[BESS Brands]"),0)</f>
        <v>PCSTable7</v>
      </c>
      <c r="G96" s="670" t="str" cm="1">
        <f t="array" aca="1" ref="G96"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110 kVA - Sigen PV 110M1-HYA</v>
      </c>
      <c r="H96" s="672" cm="1">
        <f t="array" aca="1" ref="H96"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481.22149122807019</v>
      </c>
      <c r="I96" s="1247" t="s">
        <v>1078</v>
      </c>
      <c r="J96" s="670">
        <v>10</v>
      </c>
      <c r="K96" s="670">
        <v>10</v>
      </c>
      <c r="L96" s="670"/>
      <c r="M96" s="658"/>
    </row>
    <row r="97" spans="1:17" ht="15.6">
      <c r="A97" s="670" t="s">
        <v>1102</v>
      </c>
      <c r="B97" s="692">
        <v>240</v>
      </c>
      <c r="C97" s="688">
        <v>99832</v>
      </c>
      <c r="D97" s="670"/>
      <c r="E97" s="670" t="str">
        <f>INDEX(BESSTable7[#Headers],1)</f>
        <v>Sigenergy - SigenStack</v>
      </c>
      <c r="F97" s="670" t="str">
        <f ca="1">"PCSTable" &amp; MATCH(BESSTable7[[#This Row],[Brand]],INDIRECT("BESS_Brands[BESS Brands]"),0)</f>
        <v>PCSTable7</v>
      </c>
      <c r="G97" s="670" t="str" cm="1">
        <f t="array" aca="1" ref="G97"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110 kVA - Sigen PV 110M1-HYA</v>
      </c>
      <c r="H97" s="672" cm="1">
        <f t="array" aca="1" ref="H97"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477.16874999999999</v>
      </c>
      <c r="I97" s="1247" t="s">
        <v>1078</v>
      </c>
      <c r="J97" s="670">
        <v>10</v>
      </c>
      <c r="K97" s="670">
        <v>10</v>
      </c>
      <c r="L97" s="670"/>
      <c r="M97" s="658"/>
    </row>
    <row r="98" spans="1:17" ht="15.6">
      <c r="A98" s="670" t="s">
        <v>1103</v>
      </c>
      <c r="B98" s="692">
        <v>252</v>
      </c>
      <c r="C98" s="688">
        <v>103117</v>
      </c>
      <c r="D98" s="670"/>
      <c r="E98" s="670" t="str">
        <f>INDEX(BESSTable7[#Headers],1)</f>
        <v>Sigenergy - SigenStack</v>
      </c>
      <c r="F98" s="670" t="str">
        <f ca="1">"PCSTable" &amp; MATCH(BESSTable7[[#This Row],[Brand]],INDIRECT("BESS_Brands[BESS Brands]"),0)</f>
        <v>PCSTable7</v>
      </c>
      <c r="G98" s="670" t="str" cm="1">
        <f t="array" aca="1" ref="G98" ca="1">IF(ISBLANK(BESSTable7[[#This Row],[PCS included?]]),_xlfn.XLOOKUP(BESSTable7[[#This Row],[Nominal kWh]]/2,INDIRECT(BESSTable7[[#This Row],[PCS Table Ref.]]&amp; "[kVA]"),INDIRECT(BESSTable7[[#This Row],[PCS Table Ref.]]&amp; "["&amp;BESSTable7[[#This Row],[Brand]]&amp;"]"),INDEX(INDIRECT(BESSTable7[[#This Row],[PCS Table Ref.]]&amp; "["&amp;BESSTable7[[#This Row],[Brand]]&amp;"]"),1),-1),"INTEGRATED PCS")</f>
        <v>125 kVA - Sigen PV 125M1-HYA</v>
      </c>
      <c r="H98" s="672" cm="1">
        <f t="array" aca="1" ref="H98" ca="1">(BESSTable7[[#This Row],[Battery Price FOB (Ex.GST)]]+IF(BESSTable7[[#This Row],[Suggested PCS]]="INTEGRATED PCS",0,_xlfn.XLOOKUP(BESSTable7[[#This Row],[Suggested PCS]],INDIRECT(BESSTable7[[#This Row],[PCS Table Ref.]]&amp;"["&amp;BESSTable7[[#This Row],[Brand]]&amp;"]"),INDIRECT(BESSTable7[[#This Row],[PCS Table Ref.]]&amp;"[PCS Price (Ex. GST)]"))))/BESSTable7[[#This Row],[Nominal kWh]]</f>
        <v>469.08531746031747</v>
      </c>
      <c r="I98" s="1247" t="s">
        <v>1078</v>
      </c>
      <c r="J98" s="670">
        <v>10</v>
      </c>
      <c r="K98" s="670">
        <v>10</v>
      </c>
      <c r="L98" s="670"/>
      <c r="M98" s="658"/>
    </row>
    <row r="99" spans="1:17">
      <c r="M99" s="658"/>
    </row>
    <row r="100" spans="1:17" ht="31.2">
      <c r="A100" s="667" t="s">
        <v>1104</v>
      </c>
      <c r="B100" s="667" t="s">
        <v>887</v>
      </c>
      <c r="C100" s="667" t="s">
        <v>888</v>
      </c>
      <c r="D100" s="667" t="s">
        <v>889</v>
      </c>
      <c r="E100" s="667" t="s">
        <v>435</v>
      </c>
      <c r="F100" s="667" t="s">
        <v>890</v>
      </c>
      <c r="G100" s="667" t="s">
        <v>891</v>
      </c>
      <c r="H100" s="667" t="s">
        <v>892</v>
      </c>
      <c r="I100" s="667" t="s">
        <v>692</v>
      </c>
      <c r="J100" s="778" t="s">
        <v>566</v>
      </c>
      <c r="K100" s="778" t="s">
        <v>395</v>
      </c>
      <c r="L100" s="778" t="s">
        <v>893</v>
      </c>
      <c r="M100" s="658" t="s">
        <v>847</v>
      </c>
      <c r="N100" s="683" t="s">
        <v>1104</v>
      </c>
      <c r="O100" s="679" t="s">
        <v>894</v>
      </c>
      <c r="P100" s="680" t="s">
        <v>895</v>
      </c>
      <c r="Q100" s="699" t="s">
        <v>692</v>
      </c>
    </row>
    <row r="101" spans="1:17" ht="15.6">
      <c r="A101" s="670" t="s">
        <v>1105</v>
      </c>
      <c r="B101" s="670">
        <v>233</v>
      </c>
      <c r="C101" s="671">
        <f>50462*1.55*1.05</f>
        <v>82126.905000000013</v>
      </c>
      <c r="D101" s="670" t="s">
        <v>783</v>
      </c>
      <c r="E101" s="670" t="str">
        <f>INDEX(BESSTable8[#Headers],1)</f>
        <v>RCT</v>
      </c>
      <c r="F101" s="670" t="str">
        <f ca="1">"PCSTable" &amp; MATCH(BESSTable8[[#This Row],[Brand]],INDIRECT("BESS_Brands[BESS Brands]"),0)</f>
        <v>PCSTable8</v>
      </c>
      <c r="G101" s="670" t="str" cm="1">
        <f t="array" aca="1" ref="G101" ca="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f>
        <v>INTEGRATED PCS</v>
      </c>
      <c r="H101" s="671" cm="1">
        <f t="array" aca="1" ref="H101" ca="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f>
        <v>352.47598712446359</v>
      </c>
      <c r="I101" s="1238" t="s">
        <v>1106</v>
      </c>
      <c r="J101" s="1225">
        <v>5</v>
      </c>
      <c r="K101" s="1225">
        <v>10</v>
      </c>
      <c r="L101" s="1225"/>
      <c r="M101" s="658" t="s">
        <v>847</v>
      </c>
      <c r="N101" s="697" t="s">
        <v>1107</v>
      </c>
      <c r="O101" s="673">
        <v>100</v>
      </c>
      <c r="P101" s="673">
        <v>0</v>
      </c>
      <c r="Q101" s="673"/>
    </row>
    <row r="102" spans="1:17" ht="15.6">
      <c r="A102" s="670" t="s">
        <v>1108</v>
      </c>
      <c r="B102" s="670">
        <v>466</v>
      </c>
      <c r="C102" s="671">
        <f>117055*1.55*1.05</f>
        <v>190507.01250000001</v>
      </c>
      <c r="D102" s="670" t="s">
        <v>783</v>
      </c>
      <c r="E102" s="670" t="str">
        <f>INDEX(BESSTable8[#Headers],1)</f>
        <v>RCT</v>
      </c>
      <c r="F102" s="670" t="str">
        <f ca="1">"PCSTable" &amp; MATCH(BESSTable8[[#This Row],[Brand]],INDIRECT("BESS_Brands[BESS Brands]"),0)</f>
        <v>PCSTable8</v>
      </c>
      <c r="G102" s="670" t="str" cm="1">
        <f t="array" aca="1" ref="G102" ca="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f>
        <v>INTEGRATED PCS</v>
      </c>
      <c r="H102" s="671" cm="1">
        <f t="array" aca="1" ref="H102" ca="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f>
        <v>408.81333154506439</v>
      </c>
      <c r="I102" s="670"/>
      <c r="J102" s="670">
        <v>5</v>
      </c>
      <c r="K102" s="670">
        <v>10</v>
      </c>
      <c r="L102" s="670"/>
      <c r="M102" s="658" t="s">
        <v>847</v>
      </c>
      <c r="N102" s="670" t="s">
        <v>1109</v>
      </c>
      <c r="O102" s="673">
        <v>250</v>
      </c>
      <c r="P102" s="673">
        <v>0</v>
      </c>
      <c r="Q102" s="673"/>
    </row>
    <row r="103" spans="1:17" ht="15.6">
      <c r="A103" s="670" t="s">
        <v>1110</v>
      </c>
      <c r="B103" s="670">
        <v>699</v>
      </c>
      <c r="C103" s="671">
        <f>150711*1.55*1.05</f>
        <v>245282.15250000003</v>
      </c>
      <c r="D103" s="670" t="s">
        <v>783</v>
      </c>
      <c r="E103" s="670" t="str">
        <f>INDEX(BESSTable8[#Headers],1)</f>
        <v>RCT</v>
      </c>
      <c r="F103" s="670" t="str">
        <f ca="1">"PCSTable" &amp; MATCH(BESSTable8[[#This Row],[Brand]],INDIRECT("BESS_Brands[BESS Brands]"),0)</f>
        <v>PCSTable8</v>
      </c>
      <c r="G103" s="670" t="str" cm="1">
        <f t="array" aca="1" ref="G103" ca="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f>
        <v>INTEGRATED PCS</v>
      </c>
      <c r="H103" s="671" cm="1">
        <f t="array" aca="1" ref="H103" ca="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f>
        <v>350.90436695278976</v>
      </c>
      <c r="I103" s="670"/>
      <c r="J103" s="670">
        <v>5</v>
      </c>
      <c r="K103" s="670">
        <v>10</v>
      </c>
      <c r="L103" s="670"/>
      <c r="M103" s="658" t="s">
        <v>847</v>
      </c>
      <c r="N103" s="697" t="s">
        <v>1111</v>
      </c>
      <c r="O103" s="673">
        <v>375</v>
      </c>
      <c r="P103" s="673">
        <v>0</v>
      </c>
      <c r="Q103" s="673"/>
    </row>
    <row r="104" spans="1:17" ht="15.6">
      <c r="A104" s="670" t="s">
        <v>1112</v>
      </c>
      <c r="B104" s="670">
        <v>932</v>
      </c>
      <c r="C104" s="671">
        <f>183122*1.55*1.05</f>
        <v>298031.05500000005</v>
      </c>
      <c r="D104" s="670" t="s">
        <v>783</v>
      </c>
      <c r="E104" s="670" t="str">
        <f>INDEX(BESSTable8[#Headers],1)</f>
        <v>RCT</v>
      </c>
      <c r="F104" s="670" t="str">
        <f ca="1">"PCSTable" &amp; MATCH(BESSTable8[[#This Row],[Brand]],INDIRECT("BESS_Brands[BESS Brands]"),0)</f>
        <v>PCSTable8</v>
      </c>
      <c r="G104" s="670" t="str" cm="1">
        <f t="array" aca="1" ref="G104" ca="1">IF(ISBLANK(BESSTable8[[#This Row],[PCS included?]]),_xlfn.XLOOKUP(BESSTable8[[#This Row],[Nominal kWh]]/2,INDIRECT(BESSTable8[[#This Row],[PCS Table Ref.]]&amp; "[kVA]"),INDIRECT(BESSTable8[[#This Row],[PCS Table Ref.]]&amp; "["&amp;BESSTable8[[#This Row],[Brand]]&amp;"]"),INDEX(INDIRECT(BESSTable8[[#This Row],[PCS Table Ref.]]&amp; "["&amp;BESSTable8[[#This Row],[Brand]]&amp;"]"),1),-1),"INTEGRATED PCS")</f>
        <v>INTEGRATED PCS</v>
      </c>
      <c r="H104" s="671" cm="1">
        <f t="array" aca="1" ref="H104" ca="1">(BESSTable8[[#This Row],[Battery Price FOB (Ex.GST)]]+IF(BESSTable8[[#This Row],[Suggested PCS]]="INTEGRATED PCS",0,_xlfn.XLOOKUP(BESSTable8[[#This Row],[Suggested PCS]],INDIRECT(BESSTable8[[#This Row],[PCS Table Ref.]]&amp;"["&amp;BESSTable8[[#This Row],[Brand]]&amp;"]"),INDIRECT(BESSTable8[[#This Row],[PCS Table Ref.]]&amp;"[PCS Price (Ex. GST)]"))))/BESSTable8[[#This Row],[Nominal kWh]]</f>
        <v>319.77581008583695</v>
      </c>
      <c r="I104" s="670"/>
      <c r="J104" s="670">
        <v>5</v>
      </c>
      <c r="K104" s="670">
        <v>10</v>
      </c>
      <c r="L104" s="670"/>
      <c r="M104" s="658" t="s">
        <v>847</v>
      </c>
      <c r="N104" s="670" t="s">
        <v>1113</v>
      </c>
      <c r="O104" s="673">
        <v>500</v>
      </c>
      <c r="P104" s="673">
        <v>0</v>
      </c>
      <c r="Q104" s="673"/>
    </row>
    <row r="105" spans="1:17">
      <c r="M105" s="658" t="s">
        <v>847</v>
      </c>
    </row>
    <row r="106" spans="1:17" ht="33.75" customHeight="1">
      <c r="A106" s="1225" t="s">
        <v>1114</v>
      </c>
      <c r="B106" s="1225" t="s">
        <v>887</v>
      </c>
      <c r="C106" s="670" t="s">
        <v>888</v>
      </c>
      <c r="D106" s="670" t="s">
        <v>889</v>
      </c>
      <c r="E106" s="670" t="s">
        <v>435</v>
      </c>
      <c r="F106" s="670" t="s">
        <v>890</v>
      </c>
      <c r="G106" s="670" t="s">
        <v>891</v>
      </c>
      <c r="H106" s="670" t="s">
        <v>892</v>
      </c>
      <c r="I106" s="670" t="s">
        <v>692</v>
      </c>
      <c r="J106" s="670" t="s">
        <v>566</v>
      </c>
      <c r="K106" s="670" t="s">
        <v>395</v>
      </c>
      <c r="L106" s="670" t="s">
        <v>893</v>
      </c>
      <c r="M106" s="658" t="s">
        <v>847</v>
      </c>
      <c r="N106" s="683" t="s">
        <v>1114</v>
      </c>
      <c r="O106" s="679" t="s">
        <v>894</v>
      </c>
      <c r="P106" s="680" t="s">
        <v>895</v>
      </c>
      <c r="Q106" s="696" t="s">
        <v>692</v>
      </c>
    </row>
    <row r="107" spans="1:17">
      <c r="A107" s="1225" t="s">
        <v>1115</v>
      </c>
      <c r="B107" s="670">
        <v>5</v>
      </c>
      <c r="C107" s="1252">
        <v>2705</v>
      </c>
      <c r="D107" s="1225"/>
      <c r="E107" s="1225" t="str">
        <f>BESSTable9[[#Headers],[Sigenergy - SigenStor]]</f>
        <v>Sigenergy - SigenStor</v>
      </c>
      <c r="F107" s="1225" t="str">
        <f ca="1">"PCSTable" &amp; MATCH(BESSTable9[[#This Row],[Brand]],INDIRECT("BESS_Brands[BESS Brands]"),0)</f>
        <v>PCSTable9</v>
      </c>
      <c r="G107" s="670" t="str" cm="1">
        <f t="array" aca="1" ref="G107"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5 kVA - SigenStor EC 5.0 SP Single Phase</v>
      </c>
      <c r="H107" s="1252" cm="1">
        <f t="array" aca="1" ref="H107"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798</v>
      </c>
      <c r="I107" s="1238" t="s">
        <v>1116</v>
      </c>
      <c r="J107" s="670">
        <v>10</v>
      </c>
      <c r="K107" s="670">
        <v>10</v>
      </c>
      <c r="L107" s="670"/>
      <c r="M107" s="658" t="s">
        <v>847</v>
      </c>
      <c r="N107" s="697" t="s">
        <v>1117</v>
      </c>
      <c r="O107" s="698">
        <v>5</v>
      </c>
      <c r="P107" s="698">
        <v>1285</v>
      </c>
      <c r="Q107" s="1251" t="s">
        <v>1118</v>
      </c>
    </row>
    <row r="108" spans="1:17">
      <c r="A108" s="1225" t="s">
        <v>1119</v>
      </c>
      <c r="B108" s="670">
        <v>8</v>
      </c>
      <c r="C108" s="1252">
        <v>3080</v>
      </c>
      <c r="D108" s="1225"/>
      <c r="E108" s="1225" t="str">
        <f>BESSTable9[[#Headers],[Sigenergy - SigenStor]]</f>
        <v>Sigenergy - SigenStor</v>
      </c>
      <c r="F108" s="1225" t="str">
        <f ca="1">"PCSTable" &amp; MATCH(BESSTable9[[#This Row],[Brand]],INDIRECT("BESS_Brands[BESS Brands]"),0)</f>
        <v>PCSTable9</v>
      </c>
      <c r="G108" s="670" t="str" cm="1">
        <f t="array" aca="1" ref="G108"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5 kVA - SigenStor EC 5.0 SP Single Phase</v>
      </c>
      <c r="H108" s="1252" cm="1">
        <f t="array" aca="1" ref="H108"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545.625</v>
      </c>
      <c r="I108" s="1238" t="s">
        <v>1116</v>
      </c>
      <c r="J108" s="670">
        <v>10</v>
      </c>
      <c r="K108" s="670">
        <v>10</v>
      </c>
      <c r="L108" s="670"/>
      <c r="M108" s="658" t="s">
        <v>847</v>
      </c>
      <c r="N108" s="1225" t="s">
        <v>1120</v>
      </c>
      <c r="O108" s="673">
        <v>6</v>
      </c>
      <c r="P108" s="673">
        <v>1389</v>
      </c>
      <c r="Q108" s="1251" t="s">
        <v>1118</v>
      </c>
    </row>
    <row r="109" spans="1:17">
      <c r="A109" s="1225" t="s">
        <v>1121</v>
      </c>
      <c r="B109" s="670">
        <v>10</v>
      </c>
      <c r="C109" s="1252">
        <v>5410</v>
      </c>
      <c r="D109" s="1225"/>
      <c r="E109" s="1225" t="str">
        <f>BESSTable9[[#Headers],[Sigenergy - SigenStor]]</f>
        <v>Sigenergy - SigenStor</v>
      </c>
      <c r="F109" s="1225" t="str">
        <f ca="1">"PCSTable" &amp; MATCH(BESSTable9[[#This Row],[Brand]],INDIRECT("BESS_Brands[BESS Brands]"),0)</f>
        <v>PCSTable9</v>
      </c>
      <c r="G109" s="670" t="str" cm="1">
        <f t="array" aca="1" ref="G109"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5 kVA - SigenStor EC 5.0 SP Single Phase</v>
      </c>
      <c r="H109" s="1252" cm="1">
        <f t="array" aca="1" ref="H109"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669.5</v>
      </c>
      <c r="I109" s="1238" t="s">
        <v>1116</v>
      </c>
      <c r="J109" s="670">
        <v>10</v>
      </c>
      <c r="K109" s="670">
        <v>10</v>
      </c>
      <c r="L109" s="670"/>
      <c r="M109" s="658" t="s">
        <v>847</v>
      </c>
      <c r="N109" s="1253" t="s">
        <v>1122</v>
      </c>
      <c r="O109" s="698">
        <v>8</v>
      </c>
      <c r="P109" s="698">
        <v>2374</v>
      </c>
      <c r="Q109" s="1251" t="s">
        <v>1118</v>
      </c>
    </row>
    <row r="110" spans="1:17">
      <c r="A110" s="1225" t="s">
        <v>1123</v>
      </c>
      <c r="B110" s="670">
        <v>13</v>
      </c>
      <c r="C110" s="1252">
        <v>5785</v>
      </c>
      <c r="D110" s="1225"/>
      <c r="E110" s="1225" t="str">
        <f>BESSTable9[[#Headers],[Sigenergy - SigenStor]]</f>
        <v>Sigenergy - SigenStor</v>
      </c>
      <c r="F110" s="1225" t="str">
        <f ca="1">"PCSTable" &amp; MATCH(BESSTable9[[#This Row],[Brand]],INDIRECT("BESS_Brands[BESS Brands]"),0)</f>
        <v>PCSTable9</v>
      </c>
      <c r="G110" s="670" t="str" cm="1">
        <f t="array" aca="1" ref="G110"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6 kVA - SigenStor EC 6.0 SP Single Phase</v>
      </c>
      <c r="H110" s="1252" cm="1">
        <f t="array" aca="1" ref="H110"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551.84615384615381</v>
      </c>
      <c r="I110" s="1238" t="s">
        <v>1116</v>
      </c>
      <c r="J110" s="670">
        <v>10</v>
      </c>
      <c r="K110" s="670">
        <v>10</v>
      </c>
      <c r="L110" s="670"/>
      <c r="M110" s="658" t="s">
        <v>847</v>
      </c>
      <c r="N110" s="670" t="s">
        <v>1124</v>
      </c>
      <c r="O110" s="673">
        <v>10</v>
      </c>
      <c r="P110" s="673">
        <v>2559</v>
      </c>
      <c r="Q110" s="1251" t="s">
        <v>1118</v>
      </c>
    </row>
    <row r="111" spans="1:17">
      <c r="A111" s="1225" t="s">
        <v>1125</v>
      </c>
      <c r="B111" s="670">
        <v>16</v>
      </c>
      <c r="C111" s="1252">
        <v>6160</v>
      </c>
      <c r="D111" s="1225"/>
      <c r="E111" s="1225" t="str">
        <f>BESSTable9[[#Headers],[Sigenergy - SigenStor]]</f>
        <v>Sigenergy - SigenStor</v>
      </c>
      <c r="F111" s="1225" t="str">
        <f ca="1">"PCSTable" &amp; MATCH(BESSTable9[[#This Row],[Brand]],INDIRECT("BESS_Brands[BESS Brands]"),0)</f>
        <v>PCSTable9</v>
      </c>
      <c r="G111" s="670" t="str" cm="1">
        <f t="array" aca="1" ref="G111"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8 kVA - SigenStor EC 8.0 SP Single Phase</v>
      </c>
      <c r="H111" s="1252" cm="1">
        <f t="array" aca="1" ref="H111"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533.375</v>
      </c>
      <c r="I111" s="1238" t="s">
        <v>1116</v>
      </c>
      <c r="J111" s="670">
        <v>10</v>
      </c>
      <c r="K111" s="670">
        <v>10</v>
      </c>
      <c r="L111" s="670"/>
      <c r="M111" s="658" t="s">
        <v>847</v>
      </c>
      <c r="N111" s="670" t="s">
        <v>1126</v>
      </c>
      <c r="O111" s="673">
        <v>12</v>
      </c>
      <c r="P111" s="673">
        <v>2745</v>
      </c>
      <c r="Q111" s="1251" t="s">
        <v>1118</v>
      </c>
    </row>
    <row r="112" spans="1:17">
      <c r="A112" s="1225" t="s">
        <v>1127</v>
      </c>
      <c r="B112" s="670">
        <v>15</v>
      </c>
      <c r="C112" s="1252">
        <v>8115</v>
      </c>
      <c r="D112" s="1225"/>
      <c r="E112" s="1225" t="str">
        <f>BESSTable9[[#Headers],[Sigenergy - SigenStor]]</f>
        <v>Sigenergy - SigenStor</v>
      </c>
      <c r="F112" s="1225" t="str">
        <f ca="1">"PCSTable" &amp; MATCH(BESSTable9[[#This Row],[Brand]],INDIRECT("BESS_Brands[BESS Brands]"),0)</f>
        <v>PCSTable9</v>
      </c>
      <c r="G112" s="670" t="str" cm="1">
        <f t="array" aca="1" ref="G112"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6 kVA - SigenStor EC 6.0 SP Single Phase</v>
      </c>
      <c r="H112" s="1252" cm="1">
        <f t="array" aca="1" ref="H112"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633.6</v>
      </c>
      <c r="I112" s="1238" t="s">
        <v>1116</v>
      </c>
      <c r="J112" s="670">
        <v>10</v>
      </c>
      <c r="K112" s="670">
        <v>10</v>
      </c>
      <c r="L112" s="670"/>
      <c r="M112" s="658" t="s">
        <v>847</v>
      </c>
      <c r="N112" s="670" t="s">
        <v>1128</v>
      </c>
      <c r="O112" s="673">
        <v>5</v>
      </c>
      <c r="P112" s="673">
        <v>2200</v>
      </c>
      <c r="Q112" s="1251" t="s">
        <v>1118</v>
      </c>
    </row>
    <row r="113" spans="1:17">
      <c r="A113" s="1225" t="s">
        <v>1129</v>
      </c>
      <c r="B113" s="670">
        <v>18</v>
      </c>
      <c r="C113" s="1252">
        <v>8490</v>
      </c>
      <c r="D113" s="1225"/>
      <c r="E113" s="1225" t="str">
        <f>BESSTable9[[#Headers],[Sigenergy - SigenStor]]</f>
        <v>Sigenergy - SigenStor</v>
      </c>
      <c r="F113" s="1225" t="str">
        <f ca="1">"PCSTable" &amp; MATCH(BESSTable9[[#This Row],[Brand]],INDIRECT("BESS_Brands[BESS Brands]"),0)</f>
        <v>PCSTable9</v>
      </c>
      <c r="G113" s="670" t="str" cm="1">
        <f t="array" aca="1" ref="G113"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8 kVA - SigenStor EC 8.0 SP Single Phase</v>
      </c>
      <c r="H113" s="1252" cm="1">
        <f t="array" aca="1" ref="H113"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603.55555555555554</v>
      </c>
      <c r="I113" s="1238" t="s">
        <v>1116</v>
      </c>
      <c r="J113" s="670">
        <v>10</v>
      </c>
      <c r="K113" s="670">
        <v>10</v>
      </c>
      <c r="L113" s="670"/>
      <c r="M113" s="658" t="s">
        <v>847</v>
      </c>
      <c r="N113" s="670" t="s">
        <v>1130</v>
      </c>
      <c r="O113" s="673">
        <v>10</v>
      </c>
      <c r="P113" s="673">
        <v>2548</v>
      </c>
      <c r="Q113" s="1251" t="s">
        <v>1118</v>
      </c>
    </row>
    <row r="114" spans="1:17">
      <c r="A114" s="1225" t="s">
        <v>1131</v>
      </c>
      <c r="B114" s="670">
        <v>21</v>
      </c>
      <c r="C114" s="1252">
        <v>8865</v>
      </c>
      <c r="D114" s="1225"/>
      <c r="E114" s="1225" t="str">
        <f>BESSTable9[[#Headers],[Sigenergy - SigenStor]]</f>
        <v>Sigenergy - SigenStor</v>
      </c>
      <c r="F114" s="1225" t="str">
        <f ca="1">"PCSTable" &amp; MATCH(BESSTable9[[#This Row],[Brand]],INDIRECT("BESS_Brands[BESS Brands]"),0)</f>
        <v>PCSTable9</v>
      </c>
      <c r="G114" s="670" t="str" cm="1">
        <f t="array" aca="1" ref="G114"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10 kVA - SigenStor EC 10.0 SP Single Phase</v>
      </c>
      <c r="H114" s="1252" cm="1">
        <f t="array" aca="1" ref="H114"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544</v>
      </c>
      <c r="I114" s="1238" t="s">
        <v>1116</v>
      </c>
      <c r="J114" s="670">
        <v>10</v>
      </c>
      <c r="K114" s="670">
        <v>10</v>
      </c>
      <c r="L114" s="670"/>
      <c r="M114" s="658" t="s">
        <v>847</v>
      </c>
      <c r="N114" s="670" t="s">
        <v>1132</v>
      </c>
      <c r="O114" s="673">
        <v>15</v>
      </c>
      <c r="P114" s="673">
        <v>3358</v>
      </c>
      <c r="Q114" s="1251" t="s">
        <v>1118</v>
      </c>
    </row>
    <row r="115" spans="1:17">
      <c r="A115" s="1225" t="s">
        <v>1133</v>
      </c>
      <c r="B115" s="670">
        <v>24</v>
      </c>
      <c r="C115" s="1252">
        <v>9240</v>
      </c>
      <c r="D115" s="670"/>
      <c r="E115" s="1225" t="str">
        <f>BESSTable9[[#Headers],[Sigenergy - SigenStor]]</f>
        <v>Sigenergy - SigenStor</v>
      </c>
      <c r="F115" s="1225" t="str">
        <f ca="1">"PCSTable" &amp; MATCH(BESSTable9[[#This Row],[Brand]],INDIRECT("BESS_Brands[BESS Brands]"),0)</f>
        <v>PCSTable9</v>
      </c>
      <c r="G115" s="670" t="str" cm="1">
        <f t="array" aca="1" ref="G115"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15" s="1252" cm="1">
        <f t="array" aca="1" ref="H115"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499.375</v>
      </c>
      <c r="I115" s="1238" t="s">
        <v>1116</v>
      </c>
      <c r="J115" s="670">
        <v>10</v>
      </c>
      <c r="K115" s="670">
        <v>10</v>
      </c>
      <c r="L115" s="670"/>
      <c r="M115" s="658" t="s">
        <v>847</v>
      </c>
      <c r="N115" s="670" t="s">
        <v>1134</v>
      </c>
      <c r="O115" s="673">
        <v>20</v>
      </c>
      <c r="P115" s="673">
        <v>3832</v>
      </c>
      <c r="Q115" s="1251" t="s">
        <v>1118</v>
      </c>
    </row>
    <row r="116" spans="1:17">
      <c r="A116" s="1225" t="s">
        <v>1135</v>
      </c>
      <c r="B116" s="670">
        <v>20</v>
      </c>
      <c r="C116" s="1254">
        <v>10820</v>
      </c>
      <c r="D116" s="670"/>
      <c r="E116" s="670" t="str">
        <f>BESSTable9[[#Headers],[Sigenergy - SigenStor]]</f>
        <v>Sigenergy - SigenStor</v>
      </c>
      <c r="F116" s="1225" t="str">
        <f ca="1">"PCSTable" &amp; MATCH(BESSTable9[[#This Row],[Brand]],INDIRECT("BESS_Brands[BESS Brands]"),0)</f>
        <v>PCSTable9</v>
      </c>
      <c r="G116" s="670" t="str" cm="1">
        <f t="array" aca="1" ref="G116"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10 kVA - SigenStor EC 10.0 SP Single Phase</v>
      </c>
      <c r="H116" s="1254" cm="1">
        <f t="array" aca="1" ref="H116"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668.95</v>
      </c>
      <c r="I116" s="1238" t="s">
        <v>1116</v>
      </c>
      <c r="J116" s="670">
        <v>10</v>
      </c>
      <c r="K116" s="670">
        <v>10</v>
      </c>
      <c r="L116" s="670"/>
      <c r="M116" s="658" t="s">
        <v>847</v>
      </c>
      <c r="N116" s="670" t="s">
        <v>1136</v>
      </c>
      <c r="O116" s="673">
        <v>25</v>
      </c>
      <c r="P116" s="673">
        <v>4400</v>
      </c>
      <c r="Q116" s="1251" t="s">
        <v>1118</v>
      </c>
    </row>
    <row r="117" spans="1:17">
      <c r="A117" s="1225" t="s">
        <v>1137</v>
      </c>
      <c r="B117" s="670">
        <v>23</v>
      </c>
      <c r="C117" s="1254">
        <v>11195</v>
      </c>
      <c r="D117" s="670"/>
      <c r="E117" s="670" t="str">
        <f>BESSTable9[[#Headers],[Sigenergy - SigenStor]]</f>
        <v>Sigenergy - SigenStor</v>
      </c>
      <c r="F117" s="1225" t="str">
        <f ca="1">"PCSTable" &amp; MATCH(BESSTable9[[#This Row],[Brand]],INDIRECT("BESS_Brands[BESS Brands]"),0)</f>
        <v>PCSTable9</v>
      </c>
      <c r="G117" s="670" t="str" cm="1">
        <f t="array" aca="1" ref="G117"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10 kVA - SigenStor EC 10.0 SP Single Phase</v>
      </c>
      <c r="H117" s="1254" cm="1">
        <f t="array" aca="1" ref="H117"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598</v>
      </c>
      <c r="I117" s="1238" t="s">
        <v>1116</v>
      </c>
      <c r="J117" s="670">
        <v>10</v>
      </c>
      <c r="K117" s="670">
        <v>10</v>
      </c>
      <c r="L117" s="670"/>
      <c r="M117" s="658" t="s">
        <v>847</v>
      </c>
      <c r="N117" s="670" t="s">
        <v>1138</v>
      </c>
      <c r="O117" s="673">
        <v>30</v>
      </c>
      <c r="P117" s="673">
        <v>4840</v>
      </c>
      <c r="Q117" s="1251" t="s">
        <v>1118</v>
      </c>
    </row>
    <row r="118" spans="1:17">
      <c r="A118" s="1225" t="s">
        <v>1139</v>
      </c>
      <c r="B118" s="670">
        <v>26</v>
      </c>
      <c r="C118" s="1254">
        <v>11570</v>
      </c>
      <c r="D118" s="670"/>
      <c r="E118" s="670" t="str">
        <f>BESSTable9[[#Headers],[Sigenergy - SigenStor]]</f>
        <v>Sigenergy - SigenStor</v>
      </c>
      <c r="F118" s="1225" t="str">
        <f ca="1">"PCSTable" &amp; MATCH(BESSTable9[[#This Row],[Brand]],INDIRECT("BESS_Brands[BESS Brands]"),0)</f>
        <v>PCSTable9</v>
      </c>
      <c r="G118" s="670" t="str" cm="1">
        <f t="array" aca="1" ref="G118"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18" s="1254" cm="1">
        <f t="array" aca="1" ref="H118"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550.57692307692309</v>
      </c>
      <c r="I118" s="1238" t="s">
        <v>1116</v>
      </c>
      <c r="J118" s="670">
        <v>10</v>
      </c>
      <c r="K118" s="670">
        <v>10</v>
      </c>
      <c r="L118" s="670"/>
      <c r="M118" s="658" t="s">
        <v>847</v>
      </c>
    </row>
    <row r="119" spans="1:17">
      <c r="A119" s="1225" t="s">
        <v>1140</v>
      </c>
      <c r="B119" s="670">
        <v>29</v>
      </c>
      <c r="C119" s="1254">
        <v>11945</v>
      </c>
      <c r="D119" s="670"/>
      <c r="E119" s="670" t="str">
        <f>BESSTable9[[#Headers],[Sigenergy - SigenStor]]</f>
        <v>Sigenergy - SigenStor</v>
      </c>
      <c r="F119" s="1225" t="str">
        <f ca="1">"PCSTable" &amp; MATCH(BESSTable9[[#This Row],[Brand]],INDIRECT("BESS_Brands[BESS Brands]"),0)</f>
        <v>PCSTable9</v>
      </c>
      <c r="G119" s="670" t="str" cm="1">
        <f t="array" aca="1" ref="G119"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19" s="1254" cm="1">
        <f t="array" aca="1" ref="H119"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506.55172413793105</v>
      </c>
      <c r="I119" s="1238" t="s">
        <v>1116</v>
      </c>
      <c r="J119" s="670">
        <v>10</v>
      </c>
      <c r="K119" s="670">
        <v>10</v>
      </c>
      <c r="L119" s="670"/>
      <c r="M119" s="658" t="s">
        <v>847</v>
      </c>
    </row>
    <row r="120" spans="1:17">
      <c r="A120" s="1225" t="s">
        <v>1141</v>
      </c>
      <c r="B120" s="670">
        <v>32</v>
      </c>
      <c r="C120" s="1254">
        <v>12320</v>
      </c>
      <c r="D120" s="670"/>
      <c r="E120" s="670" t="str">
        <f>BESSTable9[[#Headers],[Sigenergy - SigenStor]]</f>
        <v>Sigenergy - SigenStor</v>
      </c>
      <c r="F120" s="1225" t="str">
        <f ca="1">"PCSTable" &amp; MATCH(BESSTable9[[#This Row],[Brand]],INDIRECT("BESS_Brands[BESS Brands]"),0)</f>
        <v>PCSTable9</v>
      </c>
      <c r="G120" s="670" t="str" cm="1">
        <f t="array" aca="1" ref="G120"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0" s="1254" cm="1">
        <f t="array" aca="1" ref="H120"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489.9375</v>
      </c>
      <c r="I120" s="1238" t="s">
        <v>1116</v>
      </c>
      <c r="J120" s="670">
        <v>10</v>
      </c>
      <c r="K120" s="670">
        <v>10</v>
      </c>
      <c r="L120" s="670"/>
      <c r="M120" s="658" t="s">
        <v>847</v>
      </c>
    </row>
    <row r="121" spans="1:17">
      <c r="A121" s="1225" t="s">
        <v>1142</v>
      </c>
      <c r="B121" s="670">
        <v>25</v>
      </c>
      <c r="C121" s="1254">
        <v>13525</v>
      </c>
      <c r="D121" s="670"/>
      <c r="E121" s="670" t="str">
        <f>BESSTable9[[#Headers],[Sigenergy - SigenStor]]</f>
        <v>Sigenergy - SigenStor</v>
      </c>
      <c r="F121" s="1225" t="str">
        <f ca="1">"PCSTable" &amp; MATCH(BESSTable9[[#This Row],[Brand]],INDIRECT("BESS_Brands[BESS Brands]"),0)</f>
        <v>PCSTable9</v>
      </c>
      <c r="G121" s="670" t="str" cm="1">
        <f t="array" aca="1" ref="G121"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21" s="1254" cm="1">
        <f t="array" aca="1" ref="H121"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650.79999999999995</v>
      </c>
      <c r="I121" s="1238" t="s">
        <v>1116</v>
      </c>
      <c r="J121" s="670">
        <v>10</v>
      </c>
      <c r="K121" s="670">
        <v>10</v>
      </c>
      <c r="L121" s="670"/>
      <c r="M121" s="658" t="s">
        <v>847</v>
      </c>
    </row>
    <row r="122" spans="1:17">
      <c r="A122" s="1225" t="s">
        <v>1143</v>
      </c>
      <c r="B122" s="670">
        <v>28</v>
      </c>
      <c r="C122" s="1254">
        <v>13900</v>
      </c>
      <c r="D122" s="670"/>
      <c r="E122" s="670" t="str">
        <f>BESSTable9[[#Headers],[Sigenergy - SigenStor]]</f>
        <v>Sigenergy - SigenStor</v>
      </c>
      <c r="F122" s="1225" t="str">
        <f ca="1">"PCSTable" &amp; MATCH(BESSTable9[[#This Row],[Brand]],INDIRECT("BESS_Brands[BESS Brands]"),0)</f>
        <v>PCSTable9</v>
      </c>
      <c r="G122" s="670" t="str" cm="1">
        <f t="array" aca="1" ref="G122"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12 kVA - SigenStor EC 12.0 SP Single Phase</v>
      </c>
      <c r="H122" s="1254" cm="1">
        <f t="array" aca="1" ref="H122"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594.46428571428567</v>
      </c>
      <c r="I122" s="1238" t="s">
        <v>1116</v>
      </c>
      <c r="J122" s="670">
        <v>10</v>
      </c>
      <c r="K122" s="670">
        <v>10</v>
      </c>
      <c r="L122" s="670"/>
      <c r="M122" s="658" t="s">
        <v>847</v>
      </c>
    </row>
    <row r="123" spans="1:17">
      <c r="A123" s="1225" t="s">
        <v>1144</v>
      </c>
      <c r="B123" s="670">
        <v>31</v>
      </c>
      <c r="C123" s="1254">
        <v>14275</v>
      </c>
      <c r="D123" s="670"/>
      <c r="E123" s="670" t="str">
        <f>BESSTable9[[#Headers],[Sigenergy - SigenStor]]</f>
        <v>Sigenergy - SigenStor</v>
      </c>
      <c r="F123" s="1225" t="str">
        <f ca="1">"PCSTable" &amp; MATCH(BESSTable9[[#This Row],[Brand]],INDIRECT("BESS_Brands[BESS Brands]"),0)</f>
        <v>PCSTable9</v>
      </c>
      <c r="G123" s="670" t="str" cm="1">
        <f t="array" aca="1" ref="G123"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3" s="1254" cm="1">
        <f t="array" aca="1" ref="H123"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568.80645161290317</v>
      </c>
      <c r="I123" s="1238" t="s">
        <v>1116</v>
      </c>
      <c r="J123" s="670">
        <v>10</v>
      </c>
      <c r="K123" s="670">
        <v>10</v>
      </c>
      <c r="L123" s="670"/>
      <c r="M123" s="658" t="s">
        <v>847</v>
      </c>
    </row>
    <row r="124" spans="1:17">
      <c r="A124" s="1225" t="s">
        <v>1145</v>
      </c>
      <c r="B124" s="670">
        <v>34</v>
      </c>
      <c r="C124" s="1254">
        <v>14650</v>
      </c>
      <c r="D124" s="670"/>
      <c r="E124" s="670" t="str">
        <f>BESSTable9[[#Headers],[Sigenergy - SigenStor]]</f>
        <v>Sigenergy - SigenStor</v>
      </c>
      <c r="F124" s="1225" t="str">
        <f ca="1">"PCSTable" &amp; MATCH(BESSTable9[[#This Row],[Brand]],INDIRECT("BESS_Brands[BESS Brands]"),0)</f>
        <v>PCSTable9</v>
      </c>
      <c r="G124" s="670" t="str" cm="1">
        <f t="array" aca="1" ref="G124"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4" s="1254" cm="1">
        <f t="array" aca="1" ref="H124"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529.64705882352939</v>
      </c>
      <c r="I124" s="1238" t="s">
        <v>1116</v>
      </c>
      <c r="J124" s="670">
        <v>10</v>
      </c>
      <c r="K124" s="670">
        <v>10</v>
      </c>
      <c r="L124" s="670"/>
      <c r="M124" s="658" t="s">
        <v>847</v>
      </c>
    </row>
    <row r="125" spans="1:17">
      <c r="A125" s="1225" t="s">
        <v>1146</v>
      </c>
      <c r="B125" s="670">
        <v>37</v>
      </c>
      <c r="C125" s="1254">
        <v>15025</v>
      </c>
      <c r="D125" s="670"/>
      <c r="E125" s="670" t="str">
        <f>BESSTable9[[#Headers],[Sigenergy - SigenStor]]</f>
        <v>Sigenergy - SigenStor</v>
      </c>
      <c r="F125" s="1225" t="str">
        <f ca="1">"PCSTable" &amp; MATCH(BESSTable9[[#This Row],[Brand]],INDIRECT("BESS_Brands[BESS Brands]"),0)</f>
        <v>PCSTable9</v>
      </c>
      <c r="G125" s="670" t="str" cm="1">
        <f t="array" aca="1" ref="G125"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5" s="1254" cm="1">
        <f t="array" aca="1" ref="H125"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496.83783783783781</v>
      </c>
      <c r="I125" s="1238" t="s">
        <v>1116</v>
      </c>
      <c r="J125" s="670">
        <v>10</v>
      </c>
      <c r="K125" s="670">
        <v>10</v>
      </c>
      <c r="L125" s="670"/>
      <c r="M125" s="658" t="s">
        <v>847</v>
      </c>
    </row>
    <row r="126" spans="1:17">
      <c r="A126" s="1225" t="s">
        <v>1147</v>
      </c>
      <c r="B126" s="670">
        <v>40</v>
      </c>
      <c r="C126" s="1254">
        <v>15400</v>
      </c>
      <c r="D126" s="670"/>
      <c r="E126" s="670" t="str">
        <f>BESSTable9[[#Headers],[Sigenergy - SigenStor]]</f>
        <v>Sigenergy - SigenStor</v>
      </c>
      <c r="F126" s="1225" t="str">
        <f ca="1">"PCSTable" &amp; MATCH(BESSTable9[[#This Row],[Brand]],INDIRECT("BESS_Brands[BESS Brands]"),0)</f>
        <v>PCSTable9</v>
      </c>
      <c r="G126" s="670" t="str" cm="1">
        <f t="array" aca="1" ref="G126"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20 kVA - SigenStor EC 20.0 TP Three Phase</v>
      </c>
      <c r="H126" s="1254" cm="1">
        <f t="array" aca="1" ref="H126"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480.8</v>
      </c>
      <c r="I126" s="1238" t="s">
        <v>1116</v>
      </c>
      <c r="J126" s="670">
        <v>10</v>
      </c>
      <c r="K126" s="670">
        <v>10</v>
      </c>
      <c r="L126" s="670"/>
      <c r="M126" s="658" t="s">
        <v>847</v>
      </c>
    </row>
    <row r="127" spans="1:17">
      <c r="A127" s="1225" t="s">
        <v>1148</v>
      </c>
      <c r="B127" s="670">
        <v>30</v>
      </c>
      <c r="C127" s="1254">
        <v>16230</v>
      </c>
      <c r="D127" s="670"/>
      <c r="E127" s="670" t="str">
        <f>BESSTable9[[#Headers],[Sigenergy - SigenStor]]</f>
        <v>Sigenergy - SigenStor</v>
      </c>
      <c r="F127" s="1225" t="str">
        <f ca="1">"PCSTable" &amp; MATCH(BESSTable9[[#This Row],[Brand]],INDIRECT("BESS_Brands[BESS Brands]"),0)</f>
        <v>PCSTable9</v>
      </c>
      <c r="G127" s="670" t="str" cm="1">
        <f t="array" aca="1" ref="G127"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7" s="1254" cm="1">
        <f t="array" aca="1" ref="H127"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652.93333333333328</v>
      </c>
      <c r="I127" s="1238" t="s">
        <v>1116</v>
      </c>
      <c r="J127" s="670">
        <v>10</v>
      </c>
      <c r="K127" s="670">
        <v>10</v>
      </c>
      <c r="L127" s="670"/>
      <c r="M127" s="658" t="s">
        <v>847</v>
      </c>
    </row>
    <row r="128" spans="1:17">
      <c r="A128" s="1225" t="s">
        <v>1149</v>
      </c>
      <c r="B128" s="670">
        <v>33</v>
      </c>
      <c r="C128" s="1254">
        <v>16605</v>
      </c>
      <c r="D128" s="670"/>
      <c r="E128" s="670" t="str">
        <f>BESSTable9[[#Headers],[Sigenergy - SigenStor]]</f>
        <v>Sigenergy - SigenStor</v>
      </c>
      <c r="F128" s="1225" t="str">
        <f ca="1">"PCSTable" &amp; MATCH(BESSTable9[[#This Row],[Brand]],INDIRECT("BESS_Brands[BESS Brands]"),0)</f>
        <v>PCSTable9</v>
      </c>
      <c r="G128" s="670" t="str" cm="1">
        <f t="array" aca="1" ref="G128"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8" s="1254" cm="1">
        <f t="array" aca="1" ref="H128"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604.93939393939399</v>
      </c>
      <c r="I128" s="1238" t="s">
        <v>1116</v>
      </c>
      <c r="J128" s="670">
        <v>10</v>
      </c>
      <c r="K128" s="670">
        <v>10</v>
      </c>
      <c r="L128" s="670"/>
    </row>
    <row r="129" spans="1:17">
      <c r="A129" s="1225" t="s">
        <v>1150</v>
      </c>
      <c r="B129" s="670">
        <v>36</v>
      </c>
      <c r="C129" s="1254">
        <v>16980</v>
      </c>
      <c r="D129" s="670"/>
      <c r="E129" s="670" t="str">
        <f>BESSTable9[[#Headers],[Sigenergy - SigenStor]]</f>
        <v>Sigenergy - SigenStor</v>
      </c>
      <c r="F129" s="1225" t="str">
        <f ca="1">"PCSTable" &amp; MATCH(BESSTable9[[#This Row],[Brand]],INDIRECT("BESS_Brands[BESS Brands]"),0)</f>
        <v>PCSTable9</v>
      </c>
      <c r="G129" s="670" t="str" cm="1">
        <f t="array" aca="1" ref="G129"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29" s="1254" cm="1">
        <f t="array" aca="1" ref="H129"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564.94444444444446</v>
      </c>
      <c r="I129" s="1238" t="s">
        <v>1116</v>
      </c>
      <c r="J129" s="670">
        <v>10</v>
      </c>
      <c r="K129" s="670">
        <v>10</v>
      </c>
      <c r="L129" s="670"/>
    </row>
    <row r="130" spans="1:17">
      <c r="A130" s="1225" t="s">
        <v>1151</v>
      </c>
      <c r="B130" s="670">
        <v>39</v>
      </c>
      <c r="C130" s="1254">
        <v>17355</v>
      </c>
      <c r="D130" s="670"/>
      <c r="E130" s="670" t="str">
        <f>BESSTable9[[#Headers],[Sigenergy - SigenStor]]</f>
        <v>Sigenergy - SigenStor</v>
      </c>
      <c r="F130" s="1225" t="str">
        <f ca="1">"PCSTable" &amp; MATCH(BESSTable9[[#This Row],[Brand]],INDIRECT("BESS_Brands[BESS Brands]"),0)</f>
        <v>PCSTable9</v>
      </c>
      <c r="G130" s="670" t="str" cm="1">
        <f t="array" aca="1" ref="G130"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15 kVA - SigenStor EC 15.0 TP Three Phase</v>
      </c>
      <c r="H130" s="1254" cm="1">
        <f t="array" aca="1" ref="H130"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531.10256410256409</v>
      </c>
      <c r="I130" s="1238" t="s">
        <v>1116</v>
      </c>
      <c r="J130" s="670">
        <v>10</v>
      </c>
      <c r="K130" s="670">
        <v>10</v>
      </c>
      <c r="L130" s="670"/>
    </row>
    <row r="131" spans="1:17">
      <c r="A131" s="1225" t="s">
        <v>1152</v>
      </c>
      <c r="B131" s="670">
        <v>42</v>
      </c>
      <c r="C131" s="1254">
        <v>17730</v>
      </c>
      <c r="D131" s="670"/>
      <c r="E131" s="670" t="str">
        <f>BESSTable9[[#Headers],[Sigenergy - SigenStor]]</f>
        <v>Sigenergy - SigenStor</v>
      </c>
      <c r="F131" s="1225" t="str">
        <f ca="1">"PCSTable" &amp; MATCH(BESSTable9[[#This Row],[Brand]],INDIRECT("BESS_Brands[BESS Brands]"),0)</f>
        <v>PCSTable9</v>
      </c>
      <c r="G131" s="670" t="str" cm="1">
        <f t="array" aca="1" ref="G131"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20 kVA - SigenStor EC 20.0 TP Three Phase</v>
      </c>
      <c r="H131" s="1254" cm="1">
        <f t="array" aca="1" ref="H131"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513.38095238095241</v>
      </c>
      <c r="I131" s="1238" t="s">
        <v>1116</v>
      </c>
      <c r="J131" s="670">
        <v>10</v>
      </c>
      <c r="K131" s="670">
        <v>10</v>
      </c>
      <c r="L131" s="670"/>
    </row>
    <row r="132" spans="1:17">
      <c r="A132" s="1225" t="s">
        <v>1153</v>
      </c>
      <c r="B132" s="670">
        <v>45</v>
      </c>
      <c r="C132" s="1254">
        <v>18105</v>
      </c>
      <c r="D132" s="670"/>
      <c r="E132" s="670" t="str">
        <f>BESSTable9[[#Headers],[Sigenergy - SigenStor]]</f>
        <v>Sigenergy - SigenStor</v>
      </c>
      <c r="F132" s="1225" t="str">
        <f ca="1">"PCSTable" &amp; MATCH(BESSTable9[[#This Row],[Brand]],INDIRECT("BESS_Brands[BESS Brands]"),0)</f>
        <v>PCSTable9</v>
      </c>
      <c r="G132" s="670" t="str" cm="1">
        <f t="array" aca="1" ref="G132"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20 kVA - SigenStor EC 20.0 TP Three Phase</v>
      </c>
      <c r="H132" s="1254" cm="1">
        <f t="array" aca="1" ref="H132"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487.48888888888888</v>
      </c>
      <c r="I132" s="1238" t="s">
        <v>1116</v>
      </c>
      <c r="J132" s="670">
        <v>10</v>
      </c>
      <c r="K132" s="670">
        <v>10</v>
      </c>
      <c r="L132" s="670"/>
    </row>
    <row r="133" spans="1:17">
      <c r="A133" s="1225" t="s">
        <v>1154</v>
      </c>
      <c r="B133" s="670">
        <v>48</v>
      </c>
      <c r="C133" s="1254">
        <v>18480</v>
      </c>
      <c r="D133" s="670"/>
      <c r="E133" s="670" t="str">
        <f>BESSTable9[[#Headers],[Sigenergy - SigenStor]]</f>
        <v>Sigenergy - SigenStor</v>
      </c>
      <c r="F133" s="1225" t="str">
        <f ca="1">"PCSTable" &amp; MATCH(BESSTable9[[#This Row],[Brand]],INDIRECT("BESS_Brands[BESS Brands]"),0)</f>
        <v>PCSTable9</v>
      </c>
      <c r="G133" s="670" t="str" cm="1">
        <f t="array" aca="1" ref="G133" ca="1">IF(ISBLANK(BESSTable9[[#This Row],[PCS included?]]),_xlfn.XLOOKUP(BESSTable9[[#This Row],[Nominal kWh]]/2,INDIRECT(BESSTable9[[#This Row],[PCS Table Ref.]]&amp; "[kVA]"),INDIRECT(BESSTable9[[#This Row],[PCS Table Ref.]]&amp; "["&amp;BESSTable9[[#This Row],[Brand]]&amp;"]"),INDEX(INDIRECT(BESSTable9[[#This Row],[PCS Table Ref.]]&amp; "["&amp;BESSTable9[[#This Row],[Brand]]&amp;"]"),1),-1),"INTEGRATED PCS")</f>
        <v>20 kVA - SigenStor EC 20.0 TP Three Phase</v>
      </c>
      <c r="H133" s="1254" cm="1">
        <f t="array" aca="1" ref="H133" ca="1">(BESSTable9[[#This Row],[Battery Price FOB (Ex.GST)]]+IF(BESSTable9[[#This Row],[Suggested PCS]]="INTEGRATED PCS",0,_xlfn.XLOOKUP(BESSTable9[[#This Row],[Suggested PCS]],INDIRECT(BESSTable9[[#This Row],[PCS Table Ref.]]&amp;"["&amp;BESSTable9[[#This Row],[Brand]]&amp;"]"),INDIRECT(BESSTable9[[#This Row],[PCS Table Ref.]]&amp;"[PCS Price (Ex. GST)]"))))/BESSTable9[[#This Row],[Nominal kWh]]</f>
        <v>464.83333333333331</v>
      </c>
      <c r="I133" s="1238" t="s">
        <v>1116</v>
      </c>
      <c r="J133" s="670">
        <v>10</v>
      </c>
      <c r="K133" s="670">
        <v>10</v>
      </c>
      <c r="L133" s="670"/>
    </row>
    <row r="135" spans="1:17" ht="16.2" thickBot="1">
      <c r="A135" s="1016" t="s">
        <v>1155</v>
      </c>
      <c r="B135" s="1017" t="s">
        <v>887</v>
      </c>
      <c r="C135" s="1017" t="s">
        <v>888</v>
      </c>
      <c r="D135" s="1017" t="s">
        <v>889</v>
      </c>
      <c r="E135" s="1017" t="s">
        <v>435</v>
      </c>
      <c r="F135" s="1017" t="s">
        <v>890</v>
      </c>
      <c r="G135" s="1017" t="s">
        <v>891</v>
      </c>
      <c r="H135" s="1017" t="s">
        <v>892</v>
      </c>
      <c r="I135" s="1017" t="s">
        <v>692</v>
      </c>
      <c r="J135" s="1017" t="s">
        <v>566</v>
      </c>
      <c r="K135" s="1017" t="s">
        <v>395</v>
      </c>
      <c r="L135" s="1018" t="s">
        <v>893</v>
      </c>
      <c r="N135" s="1019" t="s">
        <v>1155</v>
      </c>
      <c r="O135" s="1020" t="s">
        <v>894</v>
      </c>
      <c r="P135" s="1021" t="s">
        <v>895</v>
      </c>
      <c r="Q135" s="1022" t="s">
        <v>692</v>
      </c>
    </row>
    <row r="136" spans="1:17">
      <c r="A136" s="1225" t="s">
        <v>1156</v>
      </c>
      <c r="B136" s="670">
        <v>215</v>
      </c>
      <c r="C136" s="1252">
        <f>1.52*32250</f>
        <v>49020</v>
      </c>
      <c r="D136" s="1225" t="s">
        <v>783</v>
      </c>
      <c r="E136" s="1225" t="str">
        <f>BESSTable10[[#Headers],[POWEROAD]]</f>
        <v>POWEROAD</v>
      </c>
      <c r="F136" s="1225" t="str">
        <f ca="1">"PCSTable" &amp; MATCH(BESSTable10[[#This Row],[Brand]],INDIRECT("BESS_Brands[BESS Brands]"),0)</f>
        <v>PCSTable10</v>
      </c>
      <c r="G136" s="670" t="str" cm="1">
        <f t="array" aca="1" ref="G136" ca="1">IF(ISBLANK(BESSTable10[[#This Row],[PCS included?]]),_xlfn.XLOOKUP(BESSTable10[[#This Row],[Nominal kWh]]/2,INDIRECT(BESSTable10[[#This Row],[PCS Table Ref.]]&amp; "[kVA]"),INDIRECT(BESSTable10[[#This Row],[PCS Table Ref.]]&amp; "["&amp;BESSTable10[[#This Row],[Brand]]&amp;"]"),INDEX(INDIRECT(BESSTable10[[#This Row],[PCS Table Ref.]]&amp; "["&amp;BESSTable10[[#This Row],[Brand]]&amp;"]"),1),-1),"INTEGRATED PCS")</f>
        <v>INTEGRATED PCS</v>
      </c>
      <c r="H136" s="1252" cm="1">
        <f t="array" aca="1" ref="H136" ca="1">(BESSTable10[[#This Row],[Battery Price FOB (Ex.GST)]]+IF(BESSTable10[[#This Row],[Suggested PCS]]="INTEGRATED PCS",0,_xlfn.XLOOKUP(BESSTable10[[#This Row],[Suggested PCS]],INDIRECT(BESSTable10[[#This Row],[PCS Table Ref.]]&amp;"["&amp;BESSTable10[[#This Row],[Brand]]&amp;"]"),INDIRECT(BESSTable10[[#This Row],[PCS Table Ref.]]&amp;"[PCS Price (Ex. GST)]"))))/BESSTable10[[#This Row],[Nominal kWh]]</f>
        <v>228</v>
      </c>
      <c r="I136" s="1238" t="s">
        <v>1157</v>
      </c>
      <c r="J136" s="670"/>
      <c r="K136" s="670"/>
      <c r="L136" s="670"/>
      <c r="N136" s="697" t="s">
        <v>1158</v>
      </c>
      <c r="O136" s="698">
        <v>100</v>
      </c>
      <c r="P136" s="698">
        <v>0</v>
      </c>
      <c r="Q136" s="698"/>
    </row>
    <row r="138" spans="1:17" ht="16.2" thickBot="1">
      <c r="A138" s="1016" t="s">
        <v>933</v>
      </c>
      <c r="B138" s="1017" t="s">
        <v>887</v>
      </c>
      <c r="C138" s="1017" t="s">
        <v>888</v>
      </c>
      <c r="D138" s="1017" t="s">
        <v>889</v>
      </c>
      <c r="E138" s="1017" t="s">
        <v>435</v>
      </c>
      <c r="F138" s="1017" t="s">
        <v>890</v>
      </c>
      <c r="G138" s="1017" t="s">
        <v>891</v>
      </c>
      <c r="H138" s="1017" t="s">
        <v>892</v>
      </c>
      <c r="I138" s="1017" t="s">
        <v>692</v>
      </c>
      <c r="J138" s="1017" t="s">
        <v>566</v>
      </c>
      <c r="K138" s="1017" t="s">
        <v>395</v>
      </c>
      <c r="L138" s="1018" t="s">
        <v>893</v>
      </c>
      <c r="N138" s="1019" t="s">
        <v>933</v>
      </c>
      <c r="O138" s="1020" t="s">
        <v>894</v>
      </c>
      <c r="P138" s="1021" t="s">
        <v>895</v>
      </c>
      <c r="Q138" s="1022" t="s">
        <v>692</v>
      </c>
    </row>
    <row r="139" spans="1:17">
      <c r="A139" s="1225" t="s">
        <v>1159</v>
      </c>
      <c r="B139" s="670">
        <v>261</v>
      </c>
      <c r="C139" s="1252">
        <f>1.1*(53721+18800)</f>
        <v>79773.100000000006</v>
      </c>
      <c r="D139" s="1225" t="s">
        <v>783</v>
      </c>
      <c r="E139" s="1225" t="str">
        <f>BESSTable11[[#Headers],[GoodWe]]</f>
        <v>GoodWe</v>
      </c>
      <c r="F139" s="1225" t="str">
        <f ca="1">"PCSTable" &amp; MATCH(BESSTable11[[#This Row],[Brand]],INDIRECT("BESS_Brands[BESS Brands]"),0)</f>
        <v>PCSTable11</v>
      </c>
      <c r="G139" s="670" t="str" cm="1">
        <f t="array" aca="1" ref="G139" ca="1">IF(ISBLANK(BESSTable11[[#This Row],[PCS included?]]),_xlfn.XLOOKUP(BESSTable11[[#This Row],[Nominal kWh]]/2,INDIRECT(BESSTable11[[#This Row],[PCS Table Ref.]]&amp; "[kVA]"),INDIRECT(BESSTable11[[#This Row],[PCS Table Ref.]]&amp; "["&amp;BESSTable11[[#This Row],[Brand]]&amp;"]"),INDEX(INDIRECT(BESSTable11[[#This Row],[PCS Table Ref.]]&amp; "["&amp;BESSTable11[[#This Row],[Brand]]&amp;"]"),1),-1),"INTEGRATED PCS")</f>
        <v>INTEGRATED PCS</v>
      </c>
      <c r="H139" s="1252" cm="1">
        <f t="array" aca="1" ref="H139" ca="1">(BESSTable11[[#This Row],[Battery Price FOB (Ex.GST)]]+IF(BESSTable11[[#This Row],[Suggested PCS]]="INTEGRATED PCS",0,_xlfn.XLOOKUP(BESSTable11[[#This Row],[Suggested PCS]],INDIRECT(BESSTable11[[#This Row],[PCS Table Ref.]]&amp;"["&amp;BESSTable11[[#This Row],[Brand]]&amp;"]"),INDIRECT(BESSTable11[[#This Row],[PCS Table Ref.]]&amp;"[PCS Price (Ex. GST)]"))))/BESSTable11[[#This Row],[Nominal kWh]]</f>
        <v>305.64406130268202</v>
      </c>
      <c r="I139" s="1238" t="s">
        <v>1160</v>
      </c>
      <c r="J139" s="670">
        <v>10</v>
      </c>
      <c r="K139" s="670">
        <v>10</v>
      </c>
      <c r="L139" s="670"/>
      <c r="N139" s="1253" t="s">
        <v>1161</v>
      </c>
      <c r="O139" s="698">
        <v>125</v>
      </c>
      <c r="P139" s="698">
        <v>0</v>
      </c>
      <c r="Q139" s="698"/>
    </row>
    <row r="140" spans="1:17">
      <c r="A140" s="1225" t="s">
        <v>1162</v>
      </c>
      <c r="B140" s="670">
        <v>261</v>
      </c>
      <c r="C140" s="1254">
        <v>59093.100000000006</v>
      </c>
      <c r="D140" s="1225" t="s">
        <v>783</v>
      </c>
      <c r="E140" s="670" t="str">
        <f>BESSTable11[[#Headers],[GoodWe]]</f>
        <v>GoodWe</v>
      </c>
      <c r="F140" s="1225" t="str">
        <f ca="1">"PCSTable" &amp; MATCH(BESSTable11[[#This Row],[Brand]],INDIRECT("BESS_Brands[BESS Brands]"),0)</f>
        <v>PCSTable11</v>
      </c>
      <c r="G140" s="670" t="str" cm="1">
        <f t="array" aca="1" ref="G140" ca="1">IF(ISBLANK(BESSTable11[[#This Row],[PCS included?]]),_xlfn.XLOOKUP(BESSTable11[[#This Row],[Nominal kWh]]/2,INDIRECT(BESSTable11[[#This Row],[PCS Table Ref.]]&amp; "[kVA]"),INDIRECT(BESSTable11[[#This Row],[PCS Table Ref.]]&amp; "["&amp;BESSTable11[[#This Row],[Brand]]&amp;"]"),INDEX(INDIRECT(BESSTable11[[#This Row],[PCS Table Ref.]]&amp; "["&amp;BESSTable11[[#This Row],[Brand]]&amp;"]"),1),-1),"INTEGRATED PCS")</f>
        <v>INTEGRATED PCS</v>
      </c>
      <c r="H140" s="1254" cm="1">
        <f t="array" aca="1" ref="H140" ca="1">(BESSTable11[[#This Row],[Battery Price FOB (Ex.GST)]]+IF(BESSTable11[[#This Row],[Suggested PCS]]="INTEGRATED PCS",0,_xlfn.XLOOKUP(BESSTable11[[#This Row],[Suggested PCS]],INDIRECT(BESSTable11[[#This Row],[PCS Table Ref.]]&amp;"["&amp;BESSTable11[[#This Row],[Brand]]&amp;"]"),INDIRECT(BESSTable11[[#This Row],[PCS Table Ref.]]&amp;"[PCS Price (Ex. GST)]"))))/BESSTable11[[#This Row],[Nominal kWh]]</f>
        <v>226.41034482758624</v>
      </c>
      <c r="I140" s="1238" t="s">
        <v>1160</v>
      </c>
      <c r="J140" s="670">
        <v>5</v>
      </c>
      <c r="K140" s="670">
        <v>5</v>
      </c>
      <c r="L140" s="670"/>
    </row>
    <row r="142" spans="1:17" ht="16.2" thickBot="1">
      <c r="A142" s="1198" t="s">
        <v>445</v>
      </c>
      <c r="B142" s="1198" t="s">
        <v>887</v>
      </c>
      <c r="C142" s="1198" t="s">
        <v>888</v>
      </c>
      <c r="D142" s="1198" t="s">
        <v>889</v>
      </c>
      <c r="E142" s="1017" t="s">
        <v>435</v>
      </c>
      <c r="F142" s="1017" t="s">
        <v>890</v>
      </c>
      <c r="G142" s="1017" t="s">
        <v>891</v>
      </c>
      <c r="H142" s="1017" t="s">
        <v>892</v>
      </c>
      <c r="I142" s="1017" t="s">
        <v>692</v>
      </c>
      <c r="J142" s="1017" t="s">
        <v>566</v>
      </c>
      <c r="K142" s="1017" t="s">
        <v>395</v>
      </c>
      <c r="L142" s="1017" t="s">
        <v>893</v>
      </c>
      <c r="N142" s="1019" t="s">
        <v>445</v>
      </c>
      <c r="O142" s="1020" t="s">
        <v>894</v>
      </c>
      <c r="P142" s="1021" t="s">
        <v>895</v>
      </c>
      <c r="Q142" s="1022" t="s">
        <v>692</v>
      </c>
    </row>
    <row r="143" spans="1:17">
      <c r="A143" s="1255" t="s">
        <v>446</v>
      </c>
      <c r="B143" s="1255">
        <v>107</v>
      </c>
      <c r="C143" s="1256">
        <v>29493.675000000003</v>
      </c>
      <c r="D143" s="1255"/>
      <c r="E143" s="1255" t="str">
        <f>BESSTable12[[#Headers],[Kstar]]</f>
        <v>Kstar</v>
      </c>
      <c r="F143" s="1255" t="str">
        <f ca="1">"PCSTable" &amp; MATCH(BESSTable12[[#This Row],[Brand]],INDIRECT("BESS_Brands[BESS Brands]"),0)</f>
        <v>PCSTable12</v>
      </c>
      <c r="G143" s="1255" t="str" cm="1">
        <f t="array" aca="1" ref="G143" ca="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f>
        <v xml:space="preserve">50 kVA - KAC50DP2 </v>
      </c>
      <c r="H143" s="1256" cm="1">
        <f t="array" aca="1" ref="H143" ca="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f>
        <v>308.84929906542055</v>
      </c>
      <c r="I143" s="1257"/>
      <c r="J143" s="1255">
        <v>5</v>
      </c>
      <c r="K143" s="1255">
        <v>10</v>
      </c>
      <c r="L143" s="1255"/>
      <c r="N143" s="697" t="s">
        <v>447</v>
      </c>
      <c r="O143" s="698">
        <v>50</v>
      </c>
      <c r="P143" s="698">
        <v>3553.2</v>
      </c>
      <c r="Q143" s="1251" t="s">
        <v>1163</v>
      </c>
    </row>
    <row r="144" spans="1:17">
      <c r="A144" s="1258" t="s">
        <v>1164</v>
      </c>
      <c r="B144" s="1258">
        <v>120</v>
      </c>
      <c r="C144" s="1259">
        <v>26902.800000000003</v>
      </c>
      <c r="D144" s="1258"/>
      <c r="E144" s="1258" t="str">
        <f>BESSTable12[[#Headers],[Kstar]]</f>
        <v>Kstar</v>
      </c>
      <c r="F144" s="1258" t="str">
        <f ca="1">"PCSTable" &amp; MATCH(BESSTable12[[#This Row],[Brand]],INDIRECT("BESS_Brands[BESS Brands]"),0)</f>
        <v>PCSTable12</v>
      </c>
      <c r="G144" s="1258" t="str" cm="1">
        <f t="array" aca="1" ref="G144" ca="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f>
        <v xml:space="preserve">50 kVA - KAC50DP2 </v>
      </c>
      <c r="H144" s="1259" cm="1">
        <f t="array" aca="1" ref="H144" ca="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f>
        <v>253.80000000000004</v>
      </c>
      <c r="I144" s="1260"/>
      <c r="J144" s="1258">
        <v>5</v>
      </c>
      <c r="K144" s="1258">
        <v>10</v>
      </c>
      <c r="L144" s="1258"/>
      <c r="N144" s="1225" t="s">
        <v>1165</v>
      </c>
      <c r="O144" s="673">
        <v>100</v>
      </c>
      <c r="P144" s="673">
        <v>7106.4</v>
      </c>
      <c r="Q144" s="1251" t="s">
        <v>1163</v>
      </c>
    </row>
    <row r="145" spans="1:17">
      <c r="A145" s="1255" t="s">
        <v>1166</v>
      </c>
      <c r="B145" s="1255">
        <v>233</v>
      </c>
      <c r="C145" s="1256">
        <v>54249.75</v>
      </c>
      <c r="D145" s="1255"/>
      <c r="E145" s="1255" t="str">
        <f>BESSTable12[[#Headers],[Kstar]]</f>
        <v>Kstar</v>
      </c>
      <c r="F145" s="1255" t="str">
        <f ca="1">"PCSTable" &amp; MATCH(BESSTable12[[#This Row],[Brand]],INDIRECT("BESS_Brands[BESS Brands]"),0)</f>
        <v>PCSTable12</v>
      </c>
      <c r="G145" s="1255" t="str" cm="1">
        <f t="array" aca="1" ref="G145" ca="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f>
        <v xml:space="preserve">100 kVA - 2x KAC50DP2 </v>
      </c>
      <c r="H145" s="1256" cm="1">
        <f t="array" aca="1" ref="H145" ca="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f>
        <v>263.33111587982836</v>
      </c>
      <c r="I145" s="1257"/>
      <c r="J145" s="1255">
        <v>5</v>
      </c>
      <c r="K145" s="1255">
        <v>10</v>
      </c>
      <c r="L145" s="1255"/>
      <c r="N145" s="1253" t="s">
        <v>1167</v>
      </c>
      <c r="O145" s="698">
        <v>125</v>
      </c>
      <c r="P145" s="698">
        <v>5107.7249999999995</v>
      </c>
      <c r="Q145" s="1251" t="s">
        <v>1163</v>
      </c>
    </row>
    <row r="146" spans="1:17">
      <c r="A146" s="1261" t="s">
        <v>1168</v>
      </c>
      <c r="B146" s="1261">
        <v>260</v>
      </c>
      <c r="C146" s="1262">
        <v>48327.75</v>
      </c>
      <c r="D146" s="1261"/>
      <c r="E146" s="1261" t="str">
        <f>BESSTable12[[#Headers],[Kstar]]</f>
        <v>Kstar</v>
      </c>
      <c r="F146" s="1261" t="str">
        <f ca="1">"PCSTable" &amp; MATCH(BESSTable12[[#This Row],[Brand]],INDIRECT("BESS_Brands[BESS Brands]"),0)</f>
        <v>PCSTable12</v>
      </c>
      <c r="G146" s="1261" t="str" cm="1">
        <f t="array" aca="1" ref="G146" ca="1">IF(ISBLANK(BESSTable12[[#This Row],[PCS included?]]),_xlfn.XLOOKUP(BESSTable12[[#This Row],[Nominal kWh]]/2,INDIRECT(BESSTable12[[#This Row],[PCS Table Ref.]]&amp; "[kVA]"),INDIRECT(BESSTable12[[#This Row],[PCS Table Ref.]]&amp; "["&amp;BESSTable12[[#This Row],[Brand]]&amp;"]"),INDEX(INDIRECT(BESSTable12[[#This Row],[PCS Table Ref.]]&amp; "["&amp;BESSTable12[[#This Row],[Brand]]&amp;"]"),1),-1),"INTEGRATED PCS")</f>
        <v xml:space="preserve">125 kVA - KAC125DP2 </v>
      </c>
      <c r="H146" s="1262" cm="1">
        <f t="array" aca="1" ref="H146" ca="1">(BESSTable12[[#This Row],[Battery Price FOB (Ex.GST)]]+IF(BESSTable12[[#This Row],[Suggested PCS]]="INTEGRATED PCS",0,_xlfn.XLOOKUP(BESSTable12[[#This Row],[Suggested PCS]],INDIRECT(BESSTable12[[#This Row],[PCS Table Ref.]]&amp;"["&amp;BESSTable12[[#This Row],[Brand]]&amp;"]"),INDIRECT(BESSTable12[[#This Row],[PCS Table Ref.]]&amp;"[PCS Price (Ex. GST)]"))))/BESSTable12[[#This Row],[Nominal kWh]]</f>
        <v>205.52105769230769</v>
      </c>
      <c r="I146" s="1263"/>
      <c r="J146" s="1261">
        <v>5</v>
      </c>
      <c r="K146" s="1261">
        <v>10</v>
      </c>
      <c r="L146" s="1261"/>
    </row>
  </sheetData>
  <mergeCells count="16">
    <mergeCell ref="AD35:AE35"/>
    <mergeCell ref="AD47:AE47"/>
    <mergeCell ref="AD42:AE42"/>
    <mergeCell ref="AD53:AE53"/>
    <mergeCell ref="AG24:AH24"/>
    <mergeCell ref="AG29:AH29"/>
    <mergeCell ref="AG35:AH35"/>
    <mergeCell ref="AG39:AH39"/>
    <mergeCell ref="AG43:AH43"/>
    <mergeCell ref="U1:Z1"/>
    <mergeCell ref="U2:Z6"/>
    <mergeCell ref="AD11:AE11"/>
    <mergeCell ref="AD26:AE26"/>
    <mergeCell ref="AG11:AH11"/>
    <mergeCell ref="AG20:AH20"/>
    <mergeCell ref="AC4:AC5"/>
  </mergeCells>
  <phoneticPr fontId="75" type="noConversion"/>
  <pageMargins left="0.7" right="0.7" top="0.75" bottom="0.75" header="0.3" footer="0.3"/>
  <pageSetup paperSize="9" orientation="portrait" r:id="rId1"/>
  <legacyDrawing r:id="rId2"/>
  <tableParts count="2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7030A0"/>
  </sheetPr>
  <dimension ref="A2:S55"/>
  <sheetViews>
    <sheetView workbookViewId="0"/>
  </sheetViews>
  <sheetFormatPr defaultColWidth="11" defaultRowHeight="15.6"/>
  <cols>
    <col min="2" max="2" width="34" bestFit="1" customWidth="1"/>
    <col min="3" max="3" width="14.5" bestFit="1" customWidth="1"/>
    <col min="5" max="5" width="34" bestFit="1" customWidth="1"/>
    <col min="6" max="6" width="19" bestFit="1" customWidth="1"/>
    <col min="7" max="9" width="25.5" customWidth="1"/>
    <col min="10" max="10" width="18.5" customWidth="1"/>
    <col min="11" max="11" width="16" bestFit="1" customWidth="1"/>
    <col min="12" max="12" width="21.5" bestFit="1" customWidth="1"/>
    <col min="13" max="13" width="18.5" customWidth="1"/>
    <col min="14" max="14" width="19" bestFit="1" customWidth="1"/>
    <col min="15" max="15" width="15" bestFit="1" customWidth="1"/>
    <col min="17" max="17" width="24.59765625" bestFit="1" customWidth="1"/>
    <col min="18" max="18" width="8.59765625" bestFit="1" customWidth="1"/>
  </cols>
  <sheetData>
    <row r="2" spans="1:19" ht="16.2" thickBot="1"/>
    <row r="3" spans="1:19">
      <c r="B3" s="1450" t="s">
        <v>1169</v>
      </c>
      <c r="C3" s="1451"/>
      <c r="E3" s="1454" t="s">
        <v>1170</v>
      </c>
      <c r="F3" s="1455"/>
      <c r="G3" s="1455"/>
      <c r="H3" s="1456"/>
      <c r="I3" s="22"/>
      <c r="J3" s="22"/>
      <c r="K3" s="1450" t="s">
        <v>339</v>
      </c>
      <c r="L3" s="1451"/>
      <c r="M3" s="22"/>
      <c r="N3" s="1450" t="s">
        <v>1171</v>
      </c>
      <c r="O3" s="1451"/>
      <c r="Q3" s="1450" t="s">
        <v>195</v>
      </c>
      <c r="R3" s="1451"/>
    </row>
    <row r="4" spans="1:19">
      <c r="B4" s="1452"/>
      <c r="C4" s="1453"/>
      <c r="E4" s="1457"/>
      <c r="F4" s="1458"/>
      <c r="G4" s="1458"/>
      <c r="H4" s="1459"/>
      <c r="I4" s="22"/>
      <c r="J4" s="22"/>
      <c r="K4" s="1452"/>
      <c r="L4" s="1453"/>
      <c r="M4" s="22"/>
      <c r="N4" s="1452"/>
      <c r="O4" s="1453"/>
      <c r="Q4" s="1452"/>
      <c r="R4" s="1453"/>
    </row>
    <row r="5" spans="1:19">
      <c r="B5" s="66"/>
      <c r="C5" s="67"/>
      <c r="E5" s="253"/>
      <c r="H5" s="254"/>
      <c r="J5" s="220"/>
      <c r="K5" s="171" t="s">
        <v>1172</v>
      </c>
      <c r="L5" s="67" t="s">
        <v>1173</v>
      </c>
      <c r="M5" s="220"/>
      <c r="N5" s="177" t="s">
        <v>1172</v>
      </c>
      <c r="O5" s="156" t="s">
        <v>1173</v>
      </c>
      <c r="Q5" s="177" t="s">
        <v>195</v>
      </c>
      <c r="R5" s="156" t="s">
        <v>1173</v>
      </c>
    </row>
    <row r="6" spans="1:19">
      <c r="A6" s="220"/>
      <c r="B6" s="82" t="s">
        <v>341</v>
      </c>
      <c r="C6" s="83" t="s">
        <v>760</v>
      </c>
      <c r="D6" s="220"/>
      <c r="E6" s="1057" t="s">
        <v>1174</v>
      </c>
      <c r="F6" s="3" t="s">
        <v>760</v>
      </c>
      <c r="H6" s="254"/>
      <c r="J6" s="221"/>
      <c r="K6" s="172" t="s">
        <v>1175</v>
      </c>
      <c r="L6" s="173">
        <f>(28.7+29.8+5)/3</f>
        <v>21.166666666666668</v>
      </c>
      <c r="M6" s="220"/>
      <c r="N6" s="178" t="s">
        <v>1176</v>
      </c>
      <c r="O6" s="179">
        <v>8</v>
      </c>
      <c r="Q6" s="180" t="s">
        <v>1177</v>
      </c>
      <c r="R6" s="181">
        <v>30</v>
      </c>
      <c r="S6" s="444">
        <f>R6*SOLAR!G52</f>
        <v>0</v>
      </c>
    </row>
    <row r="7" spans="1:19">
      <c r="A7" s="220"/>
      <c r="B7" s="84" t="s">
        <v>1178</v>
      </c>
      <c r="C7" s="85">
        <f>ROUNDUP(SOLAR!F13/100,0)*1600</f>
        <v>1600</v>
      </c>
      <c r="D7" s="220"/>
      <c r="E7" s="1058" t="s">
        <v>1179</v>
      </c>
      <c r="F7" s="4" t="s">
        <v>1180</v>
      </c>
      <c r="H7" s="254"/>
      <c r="J7" s="220"/>
      <c r="K7" s="172" t="s">
        <v>1181</v>
      </c>
      <c r="L7" s="173">
        <f>(44.1+44.6+5)/3</f>
        <v>31.233333333333334</v>
      </c>
      <c r="M7" s="220"/>
      <c r="N7" s="180" t="s">
        <v>1182</v>
      </c>
      <c r="O7" s="181">
        <v>11.5</v>
      </c>
      <c r="Q7" s="66" t="s">
        <v>1183</v>
      </c>
      <c r="R7" s="788">
        <v>380</v>
      </c>
      <c r="S7" s="444">
        <f>R7*SOLAR!G52</f>
        <v>0</v>
      </c>
    </row>
    <row r="8" spans="1:19">
      <c r="A8" s="220"/>
      <c r="B8" s="86" t="s">
        <v>1184</v>
      </c>
      <c r="C8" s="87">
        <f>ROUNDUP(SOLAR!F13/100,0)*800</f>
        <v>800</v>
      </c>
      <c r="D8" s="220"/>
      <c r="E8" s="1059" t="s">
        <v>1185</v>
      </c>
      <c r="F8" s="5" t="s">
        <v>1186</v>
      </c>
      <c r="H8" s="254"/>
      <c r="J8" s="220"/>
      <c r="K8" s="172" t="s">
        <v>1187</v>
      </c>
      <c r="L8" s="173">
        <f>(55.6+58.4+5)/3</f>
        <v>39.666666666666664</v>
      </c>
      <c r="M8" s="220"/>
      <c r="N8" s="178"/>
      <c r="O8" s="179"/>
      <c r="Q8" s="66" t="s">
        <v>1188</v>
      </c>
      <c r="R8" s="67" t="s">
        <v>201</v>
      </c>
      <c r="S8" s="444" t="s">
        <v>803</v>
      </c>
    </row>
    <row r="9" spans="1:19">
      <c r="A9" s="220"/>
      <c r="B9" s="84" t="s">
        <v>138</v>
      </c>
      <c r="C9" s="85">
        <v>0</v>
      </c>
      <c r="D9" s="220"/>
      <c r="E9" s="1058" t="s">
        <v>1189</v>
      </c>
      <c r="F9" s="4">
        <v>1000</v>
      </c>
      <c r="H9" s="254"/>
      <c r="J9" s="220"/>
      <c r="K9" s="172" t="s">
        <v>1190</v>
      </c>
      <c r="L9" s="173">
        <f>(65.1+72.8+5)/3</f>
        <v>47.633333333333326</v>
      </c>
      <c r="M9" s="220"/>
      <c r="N9" s="180"/>
      <c r="O9" s="181"/>
      <c r="Q9" s="178" t="s">
        <v>312</v>
      </c>
      <c r="R9" s="179">
        <v>0</v>
      </c>
      <c r="S9" s="444">
        <f>R9*SOLAR!G55</f>
        <v>0</v>
      </c>
    </row>
    <row r="10" spans="1:19">
      <c r="A10" s="220"/>
      <c r="B10" s="86" t="s">
        <v>1191</v>
      </c>
      <c r="C10" s="87">
        <v>0</v>
      </c>
      <c r="D10" s="220"/>
      <c r="E10" s="1059" t="s">
        <v>1191</v>
      </c>
      <c r="F10" s="5"/>
      <c r="H10" s="254"/>
      <c r="J10" s="220"/>
      <c r="K10" s="172" t="s">
        <v>1192</v>
      </c>
      <c r="L10" s="173">
        <f>(41.28+33.1+5)/3</f>
        <v>26.459999999999997</v>
      </c>
      <c r="M10" s="220"/>
      <c r="N10" s="178"/>
      <c r="O10" s="179"/>
      <c r="Q10" s="180"/>
      <c r="R10" s="181"/>
    </row>
    <row r="11" spans="1:19">
      <c r="A11" s="220"/>
      <c r="B11" s="84"/>
      <c r="C11" s="85"/>
      <c r="D11" s="220"/>
      <c r="E11" s="1058" t="s">
        <v>138</v>
      </c>
      <c r="F11" s="4"/>
      <c r="H11" s="254"/>
      <c r="J11" s="220"/>
      <c r="K11" s="172" t="s">
        <v>1193</v>
      </c>
      <c r="L11" s="173">
        <f>(50.4+48.8+5)/3</f>
        <v>34.733333333333327</v>
      </c>
      <c r="M11" s="220"/>
      <c r="N11" s="180"/>
      <c r="O11" s="181"/>
      <c r="Q11" s="172"/>
      <c r="R11" s="182"/>
    </row>
    <row r="12" spans="1:19" ht="16.2" thickBot="1">
      <c r="B12" s="66"/>
      <c r="C12" s="67"/>
      <c r="D12" s="220"/>
      <c r="E12" s="1060"/>
      <c r="F12" s="1061"/>
      <c r="G12" s="275"/>
      <c r="H12" s="262"/>
      <c r="J12" s="220"/>
      <c r="K12" s="172" t="s">
        <v>1194</v>
      </c>
      <c r="L12" s="173">
        <f>(65.1+65.4+5)/3</f>
        <v>45.166666666666664</v>
      </c>
      <c r="M12" s="220"/>
      <c r="N12" s="172"/>
      <c r="O12" s="182"/>
      <c r="Q12" s="88"/>
      <c r="R12" s="76"/>
    </row>
    <row r="13" spans="1:19" ht="16.2" thickBot="1">
      <c r="B13" s="66"/>
      <c r="C13" s="67"/>
      <c r="J13" s="220"/>
      <c r="K13" s="172" t="s">
        <v>1195</v>
      </c>
      <c r="L13" s="173">
        <f>(79.8+85.6+5)/3</f>
        <v>56.79999999999999</v>
      </c>
      <c r="M13" s="220"/>
      <c r="N13" s="88"/>
      <c r="O13" s="76"/>
      <c r="P13" s="23"/>
    </row>
    <row r="14" spans="1:19" ht="16.8">
      <c r="B14" s="66"/>
      <c r="C14" s="67"/>
      <c r="E14" s="1448" t="s">
        <v>1196</v>
      </c>
      <c r="F14" s="1460" t="s">
        <v>1197</v>
      </c>
      <c r="G14" s="1460"/>
      <c r="H14" s="1461" t="s">
        <v>1198</v>
      </c>
      <c r="I14" s="1462"/>
      <c r="J14" s="6"/>
      <c r="K14" s="172" t="s">
        <v>138</v>
      </c>
      <c r="L14" s="173" t="s">
        <v>1199</v>
      </c>
      <c r="M14" s="220"/>
      <c r="N14" s="9"/>
    </row>
    <row r="15" spans="1:19">
      <c r="B15" s="66"/>
      <c r="C15" s="67"/>
      <c r="E15" s="1449"/>
      <c r="F15" s="1062" t="s">
        <v>1200</v>
      </c>
      <c r="G15" s="1062" t="s">
        <v>1201</v>
      </c>
      <c r="H15" s="1067" t="s">
        <v>1200</v>
      </c>
      <c r="I15" s="1068" t="s">
        <v>1201</v>
      </c>
      <c r="J15" s="6"/>
      <c r="K15" s="172"/>
      <c r="L15" s="173"/>
      <c r="N15" s="9"/>
    </row>
    <row r="16" spans="1:19">
      <c r="B16" s="66" t="s">
        <v>1202</v>
      </c>
      <c r="C16" s="67" t="s">
        <v>1203</v>
      </c>
      <c r="E16" s="1069">
        <v>1</v>
      </c>
      <c r="F16" s="1063"/>
      <c r="G16" s="1065">
        <v>1.69</v>
      </c>
      <c r="H16" s="236"/>
      <c r="I16" s="1075" t="s">
        <v>1199</v>
      </c>
      <c r="J16" s="6"/>
      <c r="K16" s="172"/>
      <c r="L16" s="173"/>
      <c r="N16" s="9"/>
    </row>
    <row r="17" spans="2:12">
      <c r="B17" s="219">
        <v>4</v>
      </c>
      <c r="C17" s="71">
        <v>1.9</v>
      </c>
      <c r="D17" s="6"/>
      <c r="E17" s="1069">
        <v>1.5</v>
      </c>
      <c r="F17" s="1063"/>
      <c r="G17" s="1065">
        <v>1.6891999999999998</v>
      </c>
      <c r="H17" s="236"/>
      <c r="I17" s="1075" t="s">
        <v>1199</v>
      </c>
      <c r="J17" s="6"/>
      <c r="K17" s="172"/>
      <c r="L17" s="174"/>
    </row>
    <row r="18" spans="2:12" ht="16.2" thickBot="1">
      <c r="B18" s="219">
        <v>6</v>
      </c>
      <c r="C18" s="71">
        <v>2.85</v>
      </c>
      <c r="D18" s="6"/>
      <c r="E18" s="1069">
        <v>2.5</v>
      </c>
      <c r="F18" s="1063"/>
      <c r="G18" s="1065">
        <v>2.911</v>
      </c>
      <c r="H18" s="236"/>
      <c r="I18" s="1075" t="s">
        <v>1199</v>
      </c>
      <c r="J18" s="6"/>
      <c r="K18" s="175"/>
      <c r="L18" s="176"/>
    </row>
    <row r="19" spans="2:12">
      <c r="B19" s="219">
        <v>10</v>
      </c>
      <c r="C19" s="71">
        <v>4.5999999999999996</v>
      </c>
      <c r="D19" s="6"/>
      <c r="E19" s="1069">
        <v>4</v>
      </c>
      <c r="F19" s="1063"/>
      <c r="G19" s="1065">
        <v>4.4462000000000002</v>
      </c>
      <c r="H19" s="236"/>
      <c r="I19" s="1075" t="s">
        <v>1199</v>
      </c>
      <c r="J19" s="6"/>
    </row>
    <row r="20" spans="2:12">
      <c r="B20" s="219">
        <v>16</v>
      </c>
      <c r="C20" s="71">
        <v>10.97</v>
      </c>
      <c r="D20" s="6"/>
      <c r="E20" s="1069">
        <v>6</v>
      </c>
      <c r="F20" s="1063"/>
      <c r="G20" s="1065">
        <v>6.0372000000000003</v>
      </c>
      <c r="H20" s="236"/>
      <c r="I20" s="1075" t="s">
        <v>1199</v>
      </c>
      <c r="J20" s="6"/>
      <c r="K20" t="s">
        <v>337</v>
      </c>
    </row>
    <row r="21" spans="2:12">
      <c r="B21" s="219"/>
      <c r="C21" s="71"/>
      <c r="D21" s="6"/>
      <c r="E21" s="1069">
        <v>10</v>
      </c>
      <c r="F21" s="1063"/>
      <c r="G21" s="1065">
        <v>11.185</v>
      </c>
      <c r="H21" s="236"/>
      <c r="I21" s="1075" t="s">
        <v>1199</v>
      </c>
      <c r="J21" s="460"/>
      <c r="K21" t="s">
        <v>1204</v>
      </c>
      <c r="L21" s="444"/>
    </row>
    <row r="22" spans="2:12">
      <c r="B22" s="219"/>
      <c r="C22" s="71"/>
      <c r="D22" s="6"/>
      <c r="E22" s="1069">
        <v>16</v>
      </c>
      <c r="F22" s="1063"/>
      <c r="G22" s="1065">
        <v>16.937100000000001</v>
      </c>
      <c r="H22" s="236"/>
      <c r="I22" s="1075" t="s">
        <v>1199</v>
      </c>
      <c r="J22" s="460"/>
      <c r="K22" t="s">
        <v>138</v>
      </c>
      <c r="L22" s="444"/>
    </row>
    <row r="23" spans="2:12">
      <c r="B23" s="219"/>
      <c r="C23" s="71"/>
      <c r="D23" s="6"/>
      <c r="E23" s="1069">
        <v>25</v>
      </c>
      <c r="F23" s="1064">
        <f>1.05*F25/2</f>
        <v>5.81175</v>
      </c>
      <c r="G23" s="1065">
        <v>24.994</v>
      </c>
      <c r="H23" s="1064">
        <f>1.05*H25/2</f>
        <v>1.827</v>
      </c>
      <c r="I23" s="1075" t="s">
        <v>1199</v>
      </c>
      <c r="J23" s="460"/>
    </row>
    <row r="24" spans="2:12">
      <c r="B24" s="219"/>
      <c r="C24" s="71"/>
      <c r="D24" s="6"/>
      <c r="E24" s="1069">
        <v>35</v>
      </c>
      <c r="F24" s="1064">
        <f>1.05*F26/2</f>
        <v>7.9642500000000007</v>
      </c>
      <c r="G24" s="1065">
        <v>35.350200000000001</v>
      </c>
      <c r="H24" s="1064">
        <f>1.05*H26/2</f>
        <v>1.9775700000000001</v>
      </c>
      <c r="I24" s="1075" t="s">
        <v>1199</v>
      </c>
      <c r="J24" s="460"/>
      <c r="K24" t="s">
        <v>1205</v>
      </c>
    </row>
    <row r="25" spans="2:12">
      <c r="B25" s="66"/>
      <c r="C25" s="71"/>
      <c r="E25" s="1069">
        <v>50</v>
      </c>
      <c r="F25" s="1065">
        <v>11.07</v>
      </c>
      <c r="G25" s="1065">
        <v>47.97</v>
      </c>
      <c r="H25" s="1065">
        <v>3.48</v>
      </c>
      <c r="I25" s="1070">
        <f>4*H25+_xlfn.XLOOKUP(_xlfn.XLOOKUP(E25,'AC Calculator'!$Z$3:$Z$40,'AC Calculator'!$AC$3:$AC$40),$E$16:$E$53,$H$16:$H$53)</f>
        <v>15.747</v>
      </c>
      <c r="J25" s="460"/>
    </row>
    <row r="26" spans="2:12">
      <c r="B26" s="66"/>
      <c r="C26" s="67"/>
      <c r="E26" s="1069">
        <v>70</v>
      </c>
      <c r="F26" s="1065">
        <v>15.17</v>
      </c>
      <c r="G26" s="1066">
        <f>4*F26+_xlfn.XLOOKUP(_xlfn.XLOOKUP(E26,'AC Calculator'!$Z$3:$Z$40,'AC Calculator'!$AB$3:$AB$40),$E$16:$E$53,$F$16:$F$53)</f>
        <v>66.491749999999996</v>
      </c>
      <c r="H26" s="1065">
        <v>3.7667999999999999</v>
      </c>
      <c r="I26" s="1070">
        <f>4*H26+_xlfn.XLOOKUP(_xlfn.XLOOKUP(E26,'AC Calculator'!$Z$3:$Z$40,'AC Calculator'!$AC$3:$AC$40),$E$16:$E$53,$H$16:$H$53)</f>
        <v>16.894199999999998</v>
      </c>
      <c r="J26" s="460"/>
    </row>
    <row r="27" spans="2:12" ht="16.2" thickBot="1">
      <c r="B27" s="88"/>
      <c r="C27" s="76"/>
      <c r="E27" s="1069">
        <v>95</v>
      </c>
      <c r="F27" s="1065">
        <v>20.007999999999999</v>
      </c>
      <c r="G27" s="1066">
        <f>4*F27+_xlfn.XLOOKUP(_xlfn.XLOOKUP(E27,'AC Calculator'!$Z$3:$Z$40,'AC Calculator'!$AB$3:$AB$40),$E$16:$E$53,$F$16:$F$53)</f>
        <v>85.84375</v>
      </c>
      <c r="H27" s="1065">
        <v>4.4032</v>
      </c>
      <c r="I27" s="1070">
        <f>4*H27+_xlfn.XLOOKUP(_xlfn.XLOOKUP(E27,'AC Calculator'!$Z$3:$Z$40,'AC Calculator'!$AC$3:$AC$40),$E$16:$E$53,$H$16:$H$53)</f>
        <v>19.59037</v>
      </c>
      <c r="J27" s="460"/>
    </row>
    <row r="28" spans="2:12">
      <c r="E28" s="1069">
        <v>120</v>
      </c>
      <c r="F28" s="1065">
        <v>25.387199999999996</v>
      </c>
      <c r="G28" s="1066">
        <f>4*F28+_xlfn.XLOOKUP(_xlfn.XLOOKUP(E28,'AC Calculator'!$Z$3:$Z$40,'AC Calculator'!$AB$3:$AB$40),$E$16:$E$53,$F$16:$F$53)</f>
        <v>109.51304999999999</v>
      </c>
      <c r="H28" s="1065">
        <v>5.4696000000000007</v>
      </c>
      <c r="I28" s="1070">
        <f>4*H28+_xlfn.XLOOKUP(_xlfn.XLOOKUP(E28,'AC Calculator'!$Z$3:$Z$40,'AC Calculator'!$AC$3:$AC$40),$E$16:$E$53,$H$16:$H$53)</f>
        <v>25.358400000000003</v>
      </c>
      <c r="J28" s="460"/>
    </row>
    <row r="29" spans="2:12">
      <c r="B29" t="s">
        <v>330</v>
      </c>
      <c r="C29" t="s">
        <v>1206</v>
      </c>
      <c r="E29" s="1069">
        <v>150</v>
      </c>
      <c r="F29" s="1065">
        <v>31.340399999999999</v>
      </c>
      <c r="G29" s="1066">
        <f>4*F29+_xlfn.XLOOKUP(_xlfn.XLOOKUP(E29,'AC Calculator'!$Z$3:$Z$40,'AC Calculator'!$AB$3:$AB$40),$E$16:$E$53,$F$16:$F$53)</f>
        <v>136.4316</v>
      </c>
      <c r="H29" s="1065">
        <v>6.6994000000000007</v>
      </c>
      <c r="I29" s="1070">
        <f>4*H29+_xlfn.XLOOKUP(_xlfn.XLOOKUP(E29,'AC Calculator'!$Z$3:$Z$40,'AC Calculator'!$AC$3:$AC$40),$E$16:$E$53,$H$16:$H$53)</f>
        <v>30.277600000000003</v>
      </c>
      <c r="J29" s="460"/>
    </row>
    <row r="30" spans="2:12">
      <c r="B30" t="s">
        <v>1207</v>
      </c>
      <c r="C30" t="s">
        <v>312</v>
      </c>
      <c r="E30" s="1069">
        <v>185</v>
      </c>
      <c r="F30" s="1065">
        <v>41.9</v>
      </c>
      <c r="G30" s="1066">
        <f>4*F30+_xlfn.XLOOKUP(_xlfn.XLOOKUP(E30,'AC Calculator'!$Z$3:$Z$40,'AC Calculator'!$AB$3:$AB$40),$E$16:$E$53,$F$16:$F$53)</f>
        <v>182.76999999999998</v>
      </c>
      <c r="H30" s="1065">
        <v>8.2129999999999992</v>
      </c>
      <c r="I30" s="1070">
        <f>4*H30+_xlfn.XLOOKUP(_xlfn.XLOOKUP(E30,'AC Calculator'!$Z$3:$Z$40,'AC Calculator'!$AC$3:$AC$40),$E$16:$E$53,$H$16:$H$53)</f>
        <v>36.618799999999993</v>
      </c>
      <c r="J30" s="460"/>
    </row>
    <row r="31" spans="2:12">
      <c r="B31" t="s">
        <v>312</v>
      </c>
      <c r="C31" s="444" t="s">
        <v>333</v>
      </c>
      <c r="E31" s="1069">
        <v>240</v>
      </c>
      <c r="F31" s="1065">
        <v>51.110999999999997</v>
      </c>
      <c r="G31" s="1066">
        <f>4*F31+_xlfn.XLOOKUP(_xlfn.XLOOKUP(E31,'AC Calculator'!$Z$3:$Z$40,'AC Calculator'!$AB$3:$AB$40),$E$16:$E$53,$F$16:$F$53)</f>
        <v>224.452</v>
      </c>
      <c r="H31" s="1065">
        <v>10.913399999999999</v>
      </c>
      <c r="I31" s="1070">
        <f>4*H31+_xlfn.XLOOKUP(_xlfn.XLOOKUP(E31,'AC Calculator'!$Z$3:$Z$40,'AC Calculator'!$AC$3:$AC$40),$E$16:$E$53,$H$16:$H$53)</f>
        <v>48.056799999999996</v>
      </c>
      <c r="J31" s="460"/>
    </row>
    <row r="32" spans="2:12">
      <c r="C32" s="444" t="s">
        <v>1208</v>
      </c>
      <c r="E32" s="1069">
        <v>300</v>
      </c>
      <c r="F32" s="1065">
        <v>64.747</v>
      </c>
      <c r="G32" s="1066">
        <f>4*F32+_xlfn.XLOOKUP(_xlfn.XLOOKUP(E32,'AC Calculator'!$Z$3:$Z$40,'AC Calculator'!$AB$3:$AB$40),$E$16:$E$53,$F$16:$F$53)</f>
        <v>284.37520000000001</v>
      </c>
      <c r="H32" s="1065">
        <v>13.4504</v>
      </c>
      <c r="I32" s="1070">
        <f>4*H32+_xlfn.XLOOKUP(_xlfn.XLOOKUP(E32,'AC Calculator'!$Z$3:$Z$40,'AC Calculator'!$AC$3:$AC$40),$E$16:$E$53,$H$16:$H$53)</f>
        <v>59.2712</v>
      </c>
      <c r="J32" s="460"/>
    </row>
    <row r="33" spans="5:10">
      <c r="E33" s="1069">
        <v>400</v>
      </c>
      <c r="F33" s="1065">
        <v>83.41</v>
      </c>
      <c r="G33" s="1066">
        <f>4*F33+_xlfn.XLOOKUP(_xlfn.XLOOKUP(E33,'AC Calculator'!$Z$3:$Z$40,'AC Calculator'!$AB$3:$AB$40),$E$16:$E$53,$F$16:$F$53)</f>
        <v>359.02719999999999</v>
      </c>
      <c r="H33" s="1065">
        <v>17.0366</v>
      </c>
      <c r="I33" s="1070">
        <f>4*H33+_xlfn.XLOOKUP(_xlfn.XLOOKUP(E33,'AC Calculator'!$Z$3:$Z$40,'AC Calculator'!$AC$3:$AC$40),$E$16:$E$53,$H$16:$H$53)</f>
        <v>76.359399999999994</v>
      </c>
      <c r="J33" s="460"/>
    </row>
    <row r="34" spans="5:10">
      <c r="E34" s="1071" t="s">
        <v>1209</v>
      </c>
      <c r="F34" s="1066">
        <f>LEFT(E34,FIND("x",E34)-1)*_xlfn.XLOOKUP(VALUE(RIGHT(E34,3)),$E$16:$E$33,$F$16:$F$33)</f>
        <v>62.680799999999998</v>
      </c>
      <c r="G34" s="1066">
        <f>4*F34+_xlfn.XLOOKUP(_xlfn.XLOOKUP(E34,'AC Calculator'!$Z$3:$Z$40,'AC Calculator'!$AB$3:$AB$40),$E$16:$E$53,$F$16:$F$53)</f>
        <v>276.11039999999997</v>
      </c>
      <c r="H34" s="1066">
        <f>LEFT(E34,FIND("x",E34)-1)*_xlfn.XLOOKUP(VALUE(RIGHT(E34,3)),$E$16:$E$33,$H$16:$H$33)</f>
        <v>13.398800000000001</v>
      </c>
      <c r="I34" s="1070">
        <f>4*H34+_xlfn.XLOOKUP(_xlfn.XLOOKUP(E34,'AC Calculator'!$Z$3:$Z$40,'AC Calculator'!$AC$3:$AC$40),$E$16:$E$53,$H$16:$H$53)</f>
        <v>59.064800000000005</v>
      </c>
      <c r="J34" s="460"/>
    </row>
    <row r="35" spans="5:10">
      <c r="E35" s="1071" t="s">
        <v>1210</v>
      </c>
      <c r="F35" s="1066">
        <f t="shared" ref="F35:F53" si="0">LEFT(E35,FIND("x",E35)-1)*_xlfn.XLOOKUP(VALUE(RIGHT(E35,3)),$E$16:$E$33,$F$16:$F$33)</f>
        <v>83.8</v>
      </c>
      <c r="G35" s="1066">
        <f>4*F35+_xlfn.XLOOKUP(_xlfn.XLOOKUP(E35,'AC Calculator'!$Z$3:$Z$40,'AC Calculator'!$AB$3:$AB$40),$E$16:$E$53,$F$16:$F$53)</f>
        <v>360.5872</v>
      </c>
      <c r="H35" s="1066">
        <f t="shared" ref="H35:H53" si="1">LEFT(E35,FIND("x",E35)-1)*_xlfn.XLOOKUP(VALUE(RIGHT(E35,3)),$E$16:$E$33,$H$16:$H$33)</f>
        <v>16.425999999999998</v>
      </c>
      <c r="I35" s="1070">
        <f>4*H35+_xlfn.XLOOKUP(_xlfn.XLOOKUP(E35,'AC Calculator'!$Z$3:$Z$40,'AC Calculator'!$AC$3:$AC$40),$E$16:$E$53,$H$16:$H$53)</f>
        <v>73.916999999999987</v>
      </c>
      <c r="J35" s="460"/>
    </row>
    <row r="36" spans="5:10">
      <c r="E36" s="1071" t="s">
        <v>1211</v>
      </c>
      <c r="F36" s="1066">
        <f t="shared" si="0"/>
        <v>76.161599999999993</v>
      </c>
      <c r="G36" s="1066">
        <f>4*F36+_xlfn.XLOOKUP(_xlfn.XLOOKUP(E36,'AC Calculator'!$Z$3:$Z$40,'AC Calculator'!$AB$3:$AB$40),$E$16:$E$53,$F$16:$F$53)</f>
        <v>330.03359999999998</v>
      </c>
      <c r="H36" s="1066">
        <f t="shared" si="1"/>
        <v>16.408800000000003</v>
      </c>
      <c r="I36" s="1070">
        <f>4*H36+_xlfn.XLOOKUP(_xlfn.XLOOKUP(E36,'AC Calculator'!$Z$3:$Z$40,'AC Calculator'!$AC$3:$AC$40),$E$16:$E$53,$H$16:$H$53)</f>
        <v>73.848200000000006</v>
      </c>
      <c r="J36" s="460"/>
    </row>
    <row r="37" spans="5:10">
      <c r="E37" s="1071" t="s">
        <v>1212</v>
      </c>
      <c r="F37" s="1066">
        <f t="shared" si="0"/>
        <v>102.22199999999999</v>
      </c>
      <c r="G37" s="1066">
        <f>4*F37+_xlfn.XLOOKUP(_xlfn.XLOOKUP(E37,'AC Calculator'!$Z$3:$Z$40,'AC Calculator'!$AB$3:$AB$40),$E$16:$E$53,$F$16:$F$53)</f>
        <v>434.27519999999998</v>
      </c>
      <c r="H37" s="1066">
        <f t="shared" si="1"/>
        <v>21.826799999999999</v>
      </c>
      <c r="I37" s="1070">
        <f>4*H37+_xlfn.XLOOKUP(_xlfn.XLOOKUP(E37,'AC Calculator'!$Z$3:$Z$40,'AC Calculator'!$AC$3:$AC$40),$E$16:$E$53,$H$16:$H$53)</f>
        <v>95.520199999999988</v>
      </c>
      <c r="J37" s="460"/>
    </row>
    <row r="38" spans="5:10">
      <c r="E38" s="1071" t="s">
        <v>1213</v>
      </c>
      <c r="F38" s="1066">
        <f t="shared" si="0"/>
        <v>94.021199999999993</v>
      </c>
      <c r="G38" s="1066">
        <f>4*F38+_xlfn.XLOOKUP(_xlfn.XLOOKUP(E38,'AC Calculator'!$Z$3:$Z$40,'AC Calculator'!$AB$3:$AB$40),$E$16:$E$53,$F$16:$F$53)</f>
        <v>401.47199999999998</v>
      </c>
      <c r="H38" s="1066">
        <f t="shared" si="1"/>
        <v>20.098200000000002</v>
      </c>
      <c r="I38" s="1070">
        <f>4*H38+_xlfn.XLOOKUP(_xlfn.XLOOKUP(E38,'AC Calculator'!$Z$3:$Z$40,'AC Calculator'!$AC$3:$AC$40),$E$16:$E$53,$H$16:$H$53)</f>
        <v>88.605800000000002</v>
      </c>
      <c r="J38" s="460"/>
    </row>
    <row r="39" spans="5:10">
      <c r="E39" s="1071" t="s">
        <v>1214</v>
      </c>
      <c r="F39" s="1066">
        <f t="shared" si="0"/>
        <v>129.494</v>
      </c>
      <c r="G39" s="1066">
        <f>4*F39+_xlfn.XLOOKUP(_xlfn.XLOOKUP(E39,'AC Calculator'!$Z$3:$Z$40,'AC Calculator'!$AB$3:$AB$40),$E$16:$E$53,$F$16:$F$53)</f>
        <v>543.36320000000001</v>
      </c>
      <c r="H39" s="1066">
        <f t="shared" si="1"/>
        <v>26.9008</v>
      </c>
      <c r="I39" s="1070">
        <f>4*H39+_xlfn.XLOOKUP(_xlfn.XLOOKUP(E39,'AC Calculator'!$Z$3:$Z$40,'AC Calculator'!$AC$3:$AC$40),$E$16:$E$53,$H$16:$H$53)</f>
        <v>118.5166</v>
      </c>
      <c r="J39" s="460"/>
    </row>
    <row r="40" spans="5:10">
      <c r="E40" s="1071" t="s">
        <v>1215</v>
      </c>
      <c r="F40" s="1066">
        <f t="shared" si="0"/>
        <v>125.69999999999999</v>
      </c>
      <c r="G40" s="1066">
        <f>4*F40+_xlfn.XLOOKUP(_xlfn.XLOOKUP(E40,'AC Calculator'!$Z$3:$Z$40,'AC Calculator'!$AB$3:$AB$40),$E$16:$E$53,$F$16:$F$53)</f>
        <v>528.18719999999996</v>
      </c>
      <c r="H40" s="1066">
        <f t="shared" si="1"/>
        <v>24.638999999999996</v>
      </c>
      <c r="I40" s="1070">
        <f>4*H40+_xlfn.XLOOKUP(_xlfn.XLOOKUP(E40,'AC Calculator'!$Z$3:$Z$40,'AC Calculator'!$AC$3:$AC$40),$E$16:$E$53,$H$16:$H$53)</f>
        <v>109.46939999999998</v>
      </c>
      <c r="J40" s="460"/>
    </row>
    <row r="41" spans="5:10">
      <c r="E41" s="1071" t="s">
        <v>1216</v>
      </c>
      <c r="F41" s="1066">
        <f t="shared" si="0"/>
        <v>101.54879999999999</v>
      </c>
      <c r="G41" s="1066">
        <f>4*F41+_xlfn.XLOOKUP(_xlfn.XLOOKUP(E41,'AC Calculator'!$Z$3:$Z$40,'AC Calculator'!$AB$3:$AB$40),$E$16:$E$53,$F$16:$F$53)</f>
        <v>431.58239999999995</v>
      </c>
      <c r="H41" s="1066">
        <f t="shared" si="1"/>
        <v>21.878400000000003</v>
      </c>
      <c r="I41" s="1070">
        <f>4*H41+_xlfn.XLOOKUP(_xlfn.XLOOKUP(E41,'AC Calculator'!$Z$3:$Z$40,'AC Calculator'!$AC$3:$AC$40),$E$16:$E$53,$H$16:$H$53)</f>
        <v>95.726600000000005</v>
      </c>
      <c r="J41" s="460"/>
    </row>
    <row r="42" spans="5:10">
      <c r="E42" s="1071" t="s">
        <v>1217</v>
      </c>
      <c r="F42" s="1066">
        <f t="shared" si="0"/>
        <v>166.82</v>
      </c>
      <c r="G42" s="1066">
        <f>4*F42+_xlfn.XLOOKUP(_xlfn.XLOOKUP(E42,'AC Calculator'!$Z$3:$Z$40,'AC Calculator'!$AB$3:$AB$40),$E$16:$E$53,$F$16:$F$53)</f>
        <v>718.39099999999996</v>
      </c>
      <c r="H42" s="1066">
        <f t="shared" si="1"/>
        <v>34.0732</v>
      </c>
      <c r="I42" s="1070">
        <f>4*H42+_xlfn.XLOOKUP(_xlfn.XLOOKUP(E42,'AC Calculator'!$Z$3:$Z$40,'AC Calculator'!$AC$3:$AC$40),$E$16:$E$53,$H$16:$H$53)</f>
        <v>152.70160000000001</v>
      </c>
      <c r="J42" s="460"/>
    </row>
    <row r="43" spans="5:10">
      <c r="E43" s="1071" t="s">
        <v>1218</v>
      </c>
      <c r="F43" s="1066">
        <f t="shared" si="0"/>
        <v>125.3616</v>
      </c>
      <c r="G43" s="1066">
        <f>4*F43+_xlfn.XLOOKUP(_xlfn.XLOOKUP(E43,'AC Calculator'!$Z$3:$Z$40,'AC Calculator'!$AB$3:$AB$40),$E$16:$E$53,$F$16:$F$53)</f>
        <v>526.83359999999993</v>
      </c>
      <c r="H43" s="1066">
        <f t="shared" si="1"/>
        <v>26.797600000000003</v>
      </c>
      <c r="I43" s="1070">
        <f>4*H43+_xlfn.XLOOKUP(_xlfn.XLOOKUP(E43,'AC Calculator'!$Z$3:$Z$40,'AC Calculator'!$AC$3:$AC$40),$E$16:$E$53,$H$16:$H$53)</f>
        <v>118.10380000000001</v>
      </c>
      <c r="J43" s="460"/>
    </row>
    <row r="44" spans="5:10">
      <c r="E44" s="1071" t="s">
        <v>1219</v>
      </c>
      <c r="F44" s="1066">
        <f t="shared" si="0"/>
        <v>153.333</v>
      </c>
      <c r="G44" s="1066">
        <f>4*F44+_xlfn.XLOOKUP(_xlfn.XLOOKUP(E44,'AC Calculator'!$Z$3:$Z$40,'AC Calculator'!$AB$3:$AB$40),$E$16:$E$53,$F$16:$F$53)</f>
        <v>655.23199999999997</v>
      </c>
      <c r="H44" s="1066">
        <f t="shared" si="1"/>
        <v>32.740200000000002</v>
      </c>
      <c r="I44" s="1070">
        <f>4*H44+_xlfn.XLOOKUP(_xlfn.XLOOKUP(E44,'AC Calculator'!$Z$3:$Z$40,'AC Calculator'!$AC$3:$AC$40),$E$16:$E$53,$H$16:$H$53)</f>
        <v>144.41120000000001</v>
      </c>
    </row>
    <row r="45" spans="5:10">
      <c r="E45" s="1071" t="s">
        <v>1220</v>
      </c>
      <c r="F45" s="1066">
        <f t="shared" si="0"/>
        <v>167.6</v>
      </c>
      <c r="G45" s="1066">
        <f>4*F45+_xlfn.XLOOKUP(_xlfn.XLOOKUP(E45,'AC Calculator'!$Z$3:$Z$40,'AC Calculator'!$AB$3:$AB$40),$E$16:$E$53,$F$16:$F$53)</f>
        <v>712.3</v>
      </c>
      <c r="H45" s="1066">
        <f t="shared" si="1"/>
        <v>32.851999999999997</v>
      </c>
      <c r="I45" s="1070">
        <f>4*H45+_xlfn.XLOOKUP(_xlfn.XLOOKUP(E45,'AC Calculator'!$Z$3:$Z$40,'AC Calculator'!$AC$3:$AC$40),$E$16:$E$53,$H$16:$H$53)</f>
        <v>144.85839999999999</v>
      </c>
    </row>
    <row r="46" spans="5:10">
      <c r="E46" s="1071" t="s">
        <v>1221</v>
      </c>
      <c r="F46" s="1066">
        <f t="shared" si="0"/>
        <v>194.24099999999999</v>
      </c>
      <c r="G46" s="1066">
        <f>4*F46+_xlfn.XLOOKUP(_xlfn.XLOOKUP(E46,'AC Calculator'!$Z$3:$Z$40,'AC Calculator'!$AB$3:$AB$40),$E$16:$E$53,$F$16:$F$53)</f>
        <v>828.07499999999993</v>
      </c>
      <c r="H46" s="1066">
        <f t="shared" si="1"/>
        <v>40.351199999999999</v>
      </c>
      <c r="I46" s="1070">
        <f>4*H46+_xlfn.XLOOKUP(_xlfn.XLOOKUP(E46,'AC Calculator'!$Z$3:$Z$40,'AC Calculator'!$AC$3:$AC$40),$E$16:$E$53,$H$16:$H$53)</f>
        <v>177.81360000000001</v>
      </c>
    </row>
    <row r="47" spans="5:10">
      <c r="E47" s="1071" t="s">
        <v>1222</v>
      </c>
      <c r="F47" s="1066">
        <f t="shared" si="0"/>
        <v>204.44399999999999</v>
      </c>
      <c r="G47" s="1066">
        <f>4*F47+_xlfn.XLOOKUP(_xlfn.XLOOKUP(E47,'AC Calculator'!$Z$3:$Z$40,'AC Calculator'!$AB$3:$AB$40),$E$16:$E$53,$F$16:$F$53)</f>
        <v>868.88699999999994</v>
      </c>
      <c r="H47" s="1066">
        <f t="shared" si="1"/>
        <v>43.653599999999997</v>
      </c>
      <c r="I47" s="1070">
        <f>4*H47+_xlfn.XLOOKUP(_xlfn.XLOOKUP(E47,'AC Calculator'!$Z$3:$Z$40,'AC Calculator'!$AC$3:$AC$40),$E$16:$E$53,$H$16:$H$53)</f>
        <v>191.65099999999998</v>
      </c>
    </row>
    <row r="48" spans="5:10">
      <c r="E48" s="1071" t="s">
        <v>1223</v>
      </c>
      <c r="F48" s="1066">
        <f t="shared" si="0"/>
        <v>250.23</v>
      </c>
      <c r="G48" s="1066">
        <f>4*F48+_xlfn.XLOOKUP(_xlfn.XLOOKUP(E48,'AC Calculator'!$Z$3:$Z$40,'AC Calculator'!$AB$3:$AB$40),$E$16:$E$53,$F$16:$F$53)</f>
        <v>1065.6669999999999</v>
      </c>
      <c r="H48" s="1066">
        <f t="shared" si="1"/>
        <v>51.1098</v>
      </c>
      <c r="I48" s="1070">
        <f>4*H48+_xlfn.XLOOKUP(_xlfn.XLOOKUP(E48,'AC Calculator'!$Z$3:$Z$40,'AC Calculator'!$AC$3:$AC$40),$E$16:$E$53,$H$16:$H$53)</f>
        <v>226.26599999999999</v>
      </c>
    </row>
    <row r="49" spans="5:9">
      <c r="E49" s="1071" t="s">
        <v>1224</v>
      </c>
      <c r="F49" s="1066">
        <f t="shared" si="0"/>
        <v>258.988</v>
      </c>
      <c r="G49" s="1066">
        <f>4*F49+_xlfn.XLOOKUP(_xlfn.XLOOKUP(E49,'AC Calculator'!$Z$3:$Z$40,'AC Calculator'!$AB$3:$AB$40),$E$16:$E$53,$F$16:$F$53)</f>
        <v>1100.6990000000001</v>
      </c>
      <c r="H49" s="1066">
        <f t="shared" si="1"/>
        <v>53.801600000000001</v>
      </c>
      <c r="I49" s="1070">
        <f>4*H49+_xlfn.XLOOKUP(_xlfn.XLOOKUP(E49,'AC Calculator'!$Z$3:$Z$40,'AC Calculator'!$AC$3:$AC$40),$E$16:$E$53,$H$16:$H$53)</f>
        <v>237.03319999999999</v>
      </c>
    </row>
    <row r="50" spans="5:9">
      <c r="E50" s="1071" t="s">
        <v>1225</v>
      </c>
      <c r="F50" s="1066">
        <f t="shared" si="0"/>
        <v>255.55499999999998</v>
      </c>
      <c r="G50" s="1066">
        <f>4*F50+_xlfn.XLOOKUP(_xlfn.XLOOKUP(E50,'AC Calculator'!$Z$3:$Z$40,'AC Calculator'!$AB$3:$AB$40),$E$16:$E$53,$F$16:$F$53)</f>
        <v>1086.9669999999999</v>
      </c>
      <c r="H50" s="1066">
        <f t="shared" si="1"/>
        <v>54.566999999999993</v>
      </c>
      <c r="I50" s="1070">
        <f>4*H50+_xlfn.XLOOKUP(_xlfn.XLOOKUP(E50,'AC Calculator'!$Z$3:$Z$40,'AC Calculator'!$AC$3:$AC$40),$E$16:$E$53,$H$16:$H$53)</f>
        <v>240.09479999999996</v>
      </c>
    </row>
    <row r="51" spans="5:9">
      <c r="E51" s="1071" t="s">
        <v>1226</v>
      </c>
      <c r="F51" s="1066">
        <f t="shared" si="0"/>
        <v>333.64</v>
      </c>
      <c r="G51" s="1066">
        <f>4*F51+_xlfn.XLOOKUP(_xlfn.XLOOKUP(E51,'AC Calculator'!$Z$3:$Z$40,'AC Calculator'!$AB$3:$AB$40),$E$16:$E$53,$F$16:$F$53)</f>
        <v>1417.97</v>
      </c>
      <c r="H51" s="1066">
        <f t="shared" si="1"/>
        <v>68.1464</v>
      </c>
      <c r="I51" s="1070">
        <f>4*H51+_xlfn.XLOOKUP(_xlfn.XLOOKUP(E51,'AC Calculator'!$Z$3:$Z$40,'AC Calculator'!$AC$3:$AC$40),$E$16:$E$53,$H$16:$H$53)</f>
        <v>305.32580000000002</v>
      </c>
    </row>
    <row r="52" spans="5:9">
      <c r="E52" s="1071" t="s">
        <v>1227</v>
      </c>
      <c r="F52" s="1066">
        <f t="shared" si="0"/>
        <v>323.73500000000001</v>
      </c>
      <c r="G52" s="1066">
        <f>4*F52+_xlfn.XLOOKUP(_xlfn.XLOOKUP(E52,'AC Calculator'!$Z$3:$Z$40,'AC Calculator'!$AB$3:$AB$40),$E$16:$E$53,$F$16:$F$53)</f>
        <v>1378.3500000000001</v>
      </c>
      <c r="H52" s="1066">
        <f t="shared" si="1"/>
        <v>67.251999999999995</v>
      </c>
      <c r="I52" s="1070">
        <f>4*H52+_xlfn.XLOOKUP(_xlfn.XLOOKUP(E52,'AC Calculator'!$Z$3:$Z$40,'AC Calculator'!$AC$3:$AC$40),$E$16:$E$53,$H$16:$H$53)</f>
        <v>295.90879999999999</v>
      </c>
    </row>
    <row r="53" spans="5:9" ht="16.2" thickBot="1">
      <c r="E53" s="1072" t="s">
        <v>1228</v>
      </c>
      <c r="F53" s="1073">
        <f t="shared" si="0"/>
        <v>417.04999999999995</v>
      </c>
      <c r="G53" s="1073">
        <f>4*F53+_xlfn.XLOOKUP(_xlfn.XLOOKUP(E53,'AC Calculator'!$Z$3:$Z$40,'AC Calculator'!$AB$3:$AB$40),$E$16:$E$53,$F$16:$F$53)</f>
        <v>1793.8999999999999</v>
      </c>
      <c r="H53" s="1073">
        <f t="shared" si="1"/>
        <v>85.182999999999993</v>
      </c>
      <c r="I53" s="1074">
        <f>4*H53+_xlfn.XLOOKUP(_xlfn.XLOOKUP(E53,'AC Calculator'!$Z$3:$Z$40,'AC Calculator'!$AC$3:$AC$40),$E$16:$E$53,$H$16:$H$53)</f>
        <v>374.80519999999996</v>
      </c>
    </row>
    <row r="55" spans="5:9">
      <c r="F55" s="623"/>
    </row>
  </sheetData>
  <mergeCells count="8">
    <mergeCell ref="E14:E15"/>
    <mergeCell ref="B3:C4"/>
    <mergeCell ref="E3:H4"/>
    <mergeCell ref="Q3:R4"/>
    <mergeCell ref="K3:L4"/>
    <mergeCell ref="N3:O4"/>
    <mergeCell ref="F14:G14"/>
    <mergeCell ref="H14:I14"/>
  </mergeCells>
  <pageMargins left="0.7" right="0.7" top="0.75" bottom="0.75" header="0.3" footer="0.3"/>
  <pageSetup paperSize="9" orientation="portrait" horizontalDpi="1200" verticalDpi="1200"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rgb="FF7030A0"/>
  </sheetPr>
  <dimension ref="A2:S44"/>
  <sheetViews>
    <sheetView workbookViewId="0"/>
  </sheetViews>
  <sheetFormatPr defaultColWidth="11" defaultRowHeight="15.6"/>
  <cols>
    <col min="2" max="2" width="30.5" bestFit="1" customWidth="1"/>
    <col min="5" max="5" width="41.5" bestFit="1" customWidth="1"/>
    <col min="9" max="9" width="18" bestFit="1" customWidth="1"/>
    <col min="10" max="10" width="13.5" bestFit="1" customWidth="1"/>
    <col min="11" max="11" width="13.5" customWidth="1"/>
    <col min="12" max="12" width="24" bestFit="1" customWidth="1"/>
    <col min="13" max="13" width="37.59765625" bestFit="1" customWidth="1"/>
    <col min="14" max="14" width="14.5" customWidth="1"/>
    <col min="15" max="15" width="14" bestFit="1" customWidth="1"/>
    <col min="16" max="16" width="29" bestFit="1" customWidth="1"/>
    <col min="17" max="17" width="17" bestFit="1" customWidth="1"/>
  </cols>
  <sheetData>
    <row r="2" spans="1:18" ht="16.2" thickBot="1"/>
    <row r="3" spans="1:18" ht="24.6" customHeight="1">
      <c r="B3" s="1450" t="s">
        <v>1229</v>
      </c>
      <c r="C3" s="1451"/>
      <c r="E3" s="1450" t="s">
        <v>1230</v>
      </c>
      <c r="F3" s="1451"/>
      <c r="H3" s="1438" t="s">
        <v>1231</v>
      </c>
      <c r="I3" s="1433"/>
      <c r="J3" s="1433"/>
      <c r="K3" s="1439"/>
      <c r="M3" s="1438" t="s">
        <v>1232</v>
      </c>
      <c r="N3" s="1433"/>
      <c r="O3" s="1439"/>
      <c r="Q3" s="1450" t="s">
        <v>1233</v>
      </c>
      <c r="R3" s="1451"/>
    </row>
    <row r="4" spans="1:18" ht="24.6" customHeight="1">
      <c r="A4" s="220"/>
      <c r="B4" s="1452"/>
      <c r="C4" s="1453"/>
      <c r="E4" s="1452"/>
      <c r="F4" s="1453"/>
      <c r="H4" s="1440"/>
      <c r="I4" s="1418"/>
      <c r="J4" s="1418"/>
      <c r="K4" s="1441"/>
      <c r="M4" s="1440"/>
      <c r="N4" s="1418"/>
      <c r="O4" s="1441"/>
      <c r="Q4" s="1452"/>
      <c r="R4" s="1453"/>
    </row>
    <row r="5" spans="1:18">
      <c r="A5" s="220"/>
      <c r="B5" s="163" t="s">
        <v>1234</v>
      </c>
      <c r="C5" s="164" t="s">
        <v>1235</v>
      </c>
      <c r="E5" s="163" t="s">
        <v>1234</v>
      </c>
      <c r="F5" s="164" t="s">
        <v>1235</v>
      </c>
      <c r="H5" s="974" t="s">
        <v>1236</v>
      </c>
      <c r="I5" s="24" t="s">
        <v>1234</v>
      </c>
      <c r="J5" s="971" t="s">
        <v>1237</v>
      </c>
      <c r="K5" s="904" t="s">
        <v>1238</v>
      </c>
      <c r="M5" s="933" t="s">
        <v>1239</v>
      </c>
      <c r="N5" s="932" t="s">
        <v>351</v>
      </c>
      <c r="O5" s="934" t="s">
        <v>1240</v>
      </c>
      <c r="Q5" s="66" t="s">
        <v>293</v>
      </c>
      <c r="R5" s="67" t="s">
        <v>53</v>
      </c>
    </row>
    <row r="6" spans="1:18">
      <c r="A6" s="220"/>
      <c r="B6" s="183" t="s">
        <v>147</v>
      </c>
      <c r="C6" s="187">
        <v>0</v>
      </c>
      <c r="E6" s="77" t="s">
        <v>1241</v>
      </c>
      <c r="F6" s="165">
        <v>0</v>
      </c>
      <c r="H6" s="975"/>
      <c r="I6" s="27" t="str">
        <f>""</f>
        <v/>
      </c>
      <c r="J6" s="972">
        <v>0</v>
      </c>
      <c r="K6" s="976"/>
      <c r="M6" s="935" t="s">
        <v>350</v>
      </c>
      <c r="N6" s="227">
        <f>0.05*'AC Calculator'!B15*1000+SUM(N12:N13)</f>
        <v>5500</v>
      </c>
      <c r="O6" s="906">
        <f>0.06*'AC Calculator'!B15*1000+SUM(N12:N13)</f>
        <v>6600</v>
      </c>
      <c r="Q6" s="189" t="s">
        <v>352</v>
      </c>
      <c r="R6" s="329">
        <v>1.1000000000000001</v>
      </c>
    </row>
    <row r="7" spans="1:18">
      <c r="A7" s="220"/>
      <c r="B7" s="184" t="s">
        <v>148</v>
      </c>
      <c r="C7" s="71">
        <v>0</v>
      </c>
      <c r="E7" s="79" t="s">
        <v>346</v>
      </c>
      <c r="F7" s="166" t="str">
        <f>"Manual Input"</f>
        <v>Manual Input</v>
      </c>
      <c r="H7" s="980">
        <v>5</v>
      </c>
      <c r="I7" s="25" t="str">
        <f>H7&amp;"A "&amp;K7</f>
        <v>5A MCB</v>
      </c>
      <c r="J7" s="973">
        <v>50</v>
      </c>
      <c r="K7" s="977" t="s">
        <v>1242</v>
      </c>
      <c r="M7" s="936" t="s">
        <v>1243</v>
      </c>
      <c r="N7" s="29">
        <f>N6*1.7+SUM(N12:N13)</f>
        <v>9350</v>
      </c>
      <c r="O7" s="908">
        <f>O6*1.7+SUM(N12:N13)</f>
        <v>11220</v>
      </c>
      <c r="Q7" s="189" t="s">
        <v>1244</v>
      </c>
      <c r="R7" s="329">
        <v>1.25</v>
      </c>
    </row>
    <row r="8" spans="1:18">
      <c r="A8" s="220"/>
      <c r="B8" s="183" t="s">
        <v>149</v>
      </c>
      <c r="C8" s="188" t="str">
        <f>"Manual Input"</f>
        <v>Manual Input</v>
      </c>
      <c r="E8" s="77" t="s">
        <v>1245</v>
      </c>
      <c r="F8" s="165">
        <v>0</v>
      </c>
      <c r="H8" s="981">
        <v>10</v>
      </c>
      <c r="I8" s="27" t="str">
        <f t="shared" ref="I8:I21" si="0">H8&amp;"A "&amp;K8</f>
        <v>10A MCB</v>
      </c>
      <c r="J8" s="972">
        <v>50</v>
      </c>
      <c r="K8" s="976" t="s">
        <v>1242</v>
      </c>
      <c r="M8" s="935" t="s">
        <v>1246</v>
      </c>
      <c r="N8" s="227">
        <f>N21+SUM(N12:N13)</f>
        <v>1866.6666666666667</v>
      </c>
      <c r="O8" s="906">
        <f>N22+SUM(N12:N13)</f>
        <v>3066.666666666667</v>
      </c>
      <c r="Q8" s="189" t="s">
        <v>1247</v>
      </c>
      <c r="R8" s="329">
        <f>IF(SOLAR!F20&lt;44317,1.3,1.5)</f>
        <v>1.3</v>
      </c>
    </row>
    <row r="9" spans="1:18" ht="16.2" thickBot="1">
      <c r="A9" s="220"/>
      <c r="B9" s="77"/>
      <c r="C9" s="165"/>
      <c r="E9" s="66"/>
      <c r="F9" s="67"/>
      <c r="H9" s="980">
        <v>25</v>
      </c>
      <c r="I9" s="25" t="str">
        <f t="shared" si="0"/>
        <v>25A MCB</v>
      </c>
      <c r="J9" s="973">
        <v>50</v>
      </c>
      <c r="K9" s="977" t="s">
        <v>1242</v>
      </c>
      <c r="M9" s="937" t="s">
        <v>1248</v>
      </c>
      <c r="N9" s="916">
        <f>SUM(N12:N13)</f>
        <v>0</v>
      </c>
      <c r="O9" s="911">
        <f>SUM(N24:N24)+SUM(N12:N13)</f>
        <v>0</v>
      </c>
      <c r="Q9" s="189"/>
      <c r="R9" s="67"/>
    </row>
    <row r="10" spans="1:18" ht="16.2" thickBot="1">
      <c r="A10" s="220"/>
      <c r="B10" s="185"/>
      <c r="C10" s="186"/>
      <c r="E10" s="66"/>
      <c r="F10" s="67"/>
      <c r="H10" s="981">
        <v>50</v>
      </c>
      <c r="I10" s="27" t="str">
        <f t="shared" si="0"/>
        <v>50A MCB</v>
      </c>
      <c r="J10" s="972">
        <v>50</v>
      </c>
      <c r="K10" s="976" t="s">
        <v>1242</v>
      </c>
      <c r="Q10" s="189"/>
      <c r="R10" s="67"/>
    </row>
    <row r="11" spans="1:18" ht="16.2" thickBot="1">
      <c r="A11" s="220"/>
      <c r="E11" s="88"/>
      <c r="F11" s="76"/>
      <c r="H11" s="980">
        <v>63</v>
      </c>
      <c r="I11" s="25" t="str">
        <f t="shared" si="0"/>
        <v>63A MCB</v>
      </c>
      <c r="J11" s="973">
        <v>50</v>
      </c>
      <c r="K11" s="977" t="s">
        <v>1242</v>
      </c>
      <c r="M11" s="1463" t="s">
        <v>1249</v>
      </c>
      <c r="N11" s="1464"/>
      <c r="Q11" s="66"/>
      <c r="R11" s="67"/>
    </row>
    <row r="12" spans="1:18">
      <c r="A12" s="220"/>
      <c r="H12" s="981">
        <v>120</v>
      </c>
      <c r="I12" s="27" t="str">
        <f t="shared" si="0"/>
        <v>120A MCCB</v>
      </c>
      <c r="J12" s="972">
        <v>800</v>
      </c>
      <c r="K12" s="976" t="s">
        <v>1250</v>
      </c>
      <c r="M12" s="935" t="s">
        <v>1251</v>
      </c>
      <c r="N12" s="906">
        <f>IF(AND(SOLAR!$D$31="VIC",'1. Prelim'!I3&gt;200),5000*SOLAR!$G$58,0)</f>
        <v>0</v>
      </c>
      <c r="Q12" s="66"/>
      <c r="R12" s="67"/>
    </row>
    <row r="13" spans="1:18" ht="16.2" thickBot="1">
      <c r="H13" s="980">
        <v>160</v>
      </c>
      <c r="I13" s="25" t="str">
        <f t="shared" si="0"/>
        <v>160A MCCB</v>
      </c>
      <c r="J13" s="973">
        <v>1000</v>
      </c>
      <c r="K13" s="977" t="s">
        <v>1250</v>
      </c>
      <c r="M13" s="937" t="s">
        <v>1252</v>
      </c>
      <c r="N13" s="911">
        <f>IF(AND(SOLAR!$D$31="QLD",'1. Prelim'!I3&gt;10),80*IF(ISBLANK(SOLAR!G39),SOLAR!F39,SOLAR!G39),0)</f>
        <v>0</v>
      </c>
      <c r="Q13" s="88"/>
      <c r="R13" s="76"/>
    </row>
    <row r="14" spans="1:18" ht="16.2" thickBot="1">
      <c r="H14" s="981">
        <v>250</v>
      </c>
      <c r="I14" s="27" t="str">
        <f t="shared" si="0"/>
        <v>250A MCCB</v>
      </c>
      <c r="J14" s="972">
        <v>1400</v>
      </c>
      <c r="K14" s="976" t="s">
        <v>1250</v>
      </c>
    </row>
    <row r="15" spans="1:18">
      <c r="B15" s="1450" t="s">
        <v>1253</v>
      </c>
      <c r="C15" s="1451"/>
      <c r="H15" s="980">
        <v>400</v>
      </c>
      <c r="I15" s="25" t="str">
        <f t="shared" si="0"/>
        <v>400A MCCB</v>
      </c>
      <c r="J15" s="973">
        <v>1900</v>
      </c>
      <c r="K15" s="977" t="s">
        <v>1250</v>
      </c>
      <c r="M15" s="1463" t="s">
        <v>1254</v>
      </c>
      <c r="N15" s="1464"/>
    </row>
    <row r="16" spans="1:18">
      <c r="B16" s="1452"/>
      <c r="C16" s="1453"/>
      <c r="H16" s="981">
        <v>630</v>
      </c>
      <c r="I16" s="27" t="str">
        <f t="shared" si="0"/>
        <v>630A MCCB</v>
      </c>
      <c r="J16" s="972">
        <v>2900</v>
      </c>
      <c r="K16" s="976" t="s">
        <v>1250</v>
      </c>
      <c r="M16" s="935" t="s">
        <v>1255</v>
      </c>
      <c r="N16" s="940">
        <f>'AC Calculator'!B12</f>
        <v>250</v>
      </c>
    </row>
    <row r="17" spans="2:19">
      <c r="B17" s="163" t="s">
        <v>1234</v>
      </c>
      <c r="C17" s="164" t="s">
        <v>1235</v>
      </c>
      <c r="H17" s="980">
        <v>800</v>
      </c>
      <c r="I17" s="25" t="str">
        <f t="shared" si="0"/>
        <v>800A MCCB</v>
      </c>
      <c r="J17" s="973">
        <v>3500</v>
      </c>
      <c r="K17" s="977" t="s">
        <v>1250</v>
      </c>
      <c r="M17" s="936" t="s">
        <v>1256</v>
      </c>
      <c r="N17" s="941">
        <f>'AC Calculator'!B15/'AC Calculator'!B2</f>
        <v>1</v>
      </c>
    </row>
    <row r="18" spans="2:19">
      <c r="B18" s="184" t="s">
        <v>1257</v>
      </c>
      <c r="C18" s="187">
        <v>40</v>
      </c>
      <c r="H18" s="981">
        <v>1200</v>
      </c>
      <c r="I18" s="27" t="str">
        <f t="shared" si="0"/>
        <v>1200A MCCB</v>
      </c>
      <c r="J18" s="972">
        <v>4200</v>
      </c>
      <c r="K18" s="976" t="s">
        <v>1250</v>
      </c>
      <c r="M18" s="935" t="s">
        <v>1258</v>
      </c>
      <c r="N18" s="906">
        <f>VLOOKUP(N16,H6:J18,3)*N17</f>
        <v>1400</v>
      </c>
    </row>
    <row r="19" spans="2:19" ht="16.2" thickBot="1">
      <c r="B19" s="185" t="s">
        <v>138</v>
      </c>
      <c r="C19" s="235">
        <v>0</v>
      </c>
      <c r="H19" s="980">
        <v>1600</v>
      </c>
      <c r="I19" s="25" t="str">
        <f t="shared" si="0"/>
        <v>1600A MCCB</v>
      </c>
      <c r="J19" s="973">
        <v>7000</v>
      </c>
      <c r="K19" s="977" t="s">
        <v>1250</v>
      </c>
      <c r="M19" s="936" t="s">
        <v>1259</v>
      </c>
      <c r="N19" s="942">
        <f>'AC Calculator'!B25</f>
        <v>250</v>
      </c>
    </row>
    <row r="20" spans="2:19">
      <c r="H20" s="981">
        <v>2000</v>
      </c>
      <c r="I20" s="27" t="str">
        <f t="shared" si="0"/>
        <v>2000A ACB</v>
      </c>
      <c r="J20" s="972">
        <v>11000</v>
      </c>
      <c r="K20" s="976" t="s">
        <v>1260</v>
      </c>
      <c r="M20" s="935" t="s">
        <v>1261</v>
      </c>
      <c r="N20" s="906">
        <f>VLOOKUP(N19,H6:J18,3)/3</f>
        <v>466.66666666666669</v>
      </c>
    </row>
    <row r="21" spans="2:19">
      <c r="H21" s="980">
        <v>2500</v>
      </c>
      <c r="I21" s="25" t="str">
        <f t="shared" si="0"/>
        <v>2500A ACB</v>
      </c>
      <c r="J21" s="973">
        <v>16000</v>
      </c>
      <c r="K21" s="977" t="s">
        <v>1260</v>
      </c>
      <c r="M21" s="936" t="s">
        <v>1262</v>
      </c>
      <c r="N21" s="943">
        <f>SUM(N18,N20)</f>
        <v>1866.6666666666667</v>
      </c>
    </row>
    <row r="22" spans="2:19" ht="16.2" thickBot="1">
      <c r="H22" s="978" t="s">
        <v>1263</v>
      </c>
      <c r="I22" s="979" t="s">
        <v>1263</v>
      </c>
      <c r="J22" s="979" t="s">
        <v>1263</v>
      </c>
      <c r="K22" s="262"/>
      <c r="M22" s="944" t="s">
        <v>1264</v>
      </c>
      <c r="N22" s="945">
        <f>N21+(250+800+150)</f>
        <v>3066.666666666667</v>
      </c>
    </row>
    <row r="24" spans="2:19" ht="16.2" thickBot="1">
      <c r="S24" s="444"/>
    </row>
    <row r="25" spans="2:19">
      <c r="M25" s="1438" t="s">
        <v>1265</v>
      </c>
      <c r="N25" s="1433"/>
      <c r="O25" s="1439"/>
    </row>
    <row r="26" spans="2:19">
      <c r="M26" s="1440"/>
      <c r="N26" s="1418"/>
      <c r="O26" s="1441"/>
    </row>
    <row r="27" spans="2:19">
      <c r="M27" s="933" t="s">
        <v>1266</v>
      </c>
      <c r="N27" s="932" t="s">
        <v>351</v>
      </c>
      <c r="O27" s="934" t="s">
        <v>1240</v>
      </c>
    </row>
    <row r="28" spans="2:19">
      <c r="M28" s="935" t="s">
        <v>350</v>
      </c>
      <c r="N28" s="227">
        <f>0.05*'1. Prelim'!J3*1000+SUM(N34:N35)</f>
        <v>2500</v>
      </c>
      <c r="O28" s="906">
        <f>0.06*'1. Prelim'!J3*1000+SUM(N34:N35)</f>
        <v>3000</v>
      </c>
    </row>
    <row r="29" spans="2:19">
      <c r="M29" s="936" t="s">
        <v>1243</v>
      </c>
      <c r="N29" s="29">
        <f>N28*1.7+SUM(N34:N35)</f>
        <v>4250</v>
      </c>
      <c r="O29" s="908">
        <f>O28*1.7+SUM(N34:N35)</f>
        <v>5100</v>
      </c>
    </row>
    <row r="30" spans="2:19">
      <c r="M30" s="935" t="s">
        <v>1267</v>
      </c>
      <c r="N30" s="227">
        <f>N43+SUM(N34:N35)</f>
        <v>1066.6666666666667</v>
      </c>
      <c r="O30" s="906">
        <f>N44+SUM(N34:N35)</f>
        <v>2266.666666666667</v>
      </c>
    </row>
    <row r="31" spans="2:19" ht="16.2" thickBot="1">
      <c r="M31" s="937" t="s">
        <v>1268</v>
      </c>
      <c r="N31" s="916">
        <f>SUM(N34:N35)</f>
        <v>0</v>
      </c>
      <c r="O31" s="911">
        <f>SUM(N46:N46)+SUM(N34:N35)</f>
        <v>0</v>
      </c>
    </row>
    <row r="32" spans="2:19" ht="16.2" thickBot="1"/>
    <row r="33" spans="13:14">
      <c r="M33" s="1463" t="s">
        <v>1249</v>
      </c>
      <c r="N33" s="1464"/>
    </row>
    <row r="34" spans="13:14">
      <c r="M34" s="935" t="s">
        <v>1251</v>
      </c>
      <c r="N34" s="906">
        <f>IF(AND(SOLAR!$D$31="VIC",'1. Prelim'!I25&gt;200),5000*SOLAR!$G$58,0)</f>
        <v>0</v>
      </c>
    </row>
    <row r="35" spans="13:14" ht="16.2" thickBot="1">
      <c r="M35" s="937" t="s">
        <v>1252</v>
      </c>
      <c r="N35" s="911">
        <f>IF(AND(SOLAR!$D$31="QLD",'1. Prelim'!I25&gt;10),80*IF(ISBLANK(SOLAR!G61),SOLAR!F61,SOLAR!G61),0)</f>
        <v>0</v>
      </c>
    </row>
    <row r="36" spans="13:14" ht="16.2" thickBot="1"/>
    <row r="37" spans="13:14">
      <c r="M37" s="1463" t="s">
        <v>1269</v>
      </c>
      <c r="N37" s="1464"/>
    </row>
    <row r="38" spans="13:14">
      <c r="M38" s="935" t="s">
        <v>1270</v>
      </c>
      <c r="N38" s="940">
        <f>'2.1 BESS Components'!AE33</f>
        <v>120</v>
      </c>
    </row>
    <row r="39" spans="13:14">
      <c r="M39" s="936" t="s">
        <v>1271</v>
      </c>
      <c r="N39" s="941">
        <f>BESS!E4</f>
        <v>1</v>
      </c>
    </row>
    <row r="40" spans="13:14">
      <c r="M40" s="935" t="s">
        <v>1272</v>
      </c>
      <c r="N40" s="906">
        <f>VLOOKUP(N38,H6:J18,3)*N39</f>
        <v>800</v>
      </c>
    </row>
    <row r="41" spans="13:14">
      <c r="M41" s="936" t="s">
        <v>1273</v>
      </c>
      <c r="N41" s="942" cm="1">
        <f t="array" ref="N41">INDEX('4. Switch Gear'!H7:H22,MATCH('2.1 BESS Components'!AE28*N39,'4. Switch Gear'!H7:H22,1)+1)</f>
        <v>120</v>
      </c>
    </row>
    <row r="42" spans="13:14">
      <c r="M42" s="935" t="s">
        <v>1274</v>
      </c>
      <c r="N42" s="906">
        <f>VLOOKUP(N41,H6:J18,3)/3</f>
        <v>266.66666666666669</v>
      </c>
    </row>
    <row r="43" spans="13:14">
      <c r="M43" s="936" t="s">
        <v>1262</v>
      </c>
      <c r="N43" s="943">
        <f>SUM(N40,N42)</f>
        <v>1066.6666666666667</v>
      </c>
    </row>
    <row r="44" spans="13:14" ht="16.2" thickBot="1">
      <c r="M44" s="944" t="s">
        <v>1264</v>
      </c>
      <c r="N44" s="945">
        <f>N43+(250+800+150)</f>
        <v>2266.666666666667</v>
      </c>
    </row>
  </sheetData>
  <mergeCells count="11">
    <mergeCell ref="M25:O26"/>
    <mergeCell ref="M33:N33"/>
    <mergeCell ref="M37:N37"/>
    <mergeCell ref="Q3:R4"/>
    <mergeCell ref="B15:C16"/>
    <mergeCell ref="B3:C4"/>
    <mergeCell ref="E3:F4"/>
    <mergeCell ref="M3:O4"/>
    <mergeCell ref="M11:N11"/>
    <mergeCell ref="M15:N15"/>
    <mergeCell ref="H3:K4"/>
  </mergeCells>
  <pageMargins left="0.7" right="0.7" top="0.75" bottom="0.75" header="0.3" footer="0.3"/>
  <pageSetup paperSize="9" orientation="portrait" horizontalDpi="1200" verticalDpi="1200" r:id="rId1"/>
  <legacyDrawing r:id="rId2"/>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73252-E1BD-CD4E-991E-6D5CAEA77D92}">
  <sheetPr codeName="Sheet19">
    <tabColor rgb="FF7030A0"/>
  </sheetPr>
  <dimension ref="B2:AJ30"/>
  <sheetViews>
    <sheetView workbookViewId="0"/>
  </sheetViews>
  <sheetFormatPr defaultColWidth="11" defaultRowHeight="15.6"/>
  <cols>
    <col min="2" max="2" width="40" bestFit="1" customWidth="1"/>
    <col min="9" max="9" width="18" bestFit="1" customWidth="1"/>
    <col min="15" max="15" width="25.5" bestFit="1" customWidth="1"/>
    <col min="17" max="17" width="19.5" bestFit="1" customWidth="1"/>
    <col min="18" max="18" width="13.5" bestFit="1" customWidth="1"/>
    <col min="20" max="20" width="11.59765625" bestFit="1" customWidth="1"/>
    <col min="23" max="23" width="15.8984375" bestFit="1" customWidth="1"/>
    <col min="24" max="24" width="8.59765625" bestFit="1" customWidth="1"/>
    <col min="25" max="25" width="20.3984375" bestFit="1" customWidth="1"/>
    <col min="26" max="26" width="13.09765625" bestFit="1" customWidth="1"/>
    <col min="27" max="27" width="10.09765625" customWidth="1"/>
    <col min="28" max="28" width="12.09765625" bestFit="1" customWidth="1"/>
    <col min="29" max="29" width="11.09765625" bestFit="1" customWidth="1"/>
    <col min="31" max="36" width="11" customWidth="1"/>
  </cols>
  <sheetData>
    <row r="2" spans="2:36" ht="16.2" thickBot="1"/>
    <row r="3" spans="2:36">
      <c r="B3" s="1450" t="s">
        <v>354</v>
      </c>
      <c r="C3" s="1451"/>
      <c r="E3" s="1450" t="s">
        <v>356</v>
      </c>
      <c r="F3" s="1451"/>
      <c r="H3" s="1450" t="s">
        <v>1275</v>
      </c>
      <c r="I3" s="1466"/>
      <c r="J3" s="1466"/>
      <c r="K3" s="1466"/>
      <c r="L3" s="1466"/>
      <c r="M3" s="1451"/>
      <c r="O3" s="1450" t="s">
        <v>362</v>
      </c>
      <c r="P3" s="1466"/>
      <c r="Q3" s="1466"/>
      <c r="R3" s="1466"/>
      <c r="S3" s="1466"/>
      <c r="T3" s="1466"/>
      <c r="U3" s="1451"/>
      <c r="W3" s="1450" t="s">
        <v>1276</v>
      </c>
      <c r="X3" s="1466"/>
      <c r="Y3" s="1466"/>
      <c r="Z3" s="1466"/>
      <c r="AA3" s="1466"/>
      <c r="AB3" s="1466"/>
      <c r="AC3" s="1451"/>
    </row>
    <row r="4" spans="2:36">
      <c r="B4" s="1452"/>
      <c r="C4" s="1453"/>
      <c r="E4" s="1452"/>
      <c r="F4" s="1453"/>
      <c r="H4" s="1452"/>
      <c r="I4" s="1458"/>
      <c r="J4" s="1458"/>
      <c r="K4" s="1458"/>
      <c r="L4" s="1458"/>
      <c r="M4" s="1453"/>
      <c r="O4" s="1452"/>
      <c r="P4" s="1458"/>
      <c r="Q4" s="1458"/>
      <c r="R4" s="1458"/>
      <c r="S4" s="1458"/>
      <c r="T4" s="1458"/>
      <c r="U4" s="1453"/>
      <c r="W4" s="1452"/>
      <c r="X4" s="1458"/>
      <c r="Y4" s="1458"/>
      <c r="Z4" s="1458"/>
      <c r="AA4" s="1458"/>
      <c r="AB4" s="1458"/>
      <c r="AC4" s="1453"/>
      <c r="AF4" t="s">
        <v>1277</v>
      </c>
    </row>
    <row r="5" spans="2:36">
      <c r="B5" s="192" t="s">
        <v>292</v>
      </c>
      <c r="C5" s="156" t="s">
        <v>1278</v>
      </c>
      <c r="E5" s="192"/>
      <c r="F5" s="156" t="s">
        <v>764</v>
      </c>
      <c r="H5" s="66"/>
      <c r="M5" s="67"/>
      <c r="O5" s="66"/>
      <c r="U5" s="67"/>
      <c r="W5" s="66"/>
      <c r="AC5" s="67"/>
      <c r="AF5" t="s">
        <v>1279</v>
      </c>
      <c r="AG5" t="s">
        <v>1280</v>
      </c>
      <c r="AH5" t="s">
        <v>1281</v>
      </c>
      <c r="AJ5">
        <v>50</v>
      </c>
    </row>
    <row r="6" spans="2:36">
      <c r="B6" s="193" t="s">
        <v>9</v>
      </c>
      <c r="C6" s="187">
        <f>IF(SOLAR!F13&lt;100,0.3,0.28)</f>
        <v>0.28000000000000003</v>
      </c>
      <c r="E6" s="193"/>
      <c r="F6" s="187"/>
      <c r="G6" s="220"/>
      <c r="H6" s="94" t="s">
        <v>1282</v>
      </c>
      <c r="I6" s="2" t="s">
        <v>1283</v>
      </c>
      <c r="J6" s="776" t="s">
        <v>1284</v>
      </c>
      <c r="K6" s="776" t="s">
        <v>1285</v>
      </c>
      <c r="L6" s="2" t="s">
        <v>368</v>
      </c>
      <c r="M6" s="195" t="s">
        <v>422</v>
      </c>
      <c r="O6" s="196" t="s">
        <v>359</v>
      </c>
      <c r="P6" s="30" t="s">
        <v>911</v>
      </c>
      <c r="Q6" s="30" t="s">
        <v>912</v>
      </c>
      <c r="R6" s="30" t="s">
        <v>913</v>
      </c>
      <c r="S6" s="30" t="s">
        <v>914</v>
      </c>
      <c r="T6" s="30" t="s">
        <v>1286</v>
      </c>
      <c r="U6" s="197" t="s">
        <v>916</v>
      </c>
      <c r="W6" s="196" t="s">
        <v>359</v>
      </c>
      <c r="X6" s="30" t="s">
        <v>911</v>
      </c>
      <c r="Y6" s="30" t="s">
        <v>912</v>
      </c>
      <c r="Z6" s="30" t="s">
        <v>913</v>
      </c>
      <c r="AA6" s="30" t="s">
        <v>914</v>
      </c>
      <c r="AB6" s="30" t="s">
        <v>915</v>
      </c>
      <c r="AC6" s="197" t="s">
        <v>916</v>
      </c>
      <c r="AE6" t="s">
        <v>1287</v>
      </c>
      <c r="AF6" t="s">
        <v>1288</v>
      </c>
    </row>
    <row r="7" spans="2:36">
      <c r="B7" s="194" t="s">
        <v>12</v>
      </c>
      <c r="C7" s="188">
        <v>0.34</v>
      </c>
      <c r="E7" s="194" t="s">
        <v>9</v>
      </c>
      <c r="F7" s="188">
        <v>0.03</v>
      </c>
      <c r="G7" s="220"/>
      <c r="H7" s="94" t="s">
        <v>97</v>
      </c>
      <c r="I7" s="1">
        <v>100</v>
      </c>
      <c r="J7" s="1">
        <v>500</v>
      </c>
      <c r="K7" s="1">
        <v>0</v>
      </c>
      <c r="L7" s="1">
        <f>SOLAR!$F$13/20*55*(I7/20)</f>
        <v>1375</v>
      </c>
      <c r="M7" s="195">
        <f t="shared" ref="M7:M14" si="0">SUM(J7:L7)</f>
        <v>1875</v>
      </c>
      <c r="N7" s="2"/>
      <c r="O7" s="198" t="s">
        <v>360</v>
      </c>
      <c r="P7" s="33">
        <f>Q7*U7+R7*S7</f>
        <v>2600</v>
      </c>
      <c r="Q7" s="33">
        <v>0</v>
      </c>
      <c r="R7" s="37">
        <v>1300</v>
      </c>
      <c r="S7" s="35">
        <f>IF(SOLAR!F13&lt;=50,1,IF(SOLAR!F13&lt;=100,2,IF(SOLAR!F13&lt;=200,3,IF(SOLAR!F13&lt;=400,4,IF(SOLAR!F13&gt;400,5,0)))))</f>
        <v>2</v>
      </c>
      <c r="T7" s="31"/>
      <c r="U7" s="199"/>
      <c r="W7" s="198" t="s">
        <v>919</v>
      </c>
      <c r="X7" s="33" t="e">
        <f>Y7*AC7+Z7*AA7</f>
        <v>#VALUE!</v>
      </c>
      <c r="Y7" s="33">
        <v>0</v>
      </c>
      <c r="Z7" s="37">
        <v>1300</v>
      </c>
      <c r="AA7" s="777" t="str">
        <f>IF('Linking Cells'!B62&lt;200,"1 day",0)</f>
        <v>1 day</v>
      </c>
      <c r="AB7" s="31"/>
      <c r="AC7" s="199"/>
    </row>
    <row r="8" spans="2:36">
      <c r="B8" s="193" t="s">
        <v>18</v>
      </c>
      <c r="C8" s="187">
        <v>0.34</v>
      </c>
      <c r="E8" s="193" t="s">
        <v>1289</v>
      </c>
      <c r="F8" s="187">
        <v>0.02</v>
      </c>
      <c r="G8" s="220"/>
      <c r="H8" s="94" t="s">
        <v>99</v>
      </c>
      <c r="I8" s="1">
        <v>200</v>
      </c>
      <c r="J8" s="1">
        <f t="shared" ref="J8:J14" si="1">3*I8/60*65</f>
        <v>650</v>
      </c>
      <c r="K8" s="1">
        <f>3*160*2</f>
        <v>960</v>
      </c>
      <c r="L8" s="1">
        <f>SOLAR!$F$13/20*55*(I8/20)</f>
        <v>2750</v>
      </c>
      <c r="M8" s="195">
        <f t="shared" si="0"/>
        <v>4360</v>
      </c>
      <c r="N8" s="2"/>
      <c r="O8" s="200" t="s">
        <v>1290</v>
      </c>
      <c r="P8" s="34">
        <f>Q8*U8+R8*S8</f>
        <v>2363.1999999999998</v>
      </c>
      <c r="Q8" s="34">
        <v>1000</v>
      </c>
      <c r="R8" s="38">
        <v>426</v>
      </c>
      <c r="S8" s="36">
        <f>T8/2.5</f>
        <v>3.2</v>
      </c>
      <c r="T8" s="32">
        <f>ROUNDUP(((SOLAR!F38/28)*1.1),0)</f>
        <v>8</v>
      </c>
      <c r="U8" s="201">
        <f>ROUNDUP((S8/8),0)</f>
        <v>1</v>
      </c>
      <c r="W8" s="200" t="s">
        <v>922</v>
      </c>
      <c r="X8" s="34">
        <f>Y8*AC8+Z8*AA8</f>
        <v>0</v>
      </c>
      <c r="Y8" s="34">
        <v>1000</v>
      </c>
      <c r="Z8" s="38">
        <v>426</v>
      </c>
      <c r="AA8" s="36">
        <f>IF('Linking Cells'!B62&gt;200,"8",0)</f>
        <v>0</v>
      </c>
      <c r="AB8" s="32">
        <v>1</v>
      </c>
      <c r="AC8" s="779">
        <f>ROUNDUP((AA8/1),0)</f>
        <v>0</v>
      </c>
      <c r="AE8" t="s">
        <v>1291</v>
      </c>
      <c r="AF8" t="s">
        <v>1292</v>
      </c>
    </row>
    <row r="9" spans="2:36">
      <c r="B9" s="194" t="s">
        <v>20</v>
      </c>
      <c r="C9" s="188">
        <v>0.26</v>
      </c>
      <c r="E9" s="194"/>
      <c r="F9" s="188"/>
      <c r="G9" s="220"/>
      <c r="H9" s="94" t="s">
        <v>102</v>
      </c>
      <c r="I9" s="1">
        <v>300</v>
      </c>
      <c r="J9" s="1">
        <f t="shared" si="1"/>
        <v>975</v>
      </c>
      <c r="K9" s="1">
        <f>3*160*2</f>
        <v>960</v>
      </c>
      <c r="L9" s="1">
        <f>SOLAR!$F$13/20*55*(I9/20)</f>
        <v>4125</v>
      </c>
      <c r="M9" s="195">
        <f t="shared" si="0"/>
        <v>6060</v>
      </c>
      <c r="N9" s="2"/>
      <c r="O9" s="198" t="s">
        <v>1293</v>
      </c>
      <c r="P9" s="33">
        <f>Q9*U9+R9*S9</f>
        <v>1600</v>
      </c>
      <c r="Q9" s="33"/>
      <c r="R9" s="37">
        <v>800</v>
      </c>
      <c r="S9" s="35">
        <f>IF(SOLAR!F13&lt;=50,1,IF(SOLAR!F13&lt;=100,2,IF(SOLAR!F13&lt;=200,3,IF(SOLAR!F13&lt;=400,4,IF(SOLAR!F13&gt;400,5,0)))))</f>
        <v>2</v>
      </c>
      <c r="T9" s="31"/>
      <c r="U9" s="199"/>
      <c r="W9" s="66"/>
      <c r="AC9" s="67"/>
    </row>
    <row r="10" spans="2:36" ht="16.2" thickBot="1">
      <c r="B10" s="193" t="s">
        <v>24</v>
      </c>
      <c r="C10" s="187">
        <v>0.32</v>
      </c>
      <c r="E10" s="193"/>
      <c r="F10" s="187"/>
      <c r="G10" s="220"/>
      <c r="H10" s="94" t="s">
        <v>105</v>
      </c>
      <c r="I10" s="1">
        <v>400</v>
      </c>
      <c r="J10" s="1">
        <f t="shared" si="1"/>
        <v>1300</v>
      </c>
      <c r="K10" s="1">
        <f t="shared" ref="K10:K16" si="2">3*160*2</f>
        <v>960</v>
      </c>
      <c r="L10" s="1">
        <f>SOLAR!$F$13/20*55*(I10/20)</f>
        <v>5500</v>
      </c>
      <c r="M10" s="195">
        <f t="shared" si="0"/>
        <v>7760</v>
      </c>
      <c r="N10" s="2"/>
      <c r="O10" s="200" t="s">
        <v>68</v>
      </c>
      <c r="P10" s="34">
        <v>0</v>
      </c>
      <c r="U10" s="67"/>
      <c r="W10" s="88"/>
      <c r="X10" s="75"/>
      <c r="Y10" s="75"/>
      <c r="Z10" s="75"/>
      <c r="AA10" s="75"/>
      <c r="AB10" s="75"/>
      <c r="AC10" s="76"/>
    </row>
    <row r="11" spans="2:36">
      <c r="B11" s="194"/>
      <c r="C11" s="87"/>
      <c r="E11" s="194"/>
      <c r="F11" s="188"/>
      <c r="G11" s="220"/>
      <c r="H11" s="94" t="s">
        <v>107</v>
      </c>
      <c r="I11" s="1">
        <v>500</v>
      </c>
      <c r="J11" s="1">
        <f t="shared" si="1"/>
        <v>1625</v>
      </c>
      <c r="K11" s="1">
        <f t="shared" si="2"/>
        <v>960</v>
      </c>
      <c r="L11" s="1">
        <f>SOLAR!$F$13/20*55*(I11/20)</f>
        <v>6875</v>
      </c>
      <c r="M11" s="195">
        <f t="shared" si="0"/>
        <v>9460</v>
      </c>
      <c r="N11" s="2"/>
      <c r="O11" s="66"/>
      <c r="U11" s="67"/>
    </row>
    <row r="12" spans="2:36">
      <c r="B12" s="66"/>
      <c r="C12" s="67"/>
      <c r="E12" s="193"/>
      <c r="F12" s="187"/>
      <c r="G12" s="220"/>
      <c r="H12" s="94" t="s">
        <v>110</v>
      </c>
      <c r="I12" s="1">
        <v>600</v>
      </c>
      <c r="J12" s="1">
        <f t="shared" si="1"/>
        <v>1950</v>
      </c>
      <c r="K12" s="1">
        <f t="shared" si="2"/>
        <v>960</v>
      </c>
      <c r="L12" s="1">
        <f>SOLAR!$F$13/20*55*(I12/20)</f>
        <v>8250</v>
      </c>
      <c r="M12" s="195">
        <f t="shared" si="0"/>
        <v>11160</v>
      </c>
      <c r="N12" s="2"/>
      <c r="O12" s="196" t="s">
        <v>363</v>
      </c>
      <c r="P12" s="30" t="s">
        <v>911</v>
      </c>
      <c r="Q12" s="30" t="s">
        <v>912</v>
      </c>
      <c r="R12" s="30" t="s">
        <v>179</v>
      </c>
      <c r="S12" s="30" t="s">
        <v>914</v>
      </c>
      <c r="T12" s="30" t="s">
        <v>1286</v>
      </c>
      <c r="U12" s="197" t="s">
        <v>916</v>
      </c>
      <c r="AE12" s="1465" t="s">
        <v>1294</v>
      </c>
      <c r="AF12" t="s">
        <v>1295</v>
      </c>
      <c r="AH12" t="s">
        <v>1296</v>
      </c>
      <c r="AJ12" t="s">
        <v>1297</v>
      </c>
    </row>
    <row r="13" spans="2:36" ht="16.2" thickBot="1">
      <c r="B13" s="88"/>
      <c r="C13" s="76"/>
      <c r="E13" s="88"/>
      <c r="F13" s="76"/>
      <c r="G13" s="220"/>
      <c r="H13" s="94" t="s">
        <v>112</v>
      </c>
      <c r="I13" s="1">
        <v>700</v>
      </c>
      <c r="J13" s="1">
        <f t="shared" si="1"/>
        <v>2275</v>
      </c>
      <c r="K13" s="1">
        <f t="shared" si="2"/>
        <v>960</v>
      </c>
      <c r="L13" s="1">
        <f>SOLAR!$F$13/20*55*(I13/20)</f>
        <v>9625</v>
      </c>
      <c r="M13" s="195">
        <f t="shared" si="0"/>
        <v>12860</v>
      </c>
      <c r="N13" s="2"/>
      <c r="O13" s="198" t="str">
        <f>""</f>
        <v/>
      </c>
      <c r="P13" s="33">
        <v>0</v>
      </c>
      <c r="Q13" s="33"/>
      <c r="R13" s="33"/>
      <c r="S13" s="31"/>
      <c r="T13" s="31"/>
      <c r="U13" s="199"/>
      <c r="AE13" s="1465"/>
    </row>
    <row r="14" spans="2:36">
      <c r="G14" s="220"/>
      <c r="H14" s="94" t="s">
        <v>114</v>
      </c>
      <c r="I14" s="1">
        <v>800</v>
      </c>
      <c r="J14" s="1">
        <f t="shared" si="1"/>
        <v>2600</v>
      </c>
      <c r="K14" s="1">
        <f t="shared" si="2"/>
        <v>960</v>
      </c>
      <c r="L14" s="1">
        <f>SOLAR!$F$13/20*55*(I14/20)</f>
        <v>11000</v>
      </c>
      <c r="M14" s="195">
        <f t="shared" si="0"/>
        <v>14560</v>
      </c>
      <c r="N14" s="2"/>
      <c r="O14" s="200" t="s">
        <v>364</v>
      </c>
      <c r="P14" s="34">
        <f>S14*R14</f>
        <v>2000</v>
      </c>
      <c r="Q14" s="34">
        <v>0</v>
      </c>
      <c r="R14" s="37">
        <v>1000</v>
      </c>
      <c r="S14" s="32">
        <f>IF(SOLAR!F13&lt;=50,1,IF(SOLAR!F13&lt;=100,2,IF(SOLAR!F13&lt;=200,3,IF(SOLAR!F13&lt;=400,4,IF(SOLAR!F13&gt;400,5,0)))))</f>
        <v>2</v>
      </c>
      <c r="T14" s="32"/>
      <c r="U14" s="201"/>
      <c r="AE14" s="1465"/>
    </row>
    <row r="15" spans="2:36" ht="16.2" thickBot="1">
      <c r="G15" s="220"/>
      <c r="H15" s="94" t="s">
        <v>116</v>
      </c>
      <c r="I15" s="1"/>
      <c r="J15" s="1">
        <f>J9</f>
        <v>975</v>
      </c>
      <c r="K15" s="1">
        <f t="shared" si="2"/>
        <v>960</v>
      </c>
      <c r="L15" s="1">
        <f>(SOLAR!F38/30)*400*1.6</f>
        <v>4266.666666666667</v>
      </c>
      <c r="M15" s="195">
        <f>SUM(J15:L15)</f>
        <v>6201.666666666667</v>
      </c>
      <c r="N15" s="2"/>
      <c r="O15" s="198" t="s">
        <v>1298</v>
      </c>
      <c r="P15" s="33">
        <v>0</v>
      </c>
      <c r="Q15" s="33">
        <v>0</v>
      </c>
      <c r="R15" s="33"/>
      <c r="S15" s="31"/>
      <c r="T15" s="31"/>
      <c r="U15" s="199"/>
      <c r="AE15" s="1465"/>
    </row>
    <row r="16" spans="2:36">
      <c r="B16" s="1450" t="s">
        <v>57</v>
      </c>
      <c r="C16" s="1451"/>
      <c r="E16" s="1450" t="s">
        <v>1299</v>
      </c>
      <c r="F16" s="1451"/>
      <c r="G16" s="220"/>
      <c r="H16" s="94" t="s">
        <v>118</v>
      </c>
      <c r="I16" s="1"/>
      <c r="J16" s="1">
        <f>J9</f>
        <v>975</v>
      </c>
      <c r="K16" s="1">
        <f t="shared" si="2"/>
        <v>960</v>
      </c>
      <c r="L16" s="1">
        <f>(SOLAR!F38/30)*240*1.6</f>
        <v>2560</v>
      </c>
      <c r="M16" s="195">
        <f>SUM(J16:L16)</f>
        <v>4495</v>
      </c>
      <c r="N16" s="1"/>
      <c r="O16" s="200" t="s">
        <v>1300</v>
      </c>
      <c r="P16" s="34">
        <v>0</v>
      </c>
      <c r="Q16" s="34">
        <v>0</v>
      </c>
      <c r="R16" s="34"/>
      <c r="S16" s="32"/>
      <c r="T16" s="32"/>
      <c r="U16" s="201"/>
      <c r="AE16" s="1465"/>
    </row>
    <row r="17" spans="2:34">
      <c r="B17" s="1452"/>
      <c r="C17" s="1453"/>
      <c r="E17" s="1452"/>
      <c r="F17" s="1453"/>
      <c r="G17" s="220"/>
      <c r="H17" s="66"/>
      <c r="M17" s="67"/>
      <c r="O17" s="198" t="s">
        <v>1301</v>
      </c>
      <c r="P17" s="31" t="str">
        <f>"Manual"</f>
        <v>Manual</v>
      </c>
      <c r="Q17" s="33">
        <v>0</v>
      </c>
      <c r="R17" s="33"/>
      <c r="S17" s="31"/>
      <c r="T17" s="31"/>
      <c r="U17" s="199"/>
      <c r="AE17" s="1465"/>
      <c r="AG17" t="s">
        <v>1302</v>
      </c>
      <c r="AH17" t="s">
        <v>1303</v>
      </c>
    </row>
    <row r="18" spans="2:34" ht="16.2" thickBot="1">
      <c r="B18" s="192" t="s">
        <v>292</v>
      </c>
      <c r="C18" s="156" t="s">
        <v>1278</v>
      </c>
      <c r="E18" s="192"/>
      <c r="F18" s="156" t="s">
        <v>1304</v>
      </c>
      <c r="H18" s="88"/>
      <c r="I18" s="75"/>
      <c r="J18" s="75"/>
      <c r="K18" s="75"/>
      <c r="L18" s="75"/>
      <c r="M18" s="76"/>
      <c r="O18" s="200"/>
      <c r="P18" s="32"/>
      <c r="U18" s="67"/>
      <c r="AE18" s="1465"/>
    </row>
    <row r="19" spans="2:34">
      <c r="B19" s="193" t="s">
        <v>143</v>
      </c>
      <c r="C19" s="187">
        <v>0</v>
      </c>
      <c r="E19" s="193" t="s">
        <v>367</v>
      </c>
      <c r="F19" s="187" cm="1">
        <f t="array" ref="F19">_xlfn.IFS(SOLAR!F13&lt;51,400,AND(SOLAR!F13&lt;=101,SOLAR!F13&gt;51),800,AND(SOLAR!F13&gt;101,SOLAR!F13&lt;501),(SOLAR!F13/100)*650,SOLAR!F13&gt;=501,(SOLAR!F13/100)*450)</f>
        <v>800</v>
      </c>
      <c r="O19" s="66"/>
      <c r="U19" s="67"/>
      <c r="AE19" s="1465"/>
      <c r="AH19" t="s">
        <v>1305</v>
      </c>
    </row>
    <row r="20" spans="2:34">
      <c r="B20" s="194" t="s">
        <v>145</v>
      </c>
      <c r="C20" s="188">
        <v>5000</v>
      </c>
      <c r="E20" s="194" t="s">
        <v>1306</v>
      </c>
      <c r="F20" s="188">
        <v>0</v>
      </c>
      <c r="O20" s="66"/>
      <c r="U20" s="67"/>
      <c r="AE20" s="1465"/>
      <c r="AH20" t="s">
        <v>1307</v>
      </c>
    </row>
    <row r="21" spans="2:34" ht="16.2" thickBot="1">
      <c r="B21" s="194"/>
      <c r="C21" s="479"/>
      <c r="E21" s="193" t="s">
        <v>1199</v>
      </c>
      <c r="F21" s="187">
        <v>0</v>
      </c>
      <c r="O21" s="88"/>
      <c r="P21" s="75"/>
      <c r="Q21" s="75"/>
      <c r="R21" s="75"/>
      <c r="S21" s="75"/>
      <c r="T21" s="75"/>
      <c r="U21" s="76"/>
      <c r="AE21" s="1465"/>
      <c r="AH21" t="s">
        <v>1308</v>
      </c>
    </row>
    <row r="22" spans="2:34">
      <c r="B22" s="194"/>
      <c r="C22" s="479"/>
      <c r="E22" s="194"/>
      <c r="F22" s="188"/>
      <c r="AE22" s="1465"/>
    </row>
    <row r="23" spans="2:34">
      <c r="B23" s="194"/>
      <c r="C23" s="479"/>
      <c r="E23" s="193"/>
      <c r="F23" s="187"/>
      <c r="AE23" s="1465"/>
    </row>
    <row r="24" spans="2:34">
      <c r="B24" s="194"/>
      <c r="C24" s="87"/>
      <c r="E24" s="194"/>
      <c r="F24" s="188"/>
      <c r="AE24" s="1465"/>
      <c r="AH24" t="s">
        <v>1309</v>
      </c>
    </row>
    <row r="25" spans="2:34">
      <c r="B25" s="66"/>
      <c r="C25" s="67"/>
      <c r="E25" s="193"/>
      <c r="F25" s="187"/>
      <c r="AE25" s="1465"/>
    </row>
    <row r="26" spans="2:34" ht="16.2" thickBot="1">
      <c r="B26" s="88"/>
      <c r="C26" s="76"/>
      <c r="E26" s="88"/>
      <c r="F26" s="76"/>
      <c r="AE26" s="1465"/>
    </row>
    <row r="27" spans="2:34">
      <c r="AE27" s="1465"/>
    </row>
    <row r="28" spans="2:34">
      <c r="AE28" s="1465"/>
      <c r="AH28" t="s">
        <v>1310</v>
      </c>
    </row>
    <row r="29" spans="2:34">
      <c r="AE29" s="1465"/>
    </row>
    <row r="30" spans="2:34">
      <c r="AE30" s="1465"/>
    </row>
  </sheetData>
  <mergeCells count="8">
    <mergeCell ref="AE12:AE30"/>
    <mergeCell ref="B3:C4"/>
    <mergeCell ref="E3:F4"/>
    <mergeCell ref="H3:M4"/>
    <mergeCell ref="O3:U4"/>
    <mergeCell ref="B16:C17"/>
    <mergeCell ref="E16:F17"/>
    <mergeCell ref="W3:AC4"/>
  </mergeCells>
  <pageMargins left="0.7" right="0.7" top="0.75" bottom="0.75" header="0.3" footer="0.3"/>
  <pageSetup paperSize="9" orientation="portrait" horizontalDpi="1200" verticalDpi="120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99FF99"/>
  </sheetPr>
  <dimension ref="A1:AI16676"/>
  <sheetViews>
    <sheetView topLeftCell="A17" workbookViewId="0">
      <selection activeCell="B38" sqref="B38"/>
    </sheetView>
  </sheetViews>
  <sheetFormatPr defaultColWidth="11" defaultRowHeight="15.6"/>
  <cols>
    <col min="1" max="1" width="27.3984375" style="982" bestFit="1" customWidth="1"/>
    <col min="2" max="2" width="23.09765625" style="982" customWidth="1"/>
    <col min="3" max="3" width="11" style="982" bestFit="1" customWidth="1"/>
    <col min="4" max="4" width="24.8984375" style="982" customWidth="1"/>
    <col min="5" max="8" width="11.5" style="982" customWidth="1"/>
    <col min="9" max="9" width="22.09765625" style="982" bestFit="1" customWidth="1"/>
    <col min="10" max="11" width="11" style="982"/>
    <col min="12" max="14" width="16.59765625" style="982" customWidth="1"/>
    <col min="15" max="16" width="11" style="982"/>
    <col min="17" max="17" width="26.09765625" style="982" customWidth="1"/>
    <col min="18" max="21" width="11" style="982"/>
    <col min="22" max="22" width="10.09765625" style="982" bestFit="1" customWidth="1"/>
    <col min="23" max="23" width="19.8984375" style="982" bestFit="1" customWidth="1"/>
    <col min="24" max="24" width="17.59765625" style="982" bestFit="1" customWidth="1"/>
    <col min="25" max="26" width="21.5" style="982" customWidth="1"/>
    <col min="27" max="27" width="9.8984375" style="982" bestFit="1" customWidth="1"/>
    <col min="28" max="28" width="13.3984375" style="982" customWidth="1"/>
    <col min="29" max="29" width="10.8984375" style="982" bestFit="1" customWidth="1"/>
    <col min="30" max="30" width="12.59765625" style="982" customWidth="1"/>
    <col min="31" max="31" width="9" style="982" bestFit="1" customWidth="1"/>
    <col min="32" max="32" width="9.5" style="982" bestFit="1" customWidth="1"/>
    <col min="33" max="33" width="10.8984375" style="982" bestFit="1" customWidth="1"/>
    <col min="34" max="34" width="9.5" style="982" bestFit="1" customWidth="1"/>
    <col min="35" max="35" width="10.09765625" style="982" bestFit="1" customWidth="1"/>
    <col min="36" max="16384" width="11" style="982"/>
  </cols>
  <sheetData>
    <row r="1" spans="1:35">
      <c r="A1" s="1471" t="s">
        <v>1311</v>
      </c>
      <c r="B1" s="1472"/>
      <c r="C1" s="1473"/>
      <c r="E1" s="1481" t="s">
        <v>1312</v>
      </c>
      <c r="F1" s="1481"/>
      <c r="G1" s="1481"/>
      <c r="H1" s="1481"/>
      <c r="I1" s="1481"/>
      <c r="J1" s="1481"/>
      <c r="K1" s="1113"/>
      <c r="L1" s="1482" t="s">
        <v>1313</v>
      </c>
      <c r="M1" s="1483"/>
      <c r="N1" s="1484"/>
      <c r="O1" s="1113"/>
      <c r="P1" s="1474" t="s">
        <v>1314</v>
      </c>
      <c r="Q1" s="1474"/>
      <c r="R1" s="1474"/>
      <c r="S1" s="1474"/>
      <c r="T1" s="1474"/>
      <c r="U1" s="1113"/>
      <c r="V1" s="1467" t="s">
        <v>1315</v>
      </c>
      <c r="W1" s="1467"/>
    </row>
    <row r="2" spans="1:35">
      <c r="A2" s="1115" t="s">
        <v>1316</v>
      </c>
      <c r="B2" s="657">
        <f>SOLAR!$F$13</f>
        <v>100</v>
      </c>
      <c r="C2" s="1116" t="s">
        <v>1317</v>
      </c>
      <c r="E2" s="1478" t="s">
        <v>1318</v>
      </c>
      <c r="F2" s="1479"/>
      <c r="G2" s="1479"/>
      <c r="H2" s="1480"/>
      <c r="I2" s="11"/>
      <c r="J2" s="10" t="s">
        <v>1319</v>
      </c>
      <c r="K2" s="1114"/>
      <c r="L2" s="1131" t="s">
        <v>1320</v>
      </c>
      <c r="M2" s="1132" t="s">
        <v>291</v>
      </c>
      <c r="N2" s="1133" t="s">
        <v>1321</v>
      </c>
      <c r="O2" s="1114"/>
      <c r="P2" s="1088" t="s">
        <v>1322</v>
      </c>
      <c r="Q2" s="1089" t="s">
        <v>1323</v>
      </c>
      <c r="R2" s="1089" t="s">
        <v>1324</v>
      </c>
      <c r="S2" s="1089" t="s">
        <v>1325</v>
      </c>
      <c r="T2" s="1090" t="s">
        <v>1326</v>
      </c>
      <c r="U2" s="1159"/>
      <c r="V2" s="1270" t="s">
        <v>1327</v>
      </c>
      <c r="W2" s="1270" t="s">
        <v>1328</v>
      </c>
      <c r="X2" s="982" t="s">
        <v>1329</v>
      </c>
      <c r="AA2" s="1395" t="s">
        <v>1330</v>
      </c>
      <c r="AB2" s="1395"/>
      <c r="AC2" s="737">
        <f>SOLAR!F17</f>
        <v>2000</v>
      </c>
    </row>
    <row r="3" spans="1:35" ht="27" customHeight="1" thickBot="1">
      <c r="A3" s="1115" t="s">
        <v>1331</v>
      </c>
      <c r="B3" s="657">
        <f>SOLAR!F22</f>
        <v>0</v>
      </c>
      <c r="C3" s="1116" t="s">
        <v>1317</v>
      </c>
      <c r="E3" s="1475" t="s">
        <v>1332</v>
      </c>
      <c r="F3" s="1476"/>
      <c r="G3" s="1477"/>
      <c r="H3" s="8"/>
      <c r="I3" s="12" t="s">
        <v>1333</v>
      </c>
      <c r="J3" s="13">
        <v>1400</v>
      </c>
      <c r="L3" s="1134">
        <v>3000</v>
      </c>
      <c r="M3" s="1135" t="s">
        <v>1334</v>
      </c>
      <c r="N3" s="1136">
        <v>0.98</v>
      </c>
      <c r="P3" s="1091">
        <v>0</v>
      </c>
      <c r="Q3" s="1092"/>
      <c r="R3" s="1092"/>
      <c r="S3" s="1092">
        <v>0</v>
      </c>
      <c r="T3" s="1093">
        <v>0</v>
      </c>
      <c r="V3" s="1271">
        <v>2025</v>
      </c>
      <c r="W3" s="1271">
        <v>9.3000000000000007</v>
      </c>
      <c r="AA3" s="573" t="s">
        <v>1335</v>
      </c>
      <c r="AB3" s="573">
        <f>_xlfn.XLOOKUP($AC$2,$P:$P,$S:$S)</f>
        <v>151.25664900000001</v>
      </c>
      <c r="AC3" s="573"/>
    </row>
    <row r="4" spans="1:35" ht="27" thickBot="1">
      <c r="A4" s="1115" t="s">
        <v>1336</v>
      </c>
      <c r="B4" s="657">
        <f>SOLAR!$F$17</f>
        <v>2000</v>
      </c>
      <c r="C4" s="1116"/>
      <c r="E4" s="1099" t="s">
        <v>1337</v>
      </c>
      <c r="F4" s="1100" t="s">
        <v>1338</v>
      </c>
      <c r="G4" s="1101" t="s">
        <v>1339</v>
      </c>
      <c r="H4" s="1102" t="s">
        <v>1340</v>
      </c>
      <c r="I4" s="12" t="s">
        <v>1341</v>
      </c>
      <c r="J4" s="13">
        <v>1430</v>
      </c>
      <c r="L4" s="1134">
        <v>3001</v>
      </c>
      <c r="M4" s="1135" t="s">
        <v>1334</v>
      </c>
      <c r="N4" s="1136">
        <v>0.98</v>
      </c>
      <c r="P4" s="1094">
        <v>200</v>
      </c>
      <c r="Q4" t="s">
        <v>1342</v>
      </c>
      <c r="R4" t="s">
        <v>617</v>
      </c>
      <c r="S4">
        <v>0</v>
      </c>
      <c r="T4" s="1095">
        <v>0</v>
      </c>
      <c r="V4" s="1271">
        <v>2026</v>
      </c>
      <c r="W4" s="1271">
        <v>8.4</v>
      </c>
      <c r="AA4" s="573" t="s">
        <v>1343</v>
      </c>
      <c r="AB4" s="573">
        <f>_xlfn.XLOOKUP($AC$2,$P:$P,$T:$T)</f>
        <v>-33.859952999999997</v>
      </c>
      <c r="AC4" s="573"/>
    </row>
    <row r="5" spans="1:35" ht="16.2" thickBot="1">
      <c r="A5" s="1115" t="s">
        <v>1344</v>
      </c>
      <c r="B5" s="1117">
        <f>SOLAR!$F$20</f>
        <v>2026</v>
      </c>
      <c r="C5" s="1116"/>
      <c r="E5" s="1103">
        <v>0</v>
      </c>
      <c r="F5" s="1104">
        <v>799</v>
      </c>
      <c r="G5" s="1105">
        <v>3</v>
      </c>
      <c r="H5" s="1106">
        <f t="shared" ref="H5:H36" si="0">MROUND((VLOOKUP(G5,$I$12:$J$15,2,FALSE)*1050),10)</f>
        <v>1450</v>
      </c>
      <c r="I5" s="12" t="s">
        <v>1345</v>
      </c>
      <c r="J5" s="13">
        <v>1450</v>
      </c>
      <c r="L5" s="1134">
        <v>3002</v>
      </c>
      <c r="M5" s="1135" t="s">
        <v>1334</v>
      </c>
      <c r="N5" s="1136">
        <v>0.98</v>
      </c>
      <c r="P5" s="1094">
        <v>221</v>
      </c>
      <c r="Q5" t="s">
        <v>1346</v>
      </c>
      <c r="R5" t="s">
        <v>617</v>
      </c>
      <c r="S5">
        <v>0</v>
      </c>
      <c r="T5" s="1095">
        <v>0</v>
      </c>
      <c r="V5" s="1271">
        <v>2027</v>
      </c>
      <c r="W5" s="1271">
        <v>7.4</v>
      </c>
    </row>
    <row r="6" spans="1:35" ht="16.2" thickBot="1">
      <c r="A6" s="1118"/>
      <c r="B6" s="657"/>
      <c r="C6" s="1116"/>
      <c r="E6" s="1103">
        <v>800</v>
      </c>
      <c r="F6" s="1104">
        <v>853</v>
      </c>
      <c r="G6" s="1105">
        <v>2</v>
      </c>
      <c r="H6" s="1106">
        <f t="shared" si="0"/>
        <v>1610</v>
      </c>
      <c r="I6" s="12" t="s">
        <v>1347</v>
      </c>
      <c r="J6" s="13">
        <v>1500</v>
      </c>
      <c r="L6" s="1134">
        <v>3003</v>
      </c>
      <c r="M6" s="1135" t="s">
        <v>1334</v>
      </c>
      <c r="N6" s="1136">
        <v>0.98</v>
      </c>
      <c r="P6" s="1094">
        <v>800</v>
      </c>
      <c r="Q6" t="s">
        <v>1348</v>
      </c>
      <c r="R6" t="s">
        <v>619</v>
      </c>
      <c r="S6">
        <v>130.83668</v>
      </c>
      <c r="T6" s="1095">
        <v>-12.458684</v>
      </c>
      <c r="V6" s="1271">
        <v>2028</v>
      </c>
      <c r="W6" s="1271">
        <v>6.5</v>
      </c>
    </row>
    <row r="7" spans="1:35" ht="16.2" thickBot="1">
      <c r="A7" s="1115" t="s">
        <v>1349</v>
      </c>
      <c r="B7" s="657">
        <f>VLOOKUP((VLOOKUP(B4,Rebates!E5:G141,3,TRUE)),Rebates!I12:J15,2,FALSE)</f>
        <v>1.3819999999999999</v>
      </c>
      <c r="C7" s="1116"/>
      <c r="E7" s="1103">
        <v>854</v>
      </c>
      <c r="F7" s="1104">
        <v>854</v>
      </c>
      <c r="G7" s="1105">
        <v>3</v>
      </c>
      <c r="H7" s="1106">
        <f t="shared" si="0"/>
        <v>1450</v>
      </c>
      <c r="I7" s="12" t="s">
        <v>1350</v>
      </c>
      <c r="J7" s="13">
        <v>1550</v>
      </c>
      <c r="L7" s="1134">
        <v>3004</v>
      </c>
      <c r="M7" s="1135" t="s">
        <v>1334</v>
      </c>
      <c r="N7" s="1136">
        <v>0.98</v>
      </c>
      <c r="P7" s="1094">
        <v>801</v>
      </c>
      <c r="Q7" t="s">
        <v>1348</v>
      </c>
      <c r="R7" t="s">
        <v>619</v>
      </c>
      <c r="S7">
        <v>0</v>
      </c>
      <c r="T7" s="1095">
        <v>0</v>
      </c>
      <c r="V7" s="1271">
        <v>2029</v>
      </c>
      <c r="W7" s="1271">
        <v>5.6</v>
      </c>
    </row>
    <row r="8" spans="1:35" ht="27.6" thickBot="1">
      <c r="A8" s="1115" t="s">
        <v>1351</v>
      </c>
      <c r="B8" s="1117">
        <f>SOLAR!L17</f>
        <v>100</v>
      </c>
      <c r="C8" s="1116" t="s">
        <v>1317</v>
      </c>
      <c r="E8" s="1103">
        <v>855</v>
      </c>
      <c r="F8" s="1104">
        <v>861</v>
      </c>
      <c r="G8" s="1105">
        <v>2</v>
      </c>
      <c r="H8" s="1106">
        <f t="shared" si="0"/>
        <v>1610</v>
      </c>
      <c r="I8" s="12" t="s">
        <v>1352</v>
      </c>
      <c r="J8" s="13">
        <v>1650</v>
      </c>
      <c r="L8" s="1134">
        <v>3006</v>
      </c>
      <c r="M8" s="1135" t="s">
        <v>1334</v>
      </c>
      <c r="N8" s="1136">
        <v>0.98</v>
      </c>
      <c r="P8" s="1094">
        <v>804</v>
      </c>
      <c r="Q8" t="s">
        <v>1353</v>
      </c>
      <c r="R8" t="s">
        <v>619</v>
      </c>
      <c r="S8">
        <v>0</v>
      </c>
      <c r="T8" s="1095">
        <v>0</v>
      </c>
      <c r="V8" s="1271">
        <v>2030</v>
      </c>
      <c r="W8" s="1271">
        <v>4.7</v>
      </c>
      <c r="AA8" s="1014" t="s">
        <v>1354</v>
      </c>
      <c r="AB8" s="1014" t="s">
        <v>1355</v>
      </c>
      <c r="AC8" s="1014" t="s">
        <v>1356</v>
      </c>
      <c r="AD8" s="1014" t="s">
        <v>1357</v>
      </c>
      <c r="AE8" s="1014" t="s">
        <v>1358</v>
      </c>
      <c r="AF8" s="1014" t="s">
        <v>1359</v>
      </c>
      <c r="AG8" s="1014" t="s">
        <v>1360</v>
      </c>
      <c r="AH8" s="1014" t="s">
        <v>1361</v>
      </c>
      <c r="AI8" s="1014" t="s">
        <v>1362</v>
      </c>
    </row>
    <row r="9" spans="1:35" ht="27.6" thickBot="1">
      <c r="A9" s="1115" t="s">
        <v>1363</v>
      </c>
      <c r="B9" s="1117">
        <f>2031-B5</f>
        <v>5</v>
      </c>
      <c r="C9" s="1116" t="s">
        <v>1364</v>
      </c>
      <c r="E9" s="1103">
        <v>862</v>
      </c>
      <c r="F9" s="1104">
        <v>862</v>
      </c>
      <c r="G9" s="1105">
        <v>3</v>
      </c>
      <c r="H9" s="1106">
        <f t="shared" si="0"/>
        <v>1450</v>
      </c>
      <c r="I9" s="12" t="s">
        <v>1365</v>
      </c>
      <c r="J9" s="13">
        <v>1380</v>
      </c>
      <c r="L9" s="1134">
        <v>3008</v>
      </c>
      <c r="M9" s="1135" t="s">
        <v>1334</v>
      </c>
      <c r="N9" s="1136">
        <v>0.98</v>
      </c>
      <c r="P9" s="1094">
        <v>810</v>
      </c>
      <c r="Q9" t="s">
        <v>1366</v>
      </c>
      <c r="R9" t="s">
        <v>619</v>
      </c>
      <c r="S9">
        <v>130.866242</v>
      </c>
      <c r="T9" s="1095">
        <v>-12.381805999999999</v>
      </c>
      <c r="AA9" s="1011" t="s">
        <v>1367</v>
      </c>
      <c r="AB9" s="1011" t="s">
        <v>1368</v>
      </c>
      <c r="AC9" s="1012">
        <v>-33.868000000000002</v>
      </c>
      <c r="AD9" s="1012">
        <v>151.20699999999999</v>
      </c>
      <c r="AE9" s="1013">
        <f>$AB$4-AC9</f>
        <v>8.0470000000048003E-3</v>
      </c>
      <c r="AF9" s="1013">
        <f>$AB$3-AD9</f>
        <v>4.9649000000016486E-2</v>
      </c>
      <c r="AG9" s="437">
        <f>ABS(111*AE9)</f>
        <v>0.89321700000053283</v>
      </c>
      <c r="AH9" s="437">
        <f>ABS(100*AF9)</f>
        <v>4.9649000000016486</v>
      </c>
      <c r="AI9" s="437">
        <f>SQRT(AG9^2+AH9^2)</f>
        <v>5.0446078756535995</v>
      </c>
    </row>
    <row r="10" spans="1:35" ht="16.2" thickBot="1">
      <c r="A10" s="1118"/>
      <c r="B10" s="657"/>
      <c r="C10" s="1116"/>
      <c r="E10" s="1103">
        <v>863</v>
      </c>
      <c r="F10" s="1104">
        <v>869</v>
      </c>
      <c r="G10" s="1105">
        <v>2</v>
      </c>
      <c r="H10" s="1106">
        <f t="shared" si="0"/>
        <v>1610</v>
      </c>
      <c r="I10" s="1112"/>
      <c r="J10" s="1112"/>
      <c r="L10" s="1134">
        <v>3010</v>
      </c>
      <c r="M10" s="1135" t="s">
        <v>1334</v>
      </c>
      <c r="N10" s="1136">
        <v>0.98</v>
      </c>
      <c r="P10" s="1094">
        <v>810</v>
      </c>
      <c r="Q10" t="s">
        <v>1369</v>
      </c>
      <c r="R10" t="s">
        <v>619</v>
      </c>
      <c r="S10">
        <v>130.866242</v>
      </c>
      <c r="T10" s="1095">
        <v>-12.381805999999999</v>
      </c>
      <c r="V10" s="1485" t="s">
        <v>1315</v>
      </c>
      <c r="W10" s="1486"/>
      <c r="X10" s="1486"/>
      <c r="Y10" s="1487"/>
      <c r="AA10" s="1011" t="s">
        <v>1365</v>
      </c>
      <c r="AB10" s="1011" t="s">
        <v>1370</v>
      </c>
      <c r="AC10" s="1012">
        <v>-37.814</v>
      </c>
      <c r="AD10" s="1012">
        <v>144.96299999999999</v>
      </c>
      <c r="AE10" s="1013">
        <f t="shared" ref="AE10:AE13" si="1">$AB$4-AC10</f>
        <v>3.9540470000000028</v>
      </c>
      <c r="AF10" s="1013">
        <f t="shared" ref="AF10:AF13" si="2">$AB$3-AD10</f>
        <v>6.2936490000000163</v>
      </c>
      <c r="AG10" s="437">
        <f t="shared" ref="AG10:AG13" si="3">ABS(111*AE10)</f>
        <v>438.89921700000031</v>
      </c>
      <c r="AH10" s="437">
        <f t="shared" ref="AH10:AH13" si="4">ABS(100*AF10)</f>
        <v>629.36490000000163</v>
      </c>
      <c r="AI10" s="437">
        <f t="shared" ref="AI10:AI13" si="5">SQRT(AG10^2+AH10^2)</f>
        <v>767.28918931210376</v>
      </c>
    </row>
    <row r="11" spans="1:35" ht="16.2" thickBot="1">
      <c r="A11" s="1115" t="s">
        <v>1371</v>
      </c>
      <c r="B11" s="657">
        <f>ROUNDDOWN(B8*B7*B9,0)</f>
        <v>691</v>
      </c>
      <c r="C11" s="1116"/>
      <c r="E11" s="1103">
        <v>870</v>
      </c>
      <c r="F11" s="1104">
        <v>879</v>
      </c>
      <c r="G11" s="1105">
        <v>1</v>
      </c>
      <c r="H11" s="1106">
        <f t="shared" si="0"/>
        <v>1700</v>
      </c>
      <c r="I11" s="12" t="s">
        <v>1372</v>
      </c>
      <c r="J11" s="13" t="s">
        <v>1373</v>
      </c>
      <c r="L11" s="1134">
        <v>3011</v>
      </c>
      <c r="M11" s="1135" t="s">
        <v>1334</v>
      </c>
      <c r="N11" s="1136">
        <v>0.98</v>
      </c>
      <c r="P11" s="1094">
        <v>810</v>
      </c>
      <c r="Q11" t="s">
        <v>1374</v>
      </c>
      <c r="R11" t="s">
        <v>619</v>
      </c>
      <c r="S11">
        <v>130.866242</v>
      </c>
      <c r="T11" s="1095">
        <v>-12.381805999999999</v>
      </c>
      <c r="V11" s="1272" t="s">
        <v>1327</v>
      </c>
      <c r="W11" s="1273" t="s">
        <v>1375</v>
      </c>
      <c r="X11" s="1273" t="s">
        <v>1376</v>
      </c>
      <c r="Y11" s="1274" t="s">
        <v>1377</v>
      </c>
      <c r="AA11" s="1011" t="s">
        <v>1378</v>
      </c>
      <c r="AB11" s="1011" t="s">
        <v>1379</v>
      </c>
      <c r="AC11" s="1012">
        <v>-27.468</v>
      </c>
      <c r="AD11" s="1012">
        <v>153.02799999999999</v>
      </c>
      <c r="AE11" s="1013">
        <f t="shared" si="1"/>
        <v>-6.3919529999999973</v>
      </c>
      <c r="AF11" s="1013">
        <f t="shared" si="2"/>
        <v>-1.7713509999999815</v>
      </c>
      <c r="AG11" s="437">
        <f t="shared" si="3"/>
        <v>709.5067829999997</v>
      </c>
      <c r="AH11" s="437">
        <f t="shared" si="4"/>
        <v>177.13509999999815</v>
      </c>
      <c r="AI11" s="437">
        <f t="shared" si="5"/>
        <v>731.28429408474108</v>
      </c>
    </row>
    <row r="12" spans="1:35" ht="27.6" thickBot="1">
      <c r="A12" s="1115" t="s">
        <v>1380</v>
      </c>
      <c r="B12" s="1161">
        <v>37.200000000000003</v>
      </c>
      <c r="C12" s="1116" t="s">
        <v>1381</v>
      </c>
      <c r="E12" s="1103">
        <v>880</v>
      </c>
      <c r="F12" s="1104">
        <v>885</v>
      </c>
      <c r="G12" s="1105">
        <v>3</v>
      </c>
      <c r="H12" s="1106">
        <f t="shared" si="0"/>
        <v>1450</v>
      </c>
      <c r="I12" s="14">
        <v>1</v>
      </c>
      <c r="J12" s="15">
        <v>1.6220000000000001</v>
      </c>
      <c r="L12" s="1134">
        <v>3012</v>
      </c>
      <c r="M12" s="1135" t="s">
        <v>1334</v>
      </c>
      <c r="N12" s="1136">
        <v>0.98</v>
      </c>
      <c r="P12" s="1094">
        <v>810</v>
      </c>
      <c r="Q12" t="s">
        <v>1382</v>
      </c>
      <c r="R12" t="s">
        <v>619</v>
      </c>
      <c r="S12">
        <v>130.866242</v>
      </c>
      <c r="T12" s="1095">
        <v>-12.381805999999999</v>
      </c>
      <c r="V12" s="1275">
        <v>2026</v>
      </c>
      <c r="W12" s="1276">
        <v>5</v>
      </c>
      <c r="X12" s="1276">
        <v>12</v>
      </c>
      <c r="Y12" s="1277">
        <v>6.8</v>
      </c>
      <c r="AA12" s="1011" t="s">
        <v>1383</v>
      </c>
      <c r="AB12" s="1011" t="s">
        <v>1384</v>
      </c>
      <c r="AC12" s="1012">
        <v>-31.952000000000002</v>
      </c>
      <c r="AD12" s="1012">
        <v>115.861</v>
      </c>
      <c r="AE12" s="1013">
        <f t="shared" si="1"/>
        <v>-1.9079529999999956</v>
      </c>
      <c r="AF12" s="1013">
        <f t="shared" si="2"/>
        <v>35.395649000000006</v>
      </c>
      <c r="AG12" s="437">
        <f t="shared" si="3"/>
        <v>211.78278299999951</v>
      </c>
      <c r="AH12" s="437">
        <f t="shared" si="4"/>
        <v>3539.5649000000008</v>
      </c>
      <c r="AI12" s="437">
        <f t="shared" si="5"/>
        <v>3545.8950391244298</v>
      </c>
    </row>
    <row r="13" spans="1:35" ht="16.350000000000001" customHeight="1" thickBot="1">
      <c r="A13" s="1119" t="s">
        <v>1385</v>
      </c>
      <c r="B13" s="1120">
        <f>B12*B11</f>
        <v>25705.200000000001</v>
      </c>
      <c r="C13" s="1121"/>
      <c r="E13" s="1103">
        <v>886</v>
      </c>
      <c r="F13" s="1104">
        <v>1000</v>
      </c>
      <c r="G13" s="1105">
        <v>2</v>
      </c>
      <c r="H13" s="1106">
        <f t="shared" si="0"/>
        <v>1610</v>
      </c>
      <c r="I13" s="14">
        <v>2</v>
      </c>
      <c r="J13" s="15">
        <v>1.536</v>
      </c>
      <c r="L13" s="1134">
        <v>3013</v>
      </c>
      <c r="M13" s="1135" t="s">
        <v>1334</v>
      </c>
      <c r="N13" s="1136">
        <v>0.98</v>
      </c>
      <c r="P13" s="1094">
        <v>810</v>
      </c>
      <c r="Q13" t="s">
        <v>1386</v>
      </c>
      <c r="R13" t="s">
        <v>619</v>
      </c>
      <c r="S13">
        <v>130.866242</v>
      </c>
      <c r="T13" s="1095">
        <v>-12.381805999999999</v>
      </c>
      <c r="V13" s="1275">
        <v>2027</v>
      </c>
      <c r="W13" s="1276">
        <v>1</v>
      </c>
      <c r="X13" s="1276">
        <v>6</v>
      </c>
      <c r="Y13" s="1277">
        <v>5.7</v>
      </c>
      <c r="AA13" s="1011" t="s">
        <v>1387</v>
      </c>
      <c r="AB13" s="1011" t="s">
        <v>1388</v>
      </c>
      <c r="AC13" s="1012">
        <v>-34.929000000000002</v>
      </c>
      <c r="AD13" s="1012">
        <v>138.59899999999999</v>
      </c>
      <c r="AE13" s="1013">
        <f t="shared" si="1"/>
        <v>1.0690470000000047</v>
      </c>
      <c r="AF13" s="1013">
        <f t="shared" si="2"/>
        <v>12.657649000000021</v>
      </c>
      <c r="AG13" s="437">
        <f t="shared" si="3"/>
        <v>118.66421700000052</v>
      </c>
      <c r="AH13" s="437">
        <f t="shared" si="4"/>
        <v>1265.7649000000019</v>
      </c>
      <c r="AI13" s="437">
        <f t="shared" si="5"/>
        <v>1271.3150586964027</v>
      </c>
    </row>
    <row r="14" spans="1:35" ht="27.6" thickBot="1">
      <c r="E14" s="1103">
        <v>1001</v>
      </c>
      <c r="F14" s="1104">
        <v>2355</v>
      </c>
      <c r="G14" s="1105">
        <v>3</v>
      </c>
      <c r="H14" s="1106">
        <f t="shared" si="0"/>
        <v>1450</v>
      </c>
      <c r="I14" s="14">
        <v>3</v>
      </c>
      <c r="J14" s="15">
        <v>1.3819999999999999</v>
      </c>
      <c r="L14" s="1134">
        <v>3015</v>
      </c>
      <c r="M14" s="1135" t="s">
        <v>1334</v>
      </c>
      <c r="N14" s="1136">
        <v>0.98</v>
      </c>
      <c r="P14" s="1094">
        <v>810</v>
      </c>
      <c r="Q14" t="s">
        <v>1389</v>
      </c>
      <c r="R14" t="s">
        <v>619</v>
      </c>
      <c r="S14">
        <v>130.866242</v>
      </c>
      <c r="T14" s="1095">
        <v>-12.381805999999999</v>
      </c>
      <c r="V14" s="1275">
        <v>2027</v>
      </c>
      <c r="W14" s="1276">
        <v>7</v>
      </c>
      <c r="X14" s="1276">
        <v>12</v>
      </c>
      <c r="Y14" s="1277">
        <v>5.2</v>
      </c>
      <c r="AA14" s="1011" t="s">
        <v>116</v>
      </c>
      <c r="AB14" s="1011" t="s">
        <v>1390</v>
      </c>
      <c r="AC14" s="1012">
        <v>-12.462999999999999</v>
      </c>
      <c r="AD14" s="1012">
        <v>130.84200000000001</v>
      </c>
      <c r="AE14" s="1013">
        <f>$AB$4-AC14</f>
        <v>-21.396952999999996</v>
      </c>
      <c r="AF14" s="1013">
        <f>$AB$3-AD14</f>
        <v>20.414648999999997</v>
      </c>
      <c r="AG14" s="437">
        <f>ABS(111*AE14)</f>
        <v>2375.0617829999997</v>
      </c>
      <c r="AH14" s="437">
        <f>ABS(100*AF14)</f>
        <v>2041.4648999999997</v>
      </c>
      <c r="AI14" s="437">
        <f>SQRT(AG14^2+AH14^2)</f>
        <v>3131.8520736138139</v>
      </c>
    </row>
    <row r="15" spans="1:35" ht="16.2" thickBot="1">
      <c r="E15" s="1103">
        <v>2356</v>
      </c>
      <c r="F15" s="1104">
        <v>2357</v>
      </c>
      <c r="G15" s="1105">
        <v>2</v>
      </c>
      <c r="H15" s="1106">
        <f t="shared" si="0"/>
        <v>1610</v>
      </c>
      <c r="I15" s="14">
        <v>4</v>
      </c>
      <c r="J15" s="15">
        <v>1.1850000000000001</v>
      </c>
      <c r="L15" s="1134">
        <v>3016</v>
      </c>
      <c r="M15" s="1135" t="s">
        <v>1334</v>
      </c>
      <c r="N15" s="1136">
        <v>0.98</v>
      </c>
      <c r="P15" s="1094">
        <v>810</v>
      </c>
      <c r="Q15" t="s">
        <v>1391</v>
      </c>
      <c r="R15" t="s">
        <v>619</v>
      </c>
      <c r="S15">
        <v>130.866242</v>
      </c>
      <c r="T15" s="1095">
        <v>-12.381805999999999</v>
      </c>
      <c r="V15" s="1275">
        <v>2028</v>
      </c>
      <c r="W15" s="1276">
        <v>1</v>
      </c>
      <c r="X15" s="1276">
        <v>6</v>
      </c>
      <c r="Y15" s="1277">
        <v>4.5999999999999996</v>
      </c>
    </row>
    <row r="16" spans="1:35" ht="16.2" thickBot="1">
      <c r="A16" s="1468" t="s">
        <v>1392</v>
      </c>
      <c r="B16" s="1469"/>
      <c r="C16" s="1470"/>
      <c r="E16" s="1103">
        <v>2358</v>
      </c>
      <c r="F16" s="1104">
        <v>2384</v>
      </c>
      <c r="G16" s="1105">
        <v>3</v>
      </c>
      <c r="H16" s="1106">
        <f t="shared" si="0"/>
        <v>1450</v>
      </c>
      <c r="L16" s="1134">
        <v>3018</v>
      </c>
      <c r="M16" s="1135" t="s">
        <v>1334</v>
      </c>
      <c r="N16" s="1136">
        <v>0.98</v>
      </c>
      <c r="P16" s="1094">
        <v>810</v>
      </c>
      <c r="Q16" t="s">
        <v>1393</v>
      </c>
      <c r="R16" t="s">
        <v>619</v>
      </c>
      <c r="S16">
        <v>130.866242</v>
      </c>
      <c r="T16" s="1095">
        <v>-12.381805999999999</v>
      </c>
      <c r="V16" s="1275">
        <v>2028</v>
      </c>
      <c r="W16" s="1276">
        <v>7</v>
      </c>
      <c r="X16" s="1276">
        <v>12</v>
      </c>
      <c r="Y16" s="1277">
        <v>4.0999999999999996</v>
      </c>
    </row>
    <row r="17" spans="1:30" ht="16.2" thickBot="1">
      <c r="A17" s="1122" t="s">
        <v>1394</v>
      </c>
      <c r="B17" s="1123">
        <f>SOLAR!$F$13</f>
        <v>100</v>
      </c>
      <c r="C17" s="1124" t="s">
        <v>1317</v>
      </c>
      <c r="E17" s="1103">
        <v>2385</v>
      </c>
      <c r="F17" s="1104">
        <v>2389</v>
      </c>
      <c r="G17" s="1105">
        <v>2</v>
      </c>
      <c r="H17" s="1106">
        <f t="shared" si="0"/>
        <v>1610</v>
      </c>
      <c r="L17" s="1134">
        <v>3019</v>
      </c>
      <c r="M17" s="1135" t="s">
        <v>1334</v>
      </c>
      <c r="N17" s="1136">
        <v>0.98</v>
      </c>
      <c r="P17" s="1094">
        <v>810</v>
      </c>
      <c r="Q17" t="s">
        <v>1395</v>
      </c>
      <c r="R17" t="s">
        <v>619</v>
      </c>
      <c r="S17">
        <v>130.866242</v>
      </c>
      <c r="T17" s="1095">
        <v>-12.381805999999999</v>
      </c>
      <c r="V17" s="1275">
        <v>2029</v>
      </c>
      <c r="W17" s="1276">
        <v>1</v>
      </c>
      <c r="X17" s="1276">
        <v>6</v>
      </c>
      <c r="Y17" s="1277">
        <v>3.6</v>
      </c>
    </row>
    <row r="18" spans="1:30" ht="16.2" thickBot="1">
      <c r="A18" s="1122" t="s">
        <v>1320</v>
      </c>
      <c r="B18" s="1123">
        <f>SOLAR!$F$17</f>
        <v>2000</v>
      </c>
      <c r="C18" s="1124"/>
      <c r="E18" s="1103">
        <v>2390</v>
      </c>
      <c r="F18" s="1104">
        <v>2395</v>
      </c>
      <c r="G18" s="1105">
        <v>3</v>
      </c>
      <c r="H18" s="1106">
        <f t="shared" si="0"/>
        <v>1450</v>
      </c>
      <c r="L18" s="1134">
        <v>3020</v>
      </c>
      <c r="M18" s="1135" t="s">
        <v>1334</v>
      </c>
      <c r="N18" s="1136">
        <v>0.98</v>
      </c>
      <c r="P18" s="1094">
        <v>810</v>
      </c>
      <c r="Q18" t="s">
        <v>1396</v>
      </c>
      <c r="R18" t="s">
        <v>619</v>
      </c>
      <c r="S18">
        <v>130.866242</v>
      </c>
      <c r="T18" s="1095">
        <v>-12.381805999999999</v>
      </c>
      <c r="V18" s="1275">
        <v>2029</v>
      </c>
      <c r="W18" s="1276">
        <v>7</v>
      </c>
      <c r="X18" s="1276">
        <v>12</v>
      </c>
      <c r="Y18" s="1277">
        <v>3.1</v>
      </c>
    </row>
    <row r="19" spans="1:30" ht="16.2" thickBot="1">
      <c r="A19" s="1122" t="s">
        <v>1397</v>
      </c>
      <c r="B19" s="1123" t="str">
        <f>IF(OR(SOLAR!F18&lt;&gt;"VIC",COUNTIF(L:L, B18)=0),"Not in VIC","")</f>
        <v>Not in VIC</v>
      </c>
      <c r="C19" s="1124"/>
      <c r="E19" s="1103">
        <v>2396</v>
      </c>
      <c r="F19" s="1104">
        <v>2397</v>
      </c>
      <c r="G19" s="1105">
        <v>2</v>
      </c>
      <c r="H19" s="1106">
        <f t="shared" si="0"/>
        <v>1610</v>
      </c>
      <c r="L19" s="1134">
        <v>3021</v>
      </c>
      <c r="M19" s="1135" t="s">
        <v>1334</v>
      </c>
      <c r="N19" s="1136">
        <v>0.98</v>
      </c>
      <c r="P19" s="1094">
        <v>810</v>
      </c>
      <c r="Q19" t="s">
        <v>1398</v>
      </c>
      <c r="R19" t="s">
        <v>619</v>
      </c>
      <c r="S19">
        <v>130.866242</v>
      </c>
      <c r="T19" s="1095">
        <v>-12.381805999999999</v>
      </c>
      <c r="V19" s="1275">
        <v>2030</v>
      </c>
      <c r="W19" s="1276">
        <v>1</v>
      </c>
      <c r="X19" s="1276">
        <v>6</v>
      </c>
      <c r="Y19" s="1277">
        <v>2.6</v>
      </c>
    </row>
    <row r="20" spans="1:30" ht="16.2" thickBot="1">
      <c r="A20" s="1122" t="s">
        <v>1399</v>
      </c>
      <c r="B20" s="1123" t="str">
        <f>IF(OR(B17&lt;30,B17&gt;200),"Size not Applicable (30kWp - 200kWp)","")</f>
        <v/>
      </c>
      <c r="C20" s="1124"/>
      <c r="E20" s="1103">
        <v>2398</v>
      </c>
      <c r="F20" s="1104">
        <v>2399</v>
      </c>
      <c r="G20" s="1105">
        <v>3</v>
      </c>
      <c r="H20" s="1106">
        <f t="shared" si="0"/>
        <v>1450</v>
      </c>
      <c r="L20" s="1134">
        <v>3022</v>
      </c>
      <c r="M20" s="1135" t="s">
        <v>1334</v>
      </c>
      <c r="N20" s="1136">
        <v>0.98</v>
      </c>
      <c r="P20" s="1094">
        <v>810</v>
      </c>
      <c r="Q20" t="s">
        <v>1400</v>
      </c>
      <c r="R20" t="s">
        <v>619</v>
      </c>
      <c r="S20">
        <v>130.866242</v>
      </c>
      <c r="T20" s="1095">
        <v>-12.381805999999999</v>
      </c>
      <c r="V20" s="1278">
        <v>2030</v>
      </c>
      <c r="W20" s="1279">
        <v>7</v>
      </c>
      <c r="X20" s="1279">
        <v>12</v>
      </c>
      <c r="Y20" s="1280">
        <v>2.1</v>
      </c>
    </row>
    <row r="21" spans="1:30" ht="16.2" thickBot="1">
      <c r="A21" s="1122" t="s">
        <v>1401</v>
      </c>
      <c r="B21" s="1125" t="str">
        <f>IF('AC Calculator'!B15&lt;29.9,"Inverter Too Small (&lt;30kVA)","")</f>
        <v/>
      </c>
      <c r="C21" s="1124"/>
      <c r="E21" s="1103">
        <v>2400</v>
      </c>
      <c r="F21" s="1104">
        <v>2400</v>
      </c>
      <c r="G21" s="1105">
        <v>2</v>
      </c>
      <c r="H21" s="1106">
        <f t="shared" si="0"/>
        <v>1610</v>
      </c>
      <c r="L21" s="1134">
        <v>3023</v>
      </c>
      <c r="M21" s="1135" t="s">
        <v>1334</v>
      </c>
      <c r="N21" s="1136">
        <v>0.98</v>
      </c>
      <c r="P21" s="1094">
        <v>810</v>
      </c>
      <c r="Q21" t="s">
        <v>1402</v>
      </c>
      <c r="R21" t="s">
        <v>619</v>
      </c>
      <c r="S21">
        <v>130.866242</v>
      </c>
      <c r="T21" s="1095">
        <v>-12.381805999999999</v>
      </c>
    </row>
    <row r="22" spans="1:30" ht="16.2" thickBot="1">
      <c r="A22" s="1122" t="s">
        <v>1403</v>
      </c>
      <c r="B22" s="1123" t="str">
        <f>_xlfn.TEXTJOIN(", ", TRUE, B19:B21)</f>
        <v>Not in VIC</v>
      </c>
      <c r="C22" s="1124"/>
      <c r="E22" s="1103">
        <v>2401</v>
      </c>
      <c r="F22" s="1104">
        <v>2404</v>
      </c>
      <c r="G22" s="1105">
        <v>3</v>
      </c>
      <c r="H22" s="1106">
        <f t="shared" si="0"/>
        <v>1450</v>
      </c>
      <c r="L22" s="1134">
        <v>3024</v>
      </c>
      <c r="M22" s="1135" t="s">
        <v>1334</v>
      </c>
      <c r="N22" s="1136">
        <v>0.98</v>
      </c>
      <c r="P22" s="1094">
        <v>810</v>
      </c>
      <c r="Q22" t="s">
        <v>1404</v>
      </c>
      <c r="R22" t="s">
        <v>619</v>
      </c>
      <c r="S22">
        <v>130.866242</v>
      </c>
      <c r="T22" s="1095">
        <v>-12.381805999999999</v>
      </c>
      <c r="V22" s="1281" t="s">
        <v>1405</v>
      </c>
      <c r="W22" s="1281" t="s">
        <v>1406</v>
      </c>
    </row>
    <row r="23" spans="1:30" ht="16.2" thickBot="1">
      <c r="A23" s="1122"/>
      <c r="B23" s="1123"/>
      <c r="C23" s="1124"/>
      <c r="E23" s="1103">
        <v>2405</v>
      </c>
      <c r="F23" s="1104">
        <v>2407</v>
      </c>
      <c r="G23" s="1105">
        <v>2</v>
      </c>
      <c r="H23" s="1106">
        <f t="shared" si="0"/>
        <v>1610</v>
      </c>
      <c r="L23" s="1134">
        <v>3025</v>
      </c>
      <c r="M23" s="1135" t="s">
        <v>1334</v>
      </c>
      <c r="N23" s="1136">
        <v>0.98</v>
      </c>
      <c r="P23" s="1094">
        <v>811</v>
      </c>
      <c r="Q23" t="s">
        <v>1374</v>
      </c>
      <c r="R23" t="s">
        <v>619</v>
      </c>
      <c r="S23">
        <v>0</v>
      </c>
      <c r="T23" s="1095">
        <v>0</v>
      </c>
      <c r="V23" s="1276" t="s">
        <v>1407</v>
      </c>
      <c r="W23" s="1282" t="str">
        <f>SOLAR!F21</f>
        <v>May</v>
      </c>
      <c r="AD23" s="1129" t="s">
        <v>1408</v>
      </c>
    </row>
    <row r="24" spans="1:30" ht="16.2" thickBot="1">
      <c r="A24" s="1122" t="s">
        <v>1321</v>
      </c>
      <c r="B24" s="1123" t="e">
        <f>VLOOKUP(B18,$L$3:$N$721,3,TRUE)</f>
        <v>#N/A</v>
      </c>
      <c r="C24" s="1124"/>
      <c r="E24" s="1103">
        <v>2408</v>
      </c>
      <c r="F24" s="1104">
        <v>2544</v>
      </c>
      <c r="G24" s="1105">
        <v>3</v>
      </c>
      <c r="H24" s="1106">
        <f t="shared" si="0"/>
        <v>1450</v>
      </c>
      <c r="L24" s="1134">
        <v>3026</v>
      </c>
      <c r="M24" s="1135" t="s">
        <v>1334</v>
      </c>
      <c r="N24" s="1136">
        <v>0.98</v>
      </c>
      <c r="P24" s="1094">
        <v>812</v>
      </c>
      <c r="Q24" t="s">
        <v>1409</v>
      </c>
      <c r="R24" t="s">
        <v>619</v>
      </c>
      <c r="S24">
        <v>130.91609800000001</v>
      </c>
      <c r="T24" s="1095">
        <v>-12.404778</v>
      </c>
      <c r="V24" s="1276" t="s">
        <v>1410</v>
      </c>
      <c r="W24" s="1276">
        <f>MONTH(DATEVALUE(W23 &amp; "1"))</f>
        <v>5</v>
      </c>
      <c r="AD24" s="1130" t="s">
        <v>1411</v>
      </c>
    </row>
    <row r="25" spans="1:30" ht="16.2" thickBot="1">
      <c r="A25" s="1122" t="s">
        <v>1412</v>
      </c>
      <c r="B25" s="1123">
        <f>IF(B17&gt;100,0.25,0.133)</f>
        <v>0.13300000000000001</v>
      </c>
      <c r="C25" s="1124"/>
      <c r="E25" s="1103">
        <v>2545</v>
      </c>
      <c r="F25" s="1104">
        <v>2554</v>
      </c>
      <c r="G25" s="1105">
        <v>4</v>
      </c>
      <c r="H25" s="1106">
        <f t="shared" si="0"/>
        <v>1240</v>
      </c>
      <c r="L25" s="1134">
        <v>3027</v>
      </c>
      <c r="M25" s="1135" t="s">
        <v>1334</v>
      </c>
      <c r="N25" s="1136">
        <v>0.98</v>
      </c>
      <c r="P25" s="1094">
        <v>812</v>
      </c>
      <c r="Q25" t="s">
        <v>1413</v>
      </c>
      <c r="R25" t="s">
        <v>619</v>
      </c>
      <c r="S25">
        <v>130.91609800000001</v>
      </c>
      <c r="T25" s="1095">
        <v>-12.404778</v>
      </c>
      <c r="V25" s="1276" t="s">
        <v>1414</v>
      </c>
    </row>
    <row r="26" spans="1:30" ht="16.2" thickBot="1">
      <c r="A26" s="1122" t="s">
        <v>1415</v>
      </c>
      <c r="B26" s="1123">
        <v>10</v>
      </c>
      <c r="C26" s="1124" t="s">
        <v>1364</v>
      </c>
      <c r="E26" s="1103">
        <v>2555</v>
      </c>
      <c r="F26" s="1104">
        <v>2627</v>
      </c>
      <c r="G26" s="1105">
        <v>3</v>
      </c>
      <c r="H26" s="1106">
        <f t="shared" si="0"/>
        <v>1450</v>
      </c>
      <c r="L26" s="1134">
        <v>3028</v>
      </c>
      <c r="M26" s="1135" t="s">
        <v>1334</v>
      </c>
      <c r="N26" s="1136">
        <v>0.98</v>
      </c>
      <c r="P26" s="1094">
        <v>812</v>
      </c>
      <c r="Q26" t="s">
        <v>1416</v>
      </c>
      <c r="R26" t="s">
        <v>619</v>
      </c>
      <c r="S26">
        <v>130.91609800000001</v>
      </c>
      <c r="T26" s="1095">
        <v>-12.404778</v>
      </c>
      <c r="V26" s="1276" t="s">
        <v>1417</v>
      </c>
    </row>
    <row r="27" spans="1:30" ht="16.2" thickBot="1">
      <c r="A27" s="1122" t="s">
        <v>1418</v>
      </c>
      <c r="B27" s="1123" t="e">
        <f>ROUNDDOWN(B17*B24*B25*B26,0)</f>
        <v>#N/A</v>
      </c>
      <c r="C27" s="1124"/>
      <c r="D27" s="1111" t="s">
        <v>1419</v>
      </c>
      <c r="E27" s="1103">
        <v>2628</v>
      </c>
      <c r="F27" s="1104">
        <v>2628</v>
      </c>
      <c r="G27" s="1105">
        <v>4</v>
      </c>
      <c r="H27" s="1106">
        <f t="shared" si="0"/>
        <v>1240</v>
      </c>
      <c r="L27" s="1134">
        <v>3029</v>
      </c>
      <c r="M27" s="1135" t="s">
        <v>1334</v>
      </c>
      <c r="N27" s="1136">
        <v>0.98</v>
      </c>
      <c r="P27" s="1094">
        <v>812</v>
      </c>
      <c r="Q27" t="s">
        <v>1420</v>
      </c>
      <c r="R27" t="s">
        <v>619</v>
      </c>
      <c r="S27">
        <v>130.91609800000001</v>
      </c>
      <c r="T27" s="1095">
        <v>-12.404778</v>
      </c>
      <c r="V27" s="1276" t="s">
        <v>260</v>
      </c>
    </row>
    <row r="28" spans="1:30" ht="16.2" thickBot="1">
      <c r="A28" s="1122" t="s">
        <v>1421</v>
      </c>
      <c r="B28" s="1194">
        <v>80</v>
      </c>
      <c r="C28" s="1124" t="s">
        <v>1381</v>
      </c>
      <c r="D28" s="1111" t="s">
        <v>1422</v>
      </c>
      <c r="E28" s="1103">
        <v>2629</v>
      </c>
      <c r="F28" s="1104">
        <v>2629</v>
      </c>
      <c r="G28" s="1105">
        <v>3</v>
      </c>
      <c r="H28" s="1106">
        <f t="shared" si="0"/>
        <v>1450</v>
      </c>
      <c r="L28" s="1134">
        <v>3030</v>
      </c>
      <c r="M28" s="1135" t="s">
        <v>1334</v>
      </c>
      <c r="N28" s="1136">
        <v>0.98</v>
      </c>
      <c r="P28" s="1094">
        <v>812</v>
      </c>
      <c r="Q28" t="s">
        <v>1423</v>
      </c>
      <c r="R28" t="s">
        <v>619</v>
      </c>
      <c r="S28">
        <v>130.91609800000001</v>
      </c>
      <c r="T28" s="1095">
        <v>-12.404778</v>
      </c>
      <c r="V28" s="1276" t="s">
        <v>1424</v>
      </c>
    </row>
    <row r="29" spans="1:30" ht="16.2" thickBot="1">
      <c r="A29" s="1122" t="s">
        <v>1425</v>
      </c>
      <c r="B29" s="1194">
        <f>SOLAR!L21</f>
        <v>12.5</v>
      </c>
      <c r="C29" s="1124" t="s">
        <v>1381</v>
      </c>
      <c r="D29" s="982" t="s">
        <v>1426</v>
      </c>
      <c r="E29" s="1103">
        <v>2630</v>
      </c>
      <c r="F29" s="1104">
        <v>2639</v>
      </c>
      <c r="G29" s="1105">
        <v>4</v>
      </c>
      <c r="H29" s="1106">
        <f t="shared" si="0"/>
        <v>1240</v>
      </c>
      <c r="L29" s="1134">
        <v>3031</v>
      </c>
      <c r="M29" s="1135" t="s">
        <v>1334</v>
      </c>
      <c r="N29" s="1136">
        <v>0.98</v>
      </c>
      <c r="P29" s="1094">
        <v>812</v>
      </c>
      <c r="Q29" t="s">
        <v>1427</v>
      </c>
      <c r="R29" t="s">
        <v>619</v>
      </c>
      <c r="S29">
        <v>130.91609800000001</v>
      </c>
      <c r="T29" s="1095">
        <v>-12.404778</v>
      </c>
      <c r="V29" s="1276" t="s">
        <v>1428</v>
      </c>
    </row>
    <row r="30" spans="1:30" ht="16.2" thickBot="1">
      <c r="A30" s="1126" t="s">
        <v>1429</v>
      </c>
      <c r="B30" s="1127">
        <f>IF(B22="",(B28-B29)*B27,0)</f>
        <v>0</v>
      </c>
      <c r="C30" s="1128" t="s">
        <v>1430</v>
      </c>
      <c r="E30" s="1103">
        <v>2640</v>
      </c>
      <c r="F30" s="1104">
        <v>2816</v>
      </c>
      <c r="G30" s="1105">
        <v>3</v>
      </c>
      <c r="H30" s="1106">
        <f t="shared" si="0"/>
        <v>1450</v>
      </c>
      <c r="L30" s="1134">
        <v>3032</v>
      </c>
      <c r="M30" s="1135" t="s">
        <v>1334</v>
      </c>
      <c r="N30" s="1136">
        <v>0.98</v>
      </c>
      <c r="P30" s="1094">
        <v>812</v>
      </c>
      <c r="Q30" t="s">
        <v>1431</v>
      </c>
      <c r="R30" t="s">
        <v>619</v>
      </c>
      <c r="S30">
        <v>130.91609800000001</v>
      </c>
      <c r="T30" s="1095">
        <v>-12.404778</v>
      </c>
      <c r="V30" s="1276" t="s">
        <v>1432</v>
      </c>
    </row>
    <row r="31" spans="1:30" ht="16.2" thickBot="1">
      <c r="E31" s="1103">
        <v>2817</v>
      </c>
      <c r="F31" s="1104">
        <v>2817</v>
      </c>
      <c r="G31" s="1105">
        <v>2</v>
      </c>
      <c r="H31" s="1106">
        <f t="shared" si="0"/>
        <v>1610</v>
      </c>
      <c r="L31" s="1134">
        <v>3033</v>
      </c>
      <c r="M31" s="1135" t="s">
        <v>1334</v>
      </c>
      <c r="N31" s="1136">
        <v>0.98</v>
      </c>
      <c r="P31" s="1094">
        <v>812</v>
      </c>
      <c r="Q31" t="s">
        <v>1433</v>
      </c>
      <c r="R31" t="s">
        <v>619</v>
      </c>
      <c r="S31">
        <v>130.91609800000001</v>
      </c>
      <c r="T31" s="1095">
        <v>-12.404778</v>
      </c>
      <c r="V31" s="1276" t="s">
        <v>1434</v>
      </c>
    </row>
    <row r="32" spans="1:30" ht="16.2" thickBot="1">
      <c r="A32" s="1467" t="s">
        <v>1435</v>
      </c>
      <c r="B32" s="1467"/>
      <c r="C32" s="1467"/>
      <c r="E32" s="1103">
        <v>2818</v>
      </c>
      <c r="F32" s="1104">
        <v>2820</v>
      </c>
      <c r="G32" s="1105">
        <v>3</v>
      </c>
      <c r="H32" s="1106">
        <f t="shared" si="0"/>
        <v>1450</v>
      </c>
      <c r="L32" s="1134">
        <v>3034</v>
      </c>
      <c r="M32" s="1135" t="s">
        <v>1334</v>
      </c>
      <c r="N32" s="1136">
        <v>0.98</v>
      </c>
      <c r="P32" s="1094">
        <v>812</v>
      </c>
      <c r="Q32" t="s">
        <v>1436</v>
      </c>
      <c r="R32" t="s">
        <v>619</v>
      </c>
      <c r="S32">
        <v>130.91609800000001</v>
      </c>
      <c r="T32" s="1095">
        <v>-12.404778</v>
      </c>
      <c r="V32" s="1276" t="s">
        <v>1437</v>
      </c>
    </row>
    <row r="33" spans="1:22" ht="16.2" thickBot="1">
      <c r="A33" s="1160" t="s">
        <v>1438</v>
      </c>
      <c r="B33" s="1160">
        <f>BESS!F3</f>
        <v>107</v>
      </c>
      <c r="C33" s="1160"/>
      <c r="E33" s="1103">
        <v>2821</v>
      </c>
      <c r="F33" s="1104">
        <v>2829</v>
      </c>
      <c r="G33" s="1105">
        <v>2</v>
      </c>
      <c r="H33" s="1106">
        <f t="shared" si="0"/>
        <v>1610</v>
      </c>
      <c r="L33" s="1134">
        <v>3036</v>
      </c>
      <c r="M33" s="1135" t="s">
        <v>1334</v>
      </c>
      <c r="N33" s="1136">
        <v>0.98</v>
      </c>
      <c r="P33" s="1094">
        <v>813</v>
      </c>
      <c r="Q33" t="s">
        <v>1431</v>
      </c>
      <c r="R33" t="s">
        <v>619</v>
      </c>
      <c r="S33">
        <v>0</v>
      </c>
      <c r="T33" s="1095">
        <v>0</v>
      </c>
      <c r="V33" s="1276" t="s">
        <v>1439</v>
      </c>
    </row>
    <row r="34" spans="1:22" ht="16.2" thickBot="1">
      <c r="A34" s="1160" t="s">
        <v>1440</v>
      </c>
      <c r="B34" s="1160">
        <f>B33*0.9</f>
        <v>96.3</v>
      </c>
      <c r="C34" s="1160" t="s">
        <v>503</v>
      </c>
      <c r="D34" s="982" t="s">
        <v>1441</v>
      </c>
      <c r="E34" s="1103">
        <v>2830</v>
      </c>
      <c r="F34" s="1104">
        <v>2830</v>
      </c>
      <c r="G34" s="1105">
        <v>3</v>
      </c>
      <c r="H34" s="1106">
        <f t="shared" si="0"/>
        <v>1450</v>
      </c>
      <c r="L34" s="1134">
        <v>3037</v>
      </c>
      <c r="M34" s="1135" t="s">
        <v>1334</v>
      </c>
      <c r="N34" s="1136">
        <v>0.98</v>
      </c>
      <c r="P34" s="1094">
        <v>814</v>
      </c>
      <c r="Q34" t="s">
        <v>1396</v>
      </c>
      <c r="R34" t="s">
        <v>619</v>
      </c>
      <c r="S34">
        <v>0</v>
      </c>
      <c r="T34" s="1095">
        <v>0</v>
      </c>
      <c r="V34" s="1276" t="s">
        <v>1442</v>
      </c>
    </row>
    <row r="35" spans="1:22" ht="16.2" thickBot="1">
      <c r="A35" s="1160" t="s">
        <v>1443</v>
      </c>
      <c r="B35" s="1160">
        <f>IF(B34&lt;=100,MIN(B34,50),0)</f>
        <v>50</v>
      </c>
      <c r="C35" s="1160" t="s">
        <v>503</v>
      </c>
      <c r="E35" s="1103">
        <v>2831</v>
      </c>
      <c r="F35" s="1104">
        <v>2841</v>
      </c>
      <c r="G35" s="1105">
        <v>2</v>
      </c>
      <c r="H35" s="1106">
        <f t="shared" si="0"/>
        <v>1610</v>
      </c>
      <c r="L35" s="1134">
        <v>3038</v>
      </c>
      <c r="M35" s="1135" t="s">
        <v>1334</v>
      </c>
      <c r="N35" s="1136">
        <v>0.98</v>
      </c>
      <c r="P35" s="1094">
        <v>815</v>
      </c>
      <c r="Q35" t="s">
        <v>1444</v>
      </c>
      <c r="R35" t="s">
        <v>619</v>
      </c>
      <c r="S35">
        <v>0</v>
      </c>
      <c r="T35" s="1095">
        <v>0</v>
      </c>
    </row>
    <row r="36" spans="1:22" ht="16.2" thickBot="1">
      <c r="A36" s="1160" t="s">
        <v>1445</v>
      </c>
      <c r="B36" s="1160">
        <f>MIN(B35,14)</f>
        <v>14</v>
      </c>
      <c r="C36" s="1160"/>
      <c r="D36" s="982" t="s">
        <v>1446</v>
      </c>
      <c r="E36" s="1103">
        <v>2842</v>
      </c>
      <c r="F36" s="1104">
        <v>2872</v>
      </c>
      <c r="G36" s="1105">
        <v>3</v>
      </c>
      <c r="H36" s="1106">
        <f t="shared" si="0"/>
        <v>1450</v>
      </c>
      <c r="L36" s="1134">
        <v>3039</v>
      </c>
      <c r="M36" s="1135" t="s">
        <v>1334</v>
      </c>
      <c r="N36" s="1136">
        <v>0.98</v>
      </c>
      <c r="P36" s="1094">
        <v>820</v>
      </c>
      <c r="Q36" t="s">
        <v>1447</v>
      </c>
      <c r="R36" t="s">
        <v>619</v>
      </c>
      <c r="S36">
        <v>130.87331499999999</v>
      </c>
      <c r="T36" s="1095">
        <v>-12.428017000000001</v>
      </c>
    </row>
    <row r="37" spans="1:22" ht="16.2" thickBot="1">
      <c r="A37" s="1160" t="s">
        <v>1448</v>
      </c>
      <c r="B37" s="1160">
        <f>IF(B36=14,MIN(14,B35-14),0)</f>
        <v>14</v>
      </c>
      <c r="C37" s="1160"/>
      <c r="D37" s="982" t="s">
        <v>1449</v>
      </c>
      <c r="E37" s="1103">
        <v>2873</v>
      </c>
      <c r="F37" s="1104">
        <v>2873</v>
      </c>
      <c r="G37" s="1105">
        <v>2</v>
      </c>
      <c r="H37" s="1106">
        <f t="shared" ref="H37:H68" si="6">MROUND((VLOOKUP(G37,$I$12:$J$15,2,FALSE)*1050),10)</f>
        <v>1610</v>
      </c>
      <c r="L37" s="1134">
        <v>3040</v>
      </c>
      <c r="M37" s="1135" t="s">
        <v>1334</v>
      </c>
      <c r="N37" s="1136">
        <v>0.98</v>
      </c>
      <c r="P37" s="1094">
        <v>820</v>
      </c>
      <c r="Q37" t="s">
        <v>1450</v>
      </c>
      <c r="R37" t="s">
        <v>619</v>
      </c>
      <c r="S37">
        <v>130.87331499999999</v>
      </c>
      <c r="T37" s="1095">
        <v>-12.428017000000001</v>
      </c>
      <c r="V37" s="982" t="s">
        <v>1451</v>
      </c>
    </row>
    <row r="38" spans="1:22" ht="16.2" thickBot="1">
      <c r="A38" s="1160" t="s">
        <v>1452</v>
      </c>
      <c r="B38" s="1160">
        <f>IF(B37=14,B35-28,0)</f>
        <v>22</v>
      </c>
      <c r="C38" s="1160"/>
      <c r="D38" s="982" t="s">
        <v>1453</v>
      </c>
      <c r="E38" s="1103">
        <v>2874</v>
      </c>
      <c r="F38" s="1107">
        <v>2877</v>
      </c>
      <c r="G38" s="1105">
        <v>3</v>
      </c>
      <c r="H38" s="1106">
        <f t="shared" si="6"/>
        <v>1450</v>
      </c>
      <c r="L38" s="1134">
        <v>3041</v>
      </c>
      <c r="M38" s="1135" t="s">
        <v>1334</v>
      </c>
      <c r="N38" s="1136">
        <v>0.98</v>
      </c>
      <c r="P38" s="1094">
        <v>820</v>
      </c>
      <c r="Q38" t="s">
        <v>1454</v>
      </c>
      <c r="R38" t="s">
        <v>619</v>
      </c>
      <c r="S38">
        <v>130.87331499999999</v>
      </c>
      <c r="T38" s="1095">
        <v>-12.428017000000001</v>
      </c>
    </row>
    <row r="39" spans="1:22" ht="16.2" thickBot="1">
      <c r="A39" s="1160" t="s">
        <v>1455</v>
      </c>
      <c r="B39" s="1162">
        <f>SOLAR!$F$20</f>
        <v>2026</v>
      </c>
      <c r="C39" s="1160"/>
      <c r="E39" s="1103">
        <v>2878</v>
      </c>
      <c r="F39" s="1104">
        <v>2889</v>
      </c>
      <c r="G39" s="1105">
        <v>2</v>
      </c>
      <c r="H39" s="1106">
        <f t="shared" si="6"/>
        <v>1610</v>
      </c>
      <c r="L39" s="1134">
        <v>3042</v>
      </c>
      <c r="M39" s="1135" t="s">
        <v>1334</v>
      </c>
      <c r="N39" s="1136">
        <v>0.98</v>
      </c>
      <c r="P39" s="1094">
        <v>820</v>
      </c>
      <c r="Q39" t="s">
        <v>1456</v>
      </c>
      <c r="R39" t="s">
        <v>619</v>
      </c>
      <c r="S39">
        <v>130.87331499999999</v>
      </c>
      <c r="T39" s="1095">
        <v>-12.428017000000001</v>
      </c>
    </row>
    <row r="40" spans="1:22" ht="16.2" thickBot="1">
      <c r="A40" s="1160" t="s">
        <v>1457</v>
      </c>
      <c r="B40" s="1162">
        <f>W24</f>
        <v>5</v>
      </c>
      <c r="C40" s="1160"/>
      <c r="E40" s="1103">
        <v>2890</v>
      </c>
      <c r="F40" s="1104">
        <v>2999</v>
      </c>
      <c r="G40" s="1105">
        <v>3</v>
      </c>
      <c r="H40" s="1106">
        <f t="shared" si="6"/>
        <v>1450</v>
      </c>
      <c r="L40" s="1134">
        <v>3043</v>
      </c>
      <c r="M40" s="1135" t="s">
        <v>1334</v>
      </c>
      <c r="N40" s="1136">
        <v>0.98</v>
      </c>
      <c r="P40" s="1094">
        <v>820</v>
      </c>
      <c r="Q40" t="s">
        <v>1458</v>
      </c>
      <c r="R40" t="s">
        <v>619</v>
      </c>
      <c r="S40">
        <v>130.87331499999999</v>
      </c>
      <c r="T40" s="1095">
        <v>-12.428017000000001</v>
      </c>
    </row>
    <row r="41" spans="1:22" ht="16.2" thickBot="1">
      <c r="A41" s="1160" t="s">
        <v>1459</v>
      </c>
      <c r="B41" s="1160" cm="1">
        <f t="array" ref="B41">IF(OR(B39&lt;2026,AND(B39=2026,B40&lt;=4)),VLOOKUP(B39,$V$3:$W$8,2),INDEX(Y12:Y20,MATCH(1,(V12:V20=B39)*(W12:W20&lt;=B40)*(X12:X20&gt;=B40),0)))</f>
        <v>6.8</v>
      </c>
      <c r="C41" s="1160"/>
      <c r="E41" s="1103">
        <v>3000</v>
      </c>
      <c r="F41" s="1104">
        <v>3035</v>
      </c>
      <c r="G41" s="1105">
        <v>4</v>
      </c>
      <c r="H41" s="1106">
        <f t="shared" si="6"/>
        <v>1240</v>
      </c>
      <c r="L41" s="1134">
        <v>3044</v>
      </c>
      <c r="M41" s="1135" t="s">
        <v>1334</v>
      </c>
      <c r="N41" s="1136">
        <v>0.98</v>
      </c>
      <c r="P41" s="1094">
        <v>820</v>
      </c>
      <c r="Q41" t="s">
        <v>1460</v>
      </c>
      <c r="R41" t="s">
        <v>619</v>
      </c>
      <c r="S41">
        <v>130.87331499999999</v>
      </c>
      <c r="T41" s="1095">
        <v>-12.428017000000001</v>
      </c>
    </row>
    <row r="42" spans="1:22" ht="16.2" thickBot="1">
      <c r="A42" s="1160" t="s">
        <v>1461</v>
      </c>
      <c r="B42" s="1160">
        <f>IF(OR(B39&lt;2026,AND(B39=2026,B40&lt;=4)),B41*B35,ROUNDDOWN(B41*B36+B37*B41*0.6+B38*B41*0.15,0))</f>
        <v>174</v>
      </c>
      <c r="C42" s="1160"/>
      <c r="E42" s="1103">
        <v>3036</v>
      </c>
      <c r="F42" s="1104">
        <v>3038</v>
      </c>
      <c r="G42" s="1105">
        <v>3</v>
      </c>
      <c r="H42" s="1106">
        <f t="shared" si="6"/>
        <v>1450</v>
      </c>
      <c r="L42" s="1134">
        <v>3045</v>
      </c>
      <c r="M42" s="1135" t="s">
        <v>1334</v>
      </c>
      <c r="N42" s="1136">
        <v>0.98</v>
      </c>
      <c r="P42" s="1094">
        <v>820</v>
      </c>
      <c r="Q42" t="s">
        <v>1462</v>
      </c>
      <c r="R42" t="s">
        <v>619</v>
      </c>
      <c r="S42">
        <v>130.87331499999999</v>
      </c>
      <c r="T42" s="1095">
        <v>-12.428017000000001</v>
      </c>
    </row>
    <row r="43" spans="1:22" ht="16.2" thickBot="1">
      <c r="A43" s="1160" t="s">
        <v>1380</v>
      </c>
      <c r="B43" s="1163">
        <f>B12</f>
        <v>37.200000000000003</v>
      </c>
      <c r="C43" s="1160"/>
      <c r="E43" s="1103">
        <v>3039</v>
      </c>
      <c r="F43" s="1104">
        <v>3044</v>
      </c>
      <c r="G43" s="1105">
        <v>4</v>
      </c>
      <c r="H43" s="1106">
        <f t="shared" si="6"/>
        <v>1240</v>
      </c>
      <c r="L43" s="1134">
        <v>3046</v>
      </c>
      <c r="M43" s="1135" t="s">
        <v>1334</v>
      </c>
      <c r="N43" s="1136">
        <v>0.98</v>
      </c>
      <c r="P43" s="1094">
        <v>820</v>
      </c>
      <c r="Q43" t="s">
        <v>1463</v>
      </c>
      <c r="R43" t="s">
        <v>619</v>
      </c>
      <c r="S43">
        <v>130.87331499999999</v>
      </c>
      <c r="T43" s="1095">
        <v>-12.428017000000001</v>
      </c>
    </row>
    <row r="44" spans="1:22" ht="16.2" thickBot="1">
      <c r="A44" s="1160" t="s">
        <v>1385</v>
      </c>
      <c r="B44" s="1163">
        <f>B43*B42</f>
        <v>6472.8</v>
      </c>
      <c r="C44" s="1160"/>
      <c r="E44" s="1103">
        <v>3045</v>
      </c>
      <c r="F44" s="1104">
        <v>3045</v>
      </c>
      <c r="G44" s="1105">
        <v>3</v>
      </c>
      <c r="H44" s="1106">
        <f t="shared" si="6"/>
        <v>1450</v>
      </c>
      <c r="L44" s="1134">
        <v>3047</v>
      </c>
      <c r="M44" s="1135" t="s">
        <v>1334</v>
      </c>
      <c r="N44" s="1136">
        <v>0.98</v>
      </c>
      <c r="P44" s="1094">
        <v>820</v>
      </c>
      <c r="Q44" t="s">
        <v>1464</v>
      </c>
      <c r="R44" t="s">
        <v>619</v>
      </c>
      <c r="S44">
        <v>130.87331499999999</v>
      </c>
      <c r="T44" s="1095">
        <v>-12.428017000000001</v>
      </c>
    </row>
    <row r="45" spans="1:22" ht="16.2" thickBot="1">
      <c r="E45" s="1103">
        <v>3046</v>
      </c>
      <c r="F45" s="1104">
        <v>3046</v>
      </c>
      <c r="G45" s="1105">
        <v>4</v>
      </c>
      <c r="H45" s="1106">
        <f t="shared" si="6"/>
        <v>1240</v>
      </c>
      <c r="L45" s="1134">
        <v>3048</v>
      </c>
      <c r="M45" s="1135" t="s">
        <v>1334</v>
      </c>
      <c r="N45" s="1136">
        <v>0.98</v>
      </c>
      <c r="P45" s="1094">
        <v>820</v>
      </c>
      <c r="Q45" t="s">
        <v>1465</v>
      </c>
      <c r="R45" t="s">
        <v>619</v>
      </c>
      <c r="S45">
        <v>130.87331499999999</v>
      </c>
      <c r="T45" s="1095">
        <v>-12.428017000000001</v>
      </c>
    </row>
    <row r="46" spans="1:22" ht="16.2" thickBot="1">
      <c r="E46" s="1103">
        <v>3047</v>
      </c>
      <c r="F46" s="1104">
        <v>3049</v>
      </c>
      <c r="G46" s="1105">
        <v>3</v>
      </c>
      <c r="H46" s="1106">
        <f t="shared" si="6"/>
        <v>1450</v>
      </c>
      <c r="L46" s="1134">
        <v>3049</v>
      </c>
      <c r="M46" s="1135" t="s">
        <v>1334</v>
      </c>
      <c r="N46" s="1136">
        <v>0.98</v>
      </c>
      <c r="P46" s="1094">
        <v>820</v>
      </c>
      <c r="Q46" t="s">
        <v>1466</v>
      </c>
      <c r="R46" t="s">
        <v>619</v>
      </c>
      <c r="S46">
        <v>130.87331499999999</v>
      </c>
      <c r="T46" s="1095">
        <v>-12.428017000000001</v>
      </c>
    </row>
    <row r="47" spans="1:22" ht="16.2" thickBot="1">
      <c r="E47" s="1103">
        <v>3050</v>
      </c>
      <c r="F47" s="1104">
        <v>3058</v>
      </c>
      <c r="G47" s="1105">
        <v>4</v>
      </c>
      <c r="H47" s="1106">
        <f t="shared" si="6"/>
        <v>1240</v>
      </c>
      <c r="L47" s="1134">
        <v>3050</v>
      </c>
      <c r="M47" s="1135" t="s">
        <v>1334</v>
      </c>
      <c r="N47" s="1136">
        <v>0.98</v>
      </c>
      <c r="P47" s="1094">
        <v>820</v>
      </c>
      <c r="Q47" t="s">
        <v>1467</v>
      </c>
      <c r="R47" t="s">
        <v>619</v>
      </c>
      <c r="S47">
        <v>130.87331499999999</v>
      </c>
      <c r="T47" s="1095">
        <v>-12.428017000000001</v>
      </c>
    </row>
    <row r="48" spans="1:22" ht="16.2" thickBot="1">
      <c r="E48" s="1103">
        <v>3059</v>
      </c>
      <c r="F48" s="1104">
        <v>3059</v>
      </c>
      <c r="G48" s="1105">
        <v>3</v>
      </c>
      <c r="H48" s="1106">
        <f t="shared" si="6"/>
        <v>1450</v>
      </c>
      <c r="L48" s="1134">
        <v>3051</v>
      </c>
      <c r="M48" s="1135" t="s">
        <v>1334</v>
      </c>
      <c r="N48" s="1136">
        <v>0.98</v>
      </c>
      <c r="P48" s="1094">
        <v>820</v>
      </c>
      <c r="Q48" t="s">
        <v>1353</v>
      </c>
      <c r="R48" t="s">
        <v>619</v>
      </c>
      <c r="S48">
        <v>130.87331499999999</v>
      </c>
      <c r="T48" s="1095">
        <v>-12.428017000000001</v>
      </c>
    </row>
    <row r="49" spans="5:20" ht="16.2" thickBot="1">
      <c r="E49" s="1103">
        <v>3060</v>
      </c>
      <c r="F49" s="1104">
        <v>3060</v>
      </c>
      <c r="G49" s="1105">
        <v>4</v>
      </c>
      <c r="H49" s="1106">
        <f t="shared" si="6"/>
        <v>1240</v>
      </c>
      <c r="L49" s="1134">
        <v>3052</v>
      </c>
      <c r="M49" s="1135" t="s">
        <v>1334</v>
      </c>
      <c r="N49" s="1136">
        <v>0.98</v>
      </c>
      <c r="P49" s="1094">
        <v>820</v>
      </c>
      <c r="Q49" t="s">
        <v>1468</v>
      </c>
      <c r="R49" t="s">
        <v>619</v>
      </c>
      <c r="S49">
        <v>130.87331499999999</v>
      </c>
      <c r="T49" s="1095">
        <v>-12.428017000000001</v>
      </c>
    </row>
    <row r="50" spans="5:20" ht="16.2" thickBot="1">
      <c r="E50" s="1103">
        <v>3061</v>
      </c>
      <c r="F50" s="1104">
        <v>3064</v>
      </c>
      <c r="G50" s="1105">
        <v>3</v>
      </c>
      <c r="H50" s="1106">
        <f t="shared" si="6"/>
        <v>1450</v>
      </c>
      <c r="L50" s="1134">
        <v>3053</v>
      </c>
      <c r="M50" s="1135" t="s">
        <v>1334</v>
      </c>
      <c r="N50" s="1136">
        <v>0.98</v>
      </c>
      <c r="P50" s="1094">
        <v>820</v>
      </c>
      <c r="Q50" t="s">
        <v>1469</v>
      </c>
      <c r="R50" t="s">
        <v>619</v>
      </c>
      <c r="S50">
        <v>130.87331499999999</v>
      </c>
      <c r="T50" s="1095">
        <v>-12.428017000000001</v>
      </c>
    </row>
    <row r="51" spans="5:20" ht="16.2" thickBot="1">
      <c r="E51" s="1103">
        <v>3065</v>
      </c>
      <c r="F51" s="1104">
        <v>3074</v>
      </c>
      <c r="G51" s="1105">
        <v>4</v>
      </c>
      <c r="H51" s="1106">
        <f t="shared" si="6"/>
        <v>1240</v>
      </c>
      <c r="L51" s="1134">
        <v>3054</v>
      </c>
      <c r="M51" s="1135" t="s">
        <v>1334</v>
      </c>
      <c r="N51" s="1136">
        <v>0.98</v>
      </c>
      <c r="P51" s="1094">
        <v>820</v>
      </c>
      <c r="Q51" t="s">
        <v>1470</v>
      </c>
      <c r="R51" t="s">
        <v>619</v>
      </c>
      <c r="S51">
        <v>130.87331499999999</v>
      </c>
      <c r="T51" s="1095">
        <v>-12.428017000000001</v>
      </c>
    </row>
    <row r="52" spans="5:20" ht="16.2" thickBot="1">
      <c r="E52" s="1103">
        <v>3075</v>
      </c>
      <c r="F52" s="1104">
        <v>3076</v>
      </c>
      <c r="G52" s="1105">
        <v>3</v>
      </c>
      <c r="H52" s="1106">
        <f t="shared" si="6"/>
        <v>1450</v>
      </c>
      <c r="L52" s="1134">
        <v>3055</v>
      </c>
      <c r="M52" s="1135" t="s">
        <v>1334</v>
      </c>
      <c r="N52" s="1136">
        <v>0.98</v>
      </c>
      <c r="P52" s="1094">
        <v>820</v>
      </c>
      <c r="Q52" t="s">
        <v>1471</v>
      </c>
      <c r="R52" t="s">
        <v>619</v>
      </c>
      <c r="S52">
        <v>130.87331499999999</v>
      </c>
      <c r="T52" s="1095">
        <v>-12.428017000000001</v>
      </c>
    </row>
    <row r="53" spans="5:20" ht="16.2" thickBot="1">
      <c r="E53" s="1103">
        <v>3077</v>
      </c>
      <c r="F53" s="1104">
        <v>3098</v>
      </c>
      <c r="G53" s="1105">
        <v>4</v>
      </c>
      <c r="H53" s="1106">
        <f t="shared" si="6"/>
        <v>1240</v>
      </c>
      <c r="L53" s="1134">
        <v>3056</v>
      </c>
      <c r="M53" s="1135" t="s">
        <v>1334</v>
      </c>
      <c r="N53" s="1136">
        <v>0.98</v>
      </c>
      <c r="P53" s="1094">
        <v>820</v>
      </c>
      <c r="Q53" t="s">
        <v>1472</v>
      </c>
      <c r="R53" t="s">
        <v>619</v>
      </c>
      <c r="S53">
        <v>130.87331499999999</v>
      </c>
      <c r="T53" s="1095">
        <v>-12.428017000000001</v>
      </c>
    </row>
    <row r="54" spans="5:20" ht="16.2" thickBot="1">
      <c r="E54" s="1103">
        <v>3099</v>
      </c>
      <c r="F54" s="1104">
        <v>3099</v>
      </c>
      <c r="G54" s="1105">
        <v>3</v>
      </c>
      <c r="H54" s="1106">
        <f t="shared" si="6"/>
        <v>1450</v>
      </c>
      <c r="L54" s="1134">
        <v>3057</v>
      </c>
      <c r="M54" s="1135" t="s">
        <v>1334</v>
      </c>
      <c r="N54" s="1136">
        <v>0.98</v>
      </c>
      <c r="P54" s="1094">
        <v>820</v>
      </c>
      <c r="Q54" t="s">
        <v>1473</v>
      </c>
      <c r="R54" t="s">
        <v>619</v>
      </c>
      <c r="S54">
        <v>130.87331499999999</v>
      </c>
      <c r="T54" s="1095">
        <v>-12.428017000000001</v>
      </c>
    </row>
    <row r="55" spans="5:20" ht="16.2" thickBot="1">
      <c r="E55" s="1103">
        <v>3100</v>
      </c>
      <c r="F55" s="1104">
        <v>3292</v>
      </c>
      <c r="G55" s="1105">
        <v>4</v>
      </c>
      <c r="H55" s="1106">
        <f t="shared" si="6"/>
        <v>1240</v>
      </c>
      <c r="L55" s="1134">
        <v>3058</v>
      </c>
      <c r="M55" s="1135" t="s">
        <v>1334</v>
      </c>
      <c r="N55" s="1136">
        <v>0.98</v>
      </c>
      <c r="P55" s="1094">
        <v>821</v>
      </c>
      <c r="Q55" t="s">
        <v>1472</v>
      </c>
      <c r="R55" t="s">
        <v>619</v>
      </c>
      <c r="S55">
        <v>0</v>
      </c>
      <c r="T55" s="1095">
        <v>0</v>
      </c>
    </row>
    <row r="56" spans="5:20" ht="16.2" thickBot="1">
      <c r="E56" s="1103">
        <v>3293</v>
      </c>
      <c r="F56" s="1104">
        <v>3302</v>
      </c>
      <c r="G56" s="1105">
        <v>3</v>
      </c>
      <c r="H56" s="1106">
        <f t="shared" si="6"/>
        <v>1450</v>
      </c>
      <c r="L56" s="1134">
        <v>3059</v>
      </c>
      <c r="M56" s="1135" t="s">
        <v>1334</v>
      </c>
      <c r="N56" s="1136">
        <v>0.98</v>
      </c>
      <c r="P56" s="1094">
        <v>822</v>
      </c>
      <c r="Q56" t="s">
        <v>1474</v>
      </c>
      <c r="R56" t="s">
        <v>619</v>
      </c>
      <c r="S56">
        <v>136.94705099999999</v>
      </c>
      <c r="T56" s="1095">
        <v>-13.643283</v>
      </c>
    </row>
    <row r="57" spans="5:20" ht="16.2" thickBot="1">
      <c r="E57" s="1103">
        <v>3303</v>
      </c>
      <c r="F57" s="1104">
        <v>3308</v>
      </c>
      <c r="G57" s="1105">
        <v>4</v>
      </c>
      <c r="H57" s="1106">
        <f t="shared" si="6"/>
        <v>1240</v>
      </c>
      <c r="L57" s="1134">
        <v>3060</v>
      </c>
      <c r="M57" s="1135" t="s">
        <v>1334</v>
      </c>
      <c r="N57" s="1136">
        <v>0.98</v>
      </c>
      <c r="P57" s="1094">
        <v>822</v>
      </c>
      <c r="Q57" t="s">
        <v>1475</v>
      </c>
      <c r="R57" t="s">
        <v>619</v>
      </c>
      <c r="S57">
        <v>136.94705099999999</v>
      </c>
      <c r="T57" s="1095">
        <v>-13.643283</v>
      </c>
    </row>
    <row r="58" spans="5:20" ht="16.2" thickBot="1">
      <c r="E58" s="1103">
        <v>3309</v>
      </c>
      <c r="F58" s="1104">
        <v>3319</v>
      </c>
      <c r="G58" s="1105">
        <v>3</v>
      </c>
      <c r="H58" s="1106">
        <f t="shared" si="6"/>
        <v>1450</v>
      </c>
      <c r="L58" s="1134">
        <v>3061</v>
      </c>
      <c r="M58" s="1135" t="s">
        <v>1334</v>
      </c>
      <c r="N58" s="1136">
        <v>0.98</v>
      </c>
      <c r="P58" s="1094">
        <v>822</v>
      </c>
      <c r="Q58" t="s">
        <v>1476</v>
      </c>
      <c r="R58" t="s">
        <v>619</v>
      </c>
      <c r="S58">
        <v>136.94705099999999</v>
      </c>
      <c r="T58" s="1095">
        <v>-13.643283</v>
      </c>
    </row>
    <row r="59" spans="5:20" ht="16.2" thickBot="1">
      <c r="E59" s="1103">
        <v>3320</v>
      </c>
      <c r="F59" s="1104">
        <v>3333</v>
      </c>
      <c r="G59" s="1105">
        <v>4</v>
      </c>
      <c r="H59" s="1106">
        <f t="shared" si="6"/>
        <v>1240</v>
      </c>
      <c r="L59" s="1134">
        <v>3062</v>
      </c>
      <c r="M59" s="1135" t="s">
        <v>1334</v>
      </c>
      <c r="N59" s="1136">
        <v>0.98</v>
      </c>
      <c r="P59" s="1094">
        <v>822</v>
      </c>
      <c r="Q59" t="s">
        <v>1477</v>
      </c>
      <c r="R59" t="s">
        <v>619</v>
      </c>
      <c r="S59">
        <v>136.94705099999999</v>
      </c>
      <c r="T59" s="1095">
        <v>-13.643283</v>
      </c>
    </row>
    <row r="60" spans="5:20" ht="16.2" thickBot="1">
      <c r="E60" s="1103">
        <v>3334</v>
      </c>
      <c r="F60" s="1104">
        <v>3337</v>
      </c>
      <c r="G60" s="1105">
        <v>3</v>
      </c>
      <c r="H60" s="1106">
        <f t="shared" si="6"/>
        <v>1450</v>
      </c>
      <c r="L60" s="1134">
        <v>3063</v>
      </c>
      <c r="M60" s="1135" t="s">
        <v>1334</v>
      </c>
      <c r="N60" s="1136">
        <v>0.98</v>
      </c>
      <c r="P60" s="1094">
        <v>822</v>
      </c>
      <c r="Q60" t="s">
        <v>1478</v>
      </c>
      <c r="R60" t="s">
        <v>619</v>
      </c>
      <c r="S60">
        <v>136.94705099999999</v>
      </c>
      <c r="T60" s="1095">
        <v>-13.643283</v>
      </c>
    </row>
    <row r="61" spans="5:20" ht="16.2" thickBot="1">
      <c r="E61" s="1103">
        <v>3338</v>
      </c>
      <c r="F61" s="1104">
        <v>3339</v>
      </c>
      <c r="G61" s="1105">
        <v>4</v>
      </c>
      <c r="H61" s="1106">
        <f t="shared" si="6"/>
        <v>1240</v>
      </c>
      <c r="L61" s="1134">
        <v>3064</v>
      </c>
      <c r="M61" s="1135" t="s">
        <v>1334</v>
      </c>
      <c r="N61" s="1136">
        <v>0.98</v>
      </c>
      <c r="P61" s="1094">
        <v>822</v>
      </c>
      <c r="Q61" t="s">
        <v>1479</v>
      </c>
      <c r="R61" t="s">
        <v>619</v>
      </c>
      <c r="S61">
        <v>136.94705099999999</v>
      </c>
      <c r="T61" s="1095">
        <v>-13.643283</v>
      </c>
    </row>
    <row r="62" spans="5:20" ht="16.2" thickBot="1">
      <c r="E62" s="1103">
        <v>3340</v>
      </c>
      <c r="F62" s="1104">
        <v>3758</v>
      </c>
      <c r="G62" s="1105">
        <v>3</v>
      </c>
      <c r="H62" s="1106">
        <f t="shared" si="6"/>
        <v>1450</v>
      </c>
      <c r="L62" s="1134">
        <v>3065</v>
      </c>
      <c r="M62" s="1135" t="s">
        <v>1334</v>
      </c>
      <c r="N62" s="1136">
        <v>0.98</v>
      </c>
      <c r="P62" s="1094">
        <v>822</v>
      </c>
      <c r="Q62" t="s">
        <v>1480</v>
      </c>
      <c r="R62" t="s">
        <v>619</v>
      </c>
      <c r="S62">
        <v>136.94705099999999</v>
      </c>
      <c r="T62" s="1095">
        <v>-13.643283</v>
      </c>
    </row>
    <row r="63" spans="5:20" ht="16.2" thickBot="1">
      <c r="E63" s="1103">
        <v>3759</v>
      </c>
      <c r="F63" s="1104">
        <v>3760</v>
      </c>
      <c r="G63" s="1105">
        <v>4</v>
      </c>
      <c r="H63" s="1106">
        <f t="shared" si="6"/>
        <v>1240</v>
      </c>
      <c r="L63" s="1134">
        <v>3066</v>
      </c>
      <c r="M63" s="1135" t="s">
        <v>1334</v>
      </c>
      <c r="N63" s="1136">
        <v>0.98</v>
      </c>
      <c r="P63" s="1094">
        <v>822</v>
      </c>
      <c r="Q63" t="s">
        <v>1481</v>
      </c>
      <c r="R63" t="s">
        <v>619</v>
      </c>
      <c r="S63">
        <v>136.94705099999999</v>
      </c>
      <c r="T63" s="1095">
        <v>-13.643283</v>
      </c>
    </row>
    <row r="64" spans="5:20" ht="16.2" thickBot="1">
      <c r="E64" s="1103">
        <v>3761</v>
      </c>
      <c r="F64" s="1104">
        <v>3764</v>
      </c>
      <c r="G64" s="1105">
        <v>3</v>
      </c>
      <c r="H64" s="1106">
        <f t="shared" si="6"/>
        <v>1450</v>
      </c>
      <c r="L64" s="1134">
        <v>3067</v>
      </c>
      <c r="M64" s="1135" t="s">
        <v>1334</v>
      </c>
      <c r="N64" s="1136">
        <v>0.98</v>
      </c>
      <c r="P64" s="1094">
        <v>822</v>
      </c>
      <c r="Q64" t="s">
        <v>1482</v>
      </c>
      <c r="R64" t="s">
        <v>619</v>
      </c>
      <c r="S64">
        <v>136.94705099999999</v>
      </c>
      <c r="T64" s="1095">
        <v>-13.643283</v>
      </c>
    </row>
    <row r="65" spans="5:20" ht="16.2" thickBot="1">
      <c r="E65" s="1103">
        <v>3765</v>
      </c>
      <c r="F65" s="1104">
        <v>3999</v>
      </c>
      <c r="G65" s="1105">
        <v>4</v>
      </c>
      <c r="H65" s="1106">
        <f t="shared" si="6"/>
        <v>1240</v>
      </c>
      <c r="L65" s="1134">
        <v>3068</v>
      </c>
      <c r="M65" s="1135" t="s">
        <v>1334</v>
      </c>
      <c r="N65" s="1136">
        <v>0.98</v>
      </c>
      <c r="P65" s="1094">
        <v>822</v>
      </c>
      <c r="Q65" t="s">
        <v>1463</v>
      </c>
      <c r="R65" t="s">
        <v>619</v>
      </c>
      <c r="S65">
        <v>136.94705099999999</v>
      </c>
      <c r="T65" s="1095">
        <v>-13.643283</v>
      </c>
    </row>
    <row r="66" spans="5:20" ht="16.2" thickBot="1">
      <c r="E66" s="1103">
        <v>4000</v>
      </c>
      <c r="F66" s="1104">
        <v>4416</v>
      </c>
      <c r="G66" s="1105">
        <v>3</v>
      </c>
      <c r="H66" s="1106">
        <f t="shared" si="6"/>
        <v>1450</v>
      </c>
      <c r="L66" s="1134">
        <v>3070</v>
      </c>
      <c r="M66" s="1135" t="s">
        <v>1334</v>
      </c>
      <c r="N66" s="1136">
        <v>0.98</v>
      </c>
      <c r="P66" s="1094">
        <v>822</v>
      </c>
      <c r="Q66" t="s">
        <v>1483</v>
      </c>
      <c r="R66" t="s">
        <v>619</v>
      </c>
      <c r="S66">
        <v>136.94705099999999</v>
      </c>
      <c r="T66" s="1095">
        <v>-13.643283</v>
      </c>
    </row>
    <row r="67" spans="5:20" ht="16.2" thickBot="1">
      <c r="E67" s="1103">
        <v>4417</v>
      </c>
      <c r="F67" s="1104">
        <v>4417</v>
      </c>
      <c r="G67" s="1105">
        <v>2</v>
      </c>
      <c r="H67" s="1106">
        <f t="shared" si="6"/>
        <v>1610</v>
      </c>
      <c r="L67" s="1134">
        <v>3071</v>
      </c>
      <c r="M67" s="1135" t="s">
        <v>1334</v>
      </c>
      <c r="N67" s="1136">
        <v>0.98</v>
      </c>
      <c r="P67" s="1094">
        <v>822</v>
      </c>
      <c r="Q67" t="s">
        <v>1484</v>
      </c>
      <c r="R67" t="s">
        <v>619</v>
      </c>
      <c r="S67">
        <v>136.94705099999999</v>
      </c>
      <c r="T67" s="1095">
        <v>-13.643283</v>
      </c>
    </row>
    <row r="68" spans="5:20" ht="16.2" thickBot="1">
      <c r="E68" s="1103">
        <v>4418</v>
      </c>
      <c r="F68" s="1104">
        <v>4427</v>
      </c>
      <c r="G68" s="1105">
        <v>3</v>
      </c>
      <c r="H68" s="1106">
        <f t="shared" si="6"/>
        <v>1450</v>
      </c>
      <c r="L68" s="1134">
        <v>3072</v>
      </c>
      <c r="M68" s="1135" t="s">
        <v>1334</v>
      </c>
      <c r="N68" s="1136">
        <v>0.98</v>
      </c>
      <c r="P68" s="1094">
        <v>822</v>
      </c>
      <c r="Q68" t="s">
        <v>1485</v>
      </c>
      <c r="R68" t="s">
        <v>619</v>
      </c>
      <c r="S68">
        <v>136.94705099999999</v>
      </c>
      <c r="T68" s="1095">
        <v>-13.643283</v>
      </c>
    </row>
    <row r="69" spans="5:20" ht="16.2" thickBot="1">
      <c r="E69" s="1103">
        <v>4428</v>
      </c>
      <c r="F69" s="1104">
        <v>4473</v>
      </c>
      <c r="G69" s="1105">
        <v>2</v>
      </c>
      <c r="H69" s="1106">
        <f t="shared" ref="H69:H100" si="7">MROUND((VLOOKUP(G69,$I$12:$J$15,2,FALSE)*1050),10)</f>
        <v>1610</v>
      </c>
      <c r="L69" s="1134">
        <v>3073</v>
      </c>
      <c r="M69" s="1135" t="s">
        <v>1334</v>
      </c>
      <c r="N69" s="1136">
        <v>0.98</v>
      </c>
      <c r="P69" s="1094">
        <v>822</v>
      </c>
      <c r="Q69" t="s">
        <v>1486</v>
      </c>
      <c r="R69" t="s">
        <v>619</v>
      </c>
      <c r="S69">
        <v>136.94705099999999</v>
      </c>
      <c r="T69" s="1095">
        <v>-13.643283</v>
      </c>
    </row>
    <row r="70" spans="5:20" ht="16.2" thickBot="1">
      <c r="E70" s="1103">
        <v>4474</v>
      </c>
      <c r="F70" s="1104">
        <v>4476</v>
      </c>
      <c r="G70" s="1105">
        <v>1</v>
      </c>
      <c r="H70" s="1106">
        <f t="shared" si="7"/>
        <v>1700</v>
      </c>
      <c r="L70" s="1134">
        <v>3074</v>
      </c>
      <c r="M70" s="1135" t="s">
        <v>1334</v>
      </c>
      <c r="N70" s="1136">
        <v>0.98</v>
      </c>
      <c r="P70" s="1094">
        <v>822</v>
      </c>
      <c r="Q70" t="s">
        <v>1487</v>
      </c>
      <c r="R70" t="s">
        <v>619</v>
      </c>
      <c r="S70">
        <v>136.94705099999999</v>
      </c>
      <c r="T70" s="1095">
        <v>-13.643283</v>
      </c>
    </row>
    <row r="71" spans="5:20" ht="16.2" thickBot="1">
      <c r="E71" s="1103">
        <v>4477</v>
      </c>
      <c r="F71" s="1104">
        <v>4478</v>
      </c>
      <c r="G71" s="1105">
        <v>2</v>
      </c>
      <c r="H71" s="1106">
        <f t="shared" si="7"/>
        <v>1610</v>
      </c>
      <c r="L71" s="1134">
        <v>3075</v>
      </c>
      <c r="M71" s="1135" t="s">
        <v>1334</v>
      </c>
      <c r="N71" s="1136">
        <v>0.98</v>
      </c>
      <c r="P71" s="1094">
        <v>822</v>
      </c>
      <c r="Q71" t="s">
        <v>1488</v>
      </c>
      <c r="R71" t="s">
        <v>619</v>
      </c>
      <c r="S71">
        <v>136.94705099999999</v>
      </c>
      <c r="T71" s="1095">
        <v>-13.643283</v>
      </c>
    </row>
    <row r="72" spans="5:20" ht="16.2" thickBot="1">
      <c r="E72" s="1103">
        <v>4479</v>
      </c>
      <c r="F72" s="1104">
        <v>4485</v>
      </c>
      <c r="G72" s="1105">
        <v>1</v>
      </c>
      <c r="H72" s="1106">
        <f t="shared" si="7"/>
        <v>1700</v>
      </c>
      <c r="L72" s="1134">
        <v>3076</v>
      </c>
      <c r="M72" s="1135" t="s">
        <v>1334</v>
      </c>
      <c r="N72" s="1136">
        <v>0.98</v>
      </c>
      <c r="P72" s="1094">
        <v>822</v>
      </c>
      <c r="Q72" t="s">
        <v>1489</v>
      </c>
      <c r="R72" t="s">
        <v>619</v>
      </c>
      <c r="S72">
        <v>136.94705099999999</v>
      </c>
      <c r="T72" s="1095">
        <v>-13.643283</v>
      </c>
    </row>
    <row r="73" spans="5:20" ht="16.2" thickBot="1">
      <c r="E73" s="1103">
        <v>4486</v>
      </c>
      <c r="F73" s="1104">
        <v>4491</v>
      </c>
      <c r="G73" s="1105">
        <v>2</v>
      </c>
      <c r="H73" s="1106">
        <f t="shared" si="7"/>
        <v>1610</v>
      </c>
      <c r="L73" s="1134">
        <v>3078</v>
      </c>
      <c r="M73" s="1135" t="s">
        <v>1334</v>
      </c>
      <c r="N73" s="1136">
        <v>0.98</v>
      </c>
      <c r="P73" s="1094">
        <v>822</v>
      </c>
      <c r="Q73" t="s">
        <v>1490</v>
      </c>
      <c r="R73" t="s">
        <v>619</v>
      </c>
      <c r="S73">
        <v>136.94705099999999</v>
      </c>
      <c r="T73" s="1095">
        <v>-13.643283</v>
      </c>
    </row>
    <row r="74" spans="5:20" ht="16.2" thickBot="1">
      <c r="E74" s="1103">
        <v>4492</v>
      </c>
      <c r="F74" s="1104">
        <v>4492</v>
      </c>
      <c r="G74" s="1105">
        <v>1</v>
      </c>
      <c r="H74" s="1106">
        <f t="shared" si="7"/>
        <v>1700</v>
      </c>
      <c r="L74" s="1134">
        <v>3079</v>
      </c>
      <c r="M74" s="1135" t="s">
        <v>1334</v>
      </c>
      <c r="N74" s="1136">
        <v>0.98</v>
      </c>
      <c r="P74" s="1094">
        <v>822</v>
      </c>
      <c r="Q74" t="s">
        <v>1491</v>
      </c>
      <c r="R74" t="s">
        <v>619</v>
      </c>
      <c r="S74">
        <v>136.94705099999999</v>
      </c>
      <c r="T74" s="1095">
        <v>-13.643283</v>
      </c>
    </row>
    <row r="75" spans="5:20" ht="16.2" thickBot="1">
      <c r="E75" s="1103">
        <v>4493</v>
      </c>
      <c r="F75" s="1104">
        <v>4493</v>
      </c>
      <c r="G75" s="1105">
        <v>2</v>
      </c>
      <c r="H75" s="1106">
        <f t="shared" si="7"/>
        <v>1610</v>
      </c>
      <c r="L75" s="1134">
        <v>3081</v>
      </c>
      <c r="M75" s="1135" t="s">
        <v>1334</v>
      </c>
      <c r="N75" s="1136">
        <v>0.98</v>
      </c>
      <c r="P75" s="1094">
        <v>822</v>
      </c>
      <c r="Q75" t="s">
        <v>1492</v>
      </c>
      <c r="R75" t="s">
        <v>619</v>
      </c>
      <c r="S75">
        <v>136.94705099999999</v>
      </c>
      <c r="T75" s="1095">
        <v>-13.643283</v>
      </c>
    </row>
    <row r="76" spans="5:20" ht="16.2" thickBot="1">
      <c r="E76" s="1103">
        <v>4494</v>
      </c>
      <c r="F76" s="1104">
        <v>4494</v>
      </c>
      <c r="G76" s="1105">
        <v>3</v>
      </c>
      <c r="H76" s="1106">
        <f t="shared" si="7"/>
        <v>1450</v>
      </c>
      <c r="L76" s="1134">
        <v>3082</v>
      </c>
      <c r="M76" s="1135" t="s">
        <v>1334</v>
      </c>
      <c r="N76" s="1136">
        <v>0.98</v>
      </c>
      <c r="P76" s="1094">
        <v>822</v>
      </c>
      <c r="Q76" t="s">
        <v>1493</v>
      </c>
      <c r="R76" t="s">
        <v>619</v>
      </c>
      <c r="S76">
        <v>136.94705099999999</v>
      </c>
      <c r="T76" s="1095">
        <v>-13.643283</v>
      </c>
    </row>
    <row r="77" spans="5:20" ht="16.2" thickBot="1">
      <c r="E77" s="1103">
        <v>4495</v>
      </c>
      <c r="F77" s="1104">
        <v>4497</v>
      </c>
      <c r="G77" s="1105">
        <v>2</v>
      </c>
      <c r="H77" s="1106">
        <f t="shared" si="7"/>
        <v>1610</v>
      </c>
      <c r="L77" s="1134">
        <v>3083</v>
      </c>
      <c r="M77" s="1135" t="s">
        <v>1334</v>
      </c>
      <c r="N77" s="1136">
        <v>0.98</v>
      </c>
      <c r="P77" s="1094">
        <v>822</v>
      </c>
      <c r="Q77" t="s">
        <v>1494</v>
      </c>
      <c r="R77" t="s">
        <v>619</v>
      </c>
      <c r="S77">
        <v>136.94705099999999</v>
      </c>
      <c r="T77" s="1095">
        <v>-13.643283</v>
      </c>
    </row>
    <row r="78" spans="5:20" ht="16.2" thickBot="1">
      <c r="E78" s="1103">
        <v>4498</v>
      </c>
      <c r="F78" s="1104">
        <v>4719</v>
      </c>
      <c r="G78" s="1105">
        <v>3</v>
      </c>
      <c r="H78" s="1106">
        <f t="shared" si="7"/>
        <v>1450</v>
      </c>
      <c r="L78" s="1134">
        <v>3084</v>
      </c>
      <c r="M78" s="1135" t="s">
        <v>1334</v>
      </c>
      <c r="N78" s="1136">
        <v>0.98</v>
      </c>
      <c r="P78" s="1094">
        <v>822</v>
      </c>
      <c r="Q78" t="s">
        <v>1495</v>
      </c>
      <c r="R78" t="s">
        <v>619</v>
      </c>
      <c r="S78">
        <v>136.94705099999999</v>
      </c>
      <c r="T78" s="1095">
        <v>-13.643283</v>
      </c>
    </row>
    <row r="79" spans="5:20" ht="16.2" thickBot="1">
      <c r="E79" s="1103">
        <v>4720</v>
      </c>
      <c r="F79" s="1104">
        <v>4722</v>
      </c>
      <c r="G79" s="1105">
        <v>2</v>
      </c>
      <c r="H79" s="1106">
        <f t="shared" si="7"/>
        <v>1610</v>
      </c>
      <c r="L79" s="1134">
        <v>3085</v>
      </c>
      <c r="M79" s="1135" t="s">
        <v>1334</v>
      </c>
      <c r="N79" s="1136">
        <v>0.98</v>
      </c>
      <c r="P79" s="1094">
        <v>822</v>
      </c>
      <c r="Q79" t="s">
        <v>1496</v>
      </c>
      <c r="R79" t="s">
        <v>619</v>
      </c>
      <c r="S79">
        <v>136.94705099999999</v>
      </c>
      <c r="T79" s="1095">
        <v>-13.643283</v>
      </c>
    </row>
    <row r="80" spans="5:20" ht="16.2" thickBot="1">
      <c r="E80" s="1103">
        <v>4723</v>
      </c>
      <c r="F80" s="1104">
        <v>4723</v>
      </c>
      <c r="G80" s="1105">
        <v>3</v>
      </c>
      <c r="H80" s="1106">
        <f t="shared" si="7"/>
        <v>1450</v>
      </c>
      <c r="L80" s="1134">
        <v>3086</v>
      </c>
      <c r="M80" s="1135" t="s">
        <v>1334</v>
      </c>
      <c r="N80" s="1136">
        <v>0.98</v>
      </c>
      <c r="P80" s="1094">
        <v>822</v>
      </c>
      <c r="Q80" t="s">
        <v>1497</v>
      </c>
      <c r="R80" t="s">
        <v>619</v>
      </c>
      <c r="S80">
        <v>136.94705099999999</v>
      </c>
      <c r="T80" s="1095">
        <v>-13.643283</v>
      </c>
    </row>
    <row r="81" spans="5:20" ht="16.2" thickBot="1">
      <c r="E81" s="1103">
        <v>4724</v>
      </c>
      <c r="F81" s="1104">
        <v>4734</v>
      </c>
      <c r="G81" s="1105">
        <v>2</v>
      </c>
      <c r="H81" s="1106">
        <f t="shared" si="7"/>
        <v>1610</v>
      </c>
      <c r="L81" s="1134">
        <v>3087</v>
      </c>
      <c r="M81" s="1135" t="s">
        <v>1334</v>
      </c>
      <c r="N81" s="1136">
        <v>0.98</v>
      </c>
      <c r="P81" s="1094">
        <v>822</v>
      </c>
      <c r="Q81" t="s">
        <v>1498</v>
      </c>
      <c r="R81" t="s">
        <v>619</v>
      </c>
      <c r="S81">
        <v>136.94705099999999</v>
      </c>
      <c r="T81" s="1095">
        <v>-13.643283</v>
      </c>
    </row>
    <row r="82" spans="5:20" ht="16.2" thickBot="1">
      <c r="E82" s="1103">
        <v>4735</v>
      </c>
      <c r="F82" s="1104">
        <v>4736</v>
      </c>
      <c r="G82" s="1105">
        <v>1</v>
      </c>
      <c r="H82" s="1106">
        <f t="shared" si="7"/>
        <v>1700</v>
      </c>
      <c r="L82" s="1134">
        <v>3088</v>
      </c>
      <c r="M82" s="1135" t="s">
        <v>1334</v>
      </c>
      <c r="N82" s="1136">
        <v>0.98</v>
      </c>
      <c r="P82" s="1094">
        <v>822</v>
      </c>
      <c r="Q82" t="s">
        <v>1499</v>
      </c>
      <c r="R82" t="s">
        <v>619</v>
      </c>
      <c r="S82">
        <v>136.94705099999999</v>
      </c>
      <c r="T82" s="1095">
        <v>-13.643283</v>
      </c>
    </row>
    <row r="83" spans="5:20" ht="16.2" thickBot="1">
      <c r="E83" s="1103">
        <v>4737</v>
      </c>
      <c r="F83" s="1104">
        <v>4822</v>
      </c>
      <c r="G83" s="1105">
        <v>3</v>
      </c>
      <c r="H83" s="1106">
        <f t="shared" si="7"/>
        <v>1450</v>
      </c>
      <c r="L83" s="1134">
        <v>3089</v>
      </c>
      <c r="M83" s="1135" t="s">
        <v>1334</v>
      </c>
      <c r="N83" s="1136">
        <v>0.98</v>
      </c>
      <c r="P83" s="1094">
        <v>822</v>
      </c>
      <c r="Q83" t="s">
        <v>1500</v>
      </c>
      <c r="R83" t="s">
        <v>619</v>
      </c>
      <c r="S83">
        <v>136.94705099999999</v>
      </c>
      <c r="T83" s="1095">
        <v>-13.643283</v>
      </c>
    </row>
    <row r="84" spans="5:20" ht="16.2" thickBot="1">
      <c r="E84" s="1103">
        <v>4823</v>
      </c>
      <c r="F84" s="1104">
        <v>4823</v>
      </c>
      <c r="G84" s="1105">
        <v>2</v>
      </c>
      <c r="H84" s="1106">
        <f t="shared" si="7"/>
        <v>1610</v>
      </c>
      <c r="L84" s="1134">
        <v>3090</v>
      </c>
      <c r="M84" s="1135" t="s">
        <v>1334</v>
      </c>
      <c r="N84" s="1136">
        <v>0.98</v>
      </c>
      <c r="P84" s="1094">
        <v>822</v>
      </c>
      <c r="Q84" t="s">
        <v>1501</v>
      </c>
      <c r="R84" t="s">
        <v>619</v>
      </c>
      <c r="S84">
        <v>136.94705099999999</v>
      </c>
      <c r="T84" s="1095">
        <v>-13.643283</v>
      </c>
    </row>
    <row r="85" spans="5:20" ht="16.2" thickBot="1">
      <c r="E85" s="1103">
        <v>4824</v>
      </c>
      <c r="F85" s="1104">
        <v>4824</v>
      </c>
      <c r="G85" s="1105">
        <v>3</v>
      </c>
      <c r="H85" s="1106">
        <f t="shared" si="7"/>
        <v>1450</v>
      </c>
      <c r="L85" s="1134">
        <v>3091</v>
      </c>
      <c r="M85" s="1135" t="s">
        <v>1334</v>
      </c>
      <c r="N85" s="1136">
        <v>0.98</v>
      </c>
      <c r="P85" s="1094">
        <v>822</v>
      </c>
      <c r="Q85" t="s">
        <v>1502</v>
      </c>
      <c r="R85" t="s">
        <v>619</v>
      </c>
      <c r="S85">
        <v>136.94705099999999</v>
      </c>
      <c r="T85" s="1095">
        <v>-13.643283</v>
      </c>
    </row>
    <row r="86" spans="5:20" ht="16.2" thickBot="1">
      <c r="E86" s="1103">
        <v>4825</v>
      </c>
      <c r="F86" s="1104">
        <v>4827</v>
      </c>
      <c r="G86" s="1105">
        <v>2</v>
      </c>
      <c r="H86" s="1106">
        <f t="shared" si="7"/>
        <v>1610</v>
      </c>
      <c r="L86" s="1134">
        <v>3093</v>
      </c>
      <c r="M86" s="1135" t="s">
        <v>1334</v>
      </c>
      <c r="N86" s="1136">
        <v>0.98</v>
      </c>
      <c r="P86" s="1094">
        <v>822</v>
      </c>
      <c r="Q86" t="s">
        <v>1503</v>
      </c>
      <c r="R86" t="s">
        <v>619</v>
      </c>
      <c r="S86">
        <v>136.94705099999999</v>
      </c>
      <c r="T86" s="1095">
        <v>-13.643283</v>
      </c>
    </row>
    <row r="87" spans="5:20" ht="16.2" thickBot="1">
      <c r="E87" s="1103">
        <v>4828</v>
      </c>
      <c r="F87" s="1104">
        <v>4828</v>
      </c>
      <c r="G87" s="1105">
        <v>3</v>
      </c>
      <c r="H87" s="1106">
        <f t="shared" si="7"/>
        <v>1450</v>
      </c>
      <c r="L87" s="1134">
        <v>3094</v>
      </c>
      <c r="M87" s="1135" t="s">
        <v>1334</v>
      </c>
      <c r="N87" s="1136">
        <v>0.98</v>
      </c>
      <c r="P87" s="1094">
        <v>822</v>
      </c>
      <c r="Q87" t="s">
        <v>1504</v>
      </c>
      <c r="R87" t="s">
        <v>619</v>
      </c>
      <c r="S87">
        <v>136.94705099999999</v>
      </c>
      <c r="T87" s="1095">
        <v>-13.643283</v>
      </c>
    </row>
    <row r="88" spans="5:20" ht="16.2" thickBot="1">
      <c r="E88" s="1103">
        <v>4829</v>
      </c>
      <c r="F88" s="1104">
        <v>4829</v>
      </c>
      <c r="G88" s="1105">
        <v>1</v>
      </c>
      <c r="H88" s="1106">
        <f t="shared" si="7"/>
        <v>1700</v>
      </c>
      <c r="L88" s="1134">
        <v>3095</v>
      </c>
      <c r="M88" s="1135" t="s">
        <v>1334</v>
      </c>
      <c r="N88" s="1136">
        <v>0.98</v>
      </c>
      <c r="P88" s="1094">
        <v>822</v>
      </c>
      <c r="Q88" t="s">
        <v>1505</v>
      </c>
      <c r="R88" t="s">
        <v>619</v>
      </c>
      <c r="S88">
        <v>136.94705099999999</v>
      </c>
      <c r="T88" s="1095">
        <v>-13.643283</v>
      </c>
    </row>
    <row r="89" spans="5:20" ht="16.2" thickBot="1">
      <c r="E89" s="1103">
        <v>4830</v>
      </c>
      <c r="F89" s="1104">
        <v>5431</v>
      </c>
      <c r="G89" s="1105">
        <v>3</v>
      </c>
      <c r="H89" s="1106">
        <f t="shared" si="7"/>
        <v>1450</v>
      </c>
      <c r="L89" s="1134">
        <v>3096</v>
      </c>
      <c r="M89" s="1135" t="s">
        <v>1334</v>
      </c>
      <c r="N89" s="1136">
        <v>0.98</v>
      </c>
      <c r="P89" s="1094">
        <v>822</v>
      </c>
      <c r="Q89" t="s">
        <v>1506</v>
      </c>
      <c r="R89" t="s">
        <v>619</v>
      </c>
      <c r="S89">
        <v>136.94705099999999</v>
      </c>
      <c r="T89" s="1095">
        <v>-13.643283</v>
      </c>
    </row>
    <row r="90" spans="5:20" ht="16.2" thickBot="1">
      <c r="E90" s="1103">
        <v>5432</v>
      </c>
      <c r="F90" s="1104">
        <v>5450</v>
      </c>
      <c r="G90" s="1105">
        <v>2</v>
      </c>
      <c r="H90" s="1106">
        <f t="shared" si="7"/>
        <v>1610</v>
      </c>
      <c r="L90" s="1134">
        <v>3097</v>
      </c>
      <c r="M90" s="1135" t="s">
        <v>1334</v>
      </c>
      <c r="N90" s="1136">
        <v>0.98</v>
      </c>
      <c r="P90" s="1094">
        <v>822</v>
      </c>
      <c r="Q90" t="s">
        <v>1507</v>
      </c>
      <c r="R90" t="s">
        <v>619</v>
      </c>
      <c r="S90">
        <v>136.94705099999999</v>
      </c>
      <c r="T90" s="1095">
        <v>-13.643283</v>
      </c>
    </row>
    <row r="91" spans="5:20" ht="16.2" thickBot="1">
      <c r="E91" s="1103">
        <v>5451</v>
      </c>
      <c r="F91" s="1104">
        <v>5654</v>
      </c>
      <c r="G91" s="1105">
        <v>3</v>
      </c>
      <c r="H91" s="1106">
        <f t="shared" si="7"/>
        <v>1450</v>
      </c>
      <c r="L91" s="1134">
        <v>3099</v>
      </c>
      <c r="M91" s="1135" t="s">
        <v>1334</v>
      </c>
      <c r="N91" s="1136">
        <v>0.98</v>
      </c>
      <c r="P91" s="1094">
        <v>822</v>
      </c>
      <c r="Q91" t="s">
        <v>1508</v>
      </c>
      <c r="R91" t="s">
        <v>619</v>
      </c>
      <c r="S91">
        <v>136.94705099999999</v>
      </c>
      <c r="T91" s="1095">
        <v>-13.643283</v>
      </c>
    </row>
    <row r="92" spans="5:20" ht="16.2" thickBot="1">
      <c r="E92" s="1103">
        <v>5655</v>
      </c>
      <c r="F92" s="1104">
        <v>5669</v>
      </c>
      <c r="G92" s="1105">
        <v>2</v>
      </c>
      <c r="H92" s="1106">
        <f t="shared" si="7"/>
        <v>1610</v>
      </c>
      <c r="L92" s="1134">
        <v>3101</v>
      </c>
      <c r="M92" s="1135" t="s">
        <v>1334</v>
      </c>
      <c r="N92" s="1136">
        <v>0.98</v>
      </c>
      <c r="P92" s="1094">
        <v>822</v>
      </c>
      <c r="Q92" t="s">
        <v>1509</v>
      </c>
      <c r="R92" t="s">
        <v>619</v>
      </c>
      <c r="S92">
        <v>136.94705099999999</v>
      </c>
      <c r="T92" s="1095">
        <v>-13.643283</v>
      </c>
    </row>
    <row r="93" spans="5:20" ht="16.2" thickBot="1">
      <c r="E93" s="1103">
        <v>5670</v>
      </c>
      <c r="F93" s="1104">
        <v>5679</v>
      </c>
      <c r="G93" s="1105">
        <v>3</v>
      </c>
      <c r="H93" s="1106">
        <f t="shared" si="7"/>
        <v>1450</v>
      </c>
      <c r="L93" s="1134">
        <v>3102</v>
      </c>
      <c r="M93" s="1135" t="s">
        <v>1334</v>
      </c>
      <c r="N93" s="1136">
        <v>0.98</v>
      </c>
      <c r="P93" s="1094">
        <v>822</v>
      </c>
      <c r="Q93" t="s">
        <v>1510</v>
      </c>
      <c r="R93" t="s">
        <v>619</v>
      </c>
      <c r="S93">
        <v>136.94705099999999</v>
      </c>
      <c r="T93" s="1095">
        <v>-13.643283</v>
      </c>
    </row>
    <row r="94" spans="5:20" ht="16.2" thickBot="1">
      <c r="E94" s="1103">
        <v>5680</v>
      </c>
      <c r="F94" s="1104">
        <v>5699</v>
      </c>
      <c r="G94" s="1105">
        <v>2</v>
      </c>
      <c r="H94" s="1106">
        <f t="shared" si="7"/>
        <v>1610</v>
      </c>
      <c r="L94" s="1134">
        <v>3103</v>
      </c>
      <c r="M94" s="1135" t="s">
        <v>1334</v>
      </c>
      <c r="N94" s="1136">
        <v>0.98</v>
      </c>
      <c r="P94" s="1094">
        <v>822</v>
      </c>
      <c r="Q94" t="s">
        <v>1472</v>
      </c>
      <c r="R94" t="s">
        <v>619</v>
      </c>
      <c r="S94">
        <v>136.94705099999999</v>
      </c>
      <c r="T94" s="1095">
        <v>-13.643283</v>
      </c>
    </row>
    <row r="95" spans="5:20" ht="16.2" thickBot="1">
      <c r="E95" s="1103">
        <v>5700</v>
      </c>
      <c r="F95" s="1104">
        <v>5709</v>
      </c>
      <c r="G95" s="1105">
        <v>3</v>
      </c>
      <c r="H95" s="1106">
        <f t="shared" si="7"/>
        <v>1450</v>
      </c>
      <c r="L95" s="1134">
        <v>3104</v>
      </c>
      <c r="M95" s="1135" t="s">
        <v>1334</v>
      </c>
      <c r="N95" s="1136">
        <v>0.98</v>
      </c>
      <c r="P95" s="1094">
        <v>822</v>
      </c>
      <c r="Q95" t="s">
        <v>1511</v>
      </c>
      <c r="R95" t="s">
        <v>619</v>
      </c>
      <c r="S95">
        <v>136.94705099999999</v>
      </c>
      <c r="T95" s="1095">
        <v>-13.643283</v>
      </c>
    </row>
    <row r="96" spans="5:20" ht="16.2" thickBot="1">
      <c r="E96" s="1103">
        <v>5710</v>
      </c>
      <c r="F96" s="1104">
        <v>5722</v>
      </c>
      <c r="G96" s="1105">
        <v>2</v>
      </c>
      <c r="H96" s="1106">
        <f t="shared" si="7"/>
        <v>1610</v>
      </c>
      <c r="L96" s="1134">
        <v>3105</v>
      </c>
      <c r="M96" s="1135" t="s">
        <v>1334</v>
      </c>
      <c r="N96" s="1136">
        <v>0.98</v>
      </c>
      <c r="P96" s="1094">
        <v>828</v>
      </c>
      <c r="Q96" t="s">
        <v>1512</v>
      </c>
      <c r="R96" t="s">
        <v>619</v>
      </c>
      <c r="S96">
        <v>130.93206799999999</v>
      </c>
      <c r="T96" s="1095">
        <v>-12.432024</v>
      </c>
    </row>
    <row r="97" spans="5:20" ht="16.2" thickBot="1">
      <c r="E97" s="1103">
        <v>5723</v>
      </c>
      <c r="F97" s="1104">
        <v>5724</v>
      </c>
      <c r="G97" s="1105">
        <v>1</v>
      </c>
      <c r="H97" s="1106">
        <f t="shared" si="7"/>
        <v>1700</v>
      </c>
      <c r="L97" s="1134">
        <v>3106</v>
      </c>
      <c r="M97" s="1135" t="s">
        <v>1334</v>
      </c>
      <c r="N97" s="1136">
        <v>0.98</v>
      </c>
      <c r="P97" s="1094">
        <v>828</v>
      </c>
      <c r="Q97" t="s">
        <v>1513</v>
      </c>
      <c r="R97" t="s">
        <v>619</v>
      </c>
      <c r="S97">
        <v>130.93206799999999</v>
      </c>
      <c r="T97" s="1095">
        <v>-12.432024</v>
      </c>
    </row>
    <row r="98" spans="5:20" ht="16.2" thickBot="1">
      <c r="E98" s="1103">
        <v>5725</v>
      </c>
      <c r="F98" s="1104">
        <v>5730</v>
      </c>
      <c r="G98" s="1105">
        <v>2</v>
      </c>
      <c r="H98" s="1106">
        <f t="shared" si="7"/>
        <v>1610</v>
      </c>
      <c r="L98" s="1134">
        <v>3107</v>
      </c>
      <c r="M98" s="1135" t="s">
        <v>1334</v>
      </c>
      <c r="N98" s="1136">
        <v>0.98</v>
      </c>
      <c r="P98" s="1094">
        <v>829</v>
      </c>
      <c r="Q98" t="s">
        <v>1514</v>
      </c>
      <c r="R98" t="s">
        <v>619</v>
      </c>
      <c r="S98">
        <v>0</v>
      </c>
      <c r="T98" s="1095">
        <v>0</v>
      </c>
    </row>
    <row r="99" spans="5:20" ht="16.2" thickBot="1">
      <c r="E99" s="1103">
        <v>5731</v>
      </c>
      <c r="F99" s="1104">
        <v>5731</v>
      </c>
      <c r="G99" s="1105">
        <v>1</v>
      </c>
      <c r="H99" s="1106">
        <f t="shared" si="7"/>
        <v>1700</v>
      </c>
      <c r="L99" s="1134">
        <v>3108</v>
      </c>
      <c r="M99" s="1135" t="s">
        <v>1334</v>
      </c>
      <c r="N99" s="1136">
        <v>0.98</v>
      </c>
      <c r="P99" s="1094">
        <v>830</v>
      </c>
      <c r="Q99" t="s">
        <v>1515</v>
      </c>
      <c r="R99" t="s">
        <v>619</v>
      </c>
      <c r="S99">
        <v>130.97487899999999</v>
      </c>
      <c r="T99" s="1095">
        <v>-12.475071</v>
      </c>
    </row>
    <row r="100" spans="5:20" ht="16.2" thickBot="1">
      <c r="E100" s="1103">
        <v>5732</v>
      </c>
      <c r="F100" s="1104">
        <v>5732</v>
      </c>
      <c r="G100" s="1105">
        <v>2</v>
      </c>
      <c r="H100" s="1106">
        <f t="shared" si="7"/>
        <v>1610</v>
      </c>
      <c r="L100" s="1134">
        <v>3109</v>
      </c>
      <c r="M100" s="1135" t="s">
        <v>1334</v>
      </c>
      <c r="N100" s="1136">
        <v>0.98</v>
      </c>
      <c r="P100" s="1094">
        <v>830</v>
      </c>
      <c r="Q100" t="s">
        <v>1516</v>
      </c>
      <c r="R100" t="s">
        <v>619</v>
      </c>
      <c r="S100">
        <v>130.97487899999999</v>
      </c>
      <c r="T100" s="1095">
        <v>-12.475071</v>
      </c>
    </row>
    <row r="101" spans="5:20" ht="16.2" thickBot="1">
      <c r="E101" s="1103">
        <v>5733</v>
      </c>
      <c r="F101" s="1104">
        <v>5799</v>
      </c>
      <c r="G101" s="1105">
        <v>1</v>
      </c>
      <c r="H101" s="1106">
        <f t="shared" ref="H101:H132" si="8">MROUND((VLOOKUP(G101,$I$12:$J$15,2,FALSE)*1050),10)</f>
        <v>1700</v>
      </c>
      <c r="L101" s="1134">
        <v>3111</v>
      </c>
      <c r="M101" s="1135" t="s">
        <v>1334</v>
      </c>
      <c r="N101" s="1136">
        <v>0.98</v>
      </c>
      <c r="P101" s="1094">
        <v>830</v>
      </c>
      <c r="Q101" t="s">
        <v>1517</v>
      </c>
      <c r="R101" t="s">
        <v>619</v>
      </c>
      <c r="S101">
        <v>130.97487899999999</v>
      </c>
      <c r="T101" s="1095">
        <v>-12.475071</v>
      </c>
    </row>
    <row r="102" spans="5:20" ht="16.2" thickBot="1">
      <c r="E102" s="1103">
        <v>5800</v>
      </c>
      <c r="F102" s="1104">
        <v>6043</v>
      </c>
      <c r="G102" s="1105">
        <v>3</v>
      </c>
      <c r="H102" s="1106">
        <f t="shared" si="8"/>
        <v>1450</v>
      </c>
      <c r="L102" s="1134">
        <v>3113</v>
      </c>
      <c r="M102" s="1135" t="s">
        <v>1334</v>
      </c>
      <c r="N102" s="1136">
        <v>0.98</v>
      </c>
      <c r="P102" s="1094">
        <v>830</v>
      </c>
      <c r="Q102" t="s">
        <v>1518</v>
      </c>
      <c r="R102" t="s">
        <v>619</v>
      </c>
      <c r="S102">
        <v>130.97487899999999</v>
      </c>
      <c r="T102" s="1095">
        <v>-12.475071</v>
      </c>
    </row>
    <row r="103" spans="5:20" ht="16.2" thickBot="1">
      <c r="E103" s="1103">
        <v>6044</v>
      </c>
      <c r="F103" s="1104">
        <v>6044</v>
      </c>
      <c r="G103" s="1105">
        <v>2</v>
      </c>
      <c r="H103" s="1106">
        <f t="shared" si="8"/>
        <v>1610</v>
      </c>
      <c r="L103" s="1134">
        <v>3114</v>
      </c>
      <c r="M103" s="1135" t="s">
        <v>1334</v>
      </c>
      <c r="N103" s="1136">
        <v>0.98</v>
      </c>
      <c r="P103" s="1094">
        <v>830</v>
      </c>
      <c r="Q103" t="s">
        <v>1519</v>
      </c>
      <c r="R103" t="s">
        <v>619</v>
      </c>
      <c r="S103">
        <v>130.97487899999999</v>
      </c>
      <c r="T103" s="1095">
        <v>-12.475071</v>
      </c>
    </row>
    <row r="104" spans="5:20" ht="16.2" thickBot="1">
      <c r="E104" s="1103">
        <v>6045</v>
      </c>
      <c r="F104" s="1104">
        <v>6256</v>
      </c>
      <c r="G104" s="1105">
        <v>3</v>
      </c>
      <c r="H104" s="1106">
        <f t="shared" si="8"/>
        <v>1450</v>
      </c>
      <c r="L104" s="1134">
        <v>3115</v>
      </c>
      <c r="M104" s="1135" t="s">
        <v>1334</v>
      </c>
      <c r="N104" s="1136">
        <v>0.98</v>
      </c>
      <c r="P104" s="1094">
        <v>830</v>
      </c>
      <c r="Q104" t="s">
        <v>1520</v>
      </c>
      <c r="R104" t="s">
        <v>619</v>
      </c>
      <c r="S104">
        <v>130.97487899999999</v>
      </c>
      <c r="T104" s="1095">
        <v>-12.475071</v>
      </c>
    </row>
    <row r="105" spans="5:20" ht="16.2" thickBot="1">
      <c r="E105" s="1103">
        <v>6257</v>
      </c>
      <c r="F105" s="1104">
        <v>6270</v>
      </c>
      <c r="G105" s="1105">
        <v>4</v>
      </c>
      <c r="H105" s="1106">
        <f t="shared" si="8"/>
        <v>1240</v>
      </c>
      <c r="L105" s="1134">
        <v>3116</v>
      </c>
      <c r="M105" s="1135" t="s">
        <v>1334</v>
      </c>
      <c r="N105" s="1136">
        <v>0.98</v>
      </c>
      <c r="P105" s="1094">
        <v>830</v>
      </c>
      <c r="Q105" t="s">
        <v>1521</v>
      </c>
      <c r="R105" t="s">
        <v>619</v>
      </c>
      <c r="S105">
        <v>130.97487899999999</v>
      </c>
      <c r="T105" s="1095">
        <v>-12.475071</v>
      </c>
    </row>
    <row r="106" spans="5:20" ht="16.2" thickBot="1">
      <c r="E106" s="1103">
        <v>6271</v>
      </c>
      <c r="F106" s="1104">
        <v>6316</v>
      </c>
      <c r="G106" s="1105">
        <v>3</v>
      </c>
      <c r="H106" s="1106">
        <f t="shared" si="8"/>
        <v>1450</v>
      </c>
      <c r="L106" s="1134">
        <v>3121</v>
      </c>
      <c r="M106" s="1135" t="s">
        <v>1334</v>
      </c>
      <c r="N106" s="1136">
        <v>0.98</v>
      </c>
      <c r="P106" s="1094">
        <v>830</v>
      </c>
      <c r="Q106" t="s">
        <v>1522</v>
      </c>
      <c r="R106" t="s">
        <v>619</v>
      </c>
      <c r="S106">
        <v>130.97487899999999</v>
      </c>
      <c r="T106" s="1095">
        <v>-12.475071</v>
      </c>
    </row>
    <row r="107" spans="5:20" ht="16.2" thickBot="1">
      <c r="E107" s="1103">
        <v>6317</v>
      </c>
      <c r="F107" s="1104">
        <v>6349</v>
      </c>
      <c r="G107" s="1105">
        <v>4</v>
      </c>
      <c r="H107" s="1106">
        <f t="shared" si="8"/>
        <v>1240</v>
      </c>
      <c r="L107" s="1134">
        <v>3122</v>
      </c>
      <c r="M107" s="1135" t="s">
        <v>1334</v>
      </c>
      <c r="N107" s="1136">
        <v>0.98</v>
      </c>
      <c r="P107" s="1094">
        <v>830</v>
      </c>
      <c r="Q107" t="s">
        <v>1523</v>
      </c>
      <c r="R107" t="s">
        <v>619</v>
      </c>
      <c r="S107">
        <v>130.97487899999999</v>
      </c>
      <c r="T107" s="1095">
        <v>-12.475071</v>
      </c>
    </row>
    <row r="108" spans="5:20" ht="16.2" thickBot="1">
      <c r="E108" s="1103">
        <v>6350</v>
      </c>
      <c r="F108" s="1104">
        <v>6353</v>
      </c>
      <c r="G108" s="1105">
        <v>3</v>
      </c>
      <c r="H108" s="1106">
        <f t="shared" si="8"/>
        <v>1450</v>
      </c>
      <c r="L108" s="1134">
        <v>3123</v>
      </c>
      <c r="M108" s="1135" t="s">
        <v>1334</v>
      </c>
      <c r="N108" s="1136">
        <v>0.98</v>
      </c>
      <c r="P108" s="1094">
        <v>830</v>
      </c>
      <c r="Q108" t="s">
        <v>1524</v>
      </c>
      <c r="R108" t="s">
        <v>619</v>
      </c>
      <c r="S108">
        <v>130.97487899999999</v>
      </c>
      <c r="T108" s="1095">
        <v>-12.475071</v>
      </c>
    </row>
    <row r="109" spans="5:20" ht="16.2" thickBot="1">
      <c r="E109" s="1103">
        <v>6354</v>
      </c>
      <c r="F109" s="1104">
        <v>6356</v>
      </c>
      <c r="G109" s="1105">
        <v>4</v>
      </c>
      <c r="H109" s="1106">
        <f t="shared" si="8"/>
        <v>1240</v>
      </c>
      <c r="L109" s="1134">
        <v>3124</v>
      </c>
      <c r="M109" s="1135" t="s">
        <v>1334</v>
      </c>
      <c r="N109" s="1136">
        <v>0.98</v>
      </c>
      <c r="P109" s="1094">
        <v>830</v>
      </c>
      <c r="Q109" t="s">
        <v>1525</v>
      </c>
      <c r="R109" t="s">
        <v>619</v>
      </c>
      <c r="S109">
        <v>130.97487899999999</v>
      </c>
      <c r="T109" s="1095">
        <v>-12.475071</v>
      </c>
    </row>
    <row r="110" spans="5:20" ht="16.2" thickBot="1">
      <c r="E110" s="1103">
        <v>6357</v>
      </c>
      <c r="F110" s="1104">
        <v>6394</v>
      </c>
      <c r="G110" s="1105">
        <v>3</v>
      </c>
      <c r="H110" s="1106">
        <f t="shared" si="8"/>
        <v>1450</v>
      </c>
      <c r="L110" s="1134">
        <v>3125</v>
      </c>
      <c r="M110" s="1135" t="s">
        <v>1334</v>
      </c>
      <c r="N110" s="1136">
        <v>0.98</v>
      </c>
      <c r="P110" s="1094">
        <v>831</v>
      </c>
      <c r="Q110" t="s">
        <v>1522</v>
      </c>
      <c r="R110" t="s">
        <v>619</v>
      </c>
      <c r="S110">
        <v>0</v>
      </c>
      <c r="T110" s="1095">
        <v>0</v>
      </c>
    </row>
    <row r="111" spans="5:20" ht="16.2" thickBot="1">
      <c r="E111" s="1103">
        <v>6395</v>
      </c>
      <c r="F111" s="1104">
        <v>6400</v>
      </c>
      <c r="G111" s="1105">
        <v>4</v>
      </c>
      <c r="H111" s="1106">
        <f t="shared" si="8"/>
        <v>1240</v>
      </c>
      <c r="L111" s="1134">
        <v>3126</v>
      </c>
      <c r="M111" s="1135" t="s">
        <v>1334</v>
      </c>
      <c r="N111" s="1136">
        <v>0.98</v>
      </c>
      <c r="P111" s="1094">
        <v>832</v>
      </c>
      <c r="Q111" t="s">
        <v>1526</v>
      </c>
      <c r="R111" t="s">
        <v>619</v>
      </c>
      <c r="S111">
        <v>130.95771199999999</v>
      </c>
      <c r="T111" s="1095">
        <v>-12.502817</v>
      </c>
    </row>
    <row r="112" spans="5:20" ht="16.2" thickBot="1">
      <c r="E112" s="1103">
        <v>6401</v>
      </c>
      <c r="F112" s="1104">
        <v>6430</v>
      </c>
      <c r="G112" s="1105">
        <v>3</v>
      </c>
      <c r="H112" s="1106">
        <f t="shared" si="8"/>
        <v>1450</v>
      </c>
      <c r="L112" s="1134">
        <v>3127</v>
      </c>
      <c r="M112" s="1135" t="s">
        <v>1334</v>
      </c>
      <c r="N112" s="1136">
        <v>0.98</v>
      </c>
      <c r="P112" s="1094">
        <v>832</v>
      </c>
      <c r="Q112" t="s">
        <v>1527</v>
      </c>
      <c r="R112" t="s">
        <v>619</v>
      </c>
      <c r="S112">
        <v>130.95771199999999</v>
      </c>
      <c r="T112" s="1095">
        <v>-12.502817</v>
      </c>
    </row>
    <row r="113" spans="5:20" ht="16.2" thickBot="1">
      <c r="E113" s="1103">
        <v>6431</v>
      </c>
      <c r="F113" s="1104">
        <v>6431</v>
      </c>
      <c r="G113" s="1105">
        <v>2</v>
      </c>
      <c r="H113" s="1106">
        <f t="shared" si="8"/>
        <v>1610</v>
      </c>
      <c r="L113" s="1134">
        <v>3128</v>
      </c>
      <c r="M113" s="1135" t="s">
        <v>1334</v>
      </c>
      <c r="N113" s="1136">
        <v>0.98</v>
      </c>
      <c r="P113" s="1094">
        <v>832</v>
      </c>
      <c r="Q113" t="s">
        <v>1528</v>
      </c>
      <c r="R113" t="s">
        <v>619</v>
      </c>
      <c r="S113">
        <v>130.95771199999999</v>
      </c>
      <c r="T113" s="1095">
        <v>-12.502817</v>
      </c>
    </row>
    <row r="114" spans="5:20" ht="16.2" thickBot="1">
      <c r="E114" s="1103">
        <v>6432</v>
      </c>
      <c r="F114" s="1104">
        <v>6433</v>
      </c>
      <c r="G114" s="1105">
        <v>3</v>
      </c>
      <c r="H114" s="1106">
        <f t="shared" si="8"/>
        <v>1450</v>
      </c>
      <c r="L114" s="1134">
        <v>3129</v>
      </c>
      <c r="M114" s="1135" t="s">
        <v>1334</v>
      </c>
      <c r="N114" s="1136">
        <v>0.98</v>
      </c>
      <c r="P114" s="1094">
        <v>832</v>
      </c>
      <c r="Q114" t="s">
        <v>1529</v>
      </c>
      <c r="R114" t="s">
        <v>619</v>
      </c>
      <c r="S114">
        <v>130.95771199999999</v>
      </c>
      <c r="T114" s="1095">
        <v>-12.502817</v>
      </c>
    </row>
    <row r="115" spans="5:20" ht="16.2" thickBot="1">
      <c r="E115" s="1103">
        <v>6434</v>
      </c>
      <c r="F115" s="1104">
        <v>6440</v>
      </c>
      <c r="G115" s="1105">
        <v>2</v>
      </c>
      <c r="H115" s="1106">
        <f t="shared" si="8"/>
        <v>1610</v>
      </c>
      <c r="L115" s="1134">
        <v>3130</v>
      </c>
      <c r="M115" s="1135" t="s">
        <v>1334</v>
      </c>
      <c r="N115" s="1136">
        <v>0.98</v>
      </c>
      <c r="P115" s="1094">
        <v>832</v>
      </c>
      <c r="Q115" t="s">
        <v>1530</v>
      </c>
      <c r="R115" t="s">
        <v>619</v>
      </c>
      <c r="S115">
        <v>130.95771199999999</v>
      </c>
      <c r="T115" s="1095">
        <v>-12.502817</v>
      </c>
    </row>
    <row r="116" spans="5:20" ht="16.2" thickBot="1">
      <c r="E116" s="1103">
        <v>6441</v>
      </c>
      <c r="F116" s="1104">
        <v>6441</v>
      </c>
      <c r="G116" s="1105">
        <v>1</v>
      </c>
      <c r="H116" s="1106">
        <f t="shared" si="8"/>
        <v>1700</v>
      </c>
      <c r="L116" s="1134">
        <v>3131</v>
      </c>
      <c r="M116" s="1135" t="s">
        <v>1334</v>
      </c>
      <c r="N116" s="1136">
        <v>0.98</v>
      </c>
      <c r="P116" s="1094">
        <v>832</v>
      </c>
      <c r="Q116" t="s">
        <v>1531</v>
      </c>
      <c r="R116" t="s">
        <v>619</v>
      </c>
      <c r="S116">
        <v>130.95771199999999</v>
      </c>
      <c r="T116" s="1095">
        <v>-12.502817</v>
      </c>
    </row>
    <row r="117" spans="5:20" ht="16.2" thickBot="1">
      <c r="E117" s="1103">
        <v>6442</v>
      </c>
      <c r="F117" s="1104">
        <v>6444</v>
      </c>
      <c r="G117" s="1105">
        <v>3</v>
      </c>
      <c r="H117" s="1106">
        <f t="shared" si="8"/>
        <v>1450</v>
      </c>
      <c r="L117" s="1134">
        <v>3132</v>
      </c>
      <c r="M117" s="1135" t="s">
        <v>1334</v>
      </c>
      <c r="N117" s="1136">
        <v>0.98</v>
      </c>
      <c r="P117" s="1094">
        <v>835</v>
      </c>
      <c r="Q117" t="s">
        <v>1532</v>
      </c>
      <c r="R117" t="s">
        <v>619</v>
      </c>
      <c r="S117">
        <v>131.01374100000001</v>
      </c>
      <c r="T117" s="1095">
        <v>-12.452567999999999</v>
      </c>
    </row>
    <row r="118" spans="5:20" ht="16.2" thickBot="1">
      <c r="E118" s="1103">
        <v>6445</v>
      </c>
      <c r="F118" s="1104">
        <v>6459</v>
      </c>
      <c r="G118" s="1105">
        <v>4</v>
      </c>
      <c r="H118" s="1106">
        <f t="shared" si="8"/>
        <v>1240</v>
      </c>
      <c r="L118" s="1134">
        <v>3133</v>
      </c>
      <c r="M118" s="1135" t="s">
        <v>1334</v>
      </c>
      <c r="N118" s="1136">
        <v>0.98</v>
      </c>
      <c r="P118" s="1094">
        <v>835</v>
      </c>
      <c r="Q118" t="s">
        <v>1507</v>
      </c>
      <c r="R118" t="s">
        <v>619</v>
      </c>
      <c r="S118">
        <v>131.01374100000001</v>
      </c>
      <c r="T118" s="1095">
        <v>-12.452567999999999</v>
      </c>
    </row>
    <row r="119" spans="5:20" ht="16.2" thickBot="1">
      <c r="E119" s="1103">
        <v>6460</v>
      </c>
      <c r="F119" s="1104">
        <v>6467</v>
      </c>
      <c r="G119" s="1105">
        <v>3</v>
      </c>
      <c r="H119" s="1106">
        <f t="shared" si="8"/>
        <v>1450</v>
      </c>
      <c r="L119" s="1134">
        <v>3134</v>
      </c>
      <c r="M119" s="1135" t="s">
        <v>1334</v>
      </c>
      <c r="N119" s="1136">
        <v>0.98</v>
      </c>
      <c r="P119" s="1094">
        <v>836</v>
      </c>
      <c r="Q119" t="s">
        <v>1533</v>
      </c>
      <c r="R119" t="s">
        <v>619</v>
      </c>
      <c r="S119">
        <v>131.10066800000001</v>
      </c>
      <c r="T119" s="1095">
        <v>-12.557753999999999</v>
      </c>
    </row>
    <row r="120" spans="5:20" ht="16.2" thickBot="1">
      <c r="E120" s="1103">
        <v>6468</v>
      </c>
      <c r="F120" s="1104">
        <v>6469</v>
      </c>
      <c r="G120" s="1105">
        <v>2</v>
      </c>
      <c r="H120" s="1106">
        <f t="shared" si="8"/>
        <v>1610</v>
      </c>
      <c r="L120" s="1134">
        <v>3135</v>
      </c>
      <c r="M120" s="1135" t="s">
        <v>1334</v>
      </c>
      <c r="N120" s="1136">
        <v>0.98</v>
      </c>
      <c r="P120" s="1094">
        <v>836</v>
      </c>
      <c r="Q120" t="s">
        <v>1534</v>
      </c>
      <c r="R120" t="s">
        <v>619</v>
      </c>
      <c r="S120">
        <v>131.10066800000001</v>
      </c>
      <c r="T120" s="1095">
        <v>-12.557753999999999</v>
      </c>
    </row>
    <row r="121" spans="5:20" ht="16.2" thickBot="1">
      <c r="E121" s="1103">
        <v>6470</v>
      </c>
      <c r="F121" s="1104">
        <v>6471</v>
      </c>
      <c r="G121" s="1105">
        <v>3</v>
      </c>
      <c r="H121" s="1106">
        <f t="shared" si="8"/>
        <v>1450</v>
      </c>
      <c r="L121" s="1134">
        <v>3136</v>
      </c>
      <c r="M121" s="1135" t="s">
        <v>1334</v>
      </c>
      <c r="N121" s="1136">
        <v>0.98</v>
      </c>
      <c r="P121" s="1094">
        <v>837</v>
      </c>
      <c r="Q121" t="s">
        <v>1535</v>
      </c>
      <c r="R121" t="s">
        <v>619</v>
      </c>
      <c r="S121">
        <v>131.01664700000001</v>
      </c>
      <c r="T121" s="1095">
        <v>-12.704767</v>
      </c>
    </row>
    <row r="122" spans="5:20" ht="16.2" thickBot="1">
      <c r="E122" s="1103">
        <v>6472</v>
      </c>
      <c r="F122" s="1104">
        <v>6472</v>
      </c>
      <c r="G122" s="1105">
        <v>2</v>
      </c>
      <c r="H122" s="1106">
        <f t="shared" si="8"/>
        <v>1610</v>
      </c>
      <c r="L122" s="1134">
        <v>3137</v>
      </c>
      <c r="M122" s="1135" t="s">
        <v>1334</v>
      </c>
      <c r="N122" s="1136">
        <v>0.98</v>
      </c>
      <c r="P122" s="1094">
        <v>837</v>
      </c>
      <c r="Q122" t="s">
        <v>1536</v>
      </c>
      <c r="R122" t="s">
        <v>619</v>
      </c>
      <c r="S122">
        <v>131.01664700000001</v>
      </c>
      <c r="T122" s="1095">
        <v>-12.704767</v>
      </c>
    </row>
    <row r="123" spans="5:20" ht="16.2" thickBot="1">
      <c r="E123" s="1103">
        <v>6473</v>
      </c>
      <c r="F123" s="1104">
        <v>6506</v>
      </c>
      <c r="G123" s="1105">
        <v>3</v>
      </c>
      <c r="H123" s="1106">
        <f t="shared" si="8"/>
        <v>1450</v>
      </c>
      <c r="L123" s="1134">
        <v>3138</v>
      </c>
      <c r="M123" s="1135" t="s">
        <v>1334</v>
      </c>
      <c r="N123" s="1136">
        <v>0.98</v>
      </c>
      <c r="P123" s="1094">
        <v>838</v>
      </c>
      <c r="Q123" t="s">
        <v>1537</v>
      </c>
      <c r="R123" t="s">
        <v>619</v>
      </c>
      <c r="S123">
        <v>0</v>
      </c>
      <c r="T123" s="1095">
        <v>0</v>
      </c>
    </row>
    <row r="124" spans="5:20" ht="16.2" thickBot="1">
      <c r="E124" s="1103">
        <v>6507</v>
      </c>
      <c r="F124" s="1104">
        <v>6508</v>
      </c>
      <c r="G124" s="1105">
        <v>2</v>
      </c>
      <c r="H124" s="1106">
        <f t="shared" si="8"/>
        <v>1610</v>
      </c>
      <c r="L124" s="1134">
        <v>3139</v>
      </c>
      <c r="M124" s="1135" t="s">
        <v>1334</v>
      </c>
      <c r="N124" s="1136">
        <v>0.98</v>
      </c>
      <c r="P124" s="1094">
        <v>840</v>
      </c>
      <c r="Q124" t="s">
        <v>1538</v>
      </c>
      <c r="R124" t="s">
        <v>619</v>
      </c>
      <c r="S124">
        <v>0</v>
      </c>
      <c r="T124" s="1095">
        <v>0</v>
      </c>
    </row>
    <row r="125" spans="5:20" ht="16.2" thickBot="1">
      <c r="E125" s="1103">
        <v>6509</v>
      </c>
      <c r="F125" s="1104">
        <v>6509</v>
      </c>
      <c r="G125" s="1105">
        <v>3</v>
      </c>
      <c r="H125" s="1106">
        <f t="shared" si="8"/>
        <v>1450</v>
      </c>
      <c r="L125" s="1134">
        <v>3140</v>
      </c>
      <c r="M125" s="1135" t="s">
        <v>1334</v>
      </c>
      <c r="N125" s="1136">
        <v>0.98</v>
      </c>
      <c r="P125" s="1094">
        <v>840</v>
      </c>
      <c r="Q125" t="s">
        <v>1539</v>
      </c>
      <c r="R125" t="s">
        <v>619</v>
      </c>
      <c r="S125">
        <v>0</v>
      </c>
      <c r="T125" s="1095">
        <v>0</v>
      </c>
    </row>
    <row r="126" spans="5:20" ht="16.2" thickBot="1">
      <c r="E126" s="1103">
        <v>6510</v>
      </c>
      <c r="F126" s="1104">
        <v>6536</v>
      </c>
      <c r="G126" s="1105">
        <v>2</v>
      </c>
      <c r="H126" s="1106">
        <f t="shared" si="8"/>
        <v>1610</v>
      </c>
      <c r="L126" s="1134">
        <v>3141</v>
      </c>
      <c r="M126" s="1135" t="s">
        <v>1334</v>
      </c>
      <c r="N126" s="1136">
        <v>0.98</v>
      </c>
      <c r="P126" s="1094">
        <v>840</v>
      </c>
      <c r="Q126" t="s">
        <v>1540</v>
      </c>
      <c r="R126" t="s">
        <v>619</v>
      </c>
      <c r="S126">
        <v>0</v>
      </c>
      <c r="T126" s="1095">
        <v>0</v>
      </c>
    </row>
    <row r="127" spans="5:20" ht="16.2" thickBot="1">
      <c r="E127" s="1103">
        <v>6537</v>
      </c>
      <c r="F127" s="1104">
        <v>6537</v>
      </c>
      <c r="G127" s="1105">
        <v>1</v>
      </c>
      <c r="H127" s="1106">
        <f t="shared" si="8"/>
        <v>1700</v>
      </c>
      <c r="L127" s="1134">
        <v>3142</v>
      </c>
      <c r="M127" s="1135" t="s">
        <v>1334</v>
      </c>
      <c r="N127" s="1136">
        <v>0.98</v>
      </c>
      <c r="P127" s="1094">
        <v>841</v>
      </c>
      <c r="Q127" t="s">
        <v>1541</v>
      </c>
      <c r="R127" t="s">
        <v>619</v>
      </c>
      <c r="S127">
        <v>0</v>
      </c>
      <c r="T127" s="1095">
        <v>0</v>
      </c>
    </row>
    <row r="128" spans="5:20" ht="16.2" thickBot="1">
      <c r="E128" s="1103">
        <v>6538</v>
      </c>
      <c r="F128" s="1104">
        <v>6555</v>
      </c>
      <c r="G128" s="1105">
        <v>2</v>
      </c>
      <c r="H128" s="1106">
        <f t="shared" si="8"/>
        <v>1610</v>
      </c>
      <c r="L128" s="1134">
        <v>3143</v>
      </c>
      <c r="M128" s="1135" t="s">
        <v>1334</v>
      </c>
      <c r="N128" s="1136">
        <v>0.98</v>
      </c>
      <c r="P128" s="1094">
        <v>845</v>
      </c>
      <c r="Q128" t="s">
        <v>1542</v>
      </c>
      <c r="R128" t="s">
        <v>619</v>
      </c>
      <c r="S128">
        <v>131.03847500000001</v>
      </c>
      <c r="T128" s="1095">
        <v>-13.045118</v>
      </c>
    </row>
    <row r="129" spans="5:20" ht="16.2" thickBot="1">
      <c r="E129" s="1103">
        <v>6556</v>
      </c>
      <c r="F129" s="1104">
        <v>6573</v>
      </c>
      <c r="G129" s="1105">
        <v>3</v>
      </c>
      <c r="H129" s="1106">
        <f t="shared" si="8"/>
        <v>1450</v>
      </c>
      <c r="L129" s="1134">
        <v>3144</v>
      </c>
      <c r="M129" s="1135" t="s">
        <v>1334</v>
      </c>
      <c r="N129" s="1136">
        <v>0.98</v>
      </c>
      <c r="P129" s="1094">
        <v>846</v>
      </c>
      <c r="Q129" t="s">
        <v>1543</v>
      </c>
      <c r="R129" t="s">
        <v>619</v>
      </c>
      <c r="S129">
        <v>131.09500199999999</v>
      </c>
      <c r="T129" s="1095">
        <v>-13.210298999999999</v>
      </c>
    </row>
    <row r="130" spans="5:20" ht="16.2" thickBot="1">
      <c r="E130" s="1103">
        <v>6574</v>
      </c>
      <c r="F130" s="1104">
        <v>6602</v>
      </c>
      <c r="G130" s="1105">
        <v>2</v>
      </c>
      <c r="H130" s="1106">
        <f t="shared" si="8"/>
        <v>1610</v>
      </c>
      <c r="L130" s="1134">
        <v>3145</v>
      </c>
      <c r="M130" s="1135" t="s">
        <v>1334</v>
      </c>
      <c r="N130" s="1136">
        <v>0.98</v>
      </c>
      <c r="P130" s="1094">
        <v>847</v>
      </c>
      <c r="Q130" t="s">
        <v>1544</v>
      </c>
      <c r="R130" t="s">
        <v>619</v>
      </c>
      <c r="S130">
        <v>131.759154</v>
      </c>
      <c r="T130" s="1095">
        <v>-14.012122</v>
      </c>
    </row>
    <row r="131" spans="5:20" ht="16.2" thickBot="1">
      <c r="E131" s="1103">
        <v>6603</v>
      </c>
      <c r="F131" s="1104">
        <v>6607</v>
      </c>
      <c r="G131" s="1105">
        <v>3</v>
      </c>
      <c r="H131" s="1106">
        <f t="shared" si="8"/>
        <v>1450</v>
      </c>
      <c r="L131" s="1134">
        <v>3146</v>
      </c>
      <c r="M131" s="1135" t="s">
        <v>1334</v>
      </c>
      <c r="N131" s="1136">
        <v>0.98</v>
      </c>
      <c r="P131" s="1094">
        <v>850</v>
      </c>
      <c r="Q131" t="s">
        <v>1545</v>
      </c>
      <c r="R131" t="s">
        <v>619</v>
      </c>
      <c r="S131">
        <v>132.365352</v>
      </c>
      <c r="T131" s="1095">
        <v>-14.195911000000001</v>
      </c>
    </row>
    <row r="132" spans="5:20" ht="16.2" thickBot="1">
      <c r="E132" s="1103">
        <v>6608</v>
      </c>
      <c r="F132" s="1104">
        <v>6641</v>
      </c>
      <c r="G132" s="1105">
        <v>2</v>
      </c>
      <c r="H132" s="1106">
        <f t="shared" si="8"/>
        <v>1610</v>
      </c>
      <c r="L132" s="1134">
        <v>3147</v>
      </c>
      <c r="M132" s="1135" t="s">
        <v>1334</v>
      </c>
      <c r="N132" s="1136">
        <v>0.98</v>
      </c>
      <c r="P132" s="1094">
        <v>851</v>
      </c>
      <c r="Q132" t="s">
        <v>1545</v>
      </c>
      <c r="R132" t="s">
        <v>619</v>
      </c>
      <c r="S132">
        <v>0</v>
      </c>
      <c r="T132" s="1095">
        <v>0</v>
      </c>
    </row>
    <row r="133" spans="5:20" ht="16.2" thickBot="1">
      <c r="E133" s="1103">
        <v>6642</v>
      </c>
      <c r="F133" s="1104">
        <v>6724</v>
      </c>
      <c r="G133" s="1105">
        <v>1</v>
      </c>
      <c r="H133" s="1106">
        <f t="shared" ref="H133:H141" si="9">MROUND((VLOOKUP(G133,$I$12:$J$15,2,FALSE)*1050),10)</f>
        <v>1700</v>
      </c>
      <c r="L133" s="1134">
        <v>3148</v>
      </c>
      <c r="M133" s="1135" t="s">
        <v>1334</v>
      </c>
      <c r="N133" s="1136">
        <v>0.98</v>
      </c>
      <c r="P133" s="1094">
        <v>852</v>
      </c>
      <c r="Q133" t="s">
        <v>1546</v>
      </c>
      <c r="R133" t="s">
        <v>619</v>
      </c>
      <c r="S133">
        <v>137.05071899999999</v>
      </c>
      <c r="T133" s="1095">
        <v>-15.711423999999999</v>
      </c>
    </row>
    <row r="134" spans="5:20" ht="16.2" thickBot="1">
      <c r="E134" s="1103">
        <v>6725</v>
      </c>
      <c r="F134" s="1104">
        <v>6750</v>
      </c>
      <c r="G134" s="1105">
        <v>2</v>
      </c>
      <c r="H134" s="1106">
        <f t="shared" si="9"/>
        <v>1610</v>
      </c>
      <c r="L134" s="1134">
        <v>3149</v>
      </c>
      <c r="M134" s="1135" t="s">
        <v>1334</v>
      </c>
      <c r="N134" s="1136">
        <v>0.98</v>
      </c>
      <c r="P134" s="1094">
        <v>852</v>
      </c>
      <c r="Q134" t="s">
        <v>1547</v>
      </c>
      <c r="R134" t="s">
        <v>619</v>
      </c>
      <c r="S134">
        <v>137.05071899999999</v>
      </c>
      <c r="T134" s="1095">
        <v>-15.711423999999999</v>
      </c>
    </row>
    <row r="135" spans="5:20" ht="16.2" thickBot="1">
      <c r="E135" s="1103">
        <v>6751</v>
      </c>
      <c r="F135" s="1104">
        <v>6764</v>
      </c>
      <c r="G135" s="1105">
        <v>1</v>
      </c>
      <c r="H135" s="1106">
        <f t="shared" si="9"/>
        <v>1700</v>
      </c>
      <c r="L135" s="1134">
        <v>3150</v>
      </c>
      <c r="M135" s="1135" t="s">
        <v>1334</v>
      </c>
      <c r="N135" s="1136">
        <v>0.98</v>
      </c>
      <c r="P135" s="1094">
        <v>852</v>
      </c>
      <c r="Q135" t="s">
        <v>1548</v>
      </c>
      <c r="R135" t="s">
        <v>619</v>
      </c>
      <c r="S135">
        <v>137.05071899999999</v>
      </c>
      <c r="T135" s="1095">
        <v>-15.711423999999999</v>
      </c>
    </row>
    <row r="136" spans="5:20" ht="16.2" thickBot="1">
      <c r="E136" s="1103">
        <v>6765</v>
      </c>
      <c r="F136" s="1104">
        <v>6765</v>
      </c>
      <c r="G136" s="1105">
        <v>2</v>
      </c>
      <c r="H136" s="1106">
        <f t="shared" si="9"/>
        <v>1610</v>
      </c>
      <c r="L136" s="1134">
        <v>3151</v>
      </c>
      <c r="M136" s="1135" t="s">
        <v>1334</v>
      </c>
      <c r="N136" s="1136">
        <v>0.98</v>
      </c>
      <c r="P136" s="1094">
        <v>852</v>
      </c>
      <c r="Q136" t="s">
        <v>1549</v>
      </c>
      <c r="R136" t="s">
        <v>619</v>
      </c>
      <c r="S136">
        <v>137.05071899999999</v>
      </c>
      <c r="T136" s="1095">
        <v>-15.711423999999999</v>
      </c>
    </row>
    <row r="137" spans="5:20" ht="16.2" thickBot="1">
      <c r="E137" s="1103">
        <v>6766</v>
      </c>
      <c r="F137" s="1104">
        <v>6797</v>
      </c>
      <c r="G137" s="1105">
        <v>1</v>
      </c>
      <c r="H137" s="1106">
        <f t="shared" si="9"/>
        <v>1700</v>
      </c>
      <c r="L137" s="1134">
        <v>3152</v>
      </c>
      <c r="M137" s="1135" t="s">
        <v>1334</v>
      </c>
      <c r="N137" s="1136">
        <v>0.98</v>
      </c>
      <c r="P137" s="1094">
        <v>852</v>
      </c>
      <c r="Q137" t="s">
        <v>1550</v>
      </c>
      <c r="R137" t="s">
        <v>619</v>
      </c>
      <c r="S137">
        <v>137.05071899999999</v>
      </c>
      <c r="T137" s="1095">
        <v>-15.711423999999999</v>
      </c>
    </row>
    <row r="138" spans="5:20" ht="16.2" thickBot="1">
      <c r="E138" s="1103">
        <v>6798</v>
      </c>
      <c r="F138" s="1104">
        <v>6799</v>
      </c>
      <c r="G138" s="1105">
        <v>2</v>
      </c>
      <c r="H138" s="1106">
        <f t="shared" si="9"/>
        <v>1610</v>
      </c>
      <c r="L138" s="1134">
        <v>3153</v>
      </c>
      <c r="M138" s="1135" t="s">
        <v>1334</v>
      </c>
      <c r="N138" s="1136">
        <v>0.98</v>
      </c>
      <c r="P138" s="1094">
        <v>852</v>
      </c>
      <c r="Q138" t="s">
        <v>1551</v>
      </c>
      <c r="R138" t="s">
        <v>619</v>
      </c>
      <c r="S138">
        <v>137.05071899999999</v>
      </c>
      <c r="T138" s="1095">
        <v>-15.711423999999999</v>
      </c>
    </row>
    <row r="139" spans="5:20" ht="16.2" thickBot="1">
      <c r="E139" s="1103">
        <v>6800</v>
      </c>
      <c r="F139" s="1104">
        <v>6999</v>
      </c>
      <c r="G139" s="1105">
        <v>3</v>
      </c>
      <c r="H139" s="1106">
        <f t="shared" si="9"/>
        <v>1450</v>
      </c>
      <c r="L139" s="1134">
        <v>3154</v>
      </c>
      <c r="M139" s="1135" t="s">
        <v>1334</v>
      </c>
      <c r="N139" s="1136">
        <v>0.98</v>
      </c>
      <c r="P139" s="1094">
        <v>852</v>
      </c>
      <c r="Q139" t="s">
        <v>1552</v>
      </c>
      <c r="R139" t="s">
        <v>619</v>
      </c>
      <c r="S139">
        <v>137.05071899999999</v>
      </c>
      <c r="T139" s="1095">
        <v>-15.711423999999999</v>
      </c>
    </row>
    <row r="140" spans="5:20" ht="16.2" thickBot="1">
      <c r="E140" s="1103">
        <v>7000</v>
      </c>
      <c r="F140" s="1104">
        <v>8999</v>
      </c>
      <c r="G140" s="1105">
        <v>4</v>
      </c>
      <c r="H140" s="1106">
        <f t="shared" si="9"/>
        <v>1240</v>
      </c>
      <c r="L140" s="1134">
        <v>3155</v>
      </c>
      <c r="M140" s="1135" t="s">
        <v>1334</v>
      </c>
      <c r="N140" s="1136">
        <v>0.98</v>
      </c>
      <c r="P140" s="1094">
        <v>852</v>
      </c>
      <c r="Q140" t="s">
        <v>1545</v>
      </c>
      <c r="R140" t="s">
        <v>619</v>
      </c>
      <c r="S140">
        <v>137.05071899999999</v>
      </c>
      <c r="T140" s="1095">
        <v>-15.711423999999999</v>
      </c>
    </row>
    <row r="141" spans="5:20">
      <c r="E141" s="1108">
        <v>9000</v>
      </c>
      <c r="F141" s="1109">
        <v>9999</v>
      </c>
      <c r="G141" s="1110">
        <v>3</v>
      </c>
      <c r="H141" s="1106">
        <f t="shared" si="9"/>
        <v>1450</v>
      </c>
      <c r="L141" s="1134">
        <v>3156</v>
      </c>
      <c r="M141" s="1135" t="s">
        <v>1334</v>
      </c>
      <c r="N141" s="1136">
        <v>0.98</v>
      </c>
      <c r="P141" s="1094">
        <v>852</v>
      </c>
      <c r="Q141" t="s">
        <v>1553</v>
      </c>
      <c r="R141" t="s">
        <v>619</v>
      </c>
      <c r="S141">
        <v>137.05071899999999</v>
      </c>
      <c r="T141" s="1095">
        <v>-15.711423999999999</v>
      </c>
    </row>
    <row r="142" spans="5:20">
      <c r="L142" s="1134">
        <v>3158</v>
      </c>
      <c r="M142" s="1135" t="s">
        <v>1334</v>
      </c>
      <c r="N142" s="1136">
        <v>0.98</v>
      </c>
      <c r="P142" s="1094">
        <v>852</v>
      </c>
      <c r="Q142" t="s">
        <v>1554</v>
      </c>
      <c r="R142" t="s">
        <v>619</v>
      </c>
      <c r="S142">
        <v>137.05071899999999</v>
      </c>
      <c r="T142" s="1095">
        <v>-15.711423999999999</v>
      </c>
    </row>
    <row r="143" spans="5:20">
      <c r="L143" s="1134">
        <v>3159</v>
      </c>
      <c r="M143" s="1135" t="s">
        <v>1334</v>
      </c>
      <c r="N143" s="1136">
        <v>0.98</v>
      </c>
      <c r="P143" s="1094">
        <v>852</v>
      </c>
      <c r="Q143" t="s">
        <v>1555</v>
      </c>
      <c r="R143" t="s">
        <v>619</v>
      </c>
      <c r="S143">
        <v>137.05071899999999</v>
      </c>
      <c r="T143" s="1095">
        <v>-15.711423999999999</v>
      </c>
    </row>
    <row r="144" spans="5:20">
      <c r="L144" s="1134">
        <v>3160</v>
      </c>
      <c r="M144" s="1135" t="s">
        <v>1334</v>
      </c>
      <c r="N144" s="1136">
        <v>0.98</v>
      </c>
      <c r="P144" s="1094">
        <v>852</v>
      </c>
      <c r="Q144" t="s">
        <v>1556</v>
      </c>
      <c r="R144" t="s">
        <v>619</v>
      </c>
      <c r="S144">
        <v>137.05071899999999</v>
      </c>
      <c r="T144" s="1095">
        <v>-15.711423999999999</v>
      </c>
    </row>
    <row r="145" spans="12:20">
      <c r="L145" s="1134">
        <v>3161</v>
      </c>
      <c r="M145" s="1135" t="s">
        <v>1334</v>
      </c>
      <c r="N145" s="1136">
        <v>0.98</v>
      </c>
      <c r="P145" s="1094">
        <v>852</v>
      </c>
      <c r="Q145" t="s">
        <v>1557</v>
      </c>
      <c r="R145" t="s">
        <v>619</v>
      </c>
      <c r="S145">
        <v>137.05071899999999</v>
      </c>
      <c r="T145" s="1095">
        <v>-15.711423999999999</v>
      </c>
    </row>
    <row r="146" spans="12:20">
      <c r="L146" s="1134">
        <v>3162</v>
      </c>
      <c r="M146" s="1135" t="s">
        <v>1334</v>
      </c>
      <c r="N146" s="1136">
        <v>0.98</v>
      </c>
      <c r="P146" s="1094">
        <v>852</v>
      </c>
      <c r="Q146" t="s">
        <v>1558</v>
      </c>
      <c r="R146" t="s">
        <v>619</v>
      </c>
      <c r="S146">
        <v>137.05071899999999</v>
      </c>
      <c r="T146" s="1095">
        <v>-15.711423999999999</v>
      </c>
    </row>
    <row r="147" spans="12:20">
      <c r="L147" s="1134">
        <v>3163</v>
      </c>
      <c r="M147" s="1135" t="s">
        <v>1334</v>
      </c>
      <c r="N147" s="1136">
        <v>0.98</v>
      </c>
      <c r="P147" s="1094">
        <v>852</v>
      </c>
      <c r="Q147" t="s">
        <v>1559</v>
      </c>
      <c r="R147" t="s">
        <v>619</v>
      </c>
      <c r="S147">
        <v>137.05071899999999</v>
      </c>
      <c r="T147" s="1095">
        <v>-15.711423999999999</v>
      </c>
    </row>
    <row r="148" spans="12:20">
      <c r="L148" s="1134">
        <v>3164</v>
      </c>
      <c r="M148" s="1135" t="s">
        <v>1334</v>
      </c>
      <c r="N148" s="1136">
        <v>0.98</v>
      </c>
      <c r="P148" s="1094">
        <v>852</v>
      </c>
      <c r="Q148" t="s">
        <v>1560</v>
      </c>
      <c r="R148" t="s">
        <v>619</v>
      </c>
      <c r="S148">
        <v>137.05071899999999</v>
      </c>
      <c r="T148" s="1095">
        <v>-15.711423999999999</v>
      </c>
    </row>
    <row r="149" spans="12:20">
      <c r="L149" s="1134">
        <v>3165</v>
      </c>
      <c r="M149" s="1135" t="s">
        <v>1334</v>
      </c>
      <c r="N149" s="1136">
        <v>0.98</v>
      </c>
      <c r="P149" s="1094">
        <v>852</v>
      </c>
      <c r="Q149" t="s">
        <v>1561</v>
      </c>
      <c r="R149" t="s">
        <v>619</v>
      </c>
      <c r="S149">
        <v>137.05071899999999</v>
      </c>
      <c r="T149" s="1095">
        <v>-15.711423999999999</v>
      </c>
    </row>
    <row r="150" spans="12:20">
      <c r="L150" s="1134">
        <v>3166</v>
      </c>
      <c r="M150" s="1135" t="s">
        <v>1334</v>
      </c>
      <c r="N150" s="1136">
        <v>0.98</v>
      </c>
      <c r="P150" s="1094">
        <v>852</v>
      </c>
      <c r="Q150" t="s">
        <v>1562</v>
      </c>
      <c r="R150" t="s">
        <v>619</v>
      </c>
      <c r="S150">
        <v>137.05071899999999</v>
      </c>
      <c r="T150" s="1095">
        <v>-15.711423999999999</v>
      </c>
    </row>
    <row r="151" spans="12:20">
      <c r="L151" s="1134">
        <v>3167</v>
      </c>
      <c r="M151" s="1135" t="s">
        <v>1334</v>
      </c>
      <c r="N151" s="1136">
        <v>0.98</v>
      </c>
      <c r="P151" s="1094">
        <v>853</v>
      </c>
      <c r="Q151" t="s">
        <v>1563</v>
      </c>
      <c r="R151" t="s">
        <v>619</v>
      </c>
      <c r="S151">
        <v>132.41712100000001</v>
      </c>
      <c r="T151" s="1095">
        <v>-14.558121999999999</v>
      </c>
    </row>
    <row r="152" spans="12:20">
      <c r="L152" s="1134">
        <v>3168</v>
      </c>
      <c r="M152" s="1135" t="s">
        <v>1334</v>
      </c>
      <c r="N152" s="1136">
        <v>0.98</v>
      </c>
      <c r="P152" s="1094">
        <v>854</v>
      </c>
      <c r="Q152" t="s">
        <v>1564</v>
      </c>
      <c r="R152" t="s">
        <v>619</v>
      </c>
      <c r="S152">
        <v>136.42419100000001</v>
      </c>
      <c r="T152" s="1095">
        <v>-16.503809</v>
      </c>
    </row>
    <row r="153" spans="12:20">
      <c r="L153" s="1134">
        <v>3169</v>
      </c>
      <c r="M153" s="1135" t="s">
        <v>1334</v>
      </c>
      <c r="N153" s="1136">
        <v>0.98</v>
      </c>
      <c r="P153" s="1094">
        <v>854</v>
      </c>
      <c r="Q153" t="s">
        <v>1565</v>
      </c>
      <c r="R153" t="s">
        <v>619</v>
      </c>
      <c r="S153">
        <v>136.42419100000001</v>
      </c>
      <c r="T153" s="1095">
        <v>-16.503809</v>
      </c>
    </row>
    <row r="154" spans="12:20">
      <c r="L154" s="1134">
        <v>3170</v>
      </c>
      <c r="M154" s="1135" t="s">
        <v>1334</v>
      </c>
      <c r="N154" s="1136">
        <v>0.98</v>
      </c>
      <c r="P154" s="1094">
        <v>860</v>
      </c>
      <c r="Q154" t="s">
        <v>1566</v>
      </c>
      <c r="R154" t="s">
        <v>619</v>
      </c>
      <c r="S154">
        <v>134.173599</v>
      </c>
      <c r="T154" s="1095">
        <v>-19.641300999999999</v>
      </c>
    </row>
    <row r="155" spans="12:20">
      <c r="L155" s="1134">
        <v>3171</v>
      </c>
      <c r="M155" s="1135" t="s">
        <v>1334</v>
      </c>
      <c r="N155" s="1136">
        <v>0.98</v>
      </c>
      <c r="P155" s="1094">
        <v>861</v>
      </c>
      <c r="Q155" t="s">
        <v>1567</v>
      </c>
      <c r="R155" t="s">
        <v>619</v>
      </c>
      <c r="S155">
        <v>0</v>
      </c>
      <c r="T155" s="1095">
        <v>0</v>
      </c>
    </row>
    <row r="156" spans="12:20">
      <c r="L156" s="1134">
        <v>3172</v>
      </c>
      <c r="M156" s="1135" t="s">
        <v>1334</v>
      </c>
      <c r="N156" s="1136">
        <v>0.98</v>
      </c>
      <c r="P156" s="1094">
        <v>861</v>
      </c>
      <c r="Q156" t="s">
        <v>1566</v>
      </c>
      <c r="R156" t="s">
        <v>619</v>
      </c>
      <c r="S156">
        <v>0</v>
      </c>
      <c r="T156" s="1095">
        <v>0</v>
      </c>
    </row>
    <row r="157" spans="12:20">
      <c r="L157" s="1134">
        <v>3173</v>
      </c>
      <c r="M157" s="1135" t="s">
        <v>1334</v>
      </c>
      <c r="N157" s="1136">
        <v>0.98</v>
      </c>
      <c r="P157" s="1094">
        <v>862</v>
      </c>
      <c r="Q157" t="s">
        <v>1568</v>
      </c>
      <c r="R157" t="s">
        <v>619</v>
      </c>
      <c r="S157">
        <v>134.46315300000001</v>
      </c>
      <c r="T157" s="1095">
        <v>-18.251528</v>
      </c>
    </row>
    <row r="158" spans="12:20">
      <c r="L158" s="1134">
        <v>3174</v>
      </c>
      <c r="M158" s="1135" t="s">
        <v>1334</v>
      </c>
      <c r="N158" s="1136">
        <v>0.98</v>
      </c>
      <c r="P158" s="1094">
        <v>862</v>
      </c>
      <c r="Q158" t="s">
        <v>1569</v>
      </c>
      <c r="R158" t="s">
        <v>619</v>
      </c>
      <c r="S158">
        <v>134.46315300000001</v>
      </c>
      <c r="T158" s="1095">
        <v>-18.251528</v>
      </c>
    </row>
    <row r="159" spans="12:20">
      <c r="L159" s="1134">
        <v>3175</v>
      </c>
      <c r="M159" s="1135" t="s">
        <v>1334</v>
      </c>
      <c r="N159" s="1136">
        <v>0.98</v>
      </c>
      <c r="P159" s="1094">
        <v>862</v>
      </c>
      <c r="Q159" t="s">
        <v>1570</v>
      </c>
      <c r="R159" t="s">
        <v>619</v>
      </c>
      <c r="S159">
        <v>134.46315300000001</v>
      </c>
      <c r="T159" s="1095">
        <v>-18.251528</v>
      </c>
    </row>
    <row r="160" spans="12:20">
      <c r="L160" s="1134">
        <v>3176</v>
      </c>
      <c r="M160" s="1135" t="s">
        <v>1334</v>
      </c>
      <c r="N160" s="1136">
        <v>0.98</v>
      </c>
      <c r="P160" s="1094">
        <v>862</v>
      </c>
      <c r="Q160" t="s">
        <v>1571</v>
      </c>
      <c r="R160" t="s">
        <v>619</v>
      </c>
      <c r="S160">
        <v>134.46315300000001</v>
      </c>
      <c r="T160" s="1095">
        <v>-18.251528</v>
      </c>
    </row>
    <row r="161" spans="12:20">
      <c r="L161" s="1134">
        <v>3177</v>
      </c>
      <c r="M161" s="1135" t="s">
        <v>1334</v>
      </c>
      <c r="N161" s="1136">
        <v>0.98</v>
      </c>
      <c r="P161" s="1094">
        <v>862</v>
      </c>
      <c r="Q161" t="s">
        <v>1572</v>
      </c>
      <c r="R161" t="s">
        <v>619</v>
      </c>
      <c r="S161">
        <v>134.46315300000001</v>
      </c>
      <c r="T161" s="1095">
        <v>-18.251528</v>
      </c>
    </row>
    <row r="162" spans="12:20">
      <c r="L162" s="1134">
        <v>3178</v>
      </c>
      <c r="M162" s="1135" t="s">
        <v>1334</v>
      </c>
      <c r="N162" s="1136">
        <v>0.98</v>
      </c>
      <c r="P162" s="1094">
        <v>862</v>
      </c>
      <c r="Q162" t="s">
        <v>1573</v>
      </c>
      <c r="R162" t="s">
        <v>619</v>
      </c>
      <c r="S162">
        <v>134.46315300000001</v>
      </c>
      <c r="T162" s="1095">
        <v>-18.251528</v>
      </c>
    </row>
    <row r="163" spans="12:20">
      <c r="L163" s="1134">
        <v>3179</v>
      </c>
      <c r="M163" s="1135" t="s">
        <v>1334</v>
      </c>
      <c r="N163" s="1136">
        <v>0.98</v>
      </c>
      <c r="P163" s="1094">
        <v>862</v>
      </c>
      <c r="Q163" t="s">
        <v>1574</v>
      </c>
      <c r="R163" t="s">
        <v>619</v>
      </c>
      <c r="S163">
        <v>134.46315300000001</v>
      </c>
      <c r="T163" s="1095">
        <v>-18.251528</v>
      </c>
    </row>
    <row r="164" spans="12:20">
      <c r="L164" s="1134">
        <v>3180</v>
      </c>
      <c r="M164" s="1135" t="s">
        <v>1334</v>
      </c>
      <c r="N164" s="1136">
        <v>0.98</v>
      </c>
      <c r="P164" s="1094">
        <v>862</v>
      </c>
      <c r="Q164" t="s">
        <v>1575</v>
      </c>
      <c r="R164" t="s">
        <v>619</v>
      </c>
      <c r="S164">
        <v>134.46315300000001</v>
      </c>
      <c r="T164" s="1095">
        <v>-18.251528</v>
      </c>
    </row>
    <row r="165" spans="12:20">
      <c r="L165" s="1134">
        <v>3181</v>
      </c>
      <c r="M165" s="1135" t="s">
        <v>1334</v>
      </c>
      <c r="N165" s="1136">
        <v>0.98</v>
      </c>
      <c r="P165" s="1094">
        <v>862</v>
      </c>
      <c r="Q165" t="s">
        <v>1566</v>
      </c>
      <c r="R165" t="s">
        <v>619</v>
      </c>
      <c r="S165">
        <v>134.46315300000001</v>
      </c>
      <c r="T165" s="1095">
        <v>-18.251528</v>
      </c>
    </row>
    <row r="166" spans="12:20">
      <c r="L166" s="1134">
        <v>3182</v>
      </c>
      <c r="M166" s="1135" t="s">
        <v>1334</v>
      </c>
      <c r="N166" s="1136">
        <v>0.98</v>
      </c>
      <c r="P166" s="1094">
        <v>862</v>
      </c>
      <c r="Q166" t="s">
        <v>1576</v>
      </c>
      <c r="R166" t="s">
        <v>619</v>
      </c>
      <c r="S166">
        <v>134.46315300000001</v>
      </c>
      <c r="T166" s="1095">
        <v>-18.251528</v>
      </c>
    </row>
    <row r="167" spans="12:20">
      <c r="L167" s="1134">
        <v>3183</v>
      </c>
      <c r="M167" s="1135" t="s">
        <v>1334</v>
      </c>
      <c r="N167" s="1136">
        <v>0.98</v>
      </c>
      <c r="P167" s="1094">
        <v>862</v>
      </c>
      <c r="Q167" t="s">
        <v>1577</v>
      </c>
      <c r="R167" t="s">
        <v>619</v>
      </c>
      <c r="S167">
        <v>134.46315300000001</v>
      </c>
      <c r="T167" s="1095">
        <v>-18.251528</v>
      </c>
    </row>
    <row r="168" spans="12:20">
      <c r="L168" s="1134">
        <v>3184</v>
      </c>
      <c r="M168" s="1135" t="s">
        <v>1334</v>
      </c>
      <c r="N168" s="1136">
        <v>0.98</v>
      </c>
      <c r="P168" s="1094">
        <v>862</v>
      </c>
      <c r="Q168" t="s">
        <v>1578</v>
      </c>
      <c r="R168" t="s">
        <v>619</v>
      </c>
      <c r="S168">
        <v>134.46315300000001</v>
      </c>
      <c r="T168" s="1095">
        <v>-18.251528</v>
      </c>
    </row>
    <row r="169" spans="12:20">
      <c r="L169" s="1134">
        <v>3185</v>
      </c>
      <c r="M169" s="1135" t="s">
        <v>1334</v>
      </c>
      <c r="N169" s="1136">
        <v>0.98</v>
      </c>
      <c r="P169" s="1094">
        <v>862</v>
      </c>
      <c r="Q169" t="s">
        <v>1579</v>
      </c>
      <c r="R169" t="s">
        <v>619</v>
      </c>
      <c r="S169">
        <v>134.46315300000001</v>
      </c>
      <c r="T169" s="1095">
        <v>-18.251528</v>
      </c>
    </row>
    <row r="170" spans="12:20">
      <c r="L170" s="1134">
        <v>3186</v>
      </c>
      <c r="M170" s="1135" t="s">
        <v>1334</v>
      </c>
      <c r="N170" s="1136">
        <v>0.98</v>
      </c>
      <c r="P170" s="1094">
        <v>870</v>
      </c>
      <c r="Q170" t="s">
        <v>1580</v>
      </c>
      <c r="R170" t="s">
        <v>619</v>
      </c>
      <c r="S170">
        <v>133.86313999999999</v>
      </c>
      <c r="T170" s="1095">
        <v>-23.702290999999999</v>
      </c>
    </row>
    <row r="171" spans="12:20">
      <c r="L171" s="1134">
        <v>3187</v>
      </c>
      <c r="M171" s="1135" t="s">
        <v>1334</v>
      </c>
      <c r="N171" s="1136">
        <v>0.98</v>
      </c>
      <c r="P171" s="1094">
        <v>871</v>
      </c>
      <c r="Q171" t="s">
        <v>1580</v>
      </c>
      <c r="R171" t="s">
        <v>619</v>
      </c>
      <c r="S171">
        <v>0</v>
      </c>
      <c r="T171" s="1095">
        <v>0</v>
      </c>
    </row>
    <row r="172" spans="12:20">
      <c r="L172" s="1134">
        <v>3188</v>
      </c>
      <c r="M172" s="1135" t="s">
        <v>1334</v>
      </c>
      <c r="N172" s="1136">
        <v>0.98</v>
      </c>
      <c r="P172" s="1094">
        <v>872</v>
      </c>
      <c r="Q172" t="s">
        <v>1581</v>
      </c>
      <c r="R172" t="s">
        <v>619</v>
      </c>
      <c r="S172">
        <v>131.29880900000001</v>
      </c>
      <c r="T172" s="1095">
        <v>-21.949513</v>
      </c>
    </row>
    <row r="173" spans="12:20">
      <c r="L173" s="1134">
        <v>3189</v>
      </c>
      <c r="M173" s="1135" t="s">
        <v>1334</v>
      </c>
      <c r="N173" s="1136">
        <v>0.98</v>
      </c>
      <c r="P173" s="1094">
        <v>872</v>
      </c>
      <c r="Q173" t="s">
        <v>1582</v>
      </c>
      <c r="R173" t="s">
        <v>619</v>
      </c>
      <c r="S173">
        <v>131.29880900000001</v>
      </c>
      <c r="T173" s="1095">
        <v>-21.949513</v>
      </c>
    </row>
    <row r="174" spans="12:20">
      <c r="L174" s="1134">
        <v>3190</v>
      </c>
      <c r="M174" s="1135" t="s">
        <v>1334</v>
      </c>
      <c r="N174" s="1136">
        <v>0.98</v>
      </c>
      <c r="P174" s="1094">
        <v>872</v>
      </c>
      <c r="Q174" t="s">
        <v>1580</v>
      </c>
      <c r="R174" t="s">
        <v>619</v>
      </c>
      <c r="S174">
        <v>131.29880900000001</v>
      </c>
      <c r="T174" s="1095">
        <v>-21.949513</v>
      </c>
    </row>
    <row r="175" spans="12:20">
      <c r="L175" s="1134">
        <v>3191</v>
      </c>
      <c r="M175" s="1135" t="s">
        <v>1334</v>
      </c>
      <c r="N175" s="1136">
        <v>0.98</v>
      </c>
      <c r="P175" s="1094">
        <v>872</v>
      </c>
      <c r="Q175" t="s">
        <v>1583</v>
      </c>
      <c r="R175" t="s">
        <v>619</v>
      </c>
      <c r="S175">
        <v>131.29880900000001</v>
      </c>
      <c r="T175" s="1095">
        <v>-21.949513</v>
      </c>
    </row>
    <row r="176" spans="12:20">
      <c r="L176" s="1134">
        <v>3192</v>
      </c>
      <c r="M176" s="1135" t="s">
        <v>1334</v>
      </c>
      <c r="N176" s="1136">
        <v>0.98</v>
      </c>
      <c r="P176" s="1094">
        <v>872</v>
      </c>
      <c r="Q176" t="s">
        <v>1584</v>
      </c>
      <c r="R176" t="s">
        <v>619</v>
      </c>
      <c r="S176">
        <v>131.29880900000001</v>
      </c>
      <c r="T176" s="1095">
        <v>-21.949513</v>
      </c>
    </row>
    <row r="177" spans="12:20">
      <c r="L177" s="1134">
        <v>3193</v>
      </c>
      <c r="M177" s="1135" t="s">
        <v>1334</v>
      </c>
      <c r="N177" s="1136">
        <v>0.98</v>
      </c>
      <c r="P177" s="1094">
        <v>872</v>
      </c>
      <c r="Q177" t="s">
        <v>1585</v>
      </c>
      <c r="R177" t="s">
        <v>619</v>
      </c>
      <c r="S177">
        <v>131.29880900000001</v>
      </c>
      <c r="T177" s="1095">
        <v>-21.949513</v>
      </c>
    </row>
    <row r="178" spans="12:20">
      <c r="L178" s="1134">
        <v>3194</v>
      </c>
      <c r="M178" s="1135" t="s">
        <v>1334</v>
      </c>
      <c r="N178" s="1136">
        <v>0.98</v>
      </c>
      <c r="P178" s="1094">
        <v>872</v>
      </c>
      <c r="Q178" t="s">
        <v>1586</v>
      </c>
      <c r="R178" t="s">
        <v>619</v>
      </c>
      <c r="S178">
        <v>131.29880900000001</v>
      </c>
      <c r="T178" s="1095">
        <v>-21.949513</v>
      </c>
    </row>
    <row r="179" spans="12:20">
      <c r="L179" s="1134">
        <v>3195</v>
      </c>
      <c r="M179" s="1135" t="s">
        <v>1334</v>
      </c>
      <c r="N179" s="1136">
        <v>0.98</v>
      </c>
      <c r="P179" s="1094">
        <v>872</v>
      </c>
      <c r="Q179" t="s">
        <v>1587</v>
      </c>
      <c r="R179" t="s">
        <v>619</v>
      </c>
      <c r="S179">
        <v>131.29880900000001</v>
      </c>
      <c r="T179" s="1095">
        <v>-21.949513</v>
      </c>
    </row>
    <row r="180" spans="12:20">
      <c r="L180" s="1134">
        <v>3196</v>
      </c>
      <c r="M180" s="1135" t="s">
        <v>1334</v>
      </c>
      <c r="N180" s="1136">
        <v>0.98</v>
      </c>
      <c r="P180" s="1094">
        <v>872</v>
      </c>
      <c r="Q180" t="s">
        <v>1588</v>
      </c>
      <c r="R180" t="s">
        <v>619</v>
      </c>
      <c r="S180">
        <v>131.29880900000001</v>
      </c>
      <c r="T180" s="1095">
        <v>-21.949513</v>
      </c>
    </row>
    <row r="181" spans="12:20">
      <c r="L181" s="1134">
        <v>3197</v>
      </c>
      <c r="M181" s="1135" t="s">
        <v>1334</v>
      </c>
      <c r="N181" s="1136">
        <v>0.98</v>
      </c>
      <c r="P181" s="1094">
        <v>872</v>
      </c>
      <c r="Q181" t="s">
        <v>1589</v>
      </c>
      <c r="R181" t="s">
        <v>619</v>
      </c>
      <c r="S181">
        <v>131.29880900000001</v>
      </c>
      <c r="T181" s="1095">
        <v>-21.949513</v>
      </c>
    </row>
    <row r="182" spans="12:20">
      <c r="L182" s="1134">
        <v>3198</v>
      </c>
      <c r="M182" s="1135" t="s">
        <v>1334</v>
      </c>
      <c r="N182" s="1136">
        <v>0.98</v>
      </c>
      <c r="P182" s="1094">
        <v>872</v>
      </c>
      <c r="Q182" t="s">
        <v>1590</v>
      </c>
      <c r="R182" t="s">
        <v>619</v>
      </c>
      <c r="S182">
        <v>131.29880900000001</v>
      </c>
      <c r="T182" s="1095">
        <v>-21.949513</v>
      </c>
    </row>
    <row r="183" spans="12:20">
      <c r="L183" s="1134">
        <v>3199</v>
      </c>
      <c r="M183" s="1135" t="s">
        <v>1334</v>
      </c>
      <c r="N183" s="1136">
        <v>0.98</v>
      </c>
      <c r="P183" s="1094">
        <v>872</v>
      </c>
      <c r="Q183" t="s">
        <v>1591</v>
      </c>
      <c r="R183" t="s">
        <v>619</v>
      </c>
      <c r="S183">
        <v>131.29880900000001</v>
      </c>
      <c r="T183" s="1095">
        <v>-21.949513</v>
      </c>
    </row>
    <row r="184" spans="12:20">
      <c r="L184" s="1134">
        <v>3200</v>
      </c>
      <c r="M184" s="1135" t="s">
        <v>1334</v>
      </c>
      <c r="N184" s="1136">
        <v>0.98</v>
      </c>
      <c r="P184" s="1094">
        <v>872</v>
      </c>
      <c r="Q184" t="s">
        <v>1592</v>
      </c>
      <c r="R184" t="s">
        <v>619</v>
      </c>
      <c r="S184">
        <v>131.29880900000001</v>
      </c>
      <c r="T184" s="1095">
        <v>-21.949513</v>
      </c>
    </row>
    <row r="185" spans="12:20">
      <c r="L185" s="1134">
        <v>3201</v>
      </c>
      <c r="M185" s="1135" t="s">
        <v>1334</v>
      </c>
      <c r="N185" s="1136">
        <v>0.98</v>
      </c>
      <c r="P185" s="1094">
        <v>872</v>
      </c>
      <c r="Q185" t="s">
        <v>1593</v>
      </c>
      <c r="R185" t="s">
        <v>615</v>
      </c>
      <c r="S185">
        <v>131.29880900000001</v>
      </c>
      <c r="T185" s="1095">
        <v>-21.949513</v>
      </c>
    </row>
    <row r="186" spans="12:20">
      <c r="L186" s="1134">
        <v>3202</v>
      </c>
      <c r="M186" s="1135" t="s">
        <v>1334</v>
      </c>
      <c r="N186" s="1136">
        <v>0.98</v>
      </c>
      <c r="P186" s="1094">
        <v>872</v>
      </c>
      <c r="Q186" t="s">
        <v>1594</v>
      </c>
      <c r="R186" t="s">
        <v>619</v>
      </c>
      <c r="S186">
        <v>131.29880900000001</v>
      </c>
      <c r="T186" s="1095">
        <v>-21.949513</v>
      </c>
    </row>
    <row r="187" spans="12:20">
      <c r="L187" s="1134">
        <v>3204</v>
      </c>
      <c r="M187" s="1135" t="s">
        <v>1334</v>
      </c>
      <c r="N187" s="1136">
        <v>0.98</v>
      </c>
      <c r="P187" s="1094">
        <v>872</v>
      </c>
      <c r="Q187" t="s">
        <v>1595</v>
      </c>
      <c r="R187" t="s">
        <v>615</v>
      </c>
      <c r="S187">
        <v>131.29880900000001</v>
      </c>
      <c r="T187" s="1095">
        <v>-21.949513</v>
      </c>
    </row>
    <row r="188" spans="12:20">
      <c r="L188" s="1134">
        <v>3205</v>
      </c>
      <c r="M188" s="1135" t="s">
        <v>1334</v>
      </c>
      <c r="N188" s="1136">
        <v>0.98</v>
      </c>
      <c r="P188" s="1094">
        <v>872</v>
      </c>
      <c r="Q188" t="s">
        <v>1596</v>
      </c>
      <c r="R188" t="s">
        <v>480</v>
      </c>
      <c r="S188">
        <v>131.29880900000001</v>
      </c>
      <c r="T188" s="1095">
        <v>-21.949513</v>
      </c>
    </row>
    <row r="189" spans="12:20">
      <c r="L189" s="1134">
        <v>3206</v>
      </c>
      <c r="M189" s="1135" t="s">
        <v>1334</v>
      </c>
      <c r="N189" s="1136">
        <v>0.98</v>
      </c>
      <c r="P189" s="1094">
        <v>872</v>
      </c>
      <c r="Q189" t="s">
        <v>1597</v>
      </c>
      <c r="R189" t="s">
        <v>480</v>
      </c>
      <c r="S189">
        <v>131.29880900000001</v>
      </c>
      <c r="T189" s="1095">
        <v>-21.949513</v>
      </c>
    </row>
    <row r="190" spans="12:20">
      <c r="L190" s="1134">
        <v>3207</v>
      </c>
      <c r="M190" s="1135" t="s">
        <v>1334</v>
      </c>
      <c r="N190" s="1136">
        <v>0.98</v>
      </c>
      <c r="P190" s="1094">
        <v>872</v>
      </c>
      <c r="Q190" t="s">
        <v>1598</v>
      </c>
      <c r="R190" t="s">
        <v>619</v>
      </c>
      <c r="S190">
        <v>131.29880900000001</v>
      </c>
      <c r="T190" s="1095">
        <v>-21.949513</v>
      </c>
    </row>
    <row r="191" spans="12:20">
      <c r="L191" s="1134">
        <v>3211</v>
      </c>
      <c r="M191" s="1135" t="s">
        <v>1599</v>
      </c>
      <c r="N191" s="1136">
        <v>1.04</v>
      </c>
      <c r="P191" s="1094">
        <v>872</v>
      </c>
      <c r="Q191" t="s">
        <v>1600</v>
      </c>
      <c r="R191" t="s">
        <v>619</v>
      </c>
      <c r="S191">
        <v>131.29880900000001</v>
      </c>
      <c r="T191" s="1095">
        <v>-21.949513</v>
      </c>
    </row>
    <row r="192" spans="12:20">
      <c r="L192" s="1134">
        <v>3212</v>
      </c>
      <c r="M192" s="1135" t="s">
        <v>1599</v>
      </c>
      <c r="N192" s="1136">
        <v>1.04</v>
      </c>
      <c r="P192" s="1094">
        <v>872</v>
      </c>
      <c r="Q192" t="s">
        <v>1601</v>
      </c>
      <c r="R192" t="s">
        <v>619</v>
      </c>
      <c r="S192">
        <v>131.29880900000001</v>
      </c>
      <c r="T192" s="1095">
        <v>-21.949513</v>
      </c>
    </row>
    <row r="193" spans="12:20">
      <c r="L193" s="1134">
        <v>3213</v>
      </c>
      <c r="M193" s="1135" t="s">
        <v>1599</v>
      </c>
      <c r="N193" s="1136">
        <v>1.04</v>
      </c>
      <c r="P193" s="1094">
        <v>872</v>
      </c>
      <c r="Q193" t="s">
        <v>1602</v>
      </c>
      <c r="R193" t="s">
        <v>615</v>
      </c>
      <c r="S193">
        <v>131.29880900000001</v>
      </c>
      <c r="T193" s="1095">
        <v>-21.949513</v>
      </c>
    </row>
    <row r="194" spans="12:20">
      <c r="L194" s="1134">
        <v>3214</v>
      </c>
      <c r="M194" s="1135" t="s">
        <v>1599</v>
      </c>
      <c r="N194" s="1136">
        <v>1.04</v>
      </c>
      <c r="P194" s="1094">
        <v>872</v>
      </c>
      <c r="Q194" t="s">
        <v>1603</v>
      </c>
      <c r="R194" t="s">
        <v>619</v>
      </c>
      <c r="S194">
        <v>131.29880900000001</v>
      </c>
      <c r="T194" s="1095">
        <v>-21.949513</v>
      </c>
    </row>
    <row r="195" spans="12:20">
      <c r="L195" s="1134">
        <v>3215</v>
      </c>
      <c r="M195" s="1135" t="s">
        <v>1599</v>
      </c>
      <c r="N195" s="1136">
        <v>1.04</v>
      </c>
      <c r="P195" s="1094">
        <v>872</v>
      </c>
      <c r="Q195" t="s">
        <v>1604</v>
      </c>
      <c r="R195" t="s">
        <v>619</v>
      </c>
      <c r="S195">
        <v>131.29880900000001</v>
      </c>
      <c r="T195" s="1095">
        <v>-21.949513</v>
      </c>
    </row>
    <row r="196" spans="12:20">
      <c r="L196" s="1134">
        <v>3216</v>
      </c>
      <c r="M196" s="1135" t="s">
        <v>1599</v>
      </c>
      <c r="N196" s="1136">
        <v>1.04</v>
      </c>
      <c r="P196" s="1094">
        <v>872</v>
      </c>
      <c r="Q196" t="s">
        <v>1605</v>
      </c>
      <c r="R196" t="s">
        <v>619</v>
      </c>
      <c r="S196">
        <v>131.29880900000001</v>
      </c>
      <c r="T196" s="1095">
        <v>-21.949513</v>
      </c>
    </row>
    <row r="197" spans="12:20">
      <c r="L197" s="1134">
        <v>3217</v>
      </c>
      <c r="M197" s="1135" t="s">
        <v>1599</v>
      </c>
      <c r="N197" s="1136">
        <v>1.04</v>
      </c>
      <c r="P197" s="1094">
        <v>872</v>
      </c>
      <c r="Q197" t="s">
        <v>1606</v>
      </c>
      <c r="R197" t="s">
        <v>619</v>
      </c>
      <c r="S197">
        <v>131.29880900000001</v>
      </c>
      <c r="T197" s="1095">
        <v>-21.949513</v>
      </c>
    </row>
    <row r="198" spans="12:20">
      <c r="L198" s="1134">
        <v>3218</v>
      </c>
      <c r="M198" s="1135" t="s">
        <v>1599</v>
      </c>
      <c r="N198" s="1136">
        <v>1.04</v>
      </c>
      <c r="P198" s="1094">
        <v>872</v>
      </c>
      <c r="Q198" t="s">
        <v>1607</v>
      </c>
      <c r="R198" t="s">
        <v>619</v>
      </c>
      <c r="S198">
        <v>131.29880900000001</v>
      </c>
      <c r="T198" s="1095">
        <v>-21.949513</v>
      </c>
    </row>
    <row r="199" spans="12:20">
      <c r="L199" s="1134">
        <v>3219</v>
      </c>
      <c r="M199" s="1135" t="s">
        <v>1599</v>
      </c>
      <c r="N199" s="1136">
        <v>1.04</v>
      </c>
      <c r="P199" s="1094">
        <v>872</v>
      </c>
      <c r="Q199" t="s">
        <v>1608</v>
      </c>
      <c r="R199" t="s">
        <v>615</v>
      </c>
      <c r="S199">
        <v>131.29880900000001</v>
      </c>
      <c r="T199" s="1095">
        <v>-21.949513</v>
      </c>
    </row>
    <row r="200" spans="12:20">
      <c r="L200" s="1134">
        <v>3220</v>
      </c>
      <c r="M200" s="1135" t="s">
        <v>1599</v>
      </c>
      <c r="N200" s="1136">
        <v>1.04</v>
      </c>
      <c r="P200" s="1094">
        <v>872</v>
      </c>
      <c r="Q200" t="s">
        <v>1609</v>
      </c>
      <c r="R200" t="s">
        <v>619</v>
      </c>
      <c r="S200">
        <v>131.29880900000001</v>
      </c>
      <c r="T200" s="1095">
        <v>-21.949513</v>
      </c>
    </row>
    <row r="201" spans="12:20">
      <c r="L201" s="1134">
        <v>3221</v>
      </c>
      <c r="M201" s="1135" t="s">
        <v>1599</v>
      </c>
      <c r="N201" s="1136">
        <v>1.04</v>
      </c>
      <c r="P201" s="1094">
        <v>872</v>
      </c>
      <c r="Q201" t="s">
        <v>1610</v>
      </c>
      <c r="R201" t="s">
        <v>619</v>
      </c>
      <c r="S201">
        <v>131.29880900000001</v>
      </c>
      <c r="T201" s="1095">
        <v>-21.949513</v>
      </c>
    </row>
    <row r="202" spans="12:20">
      <c r="L202" s="1134">
        <v>3222</v>
      </c>
      <c r="M202" s="1135" t="s">
        <v>1599</v>
      </c>
      <c r="N202" s="1136">
        <v>1.04</v>
      </c>
      <c r="P202" s="1094">
        <v>872</v>
      </c>
      <c r="Q202" t="s">
        <v>1611</v>
      </c>
      <c r="R202" t="s">
        <v>619</v>
      </c>
      <c r="S202">
        <v>131.29880900000001</v>
      </c>
      <c r="T202" s="1095">
        <v>-21.949513</v>
      </c>
    </row>
    <row r="203" spans="12:20">
      <c r="L203" s="1134">
        <v>3223</v>
      </c>
      <c r="M203" s="1135" t="s">
        <v>1599</v>
      </c>
      <c r="N203" s="1136">
        <v>1.04</v>
      </c>
      <c r="P203" s="1094">
        <v>872</v>
      </c>
      <c r="Q203" t="s">
        <v>1612</v>
      </c>
      <c r="R203" t="s">
        <v>480</v>
      </c>
      <c r="S203">
        <v>131.29880900000001</v>
      </c>
      <c r="T203" s="1095">
        <v>-21.949513</v>
      </c>
    </row>
    <row r="204" spans="12:20">
      <c r="L204" s="1134">
        <v>3224</v>
      </c>
      <c r="M204" s="1135" t="s">
        <v>1599</v>
      </c>
      <c r="N204" s="1136">
        <v>1.04</v>
      </c>
      <c r="P204" s="1094">
        <v>872</v>
      </c>
      <c r="Q204" t="s">
        <v>1613</v>
      </c>
      <c r="R204" t="s">
        <v>619</v>
      </c>
      <c r="S204">
        <v>131.29880900000001</v>
      </c>
      <c r="T204" s="1095">
        <v>-21.949513</v>
      </c>
    </row>
    <row r="205" spans="12:20">
      <c r="L205" s="1134">
        <v>3225</v>
      </c>
      <c r="M205" s="1135" t="s">
        <v>1599</v>
      </c>
      <c r="N205" s="1136">
        <v>1.04</v>
      </c>
      <c r="P205" s="1094">
        <v>872</v>
      </c>
      <c r="Q205" t="s">
        <v>1614</v>
      </c>
      <c r="R205" t="s">
        <v>619</v>
      </c>
      <c r="S205">
        <v>131.29880900000001</v>
      </c>
      <c r="T205" s="1095">
        <v>-21.949513</v>
      </c>
    </row>
    <row r="206" spans="12:20">
      <c r="L206" s="1134">
        <v>3226</v>
      </c>
      <c r="M206" s="1135" t="s">
        <v>1599</v>
      </c>
      <c r="N206" s="1136">
        <v>1.04</v>
      </c>
      <c r="P206" s="1094">
        <v>872</v>
      </c>
      <c r="Q206" t="s">
        <v>1615</v>
      </c>
      <c r="R206" t="s">
        <v>619</v>
      </c>
      <c r="S206">
        <v>131.29880900000001</v>
      </c>
      <c r="T206" s="1095">
        <v>-21.949513</v>
      </c>
    </row>
    <row r="207" spans="12:20">
      <c r="L207" s="1134">
        <v>3227</v>
      </c>
      <c r="M207" s="1135" t="s">
        <v>1599</v>
      </c>
      <c r="N207" s="1136">
        <v>1.04</v>
      </c>
      <c r="P207" s="1094">
        <v>872</v>
      </c>
      <c r="Q207" t="s">
        <v>1616</v>
      </c>
      <c r="R207" t="s">
        <v>619</v>
      </c>
      <c r="S207">
        <v>131.29880900000001</v>
      </c>
      <c r="T207" s="1095">
        <v>-21.949513</v>
      </c>
    </row>
    <row r="208" spans="12:20">
      <c r="L208" s="1134">
        <v>3228</v>
      </c>
      <c r="M208" s="1135" t="s">
        <v>1599</v>
      </c>
      <c r="N208" s="1136">
        <v>1.04</v>
      </c>
      <c r="P208" s="1094">
        <v>872</v>
      </c>
      <c r="Q208" t="s">
        <v>1617</v>
      </c>
      <c r="R208" t="s">
        <v>619</v>
      </c>
      <c r="S208">
        <v>131.29880900000001</v>
      </c>
      <c r="T208" s="1095">
        <v>-21.949513</v>
      </c>
    </row>
    <row r="209" spans="12:20">
      <c r="L209" s="1134">
        <v>3230</v>
      </c>
      <c r="M209" s="1135" t="s">
        <v>1599</v>
      </c>
      <c r="N209" s="1136">
        <v>1.04</v>
      </c>
      <c r="P209" s="1094">
        <v>872</v>
      </c>
      <c r="Q209" t="s">
        <v>1618</v>
      </c>
      <c r="R209" t="s">
        <v>619</v>
      </c>
      <c r="S209">
        <v>131.29880900000001</v>
      </c>
      <c r="T209" s="1095">
        <v>-21.949513</v>
      </c>
    </row>
    <row r="210" spans="12:20">
      <c r="L210" s="1134">
        <v>3231</v>
      </c>
      <c r="M210" s="1135" t="s">
        <v>1599</v>
      </c>
      <c r="N210" s="1136">
        <v>1.04</v>
      </c>
      <c r="P210" s="1094">
        <v>872</v>
      </c>
      <c r="Q210" t="s">
        <v>1619</v>
      </c>
      <c r="R210" t="s">
        <v>619</v>
      </c>
      <c r="S210">
        <v>131.29880900000001</v>
      </c>
      <c r="T210" s="1095">
        <v>-21.949513</v>
      </c>
    </row>
    <row r="211" spans="12:20">
      <c r="L211" s="1134">
        <v>3232</v>
      </c>
      <c r="M211" s="1135" t="s">
        <v>1599</v>
      </c>
      <c r="N211" s="1136">
        <v>1.04</v>
      </c>
      <c r="P211" s="1094">
        <v>872</v>
      </c>
      <c r="Q211" t="s">
        <v>1620</v>
      </c>
      <c r="R211" t="s">
        <v>619</v>
      </c>
      <c r="S211">
        <v>131.29880900000001</v>
      </c>
      <c r="T211" s="1095">
        <v>-21.949513</v>
      </c>
    </row>
    <row r="212" spans="12:20">
      <c r="L212" s="1134">
        <v>3233</v>
      </c>
      <c r="M212" s="1135" t="s">
        <v>1599</v>
      </c>
      <c r="N212" s="1136">
        <v>1.04</v>
      </c>
      <c r="P212" s="1094">
        <v>872</v>
      </c>
      <c r="Q212" t="s">
        <v>1621</v>
      </c>
      <c r="R212" t="s">
        <v>619</v>
      </c>
      <c r="S212">
        <v>131.29880900000001</v>
      </c>
      <c r="T212" s="1095">
        <v>-21.949513</v>
      </c>
    </row>
    <row r="213" spans="12:20">
      <c r="L213" s="1134">
        <v>3234</v>
      </c>
      <c r="M213" s="1135" t="s">
        <v>1599</v>
      </c>
      <c r="N213" s="1136">
        <v>1.04</v>
      </c>
      <c r="P213" s="1094">
        <v>872</v>
      </c>
      <c r="Q213" t="s">
        <v>1622</v>
      </c>
      <c r="R213" t="s">
        <v>619</v>
      </c>
      <c r="S213">
        <v>131.29880900000001</v>
      </c>
      <c r="T213" s="1095">
        <v>-21.949513</v>
      </c>
    </row>
    <row r="214" spans="12:20">
      <c r="L214" s="1134">
        <v>3235</v>
      </c>
      <c r="M214" s="1135" t="s">
        <v>1599</v>
      </c>
      <c r="N214" s="1136">
        <v>1.04</v>
      </c>
      <c r="P214" s="1094">
        <v>872</v>
      </c>
      <c r="Q214" t="s">
        <v>1623</v>
      </c>
      <c r="R214" t="s">
        <v>619</v>
      </c>
      <c r="S214">
        <v>131.29880900000001</v>
      </c>
      <c r="T214" s="1095">
        <v>-21.949513</v>
      </c>
    </row>
    <row r="215" spans="12:20">
      <c r="L215" s="1134">
        <v>3236</v>
      </c>
      <c r="M215" s="1135" t="s">
        <v>1599</v>
      </c>
      <c r="N215" s="1136">
        <v>1.04</v>
      </c>
      <c r="P215" s="1094">
        <v>872</v>
      </c>
      <c r="Q215" t="s">
        <v>1624</v>
      </c>
      <c r="R215" t="s">
        <v>619</v>
      </c>
      <c r="S215">
        <v>131.29880900000001</v>
      </c>
      <c r="T215" s="1095">
        <v>-21.949513</v>
      </c>
    </row>
    <row r="216" spans="12:20">
      <c r="L216" s="1134">
        <v>3237</v>
      </c>
      <c r="M216" s="1135" t="s">
        <v>1599</v>
      </c>
      <c r="N216" s="1136">
        <v>1.04</v>
      </c>
      <c r="P216" s="1094">
        <v>872</v>
      </c>
      <c r="Q216" t="s">
        <v>1625</v>
      </c>
      <c r="R216" t="s">
        <v>619</v>
      </c>
      <c r="S216">
        <v>131.29880900000001</v>
      </c>
      <c r="T216" s="1095">
        <v>-21.949513</v>
      </c>
    </row>
    <row r="217" spans="12:20">
      <c r="L217" s="1134">
        <v>3238</v>
      </c>
      <c r="M217" s="1135" t="s">
        <v>1599</v>
      </c>
      <c r="N217" s="1136">
        <v>1.04</v>
      </c>
      <c r="P217" s="1094">
        <v>872</v>
      </c>
      <c r="Q217" t="s">
        <v>1626</v>
      </c>
      <c r="R217" t="s">
        <v>619</v>
      </c>
      <c r="S217">
        <v>131.29880900000001</v>
      </c>
      <c r="T217" s="1095">
        <v>-21.949513</v>
      </c>
    </row>
    <row r="218" spans="12:20">
      <c r="L218" s="1134">
        <v>3239</v>
      </c>
      <c r="M218" s="1135" t="s">
        <v>1599</v>
      </c>
      <c r="N218" s="1136">
        <v>1.04</v>
      </c>
      <c r="P218" s="1094">
        <v>872</v>
      </c>
      <c r="Q218" t="s">
        <v>1627</v>
      </c>
      <c r="R218" t="s">
        <v>480</v>
      </c>
      <c r="S218">
        <v>131.29880900000001</v>
      </c>
      <c r="T218" s="1095">
        <v>-21.949513</v>
      </c>
    </row>
    <row r="219" spans="12:20">
      <c r="L219" s="1134">
        <v>3240</v>
      </c>
      <c r="M219" s="1135" t="s">
        <v>1599</v>
      </c>
      <c r="N219" s="1136">
        <v>1.04</v>
      </c>
      <c r="P219" s="1094">
        <v>872</v>
      </c>
      <c r="Q219" t="s">
        <v>1628</v>
      </c>
      <c r="R219" t="s">
        <v>619</v>
      </c>
      <c r="S219">
        <v>131.29880900000001</v>
      </c>
      <c r="T219" s="1095">
        <v>-21.949513</v>
      </c>
    </row>
    <row r="220" spans="12:20">
      <c r="L220" s="1134">
        <v>3241</v>
      </c>
      <c r="M220" s="1135" t="s">
        <v>1599</v>
      </c>
      <c r="N220" s="1136">
        <v>1.04</v>
      </c>
      <c r="P220" s="1094">
        <v>872</v>
      </c>
      <c r="Q220" t="s">
        <v>1629</v>
      </c>
      <c r="R220" t="s">
        <v>619</v>
      </c>
      <c r="S220">
        <v>131.29880900000001</v>
      </c>
      <c r="T220" s="1095">
        <v>-21.949513</v>
      </c>
    </row>
    <row r="221" spans="12:20">
      <c r="L221" s="1134">
        <v>3242</v>
      </c>
      <c r="M221" s="1135" t="s">
        <v>1599</v>
      </c>
      <c r="N221" s="1136">
        <v>1.04</v>
      </c>
      <c r="P221" s="1094">
        <v>872</v>
      </c>
      <c r="Q221" t="s">
        <v>1630</v>
      </c>
      <c r="R221" t="s">
        <v>619</v>
      </c>
      <c r="S221">
        <v>131.29880900000001</v>
      </c>
      <c r="T221" s="1095">
        <v>-21.949513</v>
      </c>
    </row>
    <row r="222" spans="12:20">
      <c r="L222" s="1134">
        <v>3243</v>
      </c>
      <c r="M222" s="1135" t="s">
        <v>1599</v>
      </c>
      <c r="N222" s="1136">
        <v>1.04</v>
      </c>
      <c r="P222" s="1094">
        <v>872</v>
      </c>
      <c r="Q222" t="s">
        <v>1631</v>
      </c>
      <c r="R222" t="s">
        <v>619</v>
      </c>
      <c r="S222">
        <v>131.29880900000001</v>
      </c>
      <c r="T222" s="1095">
        <v>-21.949513</v>
      </c>
    </row>
    <row r="223" spans="12:20">
      <c r="L223" s="1134">
        <v>3249</v>
      </c>
      <c r="M223" s="1135" t="s">
        <v>1599</v>
      </c>
      <c r="N223" s="1136">
        <v>1.04</v>
      </c>
      <c r="P223" s="1094">
        <v>872</v>
      </c>
      <c r="Q223" t="s">
        <v>1632</v>
      </c>
      <c r="R223" t="s">
        <v>619</v>
      </c>
      <c r="S223">
        <v>131.29880900000001</v>
      </c>
      <c r="T223" s="1095">
        <v>-21.949513</v>
      </c>
    </row>
    <row r="224" spans="12:20">
      <c r="L224" s="1134">
        <v>3250</v>
      </c>
      <c r="M224" s="1135" t="s">
        <v>1599</v>
      </c>
      <c r="N224" s="1136">
        <v>1.04</v>
      </c>
      <c r="P224" s="1094">
        <v>872</v>
      </c>
      <c r="Q224" t="s">
        <v>1633</v>
      </c>
      <c r="R224" t="s">
        <v>619</v>
      </c>
      <c r="S224">
        <v>131.29880900000001</v>
      </c>
      <c r="T224" s="1095">
        <v>-21.949513</v>
      </c>
    </row>
    <row r="225" spans="12:20">
      <c r="L225" s="1134">
        <v>3251</v>
      </c>
      <c r="M225" s="1135" t="s">
        <v>1599</v>
      </c>
      <c r="N225" s="1136">
        <v>1.04</v>
      </c>
      <c r="P225" s="1094">
        <v>880</v>
      </c>
      <c r="Q225" t="s">
        <v>1634</v>
      </c>
      <c r="R225" t="s">
        <v>619</v>
      </c>
      <c r="S225">
        <v>136.82486299999999</v>
      </c>
      <c r="T225" s="1095">
        <v>-11.670366</v>
      </c>
    </row>
    <row r="226" spans="12:20">
      <c r="L226" s="1134">
        <v>3254</v>
      </c>
      <c r="M226" s="1135" t="s">
        <v>1599</v>
      </c>
      <c r="N226" s="1136">
        <v>1.04</v>
      </c>
      <c r="P226" s="1094">
        <v>880</v>
      </c>
      <c r="Q226" t="s">
        <v>1635</v>
      </c>
      <c r="R226" t="s">
        <v>619</v>
      </c>
      <c r="S226">
        <v>136.82486299999999</v>
      </c>
      <c r="T226" s="1095">
        <v>-11.670366</v>
      </c>
    </row>
    <row r="227" spans="12:20">
      <c r="L227" s="1134">
        <v>3260</v>
      </c>
      <c r="M227" s="1135" t="s">
        <v>1599</v>
      </c>
      <c r="N227" s="1136">
        <v>1.04</v>
      </c>
      <c r="P227" s="1094">
        <v>880</v>
      </c>
      <c r="Q227" t="s">
        <v>1636</v>
      </c>
      <c r="R227" t="s">
        <v>619</v>
      </c>
      <c r="S227">
        <v>136.82486299999999</v>
      </c>
      <c r="T227" s="1095">
        <v>-11.670366</v>
      </c>
    </row>
    <row r="228" spans="12:20">
      <c r="L228" s="1134">
        <v>3264</v>
      </c>
      <c r="M228" s="1135" t="s">
        <v>1599</v>
      </c>
      <c r="N228" s="1136">
        <v>1.04</v>
      </c>
      <c r="P228" s="1094">
        <v>880</v>
      </c>
      <c r="Q228" t="s">
        <v>1637</v>
      </c>
      <c r="R228" t="s">
        <v>619</v>
      </c>
      <c r="S228">
        <v>136.82486299999999</v>
      </c>
      <c r="T228" s="1095">
        <v>-11.670366</v>
      </c>
    </row>
    <row r="229" spans="12:20">
      <c r="L229" s="1134">
        <v>3265</v>
      </c>
      <c r="M229" s="1135" t="s">
        <v>1599</v>
      </c>
      <c r="N229" s="1136">
        <v>1.04</v>
      </c>
      <c r="P229" s="1094">
        <v>881</v>
      </c>
      <c r="Q229" t="s">
        <v>1636</v>
      </c>
      <c r="R229" t="s">
        <v>619</v>
      </c>
      <c r="S229">
        <v>0</v>
      </c>
      <c r="T229" s="1095">
        <v>0</v>
      </c>
    </row>
    <row r="230" spans="12:20">
      <c r="L230" s="1134">
        <v>3266</v>
      </c>
      <c r="M230" s="1135" t="s">
        <v>1599</v>
      </c>
      <c r="N230" s="1136">
        <v>1.04</v>
      </c>
      <c r="P230" s="1094">
        <v>885</v>
      </c>
      <c r="Q230" t="s">
        <v>1638</v>
      </c>
      <c r="R230" t="s">
        <v>619</v>
      </c>
      <c r="S230">
        <v>136.63597799999999</v>
      </c>
      <c r="T230" s="1095">
        <v>-13.811377999999999</v>
      </c>
    </row>
    <row r="231" spans="12:20">
      <c r="L231" s="1134">
        <v>3267</v>
      </c>
      <c r="M231" s="1135" t="s">
        <v>1599</v>
      </c>
      <c r="N231" s="1136">
        <v>1.04</v>
      </c>
      <c r="P231" s="1094">
        <v>886</v>
      </c>
      <c r="Q231" t="s">
        <v>1639</v>
      </c>
      <c r="R231" t="s">
        <v>619</v>
      </c>
      <c r="S231">
        <v>132.56337300000001</v>
      </c>
      <c r="T231" s="1095">
        <v>-13.131180000000001</v>
      </c>
    </row>
    <row r="232" spans="12:20">
      <c r="L232" s="1134">
        <v>3268</v>
      </c>
      <c r="M232" s="1135" t="s">
        <v>1599</v>
      </c>
      <c r="N232" s="1136">
        <v>1.04</v>
      </c>
      <c r="P232" s="1094">
        <v>906</v>
      </c>
      <c r="Q232" t="s">
        <v>1472</v>
      </c>
      <c r="R232" t="s">
        <v>619</v>
      </c>
      <c r="S232">
        <v>0</v>
      </c>
      <c r="T232" s="1095">
        <v>0</v>
      </c>
    </row>
    <row r="233" spans="12:20">
      <c r="L233" s="1134">
        <v>3269</v>
      </c>
      <c r="M233" s="1135" t="s">
        <v>1599</v>
      </c>
      <c r="N233" s="1136">
        <v>1.04</v>
      </c>
      <c r="P233" s="1094">
        <v>907</v>
      </c>
      <c r="Q233" t="s">
        <v>1472</v>
      </c>
      <c r="R233" t="s">
        <v>619</v>
      </c>
      <c r="S233">
        <v>0</v>
      </c>
      <c r="T233" s="1095">
        <v>0</v>
      </c>
    </row>
    <row r="234" spans="12:20">
      <c r="L234" s="1134">
        <v>3270</v>
      </c>
      <c r="M234" s="1135" t="s">
        <v>1599</v>
      </c>
      <c r="N234" s="1136">
        <v>1.04</v>
      </c>
      <c r="P234" s="1094">
        <v>909</v>
      </c>
      <c r="Q234" t="s">
        <v>1444</v>
      </c>
      <c r="R234" t="s">
        <v>619</v>
      </c>
      <c r="S234">
        <v>0</v>
      </c>
      <c r="T234" s="1095">
        <v>0</v>
      </c>
    </row>
    <row r="235" spans="12:20">
      <c r="L235" s="1134">
        <v>3271</v>
      </c>
      <c r="M235" s="1135" t="s">
        <v>1599</v>
      </c>
      <c r="N235" s="1136">
        <v>1.04</v>
      </c>
      <c r="P235" s="1094">
        <v>1001</v>
      </c>
      <c r="Q235" t="s">
        <v>1640</v>
      </c>
      <c r="R235" t="s">
        <v>248</v>
      </c>
      <c r="S235">
        <v>0</v>
      </c>
      <c r="T235" s="1095">
        <v>0</v>
      </c>
    </row>
    <row r="236" spans="12:20">
      <c r="L236" s="1134">
        <v>3272</v>
      </c>
      <c r="M236" s="1135" t="s">
        <v>1599</v>
      </c>
      <c r="N236" s="1136">
        <v>1.04</v>
      </c>
      <c r="P236" s="1094">
        <v>1002</v>
      </c>
      <c r="Q236" t="s">
        <v>1640</v>
      </c>
      <c r="R236" t="s">
        <v>248</v>
      </c>
      <c r="S236">
        <v>0</v>
      </c>
      <c r="T236" s="1095">
        <v>0</v>
      </c>
    </row>
    <row r="237" spans="12:20">
      <c r="L237" s="1134">
        <v>3273</v>
      </c>
      <c r="M237" s="1135" t="s">
        <v>1599</v>
      </c>
      <c r="N237" s="1136">
        <v>1.04</v>
      </c>
      <c r="P237" s="1094">
        <v>1003</v>
      </c>
      <c r="Q237" t="s">
        <v>1640</v>
      </c>
      <c r="R237" t="s">
        <v>248</v>
      </c>
      <c r="S237">
        <v>0</v>
      </c>
      <c r="T237" s="1095">
        <v>0</v>
      </c>
    </row>
    <row r="238" spans="12:20">
      <c r="L238" s="1134">
        <v>3274</v>
      </c>
      <c r="M238" s="1135" t="s">
        <v>1599</v>
      </c>
      <c r="N238" s="1136">
        <v>1.04</v>
      </c>
      <c r="P238" s="1094">
        <v>1004</v>
      </c>
      <c r="Q238" t="s">
        <v>1640</v>
      </c>
      <c r="R238" t="s">
        <v>248</v>
      </c>
      <c r="S238">
        <v>0</v>
      </c>
      <c r="T238" s="1095">
        <v>0</v>
      </c>
    </row>
    <row r="239" spans="12:20">
      <c r="L239" s="1134">
        <v>3275</v>
      </c>
      <c r="M239" s="1135" t="s">
        <v>1599</v>
      </c>
      <c r="N239" s="1136">
        <v>1.04</v>
      </c>
      <c r="P239" s="1094">
        <v>1005</v>
      </c>
      <c r="Q239" t="s">
        <v>1640</v>
      </c>
      <c r="R239" t="s">
        <v>248</v>
      </c>
      <c r="S239">
        <v>0</v>
      </c>
      <c r="T239" s="1095">
        <v>0</v>
      </c>
    </row>
    <row r="240" spans="12:20">
      <c r="L240" s="1134">
        <v>3276</v>
      </c>
      <c r="M240" s="1135" t="s">
        <v>1599</v>
      </c>
      <c r="N240" s="1136">
        <v>1.04</v>
      </c>
      <c r="P240" s="1094">
        <v>1006</v>
      </c>
      <c r="Q240" t="s">
        <v>1640</v>
      </c>
      <c r="R240" t="s">
        <v>248</v>
      </c>
      <c r="S240">
        <v>0</v>
      </c>
      <c r="T240" s="1095">
        <v>0</v>
      </c>
    </row>
    <row r="241" spans="12:20">
      <c r="L241" s="1134">
        <v>3277</v>
      </c>
      <c r="M241" s="1135" t="s">
        <v>1599</v>
      </c>
      <c r="N241" s="1136">
        <v>1.04</v>
      </c>
      <c r="P241" s="1094">
        <v>1007</v>
      </c>
      <c r="Q241" t="s">
        <v>1640</v>
      </c>
      <c r="R241" t="s">
        <v>248</v>
      </c>
      <c r="S241">
        <v>0</v>
      </c>
      <c r="T241" s="1095">
        <v>0</v>
      </c>
    </row>
    <row r="242" spans="12:20">
      <c r="L242" s="1134">
        <v>3278</v>
      </c>
      <c r="M242" s="1135" t="s">
        <v>1599</v>
      </c>
      <c r="N242" s="1136">
        <v>1.04</v>
      </c>
      <c r="P242" s="1094">
        <v>1008</v>
      </c>
      <c r="Q242" t="s">
        <v>1640</v>
      </c>
      <c r="R242" t="s">
        <v>248</v>
      </c>
      <c r="S242">
        <v>0</v>
      </c>
      <c r="T242" s="1095">
        <v>0</v>
      </c>
    </row>
    <row r="243" spans="12:20">
      <c r="L243" s="1134">
        <v>3279</v>
      </c>
      <c r="M243" s="1135" t="s">
        <v>1599</v>
      </c>
      <c r="N243" s="1136">
        <v>1.04</v>
      </c>
      <c r="P243" s="1094">
        <v>1009</v>
      </c>
      <c r="Q243" t="s">
        <v>1640</v>
      </c>
      <c r="R243" t="s">
        <v>248</v>
      </c>
      <c r="S243">
        <v>0</v>
      </c>
      <c r="T243" s="1095">
        <v>0</v>
      </c>
    </row>
    <row r="244" spans="12:20">
      <c r="L244" s="1134">
        <v>3280</v>
      </c>
      <c r="M244" s="1135" t="s">
        <v>1599</v>
      </c>
      <c r="N244" s="1136">
        <v>1.04</v>
      </c>
      <c r="P244" s="1094">
        <v>1010</v>
      </c>
      <c r="Q244" t="s">
        <v>1640</v>
      </c>
      <c r="R244" t="s">
        <v>248</v>
      </c>
      <c r="S244">
        <v>0</v>
      </c>
      <c r="T244" s="1095">
        <v>0</v>
      </c>
    </row>
    <row r="245" spans="12:20">
      <c r="L245" s="1134">
        <v>3281</v>
      </c>
      <c r="M245" s="1135" t="s">
        <v>1599</v>
      </c>
      <c r="N245" s="1136">
        <v>1.04</v>
      </c>
      <c r="P245" s="1094">
        <v>1011</v>
      </c>
      <c r="Q245" t="s">
        <v>1640</v>
      </c>
      <c r="R245" t="s">
        <v>248</v>
      </c>
      <c r="S245">
        <v>0</v>
      </c>
      <c r="T245" s="1095">
        <v>0</v>
      </c>
    </row>
    <row r="246" spans="12:20">
      <c r="L246" s="1134">
        <v>3282</v>
      </c>
      <c r="M246" s="1135" t="s">
        <v>1599</v>
      </c>
      <c r="N246" s="1136">
        <v>1.04</v>
      </c>
      <c r="P246" s="1094">
        <v>1020</v>
      </c>
      <c r="Q246" t="s">
        <v>1640</v>
      </c>
      <c r="R246" t="s">
        <v>248</v>
      </c>
      <c r="S246">
        <v>0</v>
      </c>
      <c r="T246" s="1095">
        <v>0</v>
      </c>
    </row>
    <row r="247" spans="12:20">
      <c r="L247" s="1134">
        <v>3283</v>
      </c>
      <c r="M247" s="1135" t="s">
        <v>1599</v>
      </c>
      <c r="N247" s="1136">
        <v>1.04</v>
      </c>
      <c r="P247" s="1094">
        <v>1021</v>
      </c>
      <c r="Q247" t="s">
        <v>1640</v>
      </c>
      <c r="R247" t="s">
        <v>248</v>
      </c>
      <c r="S247">
        <v>0</v>
      </c>
      <c r="T247" s="1095">
        <v>0</v>
      </c>
    </row>
    <row r="248" spans="12:20">
      <c r="L248" s="1134">
        <v>3284</v>
      </c>
      <c r="M248" s="1135" t="s">
        <v>1599</v>
      </c>
      <c r="N248" s="1136">
        <v>1.04</v>
      </c>
      <c r="P248" s="1094">
        <v>1022</v>
      </c>
      <c r="Q248" t="s">
        <v>1640</v>
      </c>
      <c r="R248" t="s">
        <v>248</v>
      </c>
      <c r="S248">
        <v>0</v>
      </c>
      <c r="T248" s="1095">
        <v>0</v>
      </c>
    </row>
    <row r="249" spans="12:20">
      <c r="L249" s="1134">
        <v>3285</v>
      </c>
      <c r="M249" s="1135" t="s">
        <v>1599</v>
      </c>
      <c r="N249" s="1136">
        <v>1.04</v>
      </c>
      <c r="P249" s="1094">
        <v>1023</v>
      </c>
      <c r="Q249" t="s">
        <v>1640</v>
      </c>
      <c r="R249" t="s">
        <v>248</v>
      </c>
      <c r="S249">
        <v>0</v>
      </c>
      <c r="T249" s="1095">
        <v>0</v>
      </c>
    </row>
    <row r="250" spans="12:20">
      <c r="L250" s="1134">
        <v>3286</v>
      </c>
      <c r="M250" s="1135" t="s">
        <v>1599</v>
      </c>
      <c r="N250" s="1136">
        <v>1.04</v>
      </c>
      <c r="P250" s="1094">
        <v>1025</v>
      </c>
      <c r="Q250" t="s">
        <v>1640</v>
      </c>
      <c r="R250" t="s">
        <v>248</v>
      </c>
      <c r="S250">
        <v>0</v>
      </c>
      <c r="T250" s="1095">
        <v>0</v>
      </c>
    </row>
    <row r="251" spans="12:20">
      <c r="L251" s="1134">
        <v>3287</v>
      </c>
      <c r="M251" s="1135" t="s">
        <v>1599</v>
      </c>
      <c r="N251" s="1136">
        <v>1.04</v>
      </c>
      <c r="P251" s="1094">
        <v>1026</v>
      </c>
      <c r="Q251" t="s">
        <v>1640</v>
      </c>
      <c r="R251" t="s">
        <v>248</v>
      </c>
      <c r="S251">
        <v>0</v>
      </c>
      <c r="T251" s="1095">
        <v>0</v>
      </c>
    </row>
    <row r="252" spans="12:20">
      <c r="L252" s="1134">
        <v>3289</v>
      </c>
      <c r="M252" s="1135" t="s">
        <v>1599</v>
      </c>
      <c r="N252" s="1136">
        <v>1.04</v>
      </c>
      <c r="P252" s="1094">
        <v>1027</v>
      </c>
      <c r="Q252" t="s">
        <v>1640</v>
      </c>
      <c r="R252" t="s">
        <v>248</v>
      </c>
      <c r="S252">
        <v>0</v>
      </c>
      <c r="T252" s="1095">
        <v>0</v>
      </c>
    </row>
    <row r="253" spans="12:20">
      <c r="L253" s="1134">
        <v>3292</v>
      </c>
      <c r="M253" s="1135" t="s">
        <v>1599</v>
      </c>
      <c r="N253" s="1136">
        <v>1.04</v>
      </c>
      <c r="P253" s="1094">
        <v>1028</v>
      </c>
      <c r="Q253" t="s">
        <v>1640</v>
      </c>
      <c r="R253" t="s">
        <v>248</v>
      </c>
      <c r="S253">
        <v>0</v>
      </c>
      <c r="T253" s="1095">
        <v>0</v>
      </c>
    </row>
    <row r="254" spans="12:20">
      <c r="L254" s="1134">
        <v>3293</v>
      </c>
      <c r="M254" s="1135" t="s">
        <v>1599</v>
      </c>
      <c r="N254" s="1136">
        <v>1.04</v>
      </c>
      <c r="P254" s="1094">
        <v>1029</v>
      </c>
      <c r="Q254" t="s">
        <v>1640</v>
      </c>
      <c r="R254" t="s">
        <v>248</v>
      </c>
      <c r="S254">
        <v>0</v>
      </c>
      <c r="T254" s="1095">
        <v>0</v>
      </c>
    </row>
    <row r="255" spans="12:20">
      <c r="L255" s="1134">
        <v>3294</v>
      </c>
      <c r="M255" s="1135" t="s">
        <v>1599</v>
      </c>
      <c r="N255" s="1136">
        <v>1.04</v>
      </c>
      <c r="P255" s="1094">
        <v>1030</v>
      </c>
      <c r="Q255" t="s">
        <v>1640</v>
      </c>
      <c r="R255" t="s">
        <v>248</v>
      </c>
      <c r="S255">
        <v>0</v>
      </c>
      <c r="T255" s="1095">
        <v>0</v>
      </c>
    </row>
    <row r="256" spans="12:20">
      <c r="L256" s="1134">
        <v>3300</v>
      </c>
      <c r="M256" s="1135" t="s">
        <v>1599</v>
      </c>
      <c r="N256" s="1136">
        <v>1.04</v>
      </c>
      <c r="P256" s="1094">
        <v>1031</v>
      </c>
      <c r="Q256" t="s">
        <v>1640</v>
      </c>
      <c r="R256" t="s">
        <v>248</v>
      </c>
      <c r="S256">
        <v>0</v>
      </c>
      <c r="T256" s="1095">
        <v>0</v>
      </c>
    </row>
    <row r="257" spans="12:20">
      <c r="L257" s="1134">
        <v>3301</v>
      </c>
      <c r="M257" s="1135" t="s">
        <v>1599</v>
      </c>
      <c r="N257" s="1136">
        <v>1.04</v>
      </c>
      <c r="P257" s="1094">
        <v>1032</v>
      </c>
      <c r="Q257" t="s">
        <v>1640</v>
      </c>
      <c r="R257" t="s">
        <v>248</v>
      </c>
      <c r="S257">
        <v>0</v>
      </c>
      <c r="T257" s="1095">
        <v>0</v>
      </c>
    </row>
    <row r="258" spans="12:20">
      <c r="L258" s="1134">
        <v>3302</v>
      </c>
      <c r="M258" s="1135" t="s">
        <v>1599</v>
      </c>
      <c r="N258" s="1136">
        <v>1.04</v>
      </c>
      <c r="P258" s="1094">
        <v>1033</v>
      </c>
      <c r="Q258" t="s">
        <v>1640</v>
      </c>
      <c r="R258" t="s">
        <v>248</v>
      </c>
      <c r="S258">
        <v>0</v>
      </c>
      <c r="T258" s="1095">
        <v>0</v>
      </c>
    </row>
    <row r="259" spans="12:20">
      <c r="L259" s="1134">
        <v>3303</v>
      </c>
      <c r="M259" s="1135" t="s">
        <v>1599</v>
      </c>
      <c r="N259" s="1136">
        <v>1.04</v>
      </c>
      <c r="P259" s="1094">
        <v>1034</v>
      </c>
      <c r="Q259" t="s">
        <v>1640</v>
      </c>
      <c r="R259" t="s">
        <v>248</v>
      </c>
      <c r="S259">
        <v>0</v>
      </c>
      <c r="T259" s="1095">
        <v>0</v>
      </c>
    </row>
    <row r="260" spans="12:20">
      <c r="L260" s="1134">
        <v>3304</v>
      </c>
      <c r="M260" s="1135" t="s">
        <v>1599</v>
      </c>
      <c r="N260" s="1136">
        <v>1.04</v>
      </c>
      <c r="P260" s="1094">
        <v>1035</v>
      </c>
      <c r="Q260" t="s">
        <v>1640</v>
      </c>
      <c r="R260" t="s">
        <v>248</v>
      </c>
      <c r="S260">
        <v>0</v>
      </c>
      <c r="T260" s="1095">
        <v>0</v>
      </c>
    </row>
    <row r="261" spans="12:20">
      <c r="L261" s="1134">
        <v>3305</v>
      </c>
      <c r="M261" s="1135" t="s">
        <v>1599</v>
      </c>
      <c r="N261" s="1136">
        <v>1.04</v>
      </c>
      <c r="P261" s="1094">
        <v>1036</v>
      </c>
      <c r="Q261" t="s">
        <v>1640</v>
      </c>
      <c r="R261" t="s">
        <v>248</v>
      </c>
      <c r="S261">
        <v>0</v>
      </c>
      <c r="T261" s="1095">
        <v>0</v>
      </c>
    </row>
    <row r="262" spans="12:20">
      <c r="L262" s="1134">
        <v>3309</v>
      </c>
      <c r="M262" s="1135" t="s">
        <v>1599</v>
      </c>
      <c r="N262" s="1136">
        <v>1.04</v>
      </c>
      <c r="P262" s="1094">
        <v>1037</v>
      </c>
      <c r="Q262" t="s">
        <v>1640</v>
      </c>
      <c r="R262" t="s">
        <v>248</v>
      </c>
      <c r="S262">
        <v>0</v>
      </c>
      <c r="T262" s="1095">
        <v>0</v>
      </c>
    </row>
    <row r="263" spans="12:20">
      <c r="L263" s="1134">
        <v>3310</v>
      </c>
      <c r="M263" s="1135" t="s">
        <v>1599</v>
      </c>
      <c r="N263" s="1136">
        <v>1.04</v>
      </c>
      <c r="P263" s="1094">
        <v>1038</v>
      </c>
      <c r="Q263" t="s">
        <v>1640</v>
      </c>
      <c r="R263" t="s">
        <v>248</v>
      </c>
      <c r="S263">
        <v>0</v>
      </c>
      <c r="T263" s="1095">
        <v>0</v>
      </c>
    </row>
    <row r="264" spans="12:20">
      <c r="L264" s="1134">
        <v>3311</v>
      </c>
      <c r="M264" s="1135" t="s">
        <v>1599</v>
      </c>
      <c r="N264" s="1136">
        <v>1.04</v>
      </c>
      <c r="P264" s="1094">
        <v>1039</v>
      </c>
      <c r="Q264" t="s">
        <v>1640</v>
      </c>
      <c r="R264" t="s">
        <v>248</v>
      </c>
      <c r="S264">
        <v>0</v>
      </c>
      <c r="T264" s="1095">
        <v>0</v>
      </c>
    </row>
    <row r="265" spans="12:20">
      <c r="L265" s="1134">
        <v>3312</v>
      </c>
      <c r="M265" s="1135" t="s">
        <v>1599</v>
      </c>
      <c r="N265" s="1136">
        <v>1.04</v>
      </c>
      <c r="P265" s="1094">
        <v>1040</v>
      </c>
      <c r="Q265" t="s">
        <v>1640</v>
      </c>
      <c r="R265" t="s">
        <v>248</v>
      </c>
      <c r="S265">
        <v>0</v>
      </c>
      <c r="T265" s="1095">
        <v>0</v>
      </c>
    </row>
    <row r="266" spans="12:20">
      <c r="L266" s="1134">
        <v>3314</v>
      </c>
      <c r="M266" s="1135" t="s">
        <v>1599</v>
      </c>
      <c r="N266" s="1136">
        <v>1.04</v>
      </c>
      <c r="P266" s="1094">
        <v>1041</v>
      </c>
      <c r="Q266" t="s">
        <v>1640</v>
      </c>
      <c r="R266" t="s">
        <v>248</v>
      </c>
      <c r="S266">
        <v>0</v>
      </c>
      <c r="T266" s="1095">
        <v>0</v>
      </c>
    </row>
    <row r="267" spans="12:20">
      <c r="L267" s="1134">
        <v>3315</v>
      </c>
      <c r="M267" s="1135" t="s">
        <v>1599</v>
      </c>
      <c r="N267" s="1136">
        <v>1.04</v>
      </c>
      <c r="P267" s="1094">
        <v>1042</v>
      </c>
      <c r="Q267" t="s">
        <v>1640</v>
      </c>
      <c r="R267" t="s">
        <v>248</v>
      </c>
      <c r="S267">
        <v>0</v>
      </c>
      <c r="T267" s="1095">
        <v>0</v>
      </c>
    </row>
    <row r="268" spans="12:20">
      <c r="L268" s="1134">
        <v>3317</v>
      </c>
      <c r="M268" s="1135" t="s">
        <v>1599</v>
      </c>
      <c r="N268" s="1136">
        <v>1.04</v>
      </c>
      <c r="P268" s="1094">
        <v>1043</v>
      </c>
      <c r="Q268" t="s">
        <v>1640</v>
      </c>
      <c r="R268" t="s">
        <v>248</v>
      </c>
      <c r="S268">
        <v>0</v>
      </c>
      <c r="T268" s="1095">
        <v>0</v>
      </c>
    </row>
    <row r="269" spans="12:20">
      <c r="L269" s="1134">
        <v>3318</v>
      </c>
      <c r="M269" s="1135" t="s">
        <v>1599</v>
      </c>
      <c r="N269" s="1136">
        <v>1.04</v>
      </c>
      <c r="P269" s="1094">
        <v>1044</v>
      </c>
      <c r="Q269" t="s">
        <v>1640</v>
      </c>
      <c r="R269" t="s">
        <v>248</v>
      </c>
      <c r="S269">
        <v>0</v>
      </c>
      <c r="T269" s="1095">
        <v>0</v>
      </c>
    </row>
    <row r="270" spans="12:20">
      <c r="L270" s="1134">
        <v>3319</v>
      </c>
      <c r="M270" s="1135" t="s">
        <v>1599</v>
      </c>
      <c r="N270" s="1136">
        <v>1.04</v>
      </c>
      <c r="P270" s="1094">
        <v>1045</v>
      </c>
      <c r="Q270" t="s">
        <v>1640</v>
      </c>
      <c r="R270" t="s">
        <v>248</v>
      </c>
      <c r="S270">
        <v>0</v>
      </c>
      <c r="T270" s="1095">
        <v>0</v>
      </c>
    </row>
    <row r="271" spans="12:20">
      <c r="L271" s="1134">
        <v>3321</v>
      </c>
      <c r="M271" s="1135" t="s">
        <v>1599</v>
      </c>
      <c r="N271" s="1136">
        <v>1.04</v>
      </c>
      <c r="P271" s="1094">
        <v>1046</v>
      </c>
      <c r="Q271" t="s">
        <v>1640</v>
      </c>
      <c r="R271" t="s">
        <v>248</v>
      </c>
      <c r="S271">
        <v>0</v>
      </c>
      <c r="T271" s="1095">
        <v>0</v>
      </c>
    </row>
    <row r="272" spans="12:20">
      <c r="L272" s="1134">
        <v>3322</v>
      </c>
      <c r="M272" s="1135" t="s">
        <v>1599</v>
      </c>
      <c r="N272" s="1136">
        <v>1.04</v>
      </c>
      <c r="P272" s="1094">
        <v>1100</v>
      </c>
      <c r="Q272" t="s">
        <v>1640</v>
      </c>
      <c r="R272" t="s">
        <v>248</v>
      </c>
      <c r="S272">
        <v>0</v>
      </c>
      <c r="T272" s="1095">
        <v>0</v>
      </c>
    </row>
    <row r="273" spans="12:20">
      <c r="L273" s="1134">
        <v>3323</v>
      </c>
      <c r="M273" s="1135" t="s">
        <v>1599</v>
      </c>
      <c r="N273" s="1136">
        <v>1.04</v>
      </c>
      <c r="P273" s="1094">
        <v>1101</v>
      </c>
      <c r="Q273" t="s">
        <v>1640</v>
      </c>
      <c r="R273" t="s">
        <v>248</v>
      </c>
      <c r="S273">
        <v>0</v>
      </c>
      <c r="T273" s="1095">
        <v>0</v>
      </c>
    </row>
    <row r="274" spans="12:20">
      <c r="L274" s="1134">
        <v>3324</v>
      </c>
      <c r="M274" s="1135" t="s">
        <v>1599</v>
      </c>
      <c r="N274" s="1136">
        <v>1.04</v>
      </c>
      <c r="P274" s="1094">
        <v>1105</v>
      </c>
      <c r="Q274" t="s">
        <v>1640</v>
      </c>
      <c r="R274" t="s">
        <v>248</v>
      </c>
      <c r="S274">
        <v>0</v>
      </c>
      <c r="T274" s="1095">
        <v>0</v>
      </c>
    </row>
    <row r="275" spans="12:20">
      <c r="L275" s="1134">
        <v>3325</v>
      </c>
      <c r="M275" s="1135" t="s">
        <v>1599</v>
      </c>
      <c r="N275" s="1136">
        <v>1.04</v>
      </c>
      <c r="P275" s="1094">
        <v>1106</v>
      </c>
      <c r="Q275" t="s">
        <v>1640</v>
      </c>
      <c r="R275" t="s">
        <v>248</v>
      </c>
      <c r="S275">
        <v>0</v>
      </c>
      <c r="T275" s="1095">
        <v>0</v>
      </c>
    </row>
    <row r="276" spans="12:20">
      <c r="L276" s="1134">
        <v>3328</v>
      </c>
      <c r="M276" s="1135" t="s">
        <v>1599</v>
      </c>
      <c r="N276" s="1136">
        <v>1.04</v>
      </c>
      <c r="P276" s="1094">
        <v>1107</v>
      </c>
      <c r="Q276" t="s">
        <v>1640</v>
      </c>
      <c r="R276" t="s">
        <v>248</v>
      </c>
      <c r="S276">
        <v>0</v>
      </c>
      <c r="T276" s="1095">
        <v>0</v>
      </c>
    </row>
    <row r="277" spans="12:20">
      <c r="L277" s="1134">
        <v>3329</v>
      </c>
      <c r="M277" s="1135" t="s">
        <v>1599</v>
      </c>
      <c r="N277" s="1136">
        <v>1.04</v>
      </c>
      <c r="P277" s="1094">
        <v>1108</v>
      </c>
      <c r="Q277" t="s">
        <v>1640</v>
      </c>
      <c r="R277" t="s">
        <v>248</v>
      </c>
      <c r="S277">
        <v>0</v>
      </c>
      <c r="T277" s="1095">
        <v>0</v>
      </c>
    </row>
    <row r="278" spans="12:20">
      <c r="L278" s="1134">
        <v>3330</v>
      </c>
      <c r="M278" s="1135" t="s">
        <v>1599</v>
      </c>
      <c r="N278" s="1136">
        <v>1.04</v>
      </c>
      <c r="P278" s="1094">
        <v>1109</v>
      </c>
      <c r="Q278" t="s">
        <v>1640</v>
      </c>
      <c r="R278" t="s">
        <v>248</v>
      </c>
      <c r="S278">
        <v>0</v>
      </c>
      <c r="T278" s="1095">
        <v>0</v>
      </c>
    </row>
    <row r="279" spans="12:20">
      <c r="L279" s="1134">
        <v>3331</v>
      </c>
      <c r="M279" s="1135" t="s">
        <v>1599</v>
      </c>
      <c r="N279" s="1136">
        <v>1.04</v>
      </c>
      <c r="P279" s="1094">
        <v>1110</v>
      </c>
      <c r="Q279" t="s">
        <v>1640</v>
      </c>
      <c r="R279" t="s">
        <v>248</v>
      </c>
      <c r="S279">
        <v>0</v>
      </c>
      <c r="T279" s="1095">
        <v>0</v>
      </c>
    </row>
    <row r="280" spans="12:20">
      <c r="L280" s="1134">
        <v>3332</v>
      </c>
      <c r="M280" s="1135" t="s">
        <v>1599</v>
      </c>
      <c r="N280" s="1136">
        <v>1.04</v>
      </c>
      <c r="P280" s="1094">
        <v>1112</v>
      </c>
      <c r="Q280" t="s">
        <v>1640</v>
      </c>
      <c r="R280" t="s">
        <v>248</v>
      </c>
      <c r="S280">
        <v>0</v>
      </c>
      <c r="T280" s="1095">
        <v>0</v>
      </c>
    </row>
    <row r="281" spans="12:20">
      <c r="L281" s="1134">
        <v>3333</v>
      </c>
      <c r="M281" s="1135" t="s">
        <v>1599</v>
      </c>
      <c r="N281" s="1136">
        <v>1.04</v>
      </c>
      <c r="P281" s="1094">
        <v>1113</v>
      </c>
      <c r="Q281" t="s">
        <v>1640</v>
      </c>
      <c r="R281" t="s">
        <v>248</v>
      </c>
      <c r="S281">
        <v>0</v>
      </c>
      <c r="T281" s="1095">
        <v>0</v>
      </c>
    </row>
    <row r="282" spans="12:20">
      <c r="L282" s="1134">
        <v>3334</v>
      </c>
      <c r="M282" s="1135" t="s">
        <v>1599</v>
      </c>
      <c r="N282" s="1136">
        <v>1.04</v>
      </c>
      <c r="P282" s="1094">
        <v>1114</v>
      </c>
      <c r="Q282" t="s">
        <v>1640</v>
      </c>
      <c r="R282" t="s">
        <v>248</v>
      </c>
      <c r="S282">
        <v>0</v>
      </c>
      <c r="T282" s="1095">
        <v>0</v>
      </c>
    </row>
    <row r="283" spans="12:20">
      <c r="L283" s="1134">
        <v>3335</v>
      </c>
      <c r="M283" s="1135" t="s">
        <v>1334</v>
      </c>
      <c r="N283" s="1136">
        <v>0.98</v>
      </c>
      <c r="P283" s="1094">
        <v>1115</v>
      </c>
      <c r="Q283" t="s">
        <v>1640</v>
      </c>
      <c r="R283" t="s">
        <v>248</v>
      </c>
      <c r="S283">
        <v>0</v>
      </c>
      <c r="T283" s="1095">
        <v>0</v>
      </c>
    </row>
    <row r="284" spans="12:20">
      <c r="L284" s="1134">
        <v>3336</v>
      </c>
      <c r="M284" s="1135" t="s">
        <v>1334</v>
      </c>
      <c r="N284" s="1136">
        <v>0.98</v>
      </c>
      <c r="P284" s="1094">
        <v>1116</v>
      </c>
      <c r="Q284" t="s">
        <v>1640</v>
      </c>
      <c r="R284" t="s">
        <v>248</v>
      </c>
      <c r="S284">
        <v>0</v>
      </c>
      <c r="T284" s="1095">
        <v>0</v>
      </c>
    </row>
    <row r="285" spans="12:20">
      <c r="L285" s="1134">
        <v>3337</v>
      </c>
      <c r="M285" s="1135" t="s">
        <v>1334</v>
      </c>
      <c r="N285" s="1136">
        <v>0.98</v>
      </c>
      <c r="P285" s="1094">
        <v>1117</v>
      </c>
      <c r="Q285" t="s">
        <v>1640</v>
      </c>
      <c r="R285" t="s">
        <v>248</v>
      </c>
      <c r="S285">
        <v>0</v>
      </c>
      <c r="T285" s="1095">
        <v>0</v>
      </c>
    </row>
    <row r="286" spans="12:20">
      <c r="L286" s="1134">
        <v>3338</v>
      </c>
      <c r="M286" s="1135" t="s">
        <v>1334</v>
      </c>
      <c r="N286" s="1136">
        <v>0.98</v>
      </c>
      <c r="P286" s="1094">
        <v>1118</v>
      </c>
      <c r="Q286" t="s">
        <v>1640</v>
      </c>
      <c r="R286" t="s">
        <v>248</v>
      </c>
      <c r="S286">
        <v>0</v>
      </c>
      <c r="T286" s="1095">
        <v>0</v>
      </c>
    </row>
    <row r="287" spans="12:20">
      <c r="L287" s="1134">
        <v>3340</v>
      </c>
      <c r="M287" s="1135" t="s">
        <v>1599</v>
      </c>
      <c r="N287" s="1136">
        <v>1.04</v>
      </c>
      <c r="P287" s="1094">
        <v>1119</v>
      </c>
      <c r="Q287" t="s">
        <v>1640</v>
      </c>
      <c r="R287" t="s">
        <v>248</v>
      </c>
      <c r="S287">
        <v>0</v>
      </c>
      <c r="T287" s="1095">
        <v>0</v>
      </c>
    </row>
    <row r="288" spans="12:20">
      <c r="L288" s="1134">
        <v>3341</v>
      </c>
      <c r="M288" s="1135" t="s">
        <v>1599</v>
      </c>
      <c r="N288" s="1136">
        <v>1.04</v>
      </c>
      <c r="P288" s="1094">
        <v>1120</v>
      </c>
      <c r="Q288" t="s">
        <v>1640</v>
      </c>
      <c r="R288" t="s">
        <v>248</v>
      </c>
      <c r="S288">
        <v>0</v>
      </c>
      <c r="T288" s="1095">
        <v>0</v>
      </c>
    </row>
    <row r="289" spans="12:20">
      <c r="L289" s="1134">
        <v>3342</v>
      </c>
      <c r="M289" s="1135" t="s">
        <v>1599</v>
      </c>
      <c r="N289" s="1136">
        <v>1.04</v>
      </c>
      <c r="P289" s="1094">
        <v>1121</v>
      </c>
      <c r="Q289" t="s">
        <v>1640</v>
      </c>
      <c r="R289" t="s">
        <v>248</v>
      </c>
      <c r="S289">
        <v>0</v>
      </c>
      <c r="T289" s="1095">
        <v>0</v>
      </c>
    </row>
    <row r="290" spans="12:20">
      <c r="L290" s="1134">
        <v>3345</v>
      </c>
      <c r="M290" s="1135" t="s">
        <v>1599</v>
      </c>
      <c r="N290" s="1136">
        <v>1.04</v>
      </c>
      <c r="P290" s="1094">
        <v>1122</v>
      </c>
      <c r="Q290" t="s">
        <v>1640</v>
      </c>
      <c r="R290" t="s">
        <v>248</v>
      </c>
      <c r="S290">
        <v>0</v>
      </c>
      <c r="T290" s="1095">
        <v>0</v>
      </c>
    </row>
    <row r="291" spans="12:20">
      <c r="L291" s="1134">
        <v>3350</v>
      </c>
      <c r="M291" s="1135" t="s">
        <v>1599</v>
      </c>
      <c r="N291" s="1136">
        <v>1.04</v>
      </c>
      <c r="P291" s="1094">
        <v>1123</v>
      </c>
      <c r="Q291" t="s">
        <v>1640</v>
      </c>
      <c r="R291" t="s">
        <v>248</v>
      </c>
      <c r="S291">
        <v>0</v>
      </c>
      <c r="T291" s="1095">
        <v>0</v>
      </c>
    </row>
    <row r="292" spans="12:20">
      <c r="L292" s="1134">
        <v>3351</v>
      </c>
      <c r="M292" s="1135" t="s">
        <v>1599</v>
      </c>
      <c r="N292" s="1136">
        <v>1.04</v>
      </c>
      <c r="P292" s="1094">
        <v>1124</v>
      </c>
      <c r="Q292" t="s">
        <v>1640</v>
      </c>
      <c r="R292" t="s">
        <v>248</v>
      </c>
      <c r="S292">
        <v>0</v>
      </c>
      <c r="T292" s="1095">
        <v>0</v>
      </c>
    </row>
    <row r="293" spans="12:20">
      <c r="L293" s="1134">
        <v>3352</v>
      </c>
      <c r="M293" s="1135" t="s">
        <v>1599</v>
      </c>
      <c r="N293" s="1136">
        <v>1.04</v>
      </c>
      <c r="P293" s="1094">
        <v>1125</v>
      </c>
      <c r="Q293" t="s">
        <v>1640</v>
      </c>
      <c r="R293" t="s">
        <v>248</v>
      </c>
      <c r="S293">
        <v>0</v>
      </c>
      <c r="T293" s="1095">
        <v>0</v>
      </c>
    </row>
    <row r="294" spans="12:20">
      <c r="L294" s="1134">
        <v>3353</v>
      </c>
      <c r="M294" s="1135" t="s">
        <v>1599</v>
      </c>
      <c r="N294" s="1136">
        <v>1.04</v>
      </c>
      <c r="P294" s="1094">
        <v>1126</v>
      </c>
      <c r="Q294" t="s">
        <v>1640</v>
      </c>
      <c r="R294" t="s">
        <v>248</v>
      </c>
      <c r="S294">
        <v>0</v>
      </c>
      <c r="T294" s="1095">
        <v>0</v>
      </c>
    </row>
    <row r="295" spans="12:20">
      <c r="L295" s="1134">
        <v>3354</v>
      </c>
      <c r="M295" s="1135" t="s">
        <v>1599</v>
      </c>
      <c r="N295" s="1136">
        <v>1.04</v>
      </c>
      <c r="P295" s="1094">
        <v>1127</v>
      </c>
      <c r="Q295" t="s">
        <v>1640</v>
      </c>
      <c r="R295" t="s">
        <v>248</v>
      </c>
      <c r="S295">
        <v>0</v>
      </c>
      <c r="T295" s="1095">
        <v>0</v>
      </c>
    </row>
    <row r="296" spans="12:20">
      <c r="L296" s="1134">
        <v>3355</v>
      </c>
      <c r="M296" s="1135" t="s">
        <v>1599</v>
      </c>
      <c r="N296" s="1136">
        <v>1.04</v>
      </c>
      <c r="P296" s="1094">
        <v>1128</v>
      </c>
      <c r="Q296" t="s">
        <v>1640</v>
      </c>
      <c r="R296" t="s">
        <v>248</v>
      </c>
      <c r="S296">
        <v>0</v>
      </c>
      <c r="T296" s="1095">
        <v>0</v>
      </c>
    </row>
    <row r="297" spans="12:20">
      <c r="L297" s="1134">
        <v>3356</v>
      </c>
      <c r="M297" s="1135" t="s">
        <v>1599</v>
      </c>
      <c r="N297" s="1136">
        <v>1.04</v>
      </c>
      <c r="P297" s="1094">
        <v>1129</v>
      </c>
      <c r="Q297" t="s">
        <v>1640</v>
      </c>
      <c r="R297" t="s">
        <v>248</v>
      </c>
      <c r="S297">
        <v>0</v>
      </c>
      <c r="T297" s="1095">
        <v>0</v>
      </c>
    </row>
    <row r="298" spans="12:20">
      <c r="L298" s="1134">
        <v>3357</v>
      </c>
      <c r="M298" s="1135" t="s">
        <v>1599</v>
      </c>
      <c r="N298" s="1136">
        <v>1.04</v>
      </c>
      <c r="P298" s="1094">
        <v>1130</v>
      </c>
      <c r="Q298" t="s">
        <v>1640</v>
      </c>
      <c r="R298" t="s">
        <v>248</v>
      </c>
      <c r="S298">
        <v>0</v>
      </c>
      <c r="T298" s="1095">
        <v>0</v>
      </c>
    </row>
    <row r="299" spans="12:20">
      <c r="L299" s="1134">
        <v>3358</v>
      </c>
      <c r="M299" s="1135" t="s">
        <v>1599</v>
      </c>
      <c r="N299" s="1136">
        <v>1.04</v>
      </c>
      <c r="P299" s="1094">
        <v>1131</v>
      </c>
      <c r="Q299" t="s">
        <v>1640</v>
      </c>
      <c r="R299" t="s">
        <v>248</v>
      </c>
      <c r="S299">
        <v>0</v>
      </c>
      <c r="T299" s="1095">
        <v>0</v>
      </c>
    </row>
    <row r="300" spans="12:20">
      <c r="L300" s="1134">
        <v>3360</v>
      </c>
      <c r="M300" s="1135" t="s">
        <v>1599</v>
      </c>
      <c r="N300" s="1136">
        <v>1.04</v>
      </c>
      <c r="P300" s="1094">
        <v>1132</v>
      </c>
      <c r="Q300" t="s">
        <v>1640</v>
      </c>
      <c r="R300" t="s">
        <v>248</v>
      </c>
      <c r="S300">
        <v>0</v>
      </c>
      <c r="T300" s="1095">
        <v>0</v>
      </c>
    </row>
    <row r="301" spans="12:20">
      <c r="L301" s="1134">
        <v>3361</v>
      </c>
      <c r="M301" s="1135" t="s">
        <v>1599</v>
      </c>
      <c r="N301" s="1136">
        <v>1.04</v>
      </c>
      <c r="P301" s="1094">
        <v>1133</v>
      </c>
      <c r="Q301" t="s">
        <v>1640</v>
      </c>
      <c r="R301" t="s">
        <v>248</v>
      </c>
      <c r="S301">
        <v>0</v>
      </c>
      <c r="T301" s="1095">
        <v>0</v>
      </c>
    </row>
    <row r="302" spans="12:20">
      <c r="L302" s="1134">
        <v>3363</v>
      </c>
      <c r="M302" s="1135" t="s">
        <v>1599</v>
      </c>
      <c r="N302" s="1136">
        <v>1.04</v>
      </c>
      <c r="P302" s="1094">
        <v>1134</v>
      </c>
      <c r="Q302" t="s">
        <v>1640</v>
      </c>
      <c r="R302" t="s">
        <v>248</v>
      </c>
      <c r="S302">
        <v>0</v>
      </c>
      <c r="T302" s="1095">
        <v>0</v>
      </c>
    </row>
    <row r="303" spans="12:20">
      <c r="L303" s="1134">
        <v>3364</v>
      </c>
      <c r="M303" s="1135" t="s">
        <v>1599</v>
      </c>
      <c r="N303" s="1136">
        <v>1.04</v>
      </c>
      <c r="P303" s="1094">
        <v>1135</v>
      </c>
      <c r="Q303" t="s">
        <v>1640</v>
      </c>
      <c r="R303" t="s">
        <v>248</v>
      </c>
      <c r="S303">
        <v>0</v>
      </c>
      <c r="T303" s="1095">
        <v>0</v>
      </c>
    </row>
    <row r="304" spans="12:20">
      <c r="L304" s="1134">
        <v>3370</v>
      </c>
      <c r="M304" s="1135" t="s">
        <v>1599</v>
      </c>
      <c r="N304" s="1136">
        <v>1.04</v>
      </c>
      <c r="P304" s="1094">
        <v>1136</v>
      </c>
      <c r="Q304" t="s">
        <v>1640</v>
      </c>
      <c r="R304" t="s">
        <v>248</v>
      </c>
      <c r="S304">
        <v>0</v>
      </c>
      <c r="T304" s="1095">
        <v>0</v>
      </c>
    </row>
    <row r="305" spans="12:20">
      <c r="L305" s="1134">
        <v>3371</v>
      </c>
      <c r="M305" s="1135" t="s">
        <v>1599</v>
      </c>
      <c r="N305" s="1136">
        <v>1.04</v>
      </c>
      <c r="P305" s="1094">
        <v>1137</v>
      </c>
      <c r="Q305" t="s">
        <v>1640</v>
      </c>
      <c r="R305" t="s">
        <v>248</v>
      </c>
      <c r="S305">
        <v>0</v>
      </c>
      <c r="T305" s="1095">
        <v>0</v>
      </c>
    </row>
    <row r="306" spans="12:20">
      <c r="L306" s="1134">
        <v>3373</v>
      </c>
      <c r="M306" s="1135" t="s">
        <v>1599</v>
      </c>
      <c r="N306" s="1136">
        <v>1.04</v>
      </c>
      <c r="P306" s="1094">
        <v>1138</v>
      </c>
      <c r="Q306" t="s">
        <v>1640</v>
      </c>
      <c r="R306" t="s">
        <v>248</v>
      </c>
      <c r="S306">
        <v>0</v>
      </c>
      <c r="T306" s="1095">
        <v>0</v>
      </c>
    </row>
    <row r="307" spans="12:20">
      <c r="L307" s="1134">
        <v>3374</v>
      </c>
      <c r="M307" s="1135" t="s">
        <v>1599</v>
      </c>
      <c r="N307" s="1136">
        <v>1.04</v>
      </c>
      <c r="P307" s="1094">
        <v>1139</v>
      </c>
      <c r="Q307" t="s">
        <v>1640</v>
      </c>
      <c r="R307" t="s">
        <v>248</v>
      </c>
      <c r="S307">
        <v>0</v>
      </c>
      <c r="T307" s="1095">
        <v>0</v>
      </c>
    </row>
    <row r="308" spans="12:20">
      <c r="L308" s="1134">
        <v>3375</v>
      </c>
      <c r="M308" s="1135" t="s">
        <v>1599</v>
      </c>
      <c r="N308" s="1136">
        <v>1.04</v>
      </c>
      <c r="P308" s="1094">
        <v>1140</v>
      </c>
      <c r="Q308" t="s">
        <v>1640</v>
      </c>
      <c r="R308" t="s">
        <v>248</v>
      </c>
      <c r="S308">
        <v>0</v>
      </c>
      <c r="T308" s="1095">
        <v>0</v>
      </c>
    </row>
    <row r="309" spans="12:20">
      <c r="L309" s="1134">
        <v>3377</v>
      </c>
      <c r="M309" s="1135" t="s">
        <v>1599</v>
      </c>
      <c r="N309" s="1136">
        <v>1.04</v>
      </c>
      <c r="P309" s="1094">
        <v>1141</v>
      </c>
      <c r="Q309" t="s">
        <v>1640</v>
      </c>
      <c r="R309" t="s">
        <v>248</v>
      </c>
      <c r="S309">
        <v>0</v>
      </c>
      <c r="T309" s="1095">
        <v>0</v>
      </c>
    </row>
    <row r="310" spans="12:20">
      <c r="L310" s="1134">
        <v>3378</v>
      </c>
      <c r="M310" s="1135" t="s">
        <v>1599</v>
      </c>
      <c r="N310" s="1136">
        <v>1.04</v>
      </c>
      <c r="P310" s="1094">
        <v>1142</v>
      </c>
      <c r="Q310" t="s">
        <v>1640</v>
      </c>
      <c r="R310" t="s">
        <v>248</v>
      </c>
      <c r="S310">
        <v>0</v>
      </c>
      <c r="T310" s="1095">
        <v>0</v>
      </c>
    </row>
    <row r="311" spans="12:20">
      <c r="L311" s="1134">
        <v>3379</v>
      </c>
      <c r="M311" s="1135" t="s">
        <v>1599</v>
      </c>
      <c r="N311" s="1136">
        <v>1.04</v>
      </c>
      <c r="P311" s="1094">
        <v>1143</v>
      </c>
      <c r="Q311" t="s">
        <v>1640</v>
      </c>
      <c r="R311" t="s">
        <v>248</v>
      </c>
      <c r="S311">
        <v>0</v>
      </c>
      <c r="T311" s="1095">
        <v>0</v>
      </c>
    </row>
    <row r="312" spans="12:20">
      <c r="L312" s="1134">
        <v>3380</v>
      </c>
      <c r="M312" s="1135" t="s">
        <v>1599</v>
      </c>
      <c r="N312" s="1136">
        <v>1.04</v>
      </c>
      <c r="P312" s="1094">
        <v>1144</v>
      </c>
      <c r="Q312" t="s">
        <v>1640</v>
      </c>
      <c r="R312" t="s">
        <v>248</v>
      </c>
      <c r="S312">
        <v>0</v>
      </c>
      <c r="T312" s="1095">
        <v>0</v>
      </c>
    </row>
    <row r="313" spans="12:20">
      <c r="L313" s="1134">
        <v>3381</v>
      </c>
      <c r="M313" s="1135" t="s">
        <v>1599</v>
      </c>
      <c r="N313" s="1136">
        <v>1.04</v>
      </c>
      <c r="P313" s="1094">
        <v>1145</v>
      </c>
      <c r="Q313" t="s">
        <v>1640</v>
      </c>
      <c r="R313" t="s">
        <v>248</v>
      </c>
      <c r="S313">
        <v>0</v>
      </c>
      <c r="T313" s="1095">
        <v>0</v>
      </c>
    </row>
    <row r="314" spans="12:20">
      <c r="L314" s="1134">
        <v>3384</v>
      </c>
      <c r="M314" s="1135" t="s">
        <v>1599</v>
      </c>
      <c r="N314" s="1136">
        <v>1.04</v>
      </c>
      <c r="P314" s="1094">
        <v>1146</v>
      </c>
      <c r="Q314" t="s">
        <v>1640</v>
      </c>
      <c r="R314" t="s">
        <v>248</v>
      </c>
      <c r="S314">
        <v>0</v>
      </c>
      <c r="T314" s="1095">
        <v>0</v>
      </c>
    </row>
    <row r="315" spans="12:20">
      <c r="L315" s="1134">
        <v>3385</v>
      </c>
      <c r="M315" s="1135" t="s">
        <v>1599</v>
      </c>
      <c r="N315" s="1136">
        <v>1.04</v>
      </c>
      <c r="P315" s="1094">
        <v>1147</v>
      </c>
      <c r="Q315" t="s">
        <v>1640</v>
      </c>
      <c r="R315" t="s">
        <v>248</v>
      </c>
      <c r="S315">
        <v>0</v>
      </c>
      <c r="T315" s="1095">
        <v>0</v>
      </c>
    </row>
    <row r="316" spans="12:20">
      <c r="L316" s="1134">
        <v>3387</v>
      </c>
      <c r="M316" s="1135" t="s">
        <v>1599</v>
      </c>
      <c r="N316" s="1136">
        <v>1.04</v>
      </c>
      <c r="P316" s="1094">
        <v>1148</v>
      </c>
      <c r="Q316" t="s">
        <v>1640</v>
      </c>
      <c r="R316" t="s">
        <v>248</v>
      </c>
      <c r="S316">
        <v>0</v>
      </c>
      <c r="T316" s="1095">
        <v>0</v>
      </c>
    </row>
    <row r="317" spans="12:20">
      <c r="L317" s="1134">
        <v>3388</v>
      </c>
      <c r="M317" s="1135" t="s">
        <v>1599</v>
      </c>
      <c r="N317" s="1136">
        <v>1.04</v>
      </c>
      <c r="P317" s="1094">
        <v>1149</v>
      </c>
      <c r="Q317" t="s">
        <v>1640</v>
      </c>
      <c r="R317" t="s">
        <v>248</v>
      </c>
      <c r="S317">
        <v>0</v>
      </c>
      <c r="T317" s="1095">
        <v>0</v>
      </c>
    </row>
    <row r="318" spans="12:20">
      <c r="L318" s="1134">
        <v>3390</v>
      </c>
      <c r="M318" s="1135" t="s">
        <v>1599</v>
      </c>
      <c r="N318" s="1136">
        <v>1.04</v>
      </c>
      <c r="P318" s="1094">
        <v>1150</v>
      </c>
      <c r="Q318" t="s">
        <v>1640</v>
      </c>
      <c r="R318" t="s">
        <v>248</v>
      </c>
      <c r="S318">
        <v>0</v>
      </c>
      <c r="T318" s="1095">
        <v>0</v>
      </c>
    </row>
    <row r="319" spans="12:20">
      <c r="L319" s="1134">
        <v>3391</v>
      </c>
      <c r="M319" s="1135" t="s">
        <v>1599</v>
      </c>
      <c r="N319" s="1136">
        <v>1.04</v>
      </c>
      <c r="P319" s="1094">
        <v>1151</v>
      </c>
      <c r="Q319" t="s">
        <v>1640</v>
      </c>
      <c r="R319" t="s">
        <v>248</v>
      </c>
      <c r="S319">
        <v>0</v>
      </c>
      <c r="T319" s="1095">
        <v>0</v>
      </c>
    </row>
    <row r="320" spans="12:20">
      <c r="L320" s="1134">
        <v>3392</v>
      </c>
      <c r="M320" s="1135" t="s">
        <v>1599</v>
      </c>
      <c r="N320" s="1136">
        <v>1.04</v>
      </c>
      <c r="P320" s="1094">
        <v>1152</v>
      </c>
      <c r="Q320" t="s">
        <v>1640</v>
      </c>
      <c r="R320" t="s">
        <v>248</v>
      </c>
      <c r="S320">
        <v>0</v>
      </c>
      <c r="T320" s="1095">
        <v>0</v>
      </c>
    </row>
    <row r="321" spans="12:20">
      <c r="L321" s="1134">
        <v>3393</v>
      </c>
      <c r="M321" s="1135" t="s">
        <v>1599</v>
      </c>
      <c r="N321" s="1136">
        <v>1.04</v>
      </c>
      <c r="P321" s="1094">
        <v>1153</v>
      </c>
      <c r="Q321" t="s">
        <v>1640</v>
      </c>
      <c r="R321" t="s">
        <v>248</v>
      </c>
      <c r="S321">
        <v>0</v>
      </c>
      <c r="T321" s="1095">
        <v>0</v>
      </c>
    </row>
    <row r="322" spans="12:20">
      <c r="L322" s="1134">
        <v>3395</v>
      </c>
      <c r="M322" s="1135" t="s">
        <v>1599</v>
      </c>
      <c r="N322" s="1136">
        <v>1.04</v>
      </c>
      <c r="P322" s="1094">
        <v>1154</v>
      </c>
      <c r="Q322" t="s">
        <v>1640</v>
      </c>
      <c r="R322" t="s">
        <v>248</v>
      </c>
      <c r="S322">
        <v>0</v>
      </c>
      <c r="T322" s="1095">
        <v>0</v>
      </c>
    </row>
    <row r="323" spans="12:20">
      <c r="L323" s="1134">
        <v>3396</v>
      </c>
      <c r="M323" s="1135" t="s">
        <v>1599</v>
      </c>
      <c r="N323" s="1136">
        <v>1.04</v>
      </c>
      <c r="P323" s="1094">
        <v>1155</v>
      </c>
      <c r="Q323" t="s">
        <v>1640</v>
      </c>
      <c r="R323" t="s">
        <v>248</v>
      </c>
      <c r="S323">
        <v>0</v>
      </c>
      <c r="T323" s="1095">
        <v>0</v>
      </c>
    </row>
    <row r="324" spans="12:20">
      <c r="L324" s="1134">
        <v>3400</v>
      </c>
      <c r="M324" s="1135" t="s">
        <v>1599</v>
      </c>
      <c r="N324" s="1136">
        <v>1.04</v>
      </c>
      <c r="P324" s="1094">
        <v>1156</v>
      </c>
      <c r="Q324" t="s">
        <v>1640</v>
      </c>
      <c r="R324" t="s">
        <v>248</v>
      </c>
      <c r="S324">
        <v>0</v>
      </c>
      <c r="T324" s="1095">
        <v>0</v>
      </c>
    </row>
    <row r="325" spans="12:20">
      <c r="L325" s="1134">
        <v>3401</v>
      </c>
      <c r="M325" s="1135" t="s">
        <v>1599</v>
      </c>
      <c r="N325" s="1136">
        <v>1.04</v>
      </c>
      <c r="P325" s="1094">
        <v>1157</v>
      </c>
      <c r="Q325" t="s">
        <v>1640</v>
      </c>
      <c r="R325" t="s">
        <v>248</v>
      </c>
      <c r="S325">
        <v>0</v>
      </c>
      <c r="T325" s="1095">
        <v>0</v>
      </c>
    </row>
    <row r="326" spans="12:20">
      <c r="L326" s="1134">
        <v>3402</v>
      </c>
      <c r="M326" s="1135" t="s">
        <v>1599</v>
      </c>
      <c r="N326" s="1136">
        <v>1.04</v>
      </c>
      <c r="P326" s="1094">
        <v>1158</v>
      </c>
      <c r="Q326" t="s">
        <v>1640</v>
      </c>
      <c r="R326" t="s">
        <v>248</v>
      </c>
      <c r="S326">
        <v>0</v>
      </c>
      <c r="T326" s="1095">
        <v>0</v>
      </c>
    </row>
    <row r="327" spans="12:20">
      <c r="L327" s="1134">
        <v>3407</v>
      </c>
      <c r="M327" s="1135" t="s">
        <v>1599</v>
      </c>
      <c r="N327" s="1136">
        <v>1.04</v>
      </c>
      <c r="P327" s="1094">
        <v>1159</v>
      </c>
      <c r="Q327" t="s">
        <v>1640</v>
      </c>
      <c r="R327" t="s">
        <v>248</v>
      </c>
      <c r="S327">
        <v>0</v>
      </c>
      <c r="T327" s="1095">
        <v>0</v>
      </c>
    </row>
    <row r="328" spans="12:20">
      <c r="L328" s="1134">
        <v>3409</v>
      </c>
      <c r="M328" s="1135" t="s">
        <v>1599</v>
      </c>
      <c r="N328" s="1136">
        <v>1.04</v>
      </c>
      <c r="P328" s="1094">
        <v>1160</v>
      </c>
      <c r="Q328" t="s">
        <v>1640</v>
      </c>
      <c r="R328" t="s">
        <v>248</v>
      </c>
      <c r="S328">
        <v>0</v>
      </c>
      <c r="T328" s="1095">
        <v>0</v>
      </c>
    </row>
    <row r="329" spans="12:20">
      <c r="L329" s="1134">
        <v>3412</v>
      </c>
      <c r="M329" s="1135" t="s">
        <v>1599</v>
      </c>
      <c r="N329" s="1136">
        <v>1.04</v>
      </c>
      <c r="P329" s="1094">
        <v>1161</v>
      </c>
      <c r="Q329" t="s">
        <v>1640</v>
      </c>
      <c r="R329" t="s">
        <v>248</v>
      </c>
      <c r="S329">
        <v>0</v>
      </c>
      <c r="T329" s="1095">
        <v>0</v>
      </c>
    </row>
    <row r="330" spans="12:20">
      <c r="L330" s="1134">
        <v>3413</v>
      </c>
      <c r="M330" s="1135" t="s">
        <v>1599</v>
      </c>
      <c r="N330" s="1136">
        <v>1.04</v>
      </c>
      <c r="P330" s="1094">
        <v>1162</v>
      </c>
      <c r="Q330" t="s">
        <v>1640</v>
      </c>
      <c r="R330" t="s">
        <v>248</v>
      </c>
      <c r="S330">
        <v>0</v>
      </c>
      <c r="T330" s="1095">
        <v>0</v>
      </c>
    </row>
    <row r="331" spans="12:20">
      <c r="L331" s="1134">
        <v>3414</v>
      </c>
      <c r="M331" s="1135" t="s">
        <v>1599</v>
      </c>
      <c r="N331" s="1136">
        <v>1.04</v>
      </c>
      <c r="P331" s="1094">
        <v>1163</v>
      </c>
      <c r="Q331" t="s">
        <v>1640</v>
      </c>
      <c r="R331" t="s">
        <v>248</v>
      </c>
      <c r="S331">
        <v>0</v>
      </c>
      <c r="T331" s="1095">
        <v>0</v>
      </c>
    </row>
    <row r="332" spans="12:20">
      <c r="L332" s="1134">
        <v>3415</v>
      </c>
      <c r="M332" s="1135" t="s">
        <v>1599</v>
      </c>
      <c r="N332" s="1136">
        <v>1.04</v>
      </c>
      <c r="P332" s="1094">
        <v>1164</v>
      </c>
      <c r="Q332" t="s">
        <v>1640</v>
      </c>
      <c r="R332" t="s">
        <v>248</v>
      </c>
      <c r="S332">
        <v>0</v>
      </c>
      <c r="T332" s="1095">
        <v>0</v>
      </c>
    </row>
    <row r="333" spans="12:20">
      <c r="L333" s="1134">
        <v>3418</v>
      </c>
      <c r="M333" s="1135" t="s">
        <v>1599</v>
      </c>
      <c r="N333" s="1136">
        <v>1.04</v>
      </c>
      <c r="P333" s="1094">
        <v>1165</v>
      </c>
      <c r="Q333" t="s">
        <v>1640</v>
      </c>
      <c r="R333" t="s">
        <v>248</v>
      </c>
      <c r="S333">
        <v>0</v>
      </c>
      <c r="T333" s="1095">
        <v>0</v>
      </c>
    </row>
    <row r="334" spans="12:20">
      <c r="L334" s="1134">
        <v>3419</v>
      </c>
      <c r="M334" s="1135" t="s">
        <v>1599</v>
      </c>
      <c r="N334" s="1136">
        <v>1.04</v>
      </c>
      <c r="P334" s="1094">
        <v>1166</v>
      </c>
      <c r="Q334" t="s">
        <v>1640</v>
      </c>
      <c r="R334" t="s">
        <v>248</v>
      </c>
      <c r="S334">
        <v>0</v>
      </c>
      <c r="T334" s="1095">
        <v>0</v>
      </c>
    </row>
    <row r="335" spans="12:20">
      <c r="L335" s="1134">
        <v>3420</v>
      </c>
      <c r="M335" s="1135" t="s">
        <v>1599</v>
      </c>
      <c r="N335" s="1136">
        <v>1.04</v>
      </c>
      <c r="P335" s="1094">
        <v>1167</v>
      </c>
      <c r="Q335" t="s">
        <v>1640</v>
      </c>
      <c r="R335" t="s">
        <v>248</v>
      </c>
      <c r="S335">
        <v>0</v>
      </c>
      <c r="T335" s="1095">
        <v>0</v>
      </c>
    </row>
    <row r="336" spans="12:20">
      <c r="L336" s="1134">
        <v>3423</v>
      </c>
      <c r="M336" s="1135" t="s">
        <v>1599</v>
      </c>
      <c r="N336" s="1136">
        <v>1.04</v>
      </c>
      <c r="P336" s="1094">
        <v>1168</v>
      </c>
      <c r="Q336" t="s">
        <v>1640</v>
      </c>
      <c r="R336" t="s">
        <v>248</v>
      </c>
      <c r="S336">
        <v>0</v>
      </c>
      <c r="T336" s="1095">
        <v>0</v>
      </c>
    </row>
    <row r="337" spans="12:20">
      <c r="L337" s="1134">
        <v>3424</v>
      </c>
      <c r="M337" s="1135" t="s">
        <v>1599</v>
      </c>
      <c r="N337" s="1136">
        <v>1.04</v>
      </c>
      <c r="P337" s="1094">
        <v>1169</v>
      </c>
      <c r="Q337" t="s">
        <v>1640</v>
      </c>
      <c r="R337" t="s">
        <v>248</v>
      </c>
      <c r="S337">
        <v>0</v>
      </c>
      <c r="T337" s="1095">
        <v>0</v>
      </c>
    </row>
    <row r="338" spans="12:20">
      <c r="L338" s="1134">
        <v>3427</v>
      </c>
      <c r="M338" s="1135" t="s">
        <v>1334</v>
      </c>
      <c r="N338" s="1136">
        <v>0.98</v>
      </c>
      <c r="P338" s="1094">
        <v>1170</v>
      </c>
      <c r="Q338" t="s">
        <v>1640</v>
      </c>
      <c r="R338" t="s">
        <v>248</v>
      </c>
      <c r="S338">
        <v>0</v>
      </c>
      <c r="T338" s="1095">
        <v>0</v>
      </c>
    </row>
    <row r="339" spans="12:20">
      <c r="L339" s="1134">
        <v>3428</v>
      </c>
      <c r="M339" s="1135" t="s">
        <v>1334</v>
      </c>
      <c r="N339" s="1136">
        <v>0.98</v>
      </c>
      <c r="P339" s="1094">
        <v>1171</v>
      </c>
      <c r="Q339" t="s">
        <v>1640</v>
      </c>
      <c r="R339" t="s">
        <v>248</v>
      </c>
      <c r="S339">
        <v>0</v>
      </c>
      <c r="T339" s="1095">
        <v>0</v>
      </c>
    </row>
    <row r="340" spans="12:20">
      <c r="L340" s="1134">
        <v>3429</v>
      </c>
      <c r="M340" s="1135" t="s">
        <v>1334</v>
      </c>
      <c r="N340" s="1136">
        <v>0.98</v>
      </c>
      <c r="P340" s="1094">
        <v>1172</v>
      </c>
      <c r="Q340" t="s">
        <v>1640</v>
      </c>
      <c r="R340" t="s">
        <v>248</v>
      </c>
      <c r="S340">
        <v>0</v>
      </c>
      <c r="T340" s="1095">
        <v>0</v>
      </c>
    </row>
    <row r="341" spans="12:20">
      <c r="L341" s="1134">
        <v>3430</v>
      </c>
      <c r="M341" s="1135" t="s">
        <v>1334</v>
      </c>
      <c r="N341" s="1136">
        <v>0.98</v>
      </c>
      <c r="P341" s="1094">
        <v>1173</v>
      </c>
      <c r="Q341" t="s">
        <v>1640</v>
      </c>
      <c r="R341" t="s">
        <v>248</v>
      </c>
      <c r="S341">
        <v>0</v>
      </c>
      <c r="T341" s="1095">
        <v>0</v>
      </c>
    </row>
    <row r="342" spans="12:20">
      <c r="L342" s="1134">
        <v>3431</v>
      </c>
      <c r="M342" s="1135" t="s">
        <v>1334</v>
      </c>
      <c r="N342" s="1136">
        <v>0.98</v>
      </c>
      <c r="P342" s="1094">
        <v>1174</v>
      </c>
      <c r="Q342" t="s">
        <v>1640</v>
      </c>
      <c r="R342" t="s">
        <v>248</v>
      </c>
      <c r="S342">
        <v>0</v>
      </c>
      <c r="T342" s="1095">
        <v>0</v>
      </c>
    </row>
    <row r="343" spans="12:20">
      <c r="L343" s="1134">
        <v>3432</v>
      </c>
      <c r="M343" s="1135" t="s">
        <v>1334</v>
      </c>
      <c r="N343" s="1136">
        <v>0.98</v>
      </c>
      <c r="P343" s="1094">
        <v>1175</v>
      </c>
      <c r="Q343" t="s">
        <v>1640</v>
      </c>
      <c r="R343" t="s">
        <v>248</v>
      </c>
      <c r="S343">
        <v>0</v>
      </c>
      <c r="T343" s="1095">
        <v>0</v>
      </c>
    </row>
    <row r="344" spans="12:20">
      <c r="L344" s="1134">
        <v>3433</v>
      </c>
      <c r="M344" s="1135" t="s">
        <v>1334</v>
      </c>
      <c r="N344" s="1136">
        <v>0.98</v>
      </c>
      <c r="P344" s="1094">
        <v>1176</v>
      </c>
      <c r="Q344" t="s">
        <v>1640</v>
      </c>
      <c r="R344" t="s">
        <v>248</v>
      </c>
      <c r="S344">
        <v>0</v>
      </c>
      <c r="T344" s="1095">
        <v>0</v>
      </c>
    </row>
    <row r="345" spans="12:20">
      <c r="L345" s="1134">
        <v>3434</v>
      </c>
      <c r="M345" s="1135" t="s">
        <v>1334</v>
      </c>
      <c r="N345" s="1136">
        <v>0.98</v>
      </c>
      <c r="P345" s="1094">
        <v>1177</v>
      </c>
      <c r="Q345" t="s">
        <v>1640</v>
      </c>
      <c r="R345" t="s">
        <v>248</v>
      </c>
      <c r="S345">
        <v>0</v>
      </c>
      <c r="T345" s="1095">
        <v>0</v>
      </c>
    </row>
    <row r="346" spans="12:20">
      <c r="L346" s="1134">
        <v>3435</v>
      </c>
      <c r="M346" s="1135" t="s">
        <v>1599</v>
      </c>
      <c r="N346" s="1136">
        <v>1.04</v>
      </c>
      <c r="P346" s="1094">
        <v>1178</v>
      </c>
      <c r="Q346" t="s">
        <v>1640</v>
      </c>
      <c r="R346" t="s">
        <v>248</v>
      </c>
      <c r="S346">
        <v>0</v>
      </c>
      <c r="T346" s="1095">
        <v>0</v>
      </c>
    </row>
    <row r="347" spans="12:20">
      <c r="L347" s="1134">
        <v>3437</v>
      </c>
      <c r="M347" s="1135" t="s">
        <v>1599</v>
      </c>
      <c r="N347" s="1136">
        <v>1.04</v>
      </c>
      <c r="P347" s="1094">
        <v>1179</v>
      </c>
      <c r="Q347" t="s">
        <v>1640</v>
      </c>
      <c r="R347" t="s">
        <v>248</v>
      </c>
      <c r="S347">
        <v>0</v>
      </c>
      <c r="T347" s="1095">
        <v>0</v>
      </c>
    </row>
    <row r="348" spans="12:20">
      <c r="L348" s="1134">
        <v>3438</v>
      </c>
      <c r="M348" s="1135" t="s">
        <v>1334</v>
      </c>
      <c r="N348" s="1136">
        <v>0.98</v>
      </c>
      <c r="P348" s="1094">
        <v>1180</v>
      </c>
      <c r="Q348" t="s">
        <v>1640</v>
      </c>
      <c r="R348" t="s">
        <v>248</v>
      </c>
      <c r="S348">
        <v>0</v>
      </c>
      <c r="T348" s="1095">
        <v>0</v>
      </c>
    </row>
    <row r="349" spans="12:20">
      <c r="L349" s="1134">
        <v>3440</v>
      </c>
      <c r="M349" s="1135" t="s">
        <v>1599</v>
      </c>
      <c r="N349" s="1136">
        <v>1.04</v>
      </c>
      <c r="P349" s="1094">
        <v>1181</v>
      </c>
      <c r="Q349" t="s">
        <v>1640</v>
      </c>
      <c r="R349" t="s">
        <v>248</v>
      </c>
      <c r="S349">
        <v>0</v>
      </c>
      <c r="T349" s="1095">
        <v>0</v>
      </c>
    </row>
    <row r="350" spans="12:20">
      <c r="L350" s="1134">
        <v>3441</v>
      </c>
      <c r="M350" s="1135" t="s">
        <v>1334</v>
      </c>
      <c r="N350" s="1136">
        <v>0.98</v>
      </c>
      <c r="P350" s="1094">
        <v>1182</v>
      </c>
      <c r="Q350" t="s">
        <v>1640</v>
      </c>
      <c r="R350" t="s">
        <v>248</v>
      </c>
      <c r="S350">
        <v>0</v>
      </c>
      <c r="T350" s="1095">
        <v>0</v>
      </c>
    </row>
    <row r="351" spans="12:20">
      <c r="L351" s="1134">
        <v>3442</v>
      </c>
      <c r="M351" s="1135" t="s">
        <v>1599</v>
      </c>
      <c r="N351" s="1136">
        <v>1.04</v>
      </c>
      <c r="P351" s="1094">
        <v>1183</v>
      </c>
      <c r="Q351" t="s">
        <v>1640</v>
      </c>
      <c r="R351" t="s">
        <v>248</v>
      </c>
      <c r="S351">
        <v>0</v>
      </c>
      <c r="T351" s="1095">
        <v>0</v>
      </c>
    </row>
    <row r="352" spans="12:20">
      <c r="L352" s="1134">
        <v>3444</v>
      </c>
      <c r="M352" s="1135" t="s">
        <v>1599</v>
      </c>
      <c r="N352" s="1136">
        <v>1.04</v>
      </c>
      <c r="P352" s="1094">
        <v>1184</v>
      </c>
      <c r="Q352" t="s">
        <v>1640</v>
      </c>
      <c r="R352" t="s">
        <v>248</v>
      </c>
      <c r="S352">
        <v>0</v>
      </c>
      <c r="T352" s="1095">
        <v>0</v>
      </c>
    </row>
    <row r="353" spans="12:20">
      <c r="L353" s="1134">
        <v>3446</v>
      </c>
      <c r="M353" s="1135" t="s">
        <v>1599</v>
      </c>
      <c r="N353" s="1136">
        <v>1.04</v>
      </c>
      <c r="P353" s="1094">
        <v>1185</v>
      </c>
      <c r="Q353" t="s">
        <v>1640</v>
      </c>
      <c r="R353" t="s">
        <v>248</v>
      </c>
      <c r="S353">
        <v>0</v>
      </c>
      <c r="T353" s="1095">
        <v>0</v>
      </c>
    </row>
    <row r="354" spans="12:20">
      <c r="L354" s="1134">
        <v>3447</v>
      </c>
      <c r="M354" s="1135" t="s">
        <v>1599</v>
      </c>
      <c r="N354" s="1136">
        <v>1.04</v>
      </c>
      <c r="P354" s="1094">
        <v>1186</v>
      </c>
      <c r="Q354" t="s">
        <v>1640</v>
      </c>
      <c r="R354" t="s">
        <v>248</v>
      </c>
      <c r="S354">
        <v>0</v>
      </c>
      <c r="T354" s="1095">
        <v>0</v>
      </c>
    </row>
    <row r="355" spans="12:20">
      <c r="L355" s="1134">
        <v>3448</v>
      </c>
      <c r="M355" s="1135" t="s">
        <v>1599</v>
      </c>
      <c r="N355" s="1136">
        <v>1.04</v>
      </c>
      <c r="P355" s="1094">
        <v>1187</v>
      </c>
      <c r="Q355" t="s">
        <v>1640</v>
      </c>
      <c r="R355" t="s">
        <v>248</v>
      </c>
      <c r="S355">
        <v>0</v>
      </c>
      <c r="T355" s="1095">
        <v>0</v>
      </c>
    </row>
    <row r="356" spans="12:20">
      <c r="L356" s="1134">
        <v>3450</v>
      </c>
      <c r="M356" s="1135" t="s">
        <v>1599</v>
      </c>
      <c r="N356" s="1136">
        <v>1.04</v>
      </c>
      <c r="P356" s="1094">
        <v>1188</v>
      </c>
      <c r="Q356" t="s">
        <v>1640</v>
      </c>
      <c r="R356" t="s">
        <v>248</v>
      </c>
      <c r="S356">
        <v>0</v>
      </c>
      <c r="T356" s="1095">
        <v>0</v>
      </c>
    </row>
    <row r="357" spans="12:20">
      <c r="L357" s="1134">
        <v>3451</v>
      </c>
      <c r="M357" s="1135" t="s">
        <v>1599</v>
      </c>
      <c r="N357" s="1136">
        <v>1.04</v>
      </c>
      <c r="P357" s="1094">
        <v>1189</v>
      </c>
      <c r="Q357" t="s">
        <v>1640</v>
      </c>
      <c r="R357" t="s">
        <v>248</v>
      </c>
      <c r="S357">
        <v>0</v>
      </c>
      <c r="T357" s="1095">
        <v>0</v>
      </c>
    </row>
    <row r="358" spans="12:20">
      <c r="L358" s="1134">
        <v>3453</v>
      </c>
      <c r="M358" s="1135" t="s">
        <v>1599</v>
      </c>
      <c r="N358" s="1136">
        <v>1.04</v>
      </c>
      <c r="P358" s="1094">
        <v>1190</v>
      </c>
      <c r="Q358" t="s">
        <v>1640</v>
      </c>
      <c r="R358" t="s">
        <v>248</v>
      </c>
      <c r="S358">
        <v>0</v>
      </c>
      <c r="T358" s="1095">
        <v>0</v>
      </c>
    </row>
    <row r="359" spans="12:20">
      <c r="L359" s="1134">
        <v>3458</v>
      </c>
      <c r="M359" s="1135" t="s">
        <v>1599</v>
      </c>
      <c r="N359" s="1136">
        <v>1.04</v>
      </c>
      <c r="P359" s="1094">
        <v>1191</v>
      </c>
      <c r="Q359" t="s">
        <v>1640</v>
      </c>
      <c r="R359" t="s">
        <v>248</v>
      </c>
      <c r="S359">
        <v>0</v>
      </c>
      <c r="T359" s="1095">
        <v>0</v>
      </c>
    </row>
    <row r="360" spans="12:20">
      <c r="L360" s="1134">
        <v>3460</v>
      </c>
      <c r="M360" s="1135" t="s">
        <v>1599</v>
      </c>
      <c r="N360" s="1136">
        <v>1.04</v>
      </c>
      <c r="P360" s="1094">
        <v>1192</v>
      </c>
      <c r="Q360" t="s">
        <v>1640</v>
      </c>
      <c r="R360" t="s">
        <v>248</v>
      </c>
      <c r="S360">
        <v>0</v>
      </c>
      <c r="T360" s="1095">
        <v>0</v>
      </c>
    </row>
    <row r="361" spans="12:20">
      <c r="L361" s="1134">
        <v>3461</v>
      </c>
      <c r="M361" s="1135" t="s">
        <v>1599</v>
      </c>
      <c r="N361" s="1136">
        <v>1.04</v>
      </c>
      <c r="P361" s="1094">
        <v>1193</v>
      </c>
      <c r="Q361" t="s">
        <v>1640</v>
      </c>
      <c r="R361" t="s">
        <v>248</v>
      </c>
      <c r="S361">
        <v>0</v>
      </c>
      <c r="T361" s="1095">
        <v>0</v>
      </c>
    </row>
    <row r="362" spans="12:20">
      <c r="L362" s="1134">
        <v>3462</v>
      </c>
      <c r="M362" s="1135" t="s">
        <v>1599</v>
      </c>
      <c r="N362" s="1136">
        <v>1.04</v>
      </c>
      <c r="P362" s="1094">
        <v>1194</v>
      </c>
      <c r="Q362" t="s">
        <v>1640</v>
      </c>
      <c r="R362" t="s">
        <v>248</v>
      </c>
      <c r="S362">
        <v>0</v>
      </c>
      <c r="T362" s="1095">
        <v>0</v>
      </c>
    </row>
    <row r="363" spans="12:20">
      <c r="L363" s="1134">
        <v>3463</v>
      </c>
      <c r="M363" s="1135" t="s">
        <v>1599</v>
      </c>
      <c r="N363" s="1136">
        <v>1.04</v>
      </c>
      <c r="P363" s="1094">
        <v>1195</v>
      </c>
      <c r="Q363" t="s">
        <v>1640</v>
      </c>
      <c r="R363" t="s">
        <v>248</v>
      </c>
      <c r="S363">
        <v>0</v>
      </c>
      <c r="T363" s="1095">
        <v>0</v>
      </c>
    </row>
    <row r="364" spans="12:20">
      <c r="L364" s="1134">
        <v>3464</v>
      </c>
      <c r="M364" s="1135" t="s">
        <v>1599</v>
      </c>
      <c r="N364" s="1136">
        <v>1.04</v>
      </c>
      <c r="P364" s="1094">
        <v>1196</v>
      </c>
      <c r="Q364" t="s">
        <v>1640</v>
      </c>
      <c r="R364" t="s">
        <v>248</v>
      </c>
      <c r="S364">
        <v>0</v>
      </c>
      <c r="T364" s="1095">
        <v>0</v>
      </c>
    </row>
    <row r="365" spans="12:20">
      <c r="L365" s="1134">
        <v>3465</v>
      </c>
      <c r="M365" s="1135" t="s">
        <v>1599</v>
      </c>
      <c r="N365" s="1136">
        <v>1.04</v>
      </c>
      <c r="P365" s="1094">
        <v>1197</v>
      </c>
      <c r="Q365" t="s">
        <v>1640</v>
      </c>
      <c r="R365" t="s">
        <v>248</v>
      </c>
      <c r="S365">
        <v>0</v>
      </c>
      <c r="T365" s="1095">
        <v>0</v>
      </c>
    </row>
    <row r="366" spans="12:20">
      <c r="L366" s="1134">
        <v>3467</v>
      </c>
      <c r="M366" s="1135" t="s">
        <v>1599</v>
      </c>
      <c r="N366" s="1136">
        <v>1.04</v>
      </c>
      <c r="P366" s="1094">
        <v>1198</v>
      </c>
      <c r="Q366" t="s">
        <v>1640</v>
      </c>
      <c r="R366" t="s">
        <v>248</v>
      </c>
      <c r="S366">
        <v>0</v>
      </c>
      <c r="T366" s="1095">
        <v>0</v>
      </c>
    </row>
    <row r="367" spans="12:20">
      <c r="L367" s="1134">
        <v>3468</v>
      </c>
      <c r="M367" s="1135" t="s">
        <v>1599</v>
      </c>
      <c r="N367" s="1136">
        <v>1.04</v>
      </c>
      <c r="P367" s="1094">
        <v>1199</v>
      </c>
      <c r="Q367" t="s">
        <v>1640</v>
      </c>
      <c r="R367" t="s">
        <v>248</v>
      </c>
      <c r="S367">
        <v>0</v>
      </c>
      <c r="T367" s="1095">
        <v>0</v>
      </c>
    </row>
    <row r="368" spans="12:20">
      <c r="L368" s="1134">
        <v>3469</v>
      </c>
      <c r="M368" s="1135" t="s">
        <v>1599</v>
      </c>
      <c r="N368" s="1136">
        <v>1.04</v>
      </c>
      <c r="P368" s="1094">
        <v>1200</v>
      </c>
      <c r="Q368" t="s">
        <v>1640</v>
      </c>
      <c r="R368" t="s">
        <v>248</v>
      </c>
      <c r="S368">
        <v>0</v>
      </c>
      <c r="T368" s="1095">
        <v>0</v>
      </c>
    </row>
    <row r="369" spans="12:20">
      <c r="L369" s="1134">
        <v>3472</v>
      </c>
      <c r="M369" s="1135" t="s">
        <v>1599</v>
      </c>
      <c r="N369" s="1136">
        <v>1.04</v>
      </c>
      <c r="P369" s="1094">
        <v>1201</v>
      </c>
      <c r="Q369" t="s">
        <v>1640</v>
      </c>
      <c r="R369" t="s">
        <v>248</v>
      </c>
      <c r="S369">
        <v>0</v>
      </c>
      <c r="T369" s="1095">
        <v>0</v>
      </c>
    </row>
    <row r="370" spans="12:20">
      <c r="L370" s="1134">
        <v>3475</v>
      </c>
      <c r="M370" s="1135" t="s">
        <v>1599</v>
      </c>
      <c r="N370" s="1136">
        <v>1.04</v>
      </c>
      <c r="P370" s="1094">
        <v>1202</v>
      </c>
      <c r="Q370" t="s">
        <v>1640</v>
      </c>
      <c r="R370" t="s">
        <v>248</v>
      </c>
      <c r="S370">
        <v>0</v>
      </c>
      <c r="T370" s="1095">
        <v>0</v>
      </c>
    </row>
    <row r="371" spans="12:20">
      <c r="L371" s="1134">
        <v>3477</v>
      </c>
      <c r="M371" s="1135" t="s">
        <v>1599</v>
      </c>
      <c r="N371" s="1136">
        <v>1.04</v>
      </c>
      <c r="P371" s="1094">
        <v>1203</v>
      </c>
      <c r="Q371" t="s">
        <v>1640</v>
      </c>
      <c r="R371" t="s">
        <v>248</v>
      </c>
      <c r="S371">
        <v>0</v>
      </c>
      <c r="T371" s="1095">
        <v>0</v>
      </c>
    </row>
    <row r="372" spans="12:20">
      <c r="L372" s="1134">
        <v>3478</v>
      </c>
      <c r="M372" s="1135" t="s">
        <v>1599</v>
      </c>
      <c r="N372" s="1136">
        <v>1.04</v>
      </c>
      <c r="P372" s="1094">
        <v>1204</v>
      </c>
      <c r="Q372" t="s">
        <v>1640</v>
      </c>
      <c r="R372" t="s">
        <v>248</v>
      </c>
      <c r="S372">
        <v>0</v>
      </c>
      <c r="T372" s="1095">
        <v>0</v>
      </c>
    </row>
    <row r="373" spans="12:20">
      <c r="L373" s="1134">
        <v>3480</v>
      </c>
      <c r="M373" s="1135" t="s">
        <v>1599</v>
      </c>
      <c r="N373" s="1136">
        <v>1.04</v>
      </c>
      <c r="P373" s="1094">
        <v>1205</v>
      </c>
      <c r="Q373" t="s">
        <v>1640</v>
      </c>
      <c r="R373" t="s">
        <v>248</v>
      </c>
      <c r="S373">
        <v>0</v>
      </c>
      <c r="T373" s="1095">
        <v>0</v>
      </c>
    </row>
    <row r="374" spans="12:20">
      <c r="L374" s="1134">
        <v>3482</v>
      </c>
      <c r="M374" s="1135" t="s">
        <v>1599</v>
      </c>
      <c r="N374" s="1136">
        <v>1.04</v>
      </c>
      <c r="P374" s="1094">
        <v>1206</v>
      </c>
      <c r="Q374" t="s">
        <v>1640</v>
      </c>
      <c r="R374" t="s">
        <v>248</v>
      </c>
      <c r="S374">
        <v>0</v>
      </c>
      <c r="T374" s="1095">
        <v>0</v>
      </c>
    </row>
    <row r="375" spans="12:20">
      <c r="L375" s="1134">
        <v>3483</v>
      </c>
      <c r="M375" s="1135" t="s">
        <v>1599</v>
      </c>
      <c r="N375" s="1136">
        <v>1.04</v>
      </c>
      <c r="P375" s="1094">
        <v>1207</v>
      </c>
      <c r="Q375" t="s">
        <v>1640</v>
      </c>
      <c r="R375" t="s">
        <v>248</v>
      </c>
      <c r="S375">
        <v>0</v>
      </c>
      <c r="T375" s="1095">
        <v>0</v>
      </c>
    </row>
    <row r="376" spans="12:20">
      <c r="L376" s="1134">
        <v>3485</v>
      </c>
      <c r="M376" s="1135" t="s">
        <v>1599</v>
      </c>
      <c r="N376" s="1136">
        <v>1.04</v>
      </c>
      <c r="P376" s="1094">
        <v>1208</v>
      </c>
      <c r="Q376" t="s">
        <v>1641</v>
      </c>
      <c r="R376" t="s">
        <v>248</v>
      </c>
      <c r="S376">
        <v>0</v>
      </c>
      <c r="T376" s="1095">
        <v>0</v>
      </c>
    </row>
    <row r="377" spans="12:20">
      <c r="L377" s="1134">
        <v>3487</v>
      </c>
      <c r="M377" s="1135" t="s">
        <v>1599</v>
      </c>
      <c r="N377" s="1136">
        <v>1.04</v>
      </c>
      <c r="P377" s="1094">
        <v>1209</v>
      </c>
      <c r="Q377" t="s">
        <v>1642</v>
      </c>
      <c r="R377" t="s">
        <v>248</v>
      </c>
      <c r="S377">
        <v>0</v>
      </c>
      <c r="T377" s="1095">
        <v>0</v>
      </c>
    </row>
    <row r="378" spans="12:20">
      <c r="L378" s="1134">
        <v>3488</v>
      </c>
      <c r="M378" s="1135" t="s">
        <v>1599</v>
      </c>
      <c r="N378" s="1136">
        <v>1.04</v>
      </c>
      <c r="P378" s="1094">
        <v>1210</v>
      </c>
      <c r="Q378" t="s">
        <v>1642</v>
      </c>
      <c r="R378" t="s">
        <v>248</v>
      </c>
      <c r="S378">
        <v>0</v>
      </c>
      <c r="T378" s="1095">
        <v>0</v>
      </c>
    </row>
    <row r="379" spans="12:20">
      <c r="L379" s="1134">
        <v>3489</v>
      </c>
      <c r="M379" s="1135" t="s">
        <v>1599</v>
      </c>
      <c r="N379" s="1136">
        <v>1.04</v>
      </c>
      <c r="P379" s="1094">
        <v>1211</v>
      </c>
      <c r="Q379" t="s">
        <v>1642</v>
      </c>
      <c r="R379" t="s">
        <v>248</v>
      </c>
      <c r="S379">
        <v>0</v>
      </c>
      <c r="T379" s="1095">
        <v>0</v>
      </c>
    </row>
    <row r="380" spans="12:20">
      <c r="L380" s="1134">
        <v>3490</v>
      </c>
      <c r="M380" s="1135" t="s">
        <v>1599</v>
      </c>
      <c r="N380" s="1136">
        <v>1.04</v>
      </c>
      <c r="P380" s="1094">
        <v>1212</v>
      </c>
      <c r="Q380" t="s">
        <v>1642</v>
      </c>
      <c r="R380" t="s">
        <v>248</v>
      </c>
      <c r="S380">
        <v>0</v>
      </c>
      <c r="T380" s="1095">
        <v>0</v>
      </c>
    </row>
    <row r="381" spans="12:20">
      <c r="L381" s="1134">
        <v>3491</v>
      </c>
      <c r="M381" s="1135" t="s">
        <v>1599</v>
      </c>
      <c r="N381" s="1136">
        <v>1.04</v>
      </c>
      <c r="P381" s="1094">
        <v>1213</v>
      </c>
      <c r="Q381" t="s">
        <v>1642</v>
      </c>
      <c r="R381" t="s">
        <v>248</v>
      </c>
      <c r="S381">
        <v>0</v>
      </c>
      <c r="T381" s="1095">
        <v>0</v>
      </c>
    </row>
    <row r="382" spans="12:20">
      <c r="L382" s="1134">
        <v>3494</v>
      </c>
      <c r="M382" s="1135" t="s">
        <v>1599</v>
      </c>
      <c r="N382" s="1136">
        <v>1.04</v>
      </c>
      <c r="P382" s="1094">
        <v>1214</v>
      </c>
      <c r="Q382" t="s">
        <v>1642</v>
      </c>
      <c r="R382" t="s">
        <v>248</v>
      </c>
      <c r="S382">
        <v>0</v>
      </c>
      <c r="T382" s="1095">
        <v>0</v>
      </c>
    </row>
    <row r="383" spans="12:20">
      <c r="L383" s="1134">
        <v>3496</v>
      </c>
      <c r="M383" s="1135" t="s">
        <v>1599</v>
      </c>
      <c r="N383" s="1136">
        <v>1.04</v>
      </c>
      <c r="P383" s="1094">
        <v>1215</v>
      </c>
      <c r="Q383" t="s">
        <v>1642</v>
      </c>
      <c r="R383" t="s">
        <v>248</v>
      </c>
      <c r="S383">
        <v>0</v>
      </c>
      <c r="T383" s="1095">
        <v>0</v>
      </c>
    </row>
    <row r="384" spans="12:20">
      <c r="L384" s="1134">
        <v>3498</v>
      </c>
      <c r="M384" s="1135" t="s">
        <v>1599</v>
      </c>
      <c r="N384" s="1136">
        <v>1.04</v>
      </c>
      <c r="P384" s="1094">
        <v>1216</v>
      </c>
      <c r="Q384" t="s">
        <v>1643</v>
      </c>
      <c r="R384" t="s">
        <v>248</v>
      </c>
      <c r="S384">
        <v>0</v>
      </c>
      <c r="T384" s="1095">
        <v>0</v>
      </c>
    </row>
    <row r="385" spans="12:20">
      <c r="L385" s="1134">
        <v>3500</v>
      </c>
      <c r="M385" s="1135" t="s">
        <v>1599</v>
      </c>
      <c r="N385" s="1136">
        <v>1.04</v>
      </c>
      <c r="P385" s="1094">
        <v>1217</v>
      </c>
      <c r="Q385" t="s">
        <v>1643</v>
      </c>
      <c r="R385" t="s">
        <v>248</v>
      </c>
      <c r="S385">
        <v>0</v>
      </c>
      <c r="T385" s="1095">
        <v>0</v>
      </c>
    </row>
    <row r="386" spans="12:20">
      <c r="L386" s="1134">
        <v>3501</v>
      </c>
      <c r="M386" s="1135" t="s">
        <v>1599</v>
      </c>
      <c r="N386" s="1136">
        <v>1.04</v>
      </c>
      <c r="P386" s="1094">
        <v>1218</v>
      </c>
      <c r="Q386" t="s">
        <v>1643</v>
      </c>
      <c r="R386" t="s">
        <v>248</v>
      </c>
      <c r="S386">
        <v>0</v>
      </c>
      <c r="T386" s="1095">
        <v>0</v>
      </c>
    </row>
    <row r="387" spans="12:20">
      <c r="L387" s="1134">
        <v>3502</v>
      </c>
      <c r="M387" s="1135" t="s">
        <v>1599</v>
      </c>
      <c r="N387" s="1136">
        <v>1.04</v>
      </c>
      <c r="P387" s="1094">
        <v>1219</v>
      </c>
      <c r="Q387" t="s">
        <v>1643</v>
      </c>
      <c r="R387" t="s">
        <v>248</v>
      </c>
      <c r="S387">
        <v>0</v>
      </c>
      <c r="T387" s="1095">
        <v>0</v>
      </c>
    </row>
    <row r="388" spans="12:20">
      <c r="L388" s="1134">
        <v>3505</v>
      </c>
      <c r="M388" s="1135" t="s">
        <v>1599</v>
      </c>
      <c r="N388" s="1136">
        <v>1.04</v>
      </c>
      <c r="P388" s="1094">
        <v>1220</v>
      </c>
      <c r="Q388" t="s">
        <v>1643</v>
      </c>
      <c r="R388" t="s">
        <v>248</v>
      </c>
      <c r="S388">
        <v>0</v>
      </c>
      <c r="T388" s="1095">
        <v>0</v>
      </c>
    </row>
    <row r="389" spans="12:20">
      <c r="L389" s="1134">
        <v>3506</v>
      </c>
      <c r="M389" s="1135" t="s">
        <v>1599</v>
      </c>
      <c r="N389" s="1136">
        <v>1.04</v>
      </c>
      <c r="P389" s="1094">
        <v>1221</v>
      </c>
      <c r="Q389" t="s">
        <v>1644</v>
      </c>
      <c r="R389" t="s">
        <v>248</v>
      </c>
      <c r="S389">
        <v>0</v>
      </c>
      <c r="T389" s="1095">
        <v>0</v>
      </c>
    </row>
    <row r="390" spans="12:20">
      <c r="L390" s="1134">
        <v>3507</v>
      </c>
      <c r="M390" s="1135" t="s">
        <v>1599</v>
      </c>
      <c r="N390" s="1136">
        <v>1.04</v>
      </c>
      <c r="P390" s="1094">
        <v>1222</v>
      </c>
      <c r="Q390" t="s">
        <v>1644</v>
      </c>
      <c r="R390" t="s">
        <v>248</v>
      </c>
      <c r="S390">
        <v>0</v>
      </c>
      <c r="T390" s="1095">
        <v>0</v>
      </c>
    </row>
    <row r="391" spans="12:20">
      <c r="L391" s="1134">
        <v>3509</v>
      </c>
      <c r="M391" s="1135" t="s">
        <v>1599</v>
      </c>
      <c r="N391" s="1136">
        <v>1.04</v>
      </c>
      <c r="P391" s="1094">
        <v>1223</v>
      </c>
      <c r="Q391" t="s">
        <v>1644</v>
      </c>
      <c r="R391" t="s">
        <v>248</v>
      </c>
      <c r="S391">
        <v>0</v>
      </c>
      <c r="T391" s="1095">
        <v>0</v>
      </c>
    </row>
    <row r="392" spans="12:20">
      <c r="L392" s="1134">
        <v>3512</v>
      </c>
      <c r="M392" s="1135" t="s">
        <v>1599</v>
      </c>
      <c r="N392" s="1136">
        <v>1.04</v>
      </c>
      <c r="P392" s="1094">
        <v>1224</v>
      </c>
      <c r="Q392" t="s">
        <v>1644</v>
      </c>
      <c r="R392" t="s">
        <v>248</v>
      </c>
      <c r="S392">
        <v>0</v>
      </c>
      <c r="T392" s="1095">
        <v>0</v>
      </c>
    </row>
    <row r="393" spans="12:20">
      <c r="L393" s="1134">
        <v>3515</v>
      </c>
      <c r="M393" s="1135" t="s">
        <v>1599</v>
      </c>
      <c r="N393" s="1136">
        <v>1.04</v>
      </c>
      <c r="P393" s="1094">
        <v>1225</v>
      </c>
      <c r="Q393" t="s">
        <v>1644</v>
      </c>
      <c r="R393" t="s">
        <v>248</v>
      </c>
      <c r="S393">
        <v>0</v>
      </c>
      <c r="T393" s="1095">
        <v>0</v>
      </c>
    </row>
    <row r="394" spans="12:20">
      <c r="L394" s="1134">
        <v>3516</v>
      </c>
      <c r="M394" s="1135" t="s">
        <v>1599</v>
      </c>
      <c r="N394" s="1136">
        <v>1.04</v>
      </c>
      <c r="P394" s="1094">
        <v>1226</v>
      </c>
      <c r="Q394" t="s">
        <v>1645</v>
      </c>
      <c r="R394" t="s">
        <v>248</v>
      </c>
      <c r="S394">
        <v>0</v>
      </c>
      <c r="T394" s="1095">
        <v>0</v>
      </c>
    </row>
    <row r="395" spans="12:20">
      <c r="L395" s="1134">
        <v>3517</v>
      </c>
      <c r="M395" s="1135" t="s">
        <v>1599</v>
      </c>
      <c r="N395" s="1136">
        <v>1.04</v>
      </c>
      <c r="P395" s="1094">
        <v>1227</v>
      </c>
      <c r="Q395" t="s">
        <v>1645</v>
      </c>
      <c r="R395" t="s">
        <v>248</v>
      </c>
      <c r="S395">
        <v>0</v>
      </c>
      <c r="T395" s="1095">
        <v>0</v>
      </c>
    </row>
    <row r="396" spans="12:20">
      <c r="L396" s="1134">
        <v>3518</v>
      </c>
      <c r="M396" s="1135" t="s">
        <v>1599</v>
      </c>
      <c r="N396" s="1136">
        <v>1.04</v>
      </c>
      <c r="P396" s="1094">
        <v>1228</v>
      </c>
      <c r="Q396" t="s">
        <v>1645</v>
      </c>
      <c r="R396" t="s">
        <v>248</v>
      </c>
      <c r="S396">
        <v>0</v>
      </c>
      <c r="T396" s="1095">
        <v>0</v>
      </c>
    </row>
    <row r="397" spans="12:20">
      <c r="L397" s="1134">
        <v>3520</v>
      </c>
      <c r="M397" s="1135" t="s">
        <v>1599</v>
      </c>
      <c r="N397" s="1136">
        <v>1.04</v>
      </c>
      <c r="P397" s="1094">
        <v>1229</v>
      </c>
      <c r="Q397" t="s">
        <v>1645</v>
      </c>
      <c r="R397" t="s">
        <v>248</v>
      </c>
      <c r="S397">
        <v>0</v>
      </c>
      <c r="T397" s="1095">
        <v>0</v>
      </c>
    </row>
    <row r="398" spans="12:20">
      <c r="L398" s="1134">
        <v>3521</v>
      </c>
      <c r="M398" s="1135" t="s">
        <v>1599</v>
      </c>
      <c r="N398" s="1136">
        <v>1.04</v>
      </c>
      <c r="P398" s="1094">
        <v>1230</v>
      </c>
      <c r="Q398" t="s">
        <v>1645</v>
      </c>
      <c r="R398" t="s">
        <v>248</v>
      </c>
      <c r="S398">
        <v>0</v>
      </c>
      <c r="T398" s="1095">
        <v>0</v>
      </c>
    </row>
    <row r="399" spans="12:20">
      <c r="L399" s="1134">
        <v>3522</v>
      </c>
      <c r="M399" s="1135" t="s">
        <v>1599</v>
      </c>
      <c r="N399" s="1136">
        <v>1.04</v>
      </c>
      <c r="P399" s="1094">
        <v>1231</v>
      </c>
      <c r="Q399" t="s">
        <v>1646</v>
      </c>
      <c r="R399" t="s">
        <v>248</v>
      </c>
      <c r="S399">
        <v>0</v>
      </c>
      <c r="T399" s="1095">
        <v>0</v>
      </c>
    </row>
    <row r="400" spans="12:20">
      <c r="L400" s="1134">
        <v>3523</v>
      </c>
      <c r="M400" s="1135" t="s">
        <v>1599</v>
      </c>
      <c r="N400" s="1136">
        <v>1.04</v>
      </c>
      <c r="P400" s="1094">
        <v>1232</v>
      </c>
      <c r="Q400" t="s">
        <v>1646</v>
      </c>
      <c r="R400" t="s">
        <v>248</v>
      </c>
      <c r="S400">
        <v>0</v>
      </c>
      <c r="T400" s="1095">
        <v>0</v>
      </c>
    </row>
    <row r="401" spans="12:20">
      <c r="L401" s="1134">
        <v>3525</v>
      </c>
      <c r="M401" s="1135" t="s">
        <v>1599</v>
      </c>
      <c r="N401" s="1136">
        <v>1.04</v>
      </c>
      <c r="P401" s="1094">
        <v>1233</v>
      </c>
      <c r="Q401" t="s">
        <v>1646</v>
      </c>
      <c r="R401" t="s">
        <v>248</v>
      </c>
      <c r="S401">
        <v>0</v>
      </c>
      <c r="T401" s="1095">
        <v>0</v>
      </c>
    </row>
    <row r="402" spans="12:20">
      <c r="L402" s="1134">
        <v>3527</v>
      </c>
      <c r="M402" s="1135" t="s">
        <v>1599</v>
      </c>
      <c r="N402" s="1136">
        <v>1.04</v>
      </c>
      <c r="P402" s="1094">
        <v>1234</v>
      </c>
      <c r="Q402" t="s">
        <v>1646</v>
      </c>
      <c r="R402" t="s">
        <v>248</v>
      </c>
      <c r="S402">
        <v>0</v>
      </c>
      <c r="T402" s="1095">
        <v>0</v>
      </c>
    </row>
    <row r="403" spans="12:20">
      <c r="L403" s="1134">
        <v>3529</v>
      </c>
      <c r="M403" s="1135" t="s">
        <v>1599</v>
      </c>
      <c r="N403" s="1136">
        <v>1.04</v>
      </c>
      <c r="P403" s="1094">
        <v>1235</v>
      </c>
      <c r="Q403" t="s">
        <v>1646</v>
      </c>
      <c r="R403" t="s">
        <v>248</v>
      </c>
      <c r="S403">
        <v>0</v>
      </c>
      <c r="T403" s="1095">
        <v>0</v>
      </c>
    </row>
    <row r="404" spans="12:20">
      <c r="L404" s="1134">
        <v>3530</v>
      </c>
      <c r="M404" s="1135" t="s">
        <v>1599</v>
      </c>
      <c r="N404" s="1136">
        <v>1.04</v>
      </c>
      <c r="P404" s="1094">
        <v>1236</v>
      </c>
      <c r="Q404" t="s">
        <v>1641</v>
      </c>
      <c r="R404" t="s">
        <v>248</v>
      </c>
      <c r="S404">
        <v>0</v>
      </c>
      <c r="T404" s="1095">
        <v>0</v>
      </c>
    </row>
    <row r="405" spans="12:20">
      <c r="L405" s="1134">
        <v>3531</v>
      </c>
      <c r="M405" s="1135" t="s">
        <v>1599</v>
      </c>
      <c r="N405" s="1136">
        <v>1.04</v>
      </c>
      <c r="P405" s="1094">
        <v>1237</v>
      </c>
      <c r="Q405" t="s">
        <v>1641</v>
      </c>
      <c r="R405" t="s">
        <v>248</v>
      </c>
      <c r="S405">
        <v>0</v>
      </c>
      <c r="T405" s="1095">
        <v>0</v>
      </c>
    </row>
    <row r="406" spans="12:20">
      <c r="L406" s="1134">
        <v>3533</v>
      </c>
      <c r="M406" s="1135" t="s">
        <v>1599</v>
      </c>
      <c r="N406" s="1136">
        <v>1.04</v>
      </c>
      <c r="P406" s="1094">
        <v>1238</v>
      </c>
      <c r="Q406" t="s">
        <v>1641</v>
      </c>
      <c r="R406" t="s">
        <v>248</v>
      </c>
      <c r="S406">
        <v>0</v>
      </c>
      <c r="T406" s="1095">
        <v>0</v>
      </c>
    </row>
    <row r="407" spans="12:20">
      <c r="L407" s="1134">
        <v>3537</v>
      </c>
      <c r="M407" s="1135" t="s">
        <v>1599</v>
      </c>
      <c r="N407" s="1136">
        <v>1.04</v>
      </c>
      <c r="P407" s="1094">
        <v>1239</v>
      </c>
      <c r="Q407" t="s">
        <v>1641</v>
      </c>
      <c r="R407" t="s">
        <v>248</v>
      </c>
      <c r="S407">
        <v>0</v>
      </c>
      <c r="T407" s="1095">
        <v>0</v>
      </c>
    </row>
    <row r="408" spans="12:20">
      <c r="L408" s="1134">
        <v>3540</v>
      </c>
      <c r="M408" s="1135" t="s">
        <v>1599</v>
      </c>
      <c r="N408" s="1136">
        <v>1.04</v>
      </c>
      <c r="P408" s="1094">
        <v>1240</v>
      </c>
      <c r="Q408" t="s">
        <v>1641</v>
      </c>
      <c r="R408" t="s">
        <v>248</v>
      </c>
      <c r="S408">
        <v>0</v>
      </c>
      <c r="T408" s="1095">
        <v>0</v>
      </c>
    </row>
    <row r="409" spans="12:20">
      <c r="L409" s="1134">
        <v>3542</v>
      </c>
      <c r="M409" s="1135" t="s">
        <v>1599</v>
      </c>
      <c r="N409" s="1136">
        <v>1.04</v>
      </c>
      <c r="P409" s="1094">
        <v>1291</v>
      </c>
      <c r="Q409" t="s">
        <v>1640</v>
      </c>
      <c r="R409" t="s">
        <v>248</v>
      </c>
      <c r="S409">
        <v>0</v>
      </c>
      <c r="T409" s="1095">
        <v>0</v>
      </c>
    </row>
    <row r="410" spans="12:20">
      <c r="L410" s="1134">
        <v>3544</v>
      </c>
      <c r="M410" s="1135" t="s">
        <v>1599</v>
      </c>
      <c r="N410" s="1136">
        <v>1.04</v>
      </c>
      <c r="P410" s="1094">
        <v>1292</v>
      </c>
      <c r="Q410" t="s">
        <v>1640</v>
      </c>
      <c r="R410" t="s">
        <v>248</v>
      </c>
      <c r="S410">
        <v>0</v>
      </c>
      <c r="T410" s="1095">
        <v>0</v>
      </c>
    </row>
    <row r="411" spans="12:20">
      <c r="L411" s="1134">
        <v>3546</v>
      </c>
      <c r="M411" s="1135" t="s">
        <v>1599</v>
      </c>
      <c r="N411" s="1136">
        <v>1.04</v>
      </c>
      <c r="P411" s="1094">
        <v>1293</v>
      </c>
      <c r="Q411" t="s">
        <v>1640</v>
      </c>
      <c r="R411" t="s">
        <v>248</v>
      </c>
      <c r="S411">
        <v>0</v>
      </c>
      <c r="T411" s="1095">
        <v>0</v>
      </c>
    </row>
    <row r="412" spans="12:20">
      <c r="L412" s="1134">
        <v>3549</v>
      </c>
      <c r="M412" s="1135" t="s">
        <v>1599</v>
      </c>
      <c r="N412" s="1136">
        <v>1.04</v>
      </c>
      <c r="P412" s="1094">
        <v>1294</v>
      </c>
      <c r="Q412" t="s">
        <v>1640</v>
      </c>
      <c r="R412" t="s">
        <v>248</v>
      </c>
      <c r="S412">
        <v>0</v>
      </c>
      <c r="T412" s="1095">
        <v>0</v>
      </c>
    </row>
    <row r="413" spans="12:20">
      <c r="L413" s="1134">
        <v>3550</v>
      </c>
      <c r="M413" s="1135" t="s">
        <v>1599</v>
      </c>
      <c r="N413" s="1136">
        <v>1.04</v>
      </c>
      <c r="P413" s="1094">
        <v>1295</v>
      </c>
      <c r="Q413" t="s">
        <v>1640</v>
      </c>
      <c r="R413" t="s">
        <v>248</v>
      </c>
      <c r="S413">
        <v>0</v>
      </c>
      <c r="T413" s="1095">
        <v>0</v>
      </c>
    </row>
    <row r="414" spans="12:20">
      <c r="L414" s="1134">
        <v>3551</v>
      </c>
      <c r="M414" s="1135" t="s">
        <v>1599</v>
      </c>
      <c r="N414" s="1136">
        <v>1.04</v>
      </c>
      <c r="P414" s="1094">
        <v>1296</v>
      </c>
      <c r="Q414" t="s">
        <v>1640</v>
      </c>
      <c r="R414" t="s">
        <v>248</v>
      </c>
      <c r="S414">
        <v>0</v>
      </c>
      <c r="T414" s="1095">
        <v>0</v>
      </c>
    </row>
    <row r="415" spans="12:20">
      <c r="L415" s="1134">
        <v>3552</v>
      </c>
      <c r="M415" s="1135" t="s">
        <v>1599</v>
      </c>
      <c r="N415" s="1136">
        <v>1.04</v>
      </c>
      <c r="P415" s="1094">
        <v>1297</v>
      </c>
      <c r="Q415" t="s">
        <v>1640</v>
      </c>
      <c r="R415" t="s">
        <v>248</v>
      </c>
      <c r="S415">
        <v>0</v>
      </c>
      <c r="T415" s="1095">
        <v>0</v>
      </c>
    </row>
    <row r="416" spans="12:20">
      <c r="L416" s="1134">
        <v>3554</v>
      </c>
      <c r="M416" s="1135" t="s">
        <v>1599</v>
      </c>
      <c r="N416" s="1136">
        <v>1.04</v>
      </c>
      <c r="P416" s="1094">
        <v>1298</v>
      </c>
      <c r="Q416" t="s">
        <v>1640</v>
      </c>
      <c r="R416" t="s">
        <v>248</v>
      </c>
      <c r="S416">
        <v>0</v>
      </c>
      <c r="T416" s="1095">
        <v>0</v>
      </c>
    </row>
    <row r="417" spans="12:20">
      <c r="L417" s="1134">
        <v>3555</v>
      </c>
      <c r="M417" s="1135" t="s">
        <v>1599</v>
      </c>
      <c r="N417" s="1136">
        <v>1.04</v>
      </c>
      <c r="P417" s="1094">
        <v>1299</v>
      </c>
      <c r="Q417" t="s">
        <v>1640</v>
      </c>
      <c r="R417" t="s">
        <v>248</v>
      </c>
      <c r="S417">
        <v>0</v>
      </c>
      <c r="T417" s="1095">
        <v>0</v>
      </c>
    </row>
    <row r="418" spans="12:20">
      <c r="L418" s="1134">
        <v>3556</v>
      </c>
      <c r="M418" s="1135" t="s">
        <v>1599</v>
      </c>
      <c r="N418" s="1136">
        <v>1.04</v>
      </c>
      <c r="P418" s="1094">
        <v>1300</v>
      </c>
      <c r="Q418" t="s">
        <v>1647</v>
      </c>
      <c r="R418" t="s">
        <v>248</v>
      </c>
      <c r="S418">
        <v>0</v>
      </c>
      <c r="T418" s="1095">
        <v>0</v>
      </c>
    </row>
    <row r="419" spans="12:20">
      <c r="L419" s="1134">
        <v>3557</v>
      </c>
      <c r="M419" s="1135" t="s">
        <v>1599</v>
      </c>
      <c r="N419" s="1136">
        <v>1.04</v>
      </c>
      <c r="P419" s="1094">
        <v>1311</v>
      </c>
      <c r="Q419" t="s">
        <v>1648</v>
      </c>
      <c r="R419" t="s">
        <v>248</v>
      </c>
      <c r="S419">
        <v>0</v>
      </c>
      <c r="T419" s="1095">
        <v>0</v>
      </c>
    </row>
    <row r="420" spans="12:20">
      <c r="L420" s="1134">
        <v>3558</v>
      </c>
      <c r="M420" s="1135" t="s">
        <v>1599</v>
      </c>
      <c r="N420" s="1136">
        <v>1.04</v>
      </c>
      <c r="P420" s="1094">
        <v>1312</v>
      </c>
      <c r="Q420" t="s">
        <v>1648</v>
      </c>
      <c r="R420" t="s">
        <v>248</v>
      </c>
      <c r="S420">
        <v>0</v>
      </c>
      <c r="T420" s="1095">
        <v>0</v>
      </c>
    </row>
    <row r="421" spans="12:20">
      <c r="L421" s="1134">
        <v>3559</v>
      </c>
      <c r="M421" s="1135" t="s">
        <v>1599</v>
      </c>
      <c r="N421" s="1136">
        <v>1.04</v>
      </c>
      <c r="P421" s="1094">
        <v>1313</v>
      </c>
      <c r="Q421" t="s">
        <v>1648</v>
      </c>
      <c r="R421" t="s">
        <v>248</v>
      </c>
      <c r="S421">
        <v>0</v>
      </c>
      <c r="T421" s="1095">
        <v>0</v>
      </c>
    </row>
    <row r="422" spans="12:20">
      <c r="L422" s="1134">
        <v>3561</v>
      </c>
      <c r="M422" s="1135" t="s">
        <v>1599</v>
      </c>
      <c r="N422" s="1136">
        <v>1.04</v>
      </c>
      <c r="P422" s="1094">
        <v>1314</v>
      </c>
      <c r="Q422" t="s">
        <v>1648</v>
      </c>
      <c r="R422" t="s">
        <v>248</v>
      </c>
      <c r="S422">
        <v>0</v>
      </c>
      <c r="T422" s="1095">
        <v>0</v>
      </c>
    </row>
    <row r="423" spans="12:20">
      <c r="L423" s="1134">
        <v>3562</v>
      </c>
      <c r="M423" s="1135" t="s">
        <v>1599</v>
      </c>
      <c r="N423" s="1136">
        <v>1.04</v>
      </c>
      <c r="P423" s="1094">
        <v>1315</v>
      </c>
      <c r="Q423" t="s">
        <v>1648</v>
      </c>
      <c r="R423" t="s">
        <v>248</v>
      </c>
      <c r="S423">
        <v>0</v>
      </c>
      <c r="T423" s="1095">
        <v>0</v>
      </c>
    </row>
    <row r="424" spans="12:20">
      <c r="L424" s="1134">
        <v>3563</v>
      </c>
      <c r="M424" s="1135" t="s">
        <v>1599</v>
      </c>
      <c r="N424" s="1136">
        <v>1.04</v>
      </c>
      <c r="P424" s="1094">
        <v>1316</v>
      </c>
      <c r="Q424" t="s">
        <v>1648</v>
      </c>
      <c r="R424" t="s">
        <v>248</v>
      </c>
      <c r="S424">
        <v>0</v>
      </c>
      <c r="T424" s="1095">
        <v>0</v>
      </c>
    </row>
    <row r="425" spans="12:20">
      <c r="L425" s="1134">
        <v>3564</v>
      </c>
      <c r="M425" s="1135" t="s">
        <v>1599</v>
      </c>
      <c r="N425" s="1136">
        <v>1.04</v>
      </c>
      <c r="P425" s="1094">
        <v>1317</v>
      </c>
      <c r="Q425" t="s">
        <v>1648</v>
      </c>
      <c r="R425" t="s">
        <v>248</v>
      </c>
      <c r="S425">
        <v>0</v>
      </c>
      <c r="T425" s="1095">
        <v>0</v>
      </c>
    </row>
    <row r="426" spans="12:20">
      <c r="L426" s="1134">
        <v>3565</v>
      </c>
      <c r="M426" s="1135" t="s">
        <v>1599</v>
      </c>
      <c r="N426" s="1136">
        <v>1.04</v>
      </c>
      <c r="P426" s="1094">
        <v>1318</v>
      </c>
      <c r="Q426" t="s">
        <v>1648</v>
      </c>
      <c r="R426" t="s">
        <v>248</v>
      </c>
      <c r="S426">
        <v>0</v>
      </c>
      <c r="T426" s="1095">
        <v>0</v>
      </c>
    </row>
    <row r="427" spans="12:20">
      <c r="L427" s="1134">
        <v>3566</v>
      </c>
      <c r="M427" s="1135" t="s">
        <v>1599</v>
      </c>
      <c r="N427" s="1136">
        <v>1.04</v>
      </c>
      <c r="P427" s="1094">
        <v>1319</v>
      </c>
      <c r="Q427" t="s">
        <v>1648</v>
      </c>
      <c r="R427" t="s">
        <v>248</v>
      </c>
      <c r="S427">
        <v>0</v>
      </c>
      <c r="T427" s="1095">
        <v>0</v>
      </c>
    </row>
    <row r="428" spans="12:20">
      <c r="L428" s="1134">
        <v>3567</v>
      </c>
      <c r="M428" s="1135" t="s">
        <v>1599</v>
      </c>
      <c r="N428" s="1136">
        <v>1.04</v>
      </c>
      <c r="P428" s="1094">
        <v>1320</v>
      </c>
      <c r="Q428" t="s">
        <v>1648</v>
      </c>
      <c r="R428" t="s">
        <v>248</v>
      </c>
      <c r="S428">
        <v>0</v>
      </c>
      <c r="T428" s="1095">
        <v>0</v>
      </c>
    </row>
    <row r="429" spans="12:20">
      <c r="L429" s="1134">
        <v>3568</v>
      </c>
      <c r="M429" s="1135" t="s">
        <v>1599</v>
      </c>
      <c r="N429" s="1136">
        <v>1.04</v>
      </c>
      <c r="P429" s="1094">
        <v>1321</v>
      </c>
      <c r="Q429" t="s">
        <v>1648</v>
      </c>
      <c r="R429" t="s">
        <v>248</v>
      </c>
      <c r="S429">
        <v>0</v>
      </c>
      <c r="T429" s="1095">
        <v>0</v>
      </c>
    </row>
    <row r="430" spans="12:20">
      <c r="L430" s="1134">
        <v>3570</v>
      </c>
      <c r="M430" s="1135" t="s">
        <v>1599</v>
      </c>
      <c r="N430" s="1136">
        <v>1.04</v>
      </c>
      <c r="P430" s="1094">
        <v>1322</v>
      </c>
      <c r="Q430" t="s">
        <v>1648</v>
      </c>
      <c r="R430" t="s">
        <v>248</v>
      </c>
      <c r="S430">
        <v>0</v>
      </c>
      <c r="T430" s="1095">
        <v>0</v>
      </c>
    </row>
    <row r="431" spans="12:20">
      <c r="L431" s="1134">
        <v>3571</v>
      </c>
      <c r="M431" s="1135" t="s">
        <v>1599</v>
      </c>
      <c r="N431" s="1136">
        <v>1.04</v>
      </c>
      <c r="P431" s="1094">
        <v>1323</v>
      </c>
      <c r="Q431" t="s">
        <v>1648</v>
      </c>
      <c r="R431" t="s">
        <v>248</v>
      </c>
      <c r="S431">
        <v>0</v>
      </c>
      <c r="T431" s="1095">
        <v>0</v>
      </c>
    </row>
    <row r="432" spans="12:20">
      <c r="L432" s="1134">
        <v>3572</v>
      </c>
      <c r="M432" s="1135" t="s">
        <v>1599</v>
      </c>
      <c r="N432" s="1136">
        <v>1.04</v>
      </c>
      <c r="P432" s="1094">
        <v>1324</v>
      </c>
      <c r="Q432" t="s">
        <v>1648</v>
      </c>
      <c r="R432" t="s">
        <v>248</v>
      </c>
      <c r="S432">
        <v>0</v>
      </c>
      <c r="T432" s="1095">
        <v>0</v>
      </c>
    </row>
    <row r="433" spans="12:20">
      <c r="L433" s="1134">
        <v>3573</v>
      </c>
      <c r="M433" s="1135" t="s">
        <v>1599</v>
      </c>
      <c r="N433" s="1136">
        <v>1.04</v>
      </c>
      <c r="P433" s="1094">
        <v>1325</v>
      </c>
      <c r="Q433" t="s">
        <v>1648</v>
      </c>
      <c r="R433" t="s">
        <v>248</v>
      </c>
      <c r="S433">
        <v>0</v>
      </c>
      <c r="T433" s="1095">
        <v>0</v>
      </c>
    </row>
    <row r="434" spans="12:20">
      <c r="L434" s="1134">
        <v>3575</v>
      </c>
      <c r="M434" s="1135" t="s">
        <v>1599</v>
      </c>
      <c r="N434" s="1136">
        <v>1.04</v>
      </c>
      <c r="P434" s="1094">
        <v>1326</v>
      </c>
      <c r="Q434" t="s">
        <v>1648</v>
      </c>
      <c r="R434" t="s">
        <v>248</v>
      </c>
      <c r="S434">
        <v>0</v>
      </c>
      <c r="T434" s="1095">
        <v>0</v>
      </c>
    </row>
    <row r="435" spans="12:20">
      <c r="L435" s="1134">
        <v>3576</v>
      </c>
      <c r="M435" s="1135" t="s">
        <v>1599</v>
      </c>
      <c r="N435" s="1136">
        <v>1.04</v>
      </c>
      <c r="P435" s="1094">
        <v>1327</v>
      </c>
      <c r="Q435" t="s">
        <v>1648</v>
      </c>
      <c r="R435" t="s">
        <v>248</v>
      </c>
      <c r="S435">
        <v>0</v>
      </c>
      <c r="T435" s="1095">
        <v>0</v>
      </c>
    </row>
    <row r="436" spans="12:20">
      <c r="L436" s="1134">
        <v>3579</v>
      </c>
      <c r="M436" s="1135" t="s">
        <v>1599</v>
      </c>
      <c r="N436" s="1136">
        <v>1.04</v>
      </c>
      <c r="P436" s="1094">
        <v>1328</v>
      </c>
      <c r="Q436" t="s">
        <v>1648</v>
      </c>
      <c r="R436" t="s">
        <v>248</v>
      </c>
      <c r="S436">
        <v>0</v>
      </c>
      <c r="T436" s="1095">
        <v>0</v>
      </c>
    </row>
    <row r="437" spans="12:20">
      <c r="L437" s="1134">
        <v>3580</v>
      </c>
      <c r="M437" s="1135" t="s">
        <v>1599</v>
      </c>
      <c r="N437" s="1136">
        <v>1.04</v>
      </c>
      <c r="P437" s="1094">
        <v>1329</v>
      </c>
      <c r="Q437" t="s">
        <v>1648</v>
      </c>
      <c r="R437" t="s">
        <v>248</v>
      </c>
      <c r="S437">
        <v>0</v>
      </c>
      <c r="T437" s="1095">
        <v>0</v>
      </c>
    </row>
    <row r="438" spans="12:20">
      <c r="L438" s="1134">
        <v>3581</v>
      </c>
      <c r="M438" s="1135" t="s">
        <v>1599</v>
      </c>
      <c r="N438" s="1136">
        <v>1.04</v>
      </c>
      <c r="P438" s="1094">
        <v>1330</v>
      </c>
      <c r="Q438" t="s">
        <v>1648</v>
      </c>
      <c r="R438" t="s">
        <v>248</v>
      </c>
      <c r="S438">
        <v>0</v>
      </c>
      <c r="T438" s="1095">
        <v>0</v>
      </c>
    </row>
    <row r="439" spans="12:20">
      <c r="L439" s="1134">
        <v>3583</v>
      </c>
      <c r="M439" s="1135" t="s">
        <v>1599</v>
      </c>
      <c r="N439" s="1136">
        <v>1.04</v>
      </c>
      <c r="P439" s="1094">
        <v>1331</v>
      </c>
      <c r="Q439" t="s">
        <v>1648</v>
      </c>
      <c r="R439" t="s">
        <v>248</v>
      </c>
      <c r="S439">
        <v>0</v>
      </c>
      <c r="T439" s="1095">
        <v>0</v>
      </c>
    </row>
    <row r="440" spans="12:20">
      <c r="L440" s="1134">
        <v>3584</v>
      </c>
      <c r="M440" s="1135" t="s">
        <v>1599</v>
      </c>
      <c r="N440" s="1136">
        <v>1.04</v>
      </c>
      <c r="P440" s="1094">
        <v>1332</v>
      </c>
      <c r="Q440" t="s">
        <v>1648</v>
      </c>
      <c r="R440" t="s">
        <v>248</v>
      </c>
      <c r="S440">
        <v>0</v>
      </c>
      <c r="T440" s="1095">
        <v>0</v>
      </c>
    </row>
    <row r="441" spans="12:20">
      <c r="L441" s="1134">
        <v>3585</v>
      </c>
      <c r="M441" s="1135" t="s">
        <v>1599</v>
      </c>
      <c r="N441" s="1136">
        <v>1.04</v>
      </c>
      <c r="P441" s="1094">
        <v>1333</v>
      </c>
      <c r="Q441" t="s">
        <v>1648</v>
      </c>
      <c r="R441" t="s">
        <v>248</v>
      </c>
      <c r="S441">
        <v>0</v>
      </c>
      <c r="T441" s="1095">
        <v>0</v>
      </c>
    </row>
    <row r="442" spans="12:20">
      <c r="L442" s="1134">
        <v>3586</v>
      </c>
      <c r="M442" s="1135" t="s">
        <v>1599</v>
      </c>
      <c r="N442" s="1136">
        <v>1.04</v>
      </c>
      <c r="P442" s="1094">
        <v>1334</v>
      </c>
      <c r="Q442" t="s">
        <v>1648</v>
      </c>
      <c r="R442" t="s">
        <v>248</v>
      </c>
      <c r="S442">
        <v>0</v>
      </c>
      <c r="T442" s="1095">
        <v>0</v>
      </c>
    </row>
    <row r="443" spans="12:20">
      <c r="L443" s="1134">
        <v>3588</v>
      </c>
      <c r="M443" s="1135" t="s">
        <v>1599</v>
      </c>
      <c r="N443" s="1136">
        <v>1.04</v>
      </c>
      <c r="P443" s="1094">
        <v>1335</v>
      </c>
      <c r="Q443" t="s">
        <v>1649</v>
      </c>
      <c r="R443" t="s">
        <v>248</v>
      </c>
      <c r="S443">
        <v>0</v>
      </c>
      <c r="T443" s="1095">
        <v>0</v>
      </c>
    </row>
    <row r="444" spans="12:20">
      <c r="L444" s="1134">
        <v>3589</v>
      </c>
      <c r="M444" s="1135" t="s">
        <v>1599</v>
      </c>
      <c r="N444" s="1136">
        <v>1.04</v>
      </c>
      <c r="P444" s="1094">
        <v>1340</v>
      </c>
      <c r="Q444" t="s">
        <v>1650</v>
      </c>
      <c r="R444" t="s">
        <v>248</v>
      </c>
      <c r="S444">
        <v>0</v>
      </c>
      <c r="T444" s="1095">
        <v>0</v>
      </c>
    </row>
    <row r="445" spans="12:20">
      <c r="L445" s="1134">
        <v>3590</v>
      </c>
      <c r="M445" s="1135" t="s">
        <v>1599</v>
      </c>
      <c r="N445" s="1136">
        <v>1.04</v>
      </c>
      <c r="P445" s="1094">
        <v>1350</v>
      </c>
      <c r="Q445" t="s">
        <v>1651</v>
      </c>
      <c r="R445" t="s">
        <v>248</v>
      </c>
      <c r="S445">
        <v>0</v>
      </c>
      <c r="T445" s="1095">
        <v>0</v>
      </c>
    </row>
    <row r="446" spans="12:20">
      <c r="L446" s="1134">
        <v>3591</v>
      </c>
      <c r="M446" s="1135" t="s">
        <v>1599</v>
      </c>
      <c r="N446" s="1136">
        <v>1.04</v>
      </c>
      <c r="P446" s="1094">
        <v>1355</v>
      </c>
      <c r="Q446" t="s">
        <v>1652</v>
      </c>
      <c r="R446" t="s">
        <v>248</v>
      </c>
      <c r="S446">
        <v>0</v>
      </c>
      <c r="T446" s="1095">
        <v>0</v>
      </c>
    </row>
    <row r="447" spans="12:20">
      <c r="L447" s="1134">
        <v>3594</v>
      </c>
      <c r="M447" s="1135" t="s">
        <v>1599</v>
      </c>
      <c r="N447" s="1136">
        <v>1.04</v>
      </c>
      <c r="P447" s="1094">
        <v>1360</v>
      </c>
      <c r="Q447" t="s">
        <v>1653</v>
      </c>
      <c r="R447" t="s">
        <v>248</v>
      </c>
      <c r="S447">
        <v>0</v>
      </c>
      <c r="T447" s="1095">
        <v>0</v>
      </c>
    </row>
    <row r="448" spans="12:20">
      <c r="L448" s="1134">
        <v>3595</v>
      </c>
      <c r="M448" s="1135" t="s">
        <v>1599</v>
      </c>
      <c r="N448" s="1136">
        <v>1.04</v>
      </c>
      <c r="P448" s="1094">
        <v>1363</v>
      </c>
      <c r="Q448" t="s">
        <v>1654</v>
      </c>
      <c r="R448" t="s">
        <v>248</v>
      </c>
      <c r="S448">
        <v>0</v>
      </c>
      <c r="T448" s="1095">
        <v>0</v>
      </c>
    </row>
    <row r="449" spans="12:20">
      <c r="L449" s="1134">
        <v>3596</v>
      </c>
      <c r="M449" s="1135" t="s">
        <v>1599</v>
      </c>
      <c r="N449" s="1136">
        <v>1.04</v>
      </c>
      <c r="P449" s="1094">
        <v>1391</v>
      </c>
      <c r="Q449" t="s">
        <v>1655</v>
      </c>
      <c r="R449" t="s">
        <v>248</v>
      </c>
      <c r="S449">
        <v>0</v>
      </c>
      <c r="T449" s="1095">
        <v>0</v>
      </c>
    </row>
    <row r="450" spans="12:20">
      <c r="L450" s="1134">
        <v>3597</v>
      </c>
      <c r="M450" s="1135" t="s">
        <v>1599</v>
      </c>
      <c r="N450" s="1136">
        <v>1.04</v>
      </c>
      <c r="P450" s="1094">
        <v>1401</v>
      </c>
      <c r="Q450" t="s">
        <v>1656</v>
      </c>
      <c r="R450" t="s">
        <v>248</v>
      </c>
      <c r="S450">
        <v>0</v>
      </c>
      <c r="T450" s="1095">
        <v>0</v>
      </c>
    </row>
    <row r="451" spans="12:20">
      <c r="L451" s="1134">
        <v>3599</v>
      </c>
      <c r="M451" s="1135" t="s">
        <v>1599</v>
      </c>
      <c r="N451" s="1136">
        <v>1.04</v>
      </c>
      <c r="P451" s="1094">
        <v>1416</v>
      </c>
      <c r="Q451" t="s">
        <v>1657</v>
      </c>
      <c r="R451" t="s">
        <v>248</v>
      </c>
      <c r="S451">
        <v>0</v>
      </c>
      <c r="T451" s="1095">
        <v>0</v>
      </c>
    </row>
    <row r="452" spans="12:20">
      <c r="L452" s="1134">
        <v>3607</v>
      </c>
      <c r="M452" s="1135" t="s">
        <v>1599</v>
      </c>
      <c r="N452" s="1136">
        <v>1.04</v>
      </c>
      <c r="P452" s="1094">
        <v>1419</v>
      </c>
      <c r="Q452" t="s">
        <v>1657</v>
      </c>
      <c r="R452" t="s">
        <v>248</v>
      </c>
      <c r="S452">
        <v>0</v>
      </c>
      <c r="T452" s="1095">
        <v>0</v>
      </c>
    </row>
    <row r="453" spans="12:20">
      <c r="L453" s="1134">
        <v>3608</v>
      </c>
      <c r="M453" s="1135" t="s">
        <v>1599</v>
      </c>
      <c r="N453" s="1136">
        <v>1.04</v>
      </c>
      <c r="P453" s="1094">
        <v>1420</v>
      </c>
      <c r="Q453" t="s">
        <v>1658</v>
      </c>
      <c r="R453" t="s">
        <v>248</v>
      </c>
      <c r="S453">
        <v>0</v>
      </c>
      <c r="T453" s="1095">
        <v>0</v>
      </c>
    </row>
    <row r="454" spans="12:20">
      <c r="L454" s="1134">
        <v>3610</v>
      </c>
      <c r="M454" s="1135" t="s">
        <v>1599</v>
      </c>
      <c r="N454" s="1136">
        <v>1.04</v>
      </c>
      <c r="P454" s="1094">
        <v>1422</v>
      </c>
      <c r="Q454" t="s">
        <v>1658</v>
      </c>
      <c r="R454" t="s">
        <v>248</v>
      </c>
      <c r="S454">
        <v>0</v>
      </c>
      <c r="T454" s="1095">
        <v>0</v>
      </c>
    </row>
    <row r="455" spans="12:20">
      <c r="L455" s="1134">
        <v>3612</v>
      </c>
      <c r="M455" s="1135" t="s">
        <v>1599</v>
      </c>
      <c r="N455" s="1136">
        <v>1.04</v>
      </c>
      <c r="P455" s="1094">
        <v>1423</v>
      </c>
      <c r="Q455" t="s">
        <v>1658</v>
      </c>
      <c r="R455" t="s">
        <v>248</v>
      </c>
      <c r="S455">
        <v>0</v>
      </c>
      <c r="T455" s="1095">
        <v>0</v>
      </c>
    </row>
    <row r="456" spans="12:20">
      <c r="L456" s="1134">
        <v>3614</v>
      </c>
      <c r="M456" s="1135" t="s">
        <v>1599</v>
      </c>
      <c r="N456" s="1136">
        <v>1.04</v>
      </c>
      <c r="P456" s="1094">
        <v>1424</v>
      </c>
      <c r="Q456" t="s">
        <v>1658</v>
      </c>
      <c r="R456" t="s">
        <v>248</v>
      </c>
      <c r="S456">
        <v>0</v>
      </c>
      <c r="T456" s="1095">
        <v>0</v>
      </c>
    </row>
    <row r="457" spans="12:20">
      <c r="L457" s="1134">
        <v>3616</v>
      </c>
      <c r="M457" s="1135" t="s">
        <v>1599</v>
      </c>
      <c r="N457" s="1136">
        <v>1.04</v>
      </c>
      <c r="P457" s="1094">
        <v>1425</v>
      </c>
      <c r="Q457" t="s">
        <v>1658</v>
      </c>
      <c r="R457" t="s">
        <v>248</v>
      </c>
      <c r="S457">
        <v>0</v>
      </c>
      <c r="T457" s="1095">
        <v>0</v>
      </c>
    </row>
    <row r="458" spans="12:20">
      <c r="L458" s="1134">
        <v>3617</v>
      </c>
      <c r="M458" s="1135" t="s">
        <v>1599</v>
      </c>
      <c r="N458" s="1136">
        <v>1.04</v>
      </c>
      <c r="P458" s="1094">
        <v>1426</v>
      </c>
      <c r="Q458" t="s">
        <v>1658</v>
      </c>
      <c r="R458" t="s">
        <v>248</v>
      </c>
      <c r="S458">
        <v>0</v>
      </c>
      <c r="T458" s="1095">
        <v>0</v>
      </c>
    </row>
    <row r="459" spans="12:20">
      <c r="L459" s="1134">
        <v>3618</v>
      </c>
      <c r="M459" s="1135" t="s">
        <v>1599</v>
      </c>
      <c r="N459" s="1136">
        <v>1.04</v>
      </c>
      <c r="P459" s="1094">
        <v>1427</v>
      </c>
      <c r="Q459" t="s">
        <v>1658</v>
      </c>
      <c r="R459" t="s">
        <v>248</v>
      </c>
      <c r="S459">
        <v>0</v>
      </c>
      <c r="T459" s="1095">
        <v>0</v>
      </c>
    </row>
    <row r="460" spans="12:20">
      <c r="L460" s="1134">
        <v>3619</v>
      </c>
      <c r="M460" s="1135" t="s">
        <v>1599</v>
      </c>
      <c r="N460" s="1136">
        <v>1.04</v>
      </c>
      <c r="P460" s="1094">
        <v>1428</v>
      </c>
      <c r="Q460" t="s">
        <v>1658</v>
      </c>
      <c r="R460" t="s">
        <v>248</v>
      </c>
      <c r="S460">
        <v>0</v>
      </c>
      <c r="T460" s="1095">
        <v>0</v>
      </c>
    </row>
    <row r="461" spans="12:20">
      <c r="L461" s="1134">
        <v>3620</v>
      </c>
      <c r="M461" s="1135" t="s">
        <v>1599</v>
      </c>
      <c r="N461" s="1136">
        <v>1.04</v>
      </c>
      <c r="P461" s="1094">
        <v>1429</v>
      </c>
      <c r="Q461" t="s">
        <v>1658</v>
      </c>
      <c r="R461" t="s">
        <v>248</v>
      </c>
      <c r="S461">
        <v>0</v>
      </c>
      <c r="T461" s="1095">
        <v>0</v>
      </c>
    </row>
    <row r="462" spans="12:20">
      <c r="L462" s="1134">
        <v>3621</v>
      </c>
      <c r="M462" s="1135" t="s">
        <v>1599</v>
      </c>
      <c r="N462" s="1136">
        <v>1.04</v>
      </c>
      <c r="P462" s="1094">
        <v>1430</v>
      </c>
      <c r="Q462" t="s">
        <v>1659</v>
      </c>
      <c r="R462" t="s">
        <v>248</v>
      </c>
      <c r="S462">
        <v>0</v>
      </c>
      <c r="T462" s="1095">
        <v>0</v>
      </c>
    </row>
    <row r="463" spans="12:20">
      <c r="L463" s="1134">
        <v>3622</v>
      </c>
      <c r="M463" s="1135" t="s">
        <v>1599</v>
      </c>
      <c r="N463" s="1136">
        <v>1.04</v>
      </c>
      <c r="P463" s="1094">
        <v>1435</v>
      </c>
      <c r="Q463" t="s">
        <v>1660</v>
      </c>
      <c r="R463" t="s">
        <v>248</v>
      </c>
      <c r="S463">
        <v>0</v>
      </c>
      <c r="T463" s="1095">
        <v>0</v>
      </c>
    </row>
    <row r="464" spans="12:20">
      <c r="L464" s="1134">
        <v>3623</v>
      </c>
      <c r="M464" s="1135" t="s">
        <v>1599</v>
      </c>
      <c r="N464" s="1136">
        <v>1.04</v>
      </c>
      <c r="P464" s="1094">
        <v>1440</v>
      </c>
      <c r="Q464" t="s">
        <v>1661</v>
      </c>
      <c r="R464" t="s">
        <v>248</v>
      </c>
      <c r="S464">
        <v>0</v>
      </c>
      <c r="T464" s="1095">
        <v>0</v>
      </c>
    </row>
    <row r="465" spans="12:20">
      <c r="L465" s="1134">
        <v>3624</v>
      </c>
      <c r="M465" s="1135" t="s">
        <v>1599</v>
      </c>
      <c r="N465" s="1136">
        <v>1.04</v>
      </c>
      <c r="P465" s="1094">
        <v>1441</v>
      </c>
      <c r="Q465" t="s">
        <v>1661</v>
      </c>
      <c r="R465" t="s">
        <v>248</v>
      </c>
      <c r="S465">
        <v>0</v>
      </c>
      <c r="T465" s="1095">
        <v>0</v>
      </c>
    </row>
    <row r="466" spans="12:20">
      <c r="L466" s="1134">
        <v>3629</v>
      </c>
      <c r="M466" s="1135" t="s">
        <v>1599</v>
      </c>
      <c r="N466" s="1136">
        <v>1.04</v>
      </c>
      <c r="P466" s="1094">
        <v>1445</v>
      </c>
      <c r="Q466" t="s">
        <v>1530</v>
      </c>
      <c r="R466" t="s">
        <v>248</v>
      </c>
      <c r="S466">
        <v>0</v>
      </c>
      <c r="T466" s="1095">
        <v>0</v>
      </c>
    </row>
    <row r="467" spans="12:20">
      <c r="L467" s="1134">
        <v>3630</v>
      </c>
      <c r="M467" s="1135" t="s">
        <v>1599</v>
      </c>
      <c r="N467" s="1136">
        <v>1.04</v>
      </c>
      <c r="P467" s="1094">
        <v>1450</v>
      </c>
      <c r="Q467" t="s">
        <v>1662</v>
      </c>
      <c r="R467" t="s">
        <v>248</v>
      </c>
      <c r="S467">
        <v>0</v>
      </c>
      <c r="T467" s="1095">
        <v>0</v>
      </c>
    </row>
    <row r="468" spans="12:20">
      <c r="L468" s="1134">
        <v>3631</v>
      </c>
      <c r="M468" s="1135" t="s">
        <v>1599</v>
      </c>
      <c r="N468" s="1136">
        <v>1.04</v>
      </c>
      <c r="P468" s="1094">
        <v>1455</v>
      </c>
      <c r="Q468" t="s">
        <v>1663</v>
      </c>
      <c r="R468" t="s">
        <v>248</v>
      </c>
      <c r="S468">
        <v>0</v>
      </c>
      <c r="T468" s="1095">
        <v>0</v>
      </c>
    </row>
    <row r="469" spans="12:20">
      <c r="L469" s="1134">
        <v>3632</v>
      </c>
      <c r="M469" s="1135" t="s">
        <v>1599</v>
      </c>
      <c r="N469" s="1136">
        <v>1.04</v>
      </c>
      <c r="P469" s="1094">
        <v>1460</v>
      </c>
      <c r="Q469" t="s">
        <v>1664</v>
      </c>
      <c r="R469" t="s">
        <v>248</v>
      </c>
      <c r="S469">
        <v>0</v>
      </c>
      <c r="T469" s="1095">
        <v>0</v>
      </c>
    </row>
    <row r="470" spans="12:20">
      <c r="L470" s="1134">
        <v>3633</v>
      </c>
      <c r="M470" s="1135" t="s">
        <v>1599</v>
      </c>
      <c r="N470" s="1136">
        <v>1.04</v>
      </c>
      <c r="P470" s="1094">
        <v>1465</v>
      </c>
      <c r="Q470" t="s">
        <v>1665</v>
      </c>
      <c r="R470" t="s">
        <v>248</v>
      </c>
      <c r="S470">
        <v>0</v>
      </c>
      <c r="T470" s="1095">
        <v>0</v>
      </c>
    </row>
    <row r="471" spans="12:20">
      <c r="L471" s="1134">
        <v>3634</v>
      </c>
      <c r="M471" s="1135" t="s">
        <v>1599</v>
      </c>
      <c r="N471" s="1136">
        <v>1.04</v>
      </c>
      <c r="P471" s="1094">
        <v>1466</v>
      </c>
      <c r="Q471" t="s">
        <v>1666</v>
      </c>
      <c r="R471" t="s">
        <v>248</v>
      </c>
      <c r="S471">
        <v>0</v>
      </c>
      <c r="T471" s="1095">
        <v>0</v>
      </c>
    </row>
    <row r="472" spans="12:20">
      <c r="L472" s="1134">
        <v>3635</v>
      </c>
      <c r="M472" s="1135" t="s">
        <v>1599</v>
      </c>
      <c r="N472" s="1136">
        <v>1.04</v>
      </c>
      <c r="P472" s="1094">
        <v>1470</v>
      </c>
      <c r="Q472" t="s">
        <v>1667</v>
      </c>
      <c r="R472" t="s">
        <v>248</v>
      </c>
      <c r="S472">
        <v>0</v>
      </c>
      <c r="T472" s="1095">
        <v>0</v>
      </c>
    </row>
    <row r="473" spans="12:20">
      <c r="L473" s="1134">
        <v>3636</v>
      </c>
      <c r="M473" s="1135" t="s">
        <v>1599</v>
      </c>
      <c r="N473" s="1136">
        <v>1.04</v>
      </c>
      <c r="P473" s="1094">
        <v>1475</v>
      </c>
      <c r="Q473" t="s">
        <v>1668</v>
      </c>
      <c r="R473" t="s">
        <v>248</v>
      </c>
      <c r="S473">
        <v>0</v>
      </c>
      <c r="T473" s="1095">
        <v>0</v>
      </c>
    </row>
    <row r="474" spans="12:20">
      <c r="L474" s="1134">
        <v>3637</v>
      </c>
      <c r="M474" s="1135" t="s">
        <v>1599</v>
      </c>
      <c r="N474" s="1136">
        <v>1.04</v>
      </c>
      <c r="P474" s="1094">
        <v>1476</v>
      </c>
      <c r="Q474" t="s">
        <v>1668</v>
      </c>
      <c r="R474" t="s">
        <v>248</v>
      </c>
      <c r="S474">
        <v>0</v>
      </c>
      <c r="T474" s="1095">
        <v>0</v>
      </c>
    </row>
    <row r="475" spans="12:20">
      <c r="L475" s="1134">
        <v>3638</v>
      </c>
      <c r="M475" s="1135" t="s">
        <v>1599</v>
      </c>
      <c r="N475" s="1136">
        <v>1.04</v>
      </c>
      <c r="P475" s="1094">
        <v>1480</v>
      </c>
      <c r="Q475" t="s">
        <v>1669</v>
      </c>
      <c r="R475" t="s">
        <v>248</v>
      </c>
      <c r="S475">
        <v>0</v>
      </c>
      <c r="T475" s="1095">
        <v>0</v>
      </c>
    </row>
    <row r="476" spans="12:20">
      <c r="L476" s="1134">
        <v>3639</v>
      </c>
      <c r="M476" s="1135" t="s">
        <v>1599</v>
      </c>
      <c r="N476" s="1136">
        <v>1.04</v>
      </c>
      <c r="P476" s="1094">
        <v>1481</v>
      </c>
      <c r="Q476" t="s">
        <v>1670</v>
      </c>
      <c r="R476" t="s">
        <v>248</v>
      </c>
      <c r="S476">
        <v>0</v>
      </c>
      <c r="T476" s="1095">
        <v>0</v>
      </c>
    </row>
    <row r="477" spans="12:20">
      <c r="L477" s="1134">
        <v>3640</v>
      </c>
      <c r="M477" s="1135" t="s">
        <v>1599</v>
      </c>
      <c r="N477" s="1136">
        <v>1.04</v>
      </c>
      <c r="P477" s="1094">
        <v>1484</v>
      </c>
      <c r="Q477" t="s">
        <v>1671</v>
      </c>
      <c r="R477" t="s">
        <v>248</v>
      </c>
      <c r="S477">
        <v>0</v>
      </c>
      <c r="T477" s="1095">
        <v>0</v>
      </c>
    </row>
    <row r="478" spans="12:20">
      <c r="L478" s="1134">
        <v>3641</v>
      </c>
      <c r="M478" s="1135" t="s">
        <v>1599</v>
      </c>
      <c r="N478" s="1136">
        <v>1.04</v>
      </c>
      <c r="P478" s="1094">
        <v>1485</v>
      </c>
      <c r="Q478" t="s">
        <v>1672</v>
      </c>
      <c r="R478" t="s">
        <v>248</v>
      </c>
      <c r="S478">
        <v>0</v>
      </c>
      <c r="T478" s="1095">
        <v>0</v>
      </c>
    </row>
    <row r="479" spans="12:20">
      <c r="L479" s="1134">
        <v>3643</v>
      </c>
      <c r="M479" s="1135" t="s">
        <v>1599</v>
      </c>
      <c r="N479" s="1136">
        <v>1.04</v>
      </c>
      <c r="P479" s="1094">
        <v>1487</v>
      </c>
      <c r="Q479" t="s">
        <v>1672</v>
      </c>
      <c r="R479" t="s">
        <v>248</v>
      </c>
      <c r="S479">
        <v>0</v>
      </c>
      <c r="T479" s="1095">
        <v>0</v>
      </c>
    </row>
    <row r="480" spans="12:20">
      <c r="L480" s="1134">
        <v>3644</v>
      </c>
      <c r="M480" s="1135" t="s">
        <v>1599</v>
      </c>
      <c r="N480" s="1136">
        <v>1.04</v>
      </c>
      <c r="P480" s="1094">
        <v>1490</v>
      </c>
      <c r="Q480" t="s">
        <v>1673</v>
      </c>
      <c r="R480" t="s">
        <v>248</v>
      </c>
      <c r="S480">
        <v>0</v>
      </c>
      <c r="T480" s="1095">
        <v>0</v>
      </c>
    </row>
    <row r="481" spans="12:20">
      <c r="L481" s="1134">
        <v>3646</v>
      </c>
      <c r="M481" s="1135" t="s">
        <v>1599</v>
      </c>
      <c r="N481" s="1136">
        <v>1.04</v>
      </c>
      <c r="P481" s="1094">
        <v>1493</v>
      </c>
      <c r="Q481" t="s">
        <v>1674</v>
      </c>
      <c r="R481" t="s">
        <v>248</v>
      </c>
      <c r="S481">
        <v>0</v>
      </c>
      <c r="T481" s="1095">
        <v>0</v>
      </c>
    </row>
    <row r="482" spans="12:20">
      <c r="L482" s="1134">
        <v>3647</v>
      </c>
      <c r="M482" s="1135" t="s">
        <v>1599</v>
      </c>
      <c r="N482" s="1136">
        <v>1.04</v>
      </c>
      <c r="P482" s="1094">
        <v>1495</v>
      </c>
      <c r="Q482" t="s">
        <v>1675</v>
      </c>
      <c r="R482" t="s">
        <v>248</v>
      </c>
      <c r="S482">
        <v>0</v>
      </c>
      <c r="T482" s="1095">
        <v>0</v>
      </c>
    </row>
    <row r="483" spans="12:20">
      <c r="L483" s="1134">
        <v>3649</v>
      </c>
      <c r="M483" s="1135" t="s">
        <v>1599</v>
      </c>
      <c r="N483" s="1136">
        <v>1.04</v>
      </c>
      <c r="P483" s="1094">
        <v>1499</v>
      </c>
      <c r="Q483" t="s">
        <v>1676</v>
      </c>
      <c r="R483" t="s">
        <v>248</v>
      </c>
      <c r="S483">
        <v>0</v>
      </c>
      <c r="T483" s="1095">
        <v>0</v>
      </c>
    </row>
    <row r="484" spans="12:20">
      <c r="L484" s="1134">
        <v>3658</v>
      </c>
      <c r="M484" s="1135" t="s">
        <v>1599</v>
      </c>
      <c r="N484" s="1136">
        <v>1.04</v>
      </c>
      <c r="P484" s="1094">
        <v>1515</v>
      </c>
      <c r="Q484" t="s">
        <v>1677</v>
      </c>
      <c r="R484" t="s">
        <v>248</v>
      </c>
      <c r="S484">
        <v>0</v>
      </c>
      <c r="T484" s="1095">
        <v>0</v>
      </c>
    </row>
    <row r="485" spans="12:20">
      <c r="L485" s="1134">
        <v>3659</v>
      </c>
      <c r="M485" s="1135" t="s">
        <v>1599</v>
      </c>
      <c r="N485" s="1136">
        <v>1.04</v>
      </c>
      <c r="P485" s="1094">
        <v>1560</v>
      </c>
      <c r="Q485" t="s">
        <v>1678</v>
      </c>
      <c r="R485" t="s">
        <v>248</v>
      </c>
      <c r="S485">
        <v>0</v>
      </c>
      <c r="T485" s="1095">
        <v>0</v>
      </c>
    </row>
    <row r="486" spans="12:20">
      <c r="L486" s="1134">
        <v>3660</v>
      </c>
      <c r="M486" s="1135" t="s">
        <v>1599</v>
      </c>
      <c r="N486" s="1136">
        <v>1.04</v>
      </c>
      <c r="P486" s="1094">
        <v>1565</v>
      </c>
      <c r="Q486" t="s">
        <v>1679</v>
      </c>
      <c r="R486" t="s">
        <v>248</v>
      </c>
      <c r="S486">
        <v>0</v>
      </c>
      <c r="T486" s="1095">
        <v>0</v>
      </c>
    </row>
    <row r="487" spans="12:20">
      <c r="L487" s="1134">
        <v>3661</v>
      </c>
      <c r="M487" s="1135" t="s">
        <v>1599</v>
      </c>
      <c r="N487" s="1136">
        <v>1.04</v>
      </c>
      <c r="P487" s="1094">
        <v>1570</v>
      </c>
      <c r="Q487" t="s">
        <v>1680</v>
      </c>
      <c r="R487" t="s">
        <v>248</v>
      </c>
      <c r="S487">
        <v>0</v>
      </c>
      <c r="T487" s="1095">
        <v>0</v>
      </c>
    </row>
    <row r="488" spans="12:20">
      <c r="L488" s="1134">
        <v>3662</v>
      </c>
      <c r="M488" s="1135" t="s">
        <v>1599</v>
      </c>
      <c r="N488" s="1136">
        <v>1.04</v>
      </c>
      <c r="P488" s="1094">
        <v>1582</v>
      </c>
      <c r="Q488" t="s">
        <v>1681</v>
      </c>
      <c r="R488" t="s">
        <v>248</v>
      </c>
      <c r="S488">
        <v>0</v>
      </c>
      <c r="T488" s="1095">
        <v>0</v>
      </c>
    </row>
    <row r="489" spans="12:20">
      <c r="L489" s="1134">
        <v>3663</v>
      </c>
      <c r="M489" s="1135" t="s">
        <v>1599</v>
      </c>
      <c r="N489" s="1136">
        <v>1.04</v>
      </c>
      <c r="P489" s="1094">
        <v>1585</v>
      </c>
      <c r="Q489" t="s">
        <v>1681</v>
      </c>
      <c r="R489" t="s">
        <v>248</v>
      </c>
      <c r="S489">
        <v>0</v>
      </c>
      <c r="T489" s="1095">
        <v>0</v>
      </c>
    </row>
    <row r="490" spans="12:20">
      <c r="L490" s="1134">
        <v>3664</v>
      </c>
      <c r="M490" s="1135" t="s">
        <v>1599</v>
      </c>
      <c r="N490" s="1136">
        <v>1.04</v>
      </c>
      <c r="P490" s="1094">
        <v>1590</v>
      </c>
      <c r="Q490" t="s">
        <v>1682</v>
      </c>
      <c r="R490" t="s">
        <v>248</v>
      </c>
      <c r="S490">
        <v>0</v>
      </c>
      <c r="T490" s="1095">
        <v>0</v>
      </c>
    </row>
    <row r="491" spans="12:20">
      <c r="L491" s="1134">
        <v>3665</v>
      </c>
      <c r="M491" s="1135" t="s">
        <v>1599</v>
      </c>
      <c r="N491" s="1136">
        <v>1.04</v>
      </c>
      <c r="P491" s="1094">
        <v>1595</v>
      </c>
      <c r="Q491" t="s">
        <v>1683</v>
      </c>
      <c r="R491" t="s">
        <v>248</v>
      </c>
      <c r="S491">
        <v>0</v>
      </c>
      <c r="T491" s="1095">
        <v>0</v>
      </c>
    </row>
    <row r="492" spans="12:20">
      <c r="L492" s="1134">
        <v>3666</v>
      </c>
      <c r="M492" s="1135" t="s">
        <v>1599</v>
      </c>
      <c r="N492" s="1136">
        <v>1.04</v>
      </c>
      <c r="P492" s="1094">
        <v>1597</v>
      </c>
      <c r="Q492" t="s">
        <v>1683</v>
      </c>
      <c r="R492" t="s">
        <v>248</v>
      </c>
      <c r="S492">
        <v>0</v>
      </c>
      <c r="T492" s="1095">
        <v>0</v>
      </c>
    </row>
    <row r="493" spans="12:20">
      <c r="L493" s="1134">
        <v>3669</v>
      </c>
      <c r="M493" s="1135" t="s">
        <v>1599</v>
      </c>
      <c r="N493" s="1136">
        <v>1.04</v>
      </c>
      <c r="P493" s="1094">
        <v>1602</v>
      </c>
      <c r="Q493" t="s">
        <v>1684</v>
      </c>
      <c r="R493" t="s">
        <v>248</v>
      </c>
      <c r="S493">
        <v>0</v>
      </c>
      <c r="T493" s="1095">
        <v>0</v>
      </c>
    </row>
    <row r="494" spans="12:20">
      <c r="L494" s="1134">
        <v>3670</v>
      </c>
      <c r="M494" s="1135" t="s">
        <v>1599</v>
      </c>
      <c r="N494" s="1136">
        <v>1.04</v>
      </c>
      <c r="P494" s="1094">
        <v>1608</v>
      </c>
      <c r="Q494" t="s">
        <v>1684</v>
      </c>
      <c r="R494" t="s">
        <v>248</v>
      </c>
      <c r="S494">
        <v>0</v>
      </c>
      <c r="T494" s="1095">
        <v>0</v>
      </c>
    </row>
    <row r="495" spans="12:20">
      <c r="L495" s="1134">
        <v>3671</v>
      </c>
      <c r="M495" s="1135" t="s">
        <v>1599</v>
      </c>
      <c r="N495" s="1136">
        <v>1.04</v>
      </c>
      <c r="P495" s="1094">
        <v>1610</v>
      </c>
      <c r="Q495" t="s">
        <v>1684</v>
      </c>
      <c r="R495" t="s">
        <v>248</v>
      </c>
      <c r="S495">
        <v>0</v>
      </c>
      <c r="T495" s="1095">
        <v>0</v>
      </c>
    </row>
    <row r="496" spans="12:20">
      <c r="L496" s="1134">
        <v>3672</v>
      </c>
      <c r="M496" s="1135" t="s">
        <v>1599</v>
      </c>
      <c r="N496" s="1136">
        <v>1.04</v>
      </c>
      <c r="P496" s="1094">
        <v>1611</v>
      </c>
      <c r="Q496" t="s">
        <v>1684</v>
      </c>
      <c r="R496" t="s">
        <v>248</v>
      </c>
      <c r="S496">
        <v>0</v>
      </c>
      <c r="T496" s="1095">
        <v>0</v>
      </c>
    </row>
    <row r="497" spans="12:20">
      <c r="L497" s="1134">
        <v>3673</v>
      </c>
      <c r="M497" s="1135" t="s">
        <v>1599</v>
      </c>
      <c r="N497" s="1136">
        <v>1.04</v>
      </c>
      <c r="P497" s="1094">
        <v>1630</v>
      </c>
      <c r="Q497" t="s">
        <v>1685</v>
      </c>
      <c r="R497" t="s">
        <v>248</v>
      </c>
      <c r="S497">
        <v>0</v>
      </c>
      <c r="T497" s="1095">
        <v>0</v>
      </c>
    </row>
    <row r="498" spans="12:20">
      <c r="L498" s="1134">
        <v>3675</v>
      </c>
      <c r="M498" s="1135" t="s">
        <v>1599</v>
      </c>
      <c r="N498" s="1136">
        <v>1.04</v>
      </c>
      <c r="P498" s="1094">
        <v>1635</v>
      </c>
      <c r="Q498" t="s">
        <v>1686</v>
      </c>
      <c r="R498" t="s">
        <v>248</v>
      </c>
      <c r="S498">
        <v>0</v>
      </c>
      <c r="T498" s="1095">
        <v>0</v>
      </c>
    </row>
    <row r="499" spans="12:20">
      <c r="L499" s="1134">
        <v>3676</v>
      </c>
      <c r="M499" s="1135" t="s">
        <v>1599</v>
      </c>
      <c r="N499" s="1136">
        <v>1.04</v>
      </c>
      <c r="P499" s="1094">
        <v>1639</v>
      </c>
      <c r="Q499" t="s">
        <v>1687</v>
      </c>
      <c r="R499" t="s">
        <v>248</v>
      </c>
      <c r="S499">
        <v>0</v>
      </c>
      <c r="T499" s="1095">
        <v>0</v>
      </c>
    </row>
    <row r="500" spans="12:20">
      <c r="L500" s="1134">
        <v>3677</v>
      </c>
      <c r="M500" s="1135" t="s">
        <v>1599</v>
      </c>
      <c r="N500" s="1136">
        <v>1.04</v>
      </c>
      <c r="P500" s="1094">
        <v>1640</v>
      </c>
      <c r="Q500" t="s">
        <v>1687</v>
      </c>
      <c r="R500" t="s">
        <v>248</v>
      </c>
      <c r="S500">
        <v>0</v>
      </c>
      <c r="T500" s="1095">
        <v>0</v>
      </c>
    </row>
    <row r="501" spans="12:20">
      <c r="L501" s="1134">
        <v>3678</v>
      </c>
      <c r="M501" s="1135" t="s">
        <v>1599</v>
      </c>
      <c r="N501" s="1136">
        <v>1.04</v>
      </c>
      <c r="P501" s="1094">
        <v>1655</v>
      </c>
      <c r="Q501" t="s">
        <v>1688</v>
      </c>
      <c r="R501" t="s">
        <v>248</v>
      </c>
      <c r="S501">
        <v>0</v>
      </c>
      <c r="T501" s="1095">
        <v>0</v>
      </c>
    </row>
    <row r="502" spans="12:20">
      <c r="L502" s="1134">
        <v>3682</v>
      </c>
      <c r="M502" s="1135" t="s">
        <v>1599</v>
      </c>
      <c r="N502" s="1136">
        <v>1.04</v>
      </c>
      <c r="P502" s="1094">
        <v>1658</v>
      </c>
      <c r="Q502" t="s">
        <v>1689</v>
      </c>
      <c r="R502" t="s">
        <v>248</v>
      </c>
      <c r="S502">
        <v>0</v>
      </c>
      <c r="T502" s="1095">
        <v>0</v>
      </c>
    </row>
    <row r="503" spans="12:20">
      <c r="L503" s="1134">
        <v>3683</v>
      </c>
      <c r="M503" s="1135" t="s">
        <v>1599</v>
      </c>
      <c r="N503" s="1136">
        <v>1.04</v>
      </c>
      <c r="P503" s="1094">
        <v>1660</v>
      </c>
      <c r="Q503" t="s">
        <v>1689</v>
      </c>
      <c r="R503" t="s">
        <v>248</v>
      </c>
      <c r="S503">
        <v>0</v>
      </c>
      <c r="T503" s="1095">
        <v>0</v>
      </c>
    </row>
    <row r="504" spans="12:20">
      <c r="L504" s="1134">
        <v>3685</v>
      </c>
      <c r="M504" s="1135" t="s">
        <v>1599</v>
      </c>
      <c r="N504" s="1136">
        <v>1.04</v>
      </c>
      <c r="P504" s="1094">
        <v>1670</v>
      </c>
      <c r="Q504" t="s">
        <v>1690</v>
      </c>
      <c r="R504" t="s">
        <v>248</v>
      </c>
      <c r="S504">
        <v>0</v>
      </c>
      <c r="T504" s="1095">
        <v>0</v>
      </c>
    </row>
    <row r="505" spans="12:20">
      <c r="L505" s="1134">
        <v>3687</v>
      </c>
      <c r="M505" s="1135" t="s">
        <v>1599</v>
      </c>
      <c r="N505" s="1136">
        <v>1.04</v>
      </c>
      <c r="P505" s="1094">
        <v>1675</v>
      </c>
      <c r="Q505" t="s">
        <v>1691</v>
      </c>
      <c r="R505" t="s">
        <v>248</v>
      </c>
      <c r="S505">
        <v>0</v>
      </c>
      <c r="T505" s="1095">
        <v>0</v>
      </c>
    </row>
    <row r="506" spans="12:20">
      <c r="L506" s="1134">
        <v>3688</v>
      </c>
      <c r="M506" s="1135" t="s">
        <v>1599</v>
      </c>
      <c r="N506" s="1136">
        <v>1.04</v>
      </c>
      <c r="P506" s="1094">
        <v>1680</v>
      </c>
      <c r="Q506" t="s">
        <v>1692</v>
      </c>
      <c r="R506" t="s">
        <v>248</v>
      </c>
      <c r="S506">
        <v>0</v>
      </c>
      <c r="T506" s="1095">
        <v>0</v>
      </c>
    </row>
    <row r="507" spans="12:20">
      <c r="L507" s="1134">
        <v>3689</v>
      </c>
      <c r="M507" s="1135" t="s">
        <v>1599</v>
      </c>
      <c r="N507" s="1136">
        <v>1.04</v>
      </c>
      <c r="P507" s="1094">
        <v>1685</v>
      </c>
      <c r="Q507" t="s">
        <v>1693</v>
      </c>
      <c r="R507" t="s">
        <v>248</v>
      </c>
      <c r="S507">
        <v>0</v>
      </c>
      <c r="T507" s="1095">
        <v>0</v>
      </c>
    </row>
    <row r="508" spans="12:20">
      <c r="L508" s="1134">
        <v>3690</v>
      </c>
      <c r="M508" s="1135" t="s">
        <v>1599</v>
      </c>
      <c r="N508" s="1136">
        <v>1.04</v>
      </c>
      <c r="P508" s="1094">
        <v>1690</v>
      </c>
      <c r="Q508" t="s">
        <v>1694</v>
      </c>
      <c r="R508" t="s">
        <v>248</v>
      </c>
      <c r="S508">
        <v>0</v>
      </c>
      <c r="T508" s="1095">
        <v>0</v>
      </c>
    </row>
    <row r="509" spans="12:20">
      <c r="L509" s="1134">
        <v>3691</v>
      </c>
      <c r="M509" s="1135" t="s">
        <v>1599</v>
      </c>
      <c r="N509" s="1136">
        <v>1.04</v>
      </c>
      <c r="P509" s="1094">
        <v>1691</v>
      </c>
      <c r="Q509" t="s">
        <v>1694</v>
      </c>
      <c r="R509" t="s">
        <v>248</v>
      </c>
      <c r="S509">
        <v>0</v>
      </c>
      <c r="T509" s="1095">
        <v>0</v>
      </c>
    </row>
    <row r="510" spans="12:20">
      <c r="L510" s="1134">
        <v>3694</v>
      </c>
      <c r="M510" s="1135" t="s">
        <v>1599</v>
      </c>
      <c r="N510" s="1136">
        <v>1.04</v>
      </c>
      <c r="P510" s="1094">
        <v>1692</v>
      </c>
      <c r="Q510" t="s">
        <v>1694</v>
      </c>
      <c r="R510" t="s">
        <v>248</v>
      </c>
      <c r="S510">
        <v>0</v>
      </c>
      <c r="T510" s="1095">
        <v>0</v>
      </c>
    </row>
    <row r="511" spans="12:20">
      <c r="L511" s="1134">
        <v>3695</v>
      </c>
      <c r="M511" s="1135" t="s">
        <v>1599</v>
      </c>
      <c r="N511" s="1136">
        <v>1.04</v>
      </c>
      <c r="P511" s="1094">
        <v>1693</v>
      </c>
      <c r="Q511" t="s">
        <v>1694</v>
      </c>
      <c r="R511" t="s">
        <v>248</v>
      </c>
      <c r="S511">
        <v>0</v>
      </c>
      <c r="T511" s="1095">
        <v>0</v>
      </c>
    </row>
    <row r="512" spans="12:20">
      <c r="L512" s="1134">
        <v>3697</v>
      </c>
      <c r="M512" s="1135" t="s">
        <v>1599</v>
      </c>
      <c r="N512" s="1136">
        <v>1.04</v>
      </c>
      <c r="P512" s="1094">
        <v>1694</v>
      </c>
      <c r="Q512" t="s">
        <v>1694</v>
      </c>
      <c r="R512" t="s">
        <v>248</v>
      </c>
      <c r="S512">
        <v>0</v>
      </c>
      <c r="T512" s="1095">
        <v>0</v>
      </c>
    </row>
    <row r="513" spans="12:20">
      <c r="L513" s="1134">
        <v>3698</v>
      </c>
      <c r="M513" s="1135" t="s">
        <v>1599</v>
      </c>
      <c r="N513" s="1136">
        <v>1.04</v>
      </c>
      <c r="P513" s="1094">
        <v>1695</v>
      </c>
      <c r="Q513" t="s">
        <v>1694</v>
      </c>
      <c r="R513" t="s">
        <v>248</v>
      </c>
      <c r="S513">
        <v>0</v>
      </c>
      <c r="T513" s="1095">
        <v>0</v>
      </c>
    </row>
    <row r="514" spans="12:20">
      <c r="L514" s="1134">
        <v>3699</v>
      </c>
      <c r="M514" s="1135" t="s">
        <v>1599</v>
      </c>
      <c r="N514" s="1136">
        <v>1.04</v>
      </c>
      <c r="P514" s="1094">
        <v>1696</v>
      </c>
      <c r="Q514" t="s">
        <v>1694</v>
      </c>
      <c r="R514" t="s">
        <v>248</v>
      </c>
      <c r="S514">
        <v>0</v>
      </c>
      <c r="T514" s="1095">
        <v>0</v>
      </c>
    </row>
    <row r="515" spans="12:20">
      <c r="L515" s="1134">
        <v>3700</v>
      </c>
      <c r="M515" s="1135" t="s">
        <v>1599</v>
      </c>
      <c r="N515" s="1136">
        <v>1.04</v>
      </c>
      <c r="P515" s="1094">
        <v>1697</v>
      </c>
      <c r="Q515" t="s">
        <v>1694</v>
      </c>
      <c r="R515" t="s">
        <v>248</v>
      </c>
      <c r="S515">
        <v>0</v>
      </c>
      <c r="T515" s="1095">
        <v>0</v>
      </c>
    </row>
    <row r="516" spans="12:20">
      <c r="L516" s="1134">
        <v>3701</v>
      </c>
      <c r="M516" s="1135" t="s">
        <v>1599</v>
      </c>
      <c r="N516" s="1136">
        <v>1.04</v>
      </c>
      <c r="P516" s="1094">
        <v>1698</v>
      </c>
      <c r="Q516" t="s">
        <v>1694</v>
      </c>
      <c r="R516" t="s">
        <v>248</v>
      </c>
      <c r="S516">
        <v>0</v>
      </c>
      <c r="T516" s="1095">
        <v>0</v>
      </c>
    </row>
    <row r="517" spans="12:20">
      <c r="L517" s="1134">
        <v>3704</v>
      </c>
      <c r="M517" s="1135" t="s">
        <v>1599</v>
      </c>
      <c r="N517" s="1136">
        <v>1.04</v>
      </c>
      <c r="P517" s="1094">
        <v>1699</v>
      </c>
      <c r="Q517" t="s">
        <v>1694</v>
      </c>
      <c r="R517" t="s">
        <v>248</v>
      </c>
      <c r="S517">
        <v>0</v>
      </c>
      <c r="T517" s="1095">
        <v>0</v>
      </c>
    </row>
    <row r="518" spans="12:20">
      <c r="L518" s="1134">
        <v>3705</v>
      </c>
      <c r="M518" s="1135" t="s">
        <v>1599</v>
      </c>
      <c r="N518" s="1136">
        <v>1.04</v>
      </c>
      <c r="P518" s="1094">
        <v>1700</v>
      </c>
      <c r="Q518" t="s">
        <v>1695</v>
      </c>
      <c r="R518" t="s">
        <v>248</v>
      </c>
      <c r="S518">
        <v>0</v>
      </c>
      <c r="T518" s="1095">
        <v>0</v>
      </c>
    </row>
    <row r="519" spans="12:20">
      <c r="L519" s="1134">
        <v>3707</v>
      </c>
      <c r="M519" s="1135" t="s">
        <v>1599</v>
      </c>
      <c r="N519" s="1136">
        <v>1.04</v>
      </c>
      <c r="P519" s="1094">
        <v>1701</v>
      </c>
      <c r="Q519" t="s">
        <v>1696</v>
      </c>
      <c r="R519" t="s">
        <v>248</v>
      </c>
      <c r="S519">
        <v>0</v>
      </c>
      <c r="T519" s="1095">
        <v>0</v>
      </c>
    </row>
    <row r="520" spans="12:20">
      <c r="L520" s="1134">
        <v>3708</v>
      </c>
      <c r="M520" s="1135" t="s">
        <v>1599</v>
      </c>
      <c r="N520" s="1136">
        <v>1.04</v>
      </c>
      <c r="P520" s="1094">
        <v>1710</v>
      </c>
      <c r="Q520" t="s">
        <v>1697</v>
      </c>
      <c r="R520" t="s">
        <v>248</v>
      </c>
      <c r="S520">
        <v>0</v>
      </c>
      <c r="T520" s="1095">
        <v>0</v>
      </c>
    </row>
    <row r="521" spans="12:20">
      <c r="L521" s="1134">
        <v>3709</v>
      </c>
      <c r="M521" s="1135" t="s">
        <v>1599</v>
      </c>
      <c r="N521" s="1136">
        <v>1.04</v>
      </c>
      <c r="P521" s="1094">
        <v>1712</v>
      </c>
      <c r="Q521" t="s">
        <v>1697</v>
      </c>
      <c r="R521" t="s">
        <v>248</v>
      </c>
      <c r="S521">
        <v>0</v>
      </c>
      <c r="T521" s="1095">
        <v>0</v>
      </c>
    </row>
    <row r="522" spans="12:20">
      <c r="L522" s="1134">
        <v>3711</v>
      </c>
      <c r="M522" s="1135" t="s">
        <v>1599</v>
      </c>
      <c r="N522" s="1136">
        <v>1.04</v>
      </c>
      <c r="P522" s="1094">
        <v>1715</v>
      </c>
      <c r="Q522" t="s">
        <v>1698</v>
      </c>
      <c r="R522" t="s">
        <v>248</v>
      </c>
      <c r="S522">
        <v>0</v>
      </c>
      <c r="T522" s="1095">
        <v>0</v>
      </c>
    </row>
    <row r="523" spans="12:20">
      <c r="L523" s="1134">
        <v>3712</v>
      </c>
      <c r="M523" s="1135" t="s">
        <v>1599</v>
      </c>
      <c r="N523" s="1136">
        <v>1.04</v>
      </c>
      <c r="P523" s="1094">
        <v>1730</v>
      </c>
      <c r="Q523" t="s">
        <v>1699</v>
      </c>
      <c r="R523" t="s">
        <v>248</v>
      </c>
      <c r="S523">
        <v>0</v>
      </c>
      <c r="T523" s="1095">
        <v>0</v>
      </c>
    </row>
    <row r="524" spans="12:20">
      <c r="L524" s="1134">
        <v>3713</v>
      </c>
      <c r="M524" s="1135" t="s">
        <v>1599</v>
      </c>
      <c r="N524" s="1136">
        <v>1.04</v>
      </c>
      <c r="P524" s="1094">
        <v>1740</v>
      </c>
      <c r="Q524" t="s">
        <v>1700</v>
      </c>
      <c r="R524" t="s">
        <v>248</v>
      </c>
      <c r="S524">
        <v>0</v>
      </c>
      <c r="T524" s="1095">
        <v>0</v>
      </c>
    </row>
    <row r="525" spans="12:20">
      <c r="L525" s="1134">
        <v>3714</v>
      </c>
      <c r="M525" s="1135" t="s">
        <v>1599</v>
      </c>
      <c r="N525" s="1136">
        <v>1.04</v>
      </c>
      <c r="P525" s="1094">
        <v>1741</v>
      </c>
      <c r="Q525" t="s">
        <v>1700</v>
      </c>
      <c r="R525" t="s">
        <v>248</v>
      </c>
      <c r="S525">
        <v>0</v>
      </c>
      <c r="T525" s="1095">
        <v>0</v>
      </c>
    </row>
    <row r="526" spans="12:20">
      <c r="L526" s="1134">
        <v>3715</v>
      </c>
      <c r="M526" s="1135" t="s">
        <v>1599</v>
      </c>
      <c r="N526" s="1136">
        <v>1.04</v>
      </c>
      <c r="P526" s="1094">
        <v>1750</v>
      </c>
      <c r="Q526" t="s">
        <v>1701</v>
      </c>
      <c r="R526" t="s">
        <v>248</v>
      </c>
      <c r="S526">
        <v>0</v>
      </c>
      <c r="T526" s="1095">
        <v>0</v>
      </c>
    </row>
    <row r="527" spans="12:20">
      <c r="L527" s="1134">
        <v>3717</v>
      </c>
      <c r="M527" s="1135" t="s">
        <v>1599</v>
      </c>
      <c r="N527" s="1136">
        <v>1.04</v>
      </c>
      <c r="P527" s="1094">
        <v>1755</v>
      </c>
      <c r="Q527" t="s">
        <v>1702</v>
      </c>
      <c r="R527" t="s">
        <v>248</v>
      </c>
      <c r="S527">
        <v>0</v>
      </c>
      <c r="T527" s="1095">
        <v>0</v>
      </c>
    </row>
    <row r="528" spans="12:20">
      <c r="L528" s="1134">
        <v>3718</v>
      </c>
      <c r="M528" s="1135" t="s">
        <v>1599</v>
      </c>
      <c r="N528" s="1136">
        <v>1.04</v>
      </c>
      <c r="P528" s="1094">
        <v>1765</v>
      </c>
      <c r="Q528" t="s">
        <v>1703</v>
      </c>
      <c r="R528" t="s">
        <v>248</v>
      </c>
      <c r="S528">
        <v>0</v>
      </c>
      <c r="T528" s="1095">
        <v>0</v>
      </c>
    </row>
    <row r="529" spans="12:20">
      <c r="L529" s="1134">
        <v>3719</v>
      </c>
      <c r="M529" s="1135" t="s">
        <v>1599</v>
      </c>
      <c r="N529" s="1136">
        <v>1.04</v>
      </c>
      <c r="P529" s="1094">
        <v>1771</v>
      </c>
      <c r="Q529" t="s">
        <v>1698</v>
      </c>
      <c r="R529" t="s">
        <v>248</v>
      </c>
      <c r="S529">
        <v>0</v>
      </c>
      <c r="T529" s="1095">
        <v>0</v>
      </c>
    </row>
    <row r="530" spans="12:20">
      <c r="L530" s="1134">
        <v>3720</v>
      </c>
      <c r="M530" s="1135" t="s">
        <v>1599</v>
      </c>
      <c r="N530" s="1136">
        <v>1.04</v>
      </c>
      <c r="P530" s="1094">
        <v>1781</v>
      </c>
      <c r="Q530" t="s">
        <v>1704</v>
      </c>
      <c r="R530" t="s">
        <v>248</v>
      </c>
      <c r="S530">
        <v>0</v>
      </c>
      <c r="T530" s="1095">
        <v>0</v>
      </c>
    </row>
    <row r="531" spans="12:20">
      <c r="L531" s="1134">
        <v>3722</v>
      </c>
      <c r="M531" s="1135" t="s">
        <v>1599</v>
      </c>
      <c r="N531" s="1136">
        <v>1.04</v>
      </c>
      <c r="P531" s="1094">
        <v>1790</v>
      </c>
      <c r="Q531" t="s">
        <v>1705</v>
      </c>
      <c r="R531" t="s">
        <v>248</v>
      </c>
      <c r="S531">
        <v>0</v>
      </c>
      <c r="T531" s="1095">
        <v>0</v>
      </c>
    </row>
    <row r="532" spans="12:20">
      <c r="L532" s="1134">
        <v>3723</v>
      </c>
      <c r="M532" s="1135" t="s">
        <v>1599</v>
      </c>
      <c r="N532" s="1136">
        <v>1.04</v>
      </c>
      <c r="P532" s="1094">
        <v>1797</v>
      </c>
      <c r="Q532" t="s">
        <v>1706</v>
      </c>
      <c r="R532" t="s">
        <v>248</v>
      </c>
      <c r="S532">
        <v>0</v>
      </c>
      <c r="T532" s="1095">
        <v>0</v>
      </c>
    </row>
    <row r="533" spans="12:20">
      <c r="L533" s="1134">
        <v>3724</v>
      </c>
      <c r="M533" s="1135" t="s">
        <v>1599</v>
      </c>
      <c r="N533" s="1136">
        <v>1.04</v>
      </c>
      <c r="P533" s="1094">
        <v>1800</v>
      </c>
      <c r="Q533" t="s">
        <v>1707</v>
      </c>
      <c r="R533" t="s">
        <v>248</v>
      </c>
      <c r="S533">
        <v>0</v>
      </c>
      <c r="T533" s="1095">
        <v>0</v>
      </c>
    </row>
    <row r="534" spans="12:20">
      <c r="L534" s="1134">
        <v>3725</v>
      </c>
      <c r="M534" s="1135" t="s">
        <v>1599</v>
      </c>
      <c r="N534" s="1136">
        <v>1.04</v>
      </c>
      <c r="P534" s="1094">
        <v>1805</v>
      </c>
      <c r="Q534" t="s">
        <v>1708</v>
      </c>
      <c r="R534" t="s">
        <v>248</v>
      </c>
      <c r="S534">
        <v>0</v>
      </c>
      <c r="T534" s="1095">
        <v>0</v>
      </c>
    </row>
    <row r="535" spans="12:20">
      <c r="L535" s="1134">
        <v>3726</v>
      </c>
      <c r="M535" s="1135" t="s">
        <v>1599</v>
      </c>
      <c r="N535" s="1136">
        <v>1.04</v>
      </c>
      <c r="P535" s="1094">
        <v>1811</v>
      </c>
      <c r="Q535" t="s">
        <v>1709</v>
      </c>
      <c r="R535" t="s">
        <v>248</v>
      </c>
      <c r="S535">
        <v>0</v>
      </c>
      <c r="T535" s="1095">
        <v>0</v>
      </c>
    </row>
    <row r="536" spans="12:20">
      <c r="L536" s="1134">
        <v>3727</v>
      </c>
      <c r="M536" s="1135" t="s">
        <v>1599</v>
      </c>
      <c r="N536" s="1136">
        <v>1.04</v>
      </c>
      <c r="P536" s="1094">
        <v>1816</v>
      </c>
      <c r="Q536" t="s">
        <v>1710</v>
      </c>
      <c r="R536" t="s">
        <v>248</v>
      </c>
      <c r="S536">
        <v>0</v>
      </c>
      <c r="T536" s="1095">
        <v>0</v>
      </c>
    </row>
    <row r="537" spans="12:20">
      <c r="L537" s="1134">
        <v>3728</v>
      </c>
      <c r="M537" s="1135" t="s">
        <v>1599</v>
      </c>
      <c r="N537" s="1136">
        <v>1.04</v>
      </c>
      <c r="P537" s="1094">
        <v>1819</v>
      </c>
      <c r="Q537" t="s">
        <v>1710</v>
      </c>
      <c r="R537" t="s">
        <v>248</v>
      </c>
      <c r="S537">
        <v>0</v>
      </c>
      <c r="T537" s="1095">
        <v>0</v>
      </c>
    </row>
    <row r="538" spans="12:20">
      <c r="L538" s="1134">
        <v>3730</v>
      </c>
      <c r="M538" s="1135" t="s">
        <v>1599</v>
      </c>
      <c r="N538" s="1136">
        <v>1.04</v>
      </c>
      <c r="P538" s="1094">
        <v>1825</v>
      </c>
      <c r="Q538" t="s">
        <v>1711</v>
      </c>
      <c r="R538" t="s">
        <v>248</v>
      </c>
      <c r="S538">
        <v>0</v>
      </c>
      <c r="T538" s="1095">
        <v>0</v>
      </c>
    </row>
    <row r="539" spans="12:20">
      <c r="L539" s="1134">
        <v>3732</v>
      </c>
      <c r="M539" s="1135" t="s">
        <v>1599</v>
      </c>
      <c r="N539" s="1136">
        <v>1.04</v>
      </c>
      <c r="P539" s="1094">
        <v>1826</v>
      </c>
      <c r="Q539" t="s">
        <v>1711</v>
      </c>
      <c r="R539" t="s">
        <v>248</v>
      </c>
      <c r="S539">
        <v>0</v>
      </c>
      <c r="T539" s="1095">
        <v>0</v>
      </c>
    </row>
    <row r="540" spans="12:20">
      <c r="L540" s="1134">
        <v>3733</v>
      </c>
      <c r="M540" s="1135" t="s">
        <v>1599</v>
      </c>
      <c r="N540" s="1136">
        <v>1.04</v>
      </c>
      <c r="P540" s="1094">
        <v>1830</v>
      </c>
      <c r="Q540" t="s">
        <v>1712</v>
      </c>
      <c r="R540" t="s">
        <v>248</v>
      </c>
      <c r="S540">
        <v>0</v>
      </c>
      <c r="T540" s="1095">
        <v>0</v>
      </c>
    </row>
    <row r="541" spans="12:20">
      <c r="L541" s="1134">
        <v>3735</v>
      </c>
      <c r="M541" s="1135" t="s">
        <v>1599</v>
      </c>
      <c r="N541" s="1136">
        <v>1.04</v>
      </c>
      <c r="P541" s="1094">
        <v>1831</v>
      </c>
      <c r="Q541" t="s">
        <v>1712</v>
      </c>
      <c r="R541" t="s">
        <v>248</v>
      </c>
      <c r="S541">
        <v>0</v>
      </c>
      <c r="T541" s="1095">
        <v>0</v>
      </c>
    </row>
    <row r="542" spans="12:20">
      <c r="L542" s="1134">
        <v>3736</v>
      </c>
      <c r="M542" s="1135" t="s">
        <v>1599</v>
      </c>
      <c r="N542" s="1136">
        <v>1.04</v>
      </c>
      <c r="P542" s="1094">
        <v>1835</v>
      </c>
      <c r="Q542" t="s">
        <v>1713</v>
      </c>
      <c r="R542" t="s">
        <v>248</v>
      </c>
      <c r="S542">
        <v>0</v>
      </c>
      <c r="T542" s="1095">
        <v>0</v>
      </c>
    </row>
    <row r="543" spans="12:20">
      <c r="L543" s="1134">
        <v>3737</v>
      </c>
      <c r="M543" s="1135" t="s">
        <v>1599</v>
      </c>
      <c r="N543" s="1136">
        <v>1.04</v>
      </c>
      <c r="P543" s="1094">
        <v>1848</v>
      </c>
      <c r="Q543" t="s">
        <v>1714</v>
      </c>
      <c r="R543" t="s">
        <v>248</v>
      </c>
      <c r="S543">
        <v>0</v>
      </c>
      <c r="T543" s="1095">
        <v>0</v>
      </c>
    </row>
    <row r="544" spans="12:20">
      <c r="L544" s="1134">
        <v>3738</v>
      </c>
      <c r="M544" s="1135" t="s">
        <v>1599</v>
      </c>
      <c r="N544" s="1136">
        <v>1.04</v>
      </c>
      <c r="P544" s="1094">
        <v>1851</v>
      </c>
      <c r="Q544" t="s">
        <v>1715</v>
      </c>
      <c r="R544" t="s">
        <v>248</v>
      </c>
      <c r="S544">
        <v>0</v>
      </c>
      <c r="T544" s="1095">
        <v>0</v>
      </c>
    </row>
    <row r="545" spans="12:20">
      <c r="L545" s="1134">
        <v>3739</v>
      </c>
      <c r="M545" s="1135" t="s">
        <v>1599</v>
      </c>
      <c r="N545" s="1136">
        <v>1.04</v>
      </c>
      <c r="P545" s="1094">
        <v>1860</v>
      </c>
      <c r="Q545" t="s">
        <v>1716</v>
      </c>
      <c r="R545" t="s">
        <v>248</v>
      </c>
      <c r="S545">
        <v>0</v>
      </c>
      <c r="T545" s="1095">
        <v>0</v>
      </c>
    </row>
    <row r="546" spans="12:20">
      <c r="L546" s="1134">
        <v>3740</v>
      </c>
      <c r="M546" s="1135" t="s">
        <v>1599</v>
      </c>
      <c r="N546" s="1136">
        <v>1.04</v>
      </c>
      <c r="P546" s="1094">
        <v>1871</v>
      </c>
      <c r="Q546" t="s">
        <v>1717</v>
      </c>
      <c r="R546" t="s">
        <v>248</v>
      </c>
      <c r="S546">
        <v>0</v>
      </c>
      <c r="T546" s="1095">
        <v>0</v>
      </c>
    </row>
    <row r="547" spans="12:20">
      <c r="L547" s="1134">
        <v>3741</v>
      </c>
      <c r="M547" s="1135" t="s">
        <v>1599</v>
      </c>
      <c r="N547" s="1136">
        <v>1.04</v>
      </c>
      <c r="P547" s="1094">
        <v>1875</v>
      </c>
      <c r="Q547" t="s">
        <v>1718</v>
      </c>
      <c r="R547" t="s">
        <v>248</v>
      </c>
      <c r="S547">
        <v>0</v>
      </c>
      <c r="T547" s="1095">
        <v>0</v>
      </c>
    </row>
    <row r="548" spans="12:20">
      <c r="L548" s="1134">
        <v>3744</v>
      </c>
      <c r="M548" s="1135" t="s">
        <v>1599</v>
      </c>
      <c r="N548" s="1136">
        <v>1.04</v>
      </c>
      <c r="P548" s="1094">
        <v>1885</v>
      </c>
      <c r="Q548" t="s">
        <v>1719</v>
      </c>
      <c r="R548" t="s">
        <v>248</v>
      </c>
      <c r="S548">
        <v>0</v>
      </c>
      <c r="T548" s="1095">
        <v>0</v>
      </c>
    </row>
    <row r="549" spans="12:20">
      <c r="L549" s="1134">
        <v>3746</v>
      </c>
      <c r="M549" s="1135" t="s">
        <v>1599</v>
      </c>
      <c r="N549" s="1136">
        <v>1.04</v>
      </c>
      <c r="P549" s="1094">
        <v>1888</v>
      </c>
      <c r="Q549" t="s">
        <v>1719</v>
      </c>
      <c r="R549" t="s">
        <v>248</v>
      </c>
      <c r="S549">
        <v>0</v>
      </c>
      <c r="T549" s="1095">
        <v>0</v>
      </c>
    </row>
    <row r="550" spans="12:20">
      <c r="L550" s="1134">
        <v>3747</v>
      </c>
      <c r="M550" s="1135" t="s">
        <v>1599</v>
      </c>
      <c r="N550" s="1136">
        <v>1.04</v>
      </c>
      <c r="P550" s="1094">
        <v>1890</v>
      </c>
      <c r="Q550" t="s">
        <v>1720</v>
      </c>
      <c r="R550" t="s">
        <v>248</v>
      </c>
      <c r="S550">
        <v>0</v>
      </c>
      <c r="T550" s="1095">
        <v>0</v>
      </c>
    </row>
    <row r="551" spans="12:20">
      <c r="L551" s="1134">
        <v>3749</v>
      </c>
      <c r="M551" s="1135" t="s">
        <v>1599</v>
      </c>
      <c r="N551" s="1136">
        <v>1.04</v>
      </c>
      <c r="P551" s="1094">
        <v>1891</v>
      </c>
      <c r="Q551" t="s">
        <v>1721</v>
      </c>
      <c r="R551" t="s">
        <v>248</v>
      </c>
      <c r="S551">
        <v>0</v>
      </c>
      <c r="T551" s="1095">
        <v>0</v>
      </c>
    </row>
    <row r="552" spans="12:20">
      <c r="L552" s="1134">
        <v>3750</v>
      </c>
      <c r="M552" s="1135" t="s">
        <v>1334</v>
      </c>
      <c r="N552" s="1136">
        <v>0.98</v>
      </c>
      <c r="P552" s="1094">
        <v>1900</v>
      </c>
      <c r="Q552" t="s">
        <v>1722</v>
      </c>
      <c r="R552" t="s">
        <v>248</v>
      </c>
      <c r="S552">
        <v>0</v>
      </c>
      <c r="T552" s="1095">
        <v>0</v>
      </c>
    </row>
    <row r="553" spans="12:20">
      <c r="L553" s="1134">
        <v>3751</v>
      </c>
      <c r="M553" s="1135" t="s">
        <v>1334</v>
      </c>
      <c r="N553" s="1136">
        <v>0.98</v>
      </c>
      <c r="P553" s="1094">
        <v>1902</v>
      </c>
      <c r="Q553" t="s">
        <v>1722</v>
      </c>
      <c r="R553" t="s">
        <v>248</v>
      </c>
      <c r="S553">
        <v>0</v>
      </c>
      <c r="T553" s="1095">
        <v>0</v>
      </c>
    </row>
    <row r="554" spans="12:20">
      <c r="L554" s="1134">
        <v>3752</v>
      </c>
      <c r="M554" s="1135" t="s">
        <v>1334</v>
      </c>
      <c r="N554" s="1136">
        <v>0.98</v>
      </c>
      <c r="P554" s="1094">
        <v>200</v>
      </c>
      <c r="Q554" t="s">
        <v>1723</v>
      </c>
      <c r="R554" t="s">
        <v>617</v>
      </c>
      <c r="S554">
        <v>149.11713599999999</v>
      </c>
      <c r="T554" s="1095">
        <v>-35.277272000000004</v>
      </c>
    </row>
    <row r="555" spans="12:20">
      <c r="L555" s="1134">
        <v>3753</v>
      </c>
      <c r="M555" s="1135" t="s">
        <v>1334</v>
      </c>
      <c r="N555" s="1136">
        <v>0.98</v>
      </c>
      <c r="P555" s="1094">
        <v>2000</v>
      </c>
      <c r="Q555" t="s">
        <v>1724</v>
      </c>
      <c r="R555" t="s">
        <v>248</v>
      </c>
      <c r="S555">
        <v>151.25664900000001</v>
      </c>
      <c r="T555" s="1095">
        <v>-33.859952999999997</v>
      </c>
    </row>
    <row r="556" spans="12:20">
      <c r="L556" s="1134">
        <v>3754</v>
      </c>
      <c r="M556" s="1135" t="s">
        <v>1334</v>
      </c>
      <c r="N556" s="1136">
        <v>0.98</v>
      </c>
      <c r="P556" s="1094">
        <v>2000</v>
      </c>
      <c r="Q556" t="s">
        <v>1725</v>
      </c>
      <c r="R556" t="s">
        <v>248</v>
      </c>
      <c r="S556">
        <v>151.25664900000001</v>
      </c>
      <c r="T556" s="1095">
        <v>-33.859952999999997</v>
      </c>
    </row>
    <row r="557" spans="12:20">
      <c r="L557" s="1134">
        <v>3755</v>
      </c>
      <c r="M557" s="1135" t="s">
        <v>1334</v>
      </c>
      <c r="N557" s="1136">
        <v>0.98</v>
      </c>
      <c r="P557" s="1094">
        <v>2000</v>
      </c>
      <c r="Q557" t="s">
        <v>1641</v>
      </c>
      <c r="R557" t="s">
        <v>248</v>
      </c>
      <c r="S557">
        <v>151.25664900000001</v>
      </c>
      <c r="T557" s="1095">
        <v>-33.859952999999997</v>
      </c>
    </row>
    <row r="558" spans="12:20">
      <c r="L558" s="1134">
        <v>3756</v>
      </c>
      <c r="M558" s="1135" t="s">
        <v>1334</v>
      </c>
      <c r="N558" s="1136">
        <v>0.98</v>
      </c>
      <c r="P558" s="1094">
        <v>2000</v>
      </c>
      <c r="Q558" t="s">
        <v>1726</v>
      </c>
      <c r="R558" t="s">
        <v>248</v>
      </c>
      <c r="S558">
        <v>151.25664900000001</v>
      </c>
      <c r="T558" s="1095">
        <v>-33.859952999999997</v>
      </c>
    </row>
    <row r="559" spans="12:20">
      <c r="L559" s="1134">
        <v>3757</v>
      </c>
      <c r="M559" s="1135" t="s">
        <v>1334</v>
      </c>
      <c r="N559" s="1136">
        <v>0.98</v>
      </c>
      <c r="P559" s="1094">
        <v>2000</v>
      </c>
      <c r="Q559" t="s">
        <v>1727</v>
      </c>
      <c r="R559" t="s">
        <v>248</v>
      </c>
      <c r="S559">
        <v>151.25664900000001</v>
      </c>
      <c r="T559" s="1095">
        <v>-33.859952999999997</v>
      </c>
    </row>
    <row r="560" spans="12:20">
      <c r="L560" s="1134">
        <v>3758</v>
      </c>
      <c r="M560" s="1135" t="s">
        <v>1334</v>
      </c>
      <c r="N560" s="1136">
        <v>0.98</v>
      </c>
      <c r="P560" s="1094">
        <v>2000</v>
      </c>
      <c r="Q560" t="s">
        <v>1640</v>
      </c>
      <c r="R560" t="s">
        <v>248</v>
      </c>
      <c r="S560">
        <v>151.25664900000001</v>
      </c>
      <c r="T560" s="1095">
        <v>-33.859952999999997</v>
      </c>
    </row>
    <row r="561" spans="12:20">
      <c r="L561" s="1134">
        <v>3759</v>
      </c>
      <c r="M561" s="1135" t="s">
        <v>1334</v>
      </c>
      <c r="N561" s="1136">
        <v>0.98</v>
      </c>
      <c r="P561" s="1094">
        <v>2000</v>
      </c>
      <c r="Q561" t="s">
        <v>1646</v>
      </c>
      <c r="R561" t="s">
        <v>248</v>
      </c>
      <c r="S561">
        <v>151.25664900000001</v>
      </c>
      <c r="T561" s="1095">
        <v>-33.859952999999997</v>
      </c>
    </row>
    <row r="562" spans="12:20">
      <c r="L562" s="1134">
        <v>3760</v>
      </c>
      <c r="M562" s="1135" t="s">
        <v>1334</v>
      </c>
      <c r="N562" s="1136">
        <v>0.98</v>
      </c>
      <c r="P562" s="1094">
        <v>2000</v>
      </c>
      <c r="Q562" t="s">
        <v>1728</v>
      </c>
      <c r="R562" t="s">
        <v>248</v>
      </c>
      <c r="S562">
        <v>151.25664900000001</v>
      </c>
      <c r="T562" s="1095">
        <v>-33.859952999999997</v>
      </c>
    </row>
    <row r="563" spans="12:20">
      <c r="L563" s="1134">
        <v>3761</v>
      </c>
      <c r="M563" s="1135" t="s">
        <v>1334</v>
      </c>
      <c r="N563" s="1136">
        <v>0.98</v>
      </c>
      <c r="P563" s="1094">
        <v>2001</v>
      </c>
      <c r="Q563" t="s">
        <v>1640</v>
      </c>
      <c r="R563" t="s">
        <v>248</v>
      </c>
      <c r="S563">
        <v>0</v>
      </c>
      <c r="T563" s="1095">
        <v>0</v>
      </c>
    </row>
    <row r="564" spans="12:20">
      <c r="L564" s="1134">
        <v>3762</v>
      </c>
      <c r="M564" s="1135" t="s">
        <v>1334</v>
      </c>
      <c r="N564" s="1136">
        <v>0.98</v>
      </c>
      <c r="P564" s="1094">
        <v>2002</v>
      </c>
      <c r="Q564" t="s">
        <v>1729</v>
      </c>
      <c r="R564" t="s">
        <v>248</v>
      </c>
      <c r="S564">
        <v>0</v>
      </c>
      <c r="T564" s="1095">
        <v>0</v>
      </c>
    </row>
    <row r="565" spans="12:20">
      <c r="L565" s="1134">
        <v>3763</v>
      </c>
      <c r="M565" s="1135" t="s">
        <v>1334</v>
      </c>
      <c r="N565" s="1136">
        <v>0.98</v>
      </c>
      <c r="P565" s="1094">
        <v>2004</v>
      </c>
      <c r="Q565" t="s">
        <v>1730</v>
      </c>
      <c r="R565" t="s">
        <v>248</v>
      </c>
      <c r="S565">
        <v>0</v>
      </c>
      <c r="T565" s="1095">
        <v>0</v>
      </c>
    </row>
    <row r="566" spans="12:20">
      <c r="L566" s="1134">
        <v>3764</v>
      </c>
      <c r="M566" s="1135" t="s">
        <v>1599</v>
      </c>
      <c r="N566" s="1136">
        <v>1.04</v>
      </c>
      <c r="P566" s="1094">
        <v>2004</v>
      </c>
      <c r="Q566" t="s">
        <v>1648</v>
      </c>
      <c r="R566" t="s">
        <v>248</v>
      </c>
      <c r="S566">
        <v>0</v>
      </c>
      <c r="T566" s="1095">
        <v>0</v>
      </c>
    </row>
    <row r="567" spans="12:20">
      <c r="L567" s="1134">
        <v>3765</v>
      </c>
      <c r="M567" s="1135" t="s">
        <v>1334</v>
      </c>
      <c r="N567" s="1136">
        <v>0.98</v>
      </c>
      <c r="P567" s="1094">
        <v>2006</v>
      </c>
      <c r="Q567" t="s">
        <v>1731</v>
      </c>
      <c r="R567" t="s">
        <v>248</v>
      </c>
      <c r="S567">
        <v>151.18650700000001</v>
      </c>
      <c r="T567" s="1095">
        <v>-33.889218999999997</v>
      </c>
    </row>
    <row r="568" spans="12:20">
      <c r="L568" s="1134">
        <v>3766</v>
      </c>
      <c r="M568" s="1135" t="s">
        <v>1334</v>
      </c>
      <c r="N568" s="1136">
        <v>0.98</v>
      </c>
      <c r="P568" s="1094">
        <v>2007</v>
      </c>
      <c r="Q568" t="s">
        <v>1656</v>
      </c>
      <c r="R568" t="s">
        <v>248</v>
      </c>
      <c r="S568">
        <v>151.19665000000001</v>
      </c>
      <c r="T568" s="1095">
        <v>-33.883189000000002</v>
      </c>
    </row>
    <row r="569" spans="12:20">
      <c r="L569" s="1134">
        <v>3767</v>
      </c>
      <c r="M569" s="1135" t="s">
        <v>1334</v>
      </c>
      <c r="N569" s="1136">
        <v>0.98</v>
      </c>
      <c r="P569" s="1094">
        <v>2007</v>
      </c>
      <c r="Q569" t="s">
        <v>1732</v>
      </c>
      <c r="R569" t="s">
        <v>248</v>
      </c>
      <c r="S569">
        <v>151.19665000000001</v>
      </c>
      <c r="T569" s="1095">
        <v>-33.883189000000002</v>
      </c>
    </row>
    <row r="570" spans="12:20">
      <c r="L570" s="1134">
        <v>3770</v>
      </c>
      <c r="M570" s="1135" t="s">
        <v>1334</v>
      </c>
      <c r="N570" s="1136">
        <v>0.98</v>
      </c>
      <c r="P570" s="1094">
        <v>2008</v>
      </c>
      <c r="Q570" t="s">
        <v>1733</v>
      </c>
      <c r="R570" t="s">
        <v>248</v>
      </c>
      <c r="S570">
        <v>151.19385800000001</v>
      </c>
      <c r="T570" s="1095">
        <v>-33.891145999999999</v>
      </c>
    </row>
    <row r="571" spans="12:20">
      <c r="L571" s="1134">
        <v>3775</v>
      </c>
      <c r="M571" s="1135" t="s">
        <v>1334</v>
      </c>
      <c r="N571" s="1136">
        <v>0.98</v>
      </c>
      <c r="P571" s="1094">
        <v>2008</v>
      </c>
      <c r="Q571" t="s">
        <v>1734</v>
      </c>
      <c r="R571" t="s">
        <v>248</v>
      </c>
      <c r="S571">
        <v>151.19385800000001</v>
      </c>
      <c r="T571" s="1095">
        <v>-33.891145999999999</v>
      </c>
    </row>
    <row r="572" spans="12:20">
      <c r="L572" s="1134">
        <v>3777</v>
      </c>
      <c r="M572" s="1135" t="s">
        <v>1334</v>
      </c>
      <c r="N572" s="1136">
        <v>0.98</v>
      </c>
      <c r="P572" s="1094">
        <v>2008</v>
      </c>
      <c r="Q572" t="s">
        <v>1735</v>
      </c>
      <c r="R572" t="s">
        <v>248</v>
      </c>
      <c r="S572">
        <v>151.19385800000001</v>
      </c>
      <c r="T572" s="1095">
        <v>-33.891145999999999</v>
      </c>
    </row>
    <row r="573" spans="12:20">
      <c r="L573" s="1134">
        <v>3778</v>
      </c>
      <c r="M573" s="1135" t="s">
        <v>1599</v>
      </c>
      <c r="N573" s="1136">
        <v>1.04</v>
      </c>
      <c r="P573" s="1094">
        <v>2009</v>
      </c>
      <c r="Q573" t="s">
        <v>1736</v>
      </c>
      <c r="R573" t="s">
        <v>248</v>
      </c>
      <c r="S573">
        <v>151.19305499999999</v>
      </c>
      <c r="T573" s="1095">
        <v>-33.871222000000003</v>
      </c>
    </row>
    <row r="574" spans="12:20">
      <c r="L574" s="1134">
        <v>3779</v>
      </c>
      <c r="M574" s="1135" t="s">
        <v>1599</v>
      </c>
      <c r="N574" s="1136">
        <v>1.04</v>
      </c>
      <c r="P574" s="1094">
        <v>2009</v>
      </c>
      <c r="Q574" t="s">
        <v>1737</v>
      </c>
      <c r="R574" t="s">
        <v>248</v>
      </c>
      <c r="S574">
        <v>151.19305499999999</v>
      </c>
      <c r="T574" s="1095">
        <v>-33.871222000000003</v>
      </c>
    </row>
    <row r="575" spans="12:20">
      <c r="L575" s="1134">
        <v>3781</v>
      </c>
      <c r="M575" s="1135" t="s">
        <v>1334</v>
      </c>
      <c r="N575" s="1136">
        <v>0.98</v>
      </c>
      <c r="P575" s="1094">
        <v>2010</v>
      </c>
      <c r="Q575" t="s">
        <v>1647</v>
      </c>
      <c r="R575" t="s">
        <v>248</v>
      </c>
      <c r="S575">
        <v>151.21226200000001</v>
      </c>
      <c r="T575" s="1095">
        <v>-33.884118999999998</v>
      </c>
    </row>
    <row r="576" spans="12:20">
      <c r="L576" s="1134">
        <v>3782</v>
      </c>
      <c r="M576" s="1135" t="s">
        <v>1334</v>
      </c>
      <c r="N576" s="1136">
        <v>0.98</v>
      </c>
      <c r="P576" s="1094">
        <v>2010</v>
      </c>
      <c r="Q576" t="s">
        <v>1738</v>
      </c>
      <c r="R576" t="s">
        <v>248</v>
      </c>
      <c r="S576">
        <v>151.21226200000001</v>
      </c>
      <c r="T576" s="1095">
        <v>-33.884118999999998</v>
      </c>
    </row>
    <row r="577" spans="12:20">
      <c r="L577" s="1134">
        <v>3783</v>
      </c>
      <c r="M577" s="1135" t="s">
        <v>1334</v>
      </c>
      <c r="N577" s="1136">
        <v>0.98</v>
      </c>
      <c r="P577" s="1094">
        <v>2010</v>
      </c>
      <c r="Q577" t="s">
        <v>1739</v>
      </c>
      <c r="R577" t="s">
        <v>248</v>
      </c>
      <c r="S577">
        <v>151.21226200000001</v>
      </c>
      <c r="T577" s="1095">
        <v>-33.884118999999998</v>
      </c>
    </row>
    <row r="578" spans="12:20">
      <c r="L578" s="1134">
        <v>3785</v>
      </c>
      <c r="M578" s="1135" t="s">
        <v>1334</v>
      </c>
      <c r="N578" s="1136">
        <v>0.98</v>
      </c>
      <c r="P578" s="1094">
        <v>2011</v>
      </c>
      <c r="Q578" t="s">
        <v>1740</v>
      </c>
      <c r="R578" t="s">
        <v>248</v>
      </c>
      <c r="S578">
        <v>151.22162599999999</v>
      </c>
      <c r="T578" s="1095">
        <v>-33.873598999999999</v>
      </c>
    </row>
    <row r="579" spans="12:20">
      <c r="L579" s="1134">
        <v>3786</v>
      </c>
      <c r="M579" s="1135" t="s">
        <v>1334</v>
      </c>
      <c r="N579" s="1136">
        <v>0.98</v>
      </c>
      <c r="P579" s="1094">
        <v>2011</v>
      </c>
      <c r="Q579" t="s">
        <v>1741</v>
      </c>
      <c r="R579" t="s">
        <v>248</v>
      </c>
      <c r="S579">
        <v>151.22162599999999</v>
      </c>
      <c r="T579" s="1095">
        <v>-33.873598999999999</v>
      </c>
    </row>
    <row r="580" spans="12:20">
      <c r="L580" s="1134">
        <v>3787</v>
      </c>
      <c r="M580" s="1135" t="s">
        <v>1334</v>
      </c>
      <c r="N580" s="1136">
        <v>0.98</v>
      </c>
      <c r="P580" s="1094">
        <v>2011</v>
      </c>
      <c r="Q580" t="s">
        <v>1650</v>
      </c>
      <c r="R580" t="s">
        <v>248</v>
      </c>
      <c r="S580">
        <v>151.22162599999999</v>
      </c>
      <c r="T580" s="1095">
        <v>-33.873598999999999</v>
      </c>
    </row>
    <row r="581" spans="12:20">
      <c r="L581" s="1134">
        <v>3788</v>
      </c>
      <c r="M581" s="1135" t="s">
        <v>1334</v>
      </c>
      <c r="N581" s="1136">
        <v>0.98</v>
      </c>
      <c r="P581" s="1094">
        <v>2011</v>
      </c>
      <c r="Q581" t="s">
        <v>1649</v>
      </c>
      <c r="R581" t="s">
        <v>248</v>
      </c>
      <c r="S581">
        <v>151.22162599999999</v>
      </c>
      <c r="T581" s="1095">
        <v>-33.873598999999999</v>
      </c>
    </row>
    <row r="582" spans="12:20">
      <c r="L582" s="1134">
        <v>3789</v>
      </c>
      <c r="M582" s="1135" t="s">
        <v>1334</v>
      </c>
      <c r="N582" s="1136">
        <v>0.98</v>
      </c>
      <c r="P582" s="1094">
        <v>2011</v>
      </c>
      <c r="Q582" t="s">
        <v>1742</v>
      </c>
      <c r="R582" t="s">
        <v>248</v>
      </c>
      <c r="S582">
        <v>151.22162599999999</v>
      </c>
      <c r="T582" s="1095">
        <v>-33.873598999999999</v>
      </c>
    </row>
    <row r="583" spans="12:20">
      <c r="L583" s="1134">
        <v>3791</v>
      </c>
      <c r="M583" s="1135" t="s">
        <v>1334</v>
      </c>
      <c r="N583" s="1136">
        <v>0.98</v>
      </c>
      <c r="P583" s="1094">
        <v>2011</v>
      </c>
      <c r="Q583" t="s">
        <v>1743</v>
      </c>
      <c r="R583" t="s">
        <v>248</v>
      </c>
      <c r="S583">
        <v>151.22162599999999</v>
      </c>
      <c r="T583" s="1095">
        <v>-33.873598999999999</v>
      </c>
    </row>
    <row r="584" spans="12:20">
      <c r="L584" s="1134">
        <v>3792</v>
      </c>
      <c r="M584" s="1135" t="s">
        <v>1334</v>
      </c>
      <c r="N584" s="1136">
        <v>0.98</v>
      </c>
      <c r="P584" s="1094">
        <v>2012</v>
      </c>
      <c r="Q584" t="s">
        <v>1658</v>
      </c>
      <c r="R584" t="s">
        <v>248</v>
      </c>
      <c r="S584">
        <v>0</v>
      </c>
      <c r="T584" s="1095">
        <v>0</v>
      </c>
    </row>
    <row r="585" spans="12:20">
      <c r="L585" s="1134">
        <v>3793</v>
      </c>
      <c r="M585" s="1135" t="s">
        <v>1334</v>
      </c>
      <c r="N585" s="1136">
        <v>0.98</v>
      </c>
      <c r="P585" s="1094">
        <v>2013</v>
      </c>
      <c r="Q585" t="s">
        <v>1658</v>
      </c>
      <c r="R585" t="s">
        <v>248</v>
      </c>
      <c r="S585">
        <v>0</v>
      </c>
      <c r="T585" s="1095">
        <v>0</v>
      </c>
    </row>
    <row r="586" spans="12:20">
      <c r="L586" s="1134">
        <v>3795</v>
      </c>
      <c r="M586" s="1135" t="s">
        <v>1334</v>
      </c>
      <c r="N586" s="1136">
        <v>0.98</v>
      </c>
      <c r="P586" s="1094">
        <v>2015</v>
      </c>
      <c r="Q586" t="s">
        <v>1660</v>
      </c>
      <c r="R586" t="s">
        <v>248</v>
      </c>
      <c r="S586">
        <v>151.19482500000001</v>
      </c>
      <c r="T586" s="1095">
        <v>-33.910105000000001</v>
      </c>
    </row>
    <row r="587" spans="12:20">
      <c r="L587" s="1134">
        <v>3796</v>
      </c>
      <c r="M587" s="1135" t="s">
        <v>1334</v>
      </c>
      <c r="N587" s="1136">
        <v>0.98</v>
      </c>
      <c r="P587" s="1094">
        <v>2015</v>
      </c>
      <c r="Q587" t="s">
        <v>1744</v>
      </c>
      <c r="R587" t="s">
        <v>248</v>
      </c>
      <c r="S587">
        <v>151.19482500000001</v>
      </c>
      <c r="T587" s="1095">
        <v>-33.910105000000001</v>
      </c>
    </row>
    <row r="588" spans="12:20">
      <c r="L588" s="1134">
        <v>3797</v>
      </c>
      <c r="M588" s="1135" t="s">
        <v>1334</v>
      </c>
      <c r="N588" s="1136">
        <v>0.98</v>
      </c>
      <c r="P588" s="1094">
        <v>2015</v>
      </c>
      <c r="Q588" t="s">
        <v>1659</v>
      </c>
      <c r="R588" t="s">
        <v>248</v>
      </c>
      <c r="S588">
        <v>151.19482500000001</v>
      </c>
      <c r="T588" s="1095">
        <v>-33.910105000000001</v>
      </c>
    </row>
    <row r="589" spans="12:20">
      <c r="L589" s="1134">
        <v>3799</v>
      </c>
      <c r="M589" s="1135" t="s">
        <v>1599</v>
      </c>
      <c r="N589" s="1136">
        <v>1.04</v>
      </c>
      <c r="P589" s="1094">
        <v>2016</v>
      </c>
      <c r="Q589" t="s">
        <v>1745</v>
      </c>
      <c r="R589" t="s">
        <v>248</v>
      </c>
      <c r="S589">
        <v>151.206211</v>
      </c>
      <c r="T589" s="1095">
        <v>-33.894911999999998</v>
      </c>
    </row>
    <row r="590" spans="12:20">
      <c r="L590" s="1134">
        <v>3800</v>
      </c>
      <c r="M590" s="1135" t="s">
        <v>1334</v>
      </c>
      <c r="N590" s="1136">
        <v>0.98</v>
      </c>
      <c r="P590" s="1094">
        <v>2017</v>
      </c>
      <c r="Q590" t="s">
        <v>1661</v>
      </c>
      <c r="R590" t="s">
        <v>248</v>
      </c>
      <c r="S590">
        <v>151.20631599999999</v>
      </c>
      <c r="T590" s="1095">
        <v>-33.903891999999999</v>
      </c>
    </row>
    <row r="591" spans="12:20">
      <c r="L591" s="1134">
        <v>3802</v>
      </c>
      <c r="M591" s="1135" t="s">
        <v>1334</v>
      </c>
      <c r="N591" s="1136">
        <v>0.98</v>
      </c>
      <c r="P591" s="1094">
        <v>2017</v>
      </c>
      <c r="Q591" t="s">
        <v>1746</v>
      </c>
      <c r="R591" t="s">
        <v>248</v>
      </c>
      <c r="S591">
        <v>151.20631599999999</v>
      </c>
      <c r="T591" s="1095">
        <v>-33.903891999999999</v>
      </c>
    </row>
    <row r="592" spans="12:20">
      <c r="L592" s="1134">
        <v>3803</v>
      </c>
      <c r="M592" s="1135" t="s">
        <v>1334</v>
      </c>
      <c r="N592" s="1136">
        <v>0.98</v>
      </c>
      <c r="P592" s="1094">
        <v>2018</v>
      </c>
      <c r="Q592" t="s">
        <v>1747</v>
      </c>
      <c r="R592" t="s">
        <v>248</v>
      </c>
      <c r="S592">
        <v>151.202697</v>
      </c>
      <c r="T592" s="1095">
        <v>-33.923299999999998</v>
      </c>
    </row>
    <row r="593" spans="12:20">
      <c r="L593" s="1134">
        <v>3804</v>
      </c>
      <c r="M593" s="1135" t="s">
        <v>1334</v>
      </c>
      <c r="N593" s="1136">
        <v>0.98</v>
      </c>
      <c r="P593" s="1094">
        <v>2018</v>
      </c>
      <c r="Q593" t="s">
        <v>1530</v>
      </c>
      <c r="R593" t="s">
        <v>248</v>
      </c>
      <c r="S593">
        <v>151.202697</v>
      </c>
      <c r="T593" s="1095">
        <v>-33.923299999999998</v>
      </c>
    </row>
    <row r="594" spans="12:20">
      <c r="L594" s="1134">
        <v>3805</v>
      </c>
      <c r="M594" s="1135" t="s">
        <v>1334</v>
      </c>
      <c r="N594" s="1136">
        <v>0.98</v>
      </c>
      <c r="P594" s="1094">
        <v>2019</v>
      </c>
      <c r="Q594" t="s">
        <v>1748</v>
      </c>
      <c r="R594" t="s">
        <v>248</v>
      </c>
      <c r="S594">
        <v>151.20728500000001</v>
      </c>
      <c r="T594" s="1095">
        <v>-33.946922999999998</v>
      </c>
    </row>
    <row r="595" spans="12:20">
      <c r="L595" s="1134">
        <v>3806</v>
      </c>
      <c r="M595" s="1135" t="s">
        <v>1334</v>
      </c>
      <c r="N595" s="1136">
        <v>0.98</v>
      </c>
      <c r="P595" s="1094">
        <v>2019</v>
      </c>
      <c r="Q595" t="s">
        <v>1663</v>
      </c>
      <c r="R595" t="s">
        <v>248</v>
      </c>
      <c r="S595">
        <v>151.20728500000001</v>
      </c>
      <c r="T595" s="1095">
        <v>-33.946922999999998</v>
      </c>
    </row>
    <row r="596" spans="12:20">
      <c r="L596" s="1134">
        <v>3807</v>
      </c>
      <c r="M596" s="1135" t="s">
        <v>1334</v>
      </c>
      <c r="N596" s="1136">
        <v>0.98</v>
      </c>
      <c r="P596" s="1094">
        <v>2020</v>
      </c>
      <c r="Q596" t="s">
        <v>1664</v>
      </c>
      <c r="R596" t="s">
        <v>248</v>
      </c>
      <c r="S596">
        <v>151.17677499999999</v>
      </c>
      <c r="T596" s="1095">
        <v>-33.936179000000003</v>
      </c>
    </row>
    <row r="597" spans="12:20">
      <c r="L597" s="1134">
        <v>3808</v>
      </c>
      <c r="M597" s="1135" t="s">
        <v>1334</v>
      </c>
      <c r="N597" s="1136">
        <v>0.98</v>
      </c>
      <c r="P597" s="1094">
        <v>2020</v>
      </c>
      <c r="Q597" t="s">
        <v>1749</v>
      </c>
      <c r="R597" t="s">
        <v>248</v>
      </c>
      <c r="S597">
        <v>151.17677499999999</v>
      </c>
      <c r="T597" s="1095">
        <v>-33.936179000000003</v>
      </c>
    </row>
    <row r="598" spans="12:20">
      <c r="L598" s="1134">
        <v>3809</v>
      </c>
      <c r="M598" s="1135" t="s">
        <v>1334</v>
      </c>
      <c r="N598" s="1136">
        <v>0.98</v>
      </c>
      <c r="P598" s="1094">
        <v>2020</v>
      </c>
      <c r="Q598" t="s">
        <v>1750</v>
      </c>
      <c r="R598" t="s">
        <v>248</v>
      </c>
      <c r="S598">
        <v>151.17677499999999</v>
      </c>
      <c r="T598" s="1095">
        <v>-33.936179000000003</v>
      </c>
    </row>
    <row r="599" spans="12:20">
      <c r="L599" s="1134">
        <v>3810</v>
      </c>
      <c r="M599" s="1135" t="s">
        <v>1334</v>
      </c>
      <c r="N599" s="1136">
        <v>0.98</v>
      </c>
      <c r="P599" s="1094">
        <v>2021</v>
      </c>
      <c r="Q599" t="s">
        <v>1751</v>
      </c>
      <c r="R599" t="s">
        <v>248</v>
      </c>
      <c r="S599">
        <v>151.227236</v>
      </c>
      <c r="T599" s="1095">
        <v>-33.895705</v>
      </c>
    </row>
    <row r="600" spans="12:20">
      <c r="L600" s="1134">
        <v>3812</v>
      </c>
      <c r="M600" s="1135" t="s">
        <v>1334</v>
      </c>
      <c r="N600" s="1136">
        <v>0.98</v>
      </c>
      <c r="P600" s="1094">
        <v>2021</v>
      </c>
      <c r="Q600" t="s">
        <v>1654</v>
      </c>
      <c r="R600" t="s">
        <v>248</v>
      </c>
      <c r="S600">
        <v>151.227236</v>
      </c>
      <c r="T600" s="1095">
        <v>-33.895705</v>
      </c>
    </row>
    <row r="601" spans="12:20">
      <c r="L601" s="1134">
        <v>3813</v>
      </c>
      <c r="M601" s="1135" t="s">
        <v>1334</v>
      </c>
      <c r="N601" s="1136">
        <v>0.98</v>
      </c>
      <c r="P601" s="1094">
        <v>2021</v>
      </c>
      <c r="Q601" t="s">
        <v>1752</v>
      </c>
      <c r="R601" t="s">
        <v>248</v>
      </c>
      <c r="S601">
        <v>151.227236</v>
      </c>
      <c r="T601" s="1095">
        <v>-33.895705</v>
      </c>
    </row>
    <row r="602" spans="12:20">
      <c r="L602" s="1134">
        <v>3814</v>
      </c>
      <c r="M602" s="1135" t="s">
        <v>1334</v>
      </c>
      <c r="N602" s="1136">
        <v>0.98</v>
      </c>
      <c r="P602" s="1094">
        <v>2022</v>
      </c>
      <c r="Q602" t="s">
        <v>1652</v>
      </c>
      <c r="R602" t="s">
        <v>248</v>
      </c>
      <c r="S602">
        <v>151.24504899999999</v>
      </c>
      <c r="T602" s="1095">
        <v>-33.896400999999997</v>
      </c>
    </row>
    <row r="603" spans="12:20">
      <c r="L603" s="1134">
        <v>3815</v>
      </c>
      <c r="M603" s="1135" t="s">
        <v>1334</v>
      </c>
      <c r="N603" s="1136">
        <v>0.98</v>
      </c>
      <c r="P603" s="1094">
        <v>2022</v>
      </c>
      <c r="Q603" t="s">
        <v>1753</v>
      </c>
      <c r="R603" t="s">
        <v>248</v>
      </c>
      <c r="S603">
        <v>151.24504899999999</v>
      </c>
      <c r="T603" s="1095">
        <v>-33.896400999999997</v>
      </c>
    </row>
    <row r="604" spans="12:20">
      <c r="L604" s="1134">
        <v>3816</v>
      </c>
      <c r="M604" s="1135" t="s">
        <v>1599</v>
      </c>
      <c r="N604" s="1136">
        <v>1.04</v>
      </c>
      <c r="P604" s="1094">
        <v>2022</v>
      </c>
      <c r="Q604" t="s">
        <v>1754</v>
      </c>
      <c r="R604" t="s">
        <v>248</v>
      </c>
      <c r="S604">
        <v>151.24504899999999</v>
      </c>
      <c r="T604" s="1095">
        <v>-33.896400999999997</v>
      </c>
    </row>
    <row r="605" spans="12:20">
      <c r="L605" s="1134">
        <v>3818</v>
      </c>
      <c r="M605" s="1135" t="s">
        <v>1599</v>
      </c>
      <c r="N605" s="1136">
        <v>1.04</v>
      </c>
      <c r="P605" s="1094">
        <v>2023</v>
      </c>
      <c r="Q605" t="s">
        <v>1755</v>
      </c>
      <c r="R605" t="s">
        <v>248</v>
      </c>
      <c r="S605">
        <v>151.25591</v>
      </c>
      <c r="T605" s="1095">
        <v>-33.884684999999998</v>
      </c>
    </row>
    <row r="606" spans="12:20">
      <c r="L606" s="1134">
        <v>3820</v>
      </c>
      <c r="M606" s="1135" t="s">
        <v>1599</v>
      </c>
      <c r="N606" s="1136">
        <v>1.04</v>
      </c>
      <c r="P606" s="1094">
        <v>2024</v>
      </c>
      <c r="Q606" t="s">
        <v>1756</v>
      </c>
      <c r="R606" t="s">
        <v>248</v>
      </c>
      <c r="S606">
        <v>151.25939199999999</v>
      </c>
      <c r="T606" s="1095">
        <v>-33.904414000000003</v>
      </c>
    </row>
    <row r="607" spans="12:20">
      <c r="L607" s="1134">
        <v>3821</v>
      </c>
      <c r="M607" s="1135" t="s">
        <v>1599</v>
      </c>
      <c r="N607" s="1136">
        <v>1.04</v>
      </c>
      <c r="P607" s="1094">
        <v>2024</v>
      </c>
      <c r="Q607" t="s">
        <v>1757</v>
      </c>
      <c r="R607" t="s">
        <v>248</v>
      </c>
      <c r="S607">
        <v>151.25939199999999</v>
      </c>
      <c r="T607" s="1095">
        <v>-33.904414000000003</v>
      </c>
    </row>
    <row r="608" spans="12:20">
      <c r="L608" s="1134">
        <v>3822</v>
      </c>
      <c r="M608" s="1135" t="s">
        <v>1599</v>
      </c>
      <c r="N608" s="1136">
        <v>1.04</v>
      </c>
      <c r="P608" s="1094">
        <v>2024</v>
      </c>
      <c r="Q608" t="s">
        <v>1758</v>
      </c>
      <c r="R608" t="s">
        <v>248</v>
      </c>
      <c r="S608">
        <v>151.25939199999999</v>
      </c>
      <c r="T608" s="1095">
        <v>-33.904414000000003</v>
      </c>
    </row>
    <row r="609" spans="12:20">
      <c r="L609" s="1134">
        <v>3823</v>
      </c>
      <c r="M609" s="1135" t="s">
        <v>1599</v>
      </c>
      <c r="N609" s="1136">
        <v>1.04</v>
      </c>
      <c r="P609" s="1094">
        <v>2025</v>
      </c>
      <c r="Q609" t="s">
        <v>1651</v>
      </c>
      <c r="R609" t="s">
        <v>248</v>
      </c>
      <c r="S609">
        <v>151.24050800000001</v>
      </c>
      <c r="T609" s="1095">
        <v>-33.888710000000003</v>
      </c>
    </row>
    <row r="610" spans="12:20">
      <c r="L610" s="1134">
        <v>3824</v>
      </c>
      <c r="M610" s="1135" t="s">
        <v>1599</v>
      </c>
      <c r="N610" s="1136">
        <v>1.04</v>
      </c>
      <c r="P610" s="1094">
        <v>2026</v>
      </c>
      <c r="Q610" t="s">
        <v>1759</v>
      </c>
      <c r="R610" t="s">
        <v>248</v>
      </c>
      <c r="S610">
        <v>151.268968</v>
      </c>
      <c r="T610" s="1095">
        <v>-33.891041000000001</v>
      </c>
    </row>
    <row r="611" spans="12:20">
      <c r="L611" s="1134">
        <v>3825</v>
      </c>
      <c r="M611" s="1135" t="s">
        <v>1599</v>
      </c>
      <c r="N611" s="1136">
        <v>1.04</v>
      </c>
      <c r="P611" s="1094">
        <v>2026</v>
      </c>
      <c r="Q611" t="s">
        <v>1760</v>
      </c>
      <c r="R611" t="s">
        <v>248</v>
      </c>
      <c r="S611">
        <v>151.268968</v>
      </c>
      <c r="T611" s="1095">
        <v>-33.891041000000001</v>
      </c>
    </row>
    <row r="612" spans="12:20">
      <c r="L612" s="1134">
        <v>3831</v>
      </c>
      <c r="M612" s="1135" t="s">
        <v>1599</v>
      </c>
      <c r="N612" s="1136">
        <v>1.04</v>
      </c>
      <c r="P612" s="1094">
        <v>2026</v>
      </c>
      <c r="Q612" t="s">
        <v>1761</v>
      </c>
      <c r="R612" t="s">
        <v>248</v>
      </c>
      <c r="S612">
        <v>151.268968</v>
      </c>
      <c r="T612" s="1095">
        <v>-33.891041000000001</v>
      </c>
    </row>
    <row r="613" spans="12:20">
      <c r="L613" s="1134">
        <v>3832</v>
      </c>
      <c r="M613" s="1135" t="s">
        <v>1599</v>
      </c>
      <c r="N613" s="1136">
        <v>1.04</v>
      </c>
      <c r="P613" s="1094">
        <v>2026</v>
      </c>
      <c r="Q613" t="s">
        <v>1762</v>
      </c>
      <c r="R613" t="s">
        <v>248</v>
      </c>
      <c r="S613">
        <v>151.268968</v>
      </c>
      <c r="T613" s="1095">
        <v>-33.891041000000001</v>
      </c>
    </row>
    <row r="614" spans="12:20">
      <c r="L614" s="1134">
        <v>3833</v>
      </c>
      <c r="M614" s="1135" t="s">
        <v>1599</v>
      </c>
      <c r="N614" s="1136">
        <v>1.04</v>
      </c>
      <c r="P614" s="1094">
        <v>2026</v>
      </c>
      <c r="Q614" t="s">
        <v>1763</v>
      </c>
      <c r="R614" t="s">
        <v>248</v>
      </c>
      <c r="S614">
        <v>151.268968</v>
      </c>
      <c r="T614" s="1095">
        <v>-33.891041000000001</v>
      </c>
    </row>
    <row r="615" spans="12:20">
      <c r="L615" s="1134">
        <v>3835</v>
      </c>
      <c r="M615" s="1135" t="s">
        <v>1599</v>
      </c>
      <c r="N615" s="1136">
        <v>1.04</v>
      </c>
      <c r="P615" s="1094">
        <v>2027</v>
      </c>
      <c r="Q615" t="s">
        <v>1764</v>
      </c>
      <c r="R615" t="s">
        <v>248</v>
      </c>
      <c r="S615">
        <v>151.250494</v>
      </c>
      <c r="T615" s="1095">
        <v>-33.868971999999999</v>
      </c>
    </row>
    <row r="616" spans="12:20">
      <c r="L616" s="1134">
        <v>3840</v>
      </c>
      <c r="M616" s="1135" t="s">
        <v>1599</v>
      </c>
      <c r="N616" s="1136">
        <v>1.04</v>
      </c>
      <c r="P616" s="1094">
        <v>2027</v>
      </c>
      <c r="Q616" t="s">
        <v>1765</v>
      </c>
      <c r="R616" t="s">
        <v>248</v>
      </c>
      <c r="S616">
        <v>151.250494</v>
      </c>
      <c r="T616" s="1095">
        <v>-33.868971999999999</v>
      </c>
    </row>
    <row r="617" spans="12:20">
      <c r="L617" s="1134">
        <v>3841</v>
      </c>
      <c r="M617" s="1135" t="s">
        <v>1599</v>
      </c>
      <c r="N617" s="1136">
        <v>1.04</v>
      </c>
      <c r="P617" s="1094">
        <v>2027</v>
      </c>
      <c r="Q617" t="s">
        <v>1766</v>
      </c>
      <c r="R617" t="s">
        <v>248</v>
      </c>
      <c r="S617">
        <v>151.250494</v>
      </c>
      <c r="T617" s="1095">
        <v>-33.868971999999999</v>
      </c>
    </row>
    <row r="618" spans="12:20">
      <c r="L618" s="1134">
        <v>3842</v>
      </c>
      <c r="M618" s="1135" t="s">
        <v>1599</v>
      </c>
      <c r="N618" s="1136">
        <v>1.04</v>
      </c>
      <c r="P618" s="1094">
        <v>2027</v>
      </c>
      <c r="Q618" t="s">
        <v>1767</v>
      </c>
      <c r="R618" t="s">
        <v>248</v>
      </c>
      <c r="S618">
        <v>151.250494</v>
      </c>
      <c r="T618" s="1095">
        <v>-33.868971999999999</v>
      </c>
    </row>
    <row r="619" spans="12:20">
      <c r="L619" s="1134">
        <v>3844</v>
      </c>
      <c r="M619" s="1135" t="s">
        <v>1599</v>
      </c>
      <c r="N619" s="1136">
        <v>1.04</v>
      </c>
      <c r="P619" s="1094">
        <v>2028</v>
      </c>
      <c r="Q619" t="s">
        <v>1653</v>
      </c>
      <c r="R619" t="s">
        <v>248</v>
      </c>
      <c r="S619">
        <v>151.24096499999999</v>
      </c>
      <c r="T619" s="1095">
        <v>-33.878413000000002</v>
      </c>
    </row>
    <row r="620" spans="12:20">
      <c r="L620" s="1134">
        <v>3847</v>
      </c>
      <c r="M620" s="1135" t="s">
        <v>1599</v>
      </c>
      <c r="N620" s="1136">
        <v>1.04</v>
      </c>
      <c r="P620" s="1094">
        <v>2029</v>
      </c>
      <c r="Q620" t="s">
        <v>1768</v>
      </c>
      <c r="R620" t="s">
        <v>248</v>
      </c>
      <c r="S620">
        <v>151.266989</v>
      </c>
      <c r="T620" s="1095">
        <v>-33.875709000000001</v>
      </c>
    </row>
    <row r="621" spans="12:20">
      <c r="L621" s="1134">
        <v>3850</v>
      </c>
      <c r="M621" s="1135" t="s">
        <v>1599</v>
      </c>
      <c r="N621" s="1136">
        <v>1.04</v>
      </c>
      <c r="P621" s="1094">
        <v>2030</v>
      </c>
      <c r="Q621" t="s">
        <v>1769</v>
      </c>
      <c r="R621" t="s">
        <v>248</v>
      </c>
      <c r="S621">
        <v>151.27597700000001</v>
      </c>
      <c r="T621" s="1095">
        <v>-33.858378000000002</v>
      </c>
    </row>
    <row r="622" spans="12:20">
      <c r="L622" s="1134">
        <v>3851</v>
      </c>
      <c r="M622" s="1135" t="s">
        <v>1599</v>
      </c>
      <c r="N622" s="1136">
        <v>1.04</v>
      </c>
      <c r="P622" s="1094">
        <v>2030</v>
      </c>
      <c r="Q622" t="s">
        <v>1770</v>
      </c>
      <c r="R622" t="s">
        <v>248</v>
      </c>
      <c r="S622">
        <v>151.27597700000001</v>
      </c>
      <c r="T622" s="1095">
        <v>-33.858378000000002</v>
      </c>
    </row>
    <row r="623" spans="12:20">
      <c r="L623" s="1134">
        <v>3852</v>
      </c>
      <c r="M623" s="1135" t="s">
        <v>1599</v>
      </c>
      <c r="N623" s="1136">
        <v>1.04</v>
      </c>
      <c r="P623" s="1094">
        <v>2030</v>
      </c>
      <c r="Q623" t="s">
        <v>1771</v>
      </c>
      <c r="R623" t="s">
        <v>248</v>
      </c>
      <c r="S623">
        <v>151.27597700000001</v>
      </c>
      <c r="T623" s="1095">
        <v>-33.858378000000002</v>
      </c>
    </row>
    <row r="624" spans="12:20">
      <c r="L624" s="1134">
        <v>3853</v>
      </c>
      <c r="M624" s="1135" t="s">
        <v>1599</v>
      </c>
      <c r="N624" s="1136">
        <v>1.04</v>
      </c>
      <c r="P624" s="1094">
        <v>2030</v>
      </c>
      <c r="Q624" t="s">
        <v>1772</v>
      </c>
      <c r="R624" t="s">
        <v>248</v>
      </c>
      <c r="S624">
        <v>151.27597700000001</v>
      </c>
      <c r="T624" s="1095">
        <v>-33.858378000000002</v>
      </c>
    </row>
    <row r="625" spans="12:20">
      <c r="L625" s="1134">
        <v>3854</v>
      </c>
      <c r="M625" s="1135" t="s">
        <v>1599</v>
      </c>
      <c r="N625" s="1136">
        <v>1.04</v>
      </c>
      <c r="P625" s="1094">
        <v>2030</v>
      </c>
      <c r="Q625" t="s">
        <v>1773</v>
      </c>
      <c r="R625" t="s">
        <v>248</v>
      </c>
      <c r="S625">
        <v>151.27597700000001</v>
      </c>
      <c r="T625" s="1095">
        <v>-33.858378000000002</v>
      </c>
    </row>
    <row r="626" spans="12:20">
      <c r="L626" s="1134">
        <v>3856</v>
      </c>
      <c r="M626" s="1135" t="s">
        <v>1599</v>
      </c>
      <c r="N626" s="1136">
        <v>1.04</v>
      </c>
      <c r="P626" s="1094">
        <v>2030</v>
      </c>
      <c r="Q626" t="s">
        <v>1774</v>
      </c>
      <c r="R626" t="s">
        <v>248</v>
      </c>
      <c r="S626">
        <v>151.27597700000001</v>
      </c>
      <c r="T626" s="1095">
        <v>-33.858378000000002</v>
      </c>
    </row>
    <row r="627" spans="12:20">
      <c r="L627" s="1134">
        <v>3857</v>
      </c>
      <c r="M627" s="1135" t="s">
        <v>1599</v>
      </c>
      <c r="N627" s="1136">
        <v>1.04</v>
      </c>
      <c r="P627" s="1094">
        <v>2031</v>
      </c>
      <c r="Q627" t="s">
        <v>1775</v>
      </c>
      <c r="R627" t="s">
        <v>248</v>
      </c>
      <c r="S627">
        <v>151.23916700000001</v>
      </c>
      <c r="T627" s="1095">
        <v>-33.914831999999997</v>
      </c>
    </row>
    <row r="628" spans="12:20">
      <c r="L628" s="1134">
        <v>3858</v>
      </c>
      <c r="M628" s="1135" t="s">
        <v>1599</v>
      </c>
      <c r="N628" s="1136">
        <v>1.04</v>
      </c>
      <c r="P628" s="1094">
        <v>2031</v>
      </c>
      <c r="Q628" t="s">
        <v>1776</v>
      </c>
      <c r="R628" t="s">
        <v>248</v>
      </c>
      <c r="S628">
        <v>151.23916700000001</v>
      </c>
      <c r="T628" s="1095">
        <v>-33.914831999999997</v>
      </c>
    </row>
    <row r="629" spans="12:20">
      <c r="L629" s="1134">
        <v>3859</v>
      </c>
      <c r="M629" s="1135" t="s">
        <v>1599</v>
      </c>
      <c r="N629" s="1136">
        <v>1.04</v>
      </c>
      <c r="P629" s="1094">
        <v>2031</v>
      </c>
      <c r="Q629" t="s">
        <v>1777</v>
      </c>
      <c r="R629" t="s">
        <v>248</v>
      </c>
      <c r="S629">
        <v>151.23916700000001</v>
      </c>
      <c r="T629" s="1095">
        <v>-33.914831999999997</v>
      </c>
    </row>
    <row r="630" spans="12:20">
      <c r="L630" s="1134">
        <v>3860</v>
      </c>
      <c r="M630" s="1135" t="s">
        <v>1599</v>
      </c>
      <c r="N630" s="1136">
        <v>1.04</v>
      </c>
      <c r="P630" s="1094">
        <v>2031</v>
      </c>
      <c r="Q630" t="s">
        <v>1778</v>
      </c>
      <c r="R630" t="s">
        <v>248</v>
      </c>
      <c r="S630">
        <v>151.23916700000001</v>
      </c>
      <c r="T630" s="1095">
        <v>-33.914831999999997</v>
      </c>
    </row>
    <row r="631" spans="12:20">
      <c r="L631" s="1134">
        <v>3862</v>
      </c>
      <c r="M631" s="1135" t="s">
        <v>1599</v>
      </c>
      <c r="N631" s="1136">
        <v>1.04</v>
      </c>
      <c r="P631" s="1094">
        <v>2032</v>
      </c>
      <c r="Q631" t="s">
        <v>1779</v>
      </c>
      <c r="R631" t="s">
        <v>248</v>
      </c>
      <c r="S631">
        <v>151.22393600000001</v>
      </c>
      <c r="T631" s="1095">
        <v>-33.930314000000003</v>
      </c>
    </row>
    <row r="632" spans="12:20">
      <c r="L632" s="1134">
        <v>3864</v>
      </c>
      <c r="M632" s="1135" t="s">
        <v>1599</v>
      </c>
      <c r="N632" s="1136">
        <v>1.04</v>
      </c>
      <c r="P632" s="1094">
        <v>2032</v>
      </c>
      <c r="Q632" t="s">
        <v>1780</v>
      </c>
      <c r="R632" t="s">
        <v>248</v>
      </c>
      <c r="S632">
        <v>151.22393600000001</v>
      </c>
      <c r="T632" s="1095">
        <v>-33.930314000000003</v>
      </c>
    </row>
    <row r="633" spans="12:20">
      <c r="L633" s="1134">
        <v>3865</v>
      </c>
      <c r="M633" s="1135" t="s">
        <v>1599</v>
      </c>
      <c r="N633" s="1136">
        <v>1.04</v>
      </c>
      <c r="P633" s="1094">
        <v>2033</v>
      </c>
      <c r="Q633" t="s">
        <v>1665</v>
      </c>
      <c r="R633" t="s">
        <v>248</v>
      </c>
      <c r="S633">
        <v>151.218435</v>
      </c>
      <c r="T633" s="1095">
        <v>-33.911389999999997</v>
      </c>
    </row>
    <row r="634" spans="12:20">
      <c r="L634" s="1134">
        <v>3869</v>
      </c>
      <c r="M634" s="1135" t="s">
        <v>1599</v>
      </c>
      <c r="N634" s="1136">
        <v>1.04</v>
      </c>
      <c r="P634" s="1094">
        <v>2034</v>
      </c>
      <c r="Q634" t="s">
        <v>1781</v>
      </c>
      <c r="R634" t="s">
        <v>248</v>
      </c>
      <c r="S634">
        <v>151.252171</v>
      </c>
      <c r="T634" s="1095">
        <v>-33.929096000000001</v>
      </c>
    </row>
    <row r="635" spans="12:20">
      <c r="L635" s="1134">
        <v>3870</v>
      </c>
      <c r="M635" s="1135" t="s">
        <v>1599</v>
      </c>
      <c r="N635" s="1136">
        <v>1.04</v>
      </c>
      <c r="P635" s="1094">
        <v>2034</v>
      </c>
      <c r="Q635" t="s">
        <v>1782</v>
      </c>
      <c r="R635" t="s">
        <v>248</v>
      </c>
      <c r="S635">
        <v>151.252171</v>
      </c>
      <c r="T635" s="1095">
        <v>-33.929096000000001</v>
      </c>
    </row>
    <row r="636" spans="12:20">
      <c r="L636" s="1134">
        <v>3871</v>
      </c>
      <c r="M636" s="1135" t="s">
        <v>1599</v>
      </c>
      <c r="N636" s="1136">
        <v>1.04</v>
      </c>
      <c r="P636" s="1094">
        <v>2035</v>
      </c>
      <c r="Q636" t="s">
        <v>1783</v>
      </c>
      <c r="R636" t="s">
        <v>248</v>
      </c>
      <c r="S636">
        <v>151.24129199999999</v>
      </c>
      <c r="T636" s="1095">
        <v>-33.945635000000003</v>
      </c>
    </row>
    <row r="637" spans="12:20">
      <c r="L637" s="1134">
        <v>3873</v>
      </c>
      <c r="M637" s="1135" t="s">
        <v>1599</v>
      </c>
      <c r="N637" s="1136">
        <v>1.04</v>
      </c>
      <c r="P637" s="1094">
        <v>2035</v>
      </c>
      <c r="Q637" t="s">
        <v>1784</v>
      </c>
      <c r="R637" t="s">
        <v>248</v>
      </c>
      <c r="S637">
        <v>151.24129199999999</v>
      </c>
      <c r="T637" s="1095">
        <v>-33.945635000000003</v>
      </c>
    </row>
    <row r="638" spans="12:20">
      <c r="L638" s="1134">
        <v>3874</v>
      </c>
      <c r="M638" s="1135" t="s">
        <v>1599</v>
      </c>
      <c r="N638" s="1136">
        <v>1.04</v>
      </c>
      <c r="P638" s="1094">
        <v>2035</v>
      </c>
      <c r="Q638" t="s">
        <v>1785</v>
      </c>
      <c r="R638" t="s">
        <v>248</v>
      </c>
      <c r="S638">
        <v>151.24129199999999</v>
      </c>
      <c r="T638" s="1095">
        <v>-33.945635000000003</v>
      </c>
    </row>
    <row r="639" spans="12:20">
      <c r="L639" s="1134">
        <v>3875</v>
      </c>
      <c r="M639" s="1135" t="s">
        <v>1599</v>
      </c>
      <c r="N639" s="1136">
        <v>1.04</v>
      </c>
      <c r="P639" s="1094">
        <v>2036</v>
      </c>
      <c r="Q639" t="s">
        <v>1786</v>
      </c>
      <c r="R639" t="s">
        <v>248</v>
      </c>
      <c r="S639">
        <v>151.237844</v>
      </c>
      <c r="T639" s="1095">
        <v>-33.969624000000003</v>
      </c>
    </row>
    <row r="640" spans="12:20">
      <c r="L640" s="1134">
        <v>3878</v>
      </c>
      <c r="M640" s="1135" t="s">
        <v>1599</v>
      </c>
      <c r="N640" s="1136">
        <v>1.04</v>
      </c>
      <c r="P640" s="1094">
        <v>2036</v>
      </c>
      <c r="Q640" t="s">
        <v>1787</v>
      </c>
      <c r="R640" t="s">
        <v>248</v>
      </c>
      <c r="S640">
        <v>151.237844</v>
      </c>
      <c r="T640" s="1095">
        <v>-33.969624000000003</v>
      </c>
    </row>
    <row r="641" spans="12:20">
      <c r="L641" s="1134">
        <v>3880</v>
      </c>
      <c r="M641" s="1135" t="s">
        <v>1599</v>
      </c>
      <c r="N641" s="1136">
        <v>1.04</v>
      </c>
      <c r="P641" s="1094">
        <v>2036</v>
      </c>
      <c r="Q641" t="s">
        <v>1788</v>
      </c>
      <c r="R641" t="s">
        <v>248</v>
      </c>
      <c r="S641">
        <v>151.237844</v>
      </c>
      <c r="T641" s="1095">
        <v>-33.969624000000003</v>
      </c>
    </row>
    <row r="642" spans="12:20">
      <c r="L642" s="1134">
        <v>3882</v>
      </c>
      <c r="M642" s="1135" t="s">
        <v>1599</v>
      </c>
      <c r="N642" s="1136">
        <v>1.04</v>
      </c>
      <c r="P642" s="1094">
        <v>2036</v>
      </c>
      <c r="Q642" t="s">
        <v>1789</v>
      </c>
      <c r="R642" t="s">
        <v>248</v>
      </c>
      <c r="S642">
        <v>151.237844</v>
      </c>
      <c r="T642" s="1095">
        <v>-33.969624000000003</v>
      </c>
    </row>
    <row r="643" spans="12:20">
      <c r="L643" s="1134">
        <v>3885</v>
      </c>
      <c r="M643" s="1135" t="s">
        <v>1599</v>
      </c>
      <c r="N643" s="1136">
        <v>1.04</v>
      </c>
      <c r="P643" s="1094">
        <v>2036</v>
      </c>
      <c r="Q643" t="s">
        <v>1790</v>
      </c>
      <c r="R643" t="s">
        <v>248</v>
      </c>
      <c r="S643">
        <v>151.237844</v>
      </c>
      <c r="T643" s="1095">
        <v>-33.969624000000003</v>
      </c>
    </row>
    <row r="644" spans="12:20">
      <c r="L644" s="1134">
        <v>3886</v>
      </c>
      <c r="M644" s="1135" t="s">
        <v>1599</v>
      </c>
      <c r="N644" s="1136">
        <v>1.04</v>
      </c>
      <c r="P644" s="1094">
        <v>2036</v>
      </c>
      <c r="Q644" t="s">
        <v>1791</v>
      </c>
      <c r="R644" t="s">
        <v>248</v>
      </c>
      <c r="S644">
        <v>151.237844</v>
      </c>
      <c r="T644" s="1095">
        <v>-33.969624000000003</v>
      </c>
    </row>
    <row r="645" spans="12:20">
      <c r="L645" s="1134">
        <v>3887</v>
      </c>
      <c r="M645" s="1135" t="s">
        <v>1599</v>
      </c>
      <c r="N645" s="1136">
        <v>1.04</v>
      </c>
      <c r="P645" s="1094">
        <v>2036</v>
      </c>
      <c r="Q645" t="s">
        <v>1792</v>
      </c>
      <c r="R645" t="s">
        <v>248</v>
      </c>
      <c r="S645">
        <v>151.237844</v>
      </c>
      <c r="T645" s="1095">
        <v>-33.969624000000003</v>
      </c>
    </row>
    <row r="646" spans="12:20">
      <c r="L646" s="1134">
        <v>3888</v>
      </c>
      <c r="M646" s="1135" t="s">
        <v>1599</v>
      </c>
      <c r="N646" s="1136">
        <v>1.04</v>
      </c>
      <c r="P646" s="1094">
        <v>2036</v>
      </c>
      <c r="Q646" t="s">
        <v>1793</v>
      </c>
      <c r="R646" t="s">
        <v>248</v>
      </c>
      <c r="S646">
        <v>151.237844</v>
      </c>
      <c r="T646" s="1095">
        <v>-33.969624000000003</v>
      </c>
    </row>
    <row r="647" spans="12:20">
      <c r="L647" s="1134">
        <v>3889</v>
      </c>
      <c r="M647" s="1135" t="s">
        <v>1599</v>
      </c>
      <c r="N647" s="1136">
        <v>1.04</v>
      </c>
      <c r="P647" s="1094">
        <v>2036</v>
      </c>
      <c r="Q647" t="s">
        <v>1794</v>
      </c>
      <c r="R647" t="s">
        <v>248</v>
      </c>
      <c r="S647">
        <v>151.237844</v>
      </c>
      <c r="T647" s="1095">
        <v>-33.969624000000003</v>
      </c>
    </row>
    <row r="648" spans="12:20">
      <c r="L648" s="1134">
        <v>3890</v>
      </c>
      <c r="M648" s="1135" t="s">
        <v>1599</v>
      </c>
      <c r="N648" s="1136">
        <v>1.04</v>
      </c>
      <c r="P648" s="1094">
        <v>2037</v>
      </c>
      <c r="Q648" t="s">
        <v>1795</v>
      </c>
      <c r="R648" t="s">
        <v>248</v>
      </c>
      <c r="S648">
        <v>151.18445800000001</v>
      </c>
      <c r="T648" s="1095">
        <v>-33.880178999999998</v>
      </c>
    </row>
    <row r="649" spans="12:20">
      <c r="L649" s="1134">
        <v>3891</v>
      </c>
      <c r="M649" s="1135" t="s">
        <v>1599</v>
      </c>
      <c r="N649" s="1136">
        <v>1.04</v>
      </c>
      <c r="P649" s="1094">
        <v>2037</v>
      </c>
      <c r="Q649" t="s">
        <v>1796</v>
      </c>
      <c r="R649" t="s">
        <v>248</v>
      </c>
      <c r="S649">
        <v>151.18445800000001</v>
      </c>
      <c r="T649" s="1095">
        <v>-33.880178999999998</v>
      </c>
    </row>
    <row r="650" spans="12:20">
      <c r="L650" s="1134">
        <v>3892</v>
      </c>
      <c r="M650" s="1135" t="s">
        <v>1599</v>
      </c>
      <c r="N650" s="1136">
        <v>1.04</v>
      </c>
      <c r="P650" s="1094">
        <v>2038</v>
      </c>
      <c r="Q650" t="s">
        <v>1797</v>
      </c>
      <c r="R650" t="s">
        <v>248</v>
      </c>
      <c r="S650">
        <v>151.170165</v>
      </c>
      <c r="T650" s="1095">
        <v>-33.881624000000002</v>
      </c>
    </row>
    <row r="651" spans="12:20">
      <c r="L651" s="1134">
        <v>3893</v>
      </c>
      <c r="M651" s="1135" t="s">
        <v>1599</v>
      </c>
      <c r="N651" s="1136">
        <v>1.04</v>
      </c>
      <c r="P651" s="1094">
        <v>2039</v>
      </c>
      <c r="Q651" t="s">
        <v>1798</v>
      </c>
      <c r="R651" t="s">
        <v>248</v>
      </c>
      <c r="S651">
        <v>151.17191500000001</v>
      </c>
      <c r="T651" s="1095">
        <v>-33.867187000000001</v>
      </c>
    </row>
    <row r="652" spans="12:20">
      <c r="L652" s="1134">
        <v>3895</v>
      </c>
      <c r="M652" s="1135" t="s">
        <v>1599</v>
      </c>
      <c r="N652" s="1136">
        <v>1.04</v>
      </c>
      <c r="P652" s="1094">
        <v>2040</v>
      </c>
      <c r="Q652" t="s">
        <v>1799</v>
      </c>
      <c r="R652" t="s">
        <v>248</v>
      </c>
      <c r="S652">
        <v>151.15681900000001</v>
      </c>
      <c r="T652" s="1095">
        <v>-33.878774</v>
      </c>
    </row>
    <row r="653" spans="12:20">
      <c r="L653" s="1134">
        <v>3896</v>
      </c>
      <c r="M653" s="1135" t="s">
        <v>1599</v>
      </c>
      <c r="N653" s="1136">
        <v>1.04</v>
      </c>
      <c r="P653" s="1094">
        <v>2040</v>
      </c>
      <c r="Q653" t="s">
        <v>1800</v>
      </c>
      <c r="R653" t="s">
        <v>248</v>
      </c>
      <c r="S653">
        <v>151.15681900000001</v>
      </c>
      <c r="T653" s="1095">
        <v>-33.878774</v>
      </c>
    </row>
    <row r="654" spans="12:20">
      <c r="L654" s="1134">
        <v>3898</v>
      </c>
      <c r="M654" s="1135" t="s">
        <v>1599</v>
      </c>
      <c r="N654" s="1136">
        <v>1.04</v>
      </c>
      <c r="P654" s="1094">
        <v>2041</v>
      </c>
      <c r="Q654" t="s">
        <v>1801</v>
      </c>
      <c r="R654" t="s">
        <v>248</v>
      </c>
      <c r="S654">
        <v>151.18009499999999</v>
      </c>
      <c r="T654" s="1095">
        <v>-33.858556</v>
      </c>
    </row>
    <row r="655" spans="12:20">
      <c r="L655" s="1134">
        <v>3900</v>
      </c>
      <c r="M655" s="1135" t="s">
        <v>1599</v>
      </c>
      <c r="N655" s="1136">
        <v>1.04</v>
      </c>
      <c r="P655" s="1094">
        <v>2041</v>
      </c>
      <c r="Q655" t="s">
        <v>1802</v>
      </c>
      <c r="R655" t="s">
        <v>248</v>
      </c>
      <c r="S655">
        <v>151.18009499999999</v>
      </c>
      <c r="T655" s="1095">
        <v>-33.858556</v>
      </c>
    </row>
    <row r="656" spans="12:20">
      <c r="L656" s="1134">
        <v>3902</v>
      </c>
      <c r="M656" s="1135" t="s">
        <v>1599</v>
      </c>
      <c r="N656" s="1136">
        <v>1.04</v>
      </c>
      <c r="P656" s="1094">
        <v>2041</v>
      </c>
      <c r="Q656" t="s">
        <v>1803</v>
      </c>
      <c r="R656" t="s">
        <v>248</v>
      </c>
      <c r="S656">
        <v>151.18009499999999</v>
      </c>
      <c r="T656" s="1095">
        <v>-33.858556</v>
      </c>
    </row>
    <row r="657" spans="12:20">
      <c r="L657" s="1134">
        <v>3903</v>
      </c>
      <c r="M657" s="1135" t="s">
        <v>1599</v>
      </c>
      <c r="N657" s="1136">
        <v>1.04</v>
      </c>
      <c r="P657" s="1094">
        <v>2042</v>
      </c>
      <c r="Q657" t="s">
        <v>1804</v>
      </c>
      <c r="R657" t="s">
        <v>248</v>
      </c>
      <c r="S657">
        <v>151.175354</v>
      </c>
      <c r="T657" s="1095">
        <v>-33.900649000000001</v>
      </c>
    </row>
    <row r="658" spans="12:20">
      <c r="L658" s="1134">
        <v>3904</v>
      </c>
      <c r="M658" s="1135" t="s">
        <v>1599</v>
      </c>
      <c r="N658" s="1136">
        <v>1.04</v>
      </c>
      <c r="P658" s="1094">
        <v>2042</v>
      </c>
      <c r="Q658" t="s">
        <v>1805</v>
      </c>
      <c r="R658" t="s">
        <v>248</v>
      </c>
      <c r="S658">
        <v>151.175354</v>
      </c>
      <c r="T658" s="1095">
        <v>-33.900649000000001</v>
      </c>
    </row>
    <row r="659" spans="12:20">
      <c r="L659" s="1134">
        <v>3909</v>
      </c>
      <c r="M659" s="1135" t="s">
        <v>1599</v>
      </c>
      <c r="N659" s="1136">
        <v>1.04</v>
      </c>
      <c r="P659" s="1094">
        <v>2043</v>
      </c>
      <c r="Q659" t="s">
        <v>1806</v>
      </c>
      <c r="R659" t="s">
        <v>248</v>
      </c>
      <c r="S659">
        <v>151.184665</v>
      </c>
      <c r="T659" s="1095">
        <v>-33.903520999999998</v>
      </c>
    </row>
    <row r="660" spans="12:20">
      <c r="L660" s="1134">
        <v>3910</v>
      </c>
      <c r="M660" s="1135" t="s">
        <v>1334</v>
      </c>
      <c r="N660" s="1136">
        <v>0.98</v>
      </c>
      <c r="P660" s="1094">
        <v>2044</v>
      </c>
      <c r="Q660" t="s">
        <v>1807</v>
      </c>
      <c r="R660" t="s">
        <v>248</v>
      </c>
      <c r="S660">
        <v>151.17074</v>
      </c>
      <c r="T660" s="1095">
        <v>-33.920698000000002</v>
      </c>
    </row>
    <row r="661" spans="12:20">
      <c r="L661" s="1134">
        <v>3911</v>
      </c>
      <c r="M661" s="1135" t="s">
        <v>1334</v>
      </c>
      <c r="N661" s="1136">
        <v>0.98</v>
      </c>
      <c r="P661" s="1094">
        <v>2044</v>
      </c>
      <c r="Q661" t="s">
        <v>1808</v>
      </c>
      <c r="R661" t="s">
        <v>248</v>
      </c>
      <c r="S661">
        <v>151.17074</v>
      </c>
      <c r="T661" s="1095">
        <v>-33.920698000000002</v>
      </c>
    </row>
    <row r="662" spans="12:20">
      <c r="L662" s="1134">
        <v>3912</v>
      </c>
      <c r="M662" s="1135" t="s">
        <v>1334</v>
      </c>
      <c r="N662" s="1136">
        <v>0.98</v>
      </c>
      <c r="P662" s="1094">
        <v>2044</v>
      </c>
      <c r="Q662" t="s">
        <v>1809</v>
      </c>
      <c r="R662" t="s">
        <v>248</v>
      </c>
      <c r="S662">
        <v>151.17074</v>
      </c>
      <c r="T662" s="1095">
        <v>-33.920698000000002</v>
      </c>
    </row>
    <row r="663" spans="12:20">
      <c r="L663" s="1134">
        <v>3913</v>
      </c>
      <c r="M663" s="1135" t="s">
        <v>1334</v>
      </c>
      <c r="N663" s="1136">
        <v>0.98</v>
      </c>
      <c r="P663" s="1094">
        <v>2045</v>
      </c>
      <c r="Q663" t="s">
        <v>1810</v>
      </c>
      <c r="R663" t="s">
        <v>248</v>
      </c>
      <c r="S663">
        <v>151.13868400000001</v>
      </c>
      <c r="T663" s="1095">
        <v>-33.879300999999998</v>
      </c>
    </row>
    <row r="664" spans="12:20">
      <c r="L664" s="1134">
        <v>3915</v>
      </c>
      <c r="M664" s="1135" t="s">
        <v>1334</v>
      </c>
      <c r="N664" s="1136">
        <v>0.98</v>
      </c>
      <c r="P664" s="1094">
        <v>2046</v>
      </c>
      <c r="Q664" t="s">
        <v>1811</v>
      </c>
      <c r="R664" t="s">
        <v>248</v>
      </c>
      <c r="S664">
        <v>151.13386499999999</v>
      </c>
      <c r="T664" s="1095">
        <v>-33.866044000000002</v>
      </c>
    </row>
    <row r="665" spans="12:20">
      <c r="L665" s="1134">
        <v>3916</v>
      </c>
      <c r="M665" s="1135" t="s">
        <v>1334</v>
      </c>
      <c r="N665" s="1136">
        <v>0.98</v>
      </c>
      <c r="P665" s="1094">
        <v>2046</v>
      </c>
      <c r="Q665" t="s">
        <v>1812</v>
      </c>
      <c r="R665" t="s">
        <v>248</v>
      </c>
      <c r="S665">
        <v>151.13386499999999</v>
      </c>
      <c r="T665" s="1095">
        <v>-33.866044000000002</v>
      </c>
    </row>
    <row r="666" spans="12:20">
      <c r="L666" s="1134">
        <v>3918</v>
      </c>
      <c r="M666" s="1135" t="s">
        <v>1334</v>
      </c>
      <c r="N666" s="1136">
        <v>0.98</v>
      </c>
      <c r="P666" s="1094">
        <v>2046</v>
      </c>
      <c r="Q666" t="s">
        <v>1813</v>
      </c>
      <c r="R666" t="s">
        <v>248</v>
      </c>
      <c r="S666">
        <v>151.13386499999999</v>
      </c>
      <c r="T666" s="1095">
        <v>-33.866044000000002</v>
      </c>
    </row>
    <row r="667" spans="12:20">
      <c r="L667" s="1134">
        <v>3919</v>
      </c>
      <c r="M667" s="1135" t="s">
        <v>1334</v>
      </c>
      <c r="N667" s="1136">
        <v>0.98</v>
      </c>
      <c r="P667" s="1094">
        <v>2046</v>
      </c>
      <c r="Q667" t="s">
        <v>1814</v>
      </c>
      <c r="R667" t="s">
        <v>248</v>
      </c>
      <c r="S667">
        <v>151.13386499999999</v>
      </c>
      <c r="T667" s="1095">
        <v>-33.866044000000002</v>
      </c>
    </row>
    <row r="668" spans="12:20">
      <c r="L668" s="1134">
        <v>3920</v>
      </c>
      <c r="M668" s="1135" t="s">
        <v>1334</v>
      </c>
      <c r="N668" s="1136">
        <v>0.98</v>
      </c>
      <c r="P668" s="1094">
        <v>2046</v>
      </c>
      <c r="Q668" t="s">
        <v>1815</v>
      </c>
      <c r="R668" t="s">
        <v>248</v>
      </c>
      <c r="S668">
        <v>151.13386499999999</v>
      </c>
      <c r="T668" s="1095">
        <v>-33.866044000000002</v>
      </c>
    </row>
    <row r="669" spans="12:20">
      <c r="L669" s="1134">
        <v>3921</v>
      </c>
      <c r="M669" s="1135" t="s">
        <v>1599</v>
      </c>
      <c r="N669" s="1136">
        <v>1.04</v>
      </c>
      <c r="P669" s="1094">
        <v>2046</v>
      </c>
      <c r="Q669" t="s">
        <v>1816</v>
      </c>
      <c r="R669" t="s">
        <v>248</v>
      </c>
      <c r="S669">
        <v>151.13386499999999</v>
      </c>
      <c r="T669" s="1095">
        <v>-33.866044000000002</v>
      </c>
    </row>
    <row r="670" spans="12:20">
      <c r="L670" s="1134">
        <v>3922</v>
      </c>
      <c r="M670" s="1135" t="s">
        <v>1599</v>
      </c>
      <c r="N670" s="1136">
        <v>1.04</v>
      </c>
      <c r="P670" s="1094">
        <v>2046</v>
      </c>
      <c r="Q670" t="s">
        <v>1817</v>
      </c>
      <c r="R670" t="s">
        <v>248</v>
      </c>
      <c r="S670">
        <v>151.13386499999999</v>
      </c>
      <c r="T670" s="1095">
        <v>-33.866044000000002</v>
      </c>
    </row>
    <row r="671" spans="12:20">
      <c r="L671" s="1134">
        <v>3923</v>
      </c>
      <c r="M671" s="1135" t="s">
        <v>1599</v>
      </c>
      <c r="N671" s="1136">
        <v>1.04</v>
      </c>
      <c r="P671" s="1094">
        <v>2047</v>
      </c>
      <c r="Q671" t="s">
        <v>1667</v>
      </c>
      <c r="R671" t="s">
        <v>248</v>
      </c>
      <c r="S671">
        <v>151.16573500000001</v>
      </c>
      <c r="T671" s="1095">
        <v>-33.853923999999999</v>
      </c>
    </row>
    <row r="672" spans="12:20">
      <c r="L672" s="1134">
        <v>3925</v>
      </c>
      <c r="M672" s="1135" t="s">
        <v>1599</v>
      </c>
      <c r="N672" s="1136">
        <v>1.04</v>
      </c>
      <c r="P672" s="1094">
        <v>2048</v>
      </c>
      <c r="Q672" t="s">
        <v>1818</v>
      </c>
      <c r="R672" t="s">
        <v>248</v>
      </c>
      <c r="S672">
        <v>151.16564</v>
      </c>
      <c r="T672" s="1095">
        <v>-33.894179999999999</v>
      </c>
    </row>
    <row r="673" spans="12:20">
      <c r="L673" s="1134">
        <v>3926</v>
      </c>
      <c r="M673" s="1135" t="s">
        <v>1334</v>
      </c>
      <c r="N673" s="1136">
        <v>0.98</v>
      </c>
      <c r="P673" s="1094">
        <v>2048</v>
      </c>
      <c r="Q673" t="s">
        <v>1819</v>
      </c>
      <c r="R673" t="s">
        <v>248</v>
      </c>
      <c r="S673">
        <v>151.16564</v>
      </c>
      <c r="T673" s="1095">
        <v>-33.894179999999999</v>
      </c>
    </row>
    <row r="674" spans="12:20">
      <c r="L674" s="1134">
        <v>3927</v>
      </c>
      <c r="M674" s="1135" t="s">
        <v>1334</v>
      </c>
      <c r="N674" s="1136">
        <v>0.98</v>
      </c>
      <c r="P674" s="1094">
        <v>2049</v>
      </c>
      <c r="Q674" t="s">
        <v>1820</v>
      </c>
      <c r="R674" t="s">
        <v>248</v>
      </c>
      <c r="S674">
        <v>151.15084999999999</v>
      </c>
      <c r="T674" s="1095">
        <v>-33.897219</v>
      </c>
    </row>
    <row r="675" spans="12:20">
      <c r="L675" s="1134">
        <v>3928</v>
      </c>
      <c r="M675" s="1135" t="s">
        <v>1334</v>
      </c>
      <c r="N675" s="1136">
        <v>0.98</v>
      </c>
      <c r="P675" s="1094">
        <v>2049</v>
      </c>
      <c r="Q675" t="s">
        <v>1821</v>
      </c>
      <c r="R675" t="s">
        <v>248</v>
      </c>
      <c r="S675">
        <v>151.15084999999999</v>
      </c>
      <c r="T675" s="1095">
        <v>-33.897219</v>
      </c>
    </row>
    <row r="676" spans="12:20">
      <c r="L676" s="1134">
        <v>3929</v>
      </c>
      <c r="M676" s="1135" t="s">
        <v>1334</v>
      </c>
      <c r="N676" s="1136">
        <v>0.98</v>
      </c>
      <c r="P676" s="1094">
        <v>2049</v>
      </c>
      <c r="Q676" t="s">
        <v>1822</v>
      </c>
      <c r="R676" t="s">
        <v>248</v>
      </c>
      <c r="S676">
        <v>151.15084999999999</v>
      </c>
      <c r="T676" s="1095">
        <v>-33.897219</v>
      </c>
    </row>
    <row r="677" spans="12:20">
      <c r="L677" s="1134">
        <v>3930</v>
      </c>
      <c r="M677" s="1135" t="s">
        <v>1334</v>
      </c>
      <c r="N677" s="1136">
        <v>0.98</v>
      </c>
      <c r="P677" s="1094">
        <v>2050</v>
      </c>
      <c r="Q677" t="s">
        <v>1662</v>
      </c>
      <c r="R677" t="s">
        <v>248</v>
      </c>
      <c r="S677">
        <v>151.17598000000001</v>
      </c>
      <c r="T677" s="1095">
        <v>-33.890369999999997</v>
      </c>
    </row>
    <row r="678" spans="12:20">
      <c r="L678" s="1134">
        <v>3931</v>
      </c>
      <c r="M678" s="1135" t="s">
        <v>1334</v>
      </c>
      <c r="N678" s="1136">
        <v>0.98</v>
      </c>
      <c r="P678" s="1094">
        <v>2050</v>
      </c>
      <c r="Q678" t="s">
        <v>1823</v>
      </c>
      <c r="R678" t="s">
        <v>248</v>
      </c>
      <c r="S678">
        <v>151.17598000000001</v>
      </c>
      <c r="T678" s="1095">
        <v>-33.890369999999997</v>
      </c>
    </row>
    <row r="679" spans="12:20">
      <c r="L679" s="1134">
        <v>3933</v>
      </c>
      <c r="M679" s="1135" t="s">
        <v>1334</v>
      </c>
      <c r="N679" s="1136">
        <v>0.98</v>
      </c>
      <c r="P679" s="1094">
        <v>2052</v>
      </c>
      <c r="Q679" t="s">
        <v>1666</v>
      </c>
      <c r="R679" t="s">
        <v>248</v>
      </c>
      <c r="S679">
        <v>0</v>
      </c>
      <c r="T679" s="1095">
        <v>0</v>
      </c>
    </row>
    <row r="680" spans="12:20">
      <c r="L680" s="1134">
        <v>3934</v>
      </c>
      <c r="M680" s="1135" t="s">
        <v>1334</v>
      </c>
      <c r="N680" s="1136">
        <v>0.98</v>
      </c>
      <c r="P680" s="1094">
        <v>2055</v>
      </c>
      <c r="Q680" t="s">
        <v>1824</v>
      </c>
      <c r="R680" t="s">
        <v>248</v>
      </c>
      <c r="S680">
        <v>0</v>
      </c>
      <c r="T680" s="1095">
        <v>0</v>
      </c>
    </row>
    <row r="681" spans="12:20">
      <c r="L681" s="1134">
        <v>3936</v>
      </c>
      <c r="M681" s="1135" t="s">
        <v>1334</v>
      </c>
      <c r="N681" s="1136">
        <v>0.98</v>
      </c>
      <c r="P681" s="1094">
        <v>2057</v>
      </c>
      <c r="Q681" t="s">
        <v>1825</v>
      </c>
      <c r="R681" t="s">
        <v>248</v>
      </c>
      <c r="S681">
        <v>0</v>
      </c>
      <c r="T681" s="1095">
        <v>0</v>
      </c>
    </row>
    <row r="682" spans="12:20">
      <c r="L682" s="1134">
        <v>3937</v>
      </c>
      <c r="M682" s="1135" t="s">
        <v>1334</v>
      </c>
      <c r="N682" s="1136">
        <v>0.98</v>
      </c>
      <c r="P682" s="1094">
        <v>2058</v>
      </c>
      <c r="Q682" t="s">
        <v>1694</v>
      </c>
      <c r="R682" t="s">
        <v>248</v>
      </c>
      <c r="S682">
        <v>0</v>
      </c>
      <c r="T682" s="1095">
        <v>0</v>
      </c>
    </row>
    <row r="683" spans="12:20">
      <c r="L683" s="1134">
        <v>3938</v>
      </c>
      <c r="M683" s="1135" t="s">
        <v>1334</v>
      </c>
      <c r="N683" s="1136">
        <v>0.98</v>
      </c>
      <c r="P683" s="1094">
        <v>2059</v>
      </c>
      <c r="Q683" t="s">
        <v>1824</v>
      </c>
      <c r="R683" t="s">
        <v>248</v>
      </c>
      <c r="S683">
        <v>0</v>
      </c>
      <c r="T683" s="1095">
        <v>0</v>
      </c>
    </row>
    <row r="684" spans="12:20">
      <c r="L684" s="1134">
        <v>3939</v>
      </c>
      <c r="M684" s="1135" t="s">
        <v>1334</v>
      </c>
      <c r="N684" s="1136">
        <v>0.98</v>
      </c>
      <c r="P684" s="1094">
        <v>2060</v>
      </c>
      <c r="Q684" t="s">
        <v>1826</v>
      </c>
      <c r="R684" t="s">
        <v>248</v>
      </c>
      <c r="S684">
        <v>151.20455699999999</v>
      </c>
      <c r="T684" s="1095">
        <v>-33.839863000000001</v>
      </c>
    </row>
    <row r="685" spans="12:20">
      <c r="L685" s="1134">
        <v>3940</v>
      </c>
      <c r="M685" s="1135" t="s">
        <v>1334</v>
      </c>
      <c r="N685" s="1136">
        <v>0.98</v>
      </c>
      <c r="P685" s="1094">
        <v>2060</v>
      </c>
      <c r="Q685" t="s">
        <v>1827</v>
      </c>
      <c r="R685" t="s">
        <v>248</v>
      </c>
      <c r="S685">
        <v>151.20455699999999</v>
      </c>
      <c r="T685" s="1095">
        <v>-33.839863000000001</v>
      </c>
    </row>
    <row r="686" spans="12:20">
      <c r="L686" s="1134">
        <v>3941</v>
      </c>
      <c r="M686" s="1135" t="s">
        <v>1334</v>
      </c>
      <c r="N686" s="1136">
        <v>0.98</v>
      </c>
      <c r="P686" s="1094">
        <v>2060</v>
      </c>
      <c r="Q686" t="s">
        <v>1828</v>
      </c>
      <c r="R686" t="s">
        <v>248</v>
      </c>
      <c r="S686">
        <v>151.20455699999999</v>
      </c>
      <c r="T686" s="1095">
        <v>-33.839863000000001</v>
      </c>
    </row>
    <row r="687" spans="12:20">
      <c r="L687" s="1134">
        <v>3942</v>
      </c>
      <c r="M687" s="1135" t="s">
        <v>1334</v>
      </c>
      <c r="N687" s="1136">
        <v>0.98</v>
      </c>
      <c r="P687" s="1094">
        <v>2060</v>
      </c>
      <c r="Q687" t="s">
        <v>1829</v>
      </c>
      <c r="R687" t="s">
        <v>248</v>
      </c>
      <c r="S687">
        <v>151.20455699999999</v>
      </c>
      <c r="T687" s="1095">
        <v>-33.839863000000001</v>
      </c>
    </row>
    <row r="688" spans="12:20">
      <c r="L688" s="1134">
        <v>3943</v>
      </c>
      <c r="M688" s="1135" t="s">
        <v>1334</v>
      </c>
      <c r="N688" s="1136">
        <v>0.98</v>
      </c>
      <c r="P688" s="1094">
        <v>2060</v>
      </c>
      <c r="Q688" t="s">
        <v>1824</v>
      </c>
      <c r="R688" t="s">
        <v>248</v>
      </c>
      <c r="S688">
        <v>151.20455699999999</v>
      </c>
      <c r="T688" s="1095">
        <v>-33.839863000000001</v>
      </c>
    </row>
    <row r="689" spans="12:20">
      <c r="L689" s="1134">
        <v>3944</v>
      </c>
      <c r="M689" s="1135" t="s">
        <v>1334</v>
      </c>
      <c r="N689" s="1136">
        <v>0.98</v>
      </c>
      <c r="P689" s="1094">
        <v>2060</v>
      </c>
      <c r="Q689" t="s">
        <v>1830</v>
      </c>
      <c r="R689" t="s">
        <v>248</v>
      </c>
      <c r="S689">
        <v>151.20455699999999</v>
      </c>
      <c r="T689" s="1095">
        <v>-33.839863000000001</v>
      </c>
    </row>
    <row r="690" spans="12:20">
      <c r="L690" s="1134">
        <v>3945</v>
      </c>
      <c r="M690" s="1135" t="s">
        <v>1599</v>
      </c>
      <c r="N690" s="1136">
        <v>1.04</v>
      </c>
      <c r="P690" s="1094">
        <v>2060</v>
      </c>
      <c r="Q690" t="s">
        <v>1831</v>
      </c>
      <c r="R690" t="s">
        <v>248</v>
      </c>
      <c r="S690">
        <v>151.20455699999999</v>
      </c>
      <c r="T690" s="1095">
        <v>-33.839863000000001</v>
      </c>
    </row>
    <row r="691" spans="12:20">
      <c r="L691" s="1134">
        <v>3946</v>
      </c>
      <c r="M691" s="1135" t="s">
        <v>1599</v>
      </c>
      <c r="N691" s="1136">
        <v>1.04</v>
      </c>
      <c r="P691" s="1094">
        <v>2061</v>
      </c>
      <c r="Q691" t="s">
        <v>1832</v>
      </c>
      <c r="R691" t="s">
        <v>248</v>
      </c>
      <c r="S691">
        <v>151.21237199999999</v>
      </c>
      <c r="T691" s="1095">
        <v>-33.848784999999999</v>
      </c>
    </row>
    <row r="692" spans="12:20">
      <c r="L692" s="1134">
        <v>3950</v>
      </c>
      <c r="M692" s="1135" t="s">
        <v>1599</v>
      </c>
      <c r="N692" s="1136">
        <v>1.04</v>
      </c>
      <c r="P692" s="1094">
        <v>2061</v>
      </c>
      <c r="Q692" t="s">
        <v>1679</v>
      </c>
      <c r="R692" t="s">
        <v>248</v>
      </c>
      <c r="S692">
        <v>151.21237199999999</v>
      </c>
      <c r="T692" s="1095">
        <v>-33.848784999999999</v>
      </c>
    </row>
    <row r="693" spans="12:20">
      <c r="L693" s="1134">
        <v>3951</v>
      </c>
      <c r="M693" s="1135" t="s">
        <v>1599</v>
      </c>
      <c r="N693" s="1136">
        <v>1.04</v>
      </c>
      <c r="P693" s="1094">
        <v>2062</v>
      </c>
      <c r="Q693" t="s">
        <v>1833</v>
      </c>
      <c r="R693" t="s">
        <v>248</v>
      </c>
      <c r="S693">
        <v>151.21245999999999</v>
      </c>
      <c r="T693" s="1095">
        <v>-33.822837</v>
      </c>
    </row>
    <row r="694" spans="12:20">
      <c r="L694" s="1134">
        <v>3953</v>
      </c>
      <c r="M694" s="1135" t="s">
        <v>1599</v>
      </c>
      <c r="N694" s="1136">
        <v>1.04</v>
      </c>
      <c r="P694" s="1094">
        <v>2063</v>
      </c>
      <c r="Q694" t="s">
        <v>1678</v>
      </c>
      <c r="R694" t="s">
        <v>248</v>
      </c>
      <c r="S694">
        <v>151.214797</v>
      </c>
      <c r="T694" s="1095">
        <v>-33.812635999999998</v>
      </c>
    </row>
    <row r="695" spans="12:20">
      <c r="L695" s="1134">
        <v>3954</v>
      </c>
      <c r="M695" s="1135" t="s">
        <v>1599</v>
      </c>
      <c r="N695" s="1136">
        <v>1.04</v>
      </c>
      <c r="P695" s="1094">
        <v>2064</v>
      </c>
      <c r="Q695" t="s">
        <v>1680</v>
      </c>
      <c r="R695" t="s">
        <v>248</v>
      </c>
      <c r="S695">
        <v>151.18380099999999</v>
      </c>
      <c r="T695" s="1095">
        <v>-33.813209000000001</v>
      </c>
    </row>
    <row r="696" spans="12:20">
      <c r="L696" s="1134">
        <v>3956</v>
      </c>
      <c r="M696" s="1135" t="s">
        <v>1599</v>
      </c>
      <c r="N696" s="1136">
        <v>1.04</v>
      </c>
      <c r="P696" s="1094">
        <v>2065</v>
      </c>
      <c r="Q696" t="s">
        <v>1681</v>
      </c>
      <c r="R696" t="s">
        <v>248</v>
      </c>
      <c r="S696">
        <v>151.19221200000001</v>
      </c>
      <c r="T696" s="1095">
        <v>-33.828361000000001</v>
      </c>
    </row>
    <row r="697" spans="12:20">
      <c r="L697" s="1134">
        <v>3957</v>
      </c>
      <c r="M697" s="1135" t="s">
        <v>1599</v>
      </c>
      <c r="N697" s="1136">
        <v>1.04</v>
      </c>
      <c r="P697" s="1094">
        <v>2065</v>
      </c>
      <c r="Q697" t="s">
        <v>1834</v>
      </c>
      <c r="R697" t="s">
        <v>248</v>
      </c>
      <c r="S697">
        <v>151.19221200000001</v>
      </c>
      <c r="T697" s="1095">
        <v>-33.828361000000001</v>
      </c>
    </row>
    <row r="698" spans="12:20">
      <c r="L698" s="1134">
        <v>3958</v>
      </c>
      <c r="M698" s="1135" t="s">
        <v>1599</v>
      </c>
      <c r="N698" s="1136">
        <v>1.04</v>
      </c>
      <c r="P698" s="1094">
        <v>2065</v>
      </c>
      <c r="Q698" t="s">
        <v>1835</v>
      </c>
      <c r="R698" t="s">
        <v>248</v>
      </c>
      <c r="S698">
        <v>151.19221200000001</v>
      </c>
      <c r="T698" s="1095">
        <v>-33.828361000000001</v>
      </c>
    </row>
    <row r="699" spans="12:20">
      <c r="L699" s="1134">
        <v>3959</v>
      </c>
      <c r="M699" s="1135" t="s">
        <v>1599</v>
      </c>
      <c r="N699" s="1136">
        <v>1.04</v>
      </c>
      <c r="P699" s="1094">
        <v>2065</v>
      </c>
      <c r="Q699" t="s">
        <v>1836</v>
      </c>
      <c r="R699" t="s">
        <v>248</v>
      </c>
      <c r="S699">
        <v>151.19221200000001</v>
      </c>
      <c r="T699" s="1095">
        <v>-33.828361000000001</v>
      </c>
    </row>
    <row r="700" spans="12:20">
      <c r="L700" s="1134">
        <v>3960</v>
      </c>
      <c r="M700" s="1135" t="s">
        <v>1599</v>
      </c>
      <c r="N700" s="1136">
        <v>1.04</v>
      </c>
      <c r="P700" s="1094">
        <v>2065</v>
      </c>
      <c r="Q700" t="s">
        <v>1837</v>
      </c>
      <c r="R700" t="s">
        <v>248</v>
      </c>
      <c r="S700">
        <v>151.19221200000001</v>
      </c>
      <c r="T700" s="1095">
        <v>-33.828361000000001</v>
      </c>
    </row>
    <row r="701" spans="12:20">
      <c r="L701" s="1134">
        <v>3962</v>
      </c>
      <c r="M701" s="1135" t="s">
        <v>1599</v>
      </c>
      <c r="N701" s="1136">
        <v>1.04</v>
      </c>
      <c r="P701" s="1094">
        <v>2065</v>
      </c>
      <c r="Q701" t="s">
        <v>1682</v>
      </c>
      <c r="R701" t="s">
        <v>248</v>
      </c>
      <c r="S701">
        <v>151.19221200000001</v>
      </c>
      <c r="T701" s="1095">
        <v>-33.828361000000001</v>
      </c>
    </row>
    <row r="702" spans="12:20">
      <c r="L702" s="1134">
        <v>3964</v>
      </c>
      <c r="M702" s="1135" t="s">
        <v>1599</v>
      </c>
      <c r="N702" s="1136">
        <v>1.04</v>
      </c>
      <c r="P702" s="1094">
        <v>2065</v>
      </c>
      <c r="Q702" t="s">
        <v>1838</v>
      </c>
      <c r="R702" t="s">
        <v>248</v>
      </c>
      <c r="S702">
        <v>151.19221200000001</v>
      </c>
      <c r="T702" s="1095">
        <v>-33.828361000000001</v>
      </c>
    </row>
    <row r="703" spans="12:20">
      <c r="L703" s="1134">
        <v>3965</v>
      </c>
      <c r="M703" s="1135" t="s">
        <v>1599</v>
      </c>
      <c r="N703" s="1136">
        <v>1.04</v>
      </c>
      <c r="P703" s="1094">
        <v>2066</v>
      </c>
      <c r="Q703" t="s">
        <v>1683</v>
      </c>
      <c r="R703" t="s">
        <v>248</v>
      </c>
      <c r="S703">
        <v>151.160912</v>
      </c>
      <c r="T703" s="1095">
        <v>-33.818641</v>
      </c>
    </row>
    <row r="704" spans="12:20">
      <c r="L704" s="1134">
        <v>3966</v>
      </c>
      <c r="M704" s="1135" t="s">
        <v>1599</v>
      </c>
      <c r="N704" s="1136">
        <v>1.04</v>
      </c>
      <c r="P704" s="1094">
        <v>2066</v>
      </c>
      <c r="Q704" t="s">
        <v>1839</v>
      </c>
      <c r="R704" t="s">
        <v>248</v>
      </c>
      <c r="S704">
        <v>151.160912</v>
      </c>
      <c r="T704" s="1095">
        <v>-33.818641</v>
      </c>
    </row>
    <row r="705" spans="12:20">
      <c r="L705" s="1134">
        <v>3967</v>
      </c>
      <c r="M705" s="1135" t="s">
        <v>1599</v>
      </c>
      <c r="N705" s="1136">
        <v>1.04</v>
      </c>
      <c r="P705" s="1094">
        <v>2066</v>
      </c>
      <c r="Q705" t="s">
        <v>1840</v>
      </c>
      <c r="R705" t="s">
        <v>248</v>
      </c>
      <c r="S705">
        <v>151.160912</v>
      </c>
      <c r="T705" s="1095">
        <v>-33.818641</v>
      </c>
    </row>
    <row r="706" spans="12:20">
      <c r="L706" s="1134">
        <v>3971</v>
      </c>
      <c r="M706" s="1135" t="s">
        <v>1599</v>
      </c>
      <c r="N706" s="1136">
        <v>1.04</v>
      </c>
      <c r="P706" s="1094">
        <v>2066</v>
      </c>
      <c r="Q706" t="s">
        <v>1841</v>
      </c>
      <c r="R706" t="s">
        <v>248</v>
      </c>
      <c r="S706">
        <v>151.160912</v>
      </c>
      <c r="T706" s="1095">
        <v>-33.818641</v>
      </c>
    </row>
    <row r="707" spans="12:20">
      <c r="L707" s="1134">
        <v>3975</v>
      </c>
      <c r="M707" s="1135" t="s">
        <v>1334</v>
      </c>
      <c r="N707" s="1136">
        <v>0.98</v>
      </c>
      <c r="P707" s="1094">
        <v>2066</v>
      </c>
      <c r="Q707" t="s">
        <v>1842</v>
      </c>
      <c r="R707" t="s">
        <v>248</v>
      </c>
      <c r="S707">
        <v>151.160912</v>
      </c>
      <c r="T707" s="1095">
        <v>-33.818641</v>
      </c>
    </row>
    <row r="708" spans="12:20">
      <c r="L708" s="1134">
        <v>3976</v>
      </c>
      <c r="M708" s="1135" t="s">
        <v>1334</v>
      </c>
      <c r="N708" s="1136">
        <v>0.98</v>
      </c>
      <c r="P708" s="1094">
        <v>2066</v>
      </c>
      <c r="Q708" t="s">
        <v>1843</v>
      </c>
      <c r="R708" t="s">
        <v>248</v>
      </c>
      <c r="S708">
        <v>151.160912</v>
      </c>
      <c r="T708" s="1095">
        <v>-33.818641</v>
      </c>
    </row>
    <row r="709" spans="12:20">
      <c r="L709" s="1134">
        <v>3977</v>
      </c>
      <c r="M709" s="1135" t="s">
        <v>1334</v>
      </c>
      <c r="N709" s="1136">
        <v>0.98</v>
      </c>
      <c r="P709" s="1094">
        <v>2066</v>
      </c>
      <c r="Q709" t="s">
        <v>1844</v>
      </c>
      <c r="R709" t="s">
        <v>248</v>
      </c>
      <c r="S709">
        <v>151.160912</v>
      </c>
      <c r="T709" s="1095">
        <v>-33.818641</v>
      </c>
    </row>
    <row r="710" spans="12:20">
      <c r="L710" s="1134">
        <v>3978</v>
      </c>
      <c r="M710" s="1135" t="s">
        <v>1334</v>
      </c>
      <c r="N710" s="1136">
        <v>0.98</v>
      </c>
      <c r="P710" s="1094">
        <v>2066</v>
      </c>
      <c r="Q710" t="s">
        <v>1845</v>
      </c>
      <c r="R710" t="s">
        <v>248</v>
      </c>
      <c r="S710">
        <v>151.160912</v>
      </c>
      <c r="T710" s="1095">
        <v>-33.818641</v>
      </c>
    </row>
    <row r="711" spans="12:20">
      <c r="L711" s="1134">
        <v>3979</v>
      </c>
      <c r="M711" s="1135" t="s">
        <v>1599</v>
      </c>
      <c r="N711" s="1136">
        <v>1.04</v>
      </c>
      <c r="P711" s="1094">
        <v>2067</v>
      </c>
      <c r="Q711" t="s">
        <v>1825</v>
      </c>
      <c r="R711" t="s">
        <v>248</v>
      </c>
      <c r="S711">
        <v>151.17711</v>
      </c>
      <c r="T711" s="1095">
        <v>-33.798378</v>
      </c>
    </row>
    <row r="712" spans="12:20">
      <c r="L712" s="1134">
        <v>3980</v>
      </c>
      <c r="M712" s="1135" t="s">
        <v>1334</v>
      </c>
      <c r="N712" s="1136">
        <v>0.98</v>
      </c>
      <c r="P712" s="1094">
        <v>2067</v>
      </c>
      <c r="Q712" t="s">
        <v>1846</v>
      </c>
      <c r="R712" t="s">
        <v>248</v>
      </c>
      <c r="S712">
        <v>151.17711</v>
      </c>
      <c r="T712" s="1095">
        <v>-33.798378</v>
      </c>
    </row>
    <row r="713" spans="12:20">
      <c r="L713" s="1134">
        <v>3981</v>
      </c>
      <c r="M713" s="1135" t="s">
        <v>1599</v>
      </c>
      <c r="N713" s="1136">
        <v>1.04</v>
      </c>
      <c r="P713" s="1094">
        <v>2068</v>
      </c>
      <c r="Q713" t="s">
        <v>1847</v>
      </c>
      <c r="R713" t="s">
        <v>248</v>
      </c>
      <c r="S713">
        <v>151.20271500000001</v>
      </c>
      <c r="T713" s="1095">
        <v>-33.800880999999997</v>
      </c>
    </row>
    <row r="714" spans="12:20">
      <c r="L714" s="1134">
        <v>3984</v>
      </c>
      <c r="M714" s="1135" t="s">
        <v>1599</v>
      </c>
      <c r="N714" s="1136">
        <v>1.04</v>
      </c>
      <c r="P714" s="1094">
        <v>2068</v>
      </c>
      <c r="Q714" t="s">
        <v>1848</v>
      </c>
      <c r="R714" t="s">
        <v>248</v>
      </c>
      <c r="S714">
        <v>151.20271500000001</v>
      </c>
      <c r="T714" s="1095">
        <v>-33.800880999999997</v>
      </c>
    </row>
    <row r="715" spans="12:20">
      <c r="L715" s="1134">
        <v>3987</v>
      </c>
      <c r="M715" s="1135" t="s">
        <v>1599</v>
      </c>
      <c r="N715" s="1136">
        <v>1.04</v>
      </c>
      <c r="P715" s="1094">
        <v>2068</v>
      </c>
      <c r="Q715" t="s">
        <v>1849</v>
      </c>
      <c r="R715" t="s">
        <v>248</v>
      </c>
      <c r="S715">
        <v>151.20271500000001</v>
      </c>
      <c r="T715" s="1095">
        <v>-33.800880999999997</v>
      </c>
    </row>
    <row r="716" spans="12:20">
      <c r="L716" s="1134">
        <v>3988</v>
      </c>
      <c r="M716" s="1135" t="s">
        <v>1599</v>
      </c>
      <c r="N716" s="1136">
        <v>1.04</v>
      </c>
      <c r="P716" s="1094">
        <v>2068</v>
      </c>
      <c r="Q716" t="s">
        <v>1850</v>
      </c>
      <c r="R716" t="s">
        <v>248</v>
      </c>
      <c r="S716">
        <v>151.20271500000001</v>
      </c>
      <c r="T716" s="1095">
        <v>-33.800880999999997</v>
      </c>
    </row>
    <row r="717" spans="12:20">
      <c r="L717" s="1134">
        <v>3990</v>
      </c>
      <c r="M717" s="1135" t="s">
        <v>1599</v>
      </c>
      <c r="N717" s="1136">
        <v>1.04</v>
      </c>
      <c r="P717" s="1094">
        <v>2069</v>
      </c>
      <c r="Q717" t="s">
        <v>1851</v>
      </c>
      <c r="R717" t="s">
        <v>248</v>
      </c>
      <c r="S717">
        <v>151.195368</v>
      </c>
      <c r="T717" s="1095">
        <v>-33.780245999999998</v>
      </c>
    </row>
    <row r="718" spans="12:20">
      <c r="L718" s="1134">
        <v>3991</v>
      </c>
      <c r="M718" s="1135" t="s">
        <v>1599</v>
      </c>
      <c r="N718" s="1136">
        <v>1.04</v>
      </c>
      <c r="P718" s="1094">
        <v>2069</v>
      </c>
      <c r="Q718" t="s">
        <v>1852</v>
      </c>
      <c r="R718" t="s">
        <v>248</v>
      </c>
      <c r="S718">
        <v>151.195368</v>
      </c>
      <c r="T718" s="1095">
        <v>-33.780245999999998</v>
      </c>
    </row>
    <row r="719" spans="12:20">
      <c r="L719" s="1134">
        <v>3992</v>
      </c>
      <c r="M719" s="1135" t="s">
        <v>1599</v>
      </c>
      <c r="N719" s="1136">
        <v>1.04</v>
      </c>
      <c r="P719" s="1094">
        <v>2069</v>
      </c>
      <c r="Q719" t="s">
        <v>1853</v>
      </c>
      <c r="R719" t="s">
        <v>248</v>
      </c>
      <c r="S719">
        <v>151.195368</v>
      </c>
      <c r="T719" s="1095">
        <v>-33.780245999999998</v>
      </c>
    </row>
    <row r="720" spans="12:20">
      <c r="L720" s="1134">
        <v>3995</v>
      </c>
      <c r="M720" s="1135" t="s">
        <v>1599</v>
      </c>
      <c r="N720" s="1136">
        <v>1.04</v>
      </c>
      <c r="P720" s="1094">
        <v>2070</v>
      </c>
      <c r="Q720" t="s">
        <v>1854</v>
      </c>
      <c r="R720" t="s">
        <v>248</v>
      </c>
      <c r="S720">
        <v>151.16200699999999</v>
      </c>
      <c r="T720" s="1095">
        <v>-33.780419999999999</v>
      </c>
    </row>
    <row r="721" spans="12:20">
      <c r="L721" s="1137">
        <v>3996</v>
      </c>
      <c r="M721" s="1138" t="s">
        <v>1599</v>
      </c>
      <c r="N721" s="1139">
        <v>1.04</v>
      </c>
      <c r="P721" s="1094">
        <v>2070</v>
      </c>
      <c r="Q721" t="s">
        <v>1855</v>
      </c>
      <c r="R721" t="s">
        <v>248</v>
      </c>
      <c r="S721">
        <v>151.16200699999999</v>
      </c>
      <c r="T721" s="1095">
        <v>-33.780419999999999</v>
      </c>
    </row>
    <row r="722" spans="12:20">
      <c r="P722" s="1094">
        <v>2070</v>
      </c>
      <c r="Q722" t="s">
        <v>1856</v>
      </c>
      <c r="R722" t="s">
        <v>248</v>
      </c>
      <c r="S722">
        <v>151.16200699999999</v>
      </c>
      <c r="T722" s="1095">
        <v>-33.780419999999999</v>
      </c>
    </row>
    <row r="723" spans="12:20">
      <c r="P723" s="1094">
        <v>2071</v>
      </c>
      <c r="Q723" t="s">
        <v>1857</v>
      </c>
      <c r="R723" t="s">
        <v>248</v>
      </c>
      <c r="S723">
        <v>151.171738</v>
      </c>
      <c r="T723" s="1095">
        <v>-33.761834</v>
      </c>
    </row>
    <row r="724" spans="12:20">
      <c r="P724" s="1094">
        <v>2072</v>
      </c>
      <c r="Q724" t="s">
        <v>1858</v>
      </c>
      <c r="R724" t="s">
        <v>248</v>
      </c>
      <c r="S724">
        <v>151.153176</v>
      </c>
      <c r="T724" s="1095">
        <v>-33.754581999999999</v>
      </c>
    </row>
    <row r="725" spans="12:20">
      <c r="P725" s="1094">
        <v>2073</v>
      </c>
      <c r="Q725" t="s">
        <v>1859</v>
      </c>
      <c r="R725" t="s">
        <v>248</v>
      </c>
      <c r="S725">
        <v>151.130278</v>
      </c>
      <c r="T725" s="1095">
        <v>-33.757295999999997</v>
      </c>
    </row>
    <row r="726" spans="12:20">
      <c r="P726" s="1094">
        <v>2073</v>
      </c>
      <c r="Q726" t="s">
        <v>1860</v>
      </c>
      <c r="R726" t="s">
        <v>248</v>
      </c>
      <c r="S726">
        <v>151.130278</v>
      </c>
      <c r="T726" s="1095">
        <v>-33.757295999999997</v>
      </c>
    </row>
    <row r="727" spans="12:20">
      <c r="P727" s="1094">
        <v>2074</v>
      </c>
      <c r="Q727" t="s">
        <v>1861</v>
      </c>
      <c r="R727" t="s">
        <v>248</v>
      </c>
      <c r="S727">
        <v>151.123716</v>
      </c>
      <c r="T727" s="1095">
        <v>-33.735222</v>
      </c>
    </row>
    <row r="728" spans="12:20">
      <c r="P728" s="1094">
        <v>2074</v>
      </c>
      <c r="Q728" t="s">
        <v>1862</v>
      </c>
      <c r="R728" t="s">
        <v>248</v>
      </c>
      <c r="S728">
        <v>151.123716</v>
      </c>
      <c r="T728" s="1095">
        <v>-33.735222</v>
      </c>
    </row>
    <row r="729" spans="12:20">
      <c r="P729" s="1094">
        <v>2074</v>
      </c>
      <c r="Q729" t="s">
        <v>1863</v>
      </c>
      <c r="R729" t="s">
        <v>248</v>
      </c>
      <c r="S729">
        <v>151.123716</v>
      </c>
      <c r="T729" s="1095">
        <v>-33.735222</v>
      </c>
    </row>
    <row r="730" spans="12:20">
      <c r="P730" s="1094">
        <v>2074</v>
      </c>
      <c r="Q730" t="s">
        <v>1864</v>
      </c>
      <c r="R730" t="s">
        <v>248</v>
      </c>
      <c r="S730">
        <v>151.123716</v>
      </c>
      <c r="T730" s="1095">
        <v>-33.735222</v>
      </c>
    </row>
    <row r="731" spans="12:20">
      <c r="P731" s="1094">
        <v>2074</v>
      </c>
      <c r="Q731" t="s">
        <v>1865</v>
      </c>
      <c r="R731" t="s">
        <v>248</v>
      </c>
      <c r="S731">
        <v>151.123716</v>
      </c>
      <c r="T731" s="1095">
        <v>-33.735222</v>
      </c>
    </row>
    <row r="732" spans="12:20">
      <c r="P732" s="1094">
        <v>2075</v>
      </c>
      <c r="Q732" t="s">
        <v>1866</v>
      </c>
      <c r="R732" t="s">
        <v>248</v>
      </c>
      <c r="S732">
        <v>151.16729000000001</v>
      </c>
      <c r="T732" s="1095">
        <v>-33.723692999999997</v>
      </c>
    </row>
    <row r="733" spans="12:20">
      <c r="P733" s="1094">
        <v>2075</v>
      </c>
      <c r="Q733" t="s">
        <v>1867</v>
      </c>
      <c r="R733" t="s">
        <v>248</v>
      </c>
      <c r="S733">
        <v>151.16729000000001</v>
      </c>
      <c r="T733" s="1095">
        <v>-33.723692999999997</v>
      </c>
    </row>
    <row r="734" spans="12:20">
      <c r="P734" s="1094">
        <v>2075</v>
      </c>
      <c r="Q734" t="s">
        <v>1868</v>
      </c>
      <c r="R734" t="s">
        <v>248</v>
      </c>
      <c r="S734">
        <v>151.16729000000001</v>
      </c>
      <c r="T734" s="1095">
        <v>-33.723692999999997</v>
      </c>
    </row>
    <row r="735" spans="12:20">
      <c r="P735" s="1094">
        <v>2076</v>
      </c>
      <c r="Q735" t="s">
        <v>1869</v>
      </c>
      <c r="R735" t="s">
        <v>248</v>
      </c>
      <c r="S735">
        <v>151.108249</v>
      </c>
      <c r="T735" s="1095">
        <v>-33.723263000000003</v>
      </c>
    </row>
    <row r="736" spans="12:20">
      <c r="P736" s="1094">
        <v>2076</v>
      </c>
      <c r="Q736" t="s">
        <v>1870</v>
      </c>
      <c r="R736" t="s">
        <v>248</v>
      </c>
      <c r="S736">
        <v>151.108249</v>
      </c>
      <c r="T736" s="1095">
        <v>-33.723263000000003</v>
      </c>
    </row>
    <row r="737" spans="16:20">
      <c r="P737" s="1094">
        <v>2077</v>
      </c>
      <c r="Q737" t="s">
        <v>1871</v>
      </c>
      <c r="R737" t="s">
        <v>248</v>
      </c>
      <c r="S737">
        <v>151.097508</v>
      </c>
      <c r="T737" s="1095">
        <v>-33.691921999999998</v>
      </c>
    </row>
    <row r="738" spans="16:20">
      <c r="P738" s="1094">
        <v>2077</v>
      </c>
      <c r="Q738" t="s">
        <v>1685</v>
      </c>
      <c r="R738" t="s">
        <v>248</v>
      </c>
      <c r="S738">
        <v>151.097508</v>
      </c>
      <c r="T738" s="1095">
        <v>-33.691921999999998</v>
      </c>
    </row>
    <row r="739" spans="16:20">
      <c r="P739" s="1094">
        <v>2077</v>
      </c>
      <c r="Q739" t="s">
        <v>1872</v>
      </c>
      <c r="R739" t="s">
        <v>248</v>
      </c>
      <c r="S739">
        <v>151.097508</v>
      </c>
      <c r="T739" s="1095">
        <v>-33.691921999999998</v>
      </c>
    </row>
    <row r="740" spans="16:20">
      <c r="P740" s="1094">
        <v>2077</v>
      </c>
      <c r="Q740" t="s">
        <v>1873</v>
      </c>
      <c r="R740" t="s">
        <v>248</v>
      </c>
      <c r="S740">
        <v>151.097508</v>
      </c>
      <c r="T740" s="1095">
        <v>-33.691921999999998</v>
      </c>
    </row>
    <row r="741" spans="16:20">
      <c r="P741" s="1094">
        <v>2079</v>
      </c>
      <c r="Q741" t="s">
        <v>1874</v>
      </c>
      <c r="R741" t="s">
        <v>248</v>
      </c>
      <c r="S741">
        <v>151.11268100000001</v>
      </c>
      <c r="T741" s="1095">
        <v>-33.666637000000001</v>
      </c>
    </row>
    <row r="742" spans="16:20">
      <c r="P742" s="1094">
        <v>2080</v>
      </c>
      <c r="Q742" t="s">
        <v>1875</v>
      </c>
      <c r="R742" t="s">
        <v>248</v>
      </c>
      <c r="S742">
        <v>151.143563</v>
      </c>
      <c r="T742" s="1095">
        <v>-33.658174000000002</v>
      </c>
    </row>
    <row r="743" spans="16:20">
      <c r="P743" s="1094">
        <v>2081</v>
      </c>
      <c r="Q743" t="s">
        <v>1876</v>
      </c>
      <c r="R743" t="s">
        <v>248</v>
      </c>
      <c r="S743">
        <v>151.150498</v>
      </c>
      <c r="T743" s="1095">
        <v>-33.619756000000002</v>
      </c>
    </row>
    <row r="744" spans="16:20">
      <c r="P744" s="1094">
        <v>2081</v>
      </c>
      <c r="Q744" t="s">
        <v>1877</v>
      </c>
      <c r="R744" t="s">
        <v>248</v>
      </c>
      <c r="S744">
        <v>151.150498</v>
      </c>
      <c r="T744" s="1095">
        <v>-33.619756000000002</v>
      </c>
    </row>
    <row r="745" spans="16:20">
      <c r="P745" s="1094">
        <v>2082</v>
      </c>
      <c r="Q745" t="s">
        <v>1878</v>
      </c>
      <c r="R745" t="s">
        <v>248</v>
      </c>
      <c r="S745">
        <v>151.16898399999999</v>
      </c>
      <c r="T745" s="1095">
        <v>-33.561858000000001</v>
      </c>
    </row>
    <row r="746" spans="16:20">
      <c r="P746" s="1094">
        <v>2082</v>
      </c>
      <c r="Q746" t="s">
        <v>1879</v>
      </c>
      <c r="R746" t="s">
        <v>248</v>
      </c>
      <c r="S746">
        <v>151.16898399999999</v>
      </c>
      <c r="T746" s="1095">
        <v>-33.561858000000001</v>
      </c>
    </row>
    <row r="747" spans="16:20">
      <c r="P747" s="1094">
        <v>2083</v>
      </c>
      <c r="Q747" t="s">
        <v>1880</v>
      </c>
      <c r="R747" t="s">
        <v>248</v>
      </c>
      <c r="S747">
        <v>151.19445200000001</v>
      </c>
      <c r="T747" s="1095">
        <v>-33.525322000000003</v>
      </c>
    </row>
    <row r="748" spans="16:20">
      <c r="P748" s="1094">
        <v>2083</v>
      </c>
      <c r="Q748" t="s">
        <v>1881</v>
      </c>
      <c r="R748" t="s">
        <v>248</v>
      </c>
      <c r="S748">
        <v>151.19445200000001</v>
      </c>
      <c r="T748" s="1095">
        <v>-33.525322000000003</v>
      </c>
    </row>
    <row r="749" spans="16:20">
      <c r="P749" s="1094">
        <v>2083</v>
      </c>
      <c r="Q749" t="s">
        <v>1882</v>
      </c>
      <c r="R749" t="s">
        <v>248</v>
      </c>
      <c r="S749">
        <v>151.19445200000001</v>
      </c>
      <c r="T749" s="1095">
        <v>-33.525322000000003</v>
      </c>
    </row>
    <row r="750" spans="16:20">
      <c r="P750" s="1094">
        <v>2083</v>
      </c>
      <c r="Q750" t="s">
        <v>1883</v>
      </c>
      <c r="R750" t="s">
        <v>248</v>
      </c>
      <c r="S750">
        <v>151.19445200000001</v>
      </c>
      <c r="T750" s="1095">
        <v>-33.525322000000003</v>
      </c>
    </row>
    <row r="751" spans="16:20">
      <c r="P751" s="1094">
        <v>2083</v>
      </c>
      <c r="Q751" t="s">
        <v>1884</v>
      </c>
      <c r="R751" t="s">
        <v>248</v>
      </c>
      <c r="S751">
        <v>151.19445200000001</v>
      </c>
      <c r="T751" s="1095">
        <v>-33.525322000000003</v>
      </c>
    </row>
    <row r="752" spans="16:20">
      <c r="P752" s="1094">
        <v>2083</v>
      </c>
      <c r="Q752" t="s">
        <v>1885</v>
      </c>
      <c r="R752" t="s">
        <v>248</v>
      </c>
      <c r="S752">
        <v>151.19445200000001</v>
      </c>
      <c r="T752" s="1095">
        <v>-33.525322000000003</v>
      </c>
    </row>
    <row r="753" spans="16:20">
      <c r="P753" s="1094">
        <v>2084</v>
      </c>
      <c r="Q753" t="s">
        <v>1886</v>
      </c>
      <c r="R753" t="s">
        <v>248</v>
      </c>
      <c r="S753">
        <v>151.21692899999999</v>
      </c>
      <c r="T753" s="1095">
        <v>-33.650998999999999</v>
      </c>
    </row>
    <row r="754" spans="16:20">
      <c r="P754" s="1094">
        <v>2084</v>
      </c>
      <c r="Q754" t="s">
        <v>1887</v>
      </c>
      <c r="R754" t="s">
        <v>248</v>
      </c>
      <c r="S754">
        <v>151.21692899999999</v>
      </c>
      <c r="T754" s="1095">
        <v>-33.650998999999999</v>
      </c>
    </row>
    <row r="755" spans="16:20">
      <c r="P755" s="1094">
        <v>2084</v>
      </c>
      <c r="Q755" t="s">
        <v>1888</v>
      </c>
      <c r="R755" t="s">
        <v>248</v>
      </c>
      <c r="S755">
        <v>151.21692899999999</v>
      </c>
      <c r="T755" s="1095">
        <v>-33.650998999999999</v>
      </c>
    </row>
    <row r="756" spans="16:20">
      <c r="P756" s="1094">
        <v>2084</v>
      </c>
      <c r="Q756" t="s">
        <v>1889</v>
      </c>
      <c r="R756" t="s">
        <v>248</v>
      </c>
      <c r="S756">
        <v>151.21692899999999</v>
      </c>
      <c r="T756" s="1095">
        <v>-33.650998999999999</v>
      </c>
    </row>
    <row r="757" spans="16:20">
      <c r="P757" s="1094">
        <v>2085</v>
      </c>
      <c r="Q757" t="s">
        <v>1890</v>
      </c>
      <c r="R757" t="s">
        <v>248</v>
      </c>
      <c r="S757">
        <v>151.21171899999999</v>
      </c>
      <c r="T757" s="1095">
        <v>-33.728782000000002</v>
      </c>
    </row>
    <row r="758" spans="16:20">
      <c r="P758" s="1094">
        <v>2085</v>
      </c>
      <c r="Q758" t="s">
        <v>1891</v>
      </c>
      <c r="R758" t="s">
        <v>248</v>
      </c>
      <c r="S758">
        <v>151.21171899999999</v>
      </c>
      <c r="T758" s="1095">
        <v>-33.728782000000002</v>
      </c>
    </row>
    <row r="759" spans="16:20">
      <c r="P759" s="1094">
        <v>2085</v>
      </c>
      <c r="Q759" t="s">
        <v>1892</v>
      </c>
      <c r="R759" t="s">
        <v>248</v>
      </c>
      <c r="S759">
        <v>151.21171899999999</v>
      </c>
      <c r="T759" s="1095">
        <v>-33.728782000000002</v>
      </c>
    </row>
    <row r="760" spans="16:20">
      <c r="P760" s="1094">
        <v>2086</v>
      </c>
      <c r="Q760" t="s">
        <v>1687</v>
      </c>
      <c r="R760" t="s">
        <v>248</v>
      </c>
      <c r="S760">
        <v>151.22921099999999</v>
      </c>
      <c r="T760" s="1095">
        <v>-33.751849999999997</v>
      </c>
    </row>
    <row r="761" spans="16:20">
      <c r="P761" s="1094">
        <v>2086</v>
      </c>
      <c r="Q761" t="s">
        <v>1893</v>
      </c>
      <c r="R761" t="s">
        <v>248</v>
      </c>
      <c r="S761">
        <v>151.22921099999999</v>
      </c>
      <c r="T761" s="1095">
        <v>-33.751849999999997</v>
      </c>
    </row>
    <row r="762" spans="16:20">
      <c r="P762" s="1094">
        <v>2087</v>
      </c>
      <c r="Q762" t="s">
        <v>1894</v>
      </c>
      <c r="R762" t="s">
        <v>248</v>
      </c>
      <c r="S762">
        <v>151.210531</v>
      </c>
      <c r="T762" s="1095">
        <v>-33.766092999999998</v>
      </c>
    </row>
    <row r="763" spans="16:20">
      <c r="P763" s="1094">
        <v>2087</v>
      </c>
      <c r="Q763" t="s">
        <v>1895</v>
      </c>
      <c r="R763" t="s">
        <v>248</v>
      </c>
      <c r="S763">
        <v>151.210531</v>
      </c>
      <c r="T763" s="1095">
        <v>-33.766092999999998</v>
      </c>
    </row>
    <row r="764" spans="16:20">
      <c r="P764" s="1094">
        <v>2088</v>
      </c>
      <c r="Q764" t="s">
        <v>1896</v>
      </c>
      <c r="R764" t="s">
        <v>248</v>
      </c>
      <c r="S764">
        <v>151.24335099999999</v>
      </c>
      <c r="T764" s="1095">
        <v>-33.830686999999998</v>
      </c>
    </row>
    <row r="765" spans="16:20">
      <c r="P765" s="1094">
        <v>2088</v>
      </c>
      <c r="Q765" t="s">
        <v>1897</v>
      </c>
      <c r="R765" t="s">
        <v>248</v>
      </c>
      <c r="S765">
        <v>151.24335099999999</v>
      </c>
      <c r="T765" s="1095">
        <v>-33.830686999999998</v>
      </c>
    </row>
    <row r="766" spans="16:20">
      <c r="P766" s="1094">
        <v>2089</v>
      </c>
      <c r="Q766" t="s">
        <v>1898</v>
      </c>
      <c r="R766" t="s">
        <v>248</v>
      </c>
      <c r="S766">
        <v>151.216869</v>
      </c>
      <c r="T766" s="1095">
        <v>-33.838020999999998</v>
      </c>
    </row>
    <row r="767" spans="16:20">
      <c r="P767" s="1094">
        <v>2089</v>
      </c>
      <c r="Q767" t="s">
        <v>1899</v>
      </c>
      <c r="R767" t="s">
        <v>248</v>
      </c>
      <c r="S767">
        <v>151.216869</v>
      </c>
      <c r="T767" s="1095">
        <v>-33.838020999999998</v>
      </c>
    </row>
    <row r="768" spans="16:20">
      <c r="P768" s="1094">
        <v>2090</v>
      </c>
      <c r="Q768" t="s">
        <v>1900</v>
      </c>
      <c r="R768" t="s">
        <v>248</v>
      </c>
      <c r="S768">
        <v>151.223094</v>
      </c>
      <c r="T768" s="1095">
        <v>-33.828949000000001</v>
      </c>
    </row>
    <row r="769" spans="16:20">
      <c r="P769" s="1094">
        <v>2090</v>
      </c>
      <c r="Q769" t="s">
        <v>1901</v>
      </c>
      <c r="R769" t="s">
        <v>248</v>
      </c>
      <c r="S769">
        <v>151.223094</v>
      </c>
      <c r="T769" s="1095">
        <v>-33.828949000000001</v>
      </c>
    </row>
    <row r="770" spans="16:20">
      <c r="P770" s="1094">
        <v>2090</v>
      </c>
      <c r="Q770" t="s">
        <v>1902</v>
      </c>
      <c r="R770" t="s">
        <v>248</v>
      </c>
      <c r="S770">
        <v>151.223094</v>
      </c>
      <c r="T770" s="1095">
        <v>-33.828949000000001</v>
      </c>
    </row>
    <row r="771" spans="16:20">
      <c r="P771" s="1094">
        <v>2091</v>
      </c>
      <c r="Q771" t="s">
        <v>1903</v>
      </c>
      <c r="R771" t="s">
        <v>248</v>
      </c>
      <c r="S771">
        <v>0</v>
      </c>
      <c r="T771" s="1095">
        <v>0</v>
      </c>
    </row>
    <row r="772" spans="16:20">
      <c r="P772" s="1094">
        <v>2092</v>
      </c>
      <c r="Q772" t="s">
        <v>1904</v>
      </c>
      <c r="R772" t="s">
        <v>248</v>
      </c>
      <c r="S772">
        <v>151.24181300000001</v>
      </c>
      <c r="T772" s="1095">
        <v>-33.796635999999999</v>
      </c>
    </row>
    <row r="773" spans="16:20">
      <c r="P773" s="1094">
        <v>2093</v>
      </c>
      <c r="Q773" t="s">
        <v>1905</v>
      </c>
      <c r="R773" t="s">
        <v>248</v>
      </c>
      <c r="S773">
        <v>151.25806900000001</v>
      </c>
      <c r="T773" s="1095">
        <v>-33.793149999999997</v>
      </c>
    </row>
    <row r="774" spans="16:20">
      <c r="P774" s="1094">
        <v>2093</v>
      </c>
      <c r="Q774" t="s">
        <v>1906</v>
      </c>
      <c r="R774" t="s">
        <v>248</v>
      </c>
      <c r="S774">
        <v>151.25806900000001</v>
      </c>
      <c r="T774" s="1095">
        <v>-33.793149999999997</v>
      </c>
    </row>
    <row r="775" spans="16:20">
      <c r="P775" s="1094">
        <v>2093</v>
      </c>
      <c r="Q775" t="s">
        <v>1907</v>
      </c>
      <c r="R775" t="s">
        <v>248</v>
      </c>
      <c r="S775">
        <v>151.25806900000001</v>
      </c>
      <c r="T775" s="1095">
        <v>-33.793149999999997</v>
      </c>
    </row>
    <row r="776" spans="16:20">
      <c r="P776" s="1094">
        <v>2093</v>
      </c>
      <c r="Q776" t="s">
        <v>1908</v>
      </c>
      <c r="R776" t="s">
        <v>248</v>
      </c>
      <c r="S776">
        <v>151.25806900000001</v>
      </c>
      <c r="T776" s="1095">
        <v>-33.793149999999997</v>
      </c>
    </row>
    <row r="777" spans="16:20">
      <c r="P777" s="1094">
        <v>2093</v>
      </c>
      <c r="Q777" t="s">
        <v>1909</v>
      </c>
      <c r="R777" t="s">
        <v>248</v>
      </c>
      <c r="S777">
        <v>151.25806900000001</v>
      </c>
      <c r="T777" s="1095">
        <v>-33.793149999999997</v>
      </c>
    </row>
    <row r="778" spans="16:20">
      <c r="P778" s="1094">
        <v>2094</v>
      </c>
      <c r="Q778" t="s">
        <v>1910</v>
      </c>
      <c r="R778" t="s">
        <v>248</v>
      </c>
      <c r="S778">
        <v>151.27324200000001</v>
      </c>
      <c r="T778" s="1095">
        <v>-33.795226999999997</v>
      </c>
    </row>
    <row r="779" spans="16:20">
      <c r="P779" s="1094">
        <v>2095</v>
      </c>
      <c r="Q779" t="s">
        <v>1688</v>
      </c>
      <c r="R779" t="s">
        <v>248</v>
      </c>
      <c r="S779">
        <v>151.29467500000001</v>
      </c>
      <c r="T779" s="1095">
        <v>-33.815482000000003</v>
      </c>
    </row>
    <row r="780" spans="16:20">
      <c r="P780" s="1094">
        <v>2095</v>
      </c>
      <c r="Q780" t="s">
        <v>1911</v>
      </c>
      <c r="R780" t="s">
        <v>248</v>
      </c>
      <c r="S780">
        <v>151.29467500000001</v>
      </c>
      <c r="T780" s="1095">
        <v>-33.815482000000003</v>
      </c>
    </row>
    <row r="781" spans="16:20">
      <c r="P781" s="1094">
        <v>2096</v>
      </c>
      <c r="Q781" t="s">
        <v>1912</v>
      </c>
      <c r="R781" t="s">
        <v>248</v>
      </c>
      <c r="S781">
        <v>151.28494000000001</v>
      </c>
      <c r="T781" s="1095">
        <v>-33.776781</v>
      </c>
    </row>
    <row r="782" spans="16:20">
      <c r="P782" s="1094">
        <v>2096</v>
      </c>
      <c r="Q782" t="s">
        <v>1913</v>
      </c>
      <c r="R782" t="s">
        <v>248</v>
      </c>
      <c r="S782">
        <v>151.28494000000001</v>
      </c>
      <c r="T782" s="1095">
        <v>-33.776781</v>
      </c>
    </row>
    <row r="783" spans="16:20">
      <c r="P783" s="1094">
        <v>2096</v>
      </c>
      <c r="Q783" t="s">
        <v>1914</v>
      </c>
      <c r="R783" t="s">
        <v>248</v>
      </c>
      <c r="S783">
        <v>151.28494000000001</v>
      </c>
      <c r="T783" s="1095">
        <v>-33.776781</v>
      </c>
    </row>
    <row r="784" spans="16:20">
      <c r="P784" s="1094">
        <v>2097</v>
      </c>
      <c r="Q784" t="s">
        <v>1915</v>
      </c>
      <c r="R784" t="s">
        <v>248</v>
      </c>
      <c r="S784">
        <v>151.29789500000001</v>
      </c>
      <c r="T784" s="1095">
        <v>-33.739576999999997</v>
      </c>
    </row>
    <row r="785" spans="16:20">
      <c r="P785" s="1094">
        <v>2097</v>
      </c>
      <c r="Q785" t="s">
        <v>1916</v>
      </c>
      <c r="R785" t="s">
        <v>248</v>
      </c>
      <c r="S785">
        <v>151.29789500000001</v>
      </c>
      <c r="T785" s="1095">
        <v>-33.739576999999997</v>
      </c>
    </row>
    <row r="786" spans="16:20">
      <c r="P786" s="1094">
        <v>2097</v>
      </c>
      <c r="Q786" t="s">
        <v>1917</v>
      </c>
      <c r="R786" t="s">
        <v>248</v>
      </c>
      <c r="S786">
        <v>151.29789500000001</v>
      </c>
      <c r="T786" s="1095">
        <v>-33.739576999999997</v>
      </c>
    </row>
    <row r="787" spans="16:20">
      <c r="P787" s="1094">
        <v>2097</v>
      </c>
      <c r="Q787" t="s">
        <v>1918</v>
      </c>
      <c r="R787" t="s">
        <v>248</v>
      </c>
      <c r="S787">
        <v>151.29789500000001</v>
      </c>
      <c r="T787" s="1095">
        <v>-33.739576999999997</v>
      </c>
    </row>
    <row r="788" spans="16:20">
      <c r="P788" s="1094">
        <v>2097</v>
      </c>
      <c r="Q788" t="s">
        <v>1919</v>
      </c>
      <c r="R788" t="s">
        <v>248</v>
      </c>
      <c r="S788">
        <v>151.29789500000001</v>
      </c>
      <c r="T788" s="1095">
        <v>-33.739576999999997</v>
      </c>
    </row>
    <row r="789" spans="16:20">
      <c r="P789" s="1094">
        <v>2099</v>
      </c>
      <c r="Q789" t="s">
        <v>1920</v>
      </c>
      <c r="R789" t="s">
        <v>248</v>
      </c>
      <c r="S789">
        <v>151.279999</v>
      </c>
      <c r="T789" s="1095">
        <v>-33.748913999999999</v>
      </c>
    </row>
    <row r="790" spans="16:20">
      <c r="P790" s="1094">
        <v>2099</v>
      </c>
      <c r="Q790" t="s">
        <v>1921</v>
      </c>
      <c r="R790" t="s">
        <v>248</v>
      </c>
      <c r="S790">
        <v>151.279999</v>
      </c>
      <c r="T790" s="1095">
        <v>-33.748913999999999</v>
      </c>
    </row>
    <row r="791" spans="16:20">
      <c r="P791" s="1094">
        <v>2099</v>
      </c>
      <c r="Q791" t="s">
        <v>1922</v>
      </c>
      <c r="R791" t="s">
        <v>248</v>
      </c>
      <c r="S791">
        <v>151.279999</v>
      </c>
      <c r="T791" s="1095">
        <v>-33.748913999999999</v>
      </c>
    </row>
    <row r="792" spans="16:20">
      <c r="P792" s="1094">
        <v>2099</v>
      </c>
      <c r="Q792" t="s">
        <v>1923</v>
      </c>
      <c r="R792" t="s">
        <v>248</v>
      </c>
      <c r="S792">
        <v>151.279999</v>
      </c>
      <c r="T792" s="1095">
        <v>-33.748913999999999</v>
      </c>
    </row>
    <row r="793" spans="16:20">
      <c r="P793" s="1094">
        <v>2099</v>
      </c>
      <c r="Q793" t="s">
        <v>1924</v>
      </c>
      <c r="R793" t="s">
        <v>248</v>
      </c>
      <c r="S793">
        <v>151.279999</v>
      </c>
      <c r="T793" s="1095">
        <v>-33.748913999999999</v>
      </c>
    </row>
    <row r="794" spans="16:20">
      <c r="P794" s="1094">
        <v>2099</v>
      </c>
      <c r="Q794" t="s">
        <v>1925</v>
      </c>
      <c r="R794" t="s">
        <v>248</v>
      </c>
      <c r="S794">
        <v>151.279999</v>
      </c>
      <c r="T794" s="1095">
        <v>-33.748913999999999</v>
      </c>
    </row>
    <row r="795" spans="16:20">
      <c r="P795" s="1094">
        <v>2099</v>
      </c>
      <c r="Q795" t="s">
        <v>1926</v>
      </c>
      <c r="R795" t="s">
        <v>248</v>
      </c>
      <c r="S795">
        <v>151.279999</v>
      </c>
      <c r="T795" s="1095">
        <v>-33.748913999999999</v>
      </c>
    </row>
    <row r="796" spans="16:20">
      <c r="P796" s="1094">
        <v>2100</v>
      </c>
      <c r="Q796" t="s">
        <v>1927</v>
      </c>
      <c r="R796" t="s">
        <v>248</v>
      </c>
      <c r="S796">
        <v>151.25778099999999</v>
      </c>
      <c r="T796" s="1095">
        <v>-33.766409000000003</v>
      </c>
    </row>
    <row r="797" spans="16:20">
      <c r="P797" s="1094">
        <v>2100</v>
      </c>
      <c r="Q797" t="s">
        <v>1928</v>
      </c>
      <c r="R797" t="s">
        <v>248</v>
      </c>
      <c r="S797">
        <v>151.25778099999999</v>
      </c>
      <c r="T797" s="1095">
        <v>-33.766409000000003</v>
      </c>
    </row>
    <row r="798" spans="16:20">
      <c r="P798" s="1094">
        <v>2100</v>
      </c>
      <c r="Q798" t="s">
        <v>1929</v>
      </c>
      <c r="R798" t="s">
        <v>248</v>
      </c>
      <c r="S798">
        <v>151.25778099999999</v>
      </c>
      <c r="T798" s="1095">
        <v>-33.766409000000003</v>
      </c>
    </row>
    <row r="799" spans="16:20">
      <c r="P799" s="1094">
        <v>2100</v>
      </c>
      <c r="Q799" t="s">
        <v>1930</v>
      </c>
      <c r="R799" t="s">
        <v>248</v>
      </c>
      <c r="S799">
        <v>151.25778099999999</v>
      </c>
      <c r="T799" s="1095">
        <v>-33.766409000000003</v>
      </c>
    </row>
    <row r="800" spans="16:20">
      <c r="P800" s="1094">
        <v>2100</v>
      </c>
      <c r="Q800" t="s">
        <v>1931</v>
      </c>
      <c r="R800" t="s">
        <v>248</v>
      </c>
      <c r="S800">
        <v>151.25778099999999</v>
      </c>
      <c r="T800" s="1095">
        <v>-33.766409000000003</v>
      </c>
    </row>
    <row r="801" spans="16:20">
      <c r="P801" s="1094">
        <v>2100</v>
      </c>
      <c r="Q801" t="s">
        <v>1932</v>
      </c>
      <c r="R801" t="s">
        <v>248</v>
      </c>
      <c r="S801">
        <v>151.25778099999999</v>
      </c>
      <c r="T801" s="1095">
        <v>-33.766409000000003</v>
      </c>
    </row>
    <row r="802" spans="16:20">
      <c r="P802" s="1094">
        <v>2100</v>
      </c>
      <c r="Q802" t="s">
        <v>1933</v>
      </c>
      <c r="R802" t="s">
        <v>248</v>
      </c>
      <c r="S802">
        <v>151.25778099999999</v>
      </c>
      <c r="T802" s="1095">
        <v>-33.766409000000003</v>
      </c>
    </row>
    <row r="803" spans="16:20">
      <c r="P803" s="1094">
        <v>2101</v>
      </c>
      <c r="Q803" t="s">
        <v>1934</v>
      </c>
      <c r="R803" t="s">
        <v>248</v>
      </c>
      <c r="S803">
        <v>151.27114</v>
      </c>
      <c r="T803" s="1095">
        <v>-33.707116999999997</v>
      </c>
    </row>
    <row r="804" spans="16:20">
      <c r="P804" s="1094">
        <v>2101</v>
      </c>
      <c r="Q804" t="s">
        <v>1935</v>
      </c>
      <c r="R804" t="s">
        <v>248</v>
      </c>
      <c r="S804">
        <v>151.27114</v>
      </c>
      <c r="T804" s="1095">
        <v>-33.707116999999997</v>
      </c>
    </row>
    <row r="805" spans="16:20">
      <c r="P805" s="1094">
        <v>2101</v>
      </c>
      <c r="Q805" t="s">
        <v>1936</v>
      </c>
      <c r="R805" t="s">
        <v>248</v>
      </c>
      <c r="S805">
        <v>151.27114</v>
      </c>
      <c r="T805" s="1095">
        <v>-33.707116999999997</v>
      </c>
    </row>
    <row r="806" spans="16:20">
      <c r="P806" s="1094">
        <v>2101</v>
      </c>
      <c r="Q806" t="s">
        <v>1937</v>
      </c>
      <c r="R806" t="s">
        <v>248</v>
      </c>
      <c r="S806">
        <v>151.27114</v>
      </c>
      <c r="T806" s="1095">
        <v>-33.707116999999997</v>
      </c>
    </row>
    <row r="807" spans="16:20">
      <c r="P807" s="1094">
        <v>2101</v>
      </c>
      <c r="Q807" t="s">
        <v>1938</v>
      </c>
      <c r="R807" t="s">
        <v>248</v>
      </c>
      <c r="S807">
        <v>151.27114</v>
      </c>
      <c r="T807" s="1095">
        <v>-33.707116999999997</v>
      </c>
    </row>
    <row r="808" spans="16:20">
      <c r="P808" s="1094">
        <v>2102</v>
      </c>
      <c r="Q808" t="s">
        <v>1939</v>
      </c>
      <c r="R808" t="s">
        <v>248</v>
      </c>
      <c r="S808">
        <v>151.290953</v>
      </c>
      <c r="T808" s="1095">
        <v>-33.689940999999997</v>
      </c>
    </row>
    <row r="809" spans="16:20">
      <c r="P809" s="1094">
        <v>2102</v>
      </c>
      <c r="Q809" t="s">
        <v>1940</v>
      </c>
      <c r="R809" t="s">
        <v>248</v>
      </c>
      <c r="S809">
        <v>151.290953</v>
      </c>
      <c r="T809" s="1095">
        <v>-33.689940999999997</v>
      </c>
    </row>
    <row r="810" spans="16:20">
      <c r="P810" s="1094">
        <v>2103</v>
      </c>
      <c r="Q810" t="s">
        <v>1689</v>
      </c>
      <c r="R810" t="s">
        <v>248</v>
      </c>
      <c r="S810">
        <v>151.30282500000001</v>
      </c>
      <c r="T810" s="1095">
        <v>-33.679335999999999</v>
      </c>
    </row>
    <row r="811" spans="16:20">
      <c r="P811" s="1094">
        <v>2104</v>
      </c>
      <c r="Q811" t="s">
        <v>1450</v>
      </c>
      <c r="R811" t="s">
        <v>248</v>
      </c>
      <c r="S811">
        <v>151.290921</v>
      </c>
      <c r="T811" s="1095">
        <v>-33.664921</v>
      </c>
    </row>
    <row r="812" spans="16:20">
      <c r="P812" s="1094">
        <v>2105</v>
      </c>
      <c r="Q812" t="s">
        <v>1941</v>
      </c>
      <c r="R812" t="s">
        <v>248</v>
      </c>
      <c r="S812">
        <v>151.27829299999999</v>
      </c>
      <c r="T812" s="1095">
        <v>-33.642201999999997</v>
      </c>
    </row>
    <row r="813" spans="16:20">
      <c r="P813" s="1094">
        <v>2105</v>
      </c>
      <c r="Q813" t="s">
        <v>1942</v>
      </c>
      <c r="R813" t="s">
        <v>248</v>
      </c>
      <c r="S813">
        <v>151.27829299999999</v>
      </c>
      <c r="T813" s="1095">
        <v>-33.642201999999997</v>
      </c>
    </row>
    <row r="814" spans="16:20">
      <c r="P814" s="1094">
        <v>2105</v>
      </c>
      <c r="Q814" t="s">
        <v>1943</v>
      </c>
      <c r="R814" t="s">
        <v>248</v>
      </c>
      <c r="S814">
        <v>151.27829299999999</v>
      </c>
      <c r="T814" s="1095">
        <v>-33.642201999999997</v>
      </c>
    </row>
    <row r="815" spans="16:20">
      <c r="P815" s="1094">
        <v>2105</v>
      </c>
      <c r="Q815" t="s">
        <v>1944</v>
      </c>
      <c r="R815" t="s">
        <v>248</v>
      </c>
      <c r="S815">
        <v>151.27829299999999</v>
      </c>
      <c r="T815" s="1095">
        <v>-33.642201999999997</v>
      </c>
    </row>
    <row r="816" spans="16:20">
      <c r="P816" s="1094">
        <v>2106</v>
      </c>
      <c r="Q816" t="s">
        <v>1945</v>
      </c>
      <c r="R816" t="s">
        <v>248</v>
      </c>
      <c r="S816">
        <v>151.31459899999999</v>
      </c>
      <c r="T816" s="1095">
        <v>-33.660707000000002</v>
      </c>
    </row>
    <row r="817" spans="16:20">
      <c r="P817" s="1094">
        <v>2106</v>
      </c>
      <c r="Q817" t="s">
        <v>1946</v>
      </c>
      <c r="R817" t="s">
        <v>248</v>
      </c>
      <c r="S817">
        <v>151.31459899999999</v>
      </c>
      <c r="T817" s="1095">
        <v>-33.660707000000002</v>
      </c>
    </row>
    <row r="818" spans="16:20">
      <c r="P818" s="1094">
        <v>2107</v>
      </c>
      <c r="Q818" t="s">
        <v>1947</v>
      </c>
      <c r="R818" t="s">
        <v>248</v>
      </c>
      <c r="S818">
        <v>151.32328899999999</v>
      </c>
      <c r="T818" s="1095">
        <v>-33.634816000000001</v>
      </c>
    </row>
    <row r="819" spans="16:20">
      <c r="P819" s="1094">
        <v>2107</v>
      </c>
      <c r="Q819" t="s">
        <v>1948</v>
      </c>
      <c r="R819" t="s">
        <v>248</v>
      </c>
      <c r="S819">
        <v>151.32328899999999</v>
      </c>
      <c r="T819" s="1095">
        <v>-33.634816000000001</v>
      </c>
    </row>
    <row r="820" spans="16:20">
      <c r="P820" s="1094">
        <v>2107</v>
      </c>
      <c r="Q820" t="s">
        <v>1949</v>
      </c>
      <c r="R820" t="s">
        <v>248</v>
      </c>
      <c r="S820">
        <v>151.32328899999999</v>
      </c>
      <c r="T820" s="1095">
        <v>-33.634816000000001</v>
      </c>
    </row>
    <row r="821" spans="16:20">
      <c r="P821" s="1094">
        <v>2107</v>
      </c>
      <c r="Q821" t="s">
        <v>1950</v>
      </c>
      <c r="R821" t="s">
        <v>248</v>
      </c>
      <c r="S821">
        <v>151.32328899999999</v>
      </c>
      <c r="T821" s="1095">
        <v>-33.634816000000001</v>
      </c>
    </row>
    <row r="822" spans="16:20">
      <c r="P822" s="1094">
        <v>2107</v>
      </c>
      <c r="Q822" t="s">
        <v>1951</v>
      </c>
      <c r="R822" t="s">
        <v>248</v>
      </c>
      <c r="S822">
        <v>151.32328899999999</v>
      </c>
      <c r="T822" s="1095">
        <v>-33.634816000000001</v>
      </c>
    </row>
    <row r="823" spans="16:20">
      <c r="P823" s="1094">
        <v>2107</v>
      </c>
      <c r="Q823" t="s">
        <v>1952</v>
      </c>
      <c r="R823" t="s">
        <v>248</v>
      </c>
      <c r="S823">
        <v>151.32328899999999</v>
      </c>
      <c r="T823" s="1095">
        <v>-33.634816000000001</v>
      </c>
    </row>
    <row r="824" spans="16:20">
      <c r="P824" s="1094">
        <v>2107</v>
      </c>
      <c r="Q824" t="s">
        <v>1953</v>
      </c>
      <c r="R824" t="s">
        <v>248</v>
      </c>
      <c r="S824">
        <v>151.32328899999999</v>
      </c>
      <c r="T824" s="1095">
        <v>-33.634816000000001</v>
      </c>
    </row>
    <row r="825" spans="16:20">
      <c r="P825" s="1094">
        <v>2107</v>
      </c>
      <c r="Q825" t="s">
        <v>1954</v>
      </c>
      <c r="R825" t="s">
        <v>248</v>
      </c>
      <c r="S825">
        <v>151.32328899999999</v>
      </c>
      <c r="T825" s="1095">
        <v>-33.634816000000001</v>
      </c>
    </row>
    <row r="826" spans="16:20">
      <c r="P826" s="1094">
        <v>2107</v>
      </c>
      <c r="Q826" t="s">
        <v>1955</v>
      </c>
      <c r="R826" t="s">
        <v>248</v>
      </c>
      <c r="S826">
        <v>151.32328899999999</v>
      </c>
      <c r="T826" s="1095">
        <v>-33.634816000000001</v>
      </c>
    </row>
    <row r="827" spans="16:20">
      <c r="P827" s="1094">
        <v>2107</v>
      </c>
      <c r="Q827" t="s">
        <v>1956</v>
      </c>
      <c r="R827" t="s">
        <v>248</v>
      </c>
      <c r="S827">
        <v>151.32328899999999</v>
      </c>
      <c r="T827" s="1095">
        <v>-33.634816000000001</v>
      </c>
    </row>
    <row r="828" spans="16:20">
      <c r="P828" s="1094">
        <v>2108</v>
      </c>
      <c r="Q828" t="s">
        <v>1957</v>
      </c>
      <c r="R828" t="s">
        <v>248</v>
      </c>
      <c r="S828">
        <v>151.32275899999999</v>
      </c>
      <c r="T828" s="1095">
        <v>-33.603819999999999</v>
      </c>
    </row>
    <row r="829" spans="16:20">
      <c r="P829" s="1094">
        <v>2108</v>
      </c>
      <c r="Q829" t="s">
        <v>1958</v>
      </c>
      <c r="R829" t="s">
        <v>248</v>
      </c>
      <c r="S829">
        <v>151.32275899999999</v>
      </c>
      <c r="T829" s="1095">
        <v>-33.603819999999999</v>
      </c>
    </row>
    <row r="830" spans="16:20">
      <c r="P830" s="1094">
        <v>2108</v>
      </c>
      <c r="Q830" t="s">
        <v>1959</v>
      </c>
      <c r="R830" t="s">
        <v>248</v>
      </c>
      <c r="S830">
        <v>151.32275899999999</v>
      </c>
      <c r="T830" s="1095">
        <v>-33.603819999999999</v>
      </c>
    </row>
    <row r="831" spans="16:20">
      <c r="P831" s="1094">
        <v>2108</v>
      </c>
      <c r="Q831" t="s">
        <v>1960</v>
      </c>
      <c r="R831" t="s">
        <v>248</v>
      </c>
      <c r="S831">
        <v>151.32275899999999</v>
      </c>
      <c r="T831" s="1095">
        <v>-33.603819999999999</v>
      </c>
    </row>
    <row r="832" spans="16:20">
      <c r="P832" s="1094">
        <v>2108</v>
      </c>
      <c r="Q832" t="s">
        <v>1961</v>
      </c>
      <c r="R832" t="s">
        <v>248</v>
      </c>
      <c r="S832">
        <v>151.32275899999999</v>
      </c>
      <c r="T832" s="1095">
        <v>-33.603819999999999</v>
      </c>
    </row>
    <row r="833" spans="16:20">
      <c r="P833" s="1094">
        <v>2108</v>
      </c>
      <c r="Q833" t="s">
        <v>1962</v>
      </c>
      <c r="R833" t="s">
        <v>248</v>
      </c>
      <c r="S833">
        <v>151.32275899999999</v>
      </c>
      <c r="T833" s="1095">
        <v>-33.603819999999999</v>
      </c>
    </row>
    <row r="834" spans="16:20">
      <c r="P834" s="1094">
        <v>2109</v>
      </c>
      <c r="Q834" t="s">
        <v>1963</v>
      </c>
      <c r="R834" t="s">
        <v>248</v>
      </c>
      <c r="S834">
        <v>151.113473</v>
      </c>
      <c r="T834" s="1095">
        <v>-33.771557999999999</v>
      </c>
    </row>
    <row r="835" spans="16:20">
      <c r="P835" s="1094">
        <v>2110</v>
      </c>
      <c r="Q835" t="s">
        <v>1964</v>
      </c>
      <c r="R835" t="s">
        <v>248</v>
      </c>
      <c r="S835">
        <v>151.149126</v>
      </c>
      <c r="T835" s="1095">
        <v>-33.836101999999997</v>
      </c>
    </row>
    <row r="836" spans="16:20">
      <c r="P836" s="1094">
        <v>2110</v>
      </c>
      <c r="Q836" t="s">
        <v>1965</v>
      </c>
      <c r="R836" t="s">
        <v>248</v>
      </c>
      <c r="S836">
        <v>151.149126</v>
      </c>
      <c r="T836" s="1095">
        <v>-33.836101999999997</v>
      </c>
    </row>
    <row r="837" spans="16:20">
      <c r="P837" s="1094">
        <v>2110</v>
      </c>
      <c r="Q837" t="s">
        <v>1966</v>
      </c>
      <c r="R837" t="s">
        <v>248</v>
      </c>
      <c r="S837">
        <v>151.149126</v>
      </c>
      <c r="T837" s="1095">
        <v>-33.836101999999997</v>
      </c>
    </row>
    <row r="838" spans="16:20">
      <c r="P838" s="1094">
        <v>2111</v>
      </c>
      <c r="Q838" t="s">
        <v>1967</v>
      </c>
      <c r="R838" t="s">
        <v>248</v>
      </c>
      <c r="S838">
        <v>151.12448800000001</v>
      </c>
      <c r="T838" s="1095">
        <v>-33.829953000000003</v>
      </c>
    </row>
    <row r="839" spans="16:20">
      <c r="P839" s="1094">
        <v>2111</v>
      </c>
      <c r="Q839" t="s">
        <v>1691</v>
      </c>
      <c r="R839" t="s">
        <v>248</v>
      </c>
      <c r="S839">
        <v>151.12448800000001</v>
      </c>
      <c r="T839" s="1095">
        <v>-33.829953000000003</v>
      </c>
    </row>
    <row r="840" spans="16:20">
      <c r="P840" s="1094">
        <v>2111</v>
      </c>
      <c r="Q840" t="s">
        <v>1968</v>
      </c>
      <c r="R840" t="s">
        <v>248</v>
      </c>
      <c r="S840">
        <v>151.12448800000001</v>
      </c>
      <c r="T840" s="1095">
        <v>-33.829953000000003</v>
      </c>
    </row>
    <row r="841" spans="16:20">
      <c r="P841" s="1094">
        <v>2111</v>
      </c>
      <c r="Q841" t="s">
        <v>1969</v>
      </c>
      <c r="R841" t="s">
        <v>248</v>
      </c>
      <c r="S841">
        <v>151.12448800000001</v>
      </c>
      <c r="T841" s="1095">
        <v>-33.829953000000003</v>
      </c>
    </row>
    <row r="842" spans="16:20">
      <c r="P842" s="1094">
        <v>2111</v>
      </c>
      <c r="Q842" t="s">
        <v>1970</v>
      </c>
      <c r="R842" t="s">
        <v>248</v>
      </c>
      <c r="S842">
        <v>151.12448800000001</v>
      </c>
      <c r="T842" s="1095">
        <v>-33.829953000000003</v>
      </c>
    </row>
    <row r="843" spans="16:20">
      <c r="P843" s="1094">
        <v>2111</v>
      </c>
      <c r="Q843" t="s">
        <v>1971</v>
      </c>
      <c r="R843" t="s">
        <v>248</v>
      </c>
      <c r="S843">
        <v>151.12448800000001</v>
      </c>
      <c r="T843" s="1095">
        <v>-33.829953000000003</v>
      </c>
    </row>
    <row r="844" spans="16:20">
      <c r="P844" s="1094">
        <v>2111</v>
      </c>
      <c r="Q844" t="s">
        <v>1972</v>
      </c>
      <c r="R844" t="s">
        <v>248</v>
      </c>
      <c r="S844">
        <v>151.12448800000001</v>
      </c>
      <c r="T844" s="1095">
        <v>-33.829953000000003</v>
      </c>
    </row>
    <row r="845" spans="16:20">
      <c r="P845" s="1094">
        <v>2112</v>
      </c>
      <c r="Q845" t="s">
        <v>1973</v>
      </c>
      <c r="R845" t="s">
        <v>248</v>
      </c>
      <c r="S845">
        <v>151.10844700000001</v>
      </c>
      <c r="T845" s="1095">
        <v>-33.816580000000002</v>
      </c>
    </row>
    <row r="846" spans="16:20">
      <c r="P846" s="1094">
        <v>2112</v>
      </c>
      <c r="Q846" t="s">
        <v>1974</v>
      </c>
      <c r="R846" t="s">
        <v>248</v>
      </c>
      <c r="S846">
        <v>151.10844700000001</v>
      </c>
      <c r="T846" s="1095">
        <v>-33.816580000000002</v>
      </c>
    </row>
    <row r="847" spans="16:20">
      <c r="P847" s="1094">
        <v>2112</v>
      </c>
      <c r="Q847" t="s">
        <v>1692</v>
      </c>
      <c r="R847" t="s">
        <v>248</v>
      </c>
      <c r="S847">
        <v>151.10844700000001</v>
      </c>
      <c r="T847" s="1095">
        <v>-33.816580000000002</v>
      </c>
    </row>
    <row r="848" spans="16:20">
      <c r="P848" s="1094">
        <v>2113</v>
      </c>
      <c r="Q848" t="s">
        <v>1975</v>
      </c>
      <c r="R848" t="s">
        <v>248</v>
      </c>
      <c r="S848">
        <v>151.130233</v>
      </c>
      <c r="T848" s="1095">
        <v>-33.79419</v>
      </c>
    </row>
    <row r="849" spans="16:20">
      <c r="P849" s="1094">
        <v>2113</v>
      </c>
      <c r="Q849" t="s">
        <v>1976</v>
      </c>
      <c r="R849" t="s">
        <v>248</v>
      </c>
      <c r="S849">
        <v>151.130233</v>
      </c>
      <c r="T849" s="1095">
        <v>-33.79419</v>
      </c>
    </row>
    <row r="850" spans="16:20">
      <c r="P850" s="1094">
        <v>2113</v>
      </c>
      <c r="Q850" t="s">
        <v>1977</v>
      </c>
      <c r="R850" t="s">
        <v>248</v>
      </c>
      <c r="S850">
        <v>151.130233</v>
      </c>
      <c r="T850" s="1095">
        <v>-33.79419</v>
      </c>
    </row>
    <row r="851" spans="16:20">
      <c r="P851" s="1094">
        <v>2113</v>
      </c>
      <c r="Q851" t="s">
        <v>1978</v>
      </c>
      <c r="R851" t="s">
        <v>248</v>
      </c>
      <c r="S851">
        <v>151.130233</v>
      </c>
      <c r="T851" s="1095">
        <v>-33.79419</v>
      </c>
    </row>
    <row r="852" spans="16:20">
      <c r="P852" s="1094">
        <v>2113</v>
      </c>
      <c r="Q852" t="s">
        <v>1979</v>
      </c>
      <c r="R852" t="s">
        <v>248</v>
      </c>
      <c r="S852">
        <v>151.130233</v>
      </c>
      <c r="T852" s="1095">
        <v>-33.79419</v>
      </c>
    </row>
    <row r="853" spans="16:20">
      <c r="P853" s="1094">
        <v>2114</v>
      </c>
      <c r="Q853" t="s">
        <v>1980</v>
      </c>
      <c r="R853" t="s">
        <v>248</v>
      </c>
      <c r="S853">
        <v>151.084181</v>
      </c>
      <c r="T853" s="1095">
        <v>-33.810991000000001</v>
      </c>
    </row>
    <row r="854" spans="16:20">
      <c r="P854" s="1094">
        <v>2114</v>
      </c>
      <c r="Q854" t="s">
        <v>1981</v>
      </c>
      <c r="R854" t="s">
        <v>248</v>
      </c>
      <c r="S854">
        <v>151.084181</v>
      </c>
      <c r="T854" s="1095">
        <v>-33.810991000000001</v>
      </c>
    </row>
    <row r="855" spans="16:20">
      <c r="P855" s="1094">
        <v>2114</v>
      </c>
      <c r="Q855" t="s">
        <v>1982</v>
      </c>
      <c r="R855" t="s">
        <v>248</v>
      </c>
      <c r="S855">
        <v>151.084181</v>
      </c>
      <c r="T855" s="1095">
        <v>-33.810991000000001</v>
      </c>
    </row>
    <row r="856" spans="16:20">
      <c r="P856" s="1094">
        <v>2114</v>
      </c>
      <c r="Q856" t="s">
        <v>1983</v>
      </c>
      <c r="R856" t="s">
        <v>248</v>
      </c>
      <c r="S856">
        <v>151.084181</v>
      </c>
      <c r="T856" s="1095">
        <v>-33.810991000000001</v>
      </c>
    </row>
    <row r="857" spans="16:20">
      <c r="P857" s="1094">
        <v>2114</v>
      </c>
      <c r="Q857" t="s">
        <v>1693</v>
      </c>
      <c r="R857" t="s">
        <v>248</v>
      </c>
      <c r="S857">
        <v>151.084181</v>
      </c>
      <c r="T857" s="1095">
        <v>-33.810991000000001</v>
      </c>
    </row>
    <row r="858" spans="16:20">
      <c r="P858" s="1094">
        <v>2115</v>
      </c>
      <c r="Q858" t="s">
        <v>1695</v>
      </c>
      <c r="R858" t="s">
        <v>248</v>
      </c>
      <c r="S858">
        <v>151.059845</v>
      </c>
      <c r="T858" s="1095">
        <v>-33.813105999999998</v>
      </c>
    </row>
    <row r="859" spans="16:20">
      <c r="P859" s="1094">
        <v>2116</v>
      </c>
      <c r="Q859" t="s">
        <v>1984</v>
      </c>
      <c r="R859" t="s">
        <v>248</v>
      </c>
      <c r="S859">
        <v>151.03694100000001</v>
      </c>
      <c r="T859" s="1095">
        <v>-33.814368000000002</v>
      </c>
    </row>
    <row r="860" spans="16:20">
      <c r="P860" s="1094">
        <v>2117</v>
      </c>
      <c r="Q860" t="s">
        <v>1985</v>
      </c>
      <c r="R860" t="s">
        <v>248</v>
      </c>
      <c r="S860">
        <v>151.04218</v>
      </c>
      <c r="T860" s="1095">
        <v>-33.797127000000003</v>
      </c>
    </row>
    <row r="861" spans="16:20">
      <c r="P861" s="1094">
        <v>2117</v>
      </c>
      <c r="Q861" t="s">
        <v>1986</v>
      </c>
      <c r="R861" t="s">
        <v>248</v>
      </c>
      <c r="S861">
        <v>151.04218</v>
      </c>
      <c r="T861" s="1095">
        <v>-33.797127000000003</v>
      </c>
    </row>
    <row r="862" spans="16:20">
      <c r="P862" s="1094">
        <v>2117</v>
      </c>
      <c r="Q862" t="s">
        <v>1987</v>
      </c>
      <c r="R862" t="s">
        <v>248</v>
      </c>
      <c r="S862">
        <v>151.04218</v>
      </c>
      <c r="T862" s="1095">
        <v>-33.797127000000003</v>
      </c>
    </row>
    <row r="863" spans="16:20">
      <c r="P863" s="1094">
        <v>2117</v>
      </c>
      <c r="Q863" t="s">
        <v>1988</v>
      </c>
      <c r="R863" t="s">
        <v>248</v>
      </c>
      <c r="S863">
        <v>151.04218</v>
      </c>
      <c r="T863" s="1095">
        <v>-33.797127000000003</v>
      </c>
    </row>
    <row r="864" spans="16:20">
      <c r="P864" s="1094">
        <v>2118</v>
      </c>
      <c r="Q864" t="s">
        <v>1989</v>
      </c>
      <c r="R864" t="s">
        <v>248</v>
      </c>
      <c r="S864">
        <v>151.04351800000001</v>
      </c>
      <c r="T864" s="1095">
        <v>-33.775596</v>
      </c>
    </row>
    <row r="865" spans="16:20">
      <c r="P865" s="1094">
        <v>2118</v>
      </c>
      <c r="Q865" t="s">
        <v>1990</v>
      </c>
      <c r="R865" t="s">
        <v>248</v>
      </c>
      <c r="S865">
        <v>151.04351800000001</v>
      </c>
      <c r="T865" s="1095">
        <v>-33.775596</v>
      </c>
    </row>
    <row r="866" spans="16:20">
      <c r="P866" s="1094">
        <v>2118</v>
      </c>
      <c r="Q866" t="s">
        <v>1991</v>
      </c>
      <c r="R866" t="s">
        <v>248</v>
      </c>
      <c r="S866">
        <v>151.04351800000001</v>
      </c>
      <c r="T866" s="1095">
        <v>-33.775596</v>
      </c>
    </row>
    <row r="867" spans="16:20">
      <c r="P867" s="1094">
        <v>2118</v>
      </c>
      <c r="Q867" t="s">
        <v>1992</v>
      </c>
      <c r="R867" t="s">
        <v>248</v>
      </c>
      <c r="S867">
        <v>151.04351800000001</v>
      </c>
      <c r="T867" s="1095">
        <v>-33.775596</v>
      </c>
    </row>
    <row r="868" spans="16:20">
      <c r="P868" s="1094">
        <v>2119</v>
      </c>
      <c r="Q868" t="s">
        <v>1993</v>
      </c>
      <c r="R868" t="s">
        <v>248</v>
      </c>
      <c r="S868">
        <v>151.064176</v>
      </c>
      <c r="T868" s="1095">
        <v>-33.755499</v>
      </c>
    </row>
    <row r="869" spans="16:20">
      <c r="P869" s="1094">
        <v>2119</v>
      </c>
      <c r="Q869" t="s">
        <v>1994</v>
      </c>
      <c r="R869" t="s">
        <v>248</v>
      </c>
      <c r="S869">
        <v>151.064176</v>
      </c>
      <c r="T869" s="1095">
        <v>-33.755499</v>
      </c>
    </row>
    <row r="870" spans="16:20">
      <c r="P870" s="1094">
        <v>2120</v>
      </c>
      <c r="Q870" t="s">
        <v>1698</v>
      </c>
      <c r="R870" t="s">
        <v>248</v>
      </c>
      <c r="S870">
        <v>151.07359</v>
      </c>
      <c r="T870" s="1095">
        <v>-33.731104999999999</v>
      </c>
    </row>
    <row r="871" spans="16:20">
      <c r="P871" s="1094">
        <v>2120</v>
      </c>
      <c r="Q871" t="s">
        <v>1995</v>
      </c>
      <c r="R871" t="s">
        <v>248</v>
      </c>
      <c r="S871">
        <v>151.07359</v>
      </c>
      <c r="T871" s="1095">
        <v>-33.731104999999999</v>
      </c>
    </row>
    <row r="872" spans="16:20">
      <c r="P872" s="1094">
        <v>2120</v>
      </c>
      <c r="Q872" t="s">
        <v>1996</v>
      </c>
      <c r="R872" t="s">
        <v>248</v>
      </c>
      <c r="S872">
        <v>151.07359</v>
      </c>
      <c r="T872" s="1095">
        <v>-33.731104999999999</v>
      </c>
    </row>
    <row r="873" spans="16:20">
      <c r="P873" s="1094">
        <v>2121</v>
      </c>
      <c r="Q873" t="s">
        <v>1697</v>
      </c>
      <c r="R873" t="s">
        <v>248</v>
      </c>
      <c r="S873">
        <v>151.07991899999999</v>
      </c>
      <c r="T873" s="1095">
        <v>-33.774144999999997</v>
      </c>
    </row>
    <row r="874" spans="16:20">
      <c r="P874" s="1094">
        <v>2121</v>
      </c>
      <c r="Q874" t="s">
        <v>1997</v>
      </c>
      <c r="R874" t="s">
        <v>248</v>
      </c>
      <c r="S874">
        <v>151.07991899999999</v>
      </c>
      <c r="T874" s="1095">
        <v>-33.774144999999997</v>
      </c>
    </row>
    <row r="875" spans="16:20">
      <c r="P875" s="1094">
        <v>2122</v>
      </c>
      <c r="Q875" t="s">
        <v>1998</v>
      </c>
      <c r="R875" t="s">
        <v>248</v>
      </c>
      <c r="S875">
        <v>151.092072</v>
      </c>
      <c r="T875" s="1095">
        <v>-33.791356999999998</v>
      </c>
    </row>
    <row r="876" spans="16:20">
      <c r="P876" s="1094">
        <v>2122</v>
      </c>
      <c r="Q876" t="s">
        <v>1999</v>
      </c>
      <c r="R876" t="s">
        <v>248</v>
      </c>
      <c r="S876">
        <v>151.092072</v>
      </c>
      <c r="T876" s="1095">
        <v>-33.791356999999998</v>
      </c>
    </row>
    <row r="877" spans="16:20">
      <c r="P877" s="1094">
        <v>2123</v>
      </c>
      <c r="Q877" t="s">
        <v>1700</v>
      </c>
      <c r="R877" t="s">
        <v>248</v>
      </c>
      <c r="S877">
        <v>150.99957499999999</v>
      </c>
      <c r="T877" s="1095">
        <v>-33.815446000000001</v>
      </c>
    </row>
    <row r="878" spans="16:20">
      <c r="P878" s="1094">
        <v>2124</v>
      </c>
      <c r="Q878" t="s">
        <v>1700</v>
      </c>
      <c r="R878" t="s">
        <v>248</v>
      </c>
      <c r="S878">
        <v>0</v>
      </c>
      <c r="T878" s="1095">
        <v>0</v>
      </c>
    </row>
    <row r="879" spans="16:20">
      <c r="P879" s="1094">
        <v>2125</v>
      </c>
      <c r="Q879" t="s">
        <v>2000</v>
      </c>
      <c r="R879" t="s">
        <v>248</v>
      </c>
      <c r="S879">
        <v>151.03180699999999</v>
      </c>
      <c r="T879" s="1095">
        <v>-33.752645000000001</v>
      </c>
    </row>
    <row r="880" spans="16:20">
      <c r="P880" s="1094">
        <v>2126</v>
      </c>
      <c r="Q880" t="s">
        <v>2001</v>
      </c>
      <c r="R880" t="s">
        <v>248</v>
      </c>
      <c r="S880">
        <v>151.04394099999999</v>
      </c>
      <c r="T880" s="1095">
        <v>-33.724898000000003</v>
      </c>
    </row>
    <row r="881" spans="16:20">
      <c r="P881" s="1094">
        <v>2127</v>
      </c>
      <c r="Q881" t="s">
        <v>2002</v>
      </c>
      <c r="R881" t="s">
        <v>248</v>
      </c>
      <c r="S881">
        <v>0</v>
      </c>
      <c r="T881" s="1095">
        <v>0</v>
      </c>
    </row>
    <row r="882" spans="16:20">
      <c r="P882" s="1094">
        <v>2127</v>
      </c>
      <c r="Q882" t="s">
        <v>2003</v>
      </c>
      <c r="R882" t="s">
        <v>248</v>
      </c>
      <c r="S882">
        <v>0</v>
      </c>
      <c r="T882" s="1095">
        <v>0</v>
      </c>
    </row>
    <row r="883" spans="16:20">
      <c r="P883" s="1094">
        <v>2128</v>
      </c>
      <c r="Q883" t="s">
        <v>1709</v>
      </c>
      <c r="R883" t="s">
        <v>248</v>
      </c>
      <c r="S883">
        <v>0</v>
      </c>
      <c r="T883" s="1095">
        <v>0</v>
      </c>
    </row>
    <row r="884" spans="16:20">
      <c r="P884" s="1094">
        <v>2129</v>
      </c>
      <c r="Q884" t="s">
        <v>2004</v>
      </c>
      <c r="R884" t="s">
        <v>248</v>
      </c>
      <c r="S884">
        <v>151.06955300000001</v>
      </c>
      <c r="T884" s="1095">
        <v>-33.864103999999998</v>
      </c>
    </row>
    <row r="885" spans="16:20">
      <c r="P885" s="1094">
        <v>2130</v>
      </c>
      <c r="Q885" t="s">
        <v>2005</v>
      </c>
      <c r="R885" t="s">
        <v>248</v>
      </c>
      <c r="S885">
        <v>151.13588300000001</v>
      </c>
      <c r="T885" s="1095">
        <v>-33.892783000000001</v>
      </c>
    </row>
    <row r="886" spans="16:20">
      <c r="P886" s="1094">
        <v>2131</v>
      </c>
      <c r="Q886" t="s">
        <v>1707</v>
      </c>
      <c r="R886" t="s">
        <v>248</v>
      </c>
      <c r="S886">
        <v>151.124008</v>
      </c>
      <c r="T886" s="1095">
        <v>-33.887602000000001</v>
      </c>
    </row>
    <row r="887" spans="16:20">
      <c r="P887" s="1094">
        <v>2132</v>
      </c>
      <c r="Q887" t="s">
        <v>2006</v>
      </c>
      <c r="R887" t="s">
        <v>248</v>
      </c>
      <c r="S887">
        <v>151.11338499999999</v>
      </c>
      <c r="T887" s="1095">
        <v>-33.882418999999999</v>
      </c>
    </row>
    <row r="888" spans="16:20">
      <c r="P888" s="1094">
        <v>2133</v>
      </c>
      <c r="Q888" t="s">
        <v>2007</v>
      </c>
      <c r="R888" t="s">
        <v>248</v>
      </c>
      <c r="S888">
        <v>151.10208700000001</v>
      </c>
      <c r="T888" s="1095">
        <v>-33.898792999999998</v>
      </c>
    </row>
    <row r="889" spans="16:20">
      <c r="P889" s="1094">
        <v>2133</v>
      </c>
      <c r="Q889" t="s">
        <v>2008</v>
      </c>
      <c r="R889" t="s">
        <v>248</v>
      </c>
      <c r="S889">
        <v>151.10208700000001</v>
      </c>
      <c r="T889" s="1095">
        <v>-33.898792999999998</v>
      </c>
    </row>
    <row r="890" spans="16:20">
      <c r="P890" s="1094">
        <v>2134</v>
      </c>
      <c r="Q890" t="s">
        <v>1708</v>
      </c>
      <c r="R890" t="s">
        <v>248</v>
      </c>
      <c r="S890">
        <v>151.10175699999999</v>
      </c>
      <c r="T890" s="1095">
        <v>-33.880049</v>
      </c>
    </row>
    <row r="891" spans="16:20">
      <c r="P891" s="1094">
        <v>2134</v>
      </c>
      <c r="Q891" t="s">
        <v>2009</v>
      </c>
      <c r="R891" t="s">
        <v>248</v>
      </c>
      <c r="S891">
        <v>151.10175699999999</v>
      </c>
      <c r="T891" s="1095">
        <v>-33.880049</v>
      </c>
    </row>
    <row r="892" spans="16:20">
      <c r="P892" s="1094">
        <v>2135</v>
      </c>
      <c r="Q892" t="s">
        <v>1710</v>
      </c>
      <c r="R892" t="s">
        <v>248</v>
      </c>
      <c r="S892">
        <v>151.08475899999999</v>
      </c>
      <c r="T892" s="1095">
        <v>-33.881008999999999</v>
      </c>
    </row>
    <row r="893" spans="16:20">
      <c r="P893" s="1094">
        <v>2136</v>
      </c>
      <c r="Q893" t="s">
        <v>2010</v>
      </c>
      <c r="R893" t="s">
        <v>248</v>
      </c>
      <c r="S893">
        <v>151.08774099999999</v>
      </c>
      <c r="T893" s="1095">
        <v>-33.892944</v>
      </c>
    </row>
    <row r="894" spans="16:20">
      <c r="P894" s="1094">
        <v>2136</v>
      </c>
      <c r="Q894" t="s">
        <v>2011</v>
      </c>
      <c r="R894" t="s">
        <v>248</v>
      </c>
      <c r="S894">
        <v>151.08774099999999</v>
      </c>
      <c r="T894" s="1095">
        <v>-33.892944</v>
      </c>
    </row>
    <row r="895" spans="16:20">
      <c r="P895" s="1094">
        <v>2136</v>
      </c>
      <c r="Q895" t="s">
        <v>2012</v>
      </c>
      <c r="R895" t="s">
        <v>248</v>
      </c>
      <c r="S895">
        <v>151.08774099999999</v>
      </c>
      <c r="T895" s="1095">
        <v>-33.892944</v>
      </c>
    </row>
    <row r="896" spans="16:20">
      <c r="P896" s="1094">
        <v>2137</v>
      </c>
      <c r="Q896" t="s">
        <v>2013</v>
      </c>
      <c r="R896" t="s">
        <v>248</v>
      </c>
      <c r="S896">
        <v>151.10375099999999</v>
      </c>
      <c r="T896" s="1095">
        <v>-33.857489999999999</v>
      </c>
    </row>
    <row r="897" spans="16:20">
      <c r="P897" s="1094">
        <v>2137</v>
      </c>
      <c r="Q897" t="s">
        <v>2014</v>
      </c>
      <c r="R897" t="s">
        <v>248</v>
      </c>
      <c r="S897">
        <v>151.10375099999999</v>
      </c>
      <c r="T897" s="1095">
        <v>-33.857489999999999</v>
      </c>
    </row>
    <row r="898" spans="16:20">
      <c r="P898" s="1094">
        <v>2137</v>
      </c>
      <c r="Q898" t="s">
        <v>2015</v>
      </c>
      <c r="R898" t="s">
        <v>248</v>
      </c>
      <c r="S898">
        <v>151.10375099999999</v>
      </c>
      <c r="T898" s="1095">
        <v>-33.857489999999999</v>
      </c>
    </row>
    <row r="899" spans="16:20">
      <c r="P899" s="1094">
        <v>2137</v>
      </c>
      <c r="Q899" t="s">
        <v>2016</v>
      </c>
      <c r="R899" t="s">
        <v>248</v>
      </c>
      <c r="S899">
        <v>151.10375099999999</v>
      </c>
      <c r="T899" s="1095">
        <v>-33.857489999999999</v>
      </c>
    </row>
    <row r="900" spans="16:20">
      <c r="P900" s="1094">
        <v>2137</v>
      </c>
      <c r="Q900" t="s">
        <v>2017</v>
      </c>
      <c r="R900" t="s">
        <v>248</v>
      </c>
      <c r="S900">
        <v>151.10375099999999</v>
      </c>
      <c r="T900" s="1095">
        <v>-33.857489999999999</v>
      </c>
    </row>
    <row r="901" spans="16:20">
      <c r="P901" s="1094">
        <v>2138</v>
      </c>
      <c r="Q901" t="s">
        <v>2018</v>
      </c>
      <c r="R901" t="s">
        <v>248</v>
      </c>
      <c r="S901">
        <v>151.08603600000001</v>
      </c>
      <c r="T901" s="1095">
        <v>-33.846097999999998</v>
      </c>
    </row>
    <row r="902" spans="16:20">
      <c r="P902" s="1094">
        <v>2138</v>
      </c>
      <c r="Q902" t="s">
        <v>2019</v>
      </c>
      <c r="R902" t="s">
        <v>248</v>
      </c>
      <c r="S902">
        <v>151.08603600000001</v>
      </c>
      <c r="T902" s="1095">
        <v>-33.846097999999998</v>
      </c>
    </row>
    <row r="903" spans="16:20">
      <c r="P903" s="1094">
        <v>2138</v>
      </c>
      <c r="Q903" t="s">
        <v>2020</v>
      </c>
      <c r="R903" t="s">
        <v>248</v>
      </c>
      <c r="S903">
        <v>151.08603600000001</v>
      </c>
      <c r="T903" s="1095">
        <v>-33.846097999999998</v>
      </c>
    </row>
    <row r="904" spans="16:20">
      <c r="P904" s="1094">
        <v>2139</v>
      </c>
      <c r="Q904" t="s">
        <v>2021</v>
      </c>
      <c r="R904" t="s">
        <v>248</v>
      </c>
      <c r="S904">
        <v>151.09516300000001</v>
      </c>
      <c r="T904" s="1095">
        <v>-33.835993000000002</v>
      </c>
    </row>
    <row r="905" spans="16:20">
      <c r="P905" s="1094">
        <v>2140</v>
      </c>
      <c r="Q905" t="s">
        <v>2022</v>
      </c>
      <c r="R905" t="s">
        <v>248</v>
      </c>
      <c r="S905">
        <v>151.070853</v>
      </c>
      <c r="T905" s="1095">
        <v>-33.835017999999998</v>
      </c>
    </row>
    <row r="906" spans="16:20">
      <c r="P906" s="1094">
        <v>2140</v>
      </c>
      <c r="Q906" t="s">
        <v>2023</v>
      </c>
      <c r="R906" t="s">
        <v>248</v>
      </c>
      <c r="S906">
        <v>151.070853</v>
      </c>
      <c r="T906" s="1095">
        <v>-33.835017999999998</v>
      </c>
    </row>
    <row r="907" spans="16:20">
      <c r="P907" s="1094">
        <v>2140</v>
      </c>
      <c r="Q907" t="s">
        <v>2024</v>
      </c>
      <c r="R907" t="s">
        <v>248</v>
      </c>
      <c r="S907">
        <v>151.070853</v>
      </c>
      <c r="T907" s="1095">
        <v>-33.835017999999998</v>
      </c>
    </row>
    <row r="908" spans="16:20">
      <c r="P908" s="1094">
        <v>2141</v>
      </c>
      <c r="Q908" t="s">
        <v>2025</v>
      </c>
      <c r="R908" t="s">
        <v>248</v>
      </c>
      <c r="S908">
        <v>151.044768</v>
      </c>
      <c r="T908" s="1095">
        <v>-33.872483000000003</v>
      </c>
    </row>
    <row r="909" spans="16:20">
      <c r="P909" s="1094">
        <v>2141</v>
      </c>
      <c r="Q909" t="s">
        <v>1711</v>
      </c>
      <c r="R909" t="s">
        <v>248</v>
      </c>
      <c r="S909">
        <v>151.044768</v>
      </c>
      <c r="T909" s="1095">
        <v>-33.872483000000003</v>
      </c>
    </row>
    <row r="910" spans="16:20">
      <c r="P910" s="1094">
        <v>2141</v>
      </c>
      <c r="Q910" t="s">
        <v>2026</v>
      </c>
      <c r="R910" t="s">
        <v>248</v>
      </c>
      <c r="S910">
        <v>151.044768</v>
      </c>
      <c r="T910" s="1095">
        <v>-33.872483000000003</v>
      </c>
    </row>
    <row r="911" spans="16:20">
      <c r="P911" s="1094">
        <v>2141</v>
      </c>
      <c r="Q911" t="s">
        <v>2027</v>
      </c>
      <c r="R911" t="s">
        <v>248</v>
      </c>
      <c r="S911">
        <v>151.044768</v>
      </c>
      <c r="T911" s="1095">
        <v>-33.872483000000003</v>
      </c>
    </row>
    <row r="912" spans="16:20">
      <c r="P912" s="1094">
        <v>2142</v>
      </c>
      <c r="Q912" t="s">
        <v>2028</v>
      </c>
      <c r="R912" t="s">
        <v>248</v>
      </c>
      <c r="S912">
        <v>151.015196</v>
      </c>
      <c r="T912" s="1095">
        <v>-33.832746999999998</v>
      </c>
    </row>
    <row r="913" spans="16:20">
      <c r="P913" s="1094">
        <v>2142</v>
      </c>
      <c r="Q913" t="s">
        <v>2029</v>
      </c>
      <c r="R913" t="s">
        <v>248</v>
      </c>
      <c r="S913">
        <v>151.015196</v>
      </c>
      <c r="T913" s="1095">
        <v>-33.832746999999998</v>
      </c>
    </row>
    <row r="914" spans="16:20">
      <c r="P914" s="1094">
        <v>2142</v>
      </c>
      <c r="Q914" t="s">
        <v>1712</v>
      </c>
      <c r="R914" t="s">
        <v>248</v>
      </c>
      <c r="S914">
        <v>151.015196</v>
      </c>
      <c r="T914" s="1095">
        <v>-33.832746999999998</v>
      </c>
    </row>
    <row r="915" spans="16:20">
      <c r="P915" s="1094">
        <v>2142</v>
      </c>
      <c r="Q915" t="s">
        <v>2030</v>
      </c>
      <c r="R915" t="s">
        <v>248</v>
      </c>
      <c r="S915">
        <v>151.015196</v>
      </c>
      <c r="T915" s="1095">
        <v>-33.832746999999998</v>
      </c>
    </row>
    <row r="916" spans="16:20">
      <c r="P916" s="1094">
        <v>2142</v>
      </c>
      <c r="Q916" t="s">
        <v>2031</v>
      </c>
      <c r="R916" t="s">
        <v>248</v>
      </c>
      <c r="S916">
        <v>151.015196</v>
      </c>
      <c r="T916" s="1095">
        <v>-33.832746999999998</v>
      </c>
    </row>
    <row r="917" spans="16:20">
      <c r="P917" s="1094">
        <v>2143</v>
      </c>
      <c r="Q917" t="s">
        <v>2032</v>
      </c>
      <c r="R917" t="s">
        <v>248</v>
      </c>
      <c r="S917">
        <v>151.02193399999999</v>
      </c>
      <c r="T917" s="1095">
        <v>-33.885382</v>
      </c>
    </row>
    <row r="918" spans="16:20">
      <c r="P918" s="1094">
        <v>2143</v>
      </c>
      <c r="Q918" t="s">
        <v>2033</v>
      </c>
      <c r="R918" t="s">
        <v>248</v>
      </c>
      <c r="S918">
        <v>151.02193399999999</v>
      </c>
      <c r="T918" s="1095">
        <v>-33.885382</v>
      </c>
    </row>
    <row r="919" spans="16:20">
      <c r="P919" s="1094">
        <v>2143</v>
      </c>
      <c r="Q919" t="s">
        <v>2034</v>
      </c>
      <c r="R919" t="s">
        <v>248</v>
      </c>
      <c r="S919">
        <v>151.02193399999999</v>
      </c>
      <c r="T919" s="1095">
        <v>-33.885382</v>
      </c>
    </row>
    <row r="920" spans="16:20">
      <c r="P920" s="1094">
        <v>2144</v>
      </c>
      <c r="Q920" t="s">
        <v>1713</v>
      </c>
      <c r="R920" t="s">
        <v>248</v>
      </c>
      <c r="S920">
        <v>151.02675600000001</v>
      </c>
      <c r="T920" s="1095">
        <v>-33.851868000000003</v>
      </c>
    </row>
    <row r="921" spans="16:20">
      <c r="P921" s="1094">
        <v>2144</v>
      </c>
      <c r="Q921" t="s">
        <v>2035</v>
      </c>
      <c r="R921" t="s">
        <v>248</v>
      </c>
      <c r="S921">
        <v>151.02675600000001</v>
      </c>
      <c r="T921" s="1095">
        <v>-33.851868000000003</v>
      </c>
    </row>
    <row r="922" spans="16:20">
      <c r="P922" s="1094">
        <v>2145</v>
      </c>
      <c r="Q922" t="s">
        <v>2036</v>
      </c>
      <c r="R922" t="s">
        <v>248</v>
      </c>
      <c r="S922">
        <v>150.957425</v>
      </c>
      <c r="T922" s="1095">
        <v>-33.813104000000003</v>
      </c>
    </row>
    <row r="923" spans="16:20">
      <c r="P923" s="1094">
        <v>2145</v>
      </c>
      <c r="Q923" t="s">
        <v>2037</v>
      </c>
      <c r="R923" t="s">
        <v>248</v>
      </c>
      <c r="S923">
        <v>150.957425</v>
      </c>
      <c r="T923" s="1095">
        <v>-33.813104000000003</v>
      </c>
    </row>
    <row r="924" spans="16:20">
      <c r="P924" s="1094">
        <v>2145</v>
      </c>
      <c r="Q924" t="s">
        <v>2038</v>
      </c>
      <c r="R924" t="s">
        <v>248</v>
      </c>
      <c r="S924">
        <v>150.957425</v>
      </c>
      <c r="T924" s="1095">
        <v>-33.813104000000003</v>
      </c>
    </row>
    <row r="925" spans="16:20">
      <c r="P925" s="1094">
        <v>2145</v>
      </c>
      <c r="Q925" t="s">
        <v>2039</v>
      </c>
      <c r="R925" t="s">
        <v>248</v>
      </c>
      <c r="S925">
        <v>150.957425</v>
      </c>
      <c r="T925" s="1095">
        <v>-33.813104000000003</v>
      </c>
    </row>
    <row r="926" spans="16:20">
      <c r="P926" s="1094">
        <v>2145</v>
      </c>
      <c r="Q926" t="s">
        <v>2040</v>
      </c>
      <c r="R926" t="s">
        <v>248</v>
      </c>
      <c r="S926">
        <v>150.957425</v>
      </c>
      <c r="T926" s="1095">
        <v>-33.813104000000003</v>
      </c>
    </row>
    <row r="927" spans="16:20">
      <c r="P927" s="1094">
        <v>2145</v>
      </c>
      <c r="Q927" t="s">
        <v>2041</v>
      </c>
      <c r="R927" t="s">
        <v>248</v>
      </c>
      <c r="S927">
        <v>150.957425</v>
      </c>
      <c r="T927" s="1095">
        <v>-33.813104000000003</v>
      </c>
    </row>
    <row r="928" spans="16:20">
      <c r="P928" s="1094">
        <v>2145</v>
      </c>
      <c r="Q928" t="s">
        <v>2042</v>
      </c>
      <c r="R928" t="s">
        <v>248</v>
      </c>
      <c r="S928">
        <v>150.957425</v>
      </c>
      <c r="T928" s="1095">
        <v>-33.813104000000003</v>
      </c>
    </row>
    <row r="929" spans="16:20">
      <c r="P929" s="1094">
        <v>2145</v>
      </c>
      <c r="Q929" t="s">
        <v>2043</v>
      </c>
      <c r="R929" t="s">
        <v>248</v>
      </c>
      <c r="S929">
        <v>150.957425</v>
      </c>
      <c r="T929" s="1095">
        <v>-33.813104000000003</v>
      </c>
    </row>
    <row r="930" spans="16:20">
      <c r="P930" s="1094">
        <v>2146</v>
      </c>
      <c r="Q930" t="s">
        <v>2044</v>
      </c>
      <c r="R930" t="s">
        <v>248</v>
      </c>
      <c r="S930">
        <v>150.959508</v>
      </c>
      <c r="T930" s="1095">
        <v>-33.789374000000002</v>
      </c>
    </row>
    <row r="931" spans="16:20">
      <c r="P931" s="1094">
        <v>2146</v>
      </c>
      <c r="Q931" t="s">
        <v>2045</v>
      </c>
      <c r="R931" t="s">
        <v>248</v>
      </c>
      <c r="S931">
        <v>150.959508</v>
      </c>
      <c r="T931" s="1095">
        <v>-33.789374000000002</v>
      </c>
    </row>
    <row r="932" spans="16:20">
      <c r="P932" s="1094">
        <v>2146</v>
      </c>
      <c r="Q932" t="s">
        <v>2046</v>
      </c>
      <c r="R932" t="s">
        <v>248</v>
      </c>
      <c r="S932">
        <v>150.959508</v>
      </c>
      <c r="T932" s="1095">
        <v>-33.789374000000002</v>
      </c>
    </row>
    <row r="933" spans="16:20">
      <c r="P933" s="1094">
        <v>2147</v>
      </c>
      <c r="Q933" t="s">
        <v>2047</v>
      </c>
      <c r="R933" t="s">
        <v>248</v>
      </c>
      <c r="S933">
        <v>150.93583599999999</v>
      </c>
      <c r="T933" s="1095">
        <v>-33.766075000000001</v>
      </c>
    </row>
    <row r="934" spans="16:20">
      <c r="P934" s="1094">
        <v>2147</v>
      </c>
      <c r="Q934" t="s">
        <v>2048</v>
      </c>
      <c r="R934" t="s">
        <v>248</v>
      </c>
      <c r="S934">
        <v>150.93583599999999</v>
      </c>
      <c r="T934" s="1095">
        <v>-33.766075000000001</v>
      </c>
    </row>
    <row r="935" spans="16:20">
      <c r="P935" s="1094">
        <v>2147</v>
      </c>
      <c r="Q935" t="s">
        <v>1699</v>
      </c>
      <c r="R935" t="s">
        <v>248</v>
      </c>
      <c r="S935">
        <v>150.93583599999999</v>
      </c>
      <c r="T935" s="1095">
        <v>-33.766075000000001</v>
      </c>
    </row>
    <row r="936" spans="16:20">
      <c r="P936" s="1094">
        <v>2147</v>
      </c>
      <c r="Q936" t="s">
        <v>2049</v>
      </c>
      <c r="R936" t="s">
        <v>248</v>
      </c>
      <c r="S936">
        <v>150.93583599999999</v>
      </c>
      <c r="T936" s="1095">
        <v>-33.766075000000001</v>
      </c>
    </row>
    <row r="937" spans="16:20">
      <c r="P937" s="1094">
        <v>2148</v>
      </c>
      <c r="Q937" t="s">
        <v>2050</v>
      </c>
      <c r="R937" t="s">
        <v>248</v>
      </c>
      <c r="S937">
        <v>150.90054699999999</v>
      </c>
      <c r="T937" s="1095">
        <v>-33.783751000000002</v>
      </c>
    </row>
    <row r="938" spans="16:20">
      <c r="P938" s="1094">
        <v>2148</v>
      </c>
      <c r="Q938" t="s">
        <v>2051</v>
      </c>
      <c r="R938" t="s">
        <v>248</v>
      </c>
      <c r="S938">
        <v>150.90054699999999</v>
      </c>
      <c r="T938" s="1095">
        <v>-33.783751000000002</v>
      </c>
    </row>
    <row r="939" spans="16:20">
      <c r="P939" s="1094">
        <v>2148</v>
      </c>
      <c r="Q939" t="s">
        <v>2052</v>
      </c>
      <c r="R939" t="s">
        <v>248</v>
      </c>
      <c r="S939">
        <v>150.90054699999999</v>
      </c>
      <c r="T939" s="1095">
        <v>-33.783751000000002</v>
      </c>
    </row>
    <row r="940" spans="16:20">
      <c r="P940" s="1094">
        <v>2148</v>
      </c>
      <c r="Q940" t="s">
        <v>2053</v>
      </c>
      <c r="R940" t="s">
        <v>248</v>
      </c>
      <c r="S940">
        <v>150.90054699999999</v>
      </c>
      <c r="T940" s="1095">
        <v>-33.783751000000002</v>
      </c>
    </row>
    <row r="941" spans="16:20">
      <c r="P941" s="1094">
        <v>2148</v>
      </c>
      <c r="Q941" t="s">
        <v>2054</v>
      </c>
      <c r="R941" t="s">
        <v>248</v>
      </c>
      <c r="S941">
        <v>150.90054699999999</v>
      </c>
      <c r="T941" s="1095">
        <v>-33.783751000000002</v>
      </c>
    </row>
    <row r="942" spans="16:20">
      <c r="P942" s="1094">
        <v>2148</v>
      </c>
      <c r="Q942" t="s">
        <v>2055</v>
      </c>
      <c r="R942" t="s">
        <v>248</v>
      </c>
      <c r="S942">
        <v>150.90054699999999</v>
      </c>
      <c r="T942" s="1095">
        <v>-33.783751000000002</v>
      </c>
    </row>
    <row r="943" spans="16:20">
      <c r="P943" s="1094">
        <v>2148</v>
      </c>
      <c r="Q943" t="s">
        <v>2056</v>
      </c>
      <c r="R943" t="s">
        <v>248</v>
      </c>
      <c r="S943">
        <v>150.90054699999999</v>
      </c>
      <c r="T943" s="1095">
        <v>-33.783751000000002</v>
      </c>
    </row>
    <row r="944" spans="16:20">
      <c r="P944" s="1094">
        <v>2150</v>
      </c>
      <c r="Q944" t="s">
        <v>2057</v>
      </c>
      <c r="R944" t="s">
        <v>248</v>
      </c>
      <c r="S944">
        <v>151.006506</v>
      </c>
      <c r="T944" s="1095">
        <v>-33.814463000000003</v>
      </c>
    </row>
    <row r="945" spans="16:20">
      <c r="P945" s="1094">
        <v>2150</v>
      </c>
      <c r="Q945" t="s">
        <v>1700</v>
      </c>
      <c r="R945" t="s">
        <v>248</v>
      </c>
      <c r="S945">
        <v>151.006506</v>
      </c>
      <c r="T945" s="1095">
        <v>-33.814463000000003</v>
      </c>
    </row>
    <row r="946" spans="16:20">
      <c r="P946" s="1094">
        <v>2150</v>
      </c>
      <c r="Q946" t="s">
        <v>2058</v>
      </c>
      <c r="R946" t="s">
        <v>248</v>
      </c>
      <c r="S946">
        <v>151.006506</v>
      </c>
      <c r="T946" s="1095">
        <v>-33.814463000000003</v>
      </c>
    </row>
    <row r="947" spans="16:20">
      <c r="P947" s="1094">
        <v>2151</v>
      </c>
      <c r="Q947" t="s">
        <v>1701</v>
      </c>
      <c r="R947" t="s">
        <v>248</v>
      </c>
      <c r="S947">
        <v>151.01251099999999</v>
      </c>
      <c r="T947" s="1095">
        <v>-33.787089999999999</v>
      </c>
    </row>
    <row r="948" spans="16:20">
      <c r="P948" s="1094">
        <v>2151</v>
      </c>
      <c r="Q948" t="s">
        <v>2059</v>
      </c>
      <c r="R948" t="s">
        <v>248</v>
      </c>
      <c r="S948">
        <v>151.01251099999999</v>
      </c>
      <c r="T948" s="1095">
        <v>-33.787089999999999</v>
      </c>
    </row>
    <row r="949" spans="16:20">
      <c r="P949" s="1094">
        <v>2152</v>
      </c>
      <c r="Q949" t="s">
        <v>2060</v>
      </c>
      <c r="R949" t="s">
        <v>248</v>
      </c>
      <c r="S949">
        <v>150.996388</v>
      </c>
      <c r="T949" s="1095">
        <v>-33.782501000000003</v>
      </c>
    </row>
    <row r="950" spans="16:20">
      <c r="P950" s="1094">
        <v>2153</v>
      </c>
      <c r="Q950" t="s">
        <v>1702</v>
      </c>
      <c r="R950" t="s">
        <v>248</v>
      </c>
      <c r="S950">
        <v>150.95594199999999</v>
      </c>
      <c r="T950" s="1095">
        <v>-33.731650999999999</v>
      </c>
    </row>
    <row r="951" spans="16:20">
      <c r="P951" s="1094">
        <v>2153</v>
      </c>
      <c r="Q951" t="s">
        <v>2061</v>
      </c>
      <c r="R951" t="s">
        <v>248</v>
      </c>
      <c r="S951">
        <v>150.95594199999999</v>
      </c>
      <c r="T951" s="1095">
        <v>-33.731650999999999</v>
      </c>
    </row>
    <row r="952" spans="16:20">
      <c r="P952" s="1094">
        <v>2153</v>
      </c>
      <c r="Q952" t="s">
        <v>2062</v>
      </c>
      <c r="R952" t="s">
        <v>248</v>
      </c>
      <c r="S952">
        <v>150.95594199999999</v>
      </c>
      <c r="T952" s="1095">
        <v>-33.731650999999999</v>
      </c>
    </row>
    <row r="953" spans="16:20">
      <c r="P953" s="1094">
        <v>2153</v>
      </c>
      <c r="Q953" t="s">
        <v>2063</v>
      </c>
      <c r="R953" t="s">
        <v>248</v>
      </c>
      <c r="S953">
        <v>150.95594199999999</v>
      </c>
      <c r="T953" s="1095">
        <v>-33.731650999999999</v>
      </c>
    </row>
    <row r="954" spans="16:20">
      <c r="P954" s="1094">
        <v>2154</v>
      </c>
      <c r="Q954" t="s">
        <v>1703</v>
      </c>
      <c r="R954" t="s">
        <v>248</v>
      </c>
      <c r="S954">
        <v>151.00094799999999</v>
      </c>
      <c r="T954" s="1095">
        <v>-33.732379999999999</v>
      </c>
    </row>
    <row r="955" spans="16:20">
      <c r="P955" s="1094">
        <v>2155</v>
      </c>
      <c r="Q955" t="s">
        <v>2064</v>
      </c>
      <c r="R955" t="s">
        <v>248</v>
      </c>
      <c r="S955">
        <v>150.931074</v>
      </c>
      <c r="T955" s="1095">
        <v>-33.731523000000003</v>
      </c>
    </row>
    <row r="956" spans="16:20">
      <c r="P956" s="1094">
        <v>2155</v>
      </c>
      <c r="Q956" t="s">
        <v>2065</v>
      </c>
      <c r="R956" t="s">
        <v>248</v>
      </c>
      <c r="S956">
        <v>150.931074</v>
      </c>
      <c r="T956" s="1095">
        <v>-33.731523000000003</v>
      </c>
    </row>
    <row r="957" spans="16:20">
      <c r="P957" s="1094">
        <v>2155</v>
      </c>
      <c r="Q957" t="s">
        <v>2066</v>
      </c>
      <c r="R957" t="s">
        <v>248</v>
      </c>
      <c r="S957">
        <v>150.931074</v>
      </c>
      <c r="T957" s="1095">
        <v>-33.731523000000003</v>
      </c>
    </row>
    <row r="958" spans="16:20">
      <c r="P958" s="1094">
        <v>2155</v>
      </c>
      <c r="Q958" t="s">
        <v>2067</v>
      </c>
      <c r="R958" t="s">
        <v>248</v>
      </c>
      <c r="S958">
        <v>150.931074</v>
      </c>
      <c r="T958" s="1095">
        <v>-33.731523000000003</v>
      </c>
    </row>
    <row r="959" spans="16:20">
      <c r="P959" s="1094">
        <v>2156</v>
      </c>
      <c r="Q959" t="s">
        <v>2068</v>
      </c>
      <c r="R959" t="s">
        <v>248</v>
      </c>
      <c r="S959">
        <v>150.97452799999999</v>
      </c>
      <c r="T959" s="1095">
        <v>-33.656984000000001</v>
      </c>
    </row>
    <row r="960" spans="16:20">
      <c r="P960" s="1094">
        <v>2156</v>
      </c>
      <c r="Q960" t="s">
        <v>2069</v>
      </c>
      <c r="R960" t="s">
        <v>248</v>
      </c>
      <c r="S960">
        <v>150.97452799999999</v>
      </c>
      <c r="T960" s="1095">
        <v>-33.656984000000001</v>
      </c>
    </row>
    <row r="961" spans="16:20">
      <c r="P961" s="1094">
        <v>2156</v>
      </c>
      <c r="Q961" t="s">
        <v>2070</v>
      </c>
      <c r="R961" t="s">
        <v>248</v>
      </c>
      <c r="S961">
        <v>150.97452799999999</v>
      </c>
      <c r="T961" s="1095">
        <v>-33.656984000000001</v>
      </c>
    </row>
    <row r="962" spans="16:20">
      <c r="P962" s="1094">
        <v>2157</v>
      </c>
      <c r="Q962" t="s">
        <v>2071</v>
      </c>
      <c r="R962" t="s">
        <v>248</v>
      </c>
      <c r="S962">
        <v>150.99105499999999</v>
      </c>
      <c r="T962" s="1095">
        <v>-33.602167000000001</v>
      </c>
    </row>
    <row r="963" spans="16:20">
      <c r="P963" s="1094">
        <v>2157</v>
      </c>
      <c r="Q963" t="s">
        <v>2072</v>
      </c>
      <c r="R963" t="s">
        <v>248</v>
      </c>
      <c r="S963">
        <v>150.99105499999999</v>
      </c>
      <c r="T963" s="1095">
        <v>-33.602167000000001</v>
      </c>
    </row>
    <row r="964" spans="16:20">
      <c r="P964" s="1094">
        <v>2157</v>
      </c>
      <c r="Q964" t="s">
        <v>2073</v>
      </c>
      <c r="R964" t="s">
        <v>248</v>
      </c>
      <c r="S964">
        <v>150.99105499999999</v>
      </c>
      <c r="T964" s="1095">
        <v>-33.602167000000001</v>
      </c>
    </row>
    <row r="965" spans="16:20">
      <c r="P965" s="1094">
        <v>2157</v>
      </c>
      <c r="Q965" t="s">
        <v>2074</v>
      </c>
      <c r="R965" t="s">
        <v>248</v>
      </c>
      <c r="S965">
        <v>150.99105499999999</v>
      </c>
      <c r="T965" s="1095">
        <v>-33.602167000000001</v>
      </c>
    </row>
    <row r="966" spans="16:20">
      <c r="P966" s="1094">
        <v>2158</v>
      </c>
      <c r="Q966" t="s">
        <v>2075</v>
      </c>
      <c r="R966" t="s">
        <v>248</v>
      </c>
      <c r="S966">
        <v>151.040358</v>
      </c>
      <c r="T966" s="1095">
        <v>-33.690331</v>
      </c>
    </row>
    <row r="967" spans="16:20">
      <c r="P967" s="1094">
        <v>2158</v>
      </c>
      <c r="Q967" t="s">
        <v>2076</v>
      </c>
      <c r="R967" t="s">
        <v>248</v>
      </c>
      <c r="S967">
        <v>151.040358</v>
      </c>
      <c r="T967" s="1095">
        <v>-33.690331</v>
      </c>
    </row>
    <row r="968" spans="16:20">
      <c r="P968" s="1094">
        <v>2158</v>
      </c>
      <c r="Q968" t="s">
        <v>2077</v>
      </c>
      <c r="R968" t="s">
        <v>248</v>
      </c>
      <c r="S968">
        <v>151.040358</v>
      </c>
      <c r="T968" s="1095">
        <v>-33.690331</v>
      </c>
    </row>
    <row r="969" spans="16:20">
      <c r="P969" s="1094">
        <v>2159</v>
      </c>
      <c r="Q969" t="s">
        <v>2078</v>
      </c>
      <c r="R969" t="s">
        <v>248</v>
      </c>
      <c r="S969">
        <v>151.084146</v>
      </c>
      <c r="T969" s="1095">
        <v>-33.539147999999997</v>
      </c>
    </row>
    <row r="970" spans="16:20">
      <c r="P970" s="1094">
        <v>2159</v>
      </c>
      <c r="Q970" t="s">
        <v>2079</v>
      </c>
      <c r="R970" t="s">
        <v>248</v>
      </c>
      <c r="S970">
        <v>151.084146</v>
      </c>
      <c r="T970" s="1095">
        <v>-33.539147999999997</v>
      </c>
    </row>
    <row r="971" spans="16:20">
      <c r="P971" s="1094">
        <v>2159</v>
      </c>
      <c r="Q971" t="s">
        <v>2080</v>
      </c>
      <c r="R971" t="s">
        <v>248</v>
      </c>
      <c r="S971">
        <v>151.084146</v>
      </c>
      <c r="T971" s="1095">
        <v>-33.539147999999997</v>
      </c>
    </row>
    <row r="972" spans="16:20">
      <c r="P972" s="1094">
        <v>2159</v>
      </c>
      <c r="Q972" t="s">
        <v>2081</v>
      </c>
      <c r="R972" t="s">
        <v>248</v>
      </c>
      <c r="S972">
        <v>151.084146</v>
      </c>
      <c r="T972" s="1095">
        <v>-33.539147999999997</v>
      </c>
    </row>
    <row r="973" spans="16:20">
      <c r="P973" s="1094">
        <v>2160</v>
      </c>
      <c r="Q973" t="s">
        <v>2082</v>
      </c>
      <c r="R973" t="s">
        <v>248</v>
      </c>
      <c r="S973">
        <v>150.97659400000001</v>
      </c>
      <c r="T973" s="1095">
        <v>-33.835883000000003</v>
      </c>
    </row>
    <row r="974" spans="16:20">
      <c r="P974" s="1094">
        <v>2160</v>
      </c>
      <c r="Q974" t="s">
        <v>2083</v>
      </c>
      <c r="R974" t="s">
        <v>248</v>
      </c>
      <c r="S974">
        <v>150.97659400000001</v>
      </c>
      <c r="T974" s="1095">
        <v>-33.835883000000003</v>
      </c>
    </row>
    <row r="975" spans="16:20">
      <c r="P975" s="1094">
        <v>2161</v>
      </c>
      <c r="Q975" t="s">
        <v>1714</v>
      </c>
      <c r="R975" t="s">
        <v>248</v>
      </c>
      <c r="S975">
        <v>150.983724</v>
      </c>
      <c r="T975" s="1095">
        <v>-33.858334999999997</v>
      </c>
    </row>
    <row r="976" spans="16:20">
      <c r="P976" s="1094">
        <v>2161</v>
      </c>
      <c r="Q976" t="s">
        <v>2084</v>
      </c>
      <c r="R976" t="s">
        <v>248</v>
      </c>
      <c r="S976">
        <v>150.983724</v>
      </c>
      <c r="T976" s="1095">
        <v>-33.858334999999997</v>
      </c>
    </row>
    <row r="977" spans="16:20">
      <c r="P977" s="1094">
        <v>2161</v>
      </c>
      <c r="Q977" t="s">
        <v>2085</v>
      </c>
      <c r="R977" t="s">
        <v>248</v>
      </c>
      <c r="S977">
        <v>150.983724</v>
      </c>
      <c r="T977" s="1095">
        <v>-33.858334999999997</v>
      </c>
    </row>
    <row r="978" spans="16:20">
      <c r="P978" s="1094">
        <v>2161</v>
      </c>
      <c r="Q978" t="s">
        <v>2086</v>
      </c>
      <c r="R978" t="s">
        <v>248</v>
      </c>
      <c r="S978">
        <v>150.983724</v>
      </c>
      <c r="T978" s="1095">
        <v>-33.858334999999997</v>
      </c>
    </row>
    <row r="979" spans="16:20">
      <c r="P979" s="1094">
        <v>2162</v>
      </c>
      <c r="Q979" t="s">
        <v>2087</v>
      </c>
      <c r="R979" t="s">
        <v>248</v>
      </c>
      <c r="S979">
        <v>151.00412800000001</v>
      </c>
      <c r="T979" s="1095">
        <v>-33.883490000000002</v>
      </c>
    </row>
    <row r="980" spans="16:20">
      <c r="P980" s="1094">
        <v>2162</v>
      </c>
      <c r="Q980" t="s">
        <v>2088</v>
      </c>
      <c r="R980" t="s">
        <v>248</v>
      </c>
      <c r="S980">
        <v>151.00412800000001</v>
      </c>
      <c r="T980" s="1095">
        <v>-33.883490000000002</v>
      </c>
    </row>
    <row r="981" spans="16:20">
      <c r="P981" s="1094">
        <v>2163</v>
      </c>
      <c r="Q981" t="s">
        <v>2089</v>
      </c>
      <c r="R981" t="s">
        <v>248</v>
      </c>
      <c r="S981">
        <v>150.97945799999999</v>
      </c>
      <c r="T981" s="1095">
        <v>-33.887203</v>
      </c>
    </row>
    <row r="982" spans="16:20">
      <c r="P982" s="1094">
        <v>2163</v>
      </c>
      <c r="Q982" t="s">
        <v>2090</v>
      </c>
      <c r="R982" t="s">
        <v>248</v>
      </c>
      <c r="S982">
        <v>150.97945799999999</v>
      </c>
      <c r="T982" s="1095">
        <v>-33.887203</v>
      </c>
    </row>
    <row r="983" spans="16:20">
      <c r="P983" s="1094">
        <v>2163</v>
      </c>
      <c r="Q983" t="s">
        <v>2091</v>
      </c>
      <c r="R983" t="s">
        <v>248</v>
      </c>
      <c r="S983">
        <v>150.97945799999999</v>
      </c>
      <c r="T983" s="1095">
        <v>-33.887203</v>
      </c>
    </row>
    <row r="984" spans="16:20">
      <c r="P984" s="1094">
        <v>2164</v>
      </c>
      <c r="Q984" t="s">
        <v>2092</v>
      </c>
      <c r="R984" t="s">
        <v>248</v>
      </c>
      <c r="S984">
        <v>150.87502799999999</v>
      </c>
      <c r="T984" s="1095">
        <v>-33.844152999999999</v>
      </c>
    </row>
    <row r="985" spans="16:20">
      <c r="P985" s="1094">
        <v>2164</v>
      </c>
      <c r="Q985" t="s">
        <v>2093</v>
      </c>
      <c r="R985" t="s">
        <v>248</v>
      </c>
      <c r="S985">
        <v>150.87502799999999</v>
      </c>
      <c r="T985" s="1095">
        <v>-33.844152999999999</v>
      </c>
    </row>
    <row r="986" spans="16:20">
      <c r="P986" s="1094">
        <v>2164</v>
      </c>
      <c r="Q986" t="s">
        <v>2094</v>
      </c>
      <c r="R986" t="s">
        <v>248</v>
      </c>
      <c r="S986">
        <v>150.87502799999999</v>
      </c>
      <c r="T986" s="1095">
        <v>-33.844152999999999</v>
      </c>
    </row>
    <row r="987" spans="16:20">
      <c r="P987" s="1094">
        <v>2164</v>
      </c>
      <c r="Q987" t="s">
        <v>2095</v>
      </c>
      <c r="R987" t="s">
        <v>248</v>
      </c>
      <c r="S987">
        <v>150.87502799999999</v>
      </c>
      <c r="T987" s="1095">
        <v>-33.844152999999999</v>
      </c>
    </row>
    <row r="988" spans="16:20">
      <c r="P988" s="1094">
        <v>2165</v>
      </c>
      <c r="Q988" t="s">
        <v>1716</v>
      </c>
      <c r="R988" t="s">
        <v>248</v>
      </c>
      <c r="S988">
        <v>150.947496</v>
      </c>
      <c r="T988" s="1095">
        <v>-33.872435000000003</v>
      </c>
    </row>
    <row r="989" spans="16:20">
      <c r="P989" s="1094">
        <v>2165</v>
      </c>
      <c r="Q989" t="s">
        <v>2096</v>
      </c>
      <c r="R989" t="s">
        <v>248</v>
      </c>
      <c r="S989">
        <v>150.947496</v>
      </c>
      <c r="T989" s="1095">
        <v>-33.872435000000003</v>
      </c>
    </row>
    <row r="990" spans="16:20">
      <c r="P990" s="1094">
        <v>2165</v>
      </c>
      <c r="Q990" t="s">
        <v>2097</v>
      </c>
      <c r="R990" t="s">
        <v>248</v>
      </c>
      <c r="S990">
        <v>150.947496</v>
      </c>
      <c r="T990" s="1095">
        <v>-33.872435000000003</v>
      </c>
    </row>
    <row r="991" spans="16:20">
      <c r="P991" s="1094">
        <v>2165</v>
      </c>
      <c r="Q991" t="s">
        <v>2098</v>
      </c>
      <c r="R991" t="s">
        <v>248</v>
      </c>
      <c r="S991">
        <v>150.947496</v>
      </c>
      <c r="T991" s="1095">
        <v>-33.872435000000003</v>
      </c>
    </row>
    <row r="992" spans="16:20">
      <c r="P992" s="1094">
        <v>2166</v>
      </c>
      <c r="Q992" t="s">
        <v>2099</v>
      </c>
      <c r="R992" t="s">
        <v>248</v>
      </c>
      <c r="S992">
        <v>150.92937000000001</v>
      </c>
      <c r="T992" s="1095">
        <v>-33.892738000000001</v>
      </c>
    </row>
    <row r="993" spans="16:20">
      <c r="P993" s="1094">
        <v>2166</v>
      </c>
      <c r="Q993" t="s">
        <v>2100</v>
      </c>
      <c r="R993" t="s">
        <v>248</v>
      </c>
      <c r="S993">
        <v>150.92937000000001</v>
      </c>
      <c r="T993" s="1095">
        <v>-33.892738000000001</v>
      </c>
    </row>
    <row r="994" spans="16:20">
      <c r="P994" s="1094">
        <v>2166</v>
      </c>
      <c r="Q994" t="s">
        <v>2101</v>
      </c>
      <c r="R994" t="s">
        <v>248</v>
      </c>
      <c r="S994">
        <v>150.92937000000001</v>
      </c>
      <c r="T994" s="1095">
        <v>-33.892738000000001</v>
      </c>
    </row>
    <row r="995" spans="16:20">
      <c r="P995" s="1094">
        <v>2166</v>
      </c>
      <c r="Q995" t="s">
        <v>2102</v>
      </c>
      <c r="R995" t="s">
        <v>248</v>
      </c>
      <c r="S995">
        <v>150.92937000000001</v>
      </c>
      <c r="T995" s="1095">
        <v>-33.892738000000001</v>
      </c>
    </row>
    <row r="996" spans="16:20">
      <c r="P996" s="1094">
        <v>2166</v>
      </c>
      <c r="Q996" t="s">
        <v>2103</v>
      </c>
      <c r="R996" t="s">
        <v>248</v>
      </c>
      <c r="S996">
        <v>150.92937000000001</v>
      </c>
      <c r="T996" s="1095">
        <v>-33.892738000000001</v>
      </c>
    </row>
    <row r="997" spans="16:20">
      <c r="P997" s="1094">
        <v>2167</v>
      </c>
      <c r="Q997" t="s">
        <v>2104</v>
      </c>
      <c r="R997" t="s">
        <v>248</v>
      </c>
      <c r="S997">
        <v>150.89044100000001</v>
      </c>
      <c r="T997" s="1095">
        <v>-33.972166999999999</v>
      </c>
    </row>
    <row r="998" spans="16:20">
      <c r="P998" s="1094">
        <v>2168</v>
      </c>
      <c r="Q998" t="s">
        <v>2105</v>
      </c>
      <c r="R998" t="s">
        <v>248</v>
      </c>
      <c r="S998">
        <v>150.87534500000001</v>
      </c>
      <c r="T998" s="1095">
        <v>-33.915939000000002</v>
      </c>
    </row>
    <row r="999" spans="16:20">
      <c r="P999" s="1094">
        <v>2168</v>
      </c>
      <c r="Q999" t="s">
        <v>2106</v>
      </c>
      <c r="R999" t="s">
        <v>248</v>
      </c>
      <c r="S999">
        <v>150.87534500000001</v>
      </c>
      <c r="T999" s="1095">
        <v>-33.915939000000002</v>
      </c>
    </row>
    <row r="1000" spans="16:20">
      <c r="P1000" s="1094">
        <v>2168</v>
      </c>
      <c r="Q1000" t="s">
        <v>2107</v>
      </c>
      <c r="R1000" t="s">
        <v>248</v>
      </c>
      <c r="S1000">
        <v>150.87534500000001</v>
      </c>
      <c r="T1000" s="1095">
        <v>-33.915939000000002</v>
      </c>
    </row>
    <row r="1001" spans="16:20">
      <c r="P1001" s="1094">
        <v>2168</v>
      </c>
      <c r="Q1001" t="s">
        <v>2108</v>
      </c>
      <c r="R1001" t="s">
        <v>248</v>
      </c>
      <c r="S1001">
        <v>150.87534500000001</v>
      </c>
      <c r="T1001" s="1095">
        <v>-33.915939000000002</v>
      </c>
    </row>
    <row r="1002" spans="16:20">
      <c r="P1002" s="1094">
        <v>2168</v>
      </c>
      <c r="Q1002" t="s">
        <v>2109</v>
      </c>
      <c r="R1002" t="s">
        <v>248</v>
      </c>
      <c r="S1002">
        <v>150.87534500000001</v>
      </c>
      <c r="T1002" s="1095">
        <v>-33.915939000000002</v>
      </c>
    </row>
    <row r="1003" spans="16:20">
      <c r="P1003" s="1094">
        <v>2168</v>
      </c>
      <c r="Q1003" t="s">
        <v>2110</v>
      </c>
      <c r="R1003" t="s">
        <v>248</v>
      </c>
      <c r="S1003">
        <v>150.87534500000001</v>
      </c>
      <c r="T1003" s="1095">
        <v>-33.915939000000002</v>
      </c>
    </row>
    <row r="1004" spans="16:20">
      <c r="P1004" s="1094">
        <v>2168</v>
      </c>
      <c r="Q1004" t="s">
        <v>2111</v>
      </c>
      <c r="R1004" t="s">
        <v>248</v>
      </c>
      <c r="S1004">
        <v>150.87534500000001</v>
      </c>
      <c r="T1004" s="1095">
        <v>-33.915939000000002</v>
      </c>
    </row>
    <row r="1005" spans="16:20">
      <c r="P1005" s="1094">
        <v>2168</v>
      </c>
      <c r="Q1005" t="s">
        <v>2112</v>
      </c>
      <c r="R1005" t="s">
        <v>248</v>
      </c>
      <c r="S1005">
        <v>150.87534500000001</v>
      </c>
      <c r="T1005" s="1095">
        <v>-33.915939000000002</v>
      </c>
    </row>
    <row r="1006" spans="16:20">
      <c r="P1006" s="1094">
        <v>2170</v>
      </c>
      <c r="Q1006" t="s">
        <v>2113</v>
      </c>
      <c r="R1006" t="s">
        <v>248</v>
      </c>
      <c r="S1006">
        <v>150.921448</v>
      </c>
      <c r="T1006" s="1095">
        <v>-33.928392000000002</v>
      </c>
    </row>
    <row r="1007" spans="16:20">
      <c r="P1007" s="1094">
        <v>2170</v>
      </c>
      <c r="Q1007" t="s">
        <v>2114</v>
      </c>
      <c r="R1007" t="s">
        <v>248</v>
      </c>
      <c r="S1007">
        <v>150.921448</v>
      </c>
      <c r="T1007" s="1095">
        <v>-33.928392000000002</v>
      </c>
    </row>
    <row r="1008" spans="16:20">
      <c r="P1008" s="1094">
        <v>2170</v>
      </c>
      <c r="Q1008" t="s">
        <v>2115</v>
      </c>
      <c r="R1008" t="s">
        <v>248</v>
      </c>
      <c r="S1008">
        <v>150.921448</v>
      </c>
      <c r="T1008" s="1095">
        <v>-33.928392000000002</v>
      </c>
    </row>
    <row r="1009" spans="16:20">
      <c r="P1009" s="1094">
        <v>2170</v>
      </c>
      <c r="Q1009" t="s">
        <v>2116</v>
      </c>
      <c r="R1009" t="s">
        <v>248</v>
      </c>
      <c r="S1009">
        <v>150.921448</v>
      </c>
      <c r="T1009" s="1095">
        <v>-33.928392000000002</v>
      </c>
    </row>
    <row r="1010" spans="16:20">
      <c r="P1010" s="1094">
        <v>2170</v>
      </c>
      <c r="Q1010" t="s">
        <v>1717</v>
      </c>
      <c r="R1010" t="s">
        <v>248</v>
      </c>
      <c r="S1010">
        <v>150.921448</v>
      </c>
      <c r="T1010" s="1095">
        <v>-33.928392000000002</v>
      </c>
    </row>
    <row r="1011" spans="16:20">
      <c r="P1011" s="1094">
        <v>2170</v>
      </c>
      <c r="Q1011" t="s">
        <v>2117</v>
      </c>
      <c r="R1011" t="s">
        <v>248</v>
      </c>
      <c r="S1011">
        <v>150.921448</v>
      </c>
      <c r="T1011" s="1095">
        <v>-33.928392000000002</v>
      </c>
    </row>
    <row r="1012" spans="16:20">
      <c r="P1012" s="1094">
        <v>2170</v>
      </c>
      <c r="Q1012" t="s">
        <v>2118</v>
      </c>
      <c r="R1012" t="s">
        <v>248</v>
      </c>
      <c r="S1012">
        <v>150.921448</v>
      </c>
      <c r="T1012" s="1095">
        <v>-33.928392000000002</v>
      </c>
    </row>
    <row r="1013" spans="16:20">
      <c r="P1013" s="1094">
        <v>2170</v>
      </c>
      <c r="Q1013" t="s">
        <v>2119</v>
      </c>
      <c r="R1013" t="s">
        <v>248</v>
      </c>
      <c r="S1013">
        <v>150.921448</v>
      </c>
      <c r="T1013" s="1095">
        <v>-33.928392000000002</v>
      </c>
    </row>
    <row r="1014" spans="16:20">
      <c r="P1014" s="1094">
        <v>2170</v>
      </c>
      <c r="Q1014" t="s">
        <v>1718</v>
      </c>
      <c r="R1014" t="s">
        <v>248</v>
      </c>
      <c r="S1014">
        <v>150.921448</v>
      </c>
      <c r="T1014" s="1095">
        <v>-33.928392000000002</v>
      </c>
    </row>
    <row r="1015" spans="16:20">
      <c r="P1015" s="1094">
        <v>2170</v>
      </c>
      <c r="Q1015" t="s">
        <v>2120</v>
      </c>
      <c r="R1015" t="s">
        <v>248</v>
      </c>
      <c r="S1015">
        <v>150.921448</v>
      </c>
      <c r="T1015" s="1095">
        <v>-33.928392000000002</v>
      </c>
    </row>
    <row r="1016" spans="16:20">
      <c r="P1016" s="1094">
        <v>2170</v>
      </c>
      <c r="Q1016" t="s">
        <v>2121</v>
      </c>
      <c r="R1016" t="s">
        <v>248</v>
      </c>
      <c r="S1016">
        <v>150.921448</v>
      </c>
      <c r="T1016" s="1095">
        <v>-33.928392000000002</v>
      </c>
    </row>
    <row r="1017" spans="16:20">
      <c r="P1017" s="1094">
        <v>2170</v>
      </c>
      <c r="Q1017" t="s">
        <v>2122</v>
      </c>
      <c r="R1017" t="s">
        <v>248</v>
      </c>
      <c r="S1017">
        <v>150.921448</v>
      </c>
      <c r="T1017" s="1095">
        <v>-33.928392000000002</v>
      </c>
    </row>
    <row r="1018" spans="16:20">
      <c r="P1018" s="1094">
        <v>2171</v>
      </c>
      <c r="Q1018" t="s">
        <v>2123</v>
      </c>
      <c r="R1018" t="s">
        <v>248</v>
      </c>
      <c r="S1018">
        <v>150.97093100000001</v>
      </c>
      <c r="T1018" s="1095">
        <v>-33.959617000000001</v>
      </c>
    </row>
    <row r="1019" spans="16:20">
      <c r="P1019" s="1094">
        <v>2171</v>
      </c>
      <c r="Q1019" t="s">
        <v>2124</v>
      </c>
      <c r="R1019" t="s">
        <v>248</v>
      </c>
      <c r="S1019">
        <v>150.97093100000001</v>
      </c>
      <c r="T1019" s="1095">
        <v>-33.959617000000001</v>
      </c>
    </row>
    <row r="1020" spans="16:20">
      <c r="P1020" s="1094">
        <v>2171</v>
      </c>
      <c r="Q1020" t="s">
        <v>2125</v>
      </c>
      <c r="R1020" t="s">
        <v>248</v>
      </c>
      <c r="S1020">
        <v>150.97093100000001</v>
      </c>
      <c r="T1020" s="1095">
        <v>-33.959617000000001</v>
      </c>
    </row>
    <row r="1021" spans="16:20">
      <c r="P1021" s="1094">
        <v>2171</v>
      </c>
      <c r="Q1021" t="s">
        <v>2126</v>
      </c>
      <c r="R1021" t="s">
        <v>248</v>
      </c>
      <c r="S1021">
        <v>150.97093100000001</v>
      </c>
      <c r="T1021" s="1095">
        <v>-33.959617000000001</v>
      </c>
    </row>
    <row r="1022" spans="16:20">
      <c r="P1022" s="1094">
        <v>2172</v>
      </c>
      <c r="Q1022" t="s">
        <v>2127</v>
      </c>
      <c r="R1022" t="s">
        <v>248</v>
      </c>
      <c r="S1022">
        <v>150.91744399999999</v>
      </c>
      <c r="T1022" s="1095">
        <v>-33.951109000000002</v>
      </c>
    </row>
    <row r="1023" spans="16:20">
      <c r="P1023" s="1094">
        <v>2172</v>
      </c>
      <c r="Q1023" t="s">
        <v>2128</v>
      </c>
      <c r="R1023" t="s">
        <v>248</v>
      </c>
      <c r="S1023">
        <v>150.91744399999999</v>
      </c>
      <c r="T1023" s="1095">
        <v>-33.951109000000002</v>
      </c>
    </row>
    <row r="1024" spans="16:20">
      <c r="P1024" s="1094">
        <v>2172</v>
      </c>
      <c r="Q1024" t="s">
        <v>2129</v>
      </c>
      <c r="R1024" t="s">
        <v>248</v>
      </c>
      <c r="S1024">
        <v>150.91744399999999</v>
      </c>
      <c r="T1024" s="1095">
        <v>-33.951109000000002</v>
      </c>
    </row>
    <row r="1025" spans="16:20">
      <c r="P1025" s="1094">
        <v>2173</v>
      </c>
      <c r="Q1025" t="s">
        <v>2130</v>
      </c>
      <c r="R1025" t="s">
        <v>248</v>
      </c>
      <c r="S1025">
        <v>150.91955400000001</v>
      </c>
      <c r="T1025" s="1095">
        <v>-34.074238999999999</v>
      </c>
    </row>
    <row r="1026" spans="16:20">
      <c r="P1026" s="1094">
        <v>2173</v>
      </c>
      <c r="Q1026" t="s">
        <v>2131</v>
      </c>
      <c r="R1026" t="s">
        <v>248</v>
      </c>
      <c r="S1026">
        <v>150.91955400000001</v>
      </c>
      <c r="T1026" s="1095">
        <v>-34.074238999999999</v>
      </c>
    </row>
    <row r="1027" spans="16:20">
      <c r="P1027" s="1094">
        <v>2174</v>
      </c>
      <c r="Q1027" t="s">
        <v>2132</v>
      </c>
      <c r="R1027" t="s">
        <v>248</v>
      </c>
      <c r="S1027">
        <v>150.856709</v>
      </c>
      <c r="T1027" s="1095">
        <v>-33.977497</v>
      </c>
    </row>
    <row r="1028" spans="16:20">
      <c r="P1028" s="1094">
        <v>2174</v>
      </c>
      <c r="Q1028" t="s">
        <v>2133</v>
      </c>
      <c r="R1028" t="s">
        <v>248</v>
      </c>
      <c r="S1028">
        <v>150.856709</v>
      </c>
      <c r="T1028" s="1095">
        <v>-33.977497</v>
      </c>
    </row>
    <row r="1029" spans="16:20">
      <c r="P1029" s="1094">
        <v>2175</v>
      </c>
      <c r="Q1029" t="s">
        <v>2134</v>
      </c>
      <c r="R1029" t="s">
        <v>248</v>
      </c>
      <c r="S1029">
        <v>0</v>
      </c>
      <c r="T1029" s="1095">
        <v>0</v>
      </c>
    </row>
    <row r="1030" spans="16:20">
      <c r="P1030" s="1094">
        <v>2176</v>
      </c>
      <c r="Q1030" t="s">
        <v>2135</v>
      </c>
      <c r="R1030" t="s">
        <v>248</v>
      </c>
      <c r="S1030">
        <v>150.88525999999999</v>
      </c>
      <c r="T1030" s="1095">
        <v>-33.872014</v>
      </c>
    </row>
    <row r="1031" spans="16:20">
      <c r="P1031" s="1094">
        <v>2176</v>
      </c>
      <c r="Q1031" t="s">
        <v>2136</v>
      </c>
      <c r="R1031" t="s">
        <v>248</v>
      </c>
      <c r="S1031">
        <v>150.88525999999999</v>
      </c>
      <c r="T1031" s="1095">
        <v>-33.872014</v>
      </c>
    </row>
    <row r="1032" spans="16:20">
      <c r="P1032" s="1094">
        <v>2176</v>
      </c>
      <c r="Q1032" t="s">
        <v>2137</v>
      </c>
      <c r="R1032" t="s">
        <v>248</v>
      </c>
      <c r="S1032">
        <v>150.88525999999999</v>
      </c>
      <c r="T1032" s="1095">
        <v>-33.872014</v>
      </c>
    </row>
    <row r="1033" spans="16:20">
      <c r="P1033" s="1094">
        <v>2176</v>
      </c>
      <c r="Q1033" t="s">
        <v>2138</v>
      </c>
      <c r="R1033" t="s">
        <v>248</v>
      </c>
      <c r="S1033">
        <v>150.88525999999999</v>
      </c>
      <c r="T1033" s="1095">
        <v>-33.872014</v>
      </c>
    </row>
    <row r="1034" spans="16:20">
      <c r="P1034" s="1094">
        <v>2176</v>
      </c>
      <c r="Q1034" t="s">
        <v>2139</v>
      </c>
      <c r="R1034" t="s">
        <v>248</v>
      </c>
      <c r="S1034">
        <v>150.88525999999999</v>
      </c>
      <c r="T1034" s="1095">
        <v>-33.872014</v>
      </c>
    </row>
    <row r="1035" spans="16:20">
      <c r="P1035" s="1094">
        <v>2176</v>
      </c>
      <c r="Q1035" t="s">
        <v>2140</v>
      </c>
      <c r="R1035" t="s">
        <v>248</v>
      </c>
      <c r="S1035">
        <v>150.88525999999999</v>
      </c>
      <c r="T1035" s="1095">
        <v>-33.872014</v>
      </c>
    </row>
    <row r="1036" spans="16:20">
      <c r="P1036" s="1094">
        <v>2176</v>
      </c>
      <c r="Q1036" t="s">
        <v>2141</v>
      </c>
      <c r="R1036" t="s">
        <v>248</v>
      </c>
      <c r="S1036">
        <v>150.88525999999999</v>
      </c>
      <c r="T1036" s="1095">
        <v>-33.872014</v>
      </c>
    </row>
    <row r="1037" spans="16:20">
      <c r="P1037" s="1094">
        <v>2177</v>
      </c>
      <c r="Q1037" t="s">
        <v>2142</v>
      </c>
      <c r="R1037" t="s">
        <v>248</v>
      </c>
      <c r="S1037">
        <v>150.879379</v>
      </c>
      <c r="T1037" s="1095">
        <v>-33.895052999999997</v>
      </c>
    </row>
    <row r="1038" spans="16:20">
      <c r="P1038" s="1094">
        <v>2177</v>
      </c>
      <c r="Q1038" t="s">
        <v>2143</v>
      </c>
      <c r="R1038" t="s">
        <v>248</v>
      </c>
      <c r="S1038">
        <v>150.879379</v>
      </c>
      <c r="T1038" s="1095">
        <v>-33.895052999999997</v>
      </c>
    </row>
    <row r="1039" spans="16:20">
      <c r="P1039" s="1094">
        <v>2178</v>
      </c>
      <c r="Q1039" t="s">
        <v>2144</v>
      </c>
      <c r="R1039" t="s">
        <v>248</v>
      </c>
      <c r="S1039">
        <v>0</v>
      </c>
      <c r="T1039" s="1095">
        <v>0</v>
      </c>
    </row>
    <row r="1040" spans="16:20">
      <c r="P1040" s="1094">
        <v>2178</v>
      </c>
      <c r="Q1040" t="s">
        <v>2145</v>
      </c>
      <c r="R1040" t="s">
        <v>248</v>
      </c>
      <c r="S1040">
        <v>0</v>
      </c>
      <c r="T1040" s="1095">
        <v>0</v>
      </c>
    </row>
    <row r="1041" spans="16:20">
      <c r="P1041" s="1094">
        <v>2178</v>
      </c>
      <c r="Q1041" t="s">
        <v>2146</v>
      </c>
      <c r="R1041" t="s">
        <v>248</v>
      </c>
      <c r="S1041">
        <v>0</v>
      </c>
      <c r="T1041" s="1095">
        <v>0</v>
      </c>
    </row>
    <row r="1042" spans="16:20">
      <c r="P1042" s="1094">
        <v>2179</v>
      </c>
      <c r="Q1042" t="s">
        <v>2147</v>
      </c>
      <c r="R1042" t="s">
        <v>248</v>
      </c>
      <c r="S1042">
        <v>0</v>
      </c>
      <c r="T1042" s="1095">
        <v>0</v>
      </c>
    </row>
    <row r="1043" spans="16:20">
      <c r="P1043" s="1094">
        <v>2179</v>
      </c>
      <c r="Q1043" t="s">
        <v>2148</v>
      </c>
      <c r="R1043" t="s">
        <v>248</v>
      </c>
      <c r="S1043">
        <v>0</v>
      </c>
      <c r="T1043" s="1095">
        <v>0</v>
      </c>
    </row>
    <row r="1044" spans="16:20">
      <c r="P1044" s="1094">
        <v>2190</v>
      </c>
      <c r="Q1044" t="s">
        <v>2149</v>
      </c>
      <c r="R1044" t="s">
        <v>248</v>
      </c>
      <c r="S1044">
        <v>151.05385799999999</v>
      </c>
      <c r="T1044" s="1095">
        <v>-33.901924999999999</v>
      </c>
    </row>
    <row r="1045" spans="16:20">
      <c r="P1045" s="1094">
        <v>2190</v>
      </c>
      <c r="Q1045" t="s">
        <v>2150</v>
      </c>
      <c r="R1045" t="s">
        <v>248</v>
      </c>
      <c r="S1045">
        <v>151.05385799999999</v>
      </c>
      <c r="T1045" s="1095">
        <v>-33.901924999999999</v>
      </c>
    </row>
    <row r="1046" spans="16:20">
      <c r="P1046" s="1094">
        <v>2190</v>
      </c>
      <c r="Q1046" t="s">
        <v>2151</v>
      </c>
      <c r="R1046" t="s">
        <v>248</v>
      </c>
      <c r="S1046">
        <v>151.05385799999999</v>
      </c>
      <c r="T1046" s="1095">
        <v>-33.901924999999999</v>
      </c>
    </row>
    <row r="1047" spans="16:20">
      <c r="P1047" s="1094">
        <v>2191</v>
      </c>
      <c r="Q1047" t="s">
        <v>2152</v>
      </c>
      <c r="R1047" t="s">
        <v>248</v>
      </c>
      <c r="S1047">
        <v>151.08551299999999</v>
      </c>
      <c r="T1047" s="1095">
        <v>-33.906802999999996</v>
      </c>
    </row>
    <row r="1048" spans="16:20">
      <c r="P1048" s="1094">
        <v>2192</v>
      </c>
      <c r="Q1048" t="s">
        <v>2153</v>
      </c>
      <c r="R1048" t="s">
        <v>248</v>
      </c>
      <c r="S1048">
        <v>151.089663</v>
      </c>
      <c r="T1048" s="1095">
        <v>-33.921017999999997</v>
      </c>
    </row>
    <row r="1049" spans="16:20">
      <c r="P1049" s="1094">
        <v>2193</v>
      </c>
      <c r="Q1049" t="s">
        <v>2154</v>
      </c>
      <c r="R1049" t="s">
        <v>248</v>
      </c>
      <c r="S1049">
        <v>151.12085999999999</v>
      </c>
      <c r="T1049" s="1095">
        <v>-33.910308000000001</v>
      </c>
    </row>
    <row r="1050" spans="16:20">
      <c r="P1050" s="1094">
        <v>2193</v>
      </c>
      <c r="Q1050" t="s">
        <v>2155</v>
      </c>
      <c r="R1050" t="s">
        <v>248</v>
      </c>
      <c r="S1050">
        <v>151.12085999999999</v>
      </c>
      <c r="T1050" s="1095">
        <v>-33.910308000000001</v>
      </c>
    </row>
    <row r="1051" spans="16:20">
      <c r="P1051" s="1094">
        <v>2193</v>
      </c>
      <c r="Q1051" t="s">
        <v>2156</v>
      </c>
      <c r="R1051" t="s">
        <v>248</v>
      </c>
      <c r="S1051">
        <v>151.12085999999999</v>
      </c>
      <c r="T1051" s="1095">
        <v>-33.910308000000001</v>
      </c>
    </row>
    <row r="1052" spans="16:20">
      <c r="P1052" s="1094">
        <v>2194</v>
      </c>
      <c r="Q1052" t="s">
        <v>2157</v>
      </c>
      <c r="R1052" t="s">
        <v>248</v>
      </c>
      <c r="S1052">
        <v>151.101777</v>
      </c>
      <c r="T1052" s="1095">
        <v>-33.917600999999998</v>
      </c>
    </row>
    <row r="1053" spans="16:20">
      <c r="P1053" s="1094">
        <v>2195</v>
      </c>
      <c r="Q1053" t="s">
        <v>2158</v>
      </c>
      <c r="R1053" t="s">
        <v>248</v>
      </c>
      <c r="S1053">
        <v>151.07693900000001</v>
      </c>
      <c r="T1053" s="1095">
        <v>-33.924525000000003</v>
      </c>
    </row>
    <row r="1054" spans="16:20">
      <c r="P1054" s="1094">
        <v>2195</v>
      </c>
      <c r="Q1054" t="s">
        <v>2159</v>
      </c>
      <c r="R1054" t="s">
        <v>248</v>
      </c>
      <c r="S1054">
        <v>151.07693900000001</v>
      </c>
      <c r="T1054" s="1095">
        <v>-33.924525000000003</v>
      </c>
    </row>
    <row r="1055" spans="16:20">
      <c r="P1055" s="1094">
        <v>2196</v>
      </c>
      <c r="Q1055" t="s">
        <v>2160</v>
      </c>
      <c r="R1055" t="s">
        <v>248</v>
      </c>
      <c r="S1055">
        <v>151.05779899999999</v>
      </c>
      <c r="T1055" s="1095">
        <v>-33.930089000000002</v>
      </c>
    </row>
    <row r="1056" spans="16:20">
      <c r="P1056" s="1094">
        <v>2196</v>
      </c>
      <c r="Q1056" t="s">
        <v>2161</v>
      </c>
      <c r="R1056" t="s">
        <v>248</v>
      </c>
      <c r="S1056">
        <v>151.05779899999999</v>
      </c>
      <c r="T1056" s="1095">
        <v>-33.930089000000002</v>
      </c>
    </row>
    <row r="1057" spans="16:20">
      <c r="P1057" s="1094">
        <v>2197</v>
      </c>
      <c r="Q1057" t="s">
        <v>2162</v>
      </c>
      <c r="R1057" t="s">
        <v>248</v>
      </c>
      <c r="S1057">
        <v>150.998155</v>
      </c>
      <c r="T1057" s="1095">
        <v>-33.901198000000001</v>
      </c>
    </row>
    <row r="1058" spans="16:20">
      <c r="P1058" s="1094">
        <v>2198</v>
      </c>
      <c r="Q1058" t="s">
        <v>2163</v>
      </c>
      <c r="R1058" t="s">
        <v>248</v>
      </c>
      <c r="S1058">
        <v>150.986277</v>
      </c>
      <c r="T1058" s="1095">
        <v>-33.908788000000001</v>
      </c>
    </row>
    <row r="1059" spans="16:20">
      <c r="P1059" s="1094">
        <v>2199</v>
      </c>
      <c r="Q1059" t="s">
        <v>2164</v>
      </c>
      <c r="R1059" t="s">
        <v>248</v>
      </c>
      <c r="S1059">
        <v>151.02317099999999</v>
      </c>
      <c r="T1059" s="1095">
        <v>-33.905586</v>
      </c>
    </row>
    <row r="1060" spans="16:20">
      <c r="P1060" s="1094">
        <v>2199</v>
      </c>
      <c r="Q1060" t="s">
        <v>2165</v>
      </c>
      <c r="R1060" t="s">
        <v>248</v>
      </c>
      <c r="S1060">
        <v>151.02317099999999</v>
      </c>
      <c r="T1060" s="1095">
        <v>-33.905586</v>
      </c>
    </row>
    <row r="1061" spans="16:20">
      <c r="P1061" s="1094">
        <v>2200</v>
      </c>
      <c r="Q1061" t="s">
        <v>1719</v>
      </c>
      <c r="R1061" t="s">
        <v>248</v>
      </c>
      <c r="S1061">
        <v>151.014937</v>
      </c>
      <c r="T1061" s="1095">
        <v>-33.926558999999997</v>
      </c>
    </row>
    <row r="1062" spans="16:20">
      <c r="P1062" s="1094">
        <v>2200</v>
      </c>
      <c r="Q1062" t="s">
        <v>2166</v>
      </c>
      <c r="R1062" t="s">
        <v>248</v>
      </c>
      <c r="S1062">
        <v>151.014937</v>
      </c>
      <c r="T1062" s="1095">
        <v>-33.926558999999997</v>
      </c>
    </row>
    <row r="1063" spans="16:20">
      <c r="P1063" s="1094">
        <v>2200</v>
      </c>
      <c r="Q1063" t="s">
        <v>2167</v>
      </c>
      <c r="R1063" t="s">
        <v>248</v>
      </c>
      <c r="S1063">
        <v>151.014937</v>
      </c>
      <c r="T1063" s="1095">
        <v>-33.926558999999997</v>
      </c>
    </row>
    <row r="1064" spans="16:20">
      <c r="P1064" s="1094">
        <v>2200</v>
      </c>
      <c r="Q1064" t="s">
        <v>2168</v>
      </c>
      <c r="R1064" t="s">
        <v>248</v>
      </c>
      <c r="S1064">
        <v>151.014937</v>
      </c>
      <c r="T1064" s="1095">
        <v>-33.926558999999997</v>
      </c>
    </row>
    <row r="1065" spans="16:20">
      <c r="P1065" s="1094">
        <v>2200</v>
      </c>
      <c r="Q1065" t="s">
        <v>2169</v>
      </c>
      <c r="R1065" t="s">
        <v>248</v>
      </c>
      <c r="S1065">
        <v>151.014937</v>
      </c>
      <c r="T1065" s="1095">
        <v>-33.926558999999997</v>
      </c>
    </row>
    <row r="1066" spans="16:20">
      <c r="P1066" s="1094">
        <v>2200</v>
      </c>
      <c r="Q1066" t="s">
        <v>2170</v>
      </c>
      <c r="R1066" t="s">
        <v>248</v>
      </c>
      <c r="S1066">
        <v>151.014937</v>
      </c>
      <c r="T1066" s="1095">
        <v>-33.926558999999997</v>
      </c>
    </row>
    <row r="1067" spans="16:20">
      <c r="P1067" s="1094">
        <v>2200</v>
      </c>
      <c r="Q1067" t="s">
        <v>2151</v>
      </c>
      <c r="R1067" t="s">
        <v>248</v>
      </c>
      <c r="S1067">
        <v>151.014937</v>
      </c>
      <c r="T1067" s="1095">
        <v>-33.926558999999997</v>
      </c>
    </row>
    <row r="1068" spans="16:20">
      <c r="P1068" s="1094">
        <v>2203</v>
      </c>
      <c r="Q1068" t="s">
        <v>2171</v>
      </c>
      <c r="R1068" t="s">
        <v>248</v>
      </c>
      <c r="S1068">
        <v>151.13899900000001</v>
      </c>
      <c r="T1068" s="1095">
        <v>-33.904409999999999</v>
      </c>
    </row>
    <row r="1069" spans="16:20">
      <c r="P1069" s="1094">
        <v>2204</v>
      </c>
      <c r="Q1069" t="s">
        <v>1668</v>
      </c>
      <c r="R1069" t="s">
        <v>248</v>
      </c>
      <c r="S1069">
        <v>151.155539</v>
      </c>
      <c r="T1069" s="1095">
        <v>-33.912287999999997</v>
      </c>
    </row>
    <row r="1070" spans="16:20">
      <c r="P1070" s="1094">
        <v>2204</v>
      </c>
      <c r="Q1070" t="s">
        <v>2172</v>
      </c>
      <c r="R1070" t="s">
        <v>248</v>
      </c>
      <c r="S1070">
        <v>151.155539</v>
      </c>
      <c r="T1070" s="1095">
        <v>-33.912287999999997</v>
      </c>
    </row>
    <row r="1071" spans="16:20">
      <c r="P1071" s="1094">
        <v>2204</v>
      </c>
      <c r="Q1071" t="s">
        <v>2173</v>
      </c>
      <c r="R1071" t="s">
        <v>248</v>
      </c>
      <c r="S1071">
        <v>151.155539</v>
      </c>
      <c r="T1071" s="1095">
        <v>-33.912287999999997</v>
      </c>
    </row>
    <row r="1072" spans="16:20">
      <c r="P1072" s="1094">
        <v>2205</v>
      </c>
      <c r="Q1072" t="s">
        <v>2174</v>
      </c>
      <c r="R1072" t="s">
        <v>248</v>
      </c>
      <c r="S1072">
        <v>151.14795599999999</v>
      </c>
      <c r="T1072" s="1095">
        <v>-33.937550999999999</v>
      </c>
    </row>
    <row r="1073" spans="16:20">
      <c r="P1073" s="1094">
        <v>2205</v>
      </c>
      <c r="Q1073" t="s">
        <v>2175</v>
      </c>
      <c r="R1073" t="s">
        <v>248</v>
      </c>
      <c r="S1073">
        <v>151.14795599999999</v>
      </c>
      <c r="T1073" s="1095">
        <v>-33.937550999999999</v>
      </c>
    </row>
    <row r="1074" spans="16:20">
      <c r="P1074" s="1094">
        <v>2205</v>
      </c>
      <c r="Q1074" t="s">
        <v>2176</v>
      </c>
      <c r="R1074" t="s">
        <v>248</v>
      </c>
      <c r="S1074">
        <v>151.14795599999999</v>
      </c>
      <c r="T1074" s="1095">
        <v>-33.937550999999999</v>
      </c>
    </row>
    <row r="1075" spans="16:20">
      <c r="P1075" s="1094">
        <v>2206</v>
      </c>
      <c r="Q1075" t="s">
        <v>2177</v>
      </c>
      <c r="R1075" t="s">
        <v>248</v>
      </c>
      <c r="S1075">
        <v>151.12288100000001</v>
      </c>
      <c r="T1075" s="1095">
        <v>-33.926056000000003</v>
      </c>
    </row>
    <row r="1076" spans="16:20">
      <c r="P1076" s="1094">
        <v>2206</v>
      </c>
      <c r="Q1076" t="s">
        <v>2178</v>
      </c>
      <c r="R1076" t="s">
        <v>248</v>
      </c>
      <c r="S1076">
        <v>151.12288100000001</v>
      </c>
      <c r="T1076" s="1095">
        <v>-33.926056000000003</v>
      </c>
    </row>
    <row r="1077" spans="16:20">
      <c r="P1077" s="1094">
        <v>2206</v>
      </c>
      <c r="Q1077" t="s">
        <v>2179</v>
      </c>
      <c r="R1077" t="s">
        <v>248</v>
      </c>
      <c r="S1077">
        <v>151.12288100000001</v>
      </c>
      <c r="T1077" s="1095">
        <v>-33.926056000000003</v>
      </c>
    </row>
    <row r="1078" spans="16:20">
      <c r="P1078" s="1094">
        <v>2207</v>
      </c>
      <c r="Q1078" t="s">
        <v>2180</v>
      </c>
      <c r="R1078" t="s">
        <v>248</v>
      </c>
      <c r="S1078">
        <v>151.119517</v>
      </c>
      <c r="T1078" s="1095">
        <v>-33.948743999999998</v>
      </c>
    </row>
    <row r="1079" spans="16:20">
      <c r="P1079" s="1094">
        <v>2207</v>
      </c>
      <c r="Q1079" t="s">
        <v>2181</v>
      </c>
      <c r="R1079" t="s">
        <v>248</v>
      </c>
      <c r="S1079">
        <v>151.119517</v>
      </c>
      <c r="T1079" s="1095">
        <v>-33.948743999999998</v>
      </c>
    </row>
    <row r="1080" spans="16:20">
      <c r="P1080" s="1094">
        <v>2207</v>
      </c>
      <c r="Q1080" t="s">
        <v>2182</v>
      </c>
      <c r="R1080" t="s">
        <v>248</v>
      </c>
      <c r="S1080">
        <v>151.119517</v>
      </c>
      <c r="T1080" s="1095">
        <v>-33.948743999999998</v>
      </c>
    </row>
    <row r="1081" spans="16:20">
      <c r="P1081" s="1094">
        <v>2207</v>
      </c>
      <c r="Q1081" t="s">
        <v>2183</v>
      </c>
      <c r="R1081" t="s">
        <v>248</v>
      </c>
      <c r="S1081">
        <v>151.119517</v>
      </c>
      <c r="T1081" s="1095">
        <v>-33.948743999999998</v>
      </c>
    </row>
    <row r="1082" spans="16:20">
      <c r="P1082" s="1094">
        <v>2207</v>
      </c>
      <c r="Q1082" t="s">
        <v>2184</v>
      </c>
      <c r="R1082" t="s">
        <v>248</v>
      </c>
      <c r="S1082">
        <v>151.119517</v>
      </c>
      <c r="T1082" s="1095">
        <v>-33.948743999999998</v>
      </c>
    </row>
    <row r="1083" spans="16:20">
      <c r="P1083" s="1094">
        <v>2208</v>
      </c>
      <c r="Q1083" t="s">
        <v>1669</v>
      </c>
      <c r="R1083" t="s">
        <v>248</v>
      </c>
      <c r="S1083">
        <v>151.09800200000001</v>
      </c>
      <c r="T1083" s="1095">
        <v>-33.942632000000003</v>
      </c>
    </row>
    <row r="1084" spans="16:20">
      <c r="P1084" s="1094">
        <v>2208</v>
      </c>
      <c r="Q1084" t="s">
        <v>2185</v>
      </c>
      <c r="R1084" t="s">
        <v>248</v>
      </c>
      <c r="S1084">
        <v>151.09800200000001</v>
      </c>
      <c r="T1084" s="1095">
        <v>-33.942632000000003</v>
      </c>
    </row>
    <row r="1085" spans="16:20">
      <c r="P1085" s="1094">
        <v>2209</v>
      </c>
      <c r="Q1085" t="s">
        <v>2186</v>
      </c>
      <c r="R1085" t="s">
        <v>248</v>
      </c>
      <c r="S1085">
        <v>151.07530399999999</v>
      </c>
      <c r="T1085" s="1095">
        <v>-33.949129999999997</v>
      </c>
    </row>
    <row r="1086" spans="16:20">
      <c r="P1086" s="1094">
        <v>2209</v>
      </c>
      <c r="Q1086" t="s">
        <v>2187</v>
      </c>
      <c r="R1086" t="s">
        <v>248</v>
      </c>
      <c r="S1086">
        <v>151.07530399999999</v>
      </c>
      <c r="T1086" s="1095">
        <v>-33.949129999999997</v>
      </c>
    </row>
    <row r="1087" spans="16:20">
      <c r="P1087" s="1094">
        <v>221</v>
      </c>
      <c r="Q1087" t="s">
        <v>1346</v>
      </c>
      <c r="R1087" t="s">
        <v>617</v>
      </c>
      <c r="S1087">
        <v>149.09506500000001</v>
      </c>
      <c r="T1087" s="1095">
        <v>-35.201371999999999</v>
      </c>
    </row>
    <row r="1088" spans="16:20">
      <c r="P1088" s="1094">
        <v>2210</v>
      </c>
      <c r="Q1088" t="s">
        <v>2188</v>
      </c>
      <c r="R1088" t="s">
        <v>248</v>
      </c>
      <c r="S1088">
        <v>151.052257</v>
      </c>
      <c r="T1088" s="1095">
        <v>-33.957725000000003</v>
      </c>
    </row>
    <row r="1089" spans="16:20">
      <c r="P1089" s="1094">
        <v>2210</v>
      </c>
      <c r="Q1089" t="s">
        <v>2189</v>
      </c>
      <c r="R1089" t="s">
        <v>248</v>
      </c>
      <c r="S1089">
        <v>151.052257</v>
      </c>
      <c r="T1089" s="1095">
        <v>-33.957725000000003</v>
      </c>
    </row>
    <row r="1090" spans="16:20">
      <c r="P1090" s="1094">
        <v>2210</v>
      </c>
      <c r="Q1090" t="s">
        <v>2190</v>
      </c>
      <c r="R1090" t="s">
        <v>248</v>
      </c>
      <c r="S1090">
        <v>151.052257</v>
      </c>
      <c r="T1090" s="1095">
        <v>-33.957725000000003</v>
      </c>
    </row>
    <row r="1091" spans="16:20">
      <c r="P1091" s="1094">
        <v>2210</v>
      </c>
      <c r="Q1091" t="s">
        <v>2191</v>
      </c>
      <c r="R1091" t="s">
        <v>248</v>
      </c>
      <c r="S1091">
        <v>151.052257</v>
      </c>
      <c r="T1091" s="1095">
        <v>-33.957725000000003</v>
      </c>
    </row>
    <row r="1092" spans="16:20">
      <c r="P1092" s="1094">
        <v>2211</v>
      </c>
      <c r="Q1092" t="s">
        <v>2192</v>
      </c>
      <c r="R1092" t="s">
        <v>248</v>
      </c>
      <c r="S1092">
        <v>151.03220999999999</v>
      </c>
      <c r="T1092" s="1095">
        <v>-33.961365999999998</v>
      </c>
    </row>
    <row r="1093" spans="16:20">
      <c r="P1093" s="1094">
        <v>2211</v>
      </c>
      <c r="Q1093" t="s">
        <v>2193</v>
      </c>
      <c r="R1093" t="s">
        <v>248</v>
      </c>
      <c r="S1093">
        <v>151.03220999999999</v>
      </c>
      <c r="T1093" s="1095">
        <v>-33.961365999999998</v>
      </c>
    </row>
    <row r="1094" spans="16:20">
      <c r="P1094" s="1094">
        <v>2212</v>
      </c>
      <c r="Q1094" t="s">
        <v>2194</v>
      </c>
      <c r="R1094" t="s">
        <v>248</v>
      </c>
      <c r="S1094">
        <v>151.01454699999999</v>
      </c>
      <c r="T1094" s="1095">
        <v>-33.947285999999998</v>
      </c>
    </row>
    <row r="1095" spans="16:20">
      <c r="P1095" s="1094">
        <v>2212</v>
      </c>
      <c r="Q1095" t="s">
        <v>2195</v>
      </c>
      <c r="R1095" t="s">
        <v>248</v>
      </c>
      <c r="S1095">
        <v>151.01454699999999</v>
      </c>
      <c r="T1095" s="1095">
        <v>-33.947285999999998</v>
      </c>
    </row>
    <row r="1096" spans="16:20">
      <c r="P1096" s="1094">
        <v>2212</v>
      </c>
      <c r="Q1096" t="s">
        <v>2196</v>
      </c>
      <c r="R1096" t="s">
        <v>248</v>
      </c>
      <c r="S1096">
        <v>151.01454699999999</v>
      </c>
      <c r="T1096" s="1095">
        <v>-33.947285999999998</v>
      </c>
    </row>
    <row r="1097" spans="16:20">
      <c r="P1097" s="1094">
        <v>2213</v>
      </c>
      <c r="Q1097" t="s">
        <v>2197</v>
      </c>
      <c r="R1097" t="s">
        <v>248</v>
      </c>
      <c r="S1097">
        <v>150.99783600000001</v>
      </c>
      <c r="T1097" s="1095">
        <v>-33.964101999999997</v>
      </c>
    </row>
    <row r="1098" spans="16:20">
      <c r="P1098" s="1094">
        <v>2213</v>
      </c>
      <c r="Q1098" t="s">
        <v>2198</v>
      </c>
      <c r="R1098" t="s">
        <v>248</v>
      </c>
      <c r="S1098">
        <v>150.99783600000001</v>
      </c>
      <c r="T1098" s="1095">
        <v>-33.964101999999997</v>
      </c>
    </row>
    <row r="1099" spans="16:20">
      <c r="P1099" s="1094">
        <v>2213</v>
      </c>
      <c r="Q1099" t="s">
        <v>2199</v>
      </c>
      <c r="R1099" t="s">
        <v>248</v>
      </c>
      <c r="S1099">
        <v>150.99783600000001</v>
      </c>
      <c r="T1099" s="1095">
        <v>-33.964101999999997</v>
      </c>
    </row>
    <row r="1100" spans="16:20">
      <c r="P1100" s="1094">
        <v>2214</v>
      </c>
      <c r="Q1100" t="s">
        <v>1721</v>
      </c>
      <c r="R1100" t="s">
        <v>248</v>
      </c>
      <c r="S1100">
        <v>150.98159200000001</v>
      </c>
      <c r="T1100" s="1095">
        <v>-33.941443</v>
      </c>
    </row>
    <row r="1101" spans="16:20">
      <c r="P1101" s="1094">
        <v>2216</v>
      </c>
      <c r="Q1101" t="s">
        <v>2200</v>
      </c>
      <c r="R1101" t="s">
        <v>248</v>
      </c>
      <c r="S1101">
        <v>151.14820399999999</v>
      </c>
      <c r="T1101" s="1095">
        <v>-33.955393000000001</v>
      </c>
    </row>
    <row r="1102" spans="16:20">
      <c r="P1102" s="1094">
        <v>2216</v>
      </c>
      <c r="Q1102" t="s">
        <v>2201</v>
      </c>
      <c r="R1102" t="s">
        <v>248</v>
      </c>
      <c r="S1102">
        <v>151.14820399999999</v>
      </c>
      <c r="T1102" s="1095">
        <v>-33.955393000000001</v>
      </c>
    </row>
    <row r="1103" spans="16:20">
      <c r="P1103" s="1094">
        <v>2216</v>
      </c>
      <c r="Q1103" t="s">
        <v>2202</v>
      </c>
      <c r="R1103" t="s">
        <v>248</v>
      </c>
      <c r="S1103">
        <v>151.14820399999999</v>
      </c>
      <c r="T1103" s="1095">
        <v>-33.955393000000001</v>
      </c>
    </row>
    <row r="1104" spans="16:20">
      <c r="P1104" s="1094">
        <v>2216</v>
      </c>
      <c r="Q1104" t="s">
        <v>2203</v>
      </c>
      <c r="R1104" t="s">
        <v>248</v>
      </c>
      <c r="S1104">
        <v>151.14820399999999</v>
      </c>
      <c r="T1104" s="1095">
        <v>-33.955393000000001</v>
      </c>
    </row>
    <row r="1105" spans="16:20">
      <c r="P1105" s="1094">
        <v>2217</v>
      </c>
      <c r="Q1105" t="s">
        <v>2204</v>
      </c>
      <c r="R1105" t="s">
        <v>248</v>
      </c>
      <c r="S1105">
        <v>151.140345</v>
      </c>
      <c r="T1105" s="1095">
        <v>-33.974353999999998</v>
      </c>
    </row>
    <row r="1106" spans="16:20">
      <c r="P1106" s="1094">
        <v>2217</v>
      </c>
      <c r="Q1106" t="s">
        <v>1672</v>
      </c>
      <c r="R1106" t="s">
        <v>248</v>
      </c>
      <c r="S1106">
        <v>151.140345</v>
      </c>
      <c r="T1106" s="1095">
        <v>-33.974353999999998</v>
      </c>
    </row>
    <row r="1107" spans="16:20">
      <c r="P1107" s="1094">
        <v>2217</v>
      </c>
      <c r="Q1107" t="s">
        <v>2205</v>
      </c>
      <c r="R1107" t="s">
        <v>248</v>
      </c>
      <c r="S1107">
        <v>151.140345</v>
      </c>
      <c r="T1107" s="1095">
        <v>-33.974353999999998</v>
      </c>
    </row>
    <row r="1108" spans="16:20">
      <c r="P1108" s="1094">
        <v>2217</v>
      </c>
      <c r="Q1108" t="s">
        <v>2206</v>
      </c>
      <c r="R1108" t="s">
        <v>248</v>
      </c>
      <c r="S1108">
        <v>151.140345</v>
      </c>
      <c r="T1108" s="1095">
        <v>-33.974353999999998</v>
      </c>
    </row>
    <row r="1109" spans="16:20">
      <c r="P1109" s="1094">
        <v>2217</v>
      </c>
      <c r="Q1109" t="s">
        <v>2207</v>
      </c>
      <c r="R1109" t="s">
        <v>248</v>
      </c>
      <c r="S1109">
        <v>151.140345</v>
      </c>
      <c r="T1109" s="1095">
        <v>-33.974353999999998</v>
      </c>
    </row>
    <row r="1110" spans="16:20">
      <c r="P1110" s="1094">
        <v>2217</v>
      </c>
      <c r="Q1110" t="s">
        <v>2208</v>
      </c>
      <c r="R1110" t="s">
        <v>248</v>
      </c>
      <c r="S1110">
        <v>151.140345</v>
      </c>
      <c r="T1110" s="1095">
        <v>-33.974353999999998</v>
      </c>
    </row>
    <row r="1111" spans="16:20">
      <c r="P1111" s="1094">
        <v>2218</v>
      </c>
      <c r="Q1111" t="s">
        <v>2209</v>
      </c>
      <c r="R1111" t="s">
        <v>248</v>
      </c>
      <c r="S1111">
        <v>151.11745300000001</v>
      </c>
      <c r="T1111" s="1095">
        <v>-33.973160999999998</v>
      </c>
    </row>
    <row r="1112" spans="16:20">
      <c r="P1112" s="1094">
        <v>2218</v>
      </c>
      <c r="Q1112" t="s">
        <v>2210</v>
      </c>
      <c r="R1112" t="s">
        <v>248</v>
      </c>
      <c r="S1112">
        <v>151.11745300000001</v>
      </c>
      <c r="T1112" s="1095">
        <v>-33.973160999999998</v>
      </c>
    </row>
    <row r="1113" spans="16:20">
      <c r="P1113" s="1094">
        <v>2219</v>
      </c>
      <c r="Q1113" t="s">
        <v>2211</v>
      </c>
      <c r="R1113" t="s">
        <v>248</v>
      </c>
      <c r="S1113">
        <v>151.13249500000001</v>
      </c>
      <c r="T1113" s="1095">
        <v>-33.996586999999998</v>
      </c>
    </row>
    <row r="1114" spans="16:20">
      <c r="P1114" s="1094">
        <v>2219</v>
      </c>
      <c r="Q1114" t="s">
        <v>2212</v>
      </c>
      <c r="R1114" t="s">
        <v>248</v>
      </c>
      <c r="S1114">
        <v>151.13249500000001</v>
      </c>
      <c r="T1114" s="1095">
        <v>-33.996586999999998</v>
      </c>
    </row>
    <row r="1115" spans="16:20">
      <c r="P1115" s="1094">
        <v>2219</v>
      </c>
      <c r="Q1115" t="s">
        <v>2213</v>
      </c>
      <c r="R1115" t="s">
        <v>248</v>
      </c>
      <c r="S1115">
        <v>151.13249500000001</v>
      </c>
      <c r="T1115" s="1095">
        <v>-33.996586999999998</v>
      </c>
    </row>
    <row r="1116" spans="16:20">
      <c r="P1116" s="1094">
        <v>2220</v>
      </c>
      <c r="Q1116" t="s">
        <v>1674</v>
      </c>
      <c r="R1116" t="s">
        <v>248</v>
      </c>
      <c r="S1116">
        <v>151.101764</v>
      </c>
      <c r="T1116" s="1095">
        <v>-33.966692000000002</v>
      </c>
    </row>
    <row r="1117" spans="16:20">
      <c r="P1117" s="1094">
        <v>2220</v>
      </c>
      <c r="Q1117" t="s">
        <v>2214</v>
      </c>
      <c r="R1117" t="s">
        <v>248</v>
      </c>
      <c r="S1117">
        <v>151.101764</v>
      </c>
      <c r="T1117" s="1095">
        <v>-33.966692000000002</v>
      </c>
    </row>
    <row r="1118" spans="16:20">
      <c r="P1118" s="1094">
        <v>2220</v>
      </c>
      <c r="Q1118" t="s">
        <v>2215</v>
      </c>
      <c r="R1118" t="s">
        <v>248</v>
      </c>
      <c r="S1118">
        <v>151.101764</v>
      </c>
      <c r="T1118" s="1095">
        <v>-33.966692000000002</v>
      </c>
    </row>
    <row r="1119" spans="16:20">
      <c r="P1119" s="1094">
        <v>2221</v>
      </c>
      <c r="Q1119" t="s">
        <v>2216</v>
      </c>
      <c r="R1119" t="s">
        <v>248</v>
      </c>
      <c r="S1119">
        <v>151.10598999999999</v>
      </c>
      <c r="T1119" s="1095">
        <v>-33.992159000000001</v>
      </c>
    </row>
    <row r="1120" spans="16:20">
      <c r="P1120" s="1094">
        <v>2221</v>
      </c>
      <c r="Q1120" t="s">
        <v>2217</v>
      </c>
      <c r="R1120" t="s">
        <v>248</v>
      </c>
      <c r="S1120">
        <v>151.10598999999999</v>
      </c>
      <c r="T1120" s="1095">
        <v>-33.992159000000001</v>
      </c>
    </row>
    <row r="1121" spans="16:20">
      <c r="P1121" s="1094">
        <v>2221</v>
      </c>
      <c r="Q1121" t="s">
        <v>2218</v>
      </c>
      <c r="R1121" t="s">
        <v>248</v>
      </c>
      <c r="S1121">
        <v>151.10598999999999</v>
      </c>
      <c r="T1121" s="1095">
        <v>-33.992159000000001</v>
      </c>
    </row>
    <row r="1122" spans="16:20">
      <c r="P1122" s="1094">
        <v>2221</v>
      </c>
      <c r="Q1122" t="s">
        <v>2219</v>
      </c>
      <c r="R1122" t="s">
        <v>248</v>
      </c>
      <c r="S1122">
        <v>151.10598999999999</v>
      </c>
      <c r="T1122" s="1095">
        <v>-33.992159000000001</v>
      </c>
    </row>
    <row r="1123" spans="16:20">
      <c r="P1123" s="1094">
        <v>2221</v>
      </c>
      <c r="Q1123" t="s">
        <v>2220</v>
      </c>
      <c r="R1123" t="s">
        <v>248</v>
      </c>
      <c r="S1123">
        <v>151.10598999999999</v>
      </c>
      <c r="T1123" s="1095">
        <v>-33.992159000000001</v>
      </c>
    </row>
    <row r="1124" spans="16:20">
      <c r="P1124" s="1094">
        <v>2222</v>
      </c>
      <c r="Q1124" t="s">
        <v>2221</v>
      </c>
      <c r="R1124" t="s">
        <v>248</v>
      </c>
      <c r="S1124">
        <v>151.08477400000001</v>
      </c>
      <c r="T1124" s="1095">
        <v>-33.964713000000003</v>
      </c>
    </row>
    <row r="1125" spans="16:20">
      <c r="P1125" s="1094">
        <v>2223</v>
      </c>
      <c r="Q1125" t="s">
        <v>2222</v>
      </c>
      <c r="R1125" t="s">
        <v>248</v>
      </c>
      <c r="S1125">
        <v>151.07183699999999</v>
      </c>
      <c r="T1125" s="1095">
        <v>-33.980263999999998</v>
      </c>
    </row>
    <row r="1126" spans="16:20">
      <c r="P1126" s="1094">
        <v>2223</v>
      </c>
      <c r="Q1126" t="s">
        <v>2223</v>
      </c>
      <c r="R1126" t="s">
        <v>248</v>
      </c>
      <c r="S1126">
        <v>151.07183699999999</v>
      </c>
      <c r="T1126" s="1095">
        <v>-33.980263999999998</v>
      </c>
    </row>
    <row r="1127" spans="16:20">
      <c r="P1127" s="1094">
        <v>2224</v>
      </c>
      <c r="Q1127" t="s">
        <v>2224</v>
      </c>
      <c r="R1127" t="s">
        <v>248</v>
      </c>
      <c r="S1127">
        <v>151.10189099999999</v>
      </c>
      <c r="T1127" s="1095">
        <v>-34.013620000000003</v>
      </c>
    </row>
    <row r="1128" spans="16:20">
      <c r="P1128" s="1094">
        <v>2224</v>
      </c>
      <c r="Q1128" t="s">
        <v>2225</v>
      </c>
      <c r="R1128" t="s">
        <v>248</v>
      </c>
      <c r="S1128">
        <v>151.10189099999999</v>
      </c>
      <c r="T1128" s="1095">
        <v>-34.013620000000003</v>
      </c>
    </row>
    <row r="1129" spans="16:20">
      <c r="P1129" s="1094">
        <v>2224</v>
      </c>
      <c r="Q1129" t="s">
        <v>2226</v>
      </c>
      <c r="R1129" t="s">
        <v>248</v>
      </c>
      <c r="S1129">
        <v>151.10189099999999</v>
      </c>
      <c r="T1129" s="1095">
        <v>-34.013620000000003</v>
      </c>
    </row>
    <row r="1130" spans="16:20">
      <c r="P1130" s="1094">
        <v>2224</v>
      </c>
      <c r="Q1130" t="s">
        <v>2227</v>
      </c>
      <c r="R1130" t="s">
        <v>248</v>
      </c>
      <c r="S1130">
        <v>151.10189099999999</v>
      </c>
      <c r="T1130" s="1095">
        <v>-34.013620000000003</v>
      </c>
    </row>
    <row r="1131" spans="16:20">
      <c r="P1131" s="1094">
        <v>2225</v>
      </c>
      <c r="Q1131" t="s">
        <v>2228</v>
      </c>
      <c r="R1131" t="s">
        <v>248</v>
      </c>
      <c r="S1131">
        <v>0</v>
      </c>
      <c r="T1131" s="1095">
        <v>0</v>
      </c>
    </row>
    <row r="1132" spans="16:20">
      <c r="P1132" s="1094">
        <v>2225</v>
      </c>
      <c r="Q1132" t="s">
        <v>2229</v>
      </c>
      <c r="R1132" t="s">
        <v>248</v>
      </c>
      <c r="S1132">
        <v>0</v>
      </c>
      <c r="T1132" s="1095">
        <v>0</v>
      </c>
    </row>
    <row r="1133" spans="16:20">
      <c r="P1133" s="1094">
        <v>2226</v>
      </c>
      <c r="Q1133" t="s">
        <v>2230</v>
      </c>
      <c r="R1133" t="s">
        <v>248</v>
      </c>
      <c r="S1133">
        <v>151.06380799999999</v>
      </c>
      <c r="T1133" s="1095">
        <v>-34.009345000000003</v>
      </c>
    </row>
    <row r="1134" spans="16:20">
      <c r="P1134" s="1094">
        <v>2226</v>
      </c>
      <c r="Q1134" t="s">
        <v>2231</v>
      </c>
      <c r="R1134" t="s">
        <v>248</v>
      </c>
      <c r="S1134">
        <v>151.06380799999999</v>
      </c>
      <c r="T1134" s="1095">
        <v>-34.009345000000003</v>
      </c>
    </row>
    <row r="1135" spans="16:20">
      <c r="P1135" s="1094">
        <v>2226</v>
      </c>
      <c r="Q1135" t="s">
        <v>2232</v>
      </c>
      <c r="R1135" t="s">
        <v>248</v>
      </c>
      <c r="S1135">
        <v>151.06380799999999</v>
      </c>
      <c r="T1135" s="1095">
        <v>-34.009345000000003</v>
      </c>
    </row>
    <row r="1136" spans="16:20">
      <c r="P1136" s="1094">
        <v>2227</v>
      </c>
      <c r="Q1136" t="s">
        <v>2233</v>
      </c>
      <c r="R1136" t="s">
        <v>248</v>
      </c>
      <c r="S1136">
        <v>151.085005</v>
      </c>
      <c r="T1136" s="1095">
        <v>-34.049840000000003</v>
      </c>
    </row>
    <row r="1137" spans="16:20">
      <c r="P1137" s="1094">
        <v>2227</v>
      </c>
      <c r="Q1137" t="s">
        <v>2234</v>
      </c>
      <c r="R1137" t="s">
        <v>248</v>
      </c>
      <c r="S1137">
        <v>151.085005</v>
      </c>
      <c r="T1137" s="1095">
        <v>-34.049840000000003</v>
      </c>
    </row>
    <row r="1138" spans="16:20">
      <c r="P1138" s="1094">
        <v>2228</v>
      </c>
      <c r="Q1138" t="s">
        <v>1673</v>
      </c>
      <c r="R1138" t="s">
        <v>248</v>
      </c>
      <c r="S1138">
        <v>151.101564</v>
      </c>
      <c r="T1138" s="1095">
        <v>-34.037692</v>
      </c>
    </row>
    <row r="1139" spans="16:20">
      <c r="P1139" s="1094">
        <v>2228</v>
      </c>
      <c r="Q1139" t="s">
        <v>2235</v>
      </c>
      <c r="R1139" t="s">
        <v>248</v>
      </c>
      <c r="S1139">
        <v>151.101564</v>
      </c>
      <c r="T1139" s="1095">
        <v>-34.037692</v>
      </c>
    </row>
    <row r="1140" spans="16:20">
      <c r="P1140" s="1094">
        <v>2229</v>
      </c>
      <c r="Q1140" t="s">
        <v>1675</v>
      </c>
      <c r="R1140" t="s">
        <v>248</v>
      </c>
      <c r="S1140">
        <v>151.120091</v>
      </c>
      <c r="T1140" s="1095">
        <v>-34.054940000000002</v>
      </c>
    </row>
    <row r="1141" spans="16:20">
      <c r="P1141" s="1094">
        <v>2229</v>
      </c>
      <c r="Q1141" t="s">
        <v>2236</v>
      </c>
      <c r="R1141" t="s">
        <v>248</v>
      </c>
      <c r="S1141">
        <v>151.120091</v>
      </c>
      <c r="T1141" s="1095">
        <v>-34.054940000000002</v>
      </c>
    </row>
    <row r="1142" spans="16:20">
      <c r="P1142" s="1094">
        <v>2229</v>
      </c>
      <c r="Q1142" t="s">
        <v>2237</v>
      </c>
      <c r="R1142" t="s">
        <v>248</v>
      </c>
      <c r="S1142">
        <v>151.120091</v>
      </c>
      <c r="T1142" s="1095">
        <v>-34.054940000000002</v>
      </c>
    </row>
    <row r="1143" spans="16:20">
      <c r="P1143" s="1094">
        <v>2229</v>
      </c>
      <c r="Q1143" t="s">
        <v>2238</v>
      </c>
      <c r="R1143" t="s">
        <v>248</v>
      </c>
      <c r="S1143">
        <v>151.120091</v>
      </c>
      <c r="T1143" s="1095">
        <v>-34.054940000000002</v>
      </c>
    </row>
    <row r="1144" spans="16:20">
      <c r="P1144" s="1094">
        <v>2229</v>
      </c>
      <c r="Q1144" t="s">
        <v>2239</v>
      </c>
      <c r="R1144" t="s">
        <v>248</v>
      </c>
      <c r="S1144">
        <v>151.120091</v>
      </c>
      <c r="T1144" s="1095">
        <v>-34.054940000000002</v>
      </c>
    </row>
    <row r="1145" spans="16:20">
      <c r="P1145" s="1094">
        <v>2229</v>
      </c>
      <c r="Q1145" t="s">
        <v>2240</v>
      </c>
      <c r="R1145" t="s">
        <v>248</v>
      </c>
      <c r="S1145">
        <v>151.120091</v>
      </c>
      <c r="T1145" s="1095">
        <v>-34.054940000000002</v>
      </c>
    </row>
    <row r="1146" spans="16:20">
      <c r="P1146" s="1094">
        <v>2230</v>
      </c>
      <c r="Q1146" t="s">
        <v>2241</v>
      </c>
      <c r="R1146" t="s">
        <v>248</v>
      </c>
      <c r="S1146">
        <v>151.136596</v>
      </c>
      <c r="T1146" s="1095">
        <v>-34.093212999999999</v>
      </c>
    </row>
    <row r="1147" spans="16:20">
      <c r="P1147" s="1094">
        <v>2230</v>
      </c>
      <c r="Q1147" t="s">
        <v>2242</v>
      </c>
      <c r="R1147" t="s">
        <v>248</v>
      </c>
      <c r="S1147">
        <v>151.136596</v>
      </c>
      <c r="T1147" s="1095">
        <v>-34.093212999999999</v>
      </c>
    </row>
    <row r="1148" spans="16:20">
      <c r="P1148" s="1094">
        <v>2230</v>
      </c>
      <c r="Q1148" t="s">
        <v>2243</v>
      </c>
      <c r="R1148" t="s">
        <v>248</v>
      </c>
      <c r="S1148">
        <v>151.136596</v>
      </c>
      <c r="T1148" s="1095">
        <v>-34.093212999999999</v>
      </c>
    </row>
    <row r="1149" spans="16:20">
      <c r="P1149" s="1094">
        <v>2230</v>
      </c>
      <c r="Q1149" t="s">
        <v>2244</v>
      </c>
      <c r="R1149" t="s">
        <v>248</v>
      </c>
      <c r="S1149">
        <v>151.136596</v>
      </c>
      <c r="T1149" s="1095">
        <v>-34.093212999999999</v>
      </c>
    </row>
    <row r="1150" spans="16:20">
      <c r="P1150" s="1094">
        <v>2230</v>
      </c>
      <c r="Q1150" t="s">
        <v>2245</v>
      </c>
      <c r="R1150" t="s">
        <v>248</v>
      </c>
      <c r="S1150">
        <v>151.136596</v>
      </c>
      <c r="T1150" s="1095">
        <v>-34.093212999999999</v>
      </c>
    </row>
    <row r="1151" spans="16:20">
      <c r="P1151" s="1094">
        <v>2231</v>
      </c>
      <c r="Q1151" t="s">
        <v>2246</v>
      </c>
      <c r="R1151" t="s">
        <v>248</v>
      </c>
      <c r="S1151">
        <v>151.19349199999999</v>
      </c>
      <c r="T1151" s="1095">
        <v>-34.029927000000001</v>
      </c>
    </row>
    <row r="1152" spans="16:20">
      <c r="P1152" s="1094">
        <v>2232</v>
      </c>
      <c r="Q1152" t="s">
        <v>2247</v>
      </c>
      <c r="R1152" t="s">
        <v>248</v>
      </c>
      <c r="S1152">
        <v>151.06432899999999</v>
      </c>
      <c r="T1152" s="1095">
        <v>-34.061753000000003</v>
      </c>
    </row>
    <row r="1153" spans="16:20">
      <c r="P1153" s="1094">
        <v>2232</v>
      </c>
      <c r="Q1153" t="s">
        <v>2248</v>
      </c>
      <c r="R1153" t="s">
        <v>248</v>
      </c>
      <c r="S1153">
        <v>151.06432899999999</v>
      </c>
      <c r="T1153" s="1095">
        <v>-34.061753000000003</v>
      </c>
    </row>
    <row r="1154" spans="16:20">
      <c r="P1154" s="1094">
        <v>2232</v>
      </c>
      <c r="Q1154" t="s">
        <v>2249</v>
      </c>
      <c r="R1154" t="s">
        <v>248</v>
      </c>
      <c r="S1154">
        <v>151.06432899999999</v>
      </c>
      <c r="T1154" s="1095">
        <v>-34.061753000000003</v>
      </c>
    </row>
    <row r="1155" spans="16:20">
      <c r="P1155" s="1094">
        <v>2232</v>
      </c>
      <c r="Q1155" t="s">
        <v>2250</v>
      </c>
      <c r="R1155" t="s">
        <v>248</v>
      </c>
      <c r="S1155">
        <v>151.06432899999999</v>
      </c>
      <c r="T1155" s="1095">
        <v>-34.061753000000003</v>
      </c>
    </row>
    <row r="1156" spans="16:20">
      <c r="P1156" s="1094">
        <v>2232</v>
      </c>
      <c r="Q1156" t="s">
        <v>2251</v>
      </c>
      <c r="R1156" t="s">
        <v>248</v>
      </c>
      <c r="S1156">
        <v>151.06432899999999</v>
      </c>
      <c r="T1156" s="1095">
        <v>-34.061753000000003</v>
      </c>
    </row>
    <row r="1157" spans="16:20">
      <c r="P1157" s="1094">
        <v>2232</v>
      </c>
      <c r="Q1157" t="s">
        <v>2252</v>
      </c>
      <c r="R1157" t="s">
        <v>248</v>
      </c>
      <c r="S1157">
        <v>151.06432899999999</v>
      </c>
      <c r="T1157" s="1095">
        <v>-34.061753000000003</v>
      </c>
    </row>
    <row r="1158" spans="16:20">
      <c r="P1158" s="1094">
        <v>2232</v>
      </c>
      <c r="Q1158" t="s">
        <v>1676</v>
      </c>
      <c r="R1158" t="s">
        <v>248</v>
      </c>
      <c r="S1158">
        <v>151.06432899999999</v>
      </c>
      <c r="T1158" s="1095">
        <v>-34.061753000000003</v>
      </c>
    </row>
    <row r="1159" spans="16:20">
      <c r="P1159" s="1094">
        <v>2232</v>
      </c>
      <c r="Q1159" t="s">
        <v>2253</v>
      </c>
      <c r="R1159" t="s">
        <v>248</v>
      </c>
      <c r="S1159">
        <v>151.06432899999999</v>
      </c>
      <c r="T1159" s="1095">
        <v>-34.061753000000003</v>
      </c>
    </row>
    <row r="1160" spans="16:20">
      <c r="P1160" s="1094">
        <v>2233</v>
      </c>
      <c r="Q1160" t="s">
        <v>2254</v>
      </c>
      <c r="R1160" t="s">
        <v>248</v>
      </c>
      <c r="S1160">
        <v>151.027919</v>
      </c>
      <c r="T1160" s="1095">
        <v>-34.114626000000001</v>
      </c>
    </row>
    <row r="1161" spans="16:20">
      <c r="P1161" s="1094">
        <v>2233</v>
      </c>
      <c r="Q1161" t="s">
        <v>2255</v>
      </c>
      <c r="R1161" t="s">
        <v>248</v>
      </c>
      <c r="S1161">
        <v>151.027919</v>
      </c>
      <c r="T1161" s="1095">
        <v>-34.114626000000001</v>
      </c>
    </row>
    <row r="1162" spans="16:20">
      <c r="P1162" s="1094">
        <v>2233</v>
      </c>
      <c r="Q1162" t="s">
        <v>2256</v>
      </c>
      <c r="R1162" t="s">
        <v>248</v>
      </c>
      <c r="S1162">
        <v>151.027919</v>
      </c>
      <c r="T1162" s="1095">
        <v>-34.114626000000001</v>
      </c>
    </row>
    <row r="1163" spans="16:20">
      <c r="P1163" s="1094">
        <v>2233</v>
      </c>
      <c r="Q1163" t="s">
        <v>2257</v>
      </c>
      <c r="R1163" t="s">
        <v>248</v>
      </c>
      <c r="S1163">
        <v>151.027919</v>
      </c>
      <c r="T1163" s="1095">
        <v>-34.114626000000001</v>
      </c>
    </row>
    <row r="1164" spans="16:20">
      <c r="P1164" s="1094">
        <v>2233</v>
      </c>
      <c r="Q1164" t="s">
        <v>2258</v>
      </c>
      <c r="R1164" t="s">
        <v>248</v>
      </c>
      <c r="S1164">
        <v>151.027919</v>
      </c>
      <c r="T1164" s="1095">
        <v>-34.114626000000001</v>
      </c>
    </row>
    <row r="1165" spans="16:20">
      <c r="P1165" s="1094">
        <v>2234</v>
      </c>
      <c r="Q1165" t="s">
        <v>2259</v>
      </c>
      <c r="R1165" t="s">
        <v>248</v>
      </c>
      <c r="S1165">
        <v>151.004412</v>
      </c>
      <c r="T1165" s="1095">
        <v>-34.021937999999999</v>
      </c>
    </row>
    <row r="1166" spans="16:20">
      <c r="P1166" s="1094">
        <v>2234</v>
      </c>
      <c r="Q1166" t="s">
        <v>2260</v>
      </c>
      <c r="R1166" t="s">
        <v>248</v>
      </c>
      <c r="S1166">
        <v>151.004412</v>
      </c>
      <c r="T1166" s="1095">
        <v>-34.021937999999999</v>
      </c>
    </row>
    <row r="1167" spans="16:20">
      <c r="P1167" s="1094">
        <v>2234</v>
      </c>
      <c r="Q1167" t="s">
        <v>2261</v>
      </c>
      <c r="R1167" t="s">
        <v>248</v>
      </c>
      <c r="S1167">
        <v>151.004412</v>
      </c>
      <c r="T1167" s="1095">
        <v>-34.021937999999999</v>
      </c>
    </row>
    <row r="1168" spans="16:20">
      <c r="P1168" s="1094">
        <v>2234</v>
      </c>
      <c r="Q1168" t="s">
        <v>2262</v>
      </c>
      <c r="R1168" t="s">
        <v>248</v>
      </c>
      <c r="S1168">
        <v>151.004412</v>
      </c>
      <c r="T1168" s="1095">
        <v>-34.021937999999999</v>
      </c>
    </row>
    <row r="1169" spans="16:20">
      <c r="P1169" s="1094">
        <v>2234</v>
      </c>
      <c r="Q1169" t="s">
        <v>2263</v>
      </c>
      <c r="R1169" t="s">
        <v>248</v>
      </c>
      <c r="S1169">
        <v>151.004412</v>
      </c>
      <c r="T1169" s="1095">
        <v>-34.021937999999999</v>
      </c>
    </row>
    <row r="1170" spans="16:20">
      <c r="P1170" s="1094">
        <v>2234</v>
      </c>
      <c r="Q1170" t="s">
        <v>2264</v>
      </c>
      <c r="R1170" t="s">
        <v>248</v>
      </c>
      <c r="S1170">
        <v>151.004412</v>
      </c>
      <c r="T1170" s="1095">
        <v>-34.021937999999999</v>
      </c>
    </row>
    <row r="1171" spans="16:20">
      <c r="P1171" s="1094">
        <v>2234</v>
      </c>
      <c r="Q1171" t="s">
        <v>2265</v>
      </c>
      <c r="R1171" t="s">
        <v>248</v>
      </c>
      <c r="S1171">
        <v>151.004412</v>
      </c>
      <c r="T1171" s="1095">
        <v>-34.021937999999999</v>
      </c>
    </row>
    <row r="1172" spans="16:20">
      <c r="P1172" s="1094">
        <v>2250</v>
      </c>
      <c r="Q1172" t="s">
        <v>2266</v>
      </c>
      <c r="R1172" t="s">
        <v>248</v>
      </c>
      <c r="S1172">
        <v>151.189243</v>
      </c>
      <c r="T1172" s="1095">
        <v>-33.325372999999999</v>
      </c>
    </row>
    <row r="1173" spans="16:20">
      <c r="P1173" s="1094">
        <v>2250</v>
      </c>
      <c r="Q1173" t="s">
        <v>2267</v>
      </c>
      <c r="R1173" t="s">
        <v>248</v>
      </c>
      <c r="S1173">
        <v>151.189243</v>
      </c>
      <c r="T1173" s="1095">
        <v>-33.325372999999999</v>
      </c>
    </row>
    <row r="1174" spans="16:20">
      <c r="P1174" s="1094">
        <v>2250</v>
      </c>
      <c r="Q1174" t="s">
        <v>2268</v>
      </c>
      <c r="R1174" t="s">
        <v>248</v>
      </c>
      <c r="S1174">
        <v>151.189243</v>
      </c>
      <c r="T1174" s="1095">
        <v>-33.325372999999999</v>
      </c>
    </row>
    <row r="1175" spans="16:20">
      <c r="P1175" s="1094">
        <v>2250</v>
      </c>
      <c r="Q1175" t="s">
        <v>2269</v>
      </c>
      <c r="R1175" t="s">
        <v>248</v>
      </c>
      <c r="S1175">
        <v>151.189243</v>
      </c>
      <c r="T1175" s="1095">
        <v>-33.325372999999999</v>
      </c>
    </row>
    <row r="1176" spans="16:20">
      <c r="P1176" s="1094">
        <v>2250</v>
      </c>
      <c r="Q1176" t="s">
        <v>2270</v>
      </c>
      <c r="R1176" t="s">
        <v>248</v>
      </c>
      <c r="S1176">
        <v>151.189243</v>
      </c>
      <c r="T1176" s="1095">
        <v>-33.325372999999999</v>
      </c>
    </row>
    <row r="1177" spans="16:20">
      <c r="P1177" s="1094">
        <v>2250</v>
      </c>
      <c r="Q1177" t="s">
        <v>2271</v>
      </c>
      <c r="R1177" t="s">
        <v>248</v>
      </c>
      <c r="S1177">
        <v>151.189243</v>
      </c>
      <c r="T1177" s="1095">
        <v>-33.325372999999999</v>
      </c>
    </row>
    <row r="1178" spans="16:20">
      <c r="P1178" s="1094">
        <v>2250</v>
      </c>
      <c r="Q1178" t="s">
        <v>2272</v>
      </c>
      <c r="R1178" t="s">
        <v>248</v>
      </c>
      <c r="S1178">
        <v>151.189243</v>
      </c>
      <c r="T1178" s="1095">
        <v>-33.325372999999999</v>
      </c>
    </row>
    <row r="1179" spans="16:20">
      <c r="P1179" s="1094">
        <v>2250</v>
      </c>
      <c r="Q1179" t="s">
        <v>2273</v>
      </c>
      <c r="R1179" t="s">
        <v>248</v>
      </c>
      <c r="S1179">
        <v>151.189243</v>
      </c>
      <c r="T1179" s="1095">
        <v>-33.325372999999999</v>
      </c>
    </row>
    <row r="1180" spans="16:20">
      <c r="P1180" s="1094">
        <v>2250</v>
      </c>
      <c r="Q1180" t="s">
        <v>2274</v>
      </c>
      <c r="R1180" t="s">
        <v>248</v>
      </c>
      <c r="S1180">
        <v>151.189243</v>
      </c>
      <c r="T1180" s="1095">
        <v>-33.325372999999999</v>
      </c>
    </row>
    <row r="1181" spans="16:20">
      <c r="P1181" s="1094">
        <v>2250</v>
      </c>
      <c r="Q1181" t="s">
        <v>2275</v>
      </c>
      <c r="R1181" t="s">
        <v>248</v>
      </c>
      <c r="S1181">
        <v>151.189243</v>
      </c>
      <c r="T1181" s="1095">
        <v>-33.325372999999999</v>
      </c>
    </row>
    <row r="1182" spans="16:20">
      <c r="P1182" s="1094">
        <v>2250</v>
      </c>
      <c r="Q1182" t="s">
        <v>2276</v>
      </c>
      <c r="R1182" t="s">
        <v>248</v>
      </c>
      <c r="S1182">
        <v>151.189243</v>
      </c>
      <c r="T1182" s="1095">
        <v>-33.325372999999999</v>
      </c>
    </row>
    <row r="1183" spans="16:20">
      <c r="P1183" s="1094">
        <v>2250</v>
      </c>
      <c r="Q1183" t="s">
        <v>2277</v>
      </c>
      <c r="R1183" t="s">
        <v>248</v>
      </c>
      <c r="S1183">
        <v>151.189243</v>
      </c>
      <c r="T1183" s="1095">
        <v>-33.325372999999999</v>
      </c>
    </row>
    <row r="1184" spans="16:20">
      <c r="P1184" s="1094">
        <v>2250</v>
      </c>
      <c r="Q1184" t="s">
        <v>2278</v>
      </c>
      <c r="R1184" t="s">
        <v>248</v>
      </c>
      <c r="S1184">
        <v>151.189243</v>
      </c>
      <c r="T1184" s="1095">
        <v>-33.325372999999999</v>
      </c>
    </row>
    <row r="1185" spans="16:20">
      <c r="P1185" s="1094">
        <v>2250</v>
      </c>
      <c r="Q1185" t="s">
        <v>2279</v>
      </c>
      <c r="R1185" t="s">
        <v>248</v>
      </c>
      <c r="S1185">
        <v>151.189243</v>
      </c>
      <c r="T1185" s="1095">
        <v>-33.325372999999999</v>
      </c>
    </row>
    <row r="1186" spans="16:20">
      <c r="P1186" s="1094">
        <v>2250</v>
      </c>
      <c r="Q1186" t="s">
        <v>2280</v>
      </c>
      <c r="R1186" t="s">
        <v>248</v>
      </c>
      <c r="S1186">
        <v>151.189243</v>
      </c>
      <c r="T1186" s="1095">
        <v>-33.325372999999999</v>
      </c>
    </row>
    <row r="1187" spans="16:20">
      <c r="P1187" s="1094">
        <v>2250</v>
      </c>
      <c r="Q1187" t="s">
        <v>2281</v>
      </c>
      <c r="R1187" t="s">
        <v>248</v>
      </c>
      <c r="S1187">
        <v>151.189243</v>
      </c>
      <c r="T1187" s="1095">
        <v>-33.325372999999999</v>
      </c>
    </row>
    <row r="1188" spans="16:20">
      <c r="P1188" s="1094">
        <v>2250</v>
      </c>
      <c r="Q1188" t="s">
        <v>2282</v>
      </c>
      <c r="R1188" t="s">
        <v>248</v>
      </c>
      <c r="S1188">
        <v>151.189243</v>
      </c>
      <c r="T1188" s="1095">
        <v>-33.325372999999999</v>
      </c>
    </row>
    <row r="1189" spans="16:20">
      <c r="P1189" s="1094">
        <v>2250</v>
      </c>
      <c r="Q1189" t="s">
        <v>2283</v>
      </c>
      <c r="R1189" t="s">
        <v>248</v>
      </c>
      <c r="S1189">
        <v>151.189243</v>
      </c>
      <c r="T1189" s="1095">
        <v>-33.325372999999999</v>
      </c>
    </row>
    <row r="1190" spans="16:20">
      <c r="P1190" s="1094">
        <v>2250</v>
      </c>
      <c r="Q1190" t="s">
        <v>2284</v>
      </c>
      <c r="R1190" t="s">
        <v>248</v>
      </c>
      <c r="S1190">
        <v>151.189243</v>
      </c>
      <c r="T1190" s="1095">
        <v>-33.325372999999999</v>
      </c>
    </row>
    <row r="1191" spans="16:20">
      <c r="P1191" s="1094">
        <v>2250</v>
      </c>
      <c r="Q1191" t="s">
        <v>2285</v>
      </c>
      <c r="R1191" t="s">
        <v>248</v>
      </c>
      <c r="S1191">
        <v>151.189243</v>
      </c>
      <c r="T1191" s="1095">
        <v>-33.325372999999999</v>
      </c>
    </row>
    <row r="1192" spans="16:20">
      <c r="P1192" s="1094">
        <v>2250</v>
      </c>
      <c r="Q1192" t="s">
        <v>2286</v>
      </c>
      <c r="R1192" t="s">
        <v>248</v>
      </c>
      <c r="S1192">
        <v>151.189243</v>
      </c>
      <c r="T1192" s="1095">
        <v>-33.325372999999999</v>
      </c>
    </row>
    <row r="1193" spans="16:20">
      <c r="P1193" s="1094">
        <v>2250</v>
      </c>
      <c r="Q1193" t="s">
        <v>2287</v>
      </c>
      <c r="R1193" t="s">
        <v>248</v>
      </c>
      <c r="S1193">
        <v>151.189243</v>
      </c>
      <c r="T1193" s="1095">
        <v>-33.325372999999999</v>
      </c>
    </row>
    <row r="1194" spans="16:20">
      <c r="P1194" s="1094">
        <v>2250</v>
      </c>
      <c r="Q1194" t="s">
        <v>2288</v>
      </c>
      <c r="R1194" t="s">
        <v>248</v>
      </c>
      <c r="S1194">
        <v>151.189243</v>
      </c>
      <c r="T1194" s="1095">
        <v>-33.325372999999999</v>
      </c>
    </row>
    <row r="1195" spans="16:20">
      <c r="P1195" s="1094">
        <v>2250</v>
      </c>
      <c r="Q1195" t="s">
        <v>2289</v>
      </c>
      <c r="R1195" t="s">
        <v>248</v>
      </c>
      <c r="S1195">
        <v>151.189243</v>
      </c>
      <c r="T1195" s="1095">
        <v>-33.325372999999999</v>
      </c>
    </row>
    <row r="1196" spans="16:20">
      <c r="P1196" s="1094">
        <v>2250</v>
      </c>
      <c r="Q1196" t="s">
        <v>2290</v>
      </c>
      <c r="R1196" t="s">
        <v>248</v>
      </c>
      <c r="S1196">
        <v>151.189243</v>
      </c>
      <c r="T1196" s="1095">
        <v>-33.325372999999999</v>
      </c>
    </row>
    <row r="1197" spans="16:20">
      <c r="P1197" s="1094">
        <v>2250</v>
      </c>
      <c r="Q1197" t="s">
        <v>2291</v>
      </c>
      <c r="R1197" t="s">
        <v>248</v>
      </c>
      <c r="S1197">
        <v>151.189243</v>
      </c>
      <c r="T1197" s="1095">
        <v>-33.325372999999999</v>
      </c>
    </row>
    <row r="1198" spans="16:20">
      <c r="P1198" s="1094">
        <v>2250</v>
      </c>
      <c r="Q1198" t="s">
        <v>2292</v>
      </c>
      <c r="R1198" t="s">
        <v>248</v>
      </c>
      <c r="S1198">
        <v>151.189243</v>
      </c>
      <c r="T1198" s="1095">
        <v>-33.325372999999999</v>
      </c>
    </row>
    <row r="1199" spans="16:20">
      <c r="P1199" s="1094">
        <v>2250</v>
      </c>
      <c r="Q1199" t="s">
        <v>2293</v>
      </c>
      <c r="R1199" t="s">
        <v>248</v>
      </c>
      <c r="S1199">
        <v>151.189243</v>
      </c>
      <c r="T1199" s="1095">
        <v>-33.325372999999999</v>
      </c>
    </row>
    <row r="1200" spans="16:20">
      <c r="P1200" s="1094">
        <v>2250</v>
      </c>
      <c r="Q1200" t="s">
        <v>2294</v>
      </c>
      <c r="R1200" t="s">
        <v>248</v>
      </c>
      <c r="S1200">
        <v>151.189243</v>
      </c>
      <c r="T1200" s="1095">
        <v>-33.325372999999999</v>
      </c>
    </row>
    <row r="1201" spans="16:20">
      <c r="P1201" s="1094">
        <v>2250</v>
      </c>
      <c r="Q1201" t="s">
        <v>2295</v>
      </c>
      <c r="R1201" t="s">
        <v>248</v>
      </c>
      <c r="S1201">
        <v>151.189243</v>
      </c>
      <c r="T1201" s="1095">
        <v>-33.325372999999999</v>
      </c>
    </row>
    <row r="1202" spans="16:20">
      <c r="P1202" s="1094">
        <v>2250</v>
      </c>
      <c r="Q1202" t="s">
        <v>2296</v>
      </c>
      <c r="R1202" t="s">
        <v>248</v>
      </c>
      <c r="S1202">
        <v>151.189243</v>
      </c>
      <c r="T1202" s="1095">
        <v>-33.325372999999999</v>
      </c>
    </row>
    <row r="1203" spans="16:20">
      <c r="P1203" s="1094">
        <v>2250</v>
      </c>
      <c r="Q1203" t="s">
        <v>2297</v>
      </c>
      <c r="R1203" t="s">
        <v>248</v>
      </c>
      <c r="S1203">
        <v>151.189243</v>
      </c>
      <c r="T1203" s="1095">
        <v>-33.325372999999999</v>
      </c>
    </row>
    <row r="1204" spans="16:20">
      <c r="P1204" s="1094">
        <v>2250</v>
      </c>
      <c r="Q1204" t="s">
        <v>2298</v>
      </c>
      <c r="R1204" t="s">
        <v>248</v>
      </c>
      <c r="S1204">
        <v>151.189243</v>
      </c>
      <c r="T1204" s="1095">
        <v>-33.325372999999999</v>
      </c>
    </row>
    <row r="1205" spans="16:20">
      <c r="P1205" s="1094">
        <v>2250</v>
      </c>
      <c r="Q1205" t="s">
        <v>2299</v>
      </c>
      <c r="R1205" t="s">
        <v>248</v>
      </c>
      <c r="S1205">
        <v>151.189243</v>
      </c>
      <c r="T1205" s="1095">
        <v>-33.325372999999999</v>
      </c>
    </row>
    <row r="1206" spans="16:20">
      <c r="P1206" s="1094">
        <v>2250</v>
      </c>
      <c r="Q1206" t="s">
        <v>2300</v>
      </c>
      <c r="R1206" t="s">
        <v>248</v>
      </c>
      <c r="S1206">
        <v>151.189243</v>
      </c>
      <c r="T1206" s="1095">
        <v>-33.325372999999999</v>
      </c>
    </row>
    <row r="1207" spans="16:20">
      <c r="P1207" s="1094">
        <v>2251</v>
      </c>
      <c r="Q1207" t="s">
        <v>2301</v>
      </c>
      <c r="R1207" t="s">
        <v>248</v>
      </c>
      <c r="S1207">
        <v>151.40199899999999</v>
      </c>
      <c r="T1207" s="1095">
        <v>-33.482208999999997</v>
      </c>
    </row>
    <row r="1208" spans="16:20">
      <c r="P1208" s="1094">
        <v>2251</v>
      </c>
      <c r="Q1208" t="s">
        <v>2302</v>
      </c>
      <c r="R1208" t="s">
        <v>248</v>
      </c>
      <c r="S1208">
        <v>151.40199899999999</v>
      </c>
      <c r="T1208" s="1095">
        <v>-33.482208999999997</v>
      </c>
    </row>
    <row r="1209" spans="16:20">
      <c r="P1209" s="1094">
        <v>2251</v>
      </c>
      <c r="Q1209" t="s">
        <v>2303</v>
      </c>
      <c r="R1209" t="s">
        <v>248</v>
      </c>
      <c r="S1209">
        <v>151.40199899999999</v>
      </c>
      <c r="T1209" s="1095">
        <v>-33.482208999999997</v>
      </c>
    </row>
    <row r="1210" spans="16:20">
      <c r="P1210" s="1094">
        <v>2251</v>
      </c>
      <c r="Q1210" t="s">
        <v>2304</v>
      </c>
      <c r="R1210" t="s">
        <v>248</v>
      </c>
      <c r="S1210">
        <v>151.40199899999999</v>
      </c>
      <c r="T1210" s="1095">
        <v>-33.482208999999997</v>
      </c>
    </row>
    <row r="1211" spans="16:20">
      <c r="P1211" s="1094">
        <v>2251</v>
      </c>
      <c r="Q1211" t="s">
        <v>2305</v>
      </c>
      <c r="R1211" t="s">
        <v>248</v>
      </c>
      <c r="S1211">
        <v>151.40199899999999</v>
      </c>
      <c r="T1211" s="1095">
        <v>-33.482208999999997</v>
      </c>
    </row>
    <row r="1212" spans="16:20">
      <c r="P1212" s="1094">
        <v>2251</v>
      </c>
      <c r="Q1212" t="s">
        <v>2306</v>
      </c>
      <c r="R1212" t="s">
        <v>248</v>
      </c>
      <c r="S1212">
        <v>151.40199899999999</v>
      </c>
      <c r="T1212" s="1095">
        <v>-33.482208999999997</v>
      </c>
    </row>
    <row r="1213" spans="16:20">
      <c r="P1213" s="1094">
        <v>2251</v>
      </c>
      <c r="Q1213" t="s">
        <v>2307</v>
      </c>
      <c r="R1213" t="s">
        <v>248</v>
      </c>
      <c r="S1213">
        <v>151.40199899999999</v>
      </c>
      <c r="T1213" s="1095">
        <v>-33.482208999999997</v>
      </c>
    </row>
    <row r="1214" spans="16:20">
      <c r="P1214" s="1094">
        <v>2251</v>
      </c>
      <c r="Q1214" t="s">
        <v>2308</v>
      </c>
      <c r="R1214" t="s">
        <v>248</v>
      </c>
      <c r="S1214">
        <v>151.40199899999999</v>
      </c>
      <c r="T1214" s="1095">
        <v>-33.482208999999997</v>
      </c>
    </row>
    <row r="1215" spans="16:20">
      <c r="P1215" s="1094">
        <v>2251</v>
      </c>
      <c r="Q1215" t="s">
        <v>2309</v>
      </c>
      <c r="R1215" t="s">
        <v>248</v>
      </c>
      <c r="S1215">
        <v>151.40199899999999</v>
      </c>
      <c r="T1215" s="1095">
        <v>-33.482208999999997</v>
      </c>
    </row>
    <row r="1216" spans="16:20">
      <c r="P1216" s="1094">
        <v>2251</v>
      </c>
      <c r="Q1216" t="s">
        <v>2310</v>
      </c>
      <c r="R1216" t="s">
        <v>248</v>
      </c>
      <c r="S1216">
        <v>151.40199899999999</v>
      </c>
      <c r="T1216" s="1095">
        <v>-33.482208999999997</v>
      </c>
    </row>
    <row r="1217" spans="16:20">
      <c r="P1217" s="1094">
        <v>2251</v>
      </c>
      <c r="Q1217" t="s">
        <v>2311</v>
      </c>
      <c r="R1217" t="s">
        <v>248</v>
      </c>
      <c r="S1217">
        <v>151.40199899999999</v>
      </c>
      <c r="T1217" s="1095">
        <v>-33.482208999999997</v>
      </c>
    </row>
    <row r="1218" spans="16:20">
      <c r="P1218" s="1094">
        <v>2251</v>
      </c>
      <c r="Q1218" t="s">
        <v>2312</v>
      </c>
      <c r="R1218" t="s">
        <v>248</v>
      </c>
      <c r="S1218">
        <v>151.40199899999999</v>
      </c>
      <c r="T1218" s="1095">
        <v>-33.482208999999997</v>
      </c>
    </row>
    <row r="1219" spans="16:20">
      <c r="P1219" s="1094">
        <v>2252</v>
      </c>
      <c r="Q1219" t="s">
        <v>2313</v>
      </c>
      <c r="R1219" t="s">
        <v>248</v>
      </c>
      <c r="S1219">
        <v>0</v>
      </c>
      <c r="T1219" s="1095">
        <v>0</v>
      </c>
    </row>
    <row r="1220" spans="16:20">
      <c r="P1220" s="1094">
        <v>2256</v>
      </c>
      <c r="Q1220" t="s">
        <v>2314</v>
      </c>
      <c r="R1220" t="s">
        <v>248</v>
      </c>
      <c r="S1220">
        <v>151.331154</v>
      </c>
      <c r="T1220" s="1095">
        <v>-33.482123000000001</v>
      </c>
    </row>
    <row r="1221" spans="16:20">
      <c r="P1221" s="1094">
        <v>2256</v>
      </c>
      <c r="Q1221" t="s">
        <v>2315</v>
      </c>
      <c r="R1221" t="s">
        <v>248</v>
      </c>
      <c r="S1221">
        <v>151.331154</v>
      </c>
      <c r="T1221" s="1095">
        <v>-33.482123000000001</v>
      </c>
    </row>
    <row r="1222" spans="16:20">
      <c r="P1222" s="1094">
        <v>2256</v>
      </c>
      <c r="Q1222" t="s">
        <v>2316</v>
      </c>
      <c r="R1222" t="s">
        <v>248</v>
      </c>
      <c r="S1222">
        <v>151.331154</v>
      </c>
      <c r="T1222" s="1095">
        <v>-33.482123000000001</v>
      </c>
    </row>
    <row r="1223" spans="16:20">
      <c r="P1223" s="1094">
        <v>2256</v>
      </c>
      <c r="Q1223" t="s">
        <v>2317</v>
      </c>
      <c r="R1223" t="s">
        <v>248</v>
      </c>
      <c r="S1223">
        <v>151.331154</v>
      </c>
      <c r="T1223" s="1095">
        <v>-33.482123000000001</v>
      </c>
    </row>
    <row r="1224" spans="16:20">
      <c r="P1224" s="1094">
        <v>2256</v>
      </c>
      <c r="Q1224" t="s">
        <v>2318</v>
      </c>
      <c r="R1224" t="s">
        <v>248</v>
      </c>
      <c r="S1224">
        <v>151.331154</v>
      </c>
      <c r="T1224" s="1095">
        <v>-33.482123000000001</v>
      </c>
    </row>
    <row r="1225" spans="16:20">
      <c r="P1225" s="1094">
        <v>2256</v>
      </c>
      <c r="Q1225" t="s">
        <v>2319</v>
      </c>
      <c r="R1225" t="s">
        <v>248</v>
      </c>
      <c r="S1225">
        <v>151.331154</v>
      </c>
      <c r="T1225" s="1095">
        <v>-33.482123000000001</v>
      </c>
    </row>
    <row r="1226" spans="16:20">
      <c r="P1226" s="1094">
        <v>2256</v>
      </c>
      <c r="Q1226" t="s">
        <v>2320</v>
      </c>
      <c r="R1226" t="s">
        <v>248</v>
      </c>
      <c r="S1226">
        <v>151.331154</v>
      </c>
      <c r="T1226" s="1095">
        <v>-33.482123000000001</v>
      </c>
    </row>
    <row r="1227" spans="16:20">
      <c r="P1227" s="1094">
        <v>2256</v>
      </c>
      <c r="Q1227" t="s">
        <v>2321</v>
      </c>
      <c r="R1227" t="s">
        <v>248</v>
      </c>
      <c r="S1227">
        <v>151.331154</v>
      </c>
      <c r="T1227" s="1095">
        <v>-33.482123000000001</v>
      </c>
    </row>
    <row r="1228" spans="16:20">
      <c r="P1228" s="1094">
        <v>2256</v>
      </c>
      <c r="Q1228" t="s">
        <v>2322</v>
      </c>
      <c r="R1228" t="s">
        <v>248</v>
      </c>
      <c r="S1228">
        <v>151.331154</v>
      </c>
      <c r="T1228" s="1095">
        <v>-33.482123000000001</v>
      </c>
    </row>
    <row r="1229" spans="16:20">
      <c r="P1229" s="1094">
        <v>2256</v>
      </c>
      <c r="Q1229" t="s">
        <v>2323</v>
      </c>
      <c r="R1229" t="s">
        <v>248</v>
      </c>
      <c r="S1229">
        <v>151.331154</v>
      </c>
      <c r="T1229" s="1095">
        <v>-33.482123000000001</v>
      </c>
    </row>
    <row r="1230" spans="16:20">
      <c r="P1230" s="1094">
        <v>2257</v>
      </c>
      <c r="Q1230" t="s">
        <v>2324</v>
      </c>
      <c r="R1230" t="s">
        <v>248</v>
      </c>
      <c r="S1230">
        <v>151.374403</v>
      </c>
      <c r="T1230" s="1095">
        <v>-33.520358000000002</v>
      </c>
    </row>
    <row r="1231" spans="16:20">
      <c r="P1231" s="1094">
        <v>2257</v>
      </c>
      <c r="Q1231" t="s">
        <v>2325</v>
      </c>
      <c r="R1231" t="s">
        <v>248</v>
      </c>
      <c r="S1231">
        <v>151.374403</v>
      </c>
      <c r="T1231" s="1095">
        <v>-33.520358000000002</v>
      </c>
    </row>
    <row r="1232" spans="16:20">
      <c r="P1232" s="1094">
        <v>2257</v>
      </c>
      <c r="Q1232" t="s">
        <v>2326</v>
      </c>
      <c r="R1232" t="s">
        <v>248</v>
      </c>
      <c r="S1232">
        <v>151.374403</v>
      </c>
      <c r="T1232" s="1095">
        <v>-33.520358000000002</v>
      </c>
    </row>
    <row r="1233" spans="16:20">
      <c r="P1233" s="1094">
        <v>2257</v>
      </c>
      <c r="Q1233" t="s">
        <v>2327</v>
      </c>
      <c r="R1233" t="s">
        <v>248</v>
      </c>
      <c r="S1233">
        <v>151.374403</v>
      </c>
      <c r="T1233" s="1095">
        <v>-33.520358000000002</v>
      </c>
    </row>
    <row r="1234" spans="16:20">
      <c r="P1234" s="1094">
        <v>2257</v>
      </c>
      <c r="Q1234" t="s">
        <v>2328</v>
      </c>
      <c r="R1234" t="s">
        <v>248</v>
      </c>
      <c r="S1234">
        <v>151.374403</v>
      </c>
      <c r="T1234" s="1095">
        <v>-33.520358000000002</v>
      </c>
    </row>
    <row r="1235" spans="16:20">
      <c r="P1235" s="1094">
        <v>2257</v>
      </c>
      <c r="Q1235" t="s">
        <v>2329</v>
      </c>
      <c r="R1235" t="s">
        <v>248</v>
      </c>
      <c r="S1235">
        <v>151.374403</v>
      </c>
      <c r="T1235" s="1095">
        <v>-33.520358000000002</v>
      </c>
    </row>
    <row r="1236" spans="16:20">
      <c r="P1236" s="1094">
        <v>2257</v>
      </c>
      <c r="Q1236" t="s">
        <v>2330</v>
      </c>
      <c r="R1236" t="s">
        <v>248</v>
      </c>
      <c r="S1236">
        <v>151.374403</v>
      </c>
      <c r="T1236" s="1095">
        <v>-33.520358000000002</v>
      </c>
    </row>
    <row r="1237" spans="16:20">
      <c r="P1237" s="1094">
        <v>2257</v>
      </c>
      <c r="Q1237" t="s">
        <v>2331</v>
      </c>
      <c r="R1237" t="s">
        <v>248</v>
      </c>
      <c r="S1237">
        <v>151.374403</v>
      </c>
      <c r="T1237" s="1095">
        <v>-33.520358000000002</v>
      </c>
    </row>
    <row r="1238" spans="16:20">
      <c r="P1238" s="1094">
        <v>2257</v>
      </c>
      <c r="Q1238" t="s">
        <v>2332</v>
      </c>
      <c r="R1238" t="s">
        <v>248</v>
      </c>
      <c r="S1238">
        <v>151.374403</v>
      </c>
      <c r="T1238" s="1095">
        <v>-33.520358000000002</v>
      </c>
    </row>
    <row r="1239" spans="16:20">
      <c r="P1239" s="1094">
        <v>2257</v>
      </c>
      <c r="Q1239" t="s">
        <v>2333</v>
      </c>
      <c r="R1239" t="s">
        <v>248</v>
      </c>
      <c r="S1239">
        <v>151.374403</v>
      </c>
      <c r="T1239" s="1095">
        <v>-33.520358000000002</v>
      </c>
    </row>
    <row r="1240" spans="16:20">
      <c r="P1240" s="1094">
        <v>2257</v>
      </c>
      <c r="Q1240" t="s">
        <v>2334</v>
      </c>
      <c r="R1240" t="s">
        <v>248</v>
      </c>
      <c r="S1240">
        <v>151.374403</v>
      </c>
      <c r="T1240" s="1095">
        <v>-33.520358000000002</v>
      </c>
    </row>
    <row r="1241" spans="16:20">
      <c r="P1241" s="1094">
        <v>2257</v>
      </c>
      <c r="Q1241" t="s">
        <v>2335</v>
      </c>
      <c r="R1241" t="s">
        <v>248</v>
      </c>
      <c r="S1241">
        <v>151.374403</v>
      </c>
      <c r="T1241" s="1095">
        <v>-33.520358000000002</v>
      </c>
    </row>
    <row r="1242" spans="16:20">
      <c r="P1242" s="1094">
        <v>2258</v>
      </c>
      <c r="Q1242" t="s">
        <v>2336</v>
      </c>
      <c r="R1242" t="s">
        <v>248</v>
      </c>
      <c r="S1242">
        <v>151.3433</v>
      </c>
      <c r="T1242" s="1095">
        <v>-33.333187000000002</v>
      </c>
    </row>
    <row r="1243" spans="16:20">
      <c r="P1243" s="1094">
        <v>2258</v>
      </c>
      <c r="Q1243" t="s">
        <v>2337</v>
      </c>
      <c r="R1243" t="s">
        <v>248</v>
      </c>
      <c r="S1243">
        <v>151.3433</v>
      </c>
      <c r="T1243" s="1095">
        <v>-33.333187000000002</v>
      </c>
    </row>
    <row r="1244" spans="16:20">
      <c r="P1244" s="1094">
        <v>2258</v>
      </c>
      <c r="Q1244" t="s">
        <v>2338</v>
      </c>
      <c r="R1244" t="s">
        <v>248</v>
      </c>
      <c r="S1244">
        <v>151.3433</v>
      </c>
      <c r="T1244" s="1095">
        <v>-33.333187000000002</v>
      </c>
    </row>
    <row r="1245" spans="16:20">
      <c r="P1245" s="1094">
        <v>2258</v>
      </c>
      <c r="Q1245" t="s">
        <v>2339</v>
      </c>
      <c r="R1245" t="s">
        <v>248</v>
      </c>
      <c r="S1245">
        <v>151.3433</v>
      </c>
      <c r="T1245" s="1095">
        <v>-33.333187000000002</v>
      </c>
    </row>
    <row r="1246" spans="16:20">
      <c r="P1246" s="1094">
        <v>2258</v>
      </c>
      <c r="Q1246" t="s">
        <v>2340</v>
      </c>
      <c r="R1246" t="s">
        <v>248</v>
      </c>
      <c r="S1246">
        <v>151.3433</v>
      </c>
      <c r="T1246" s="1095">
        <v>-33.333187000000002</v>
      </c>
    </row>
    <row r="1247" spans="16:20">
      <c r="P1247" s="1094">
        <v>2259</v>
      </c>
      <c r="Q1247" t="s">
        <v>2341</v>
      </c>
      <c r="R1247" t="s">
        <v>248</v>
      </c>
      <c r="S1247">
        <v>151.37721300000001</v>
      </c>
      <c r="T1247" s="1095">
        <v>-33.208801000000001</v>
      </c>
    </row>
    <row r="1248" spans="16:20">
      <c r="P1248" s="1094">
        <v>2259</v>
      </c>
      <c r="Q1248" t="s">
        <v>2342</v>
      </c>
      <c r="R1248" t="s">
        <v>248</v>
      </c>
      <c r="S1248">
        <v>151.37721300000001</v>
      </c>
      <c r="T1248" s="1095">
        <v>-33.208801000000001</v>
      </c>
    </row>
    <row r="1249" spans="16:20">
      <c r="P1249" s="1094">
        <v>2259</v>
      </c>
      <c r="Q1249" t="s">
        <v>2343</v>
      </c>
      <c r="R1249" t="s">
        <v>248</v>
      </c>
      <c r="S1249">
        <v>151.37721300000001</v>
      </c>
      <c r="T1249" s="1095">
        <v>-33.208801000000001</v>
      </c>
    </row>
    <row r="1250" spans="16:20">
      <c r="P1250" s="1094">
        <v>2259</v>
      </c>
      <c r="Q1250" t="s">
        <v>2344</v>
      </c>
      <c r="R1250" t="s">
        <v>248</v>
      </c>
      <c r="S1250">
        <v>151.37721300000001</v>
      </c>
      <c r="T1250" s="1095">
        <v>-33.208801000000001</v>
      </c>
    </row>
    <row r="1251" spans="16:20">
      <c r="P1251" s="1094">
        <v>2259</v>
      </c>
      <c r="Q1251" t="s">
        <v>2345</v>
      </c>
      <c r="R1251" t="s">
        <v>248</v>
      </c>
      <c r="S1251">
        <v>151.37721300000001</v>
      </c>
      <c r="T1251" s="1095">
        <v>-33.208801000000001</v>
      </c>
    </row>
    <row r="1252" spans="16:20">
      <c r="P1252" s="1094">
        <v>2259</v>
      </c>
      <c r="Q1252" t="s">
        <v>2346</v>
      </c>
      <c r="R1252" t="s">
        <v>248</v>
      </c>
      <c r="S1252">
        <v>151.37721300000001</v>
      </c>
      <c r="T1252" s="1095">
        <v>-33.208801000000001</v>
      </c>
    </row>
    <row r="1253" spans="16:20">
      <c r="P1253" s="1094">
        <v>2259</v>
      </c>
      <c r="Q1253" t="s">
        <v>2347</v>
      </c>
      <c r="R1253" t="s">
        <v>248</v>
      </c>
      <c r="S1253">
        <v>151.37721300000001</v>
      </c>
      <c r="T1253" s="1095">
        <v>-33.208801000000001</v>
      </c>
    </row>
    <row r="1254" spans="16:20">
      <c r="P1254" s="1094">
        <v>2259</v>
      </c>
      <c r="Q1254" t="s">
        <v>2348</v>
      </c>
      <c r="R1254" t="s">
        <v>248</v>
      </c>
      <c r="S1254">
        <v>151.37721300000001</v>
      </c>
      <c r="T1254" s="1095">
        <v>-33.208801000000001</v>
      </c>
    </row>
    <row r="1255" spans="16:20">
      <c r="P1255" s="1094">
        <v>2259</v>
      </c>
      <c r="Q1255" t="s">
        <v>2349</v>
      </c>
      <c r="R1255" t="s">
        <v>248</v>
      </c>
      <c r="S1255">
        <v>151.37721300000001</v>
      </c>
      <c r="T1255" s="1095">
        <v>-33.208801000000001</v>
      </c>
    </row>
    <row r="1256" spans="16:20">
      <c r="P1256" s="1094">
        <v>2259</v>
      </c>
      <c r="Q1256" t="s">
        <v>2350</v>
      </c>
      <c r="R1256" t="s">
        <v>248</v>
      </c>
      <c r="S1256">
        <v>151.37721300000001</v>
      </c>
      <c r="T1256" s="1095">
        <v>-33.208801000000001</v>
      </c>
    </row>
    <row r="1257" spans="16:20">
      <c r="P1257" s="1094">
        <v>2259</v>
      </c>
      <c r="Q1257" t="s">
        <v>2351</v>
      </c>
      <c r="R1257" t="s">
        <v>248</v>
      </c>
      <c r="S1257">
        <v>151.37721300000001</v>
      </c>
      <c r="T1257" s="1095">
        <v>-33.208801000000001</v>
      </c>
    </row>
    <row r="1258" spans="16:20">
      <c r="P1258" s="1094">
        <v>2259</v>
      </c>
      <c r="Q1258" t="s">
        <v>2352</v>
      </c>
      <c r="R1258" t="s">
        <v>248</v>
      </c>
      <c r="S1258">
        <v>151.37721300000001</v>
      </c>
      <c r="T1258" s="1095">
        <v>-33.208801000000001</v>
      </c>
    </row>
    <row r="1259" spans="16:20">
      <c r="P1259" s="1094">
        <v>2259</v>
      </c>
      <c r="Q1259" t="s">
        <v>2353</v>
      </c>
      <c r="R1259" t="s">
        <v>248</v>
      </c>
      <c r="S1259">
        <v>151.37721300000001</v>
      </c>
      <c r="T1259" s="1095">
        <v>-33.208801000000001</v>
      </c>
    </row>
    <row r="1260" spans="16:20">
      <c r="P1260" s="1094">
        <v>2259</v>
      </c>
      <c r="Q1260" t="s">
        <v>2354</v>
      </c>
      <c r="R1260" t="s">
        <v>248</v>
      </c>
      <c r="S1260">
        <v>151.37721300000001</v>
      </c>
      <c r="T1260" s="1095">
        <v>-33.208801000000001</v>
      </c>
    </row>
    <row r="1261" spans="16:20">
      <c r="P1261" s="1094">
        <v>2259</v>
      </c>
      <c r="Q1261" t="s">
        <v>2355</v>
      </c>
      <c r="R1261" t="s">
        <v>248</v>
      </c>
      <c r="S1261">
        <v>151.37721300000001</v>
      </c>
      <c r="T1261" s="1095">
        <v>-33.208801000000001</v>
      </c>
    </row>
    <row r="1262" spans="16:20">
      <c r="P1262" s="1094">
        <v>2259</v>
      </c>
      <c r="Q1262" t="s">
        <v>2356</v>
      </c>
      <c r="R1262" t="s">
        <v>248</v>
      </c>
      <c r="S1262">
        <v>151.37721300000001</v>
      </c>
      <c r="T1262" s="1095">
        <v>-33.208801000000001</v>
      </c>
    </row>
    <row r="1263" spans="16:20">
      <c r="P1263" s="1094">
        <v>2259</v>
      </c>
      <c r="Q1263" t="s">
        <v>2357</v>
      </c>
      <c r="R1263" t="s">
        <v>248</v>
      </c>
      <c r="S1263">
        <v>151.37721300000001</v>
      </c>
      <c r="T1263" s="1095">
        <v>-33.208801000000001</v>
      </c>
    </row>
    <row r="1264" spans="16:20">
      <c r="P1264" s="1094">
        <v>2259</v>
      </c>
      <c r="Q1264" t="s">
        <v>2358</v>
      </c>
      <c r="R1264" t="s">
        <v>248</v>
      </c>
      <c r="S1264">
        <v>151.37721300000001</v>
      </c>
      <c r="T1264" s="1095">
        <v>-33.208801000000001</v>
      </c>
    </row>
    <row r="1265" spans="16:20">
      <c r="P1265" s="1094">
        <v>2259</v>
      </c>
      <c r="Q1265" t="s">
        <v>2359</v>
      </c>
      <c r="R1265" t="s">
        <v>248</v>
      </c>
      <c r="S1265">
        <v>151.37721300000001</v>
      </c>
      <c r="T1265" s="1095">
        <v>-33.208801000000001</v>
      </c>
    </row>
    <row r="1266" spans="16:20">
      <c r="P1266" s="1094">
        <v>2259</v>
      </c>
      <c r="Q1266" t="s">
        <v>2360</v>
      </c>
      <c r="R1266" t="s">
        <v>248</v>
      </c>
      <c r="S1266">
        <v>151.37721300000001</v>
      </c>
      <c r="T1266" s="1095">
        <v>-33.208801000000001</v>
      </c>
    </row>
    <row r="1267" spans="16:20">
      <c r="P1267" s="1094">
        <v>2259</v>
      </c>
      <c r="Q1267" t="s">
        <v>2361</v>
      </c>
      <c r="R1267" t="s">
        <v>248</v>
      </c>
      <c r="S1267">
        <v>151.37721300000001</v>
      </c>
      <c r="T1267" s="1095">
        <v>-33.208801000000001</v>
      </c>
    </row>
    <row r="1268" spans="16:20">
      <c r="P1268" s="1094">
        <v>2259</v>
      </c>
      <c r="Q1268" t="s">
        <v>2362</v>
      </c>
      <c r="R1268" t="s">
        <v>248</v>
      </c>
      <c r="S1268">
        <v>151.37721300000001</v>
      </c>
      <c r="T1268" s="1095">
        <v>-33.208801000000001</v>
      </c>
    </row>
    <row r="1269" spans="16:20">
      <c r="P1269" s="1094">
        <v>2259</v>
      </c>
      <c r="Q1269" t="s">
        <v>2363</v>
      </c>
      <c r="R1269" t="s">
        <v>248</v>
      </c>
      <c r="S1269">
        <v>151.37721300000001</v>
      </c>
      <c r="T1269" s="1095">
        <v>-33.208801000000001</v>
      </c>
    </row>
    <row r="1270" spans="16:20">
      <c r="P1270" s="1094">
        <v>2259</v>
      </c>
      <c r="Q1270" t="s">
        <v>2364</v>
      </c>
      <c r="R1270" t="s">
        <v>248</v>
      </c>
      <c r="S1270">
        <v>151.37721300000001</v>
      </c>
      <c r="T1270" s="1095">
        <v>-33.208801000000001</v>
      </c>
    </row>
    <row r="1271" spans="16:20">
      <c r="P1271" s="1094">
        <v>2259</v>
      </c>
      <c r="Q1271" t="s">
        <v>2365</v>
      </c>
      <c r="R1271" t="s">
        <v>248</v>
      </c>
      <c r="S1271">
        <v>151.37721300000001</v>
      </c>
      <c r="T1271" s="1095">
        <v>-33.208801000000001</v>
      </c>
    </row>
    <row r="1272" spans="16:20">
      <c r="P1272" s="1094">
        <v>2259</v>
      </c>
      <c r="Q1272" t="s">
        <v>2366</v>
      </c>
      <c r="R1272" t="s">
        <v>248</v>
      </c>
      <c r="S1272">
        <v>151.37721300000001</v>
      </c>
      <c r="T1272" s="1095">
        <v>-33.208801000000001</v>
      </c>
    </row>
    <row r="1273" spans="16:20">
      <c r="P1273" s="1094">
        <v>2259</v>
      </c>
      <c r="Q1273" t="s">
        <v>2367</v>
      </c>
      <c r="R1273" t="s">
        <v>248</v>
      </c>
      <c r="S1273">
        <v>151.37721300000001</v>
      </c>
      <c r="T1273" s="1095">
        <v>-33.208801000000001</v>
      </c>
    </row>
    <row r="1274" spans="16:20">
      <c r="P1274" s="1094">
        <v>2259</v>
      </c>
      <c r="Q1274" t="s">
        <v>2368</v>
      </c>
      <c r="R1274" t="s">
        <v>248</v>
      </c>
      <c r="S1274">
        <v>151.37721300000001</v>
      </c>
      <c r="T1274" s="1095">
        <v>-33.208801000000001</v>
      </c>
    </row>
    <row r="1275" spans="16:20">
      <c r="P1275" s="1094">
        <v>2259</v>
      </c>
      <c r="Q1275" t="s">
        <v>2369</v>
      </c>
      <c r="R1275" t="s">
        <v>248</v>
      </c>
      <c r="S1275">
        <v>151.37721300000001</v>
      </c>
      <c r="T1275" s="1095">
        <v>-33.208801000000001</v>
      </c>
    </row>
    <row r="1276" spans="16:20">
      <c r="P1276" s="1094">
        <v>2259</v>
      </c>
      <c r="Q1276" t="s">
        <v>2370</v>
      </c>
      <c r="R1276" t="s">
        <v>248</v>
      </c>
      <c r="S1276">
        <v>151.37721300000001</v>
      </c>
      <c r="T1276" s="1095">
        <v>-33.208801000000001</v>
      </c>
    </row>
    <row r="1277" spans="16:20">
      <c r="P1277" s="1094">
        <v>2259</v>
      </c>
      <c r="Q1277" t="s">
        <v>2371</v>
      </c>
      <c r="R1277" t="s">
        <v>248</v>
      </c>
      <c r="S1277">
        <v>151.37721300000001</v>
      </c>
      <c r="T1277" s="1095">
        <v>-33.208801000000001</v>
      </c>
    </row>
    <row r="1278" spans="16:20">
      <c r="P1278" s="1094">
        <v>2259</v>
      </c>
      <c r="Q1278" t="s">
        <v>2372</v>
      </c>
      <c r="R1278" t="s">
        <v>248</v>
      </c>
      <c r="S1278">
        <v>151.37721300000001</v>
      </c>
      <c r="T1278" s="1095">
        <v>-33.208801000000001</v>
      </c>
    </row>
    <row r="1279" spans="16:20">
      <c r="P1279" s="1094">
        <v>2259</v>
      </c>
      <c r="Q1279" t="s">
        <v>2373</v>
      </c>
      <c r="R1279" t="s">
        <v>248</v>
      </c>
      <c r="S1279">
        <v>151.37721300000001</v>
      </c>
      <c r="T1279" s="1095">
        <v>-33.208801000000001</v>
      </c>
    </row>
    <row r="1280" spans="16:20">
      <c r="P1280" s="1094">
        <v>2259</v>
      </c>
      <c r="Q1280" t="s">
        <v>2374</v>
      </c>
      <c r="R1280" t="s">
        <v>248</v>
      </c>
      <c r="S1280">
        <v>151.37721300000001</v>
      </c>
      <c r="T1280" s="1095">
        <v>-33.208801000000001</v>
      </c>
    </row>
    <row r="1281" spans="16:20">
      <c r="P1281" s="1094">
        <v>2259</v>
      </c>
      <c r="Q1281" t="s">
        <v>2375</v>
      </c>
      <c r="R1281" t="s">
        <v>248</v>
      </c>
      <c r="S1281">
        <v>151.37721300000001</v>
      </c>
      <c r="T1281" s="1095">
        <v>-33.208801000000001</v>
      </c>
    </row>
    <row r="1282" spans="16:20">
      <c r="P1282" s="1094">
        <v>2259</v>
      </c>
      <c r="Q1282" t="s">
        <v>2376</v>
      </c>
      <c r="R1282" t="s">
        <v>248</v>
      </c>
      <c r="S1282">
        <v>151.37721300000001</v>
      </c>
      <c r="T1282" s="1095">
        <v>-33.208801000000001</v>
      </c>
    </row>
    <row r="1283" spans="16:20">
      <c r="P1283" s="1094">
        <v>2259</v>
      </c>
      <c r="Q1283" t="s">
        <v>2377</v>
      </c>
      <c r="R1283" t="s">
        <v>248</v>
      </c>
      <c r="S1283">
        <v>151.37721300000001</v>
      </c>
      <c r="T1283" s="1095">
        <v>-33.208801000000001</v>
      </c>
    </row>
    <row r="1284" spans="16:20">
      <c r="P1284" s="1094">
        <v>2260</v>
      </c>
      <c r="Q1284" t="s">
        <v>2378</v>
      </c>
      <c r="R1284" t="s">
        <v>248</v>
      </c>
      <c r="S1284">
        <v>151.436939</v>
      </c>
      <c r="T1284" s="1095">
        <v>-33.425370000000001</v>
      </c>
    </row>
    <row r="1285" spans="16:20">
      <c r="P1285" s="1094">
        <v>2260</v>
      </c>
      <c r="Q1285" t="s">
        <v>2379</v>
      </c>
      <c r="R1285" t="s">
        <v>248</v>
      </c>
      <c r="S1285">
        <v>151.436939</v>
      </c>
      <c r="T1285" s="1095">
        <v>-33.425370000000001</v>
      </c>
    </row>
    <row r="1286" spans="16:20">
      <c r="P1286" s="1094">
        <v>2260</v>
      </c>
      <c r="Q1286" t="s">
        <v>2380</v>
      </c>
      <c r="R1286" t="s">
        <v>248</v>
      </c>
      <c r="S1286">
        <v>151.436939</v>
      </c>
      <c r="T1286" s="1095">
        <v>-33.425370000000001</v>
      </c>
    </row>
    <row r="1287" spans="16:20">
      <c r="P1287" s="1094">
        <v>2260</v>
      </c>
      <c r="Q1287" t="s">
        <v>2381</v>
      </c>
      <c r="R1287" t="s">
        <v>248</v>
      </c>
      <c r="S1287">
        <v>151.436939</v>
      </c>
      <c r="T1287" s="1095">
        <v>-33.425370000000001</v>
      </c>
    </row>
    <row r="1288" spans="16:20">
      <c r="P1288" s="1094">
        <v>2260</v>
      </c>
      <c r="Q1288" t="s">
        <v>2382</v>
      </c>
      <c r="R1288" t="s">
        <v>248</v>
      </c>
      <c r="S1288">
        <v>151.436939</v>
      </c>
      <c r="T1288" s="1095">
        <v>-33.425370000000001</v>
      </c>
    </row>
    <row r="1289" spans="16:20">
      <c r="P1289" s="1094">
        <v>2261</v>
      </c>
      <c r="Q1289" t="s">
        <v>2383</v>
      </c>
      <c r="R1289" t="s">
        <v>248</v>
      </c>
      <c r="S1289">
        <v>151.51970800000001</v>
      </c>
      <c r="T1289" s="1095">
        <v>-33.315826999999999</v>
      </c>
    </row>
    <row r="1290" spans="16:20">
      <c r="P1290" s="1094">
        <v>2261</v>
      </c>
      <c r="Q1290" t="s">
        <v>2384</v>
      </c>
      <c r="R1290" t="s">
        <v>248</v>
      </c>
      <c r="S1290">
        <v>151.51970800000001</v>
      </c>
      <c r="T1290" s="1095">
        <v>-33.315826999999999</v>
      </c>
    </row>
    <row r="1291" spans="16:20">
      <c r="P1291" s="1094">
        <v>2261</v>
      </c>
      <c r="Q1291" t="s">
        <v>2385</v>
      </c>
      <c r="R1291" t="s">
        <v>248</v>
      </c>
      <c r="S1291">
        <v>151.51970800000001</v>
      </c>
      <c r="T1291" s="1095">
        <v>-33.315826999999999</v>
      </c>
    </row>
    <row r="1292" spans="16:20">
      <c r="P1292" s="1094">
        <v>2261</v>
      </c>
      <c r="Q1292" t="s">
        <v>2386</v>
      </c>
      <c r="R1292" t="s">
        <v>248</v>
      </c>
      <c r="S1292">
        <v>151.51970800000001</v>
      </c>
      <c r="T1292" s="1095">
        <v>-33.315826999999999</v>
      </c>
    </row>
    <row r="1293" spans="16:20">
      <c r="P1293" s="1094">
        <v>2261</v>
      </c>
      <c r="Q1293" t="s">
        <v>2387</v>
      </c>
      <c r="R1293" t="s">
        <v>248</v>
      </c>
      <c r="S1293">
        <v>151.51970800000001</v>
      </c>
      <c r="T1293" s="1095">
        <v>-33.315826999999999</v>
      </c>
    </row>
    <row r="1294" spans="16:20">
      <c r="P1294" s="1094">
        <v>2261</v>
      </c>
      <c r="Q1294" t="s">
        <v>2388</v>
      </c>
      <c r="R1294" t="s">
        <v>248</v>
      </c>
      <c r="S1294">
        <v>151.51970800000001</v>
      </c>
      <c r="T1294" s="1095">
        <v>-33.315826999999999</v>
      </c>
    </row>
    <row r="1295" spans="16:20">
      <c r="P1295" s="1094">
        <v>2261</v>
      </c>
      <c r="Q1295" t="s">
        <v>2389</v>
      </c>
      <c r="R1295" t="s">
        <v>248</v>
      </c>
      <c r="S1295">
        <v>151.51970800000001</v>
      </c>
      <c r="T1295" s="1095">
        <v>-33.315826999999999</v>
      </c>
    </row>
    <row r="1296" spans="16:20">
      <c r="P1296" s="1094">
        <v>2261</v>
      </c>
      <c r="Q1296" t="s">
        <v>2390</v>
      </c>
      <c r="R1296" t="s">
        <v>248</v>
      </c>
      <c r="S1296">
        <v>151.51970800000001</v>
      </c>
      <c r="T1296" s="1095">
        <v>-33.315826999999999</v>
      </c>
    </row>
    <row r="1297" spans="16:20">
      <c r="P1297" s="1094">
        <v>2261</v>
      </c>
      <c r="Q1297" t="s">
        <v>2391</v>
      </c>
      <c r="R1297" t="s">
        <v>248</v>
      </c>
      <c r="S1297">
        <v>151.51970800000001</v>
      </c>
      <c r="T1297" s="1095">
        <v>-33.315826999999999</v>
      </c>
    </row>
    <row r="1298" spans="16:20">
      <c r="P1298" s="1094">
        <v>2261</v>
      </c>
      <c r="Q1298" t="s">
        <v>2392</v>
      </c>
      <c r="R1298" t="s">
        <v>248</v>
      </c>
      <c r="S1298">
        <v>151.51970800000001</v>
      </c>
      <c r="T1298" s="1095">
        <v>-33.315826999999999</v>
      </c>
    </row>
    <row r="1299" spans="16:20">
      <c r="P1299" s="1094">
        <v>2261</v>
      </c>
      <c r="Q1299" t="s">
        <v>2393</v>
      </c>
      <c r="R1299" t="s">
        <v>248</v>
      </c>
      <c r="S1299">
        <v>151.51970800000001</v>
      </c>
      <c r="T1299" s="1095">
        <v>-33.315826999999999</v>
      </c>
    </row>
    <row r="1300" spans="16:20">
      <c r="P1300" s="1094">
        <v>2261</v>
      </c>
      <c r="Q1300" t="s">
        <v>2394</v>
      </c>
      <c r="R1300" t="s">
        <v>248</v>
      </c>
      <c r="S1300">
        <v>151.51970800000001</v>
      </c>
      <c r="T1300" s="1095">
        <v>-33.315826999999999</v>
      </c>
    </row>
    <row r="1301" spans="16:20">
      <c r="P1301" s="1094">
        <v>2261</v>
      </c>
      <c r="Q1301" t="s">
        <v>2395</v>
      </c>
      <c r="R1301" t="s">
        <v>248</v>
      </c>
      <c r="S1301">
        <v>151.51970800000001</v>
      </c>
      <c r="T1301" s="1095">
        <v>-33.315826999999999</v>
      </c>
    </row>
    <row r="1302" spans="16:20">
      <c r="P1302" s="1094">
        <v>2261</v>
      </c>
      <c r="Q1302" t="s">
        <v>2396</v>
      </c>
      <c r="R1302" t="s">
        <v>248</v>
      </c>
      <c r="S1302">
        <v>151.51970800000001</v>
      </c>
      <c r="T1302" s="1095">
        <v>-33.315826999999999</v>
      </c>
    </row>
    <row r="1303" spans="16:20">
      <c r="P1303" s="1094">
        <v>2262</v>
      </c>
      <c r="Q1303" t="s">
        <v>2397</v>
      </c>
      <c r="R1303" t="s">
        <v>248</v>
      </c>
      <c r="S1303">
        <v>151.528042</v>
      </c>
      <c r="T1303" s="1095">
        <v>-33.209125</v>
      </c>
    </row>
    <row r="1304" spans="16:20">
      <c r="P1304" s="1094">
        <v>2262</v>
      </c>
      <c r="Q1304" t="s">
        <v>2398</v>
      </c>
      <c r="R1304" t="s">
        <v>248</v>
      </c>
      <c r="S1304">
        <v>151.528042</v>
      </c>
      <c r="T1304" s="1095">
        <v>-33.209125</v>
      </c>
    </row>
    <row r="1305" spans="16:20">
      <c r="P1305" s="1094">
        <v>2262</v>
      </c>
      <c r="Q1305" t="s">
        <v>2399</v>
      </c>
      <c r="R1305" t="s">
        <v>248</v>
      </c>
      <c r="S1305">
        <v>151.528042</v>
      </c>
      <c r="T1305" s="1095">
        <v>-33.209125</v>
      </c>
    </row>
    <row r="1306" spans="16:20">
      <c r="P1306" s="1094">
        <v>2262</v>
      </c>
      <c r="Q1306" t="s">
        <v>2400</v>
      </c>
      <c r="R1306" t="s">
        <v>248</v>
      </c>
      <c r="S1306">
        <v>151.528042</v>
      </c>
      <c r="T1306" s="1095">
        <v>-33.209125</v>
      </c>
    </row>
    <row r="1307" spans="16:20">
      <c r="P1307" s="1094">
        <v>2262</v>
      </c>
      <c r="Q1307" t="s">
        <v>2401</v>
      </c>
      <c r="R1307" t="s">
        <v>248</v>
      </c>
      <c r="S1307">
        <v>151.528042</v>
      </c>
      <c r="T1307" s="1095">
        <v>-33.209125</v>
      </c>
    </row>
    <row r="1308" spans="16:20">
      <c r="P1308" s="1094">
        <v>2262</v>
      </c>
      <c r="Q1308" t="s">
        <v>2402</v>
      </c>
      <c r="R1308" t="s">
        <v>248</v>
      </c>
      <c r="S1308">
        <v>151.528042</v>
      </c>
      <c r="T1308" s="1095">
        <v>-33.209125</v>
      </c>
    </row>
    <row r="1309" spans="16:20">
      <c r="P1309" s="1094">
        <v>2263</v>
      </c>
      <c r="Q1309" t="s">
        <v>2403</v>
      </c>
      <c r="R1309" t="s">
        <v>248</v>
      </c>
      <c r="S1309">
        <v>151.55622299999999</v>
      </c>
      <c r="T1309" s="1095">
        <v>-33.285097</v>
      </c>
    </row>
    <row r="1310" spans="16:20">
      <c r="P1310" s="1094">
        <v>2263</v>
      </c>
      <c r="Q1310" t="s">
        <v>2404</v>
      </c>
      <c r="R1310" t="s">
        <v>248</v>
      </c>
      <c r="S1310">
        <v>151.55622299999999</v>
      </c>
      <c r="T1310" s="1095">
        <v>-33.285097</v>
      </c>
    </row>
    <row r="1311" spans="16:20">
      <c r="P1311" s="1094">
        <v>2263</v>
      </c>
      <c r="Q1311" t="s">
        <v>2405</v>
      </c>
      <c r="R1311" t="s">
        <v>248</v>
      </c>
      <c r="S1311">
        <v>151.55622299999999</v>
      </c>
      <c r="T1311" s="1095">
        <v>-33.285097</v>
      </c>
    </row>
    <row r="1312" spans="16:20">
      <c r="P1312" s="1094">
        <v>2263</v>
      </c>
      <c r="Q1312" t="s">
        <v>2406</v>
      </c>
      <c r="R1312" t="s">
        <v>248</v>
      </c>
      <c r="S1312">
        <v>151.55622299999999</v>
      </c>
      <c r="T1312" s="1095">
        <v>-33.285097</v>
      </c>
    </row>
    <row r="1313" spans="16:20">
      <c r="P1313" s="1094">
        <v>2263</v>
      </c>
      <c r="Q1313" t="s">
        <v>2407</v>
      </c>
      <c r="R1313" t="s">
        <v>248</v>
      </c>
      <c r="S1313">
        <v>151.55622299999999</v>
      </c>
      <c r="T1313" s="1095">
        <v>-33.285097</v>
      </c>
    </row>
    <row r="1314" spans="16:20">
      <c r="P1314" s="1094">
        <v>2263</v>
      </c>
      <c r="Q1314" t="s">
        <v>2408</v>
      </c>
      <c r="R1314" t="s">
        <v>248</v>
      </c>
      <c r="S1314">
        <v>151.55622299999999</v>
      </c>
      <c r="T1314" s="1095">
        <v>-33.285097</v>
      </c>
    </row>
    <row r="1315" spans="16:20">
      <c r="P1315" s="1094">
        <v>2263</v>
      </c>
      <c r="Q1315" t="s">
        <v>2409</v>
      </c>
      <c r="R1315" t="s">
        <v>248</v>
      </c>
      <c r="S1315">
        <v>151.55622299999999</v>
      </c>
      <c r="T1315" s="1095">
        <v>-33.285097</v>
      </c>
    </row>
    <row r="1316" spans="16:20">
      <c r="P1316" s="1094">
        <v>2264</v>
      </c>
      <c r="Q1316" t="s">
        <v>2410</v>
      </c>
      <c r="R1316" t="s">
        <v>248</v>
      </c>
      <c r="S1316">
        <v>151.533807</v>
      </c>
      <c r="T1316" s="1095">
        <v>-33.106675000000003</v>
      </c>
    </row>
    <row r="1317" spans="16:20">
      <c r="P1317" s="1094">
        <v>2264</v>
      </c>
      <c r="Q1317" t="s">
        <v>2411</v>
      </c>
      <c r="R1317" t="s">
        <v>248</v>
      </c>
      <c r="S1317">
        <v>151.533807</v>
      </c>
      <c r="T1317" s="1095">
        <v>-33.106675000000003</v>
      </c>
    </row>
    <row r="1318" spans="16:20">
      <c r="P1318" s="1094">
        <v>2264</v>
      </c>
      <c r="Q1318" t="s">
        <v>2412</v>
      </c>
      <c r="R1318" t="s">
        <v>248</v>
      </c>
      <c r="S1318">
        <v>151.533807</v>
      </c>
      <c r="T1318" s="1095">
        <v>-33.106675000000003</v>
      </c>
    </row>
    <row r="1319" spans="16:20">
      <c r="P1319" s="1094">
        <v>2264</v>
      </c>
      <c r="Q1319" t="s">
        <v>2413</v>
      </c>
      <c r="R1319" t="s">
        <v>248</v>
      </c>
      <c r="S1319">
        <v>151.533807</v>
      </c>
      <c r="T1319" s="1095">
        <v>-33.106675000000003</v>
      </c>
    </row>
    <row r="1320" spans="16:20">
      <c r="P1320" s="1094">
        <v>2264</v>
      </c>
      <c r="Q1320" t="s">
        <v>2414</v>
      </c>
      <c r="R1320" t="s">
        <v>248</v>
      </c>
      <c r="S1320">
        <v>151.533807</v>
      </c>
      <c r="T1320" s="1095">
        <v>-33.106675000000003</v>
      </c>
    </row>
    <row r="1321" spans="16:20">
      <c r="P1321" s="1094">
        <v>2264</v>
      </c>
      <c r="Q1321" t="s">
        <v>2415</v>
      </c>
      <c r="R1321" t="s">
        <v>248</v>
      </c>
      <c r="S1321">
        <v>151.533807</v>
      </c>
      <c r="T1321" s="1095">
        <v>-33.106675000000003</v>
      </c>
    </row>
    <row r="1322" spans="16:20">
      <c r="P1322" s="1094">
        <v>2264</v>
      </c>
      <c r="Q1322" t="s">
        <v>2416</v>
      </c>
      <c r="R1322" t="s">
        <v>248</v>
      </c>
      <c r="S1322">
        <v>151.533807</v>
      </c>
      <c r="T1322" s="1095">
        <v>-33.106675000000003</v>
      </c>
    </row>
    <row r="1323" spans="16:20">
      <c r="P1323" s="1094">
        <v>2264</v>
      </c>
      <c r="Q1323" t="s">
        <v>2417</v>
      </c>
      <c r="R1323" t="s">
        <v>248</v>
      </c>
      <c r="S1323">
        <v>151.533807</v>
      </c>
      <c r="T1323" s="1095">
        <v>-33.106675000000003</v>
      </c>
    </row>
    <row r="1324" spans="16:20">
      <c r="P1324" s="1094">
        <v>2264</v>
      </c>
      <c r="Q1324" t="s">
        <v>2418</v>
      </c>
      <c r="R1324" t="s">
        <v>248</v>
      </c>
      <c r="S1324">
        <v>151.533807</v>
      </c>
      <c r="T1324" s="1095">
        <v>-33.106675000000003</v>
      </c>
    </row>
    <row r="1325" spans="16:20">
      <c r="P1325" s="1094">
        <v>2264</v>
      </c>
      <c r="Q1325" t="s">
        <v>2419</v>
      </c>
      <c r="R1325" t="s">
        <v>248</v>
      </c>
      <c r="S1325">
        <v>151.533807</v>
      </c>
      <c r="T1325" s="1095">
        <v>-33.106675000000003</v>
      </c>
    </row>
    <row r="1326" spans="16:20">
      <c r="P1326" s="1094">
        <v>2264</v>
      </c>
      <c r="Q1326" t="s">
        <v>1709</v>
      </c>
      <c r="R1326" t="s">
        <v>248</v>
      </c>
      <c r="S1326">
        <v>151.533807</v>
      </c>
      <c r="T1326" s="1095">
        <v>-33.106675000000003</v>
      </c>
    </row>
    <row r="1327" spans="16:20">
      <c r="P1327" s="1094">
        <v>2264</v>
      </c>
      <c r="Q1327" t="s">
        <v>2420</v>
      </c>
      <c r="R1327" t="s">
        <v>248</v>
      </c>
      <c r="S1327">
        <v>151.533807</v>
      </c>
      <c r="T1327" s="1095">
        <v>-33.106675000000003</v>
      </c>
    </row>
    <row r="1328" spans="16:20">
      <c r="P1328" s="1094">
        <v>2264</v>
      </c>
      <c r="Q1328" t="s">
        <v>2421</v>
      </c>
      <c r="R1328" t="s">
        <v>248</v>
      </c>
      <c r="S1328">
        <v>151.533807</v>
      </c>
      <c r="T1328" s="1095">
        <v>-33.106675000000003</v>
      </c>
    </row>
    <row r="1329" spans="16:20">
      <c r="P1329" s="1094">
        <v>2264</v>
      </c>
      <c r="Q1329" t="s">
        <v>2422</v>
      </c>
      <c r="R1329" t="s">
        <v>248</v>
      </c>
      <c r="S1329">
        <v>151.533807</v>
      </c>
      <c r="T1329" s="1095">
        <v>-33.106675000000003</v>
      </c>
    </row>
    <row r="1330" spans="16:20">
      <c r="P1330" s="1094">
        <v>2265</v>
      </c>
      <c r="Q1330" t="s">
        <v>2423</v>
      </c>
      <c r="R1330" t="s">
        <v>248</v>
      </c>
      <c r="S1330">
        <v>151.41211899999999</v>
      </c>
      <c r="T1330" s="1095">
        <v>-33.095551999999998</v>
      </c>
    </row>
    <row r="1331" spans="16:20">
      <c r="P1331" s="1094">
        <v>2265</v>
      </c>
      <c r="Q1331" t="s">
        <v>2424</v>
      </c>
      <c r="R1331" t="s">
        <v>248</v>
      </c>
      <c r="S1331">
        <v>151.41211899999999</v>
      </c>
      <c r="T1331" s="1095">
        <v>-33.095551999999998</v>
      </c>
    </row>
    <row r="1332" spans="16:20">
      <c r="P1332" s="1094">
        <v>2267</v>
      </c>
      <c r="Q1332" t="s">
        <v>2425</v>
      </c>
      <c r="R1332" t="s">
        <v>248</v>
      </c>
      <c r="S1332">
        <v>151.59172799999999</v>
      </c>
      <c r="T1332" s="1095">
        <v>-33.086545000000001</v>
      </c>
    </row>
    <row r="1333" spans="16:20">
      <c r="P1333" s="1094">
        <v>2278</v>
      </c>
      <c r="Q1333" t="s">
        <v>2426</v>
      </c>
      <c r="R1333" t="s">
        <v>248</v>
      </c>
      <c r="S1333">
        <v>0</v>
      </c>
      <c r="T1333" s="1095">
        <v>0</v>
      </c>
    </row>
    <row r="1334" spans="16:20">
      <c r="P1334" s="1094">
        <v>2278</v>
      </c>
      <c r="Q1334" t="s">
        <v>2427</v>
      </c>
      <c r="R1334" t="s">
        <v>248</v>
      </c>
      <c r="S1334">
        <v>0</v>
      </c>
      <c r="T1334" s="1095">
        <v>0</v>
      </c>
    </row>
    <row r="1335" spans="16:20">
      <c r="P1335" s="1094">
        <v>2278</v>
      </c>
      <c r="Q1335" t="s">
        <v>2428</v>
      </c>
      <c r="R1335" t="s">
        <v>248</v>
      </c>
      <c r="S1335">
        <v>0</v>
      </c>
      <c r="T1335" s="1095">
        <v>0</v>
      </c>
    </row>
    <row r="1336" spans="16:20">
      <c r="P1336" s="1094">
        <v>2280</v>
      </c>
      <c r="Q1336" t="s">
        <v>2429</v>
      </c>
      <c r="R1336" t="s">
        <v>248</v>
      </c>
      <c r="S1336">
        <v>151.663175</v>
      </c>
      <c r="T1336" s="1095">
        <v>-33.019714999999998</v>
      </c>
    </row>
    <row r="1337" spans="16:20">
      <c r="P1337" s="1094">
        <v>2280</v>
      </c>
      <c r="Q1337" t="s">
        <v>2430</v>
      </c>
      <c r="R1337" t="s">
        <v>248</v>
      </c>
      <c r="S1337">
        <v>151.663175</v>
      </c>
      <c r="T1337" s="1095">
        <v>-33.019714999999998</v>
      </c>
    </row>
    <row r="1338" spans="16:20">
      <c r="P1338" s="1094">
        <v>2280</v>
      </c>
      <c r="Q1338" t="s">
        <v>2431</v>
      </c>
      <c r="R1338" t="s">
        <v>248</v>
      </c>
      <c r="S1338">
        <v>151.663175</v>
      </c>
      <c r="T1338" s="1095">
        <v>-33.019714999999998</v>
      </c>
    </row>
    <row r="1339" spans="16:20">
      <c r="P1339" s="1094">
        <v>2280</v>
      </c>
      <c r="Q1339" t="s">
        <v>2432</v>
      </c>
      <c r="R1339" t="s">
        <v>248</v>
      </c>
      <c r="S1339">
        <v>151.663175</v>
      </c>
      <c r="T1339" s="1095">
        <v>-33.019714999999998</v>
      </c>
    </row>
    <row r="1340" spans="16:20">
      <c r="P1340" s="1094">
        <v>2280</v>
      </c>
      <c r="Q1340" t="s">
        <v>2433</v>
      </c>
      <c r="R1340" t="s">
        <v>248</v>
      </c>
      <c r="S1340">
        <v>151.663175</v>
      </c>
      <c r="T1340" s="1095">
        <v>-33.019714999999998</v>
      </c>
    </row>
    <row r="1341" spans="16:20">
      <c r="P1341" s="1094">
        <v>2280</v>
      </c>
      <c r="Q1341" t="s">
        <v>2434</v>
      </c>
      <c r="R1341" t="s">
        <v>248</v>
      </c>
      <c r="S1341">
        <v>151.663175</v>
      </c>
      <c r="T1341" s="1095">
        <v>-33.019714999999998</v>
      </c>
    </row>
    <row r="1342" spans="16:20">
      <c r="P1342" s="1094">
        <v>2280</v>
      </c>
      <c r="Q1342" t="s">
        <v>2435</v>
      </c>
      <c r="R1342" t="s">
        <v>248</v>
      </c>
      <c r="S1342">
        <v>151.663175</v>
      </c>
      <c r="T1342" s="1095">
        <v>-33.019714999999998</v>
      </c>
    </row>
    <row r="1343" spans="16:20">
      <c r="P1343" s="1094">
        <v>2280</v>
      </c>
      <c r="Q1343" t="s">
        <v>2436</v>
      </c>
      <c r="R1343" t="s">
        <v>248</v>
      </c>
      <c r="S1343">
        <v>151.663175</v>
      </c>
      <c r="T1343" s="1095">
        <v>-33.019714999999998</v>
      </c>
    </row>
    <row r="1344" spans="16:20">
      <c r="P1344" s="1094">
        <v>2281</v>
      </c>
      <c r="Q1344" t="s">
        <v>2437</v>
      </c>
      <c r="R1344" t="s">
        <v>248</v>
      </c>
      <c r="S1344">
        <v>151.668857</v>
      </c>
      <c r="T1344" s="1095">
        <v>-33.089962999999997</v>
      </c>
    </row>
    <row r="1345" spans="16:20">
      <c r="P1345" s="1094">
        <v>2281</v>
      </c>
      <c r="Q1345" t="s">
        <v>2438</v>
      </c>
      <c r="R1345" t="s">
        <v>248</v>
      </c>
      <c r="S1345">
        <v>151.668857</v>
      </c>
      <c r="T1345" s="1095">
        <v>-33.089962999999997</v>
      </c>
    </row>
    <row r="1346" spans="16:20">
      <c r="P1346" s="1094">
        <v>2281</v>
      </c>
      <c r="Q1346" t="s">
        <v>2439</v>
      </c>
      <c r="R1346" t="s">
        <v>248</v>
      </c>
      <c r="S1346">
        <v>151.668857</v>
      </c>
      <c r="T1346" s="1095">
        <v>-33.089962999999997</v>
      </c>
    </row>
    <row r="1347" spans="16:20">
      <c r="P1347" s="1094">
        <v>2281</v>
      </c>
      <c r="Q1347" t="s">
        <v>2440</v>
      </c>
      <c r="R1347" t="s">
        <v>248</v>
      </c>
      <c r="S1347">
        <v>151.668857</v>
      </c>
      <c r="T1347" s="1095">
        <v>-33.089962999999997</v>
      </c>
    </row>
    <row r="1348" spans="16:20">
      <c r="P1348" s="1094">
        <v>2281</v>
      </c>
      <c r="Q1348" t="s">
        <v>2441</v>
      </c>
      <c r="R1348" t="s">
        <v>248</v>
      </c>
      <c r="S1348">
        <v>151.668857</v>
      </c>
      <c r="T1348" s="1095">
        <v>-33.089962999999997</v>
      </c>
    </row>
    <row r="1349" spans="16:20">
      <c r="P1349" s="1094">
        <v>2281</v>
      </c>
      <c r="Q1349" t="s">
        <v>2442</v>
      </c>
      <c r="R1349" t="s">
        <v>248</v>
      </c>
      <c r="S1349">
        <v>151.668857</v>
      </c>
      <c r="T1349" s="1095">
        <v>-33.089962999999997</v>
      </c>
    </row>
    <row r="1350" spans="16:20">
      <c r="P1350" s="1094">
        <v>2281</v>
      </c>
      <c r="Q1350" t="s">
        <v>2443</v>
      </c>
      <c r="R1350" t="s">
        <v>248</v>
      </c>
      <c r="S1350">
        <v>151.668857</v>
      </c>
      <c r="T1350" s="1095">
        <v>-33.089962999999997</v>
      </c>
    </row>
    <row r="1351" spans="16:20">
      <c r="P1351" s="1094">
        <v>2281</v>
      </c>
      <c r="Q1351" t="s">
        <v>2444</v>
      </c>
      <c r="R1351" t="s">
        <v>248</v>
      </c>
      <c r="S1351">
        <v>151.668857</v>
      </c>
      <c r="T1351" s="1095">
        <v>-33.089962999999997</v>
      </c>
    </row>
    <row r="1352" spans="16:20">
      <c r="P1352" s="1094">
        <v>2281</v>
      </c>
      <c r="Q1352" t="s">
        <v>2445</v>
      </c>
      <c r="R1352" t="s">
        <v>248</v>
      </c>
      <c r="S1352">
        <v>151.668857</v>
      </c>
      <c r="T1352" s="1095">
        <v>-33.089962999999997</v>
      </c>
    </row>
    <row r="1353" spans="16:20">
      <c r="P1353" s="1094">
        <v>2281</v>
      </c>
      <c r="Q1353" t="s">
        <v>2446</v>
      </c>
      <c r="R1353" t="s">
        <v>248</v>
      </c>
      <c r="S1353">
        <v>151.668857</v>
      </c>
      <c r="T1353" s="1095">
        <v>-33.089962999999997</v>
      </c>
    </row>
    <row r="1354" spans="16:20">
      <c r="P1354" s="1094">
        <v>2282</v>
      </c>
      <c r="Q1354" t="s">
        <v>2447</v>
      </c>
      <c r="R1354" t="s">
        <v>248</v>
      </c>
      <c r="S1354">
        <v>151.651275</v>
      </c>
      <c r="T1354" s="1095">
        <v>-32.987279000000001</v>
      </c>
    </row>
    <row r="1355" spans="16:20">
      <c r="P1355" s="1094">
        <v>2282</v>
      </c>
      <c r="Q1355" t="s">
        <v>2448</v>
      </c>
      <c r="R1355" t="s">
        <v>248</v>
      </c>
      <c r="S1355">
        <v>151.651275</v>
      </c>
      <c r="T1355" s="1095">
        <v>-32.987279000000001</v>
      </c>
    </row>
    <row r="1356" spans="16:20">
      <c r="P1356" s="1094">
        <v>2282</v>
      </c>
      <c r="Q1356" t="s">
        <v>2449</v>
      </c>
      <c r="R1356" t="s">
        <v>248</v>
      </c>
      <c r="S1356">
        <v>151.651275</v>
      </c>
      <c r="T1356" s="1095">
        <v>-32.987279000000001</v>
      </c>
    </row>
    <row r="1357" spans="16:20">
      <c r="P1357" s="1094">
        <v>2283</v>
      </c>
      <c r="Q1357" t="s">
        <v>2450</v>
      </c>
      <c r="R1357" t="s">
        <v>248</v>
      </c>
      <c r="S1357">
        <v>151.57181</v>
      </c>
      <c r="T1357" s="1095">
        <v>-33.019117000000001</v>
      </c>
    </row>
    <row r="1358" spans="16:20">
      <c r="P1358" s="1094">
        <v>2283</v>
      </c>
      <c r="Q1358" t="s">
        <v>2451</v>
      </c>
      <c r="R1358" t="s">
        <v>248</v>
      </c>
      <c r="S1358">
        <v>151.57181</v>
      </c>
      <c r="T1358" s="1095">
        <v>-33.019117000000001</v>
      </c>
    </row>
    <row r="1359" spans="16:20">
      <c r="P1359" s="1094">
        <v>2283</v>
      </c>
      <c r="Q1359" t="s">
        <v>2452</v>
      </c>
      <c r="R1359" t="s">
        <v>248</v>
      </c>
      <c r="S1359">
        <v>151.57181</v>
      </c>
      <c r="T1359" s="1095">
        <v>-33.019117000000001</v>
      </c>
    </row>
    <row r="1360" spans="16:20">
      <c r="P1360" s="1094">
        <v>2283</v>
      </c>
      <c r="Q1360" t="s">
        <v>2453</v>
      </c>
      <c r="R1360" t="s">
        <v>248</v>
      </c>
      <c r="S1360">
        <v>151.57181</v>
      </c>
      <c r="T1360" s="1095">
        <v>-33.019117000000001</v>
      </c>
    </row>
    <row r="1361" spans="16:20">
      <c r="P1361" s="1094">
        <v>2283</v>
      </c>
      <c r="Q1361" t="s">
        <v>2454</v>
      </c>
      <c r="R1361" t="s">
        <v>248</v>
      </c>
      <c r="S1361">
        <v>151.57181</v>
      </c>
      <c r="T1361" s="1095">
        <v>-33.019117000000001</v>
      </c>
    </row>
    <row r="1362" spans="16:20">
      <c r="P1362" s="1094">
        <v>2283</v>
      </c>
      <c r="Q1362" t="s">
        <v>2455</v>
      </c>
      <c r="R1362" t="s">
        <v>248</v>
      </c>
      <c r="S1362">
        <v>151.57181</v>
      </c>
      <c r="T1362" s="1095">
        <v>-33.019117000000001</v>
      </c>
    </row>
    <row r="1363" spans="16:20">
      <c r="P1363" s="1094">
        <v>2283</v>
      </c>
      <c r="Q1363" t="s">
        <v>2456</v>
      </c>
      <c r="R1363" t="s">
        <v>248</v>
      </c>
      <c r="S1363">
        <v>151.57181</v>
      </c>
      <c r="T1363" s="1095">
        <v>-33.019117000000001</v>
      </c>
    </row>
    <row r="1364" spans="16:20">
      <c r="P1364" s="1094">
        <v>2283</v>
      </c>
      <c r="Q1364" t="s">
        <v>2457</v>
      </c>
      <c r="R1364" t="s">
        <v>248</v>
      </c>
      <c r="S1364">
        <v>151.57181</v>
      </c>
      <c r="T1364" s="1095">
        <v>-33.019117000000001</v>
      </c>
    </row>
    <row r="1365" spans="16:20">
      <c r="P1365" s="1094">
        <v>2283</v>
      </c>
      <c r="Q1365" t="s">
        <v>2458</v>
      </c>
      <c r="R1365" t="s">
        <v>248</v>
      </c>
      <c r="S1365">
        <v>151.57181</v>
      </c>
      <c r="T1365" s="1095">
        <v>-33.019117000000001</v>
      </c>
    </row>
    <row r="1366" spans="16:20">
      <c r="P1366" s="1094">
        <v>2283</v>
      </c>
      <c r="Q1366" t="s">
        <v>2459</v>
      </c>
      <c r="R1366" t="s">
        <v>248</v>
      </c>
      <c r="S1366">
        <v>151.57181</v>
      </c>
      <c r="T1366" s="1095">
        <v>-33.019117000000001</v>
      </c>
    </row>
    <row r="1367" spans="16:20">
      <c r="P1367" s="1094">
        <v>2283</v>
      </c>
      <c r="Q1367" t="s">
        <v>2460</v>
      </c>
      <c r="R1367" t="s">
        <v>248</v>
      </c>
      <c r="S1367">
        <v>151.57181</v>
      </c>
      <c r="T1367" s="1095">
        <v>-33.019117000000001</v>
      </c>
    </row>
    <row r="1368" spans="16:20">
      <c r="P1368" s="1094">
        <v>2283</v>
      </c>
      <c r="Q1368" t="s">
        <v>2461</v>
      </c>
      <c r="R1368" t="s">
        <v>248</v>
      </c>
      <c r="S1368">
        <v>151.57181</v>
      </c>
      <c r="T1368" s="1095">
        <v>-33.019117000000001</v>
      </c>
    </row>
    <row r="1369" spans="16:20">
      <c r="P1369" s="1094">
        <v>2283</v>
      </c>
      <c r="Q1369" t="s">
        <v>2462</v>
      </c>
      <c r="R1369" t="s">
        <v>248</v>
      </c>
      <c r="S1369">
        <v>151.57181</v>
      </c>
      <c r="T1369" s="1095">
        <v>-33.019117000000001</v>
      </c>
    </row>
    <row r="1370" spans="16:20">
      <c r="P1370" s="1094">
        <v>2283</v>
      </c>
      <c r="Q1370" t="s">
        <v>2463</v>
      </c>
      <c r="R1370" t="s">
        <v>248</v>
      </c>
      <c r="S1370">
        <v>151.57181</v>
      </c>
      <c r="T1370" s="1095">
        <v>-33.019117000000001</v>
      </c>
    </row>
    <row r="1371" spans="16:20">
      <c r="P1371" s="1094">
        <v>2283</v>
      </c>
      <c r="Q1371" t="s">
        <v>2464</v>
      </c>
      <c r="R1371" t="s">
        <v>248</v>
      </c>
      <c r="S1371">
        <v>151.57181</v>
      </c>
      <c r="T1371" s="1095">
        <v>-33.019117000000001</v>
      </c>
    </row>
    <row r="1372" spans="16:20">
      <c r="P1372" s="1094">
        <v>2284</v>
      </c>
      <c r="Q1372" t="s">
        <v>2465</v>
      </c>
      <c r="R1372" t="s">
        <v>248</v>
      </c>
      <c r="S1372">
        <v>151.621183</v>
      </c>
      <c r="T1372" s="1095">
        <v>-32.953235999999997</v>
      </c>
    </row>
    <row r="1373" spans="16:20">
      <c r="P1373" s="1094">
        <v>2284</v>
      </c>
      <c r="Q1373" t="s">
        <v>2466</v>
      </c>
      <c r="R1373" t="s">
        <v>248</v>
      </c>
      <c r="S1373">
        <v>151.621183</v>
      </c>
      <c r="T1373" s="1095">
        <v>-32.953235999999997</v>
      </c>
    </row>
    <row r="1374" spans="16:20">
      <c r="P1374" s="1094">
        <v>2284</v>
      </c>
      <c r="Q1374" t="s">
        <v>2467</v>
      </c>
      <c r="R1374" t="s">
        <v>248</v>
      </c>
      <c r="S1374">
        <v>151.621183</v>
      </c>
      <c r="T1374" s="1095">
        <v>-32.953235999999997</v>
      </c>
    </row>
    <row r="1375" spans="16:20">
      <c r="P1375" s="1094">
        <v>2284</v>
      </c>
      <c r="Q1375" t="s">
        <v>2468</v>
      </c>
      <c r="R1375" t="s">
        <v>248</v>
      </c>
      <c r="S1375">
        <v>151.621183</v>
      </c>
      <c r="T1375" s="1095">
        <v>-32.953235999999997</v>
      </c>
    </row>
    <row r="1376" spans="16:20">
      <c r="P1376" s="1094">
        <v>2284</v>
      </c>
      <c r="Q1376" t="s">
        <v>2469</v>
      </c>
      <c r="R1376" t="s">
        <v>248</v>
      </c>
      <c r="S1376">
        <v>151.621183</v>
      </c>
      <c r="T1376" s="1095">
        <v>-32.953235999999997</v>
      </c>
    </row>
    <row r="1377" spans="16:20">
      <c r="P1377" s="1094">
        <v>2284</v>
      </c>
      <c r="Q1377" t="s">
        <v>2470</v>
      </c>
      <c r="R1377" t="s">
        <v>248</v>
      </c>
      <c r="S1377">
        <v>151.621183</v>
      </c>
      <c r="T1377" s="1095">
        <v>-32.953235999999997</v>
      </c>
    </row>
    <row r="1378" spans="16:20">
      <c r="P1378" s="1094">
        <v>2284</v>
      </c>
      <c r="Q1378" t="s">
        <v>2471</v>
      </c>
      <c r="R1378" t="s">
        <v>248</v>
      </c>
      <c r="S1378">
        <v>151.621183</v>
      </c>
      <c r="T1378" s="1095">
        <v>-32.953235999999997</v>
      </c>
    </row>
    <row r="1379" spans="16:20">
      <c r="P1379" s="1094">
        <v>2285</v>
      </c>
      <c r="Q1379" t="s">
        <v>2472</v>
      </c>
      <c r="R1379" t="s">
        <v>248</v>
      </c>
      <c r="S1379">
        <v>151.651095</v>
      </c>
      <c r="T1379" s="1095">
        <v>-32.933304999999997</v>
      </c>
    </row>
    <row r="1380" spans="16:20">
      <c r="P1380" s="1094">
        <v>2285</v>
      </c>
      <c r="Q1380" t="s">
        <v>2473</v>
      </c>
      <c r="R1380" t="s">
        <v>248</v>
      </c>
      <c r="S1380">
        <v>151.651095</v>
      </c>
      <c r="T1380" s="1095">
        <v>-32.933304999999997</v>
      </c>
    </row>
    <row r="1381" spans="16:20">
      <c r="P1381" s="1094">
        <v>2285</v>
      </c>
      <c r="Q1381" t="s">
        <v>2474</v>
      </c>
      <c r="R1381" t="s">
        <v>248</v>
      </c>
      <c r="S1381">
        <v>151.651095</v>
      </c>
      <c r="T1381" s="1095">
        <v>-32.933304999999997</v>
      </c>
    </row>
    <row r="1382" spans="16:20">
      <c r="P1382" s="1094">
        <v>2285</v>
      </c>
      <c r="Q1382" t="s">
        <v>2475</v>
      </c>
      <c r="R1382" t="s">
        <v>248</v>
      </c>
      <c r="S1382">
        <v>151.651095</v>
      </c>
      <c r="T1382" s="1095">
        <v>-32.933304999999997</v>
      </c>
    </row>
    <row r="1383" spans="16:20">
      <c r="P1383" s="1094">
        <v>2285</v>
      </c>
      <c r="Q1383" t="s">
        <v>2476</v>
      </c>
      <c r="R1383" t="s">
        <v>248</v>
      </c>
      <c r="S1383">
        <v>151.651095</v>
      </c>
      <c r="T1383" s="1095">
        <v>-32.933304999999997</v>
      </c>
    </row>
    <row r="1384" spans="16:20">
      <c r="P1384" s="1094">
        <v>2285</v>
      </c>
      <c r="Q1384" t="s">
        <v>2477</v>
      </c>
      <c r="R1384" t="s">
        <v>248</v>
      </c>
      <c r="S1384">
        <v>151.651095</v>
      </c>
      <c r="T1384" s="1095">
        <v>-32.933304999999997</v>
      </c>
    </row>
    <row r="1385" spans="16:20">
      <c r="P1385" s="1094">
        <v>2285</v>
      </c>
      <c r="Q1385" t="s">
        <v>2478</v>
      </c>
      <c r="R1385" t="s">
        <v>248</v>
      </c>
      <c r="S1385">
        <v>151.651095</v>
      </c>
      <c r="T1385" s="1095">
        <v>-32.933304999999997</v>
      </c>
    </row>
    <row r="1386" spans="16:20">
      <c r="P1386" s="1094">
        <v>2286</v>
      </c>
      <c r="Q1386" t="s">
        <v>2479</v>
      </c>
      <c r="R1386" t="s">
        <v>248</v>
      </c>
      <c r="S1386">
        <v>151.532669</v>
      </c>
      <c r="T1386" s="1095">
        <v>-32.923321000000001</v>
      </c>
    </row>
    <row r="1387" spans="16:20">
      <c r="P1387" s="1094">
        <v>2286</v>
      </c>
      <c r="Q1387" t="s">
        <v>2480</v>
      </c>
      <c r="R1387" t="s">
        <v>248</v>
      </c>
      <c r="S1387">
        <v>151.532669</v>
      </c>
      <c r="T1387" s="1095">
        <v>-32.923321000000001</v>
      </c>
    </row>
    <row r="1388" spans="16:20">
      <c r="P1388" s="1094">
        <v>2286</v>
      </c>
      <c r="Q1388" t="s">
        <v>2481</v>
      </c>
      <c r="R1388" t="s">
        <v>248</v>
      </c>
      <c r="S1388">
        <v>151.532669</v>
      </c>
      <c r="T1388" s="1095">
        <v>-32.923321000000001</v>
      </c>
    </row>
    <row r="1389" spans="16:20">
      <c r="P1389" s="1094">
        <v>2287</v>
      </c>
      <c r="Q1389" t="s">
        <v>2482</v>
      </c>
      <c r="R1389" t="s">
        <v>248</v>
      </c>
      <c r="S1389">
        <v>151.65807000000001</v>
      </c>
      <c r="T1389" s="1095">
        <v>-32.892577000000003</v>
      </c>
    </row>
    <row r="1390" spans="16:20">
      <c r="P1390" s="1094">
        <v>2287</v>
      </c>
      <c r="Q1390" t="s">
        <v>2483</v>
      </c>
      <c r="R1390" t="s">
        <v>248</v>
      </c>
      <c r="S1390">
        <v>151.65807000000001</v>
      </c>
      <c r="T1390" s="1095">
        <v>-32.892577000000003</v>
      </c>
    </row>
    <row r="1391" spans="16:20">
      <c r="P1391" s="1094">
        <v>2287</v>
      </c>
      <c r="Q1391" t="s">
        <v>2484</v>
      </c>
      <c r="R1391" t="s">
        <v>248</v>
      </c>
      <c r="S1391">
        <v>151.65807000000001</v>
      </c>
      <c r="T1391" s="1095">
        <v>-32.892577000000003</v>
      </c>
    </row>
    <row r="1392" spans="16:20">
      <c r="P1392" s="1094">
        <v>2287</v>
      </c>
      <c r="Q1392" t="s">
        <v>2485</v>
      </c>
      <c r="R1392" t="s">
        <v>248</v>
      </c>
      <c r="S1392">
        <v>151.65807000000001</v>
      </c>
      <c r="T1392" s="1095">
        <v>-32.892577000000003</v>
      </c>
    </row>
    <row r="1393" spans="16:20">
      <c r="P1393" s="1094">
        <v>2287</v>
      </c>
      <c r="Q1393" t="s">
        <v>2486</v>
      </c>
      <c r="R1393" t="s">
        <v>248</v>
      </c>
      <c r="S1393">
        <v>151.65807000000001</v>
      </c>
      <c r="T1393" s="1095">
        <v>-32.892577000000003</v>
      </c>
    </row>
    <row r="1394" spans="16:20">
      <c r="P1394" s="1094">
        <v>2287</v>
      </c>
      <c r="Q1394" t="s">
        <v>2487</v>
      </c>
      <c r="R1394" t="s">
        <v>248</v>
      </c>
      <c r="S1394">
        <v>151.65807000000001</v>
      </c>
      <c r="T1394" s="1095">
        <v>-32.892577000000003</v>
      </c>
    </row>
    <row r="1395" spans="16:20">
      <c r="P1395" s="1094">
        <v>2287</v>
      </c>
      <c r="Q1395" t="s">
        <v>2005</v>
      </c>
      <c r="R1395" t="s">
        <v>248</v>
      </c>
      <c r="S1395">
        <v>151.65807000000001</v>
      </c>
      <c r="T1395" s="1095">
        <v>-32.892577000000003</v>
      </c>
    </row>
    <row r="1396" spans="16:20">
      <c r="P1396" s="1094">
        <v>2287</v>
      </c>
      <c r="Q1396" t="s">
        <v>2488</v>
      </c>
      <c r="R1396" t="s">
        <v>248</v>
      </c>
      <c r="S1396">
        <v>151.65807000000001</v>
      </c>
      <c r="T1396" s="1095">
        <v>-32.892577000000003</v>
      </c>
    </row>
    <row r="1397" spans="16:20">
      <c r="P1397" s="1094">
        <v>2287</v>
      </c>
      <c r="Q1397" t="s">
        <v>2489</v>
      </c>
      <c r="R1397" t="s">
        <v>248</v>
      </c>
      <c r="S1397">
        <v>151.65807000000001</v>
      </c>
      <c r="T1397" s="1095">
        <v>-32.892577000000003</v>
      </c>
    </row>
    <row r="1398" spans="16:20">
      <c r="P1398" s="1094">
        <v>2289</v>
      </c>
      <c r="Q1398" t="s">
        <v>2490</v>
      </c>
      <c r="R1398" t="s">
        <v>248</v>
      </c>
      <c r="S1398">
        <v>151.71008</v>
      </c>
      <c r="T1398" s="1095">
        <v>-32.948566999999997</v>
      </c>
    </row>
    <row r="1399" spans="16:20">
      <c r="P1399" s="1094">
        <v>2289</v>
      </c>
      <c r="Q1399" t="s">
        <v>2491</v>
      </c>
      <c r="R1399" t="s">
        <v>248</v>
      </c>
      <c r="S1399">
        <v>151.71008</v>
      </c>
      <c r="T1399" s="1095">
        <v>-32.948566999999997</v>
      </c>
    </row>
    <row r="1400" spans="16:20">
      <c r="P1400" s="1094">
        <v>2289</v>
      </c>
      <c r="Q1400" t="s">
        <v>2492</v>
      </c>
      <c r="R1400" t="s">
        <v>248</v>
      </c>
      <c r="S1400">
        <v>151.71008</v>
      </c>
      <c r="T1400" s="1095">
        <v>-32.948566999999997</v>
      </c>
    </row>
    <row r="1401" spans="16:20">
      <c r="P1401" s="1094">
        <v>2289</v>
      </c>
      <c r="Q1401" t="s">
        <v>2493</v>
      </c>
      <c r="R1401" t="s">
        <v>248</v>
      </c>
      <c r="S1401">
        <v>151.71008</v>
      </c>
      <c r="T1401" s="1095">
        <v>-32.948566999999997</v>
      </c>
    </row>
    <row r="1402" spans="16:20">
      <c r="P1402" s="1094">
        <v>2289</v>
      </c>
      <c r="Q1402" t="s">
        <v>2494</v>
      </c>
      <c r="R1402" t="s">
        <v>248</v>
      </c>
      <c r="S1402">
        <v>151.71008</v>
      </c>
      <c r="T1402" s="1095">
        <v>-32.948566999999997</v>
      </c>
    </row>
    <row r="1403" spans="16:20">
      <c r="P1403" s="1094">
        <v>2289</v>
      </c>
      <c r="Q1403" t="s">
        <v>2495</v>
      </c>
      <c r="R1403" t="s">
        <v>248</v>
      </c>
      <c r="S1403">
        <v>151.71008</v>
      </c>
      <c r="T1403" s="1095">
        <v>-32.948566999999997</v>
      </c>
    </row>
    <row r="1404" spans="16:20">
      <c r="P1404" s="1094">
        <v>2289</v>
      </c>
      <c r="Q1404" t="s">
        <v>2496</v>
      </c>
      <c r="R1404" t="s">
        <v>248</v>
      </c>
      <c r="S1404">
        <v>151.71008</v>
      </c>
      <c r="T1404" s="1095">
        <v>-32.948566999999997</v>
      </c>
    </row>
    <row r="1405" spans="16:20">
      <c r="P1405" s="1094">
        <v>2290</v>
      </c>
      <c r="Q1405" t="s">
        <v>2497</v>
      </c>
      <c r="R1405" t="s">
        <v>248</v>
      </c>
      <c r="S1405">
        <v>151.70780099999999</v>
      </c>
      <c r="T1405" s="1095">
        <v>-32.983963000000003</v>
      </c>
    </row>
    <row r="1406" spans="16:20">
      <c r="P1406" s="1094">
        <v>2290</v>
      </c>
      <c r="Q1406" t="s">
        <v>2498</v>
      </c>
      <c r="R1406" t="s">
        <v>248</v>
      </c>
      <c r="S1406">
        <v>151.70780099999999</v>
      </c>
      <c r="T1406" s="1095">
        <v>-32.983963000000003</v>
      </c>
    </row>
    <row r="1407" spans="16:20">
      <c r="P1407" s="1094">
        <v>2290</v>
      </c>
      <c r="Q1407" t="s">
        <v>2499</v>
      </c>
      <c r="R1407" t="s">
        <v>248</v>
      </c>
      <c r="S1407">
        <v>151.70780099999999</v>
      </c>
      <c r="T1407" s="1095">
        <v>-32.983963000000003</v>
      </c>
    </row>
    <row r="1408" spans="16:20">
      <c r="P1408" s="1094">
        <v>2290</v>
      </c>
      <c r="Q1408" t="s">
        <v>2500</v>
      </c>
      <c r="R1408" t="s">
        <v>248</v>
      </c>
      <c r="S1408">
        <v>151.70780099999999</v>
      </c>
      <c r="T1408" s="1095">
        <v>-32.983963000000003</v>
      </c>
    </row>
    <row r="1409" spans="16:20">
      <c r="P1409" s="1094">
        <v>2290</v>
      </c>
      <c r="Q1409" t="s">
        <v>2501</v>
      </c>
      <c r="R1409" t="s">
        <v>248</v>
      </c>
      <c r="S1409">
        <v>151.70780099999999</v>
      </c>
      <c r="T1409" s="1095">
        <v>-32.983963000000003</v>
      </c>
    </row>
    <row r="1410" spans="16:20">
      <c r="P1410" s="1094">
        <v>2290</v>
      </c>
      <c r="Q1410" t="s">
        <v>2502</v>
      </c>
      <c r="R1410" t="s">
        <v>248</v>
      </c>
      <c r="S1410">
        <v>151.70780099999999</v>
      </c>
      <c r="T1410" s="1095">
        <v>-32.983963000000003</v>
      </c>
    </row>
    <row r="1411" spans="16:20">
      <c r="P1411" s="1094">
        <v>2290</v>
      </c>
      <c r="Q1411" t="s">
        <v>2503</v>
      </c>
      <c r="R1411" t="s">
        <v>248</v>
      </c>
      <c r="S1411">
        <v>151.70780099999999</v>
      </c>
      <c r="T1411" s="1095">
        <v>-32.983963000000003</v>
      </c>
    </row>
    <row r="1412" spans="16:20">
      <c r="P1412" s="1094">
        <v>2290</v>
      </c>
      <c r="Q1412" t="s">
        <v>2504</v>
      </c>
      <c r="R1412" t="s">
        <v>248</v>
      </c>
      <c r="S1412">
        <v>151.70780099999999</v>
      </c>
      <c r="T1412" s="1095">
        <v>-32.983963000000003</v>
      </c>
    </row>
    <row r="1413" spans="16:20">
      <c r="P1413" s="1094">
        <v>2290</v>
      </c>
      <c r="Q1413" t="s">
        <v>2505</v>
      </c>
      <c r="R1413" t="s">
        <v>248</v>
      </c>
      <c r="S1413">
        <v>151.70780099999999</v>
      </c>
      <c r="T1413" s="1095">
        <v>-32.983963000000003</v>
      </c>
    </row>
    <row r="1414" spans="16:20">
      <c r="P1414" s="1094">
        <v>2290</v>
      </c>
      <c r="Q1414" t="s">
        <v>2506</v>
      </c>
      <c r="R1414" t="s">
        <v>248</v>
      </c>
      <c r="S1414">
        <v>151.70780099999999</v>
      </c>
      <c r="T1414" s="1095">
        <v>-32.983963000000003</v>
      </c>
    </row>
    <row r="1415" spans="16:20">
      <c r="P1415" s="1094">
        <v>2291</v>
      </c>
      <c r="Q1415" t="s">
        <v>2507</v>
      </c>
      <c r="R1415" t="s">
        <v>248</v>
      </c>
      <c r="S1415">
        <v>151.74288200000001</v>
      </c>
      <c r="T1415" s="1095">
        <v>-32.951039000000002</v>
      </c>
    </row>
    <row r="1416" spans="16:20">
      <c r="P1416" s="1094">
        <v>2291</v>
      </c>
      <c r="Q1416" t="s">
        <v>2508</v>
      </c>
      <c r="R1416" t="s">
        <v>248</v>
      </c>
      <c r="S1416">
        <v>151.74288200000001</v>
      </c>
      <c r="T1416" s="1095">
        <v>-32.951039000000002</v>
      </c>
    </row>
    <row r="1417" spans="16:20">
      <c r="P1417" s="1094">
        <v>2291</v>
      </c>
      <c r="Q1417" t="s">
        <v>2509</v>
      </c>
      <c r="R1417" t="s">
        <v>248</v>
      </c>
      <c r="S1417">
        <v>151.74288200000001</v>
      </c>
      <c r="T1417" s="1095">
        <v>-32.951039000000002</v>
      </c>
    </row>
    <row r="1418" spans="16:20">
      <c r="P1418" s="1094">
        <v>2292</v>
      </c>
      <c r="Q1418" t="s">
        <v>2510</v>
      </c>
      <c r="R1418" t="s">
        <v>248</v>
      </c>
      <c r="S1418">
        <v>151.74071599999999</v>
      </c>
      <c r="T1418" s="1095">
        <v>-32.931589000000002</v>
      </c>
    </row>
    <row r="1419" spans="16:20">
      <c r="P1419" s="1094">
        <v>2292</v>
      </c>
      <c r="Q1419" t="s">
        <v>2511</v>
      </c>
      <c r="R1419" t="s">
        <v>248</v>
      </c>
      <c r="S1419">
        <v>151.74071599999999</v>
      </c>
      <c r="T1419" s="1095">
        <v>-32.931589000000002</v>
      </c>
    </row>
    <row r="1420" spans="16:20">
      <c r="P1420" s="1094">
        <v>2293</v>
      </c>
      <c r="Q1420" t="s">
        <v>2512</v>
      </c>
      <c r="R1420" t="s">
        <v>248</v>
      </c>
      <c r="S1420">
        <v>151.754696</v>
      </c>
      <c r="T1420" s="1095">
        <v>-32.917776000000003</v>
      </c>
    </row>
    <row r="1421" spans="16:20">
      <c r="P1421" s="1094">
        <v>2293</v>
      </c>
      <c r="Q1421" t="s">
        <v>2513</v>
      </c>
      <c r="R1421" t="s">
        <v>248</v>
      </c>
      <c r="S1421">
        <v>151.754696</v>
      </c>
      <c r="T1421" s="1095">
        <v>-32.917776000000003</v>
      </c>
    </row>
    <row r="1422" spans="16:20">
      <c r="P1422" s="1094">
        <v>2294</v>
      </c>
      <c r="Q1422" t="s">
        <v>2514</v>
      </c>
      <c r="R1422" t="s">
        <v>248</v>
      </c>
      <c r="S1422">
        <v>151.76740799999999</v>
      </c>
      <c r="T1422" s="1095">
        <v>-32.915790999999999</v>
      </c>
    </row>
    <row r="1423" spans="16:20">
      <c r="P1423" s="1094">
        <v>2295</v>
      </c>
      <c r="Q1423" t="s">
        <v>2515</v>
      </c>
      <c r="R1423" t="s">
        <v>248</v>
      </c>
      <c r="S1423">
        <v>151.80174</v>
      </c>
      <c r="T1423" s="1095">
        <v>-32.879469</v>
      </c>
    </row>
    <row r="1424" spans="16:20">
      <c r="P1424" s="1094">
        <v>2295</v>
      </c>
      <c r="Q1424" t="s">
        <v>2516</v>
      </c>
      <c r="R1424" t="s">
        <v>248</v>
      </c>
      <c r="S1424">
        <v>151.80174</v>
      </c>
      <c r="T1424" s="1095">
        <v>-32.879469</v>
      </c>
    </row>
    <row r="1425" spans="16:20">
      <c r="P1425" s="1094">
        <v>2296</v>
      </c>
      <c r="Q1425" t="s">
        <v>2517</v>
      </c>
      <c r="R1425" t="s">
        <v>248</v>
      </c>
      <c r="S1425">
        <v>151.74623700000001</v>
      </c>
      <c r="T1425" s="1095">
        <v>-32.915697999999999</v>
      </c>
    </row>
    <row r="1426" spans="16:20">
      <c r="P1426" s="1094">
        <v>2297</v>
      </c>
      <c r="Q1426" t="s">
        <v>2518</v>
      </c>
      <c r="R1426" t="s">
        <v>248</v>
      </c>
      <c r="S1426">
        <v>151.75012599999999</v>
      </c>
      <c r="T1426" s="1095">
        <v>-32.909134999999999</v>
      </c>
    </row>
    <row r="1427" spans="16:20">
      <c r="P1427" s="1094">
        <v>2298</v>
      </c>
      <c r="Q1427" t="s">
        <v>2519</v>
      </c>
      <c r="R1427" t="s">
        <v>248</v>
      </c>
      <c r="S1427">
        <v>151.72224299999999</v>
      </c>
      <c r="T1427" s="1095">
        <v>-32.905633000000002</v>
      </c>
    </row>
    <row r="1428" spans="16:20">
      <c r="P1428" s="1094">
        <v>2298</v>
      </c>
      <c r="Q1428" t="s">
        <v>2520</v>
      </c>
      <c r="R1428" t="s">
        <v>248</v>
      </c>
      <c r="S1428">
        <v>151.72224299999999</v>
      </c>
      <c r="T1428" s="1095">
        <v>-32.905633000000002</v>
      </c>
    </row>
    <row r="1429" spans="16:20">
      <c r="P1429" s="1094">
        <v>2298</v>
      </c>
      <c r="Q1429" t="s">
        <v>2521</v>
      </c>
      <c r="R1429" t="s">
        <v>248</v>
      </c>
      <c r="S1429">
        <v>151.72224299999999</v>
      </c>
      <c r="T1429" s="1095">
        <v>-32.905633000000002</v>
      </c>
    </row>
    <row r="1430" spans="16:20">
      <c r="P1430" s="1094">
        <v>2299</v>
      </c>
      <c r="Q1430" t="s">
        <v>2522</v>
      </c>
      <c r="R1430" t="s">
        <v>248</v>
      </c>
      <c r="S1430">
        <v>151.70458099999999</v>
      </c>
      <c r="T1430" s="1095">
        <v>-32.909815999999999</v>
      </c>
    </row>
    <row r="1431" spans="16:20">
      <c r="P1431" s="1094">
        <v>2299</v>
      </c>
      <c r="Q1431" t="s">
        <v>2523</v>
      </c>
      <c r="R1431" t="s">
        <v>248</v>
      </c>
      <c r="S1431">
        <v>151.70458099999999</v>
      </c>
      <c r="T1431" s="1095">
        <v>-32.909815999999999</v>
      </c>
    </row>
    <row r="1432" spans="16:20">
      <c r="P1432" s="1094">
        <v>2299</v>
      </c>
      <c r="Q1432" t="s">
        <v>2524</v>
      </c>
      <c r="R1432" t="s">
        <v>248</v>
      </c>
      <c r="S1432">
        <v>151.70458099999999</v>
      </c>
      <c r="T1432" s="1095">
        <v>-32.909815999999999</v>
      </c>
    </row>
    <row r="1433" spans="16:20">
      <c r="P1433" s="1094">
        <v>2300</v>
      </c>
      <c r="Q1433" t="s">
        <v>2525</v>
      </c>
      <c r="R1433" t="s">
        <v>248</v>
      </c>
      <c r="S1433">
        <v>151.778021</v>
      </c>
      <c r="T1433" s="1095">
        <v>-32.931635</v>
      </c>
    </row>
    <row r="1434" spans="16:20">
      <c r="P1434" s="1094">
        <v>2300</v>
      </c>
      <c r="Q1434" t="s">
        <v>2526</v>
      </c>
      <c r="R1434" t="s">
        <v>248</v>
      </c>
      <c r="S1434">
        <v>151.778021</v>
      </c>
      <c r="T1434" s="1095">
        <v>-32.931635</v>
      </c>
    </row>
    <row r="1435" spans="16:20">
      <c r="P1435" s="1094">
        <v>2300</v>
      </c>
      <c r="Q1435" t="s">
        <v>2527</v>
      </c>
      <c r="R1435" t="s">
        <v>248</v>
      </c>
      <c r="S1435">
        <v>151.778021</v>
      </c>
      <c r="T1435" s="1095">
        <v>-32.931635</v>
      </c>
    </row>
    <row r="1436" spans="16:20">
      <c r="P1436" s="1094">
        <v>2300</v>
      </c>
      <c r="Q1436" t="s">
        <v>2528</v>
      </c>
      <c r="R1436" t="s">
        <v>248</v>
      </c>
      <c r="S1436">
        <v>151.778021</v>
      </c>
      <c r="T1436" s="1095">
        <v>-32.931635</v>
      </c>
    </row>
    <row r="1437" spans="16:20">
      <c r="P1437" s="1094">
        <v>2300</v>
      </c>
      <c r="Q1437" t="s">
        <v>2529</v>
      </c>
      <c r="R1437" t="s">
        <v>248</v>
      </c>
      <c r="S1437">
        <v>151.778021</v>
      </c>
      <c r="T1437" s="1095">
        <v>-32.931635</v>
      </c>
    </row>
    <row r="1438" spans="16:20">
      <c r="P1438" s="1094">
        <v>2302</v>
      </c>
      <c r="Q1438" t="s">
        <v>2530</v>
      </c>
      <c r="R1438" t="s">
        <v>248</v>
      </c>
      <c r="S1438">
        <v>151.752466</v>
      </c>
      <c r="T1438" s="1095">
        <v>-32.931265000000003</v>
      </c>
    </row>
    <row r="1439" spans="16:20">
      <c r="P1439" s="1094">
        <v>2303</v>
      </c>
      <c r="Q1439" t="s">
        <v>2531</v>
      </c>
      <c r="R1439" t="s">
        <v>248</v>
      </c>
      <c r="S1439">
        <v>151.743325</v>
      </c>
      <c r="T1439" s="1095">
        <v>-32.924571</v>
      </c>
    </row>
    <row r="1440" spans="16:20">
      <c r="P1440" s="1094">
        <v>2303</v>
      </c>
      <c r="Q1440" t="s">
        <v>2532</v>
      </c>
      <c r="R1440" t="s">
        <v>248</v>
      </c>
      <c r="S1440">
        <v>151.743325</v>
      </c>
      <c r="T1440" s="1095">
        <v>-32.924571</v>
      </c>
    </row>
    <row r="1441" spans="16:20">
      <c r="P1441" s="1094">
        <v>2303</v>
      </c>
      <c r="Q1441" t="s">
        <v>2533</v>
      </c>
      <c r="R1441" t="s">
        <v>248</v>
      </c>
      <c r="S1441">
        <v>151.743325</v>
      </c>
      <c r="T1441" s="1095">
        <v>-32.924571</v>
      </c>
    </row>
    <row r="1442" spans="16:20">
      <c r="P1442" s="1094">
        <v>2304</v>
      </c>
      <c r="Q1442" t="s">
        <v>2534</v>
      </c>
      <c r="R1442" t="s">
        <v>248</v>
      </c>
      <c r="S1442">
        <v>151.73862</v>
      </c>
      <c r="T1442" s="1095">
        <v>-32.880319</v>
      </c>
    </row>
    <row r="1443" spans="16:20">
      <c r="P1443" s="1094">
        <v>2304</v>
      </c>
      <c r="Q1443" t="s">
        <v>2535</v>
      </c>
      <c r="R1443" t="s">
        <v>248</v>
      </c>
      <c r="S1443">
        <v>151.73862</v>
      </c>
      <c r="T1443" s="1095">
        <v>-32.880319</v>
      </c>
    </row>
    <row r="1444" spans="16:20">
      <c r="P1444" s="1094">
        <v>2304</v>
      </c>
      <c r="Q1444" t="s">
        <v>2536</v>
      </c>
      <c r="R1444" t="s">
        <v>248</v>
      </c>
      <c r="S1444">
        <v>151.73862</v>
      </c>
      <c r="T1444" s="1095">
        <v>-32.880319</v>
      </c>
    </row>
    <row r="1445" spans="16:20">
      <c r="P1445" s="1094">
        <v>2304</v>
      </c>
      <c r="Q1445" t="s">
        <v>2537</v>
      </c>
      <c r="R1445" t="s">
        <v>248</v>
      </c>
      <c r="S1445">
        <v>151.73862</v>
      </c>
      <c r="T1445" s="1095">
        <v>-32.880319</v>
      </c>
    </row>
    <row r="1446" spans="16:20">
      <c r="P1446" s="1094">
        <v>2304</v>
      </c>
      <c r="Q1446" t="s">
        <v>2538</v>
      </c>
      <c r="R1446" t="s">
        <v>248</v>
      </c>
      <c r="S1446">
        <v>151.73862</v>
      </c>
      <c r="T1446" s="1095">
        <v>-32.880319</v>
      </c>
    </row>
    <row r="1447" spans="16:20">
      <c r="P1447" s="1094">
        <v>2304</v>
      </c>
      <c r="Q1447" t="s">
        <v>2539</v>
      </c>
      <c r="R1447" t="s">
        <v>248</v>
      </c>
      <c r="S1447">
        <v>151.73862</v>
      </c>
      <c r="T1447" s="1095">
        <v>-32.880319</v>
      </c>
    </row>
    <row r="1448" spans="16:20">
      <c r="P1448" s="1094">
        <v>2304</v>
      </c>
      <c r="Q1448" t="s">
        <v>2540</v>
      </c>
      <c r="R1448" t="s">
        <v>248</v>
      </c>
      <c r="S1448">
        <v>151.73862</v>
      </c>
      <c r="T1448" s="1095">
        <v>-32.880319</v>
      </c>
    </row>
    <row r="1449" spans="16:20">
      <c r="P1449" s="1094">
        <v>2305</v>
      </c>
      <c r="Q1449" t="s">
        <v>2541</v>
      </c>
      <c r="R1449" t="s">
        <v>248</v>
      </c>
      <c r="S1449">
        <v>151.70654500000001</v>
      </c>
      <c r="T1449" s="1095">
        <v>-32.930221000000003</v>
      </c>
    </row>
    <row r="1450" spans="16:20">
      <c r="P1450" s="1094">
        <v>2305</v>
      </c>
      <c r="Q1450" t="s">
        <v>2542</v>
      </c>
      <c r="R1450" t="s">
        <v>248</v>
      </c>
      <c r="S1450">
        <v>151.70654500000001</v>
      </c>
      <c r="T1450" s="1095">
        <v>-32.930221000000003</v>
      </c>
    </row>
    <row r="1451" spans="16:20">
      <c r="P1451" s="1094">
        <v>2305</v>
      </c>
      <c r="Q1451" t="s">
        <v>2543</v>
      </c>
      <c r="R1451" t="s">
        <v>248</v>
      </c>
      <c r="S1451">
        <v>151.70654500000001</v>
      </c>
      <c r="T1451" s="1095">
        <v>-32.930221000000003</v>
      </c>
    </row>
    <row r="1452" spans="16:20">
      <c r="P1452" s="1094">
        <v>2306</v>
      </c>
      <c r="Q1452" t="s">
        <v>2544</v>
      </c>
      <c r="R1452" t="s">
        <v>248</v>
      </c>
      <c r="S1452">
        <v>151.68251699999999</v>
      </c>
      <c r="T1452" s="1095">
        <v>-32.993285999999998</v>
      </c>
    </row>
    <row r="1453" spans="16:20">
      <c r="P1453" s="1094">
        <v>2307</v>
      </c>
      <c r="Q1453" t="s">
        <v>2545</v>
      </c>
      <c r="R1453" t="s">
        <v>248</v>
      </c>
      <c r="S1453">
        <v>151.68810199999999</v>
      </c>
      <c r="T1453" s="1095">
        <v>-32.883650000000003</v>
      </c>
    </row>
    <row r="1454" spans="16:20">
      <c r="P1454" s="1094">
        <v>2308</v>
      </c>
      <c r="Q1454" t="s">
        <v>2546</v>
      </c>
      <c r="R1454" t="s">
        <v>248</v>
      </c>
      <c r="S1454">
        <v>151.69735600000001</v>
      </c>
      <c r="T1454" s="1095">
        <v>-32.892884000000002</v>
      </c>
    </row>
    <row r="1455" spans="16:20">
      <c r="P1455" s="1094">
        <v>2308</v>
      </c>
      <c r="Q1455" t="s">
        <v>2547</v>
      </c>
      <c r="R1455" t="s">
        <v>248</v>
      </c>
      <c r="S1455">
        <v>151.69735600000001</v>
      </c>
      <c r="T1455" s="1095">
        <v>-32.892884000000002</v>
      </c>
    </row>
    <row r="1456" spans="16:20">
      <c r="P1456" s="1094">
        <v>2309</v>
      </c>
      <c r="Q1456" t="s">
        <v>2548</v>
      </c>
      <c r="R1456" t="s">
        <v>248</v>
      </c>
      <c r="S1456">
        <v>0</v>
      </c>
      <c r="T1456" s="1095">
        <v>0</v>
      </c>
    </row>
    <row r="1457" spans="16:20">
      <c r="P1457" s="1094">
        <v>2310</v>
      </c>
      <c r="Q1457" t="s">
        <v>2549</v>
      </c>
      <c r="R1457" t="s">
        <v>248</v>
      </c>
      <c r="S1457">
        <v>0</v>
      </c>
      <c r="T1457" s="1095">
        <v>0</v>
      </c>
    </row>
    <row r="1458" spans="16:20">
      <c r="P1458" s="1094">
        <v>2311</v>
      </c>
      <c r="Q1458" t="s">
        <v>2550</v>
      </c>
      <c r="R1458" t="s">
        <v>248</v>
      </c>
      <c r="S1458">
        <v>151.522527</v>
      </c>
      <c r="T1458" s="1095">
        <v>-32.343800000000002</v>
      </c>
    </row>
    <row r="1459" spans="16:20">
      <c r="P1459" s="1094">
        <v>2311</v>
      </c>
      <c r="Q1459" t="s">
        <v>2551</v>
      </c>
      <c r="R1459" t="s">
        <v>248</v>
      </c>
      <c r="S1459">
        <v>151.522527</v>
      </c>
      <c r="T1459" s="1095">
        <v>-32.343800000000002</v>
      </c>
    </row>
    <row r="1460" spans="16:20">
      <c r="P1460" s="1094">
        <v>2311</v>
      </c>
      <c r="Q1460" t="s">
        <v>2552</v>
      </c>
      <c r="R1460" t="s">
        <v>248</v>
      </c>
      <c r="S1460">
        <v>151.522527</v>
      </c>
      <c r="T1460" s="1095">
        <v>-32.343800000000002</v>
      </c>
    </row>
    <row r="1461" spans="16:20">
      <c r="P1461" s="1094">
        <v>2311</v>
      </c>
      <c r="Q1461" t="s">
        <v>2553</v>
      </c>
      <c r="R1461" t="s">
        <v>248</v>
      </c>
      <c r="S1461">
        <v>151.522527</v>
      </c>
      <c r="T1461" s="1095">
        <v>-32.343800000000002</v>
      </c>
    </row>
    <row r="1462" spans="16:20">
      <c r="P1462" s="1094">
        <v>2311</v>
      </c>
      <c r="Q1462" t="s">
        <v>2554</v>
      </c>
      <c r="R1462" t="s">
        <v>248</v>
      </c>
      <c r="S1462">
        <v>151.522527</v>
      </c>
      <c r="T1462" s="1095">
        <v>-32.343800000000002</v>
      </c>
    </row>
    <row r="1463" spans="16:20">
      <c r="P1463" s="1094">
        <v>2311</v>
      </c>
      <c r="Q1463" t="s">
        <v>2555</v>
      </c>
      <c r="R1463" t="s">
        <v>248</v>
      </c>
      <c r="S1463">
        <v>151.522527</v>
      </c>
      <c r="T1463" s="1095">
        <v>-32.343800000000002</v>
      </c>
    </row>
    <row r="1464" spans="16:20">
      <c r="P1464" s="1094">
        <v>2311</v>
      </c>
      <c r="Q1464" t="s">
        <v>2556</v>
      </c>
      <c r="R1464" t="s">
        <v>248</v>
      </c>
      <c r="S1464">
        <v>151.522527</v>
      </c>
      <c r="T1464" s="1095">
        <v>-32.343800000000002</v>
      </c>
    </row>
    <row r="1465" spans="16:20">
      <c r="P1465" s="1094">
        <v>2311</v>
      </c>
      <c r="Q1465" t="s">
        <v>2557</v>
      </c>
      <c r="R1465" t="s">
        <v>248</v>
      </c>
      <c r="S1465">
        <v>151.522527</v>
      </c>
      <c r="T1465" s="1095">
        <v>-32.343800000000002</v>
      </c>
    </row>
    <row r="1466" spans="16:20">
      <c r="P1466" s="1094">
        <v>2311</v>
      </c>
      <c r="Q1466" t="s">
        <v>2558</v>
      </c>
      <c r="R1466" t="s">
        <v>248</v>
      </c>
      <c r="S1466">
        <v>151.522527</v>
      </c>
      <c r="T1466" s="1095">
        <v>-32.343800000000002</v>
      </c>
    </row>
    <row r="1467" spans="16:20">
      <c r="P1467" s="1094">
        <v>2311</v>
      </c>
      <c r="Q1467" t="s">
        <v>2559</v>
      </c>
      <c r="R1467" t="s">
        <v>248</v>
      </c>
      <c r="S1467">
        <v>151.522527</v>
      </c>
      <c r="T1467" s="1095">
        <v>-32.343800000000002</v>
      </c>
    </row>
    <row r="1468" spans="16:20">
      <c r="P1468" s="1094">
        <v>2311</v>
      </c>
      <c r="Q1468" t="s">
        <v>2560</v>
      </c>
      <c r="R1468" t="s">
        <v>248</v>
      </c>
      <c r="S1468">
        <v>151.522527</v>
      </c>
      <c r="T1468" s="1095">
        <v>-32.343800000000002</v>
      </c>
    </row>
    <row r="1469" spans="16:20">
      <c r="P1469" s="1094">
        <v>2312</v>
      </c>
      <c r="Q1469" t="s">
        <v>2561</v>
      </c>
      <c r="R1469" t="s">
        <v>248</v>
      </c>
      <c r="S1469">
        <v>152.33083999999999</v>
      </c>
      <c r="T1469" s="1095">
        <v>-32.133322</v>
      </c>
    </row>
    <row r="1470" spans="16:20">
      <c r="P1470" s="1094">
        <v>2314</v>
      </c>
      <c r="Q1470" t="s">
        <v>2562</v>
      </c>
      <c r="R1470" t="s">
        <v>248</v>
      </c>
      <c r="S1470">
        <v>151.84009399999999</v>
      </c>
      <c r="T1470" s="1095">
        <v>-32.797452999999997</v>
      </c>
    </row>
    <row r="1471" spans="16:20">
      <c r="P1471" s="1094">
        <v>2315</v>
      </c>
      <c r="Q1471" t="s">
        <v>2563</v>
      </c>
      <c r="R1471" t="s">
        <v>248</v>
      </c>
      <c r="S1471">
        <v>152.19369800000001</v>
      </c>
      <c r="T1471" s="1095">
        <v>-32.746223999999998</v>
      </c>
    </row>
    <row r="1472" spans="16:20">
      <c r="P1472" s="1094">
        <v>2315</v>
      </c>
      <c r="Q1472" t="s">
        <v>2564</v>
      </c>
      <c r="R1472" t="s">
        <v>248</v>
      </c>
      <c r="S1472">
        <v>152.19369800000001</v>
      </c>
      <c r="T1472" s="1095">
        <v>-32.746223999999998</v>
      </c>
    </row>
    <row r="1473" spans="16:20">
      <c r="P1473" s="1094">
        <v>2315</v>
      </c>
      <c r="Q1473" t="s">
        <v>2565</v>
      </c>
      <c r="R1473" t="s">
        <v>248</v>
      </c>
      <c r="S1473">
        <v>152.19369800000001</v>
      </c>
      <c r="T1473" s="1095">
        <v>-32.746223999999998</v>
      </c>
    </row>
    <row r="1474" spans="16:20">
      <c r="P1474" s="1094">
        <v>2315</v>
      </c>
      <c r="Q1474" t="s">
        <v>2566</v>
      </c>
      <c r="R1474" t="s">
        <v>248</v>
      </c>
      <c r="S1474">
        <v>152.19369800000001</v>
      </c>
      <c r="T1474" s="1095">
        <v>-32.746223999999998</v>
      </c>
    </row>
    <row r="1475" spans="16:20">
      <c r="P1475" s="1094">
        <v>2315</v>
      </c>
      <c r="Q1475" t="s">
        <v>1523</v>
      </c>
      <c r="R1475" t="s">
        <v>248</v>
      </c>
      <c r="S1475">
        <v>152.19369800000001</v>
      </c>
      <c r="T1475" s="1095">
        <v>-32.746223999999998</v>
      </c>
    </row>
    <row r="1476" spans="16:20">
      <c r="P1476" s="1094">
        <v>2316</v>
      </c>
      <c r="Q1476" t="s">
        <v>2567</v>
      </c>
      <c r="R1476" t="s">
        <v>248</v>
      </c>
      <c r="S1476">
        <v>0</v>
      </c>
      <c r="T1476" s="1095">
        <v>0</v>
      </c>
    </row>
    <row r="1477" spans="16:20">
      <c r="P1477" s="1094">
        <v>2316</v>
      </c>
      <c r="Q1477" t="s">
        <v>2568</v>
      </c>
      <c r="R1477" t="s">
        <v>248</v>
      </c>
      <c r="S1477">
        <v>0</v>
      </c>
      <c r="T1477" s="1095">
        <v>0</v>
      </c>
    </row>
    <row r="1478" spans="16:20">
      <c r="P1478" s="1094">
        <v>2316</v>
      </c>
      <c r="Q1478" t="s">
        <v>2569</v>
      </c>
      <c r="R1478" t="s">
        <v>248</v>
      </c>
      <c r="S1478">
        <v>0</v>
      </c>
      <c r="T1478" s="1095">
        <v>0</v>
      </c>
    </row>
    <row r="1479" spans="16:20">
      <c r="P1479" s="1094">
        <v>2316</v>
      </c>
      <c r="Q1479" t="s">
        <v>2570</v>
      </c>
      <c r="R1479" t="s">
        <v>248</v>
      </c>
      <c r="S1479">
        <v>0</v>
      </c>
      <c r="T1479" s="1095">
        <v>0</v>
      </c>
    </row>
    <row r="1480" spans="16:20">
      <c r="P1480" s="1094">
        <v>2316</v>
      </c>
      <c r="Q1480" t="s">
        <v>2571</v>
      </c>
      <c r="R1480" t="s">
        <v>248</v>
      </c>
      <c r="S1480">
        <v>0</v>
      </c>
      <c r="T1480" s="1095">
        <v>0</v>
      </c>
    </row>
    <row r="1481" spans="16:20">
      <c r="P1481" s="1094">
        <v>2316</v>
      </c>
      <c r="Q1481" t="s">
        <v>2572</v>
      </c>
      <c r="R1481" t="s">
        <v>248</v>
      </c>
      <c r="S1481">
        <v>0</v>
      </c>
      <c r="T1481" s="1095">
        <v>0</v>
      </c>
    </row>
    <row r="1482" spans="16:20">
      <c r="P1482" s="1094">
        <v>2317</v>
      </c>
      <c r="Q1482" t="s">
        <v>2573</v>
      </c>
      <c r="R1482" t="s">
        <v>248</v>
      </c>
      <c r="S1482">
        <v>0</v>
      </c>
      <c r="T1482" s="1095">
        <v>0</v>
      </c>
    </row>
    <row r="1483" spans="16:20">
      <c r="P1483" s="1094">
        <v>2317</v>
      </c>
      <c r="Q1483" t="s">
        <v>2574</v>
      </c>
      <c r="R1483" t="s">
        <v>248</v>
      </c>
      <c r="S1483">
        <v>0</v>
      </c>
      <c r="T1483" s="1095">
        <v>0</v>
      </c>
    </row>
    <row r="1484" spans="16:20">
      <c r="P1484" s="1094">
        <v>2318</v>
      </c>
      <c r="Q1484" t="s">
        <v>2575</v>
      </c>
      <c r="R1484" t="s">
        <v>248</v>
      </c>
      <c r="S1484">
        <v>0</v>
      </c>
      <c r="T1484" s="1095">
        <v>0</v>
      </c>
    </row>
    <row r="1485" spans="16:20">
      <c r="P1485" s="1094">
        <v>2318</v>
      </c>
      <c r="Q1485" t="s">
        <v>2576</v>
      </c>
      <c r="R1485" t="s">
        <v>248</v>
      </c>
      <c r="S1485">
        <v>0</v>
      </c>
      <c r="T1485" s="1095">
        <v>0</v>
      </c>
    </row>
    <row r="1486" spans="16:20">
      <c r="P1486" s="1094">
        <v>2318</v>
      </c>
      <c r="Q1486" t="s">
        <v>2577</v>
      </c>
      <c r="R1486" t="s">
        <v>248</v>
      </c>
      <c r="S1486">
        <v>0</v>
      </c>
      <c r="T1486" s="1095">
        <v>0</v>
      </c>
    </row>
    <row r="1487" spans="16:20">
      <c r="P1487" s="1094">
        <v>2318</v>
      </c>
      <c r="Q1487" t="s">
        <v>2578</v>
      </c>
      <c r="R1487" t="s">
        <v>248</v>
      </c>
      <c r="S1487">
        <v>0</v>
      </c>
      <c r="T1487" s="1095">
        <v>0</v>
      </c>
    </row>
    <row r="1488" spans="16:20">
      <c r="P1488" s="1094">
        <v>2318</v>
      </c>
      <c r="Q1488" t="s">
        <v>2579</v>
      </c>
      <c r="R1488" t="s">
        <v>248</v>
      </c>
      <c r="S1488">
        <v>0</v>
      </c>
      <c r="T1488" s="1095">
        <v>0</v>
      </c>
    </row>
    <row r="1489" spans="16:20">
      <c r="P1489" s="1094">
        <v>2318</v>
      </c>
      <c r="Q1489" t="s">
        <v>2580</v>
      </c>
      <c r="R1489" t="s">
        <v>248</v>
      </c>
      <c r="S1489">
        <v>0</v>
      </c>
      <c r="T1489" s="1095">
        <v>0</v>
      </c>
    </row>
    <row r="1490" spans="16:20">
      <c r="P1490" s="1094">
        <v>2318</v>
      </c>
      <c r="Q1490" t="s">
        <v>2581</v>
      </c>
      <c r="R1490" t="s">
        <v>248</v>
      </c>
      <c r="S1490">
        <v>0</v>
      </c>
      <c r="T1490" s="1095">
        <v>0</v>
      </c>
    </row>
    <row r="1491" spans="16:20">
      <c r="P1491" s="1094">
        <v>2319</v>
      </c>
      <c r="Q1491" t="s">
        <v>2582</v>
      </c>
      <c r="R1491" t="s">
        <v>248</v>
      </c>
      <c r="S1491">
        <v>0</v>
      </c>
      <c r="T1491" s="1095">
        <v>0</v>
      </c>
    </row>
    <row r="1492" spans="16:20">
      <c r="P1492" s="1094">
        <v>2319</v>
      </c>
      <c r="Q1492" t="s">
        <v>2583</v>
      </c>
      <c r="R1492" t="s">
        <v>248</v>
      </c>
      <c r="S1492">
        <v>0</v>
      </c>
      <c r="T1492" s="1095">
        <v>0</v>
      </c>
    </row>
    <row r="1493" spans="16:20">
      <c r="P1493" s="1094">
        <v>2319</v>
      </c>
      <c r="Q1493" t="s">
        <v>2584</v>
      </c>
      <c r="R1493" t="s">
        <v>248</v>
      </c>
      <c r="S1493">
        <v>0</v>
      </c>
      <c r="T1493" s="1095">
        <v>0</v>
      </c>
    </row>
    <row r="1494" spans="16:20">
      <c r="P1494" s="1094">
        <v>2320</v>
      </c>
      <c r="Q1494" t="s">
        <v>2585</v>
      </c>
      <c r="R1494" t="s">
        <v>248</v>
      </c>
      <c r="S1494">
        <v>151.54367500000001</v>
      </c>
      <c r="T1494" s="1095">
        <v>-32.741737000000001</v>
      </c>
    </row>
    <row r="1495" spans="16:20">
      <c r="P1495" s="1094">
        <v>2320</v>
      </c>
      <c r="Q1495" t="s">
        <v>2586</v>
      </c>
      <c r="R1495" t="s">
        <v>248</v>
      </c>
      <c r="S1495">
        <v>151.54367500000001</v>
      </c>
      <c r="T1495" s="1095">
        <v>-32.741737000000001</v>
      </c>
    </row>
    <row r="1496" spans="16:20">
      <c r="P1496" s="1094">
        <v>2320</v>
      </c>
      <c r="Q1496" t="s">
        <v>2587</v>
      </c>
      <c r="R1496" t="s">
        <v>248</v>
      </c>
      <c r="S1496">
        <v>151.54367500000001</v>
      </c>
      <c r="T1496" s="1095">
        <v>-32.741737000000001</v>
      </c>
    </row>
    <row r="1497" spans="16:20">
      <c r="P1497" s="1094">
        <v>2320</v>
      </c>
      <c r="Q1497" t="s">
        <v>2588</v>
      </c>
      <c r="R1497" t="s">
        <v>248</v>
      </c>
      <c r="S1497">
        <v>151.54367500000001</v>
      </c>
      <c r="T1497" s="1095">
        <v>-32.741737000000001</v>
      </c>
    </row>
    <row r="1498" spans="16:20">
      <c r="P1498" s="1094">
        <v>2320</v>
      </c>
      <c r="Q1498" t="s">
        <v>2589</v>
      </c>
      <c r="R1498" t="s">
        <v>248</v>
      </c>
      <c r="S1498">
        <v>151.54367500000001</v>
      </c>
      <c r="T1498" s="1095">
        <v>-32.741737000000001</v>
      </c>
    </row>
    <row r="1499" spans="16:20">
      <c r="P1499" s="1094">
        <v>2320</v>
      </c>
      <c r="Q1499" t="s">
        <v>2590</v>
      </c>
      <c r="R1499" t="s">
        <v>248</v>
      </c>
      <c r="S1499">
        <v>151.54367500000001</v>
      </c>
      <c r="T1499" s="1095">
        <v>-32.741737000000001</v>
      </c>
    </row>
    <row r="1500" spans="16:20">
      <c r="P1500" s="1094">
        <v>2320</v>
      </c>
      <c r="Q1500" t="s">
        <v>2591</v>
      </c>
      <c r="R1500" t="s">
        <v>248</v>
      </c>
      <c r="S1500">
        <v>151.54367500000001</v>
      </c>
      <c r="T1500" s="1095">
        <v>-32.741737000000001</v>
      </c>
    </row>
    <row r="1501" spans="16:20">
      <c r="P1501" s="1094">
        <v>2320</v>
      </c>
      <c r="Q1501" t="s">
        <v>2592</v>
      </c>
      <c r="R1501" t="s">
        <v>248</v>
      </c>
      <c r="S1501">
        <v>151.54367500000001</v>
      </c>
      <c r="T1501" s="1095">
        <v>-32.741737000000001</v>
      </c>
    </row>
    <row r="1502" spans="16:20">
      <c r="P1502" s="1094">
        <v>2320</v>
      </c>
      <c r="Q1502" t="s">
        <v>2501</v>
      </c>
      <c r="R1502" t="s">
        <v>248</v>
      </c>
      <c r="S1502">
        <v>151.54367500000001</v>
      </c>
      <c r="T1502" s="1095">
        <v>-32.741737000000001</v>
      </c>
    </row>
    <row r="1503" spans="16:20">
      <c r="P1503" s="1094">
        <v>2320</v>
      </c>
      <c r="Q1503" t="s">
        <v>2593</v>
      </c>
      <c r="R1503" t="s">
        <v>248</v>
      </c>
      <c r="S1503">
        <v>151.54367500000001</v>
      </c>
      <c r="T1503" s="1095">
        <v>-32.741737000000001</v>
      </c>
    </row>
    <row r="1504" spans="16:20">
      <c r="P1504" s="1094">
        <v>2320</v>
      </c>
      <c r="Q1504" t="s">
        <v>2594</v>
      </c>
      <c r="R1504" t="s">
        <v>248</v>
      </c>
      <c r="S1504">
        <v>151.54367500000001</v>
      </c>
      <c r="T1504" s="1095">
        <v>-32.741737000000001</v>
      </c>
    </row>
    <row r="1505" spans="16:20">
      <c r="P1505" s="1094">
        <v>2320</v>
      </c>
      <c r="Q1505" t="s">
        <v>2595</v>
      </c>
      <c r="R1505" t="s">
        <v>248</v>
      </c>
      <c r="S1505">
        <v>151.54367500000001</v>
      </c>
      <c r="T1505" s="1095">
        <v>-32.741737000000001</v>
      </c>
    </row>
    <row r="1506" spans="16:20">
      <c r="P1506" s="1094">
        <v>2320</v>
      </c>
      <c r="Q1506" t="s">
        <v>2596</v>
      </c>
      <c r="R1506" t="s">
        <v>248</v>
      </c>
      <c r="S1506">
        <v>151.54367500000001</v>
      </c>
      <c r="T1506" s="1095">
        <v>-32.741737000000001</v>
      </c>
    </row>
    <row r="1507" spans="16:20">
      <c r="P1507" s="1094">
        <v>2320</v>
      </c>
      <c r="Q1507" t="s">
        <v>2597</v>
      </c>
      <c r="R1507" t="s">
        <v>248</v>
      </c>
      <c r="S1507">
        <v>151.54367500000001</v>
      </c>
      <c r="T1507" s="1095">
        <v>-32.741737000000001</v>
      </c>
    </row>
    <row r="1508" spans="16:20">
      <c r="P1508" s="1094">
        <v>2320</v>
      </c>
      <c r="Q1508" t="s">
        <v>2598</v>
      </c>
      <c r="R1508" t="s">
        <v>248</v>
      </c>
      <c r="S1508">
        <v>151.54367500000001</v>
      </c>
      <c r="T1508" s="1095">
        <v>-32.741737000000001</v>
      </c>
    </row>
    <row r="1509" spans="16:20">
      <c r="P1509" s="1094">
        <v>2320</v>
      </c>
      <c r="Q1509" t="s">
        <v>2599</v>
      </c>
      <c r="R1509" t="s">
        <v>248</v>
      </c>
      <c r="S1509">
        <v>151.54367500000001</v>
      </c>
      <c r="T1509" s="1095">
        <v>-32.741737000000001</v>
      </c>
    </row>
    <row r="1510" spans="16:20">
      <c r="P1510" s="1094">
        <v>2320</v>
      </c>
      <c r="Q1510" t="s">
        <v>2600</v>
      </c>
      <c r="R1510" t="s">
        <v>248</v>
      </c>
      <c r="S1510">
        <v>151.54367500000001</v>
      </c>
      <c r="T1510" s="1095">
        <v>-32.741737000000001</v>
      </c>
    </row>
    <row r="1511" spans="16:20">
      <c r="P1511" s="1094">
        <v>2320</v>
      </c>
      <c r="Q1511" t="s">
        <v>2601</v>
      </c>
      <c r="R1511" t="s">
        <v>248</v>
      </c>
      <c r="S1511">
        <v>151.54367500000001</v>
      </c>
      <c r="T1511" s="1095">
        <v>-32.741737000000001</v>
      </c>
    </row>
    <row r="1512" spans="16:20">
      <c r="P1512" s="1094">
        <v>2320</v>
      </c>
      <c r="Q1512" t="s">
        <v>2602</v>
      </c>
      <c r="R1512" t="s">
        <v>248</v>
      </c>
      <c r="S1512">
        <v>151.54367500000001</v>
      </c>
      <c r="T1512" s="1095">
        <v>-32.741737000000001</v>
      </c>
    </row>
    <row r="1513" spans="16:20">
      <c r="P1513" s="1094">
        <v>2320</v>
      </c>
      <c r="Q1513" t="s">
        <v>2603</v>
      </c>
      <c r="R1513" t="s">
        <v>248</v>
      </c>
      <c r="S1513">
        <v>151.54367500000001</v>
      </c>
      <c r="T1513" s="1095">
        <v>-32.741737000000001</v>
      </c>
    </row>
    <row r="1514" spans="16:20">
      <c r="P1514" s="1094">
        <v>2320</v>
      </c>
      <c r="Q1514" t="s">
        <v>2604</v>
      </c>
      <c r="R1514" t="s">
        <v>248</v>
      </c>
      <c r="S1514">
        <v>151.54367500000001</v>
      </c>
      <c r="T1514" s="1095">
        <v>-32.741737000000001</v>
      </c>
    </row>
    <row r="1515" spans="16:20">
      <c r="P1515" s="1094">
        <v>2320</v>
      </c>
      <c r="Q1515" t="s">
        <v>2605</v>
      </c>
      <c r="R1515" t="s">
        <v>248</v>
      </c>
      <c r="S1515">
        <v>151.54367500000001</v>
      </c>
      <c r="T1515" s="1095">
        <v>-32.741737000000001</v>
      </c>
    </row>
    <row r="1516" spans="16:20">
      <c r="P1516" s="1094">
        <v>2320</v>
      </c>
      <c r="Q1516" t="s">
        <v>2606</v>
      </c>
      <c r="R1516" t="s">
        <v>248</v>
      </c>
      <c r="S1516">
        <v>151.54367500000001</v>
      </c>
      <c r="T1516" s="1095">
        <v>-32.741737000000001</v>
      </c>
    </row>
    <row r="1517" spans="16:20">
      <c r="P1517" s="1094">
        <v>2320</v>
      </c>
      <c r="Q1517" t="s">
        <v>2607</v>
      </c>
      <c r="R1517" t="s">
        <v>248</v>
      </c>
      <c r="S1517">
        <v>151.54367500000001</v>
      </c>
      <c r="T1517" s="1095">
        <v>-32.741737000000001</v>
      </c>
    </row>
    <row r="1518" spans="16:20">
      <c r="P1518" s="1094">
        <v>2320</v>
      </c>
      <c r="Q1518" t="s">
        <v>2608</v>
      </c>
      <c r="R1518" t="s">
        <v>248</v>
      </c>
      <c r="S1518">
        <v>151.54367500000001</v>
      </c>
      <c r="T1518" s="1095">
        <v>-32.741737000000001</v>
      </c>
    </row>
    <row r="1519" spans="16:20">
      <c r="P1519" s="1094">
        <v>2320</v>
      </c>
      <c r="Q1519" t="s">
        <v>2609</v>
      </c>
      <c r="R1519" t="s">
        <v>248</v>
      </c>
      <c r="S1519">
        <v>151.54367500000001</v>
      </c>
      <c r="T1519" s="1095">
        <v>-32.741737000000001</v>
      </c>
    </row>
    <row r="1520" spans="16:20">
      <c r="P1520" s="1094">
        <v>2320</v>
      </c>
      <c r="Q1520" t="s">
        <v>2610</v>
      </c>
      <c r="R1520" t="s">
        <v>248</v>
      </c>
      <c r="S1520">
        <v>151.54367500000001</v>
      </c>
      <c r="T1520" s="1095">
        <v>-32.741737000000001</v>
      </c>
    </row>
    <row r="1521" spans="16:20">
      <c r="P1521" s="1094">
        <v>2320</v>
      </c>
      <c r="Q1521" t="s">
        <v>2611</v>
      </c>
      <c r="R1521" t="s">
        <v>248</v>
      </c>
      <c r="S1521">
        <v>151.54367500000001</v>
      </c>
      <c r="T1521" s="1095">
        <v>-32.741737000000001</v>
      </c>
    </row>
    <row r="1522" spans="16:20">
      <c r="P1522" s="1094">
        <v>2320</v>
      </c>
      <c r="Q1522" t="s">
        <v>2612</v>
      </c>
      <c r="R1522" t="s">
        <v>248</v>
      </c>
      <c r="S1522">
        <v>151.54367500000001</v>
      </c>
      <c r="T1522" s="1095">
        <v>-32.741737000000001</v>
      </c>
    </row>
    <row r="1523" spans="16:20">
      <c r="P1523" s="1094">
        <v>2320</v>
      </c>
      <c r="Q1523" t="s">
        <v>2613</v>
      </c>
      <c r="R1523" t="s">
        <v>248</v>
      </c>
      <c r="S1523">
        <v>151.54367500000001</v>
      </c>
      <c r="T1523" s="1095">
        <v>-32.741737000000001</v>
      </c>
    </row>
    <row r="1524" spans="16:20">
      <c r="P1524" s="1094">
        <v>2321</v>
      </c>
      <c r="Q1524" t="s">
        <v>2614</v>
      </c>
      <c r="R1524" t="s">
        <v>248</v>
      </c>
      <c r="S1524">
        <v>151.68370200000001</v>
      </c>
      <c r="T1524" s="1095">
        <v>-32.660186000000003</v>
      </c>
    </row>
    <row r="1525" spans="16:20">
      <c r="P1525" s="1094">
        <v>2321</v>
      </c>
      <c r="Q1525" t="s">
        <v>2615</v>
      </c>
      <c r="R1525" t="s">
        <v>248</v>
      </c>
      <c r="S1525">
        <v>151.68370200000001</v>
      </c>
      <c r="T1525" s="1095">
        <v>-32.660186000000003</v>
      </c>
    </row>
    <row r="1526" spans="16:20">
      <c r="P1526" s="1094">
        <v>2321</v>
      </c>
      <c r="Q1526" t="s">
        <v>2616</v>
      </c>
      <c r="R1526" t="s">
        <v>248</v>
      </c>
      <c r="S1526">
        <v>151.68370200000001</v>
      </c>
      <c r="T1526" s="1095">
        <v>-32.660186000000003</v>
      </c>
    </row>
    <row r="1527" spans="16:20">
      <c r="P1527" s="1094">
        <v>2321</v>
      </c>
      <c r="Q1527" t="s">
        <v>2617</v>
      </c>
      <c r="R1527" t="s">
        <v>248</v>
      </c>
      <c r="S1527">
        <v>151.68370200000001</v>
      </c>
      <c r="T1527" s="1095">
        <v>-32.660186000000003</v>
      </c>
    </row>
    <row r="1528" spans="16:20">
      <c r="P1528" s="1094">
        <v>2321</v>
      </c>
      <c r="Q1528" t="s">
        <v>2618</v>
      </c>
      <c r="R1528" t="s">
        <v>248</v>
      </c>
      <c r="S1528">
        <v>151.68370200000001</v>
      </c>
      <c r="T1528" s="1095">
        <v>-32.660186000000003</v>
      </c>
    </row>
    <row r="1529" spans="16:20">
      <c r="P1529" s="1094">
        <v>2321</v>
      </c>
      <c r="Q1529" t="s">
        <v>2619</v>
      </c>
      <c r="R1529" t="s">
        <v>248</v>
      </c>
      <c r="S1529">
        <v>151.68370200000001</v>
      </c>
      <c r="T1529" s="1095">
        <v>-32.660186000000003</v>
      </c>
    </row>
    <row r="1530" spans="16:20">
      <c r="P1530" s="1094">
        <v>2321</v>
      </c>
      <c r="Q1530" t="s">
        <v>2620</v>
      </c>
      <c r="R1530" t="s">
        <v>248</v>
      </c>
      <c r="S1530">
        <v>151.68370200000001</v>
      </c>
      <c r="T1530" s="1095">
        <v>-32.660186000000003</v>
      </c>
    </row>
    <row r="1531" spans="16:20">
      <c r="P1531" s="1094">
        <v>2321</v>
      </c>
      <c r="Q1531" t="s">
        <v>2621</v>
      </c>
      <c r="R1531" t="s">
        <v>248</v>
      </c>
      <c r="S1531">
        <v>151.68370200000001</v>
      </c>
      <c r="T1531" s="1095">
        <v>-32.660186000000003</v>
      </c>
    </row>
    <row r="1532" spans="16:20">
      <c r="P1532" s="1094">
        <v>2321</v>
      </c>
      <c r="Q1532" t="s">
        <v>2622</v>
      </c>
      <c r="R1532" t="s">
        <v>248</v>
      </c>
      <c r="S1532">
        <v>151.68370200000001</v>
      </c>
      <c r="T1532" s="1095">
        <v>-32.660186000000003</v>
      </c>
    </row>
    <row r="1533" spans="16:20">
      <c r="P1533" s="1094">
        <v>2321</v>
      </c>
      <c r="Q1533" t="s">
        <v>2623</v>
      </c>
      <c r="R1533" t="s">
        <v>248</v>
      </c>
      <c r="S1533">
        <v>151.68370200000001</v>
      </c>
      <c r="T1533" s="1095">
        <v>-32.660186000000003</v>
      </c>
    </row>
    <row r="1534" spans="16:20">
      <c r="P1534" s="1094">
        <v>2321</v>
      </c>
      <c r="Q1534" t="s">
        <v>2624</v>
      </c>
      <c r="R1534" t="s">
        <v>248</v>
      </c>
      <c r="S1534">
        <v>151.68370200000001</v>
      </c>
      <c r="T1534" s="1095">
        <v>-32.660186000000003</v>
      </c>
    </row>
    <row r="1535" spans="16:20">
      <c r="P1535" s="1094">
        <v>2321</v>
      </c>
      <c r="Q1535" t="s">
        <v>2625</v>
      </c>
      <c r="R1535" t="s">
        <v>248</v>
      </c>
      <c r="S1535">
        <v>151.68370200000001</v>
      </c>
      <c r="T1535" s="1095">
        <v>-32.660186000000003</v>
      </c>
    </row>
    <row r="1536" spans="16:20">
      <c r="P1536" s="1094">
        <v>2321</v>
      </c>
      <c r="Q1536" t="s">
        <v>2626</v>
      </c>
      <c r="R1536" t="s">
        <v>248</v>
      </c>
      <c r="S1536">
        <v>151.68370200000001</v>
      </c>
      <c r="T1536" s="1095">
        <v>-32.660186000000003</v>
      </c>
    </row>
    <row r="1537" spans="16:20">
      <c r="P1537" s="1094">
        <v>2321</v>
      </c>
      <c r="Q1537" t="s">
        <v>2627</v>
      </c>
      <c r="R1537" t="s">
        <v>248</v>
      </c>
      <c r="S1537">
        <v>151.68370200000001</v>
      </c>
      <c r="T1537" s="1095">
        <v>-32.660186000000003</v>
      </c>
    </row>
    <row r="1538" spans="16:20">
      <c r="P1538" s="1094">
        <v>2321</v>
      </c>
      <c r="Q1538" t="s">
        <v>2628</v>
      </c>
      <c r="R1538" t="s">
        <v>248</v>
      </c>
      <c r="S1538">
        <v>151.68370200000001</v>
      </c>
      <c r="T1538" s="1095">
        <v>-32.660186000000003</v>
      </c>
    </row>
    <row r="1539" spans="16:20">
      <c r="P1539" s="1094">
        <v>2321</v>
      </c>
      <c r="Q1539" t="s">
        <v>2629</v>
      </c>
      <c r="R1539" t="s">
        <v>248</v>
      </c>
      <c r="S1539">
        <v>151.68370200000001</v>
      </c>
      <c r="T1539" s="1095">
        <v>-32.660186000000003</v>
      </c>
    </row>
    <row r="1540" spans="16:20">
      <c r="P1540" s="1094">
        <v>2321</v>
      </c>
      <c r="Q1540" t="s">
        <v>2630</v>
      </c>
      <c r="R1540" t="s">
        <v>248</v>
      </c>
      <c r="S1540">
        <v>151.68370200000001</v>
      </c>
      <c r="T1540" s="1095">
        <v>-32.660186000000003</v>
      </c>
    </row>
    <row r="1541" spans="16:20">
      <c r="P1541" s="1094">
        <v>2321</v>
      </c>
      <c r="Q1541" t="s">
        <v>2631</v>
      </c>
      <c r="R1541" t="s">
        <v>248</v>
      </c>
      <c r="S1541">
        <v>151.68370200000001</v>
      </c>
      <c r="T1541" s="1095">
        <v>-32.660186000000003</v>
      </c>
    </row>
    <row r="1542" spans="16:20">
      <c r="P1542" s="1094">
        <v>2321</v>
      </c>
      <c r="Q1542" t="s">
        <v>2632</v>
      </c>
      <c r="R1542" t="s">
        <v>248</v>
      </c>
      <c r="S1542">
        <v>151.68370200000001</v>
      </c>
      <c r="T1542" s="1095">
        <v>-32.660186000000003</v>
      </c>
    </row>
    <row r="1543" spans="16:20">
      <c r="P1543" s="1094">
        <v>2321</v>
      </c>
      <c r="Q1543" t="s">
        <v>2633</v>
      </c>
      <c r="R1543" t="s">
        <v>248</v>
      </c>
      <c r="S1543">
        <v>151.68370200000001</v>
      </c>
      <c r="T1543" s="1095">
        <v>-32.660186000000003</v>
      </c>
    </row>
    <row r="1544" spans="16:20">
      <c r="P1544" s="1094">
        <v>2321</v>
      </c>
      <c r="Q1544" t="s">
        <v>2634</v>
      </c>
      <c r="R1544" t="s">
        <v>248</v>
      </c>
      <c r="S1544">
        <v>151.68370200000001</v>
      </c>
      <c r="T1544" s="1095">
        <v>-32.660186000000003</v>
      </c>
    </row>
    <row r="1545" spans="16:20">
      <c r="P1545" s="1094">
        <v>2321</v>
      </c>
      <c r="Q1545" t="s">
        <v>2635</v>
      </c>
      <c r="R1545" t="s">
        <v>248</v>
      </c>
      <c r="S1545">
        <v>151.68370200000001</v>
      </c>
      <c r="T1545" s="1095">
        <v>-32.660186000000003</v>
      </c>
    </row>
    <row r="1546" spans="16:20">
      <c r="P1546" s="1094">
        <v>2322</v>
      </c>
      <c r="Q1546" t="s">
        <v>2636</v>
      </c>
      <c r="R1546" t="s">
        <v>248</v>
      </c>
      <c r="S1546">
        <v>151.65414999999999</v>
      </c>
      <c r="T1546" s="1095">
        <v>-32.819819000000003</v>
      </c>
    </row>
    <row r="1547" spans="16:20">
      <c r="P1547" s="1094">
        <v>2322</v>
      </c>
      <c r="Q1547" t="s">
        <v>2637</v>
      </c>
      <c r="R1547" t="s">
        <v>248</v>
      </c>
      <c r="S1547">
        <v>151.65414999999999</v>
      </c>
      <c r="T1547" s="1095">
        <v>-32.819819000000003</v>
      </c>
    </row>
    <row r="1548" spans="16:20">
      <c r="P1548" s="1094">
        <v>2322</v>
      </c>
      <c r="Q1548" t="s">
        <v>2638</v>
      </c>
      <c r="R1548" t="s">
        <v>248</v>
      </c>
      <c r="S1548">
        <v>151.65414999999999</v>
      </c>
      <c r="T1548" s="1095">
        <v>-32.819819000000003</v>
      </c>
    </row>
    <row r="1549" spans="16:20">
      <c r="P1549" s="1094">
        <v>2322</v>
      </c>
      <c r="Q1549" t="s">
        <v>2639</v>
      </c>
      <c r="R1549" t="s">
        <v>248</v>
      </c>
      <c r="S1549">
        <v>151.65414999999999</v>
      </c>
      <c r="T1549" s="1095">
        <v>-32.819819000000003</v>
      </c>
    </row>
    <row r="1550" spans="16:20">
      <c r="P1550" s="1094">
        <v>2322</v>
      </c>
      <c r="Q1550" t="s">
        <v>2640</v>
      </c>
      <c r="R1550" t="s">
        <v>248</v>
      </c>
      <c r="S1550">
        <v>151.65414999999999</v>
      </c>
      <c r="T1550" s="1095">
        <v>-32.819819000000003</v>
      </c>
    </row>
    <row r="1551" spans="16:20">
      <c r="P1551" s="1094">
        <v>2322</v>
      </c>
      <c r="Q1551" t="s">
        <v>2641</v>
      </c>
      <c r="R1551" t="s">
        <v>248</v>
      </c>
      <c r="S1551">
        <v>151.65414999999999</v>
      </c>
      <c r="T1551" s="1095">
        <v>-32.819819000000003</v>
      </c>
    </row>
    <row r="1552" spans="16:20">
      <c r="P1552" s="1094">
        <v>2322</v>
      </c>
      <c r="Q1552" t="s">
        <v>2642</v>
      </c>
      <c r="R1552" t="s">
        <v>248</v>
      </c>
      <c r="S1552">
        <v>151.65414999999999</v>
      </c>
      <c r="T1552" s="1095">
        <v>-32.819819000000003</v>
      </c>
    </row>
    <row r="1553" spans="16:20">
      <c r="P1553" s="1094">
        <v>2322</v>
      </c>
      <c r="Q1553" t="s">
        <v>2643</v>
      </c>
      <c r="R1553" t="s">
        <v>248</v>
      </c>
      <c r="S1553">
        <v>151.65414999999999</v>
      </c>
      <c r="T1553" s="1095">
        <v>-32.819819000000003</v>
      </c>
    </row>
    <row r="1554" spans="16:20">
      <c r="P1554" s="1094">
        <v>2322</v>
      </c>
      <c r="Q1554" t="s">
        <v>2644</v>
      </c>
      <c r="R1554" t="s">
        <v>248</v>
      </c>
      <c r="S1554">
        <v>151.65414999999999</v>
      </c>
      <c r="T1554" s="1095">
        <v>-32.819819000000003</v>
      </c>
    </row>
    <row r="1555" spans="16:20">
      <c r="P1555" s="1094">
        <v>2323</v>
      </c>
      <c r="Q1555" t="s">
        <v>2645</v>
      </c>
      <c r="R1555" t="s">
        <v>248</v>
      </c>
      <c r="S1555">
        <v>151.60755399999999</v>
      </c>
      <c r="T1555" s="1095">
        <v>-32.757615999999999</v>
      </c>
    </row>
    <row r="1556" spans="16:20">
      <c r="P1556" s="1094">
        <v>2323</v>
      </c>
      <c r="Q1556" t="s">
        <v>2646</v>
      </c>
      <c r="R1556" t="s">
        <v>248</v>
      </c>
      <c r="S1556">
        <v>151.60755399999999</v>
      </c>
      <c r="T1556" s="1095">
        <v>-32.757615999999999</v>
      </c>
    </row>
    <row r="1557" spans="16:20">
      <c r="P1557" s="1094">
        <v>2323</v>
      </c>
      <c r="Q1557" t="s">
        <v>2647</v>
      </c>
      <c r="R1557" t="s">
        <v>248</v>
      </c>
      <c r="S1557">
        <v>151.60755399999999</v>
      </c>
      <c r="T1557" s="1095">
        <v>-32.757615999999999</v>
      </c>
    </row>
    <row r="1558" spans="16:20">
      <c r="P1558" s="1094">
        <v>2323</v>
      </c>
      <c r="Q1558" t="s">
        <v>2648</v>
      </c>
      <c r="R1558" t="s">
        <v>248</v>
      </c>
      <c r="S1558">
        <v>151.60755399999999</v>
      </c>
      <c r="T1558" s="1095">
        <v>-32.757615999999999</v>
      </c>
    </row>
    <row r="1559" spans="16:20">
      <c r="P1559" s="1094">
        <v>2323</v>
      </c>
      <c r="Q1559" t="s">
        <v>2649</v>
      </c>
      <c r="R1559" t="s">
        <v>248</v>
      </c>
      <c r="S1559">
        <v>151.60755399999999</v>
      </c>
      <c r="T1559" s="1095">
        <v>-32.757615999999999</v>
      </c>
    </row>
    <row r="1560" spans="16:20">
      <c r="P1560" s="1094">
        <v>2323</v>
      </c>
      <c r="Q1560" t="s">
        <v>2650</v>
      </c>
      <c r="R1560" t="s">
        <v>248</v>
      </c>
      <c r="S1560">
        <v>151.60755399999999</v>
      </c>
      <c r="T1560" s="1095">
        <v>-32.757615999999999</v>
      </c>
    </row>
    <row r="1561" spans="16:20">
      <c r="P1561" s="1094">
        <v>2323</v>
      </c>
      <c r="Q1561" t="s">
        <v>2651</v>
      </c>
      <c r="R1561" t="s">
        <v>248</v>
      </c>
      <c r="S1561">
        <v>151.60755399999999</v>
      </c>
      <c r="T1561" s="1095">
        <v>-32.757615999999999</v>
      </c>
    </row>
    <row r="1562" spans="16:20">
      <c r="P1562" s="1094">
        <v>2323</v>
      </c>
      <c r="Q1562" t="s">
        <v>2652</v>
      </c>
      <c r="R1562" t="s">
        <v>248</v>
      </c>
      <c r="S1562">
        <v>151.60755399999999</v>
      </c>
      <c r="T1562" s="1095">
        <v>-32.757615999999999</v>
      </c>
    </row>
    <row r="1563" spans="16:20">
      <c r="P1563" s="1094">
        <v>2323</v>
      </c>
      <c r="Q1563" t="s">
        <v>2653</v>
      </c>
      <c r="R1563" t="s">
        <v>248</v>
      </c>
      <c r="S1563">
        <v>151.60755399999999</v>
      </c>
      <c r="T1563" s="1095">
        <v>-32.757615999999999</v>
      </c>
    </row>
    <row r="1564" spans="16:20">
      <c r="P1564" s="1094">
        <v>2323</v>
      </c>
      <c r="Q1564" t="s">
        <v>2654</v>
      </c>
      <c r="R1564" t="s">
        <v>248</v>
      </c>
      <c r="S1564">
        <v>151.60755399999999</v>
      </c>
      <c r="T1564" s="1095">
        <v>-32.757615999999999</v>
      </c>
    </row>
    <row r="1565" spans="16:20">
      <c r="P1565" s="1094">
        <v>2323</v>
      </c>
      <c r="Q1565" t="s">
        <v>2655</v>
      </c>
      <c r="R1565" t="s">
        <v>248</v>
      </c>
      <c r="S1565">
        <v>151.60755399999999</v>
      </c>
      <c r="T1565" s="1095">
        <v>-32.757615999999999</v>
      </c>
    </row>
    <row r="1566" spans="16:20">
      <c r="P1566" s="1094">
        <v>2323</v>
      </c>
      <c r="Q1566" t="s">
        <v>2656</v>
      </c>
      <c r="R1566" t="s">
        <v>248</v>
      </c>
      <c r="S1566">
        <v>151.60755399999999</v>
      </c>
      <c r="T1566" s="1095">
        <v>-32.757615999999999</v>
      </c>
    </row>
    <row r="1567" spans="16:20">
      <c r="P1567" s="1094">
        <v>2323</v>
      </c>
      <c r="Q1567" t="s">
        <v>2657</v>
      </c>
      <c r="R1567" t="s">
        <v>248</v>
      </c>
      <c r="S1567">
        <v>151.60755399999999</v>
      </c>
      <c r="T1567" s="1095">
        <v>-32.757615999999999</v>
      </c>
    </row>
    <row r="1568" spans="16:20">
      <c r="P1568" s="1094">
        <v>2324</v>
      </c>
      <c r="Q1568" t="s">
        <v>2658</v>
      </c>
      <c r="R1568" t="s">
        <v>248</v>
      </c>
      <c r="S1568">
        <v>152.332617</v>
      </c>
      <c r="T1568" s="1095">
        <v>-32.623108000000002</v>
      </c>
    </row>
    <row r="1569" spans="16:20">
      <c r="P1569" s="1094">
        <v>2324</v>
      </c>
      <c r="Q1569" t="s">
        <v>2659</v>
      </c>
      <c r="R1569" t="s">
        <v>248</v>
      </c>
      <c r="S1569">
        <v>152.332617</v>
      </c>
      <c r="T1569" s="1095">
        <v>-32.623108000000002</v>
      </c>
    </row>
    <row r="1570" spans="16:20">
      <c r="P1570" s="1094">
        <v>2324</v>
      </c>
      <c r="Q1570" t="s">
        <v>2660</v>
      </c>
      <c r="R1570" t="s">
        <v>248</v>
      </c>
      <c r="S1570">
        <v>152.332617</v>
      </c>
      <c r="T1570" s="1095">
        <v>-32.623108000000002</v>
      </c>
    </row>
    <row r="1571" spans="16:20">
      <c r="P1571" s="1094">
        <v>2324</v>
      </c>
      <c r="Q1571" t="s">
        <v>2514</v>
      </c>
      <c r="R1571" t="s">
        <v>248</v>
      </c>
      <c r="S1571">
        <v>152.332617</v>
      </c>
      <c r="T1571" s="1095">
        <v>-32.623108000000002</v>
      </c>
    </row>
    <row r="1572" spans="16:20">
      <c r="P1572" s="1094">
        <v>2324</v>
      </c>
      <c r="Q1572" t="s">
        <v>2661</v>
      </c>
      <c r="R1572" t="s">
        <v>248</v>
      </c>
      <c r="S1572">
        <v>152.332617</v>
      </c>
      <c r="T1572" s="1095">
        <v>-32.623108000000002</v>
      </c>
    </row>
    <row r="1573" spans="16:20">
      <c r="P1573" s="1094">
        <v>2324</v>
      </c>
      <c r="Q1573" t="s">
        <v>2662</v>
      </c>
      <c r="R1573" t="s">
        <v>248</v>
      </c>
      <c r="S1573">
        <v>152.332617</v>
      </c>
      <c r="T1573" s="1095">
        <v>-32.623108000000002</v>
      </c>
    </row>
    <row r="1574" spans="16:20">
      <c r="P1574" s="1094">
        <v>2324</v>
      </c>
      <c r="Q1574" t="s">
        <v>2663</v>
      </c>
      <c r="R1574" t="s">
        <v>248</v>
      </c>
      <c r="S1574">
        <v>152.332617</v>
      </c>
      <c r="T1574" s="1095">
        <v>-32.623108000000002</v>
      </c>
    </row>
    <row r="1575" spans="16:20">
      <c r="P1575" s="1094">
        <v>2324</v>
      </c>
      <c r="Q1575" t="s">
        <v>2664</v>
      </c>
      <c r="R1575" t="s">
        <v>248</v>
      </c>
      <c r="S1575">
        <v>152.332617</v>
      </c>
      <c r="T1575" s="1095">
        <v>-32.623108000000002</v>
      </c>
    </row>
    <row r="1576" spans="16:20">
      <c r="P1576" s="1094">
        <v>2324</v>
      </c>
      <c r="Q1576" t="s">
        <v>2665</v>
      </c>
      <c r="R1576" t="s">
        <v>248</v>
      </c>
      <c r="S1576">
        <v>152.332617</v>
      </c>
      <c r="T1576" s="1095">
        <v>-32.623108000000002</v>
      </c>
    </row>
    <row r="1577" spans="16:20">
      <c r="P1577" s="1094">
        <v>2324</v>
      </c>
      <c r="Q1577" t="s">
        <v>2666</v>
      </c>
      <c r="R1577" t="s">
        <v>248</v>
      </c>
      <c r="S1577">
        <v>152.332617</v>
      </c>
      <c r="T1577" s="1095">
        <v>-32.623108000000002</v>
      </c>
    </row>
    <row r="1578" spans="16:20">
      <c r="P1578" s="1094">
        <v>2324</v>
      </c>
      <c r="Q1578" t="s">
        <v>2667</v>
      </c>
      <c r="R1578" t="s">
        <v>248</v>
      </c>
      <c r="S1578">
        <v>152.332617</v>
      </c>
      <c r="T1578" s="1095">
        <v>-32.623108000000002</v>
      </c>
    </row>
    <row r="1579" spans="16:20">
      <c r="P1579" s="1094">
        <v>2324</v>
      </c>
      <c r="Q1579" t="s">
        <v>2668</v>
      </c>
      <c r="R1579" t="s">
        <v>248</v>
      </c>
      <c r="S1579">
        <v>152.332617</v>
      </c>
      <c r="T1579" s="1095">
        <v>-32.623108000000002</v>
      </c>
    </row>
    <row r="1580" spans="16:20">
      <c r="P1580" s="1094">
        <v>2324</v>
      </c>
      <c r="Q1580" t="s">
        <v>2669</v>
      </c>
      <c r="R1580" t="s">
        <v>248</v>
      </c>
      <c r="S1580">
        <v>152.332617</v>
      </c>
      <c r="T1580" s="1095">
        <v>-32.623108000000002</v>
      </c>
    </row>
    <row r="1581" spans="16:20">
      <c r="P1581" s="1094">
        <v>2324</v>
      </c>
      <c r="Q1581" t="s">
        <v>2670</v>
      </c>
      <c r="R1581" t="s">
        <v>248</v>
      </c>
      <c r="S1581">
        <v>152.332617</v>
      </c>
      <c r="T1581" s="1095">
        <v>-32.623108000000002</v>
      </c>
    </row>
    <row r="1582" spans="16:20">
      <c r="P1582" s="1094">
        <v>2324</v>
      </c>
      <c r="Q1582" t="s">
        <v>2671</v>
      </c>
      <c r="R1582" t="s">
        <v>248</v>
      </c>
      <c r="S1582">
        <v>152.332617</v>
      </c>
      <c r="T1582" s="1095">
        <v>-32.623108000000002</v>
      </c>
    </row>
    <row r="1583" spans="16:20">
      <c r="P1583" s="1094">
        <v>2324</v>
      </c>
      <c r="Q1583" t="s">
        <v>2672</v>
      </c>
      <c r="R1583" t="s">
        <v>248</v>
      </c>
      <c r="S1583">
        <v>152.332617</v>
      </c>
      <c r="T1583" s="1095">
        <v>-32.623108000000002</v>
      </c>
    </row>
    <row r="1584" spans="16:20">
      <c r="P1584" s="1094">
        <v>2324</v>
      </c>
      <c r="Q1584" t="s">
        <v>2673</v>
      </c>
      <c r="R1584" t="s">
        <v>248</v>
      </c>
      <c r="S1584">
        <v>152.332617</v>
      </c>
      <c r="T1584" s="1095">
        <v>-32.623108000000002</v>
      </c>
    </row>
    <row r="1585" spans="16:20">
      <c r="P1585" s="1094">
        <v>2324</v>
      </c>
      <c r="Q1585" t="s">
        <v>2674</v>
      </c>
      <c r="R1585" t="s">
        <v>248</v>
      </c>
      <c r="S1585">
        <v>152.332617</v>
      </c>
      <c r="T1585" s="1095">
        <v>-32.623108000000002</v>
      </c>
    </row>
    <row r="1586" spans="16:20">
      <c r="P1586" s="1094">
        <v>2324</v>
      </c>
      <c r="Q1586" t="s">
        <v>2675</v>
      </c>
      <c r="R1586" t="s">
        <v>248</v>
      </c>
      <c r="S1586">
        <v>152.332617</v>
      </c>
      <c r="T1586" s="1095">
        <v>-32.623108000000002</v>
      </c>
    </row>
    <row r="1587" spans="16:20">
      <c r="P1587" s="1094">
        <v>2324</v>
      </c>
      <c r="Q1587" t="s">
        <v>2676</v>
      </c>
      <c r="R1587" t="s">
        <v>248</v>
      </c>
      <c r="S1587">
        <v>152.332617</v>
      </c>
      <c r="T1587" s="1095">
        <v>-32.623108000000002</v>
      </c>
    </row>
    <row r="1588" spans="16:20">
      <c r="P1588" s="1094">
        <v>2324</v>
      </c>
      <c r="Q1588" t="s">
        <v>2677</v>
      </c>
      <c r="R1588" t="s">
        <v>248</v>
      </c>
      <c r="S1588">
        <v>152.332617</v>
      </c>
      <c r="T1588" s="1095">
        <v>-32.623108000000002</v>
      </c>
    </row>
    <row r="1589" spans="16:20">
      <c r="P1589" s="1094">
        <v>2324</v>
      </c>
      <c r="Q1589" t="s">
        <v>2678</v>
      </c>
      <c r="R1589" t="s">
        <v>248</v>
      </c>
      <c r="S1589">
        <v>152.332617</v>
      </c>
      <c r="T1589" s="1095">
        <v>-32.623108000000002</v>
      </c>
    </row>
    <row r="1590" spans="16:20">
      <c r="P1590" s="1094">
        <v>2324</v>
      </c>
      <c r="Q1590" t="s">
        <v>2679</v>
      </c>
      <c r="R1590" t="s">
        <v>248</v>
      </c>
      <c r="S1590">
        <v>152.332617</v>
      </c>
      <c r="T1590" s="1095">
        <v>-32.623108000000002</v>
      </c>
    </row>
    <row r="1591" spans="16:20">
      <c r="P1591" s="1094">
        <v>2324</v>
      </c>
      <c r="Q1591" t="s">
        <v>2680</v>
      </c>
      <c r="R1591" t="s">
        <v>248</v>
      </c>
      <c r="S1591">
        <v>152.332617</v>
      </c>
      <c r="T1591" s="1095">
        <v>-32.623108000000002</v>
      </c>
    </row>
    <row r="1592" spans="16:20">
      <c r="P1592" s="1094">
        <v>2324</v>
      </c>
      <c r="Q1592" t="s">
        <v>2681</v>
      </c>
      <c r="R1592" t="s">
        <v>248</v>
      </c>
      <c r="S1592">
        <v>152.332617</v>
      </c>
      <c r="T1592" s="1095">
        <v>-32.623108000000002</v>
      </c>
    </row>
    <row r="1593" spans="16:20">
      <c r="P1593" s="1094">
        <v>2325</v>
      </c>
      <c r="Q1593" t="s">
        <v>2682</v>
      </c>
      <c r="R1593" t="s">
        <v>248</v>
      </c>
      <c r="S1593">
        <v>151.317476</v>
      </c>
      <c r="T1593" s="1095">
        <v>-32.977860999999997</v>
      </c>
    </row>
    <row r="1594" spans="16:20">
      <c r="P1594" s="1094">
        <v>2325</v>
      </c>
      <c r="Q1594" t="s">
        <v>2683</v>
      </c>
      <c r="R1594" t="s">
        <v>248</v>
      </c>
      <c r="S1594">
        <v>151.317476</v>
      </c>
      <c r="T1594" s="1095">
        <v>-32.977860999999997</v>
      </c>
    </row>
    <row r="1595" spans="16:20">
      <c r="P1595" s="1094">
        <v>2325</v>
      </c>
      <c r="Q1595" t="s">
        <v>2684</v>
      </c>
      <c r="R1595" t="s">
        <v>248</v>
      </c>
      <c r="S1595">
        <v>151.317476</v>
      </c>
      <c r="T1595" s="1095">
        <v>-32.977860999999997</v>
      </c>
    </row>
    <row r="1596" spans="16:20">
      <c r="P1596" s="1094">
        <v>2325</v>
      </c>
      <c r="Q1596" t="s">
        <v>2685</v>
      </c>
      <c r="R1596" t="s">
        <v>248</v>
      </c>
      <c r="S1596">
        <v>151.317476</v>
      </c>
      <c r="T1596" s="1095">
        <v>-32.977860999999997</v>
      </c>
    </row>
    <row r="1597" spans="16:20">
      <c r="P1597" s="1094">
        <v>2325</v>
      </c>
      <c r="Q1597" t="s">
        <v>2686</v>
      </c>
      <c r="R1597" t="s">
        <v>248</v>
      </c>
      <c r="S1597">
        <v>151.317476</v>
      </c>
      <c r="T1597" s="1095">
        <v>-32.977860999999997</v>
      </c>
    </row>
    <row r="1598" spans="16:20">
      <c r="P1598" s="1094">
        <v>2325</v>
      </c>
      <c r="Q1598" t="s">
        <v>2687</v>
      </c>
      <c r="R1598" t="s">
        <v>248</v>
      </c>
      <c r="S1598">
        <v>151.317476</v>
      </c>
      <c r="T1598" s="1095">
        <v>-32.977860999999997</v>
      </c>
    </row>
    <row r="1599" spans="16:20">
      <c r="P1599" s="1094">
        <v>2325</v>
      </c>
      <c r="Q1599" t="s">
        <v>2688</v>
      </c>
      <c r="R1599" t="s">
        <v>248</v>
      </c>
      <c r="S1599">
        <v>151.317476</v>
      </c>
      <c r="T1599" s="1095">
        <v>-32.977860999999997</v>
      </c>
    </row>
    <row r="1600" spans="16:20">
      <c r="P1600" s="1094">
        <v>2325</v>
      </c>
      <c r="Q1600" t="s">
        <v>2689</v>
      </c>
      <c r="R1600" t="s">
        <v>248</v>
      </c>
      <c r="S1600">
        <v>151.317476</v>
      </c>
      <c r="T1600" s="1095">
        <v>-32.977860999999997</v>
      </c>
    </row>
    <row r="1601" spans="16:20">
      <c r="P1601" s="1094">
        <v>2325</v>
      </c>
      <c r="Q1601" t="s">
        <v>2690</v>
      </c>
      <c r="R1601" t="s">
        <v>248</v>
      </c>
      <c r="S1601">
        <v>151.317476</v>
      </c>
      <c r="T1601" s="1095">
        <v>-32.977860999999997</v>
      </c>
    </row>
    <row r="1602" spans="16:20">
      <c r="P1602" s="1094">
        <v>2325</v>
      </c>
      <c r="Q1602" t="s">
        <v>2691</v>
      </c>
      <c r="R1602" t="s">
        <v>248</v>
      </c>
      <c r="S1602">
        <v>151.317476</v>
      </c>
      <c r="T1602" s="1095">
        <v>-32.977860999999997</v>
      </c>
    </row>
    <row r="1603" spans="16:20">
      <c r="P1603" s="1094">
        <v>2325</v>
      </c>
      <c r="Q1603" t="s">
        <v>2692</v>
      </c>
      <c r="R1603" t="s">
        <v>248</v>
      </c>
      <c r="S1603">
        <v>151.317476</v>
      </c>
      <c r="T1603" s="1095">
        <v>-32.977860999999997</v>
      </c>
    </row>
    <row r="1604" spans="16:20">
      <c r="P1604" s="1094">
        <v>2325</v>
      </c>
      <c r="Q1604" t="s">
        <v>2693</v>
      </c>
      <c r="R1604" t="s">
        <v>248</v>
      </c>
      <c r="S1604">
        <v>151.317476</v>
      </c>
      <c r="T1604" s="1095">
        <v>-32.977860999999997</v>
      </c>
    </row>
    <row r="1605" spans="16:20">
      <c r="P1605" s="1094">
        <v>2325</v>
      </c>
      <c r="Q1605" t="s">
        <v>2694</v>
      </c>
      <c r="R1605" t="s">
        <v>248</v>
      </c>
      <c r="S1605">
        <v>151.317476</v>
      </c>
      <c r="T1605" s="1095">
        <v>-32.977860999999997</v>
      </c>
    </row>
    <row r="1606" spans="16:20">
      <c r="P1606" s="1094">
        <v>2325</v>
      </c>
      <c r="Q1606" t="s">
        <v>2695</v>
      </c>
      <c r="R1606" t="s">
        <v>248</v>
      </c>
      <c r="S1606">
        <v>151.317476</v>
      </c>
      <c r="T1606" s="1095">
        <v>-32.977860999999997</v>
      </c>
    </row>
    <row r="1607" spans="16:20">
      <c r="P1607" s="1094">
        <v>2325</v>
      </c>
      <c r="Q1607" t="s">
        <v>2696</v>
      </c>
      <c r="R1607" t="s">
        <v>248</v>
      </c>
      <c r="S1607">
        <v>151.317476</v>
      </c>
      <c r="T1607" s="1095">
        <v>-32.977860999999997</v>
      </c>
    </row>
    <row r="1608" spans="16:20">
      <c r="P1608" s="1094">
        <v>2325</v>
      </c>
      <c r="Q1608" t="s">
        <v>2697</v>
      </c>
      <c r="R1608" t="s">
        <v>248</v>
      </c>
      <c r="S1608">
        <v>151.317476</v>
      </c>
      <c r="T1608" s="1095">
        <v>-32.977860999999997</v>
      </c>
    </row>
    <row r="1609" spans="16:20">
      <c r="P1609" s="1094">
        <v>2325</v>
      </c>
      <c r="Q1609" t="s">
        <v>2698</v>
      </c>
      <c r="R1609" t="s">
        <v>248</v>
      </c>
      <c r="S1609">
        <v>151.317476</v>
      </c>
      <c r="T1609" s="1095">
        <v>-32.977860999999997</v>
      </c>
    </row>
    <row r="1610" spans="16:20">
      <c r="P1610" s="1094">
        <v>2325</v>
      </c>
      <c r="Q1610" t="s">
        <v>2699</v>
      </c>
      <c r="R1610" t="s">
        <v>248</v>
      </c>
      <c r="S1610">
        <v>151.317476</v>
      </c>
      <c r="T1610" s="1095">
        <v>-32.977860999999997</v>
      </c>
    </row>
    <row r="1611" spans="16:20">
      <c r="P1611" s="1094">
        <v>2325</v>
      </c>
      <c r="Q1611" t="s">
        <v>2700</v>
      </c>
      <c r="R1611" t="s">
        <v>248</v>
      </c>
      <c r="S1611">
        <v>151.317476</v>
      </c>
      <c r="T1611" s="1095">
        <v>-32.977860999999997</v>
      </c>
    </row>
    <row r="1612" spans="16:20">
      <c r="P1612" s="1094">
        <v>2325</v>
      </c>
      <c r="Q1612" t="s">
        <v>2701</v>
      </c>
      <c r="R1612" t="s">
        <v>248</v>
      </c>
      <c r="S1612">
        <v>151.317476</v>
      </c>
      <c r="T1612" s="1095">
        <v>-32.977860999999997</v>
      </c>
    </row>
    <row r="1613" spans="16:20">
      <c r="P1613" s="1094">
        <v>2325</v>
      </c>
      <c r="Q1613" t="s">
        <v>2702</v>
      </c>
      <c r="R1613" t="s">
        <v>248</v>
      </c>
      <c r="S1613">
        <v>151.317476</v>
      </c>
      <c r="T1613" s="1095">
        <v>-32.977860999999997</v>
      </c>
    </row>
    <row r="1614" spans="16:20">
      <c r="P1614" s="1094">
        <v>2325</v>
      </c>
      <c r="Q1614" t="s">
        <v>2703</v>
      </c>
      <c r="R1614" t="s">
        <v>248</v>
      </c>
      <c r="S1614">
        <v>151.317476</v>
      </c>
      <c r="T1614" s="1095">
        <v>-32.977860999999997</v>
      </c>
    </row>
    <row r="1615" spans="16:20">
      <c r="P1615" s="1094">
        <v>2325</v>
      </c>
      <c r="Q1615" t="s">
        <v>2704</v>
      </c>
      <c r="R1615" t="s">
        <v>248</v>
      </c>
      <c r="S1615">
        <v>151.317476</v>
      </c>
      <c r="T1615" s="1095">
        <v>-32.977860999999997</v>
      </c>
    </row>
    <row r="1616" spans="16:20">
      <c r="P1616" s="1094">
        <v>2325</v>
      </c>
      <c r="Q1616" t="s">
        <v>2705</v>
      </c>
      <c r="R1616" t="s">
        <v>248</v>
      </c>
      <c r="S1616">
        <v>151.317476</v>
      </c>
      <c r="T1616" s="1095">
        <v>-32.977860999999997</v>
      </c>
    </row>
    <row r="1617" spans="16:20">
      <c r="P1617" s="1094">
        <v>2325</v>
      </c>
      <c r="Q1617" t="s">
        <v>2706</v>
      </c>
      <c r="R1617" t="s">
        <v>248</v>
      </c>
      <c r="S1617">
        <v>151.317476</v>
      </c>
      <c r="T1617" s="1095">
        <v>-32.977860999999997</v>
      </c>
    </row>
    <row r="1618" spans="16:20">
      <c r="P1618" s="1094">
        <v>2325</v>
      </c>
      <c r="Q1618" t="s">
        <v>2707</v>
      </c>
      <c r="R1618" t="s">
        <v>248</v>
      </c>
      <c r="S1618">
        <v>151.317476</v>
      </c>
      <c r="T1618" s="1095">
        <v>-32.977860999999997</v>
      </c>
    </row>
    <row r="1619" spans="16:20">
      <c r="P1619" s="1094">
        <v>2325</v>
      </c>
      <c r="Q1619" t="s">
        <v>2708</v>
      </c>
      <c r="R1619" t="s">
        <v>248</v>
      </c>
      <c r="S1619">
        <v>151.317476</v>
      </c>
      <c r="T1619" s="1095">
        <v>-32.977860999999997</v>
      </c>
    </row>
    <row r="1620" spans="16:20">
      <c r="P1620" s="1094">
        <v>2326</v>
      </c>
      <c r="Q1620" t="s">
        <v>2709</v>
      </c>
      <c r="R1620" t="s">
        <v>248</v>
      </c>
      <c r="S1620">
        <v>151.453148</v>
      </c>
      <c r="T1620" s="1095">
        <v>-32.785207</v>
      </c>
    </row>
    <row r="1621" spans="16:20">
      <c r="P1621" s="1094">
        <v>2326</v>
      </c>
      <c r="Q1621" t="s">
        <v>2710</v>
      </c>
      <c r="R1621" t="s">
        <v>248</v>
      </c>
      <c r="S1621">
        <v>151.453148</v>
      </c>
      <c r="T1621" s="1095">
        <v>-32.785207</v>
      </c>
    </row>
    <row r="1622" spans="16:20">
      <c r="P1622" s="1094">
        <v>2326</v>
      </c>
      <c r="Q1622" t="s">
        <v>2711</v>
      </c>
      <c r="R1622" t="s">
        <v>248</v>
      </c>
      <c r="S1622">
        <v>151.453148</v>
      </c>
      <c r="T1622" s="1095">
        <v>-32.785207</v>
      </c>
    </row>
    <row r="1623" spans="16:20">
      <c r="P1623" s="1094">
        <v>2326</v>
      </c>
      <c r="Q1623" t="s">
        <v>2712</v>
      </c>
      <c r="R1623" t="s">
        <v>248</v>
      </c>
      <c r="S1623">
        <v>151.453148</v>
      </c>
      <c r="T1623" s="1095">
        <v>-32.785207</v>
      </c>
    </row>
    <row r="1624" spans="16:20">
      <c r="P1624" s="1094">
        <v>2326</v>
      </c>
      <c r="Q1624" t="s">
        <v>2713</v>
      </c>
      <c r="R1624" t="s">
        <v>248</v>
      </c>
      <c r="S1624">
        <v>151.453148</v>
      </c>
      <c r="T1624" s="1095">
        <v>-32.785207</v>
      </c>
    </row>
    <row r="1625" spans="16:20">
      <c r="P1625" s="1094">
        <v>2326</v>
      </c>
      <c r="Q1625" t="s">
        <v>2714</v>
      </c>
      <c r="R1625" t="s">
        <v>248</v>
      </c>
      <c r="S1625">
        <v>151.453148</v>
      </c>
      <c r="T1625" s="1095">
        <v>-32.785207</v>
      </c>
    </row>
    <row r="1626" spans="16:20">
      <c r="P1626" s="1094">
        <v>2327</v>
      </c>
      <c r="Q1626" t="s">
        <v>2715</v>
      </c>
      <c r="R1626" t="s">
        <v>248</v>
      </c>
      <c r="S1626">
        <v>151.48621199999999</v>
      </c>
      <c r="T1626" s="1095">
        <v>-32.820687999999997</v>
      </c>
    </row>
    <row r="1627" spans="16:20">
      <c r="P1627" s="1094">
        <v>2327</v>
      </c>
      <c r="Q1627" t="s">
        <v>2716</v>
      </c>
      <c r="R1627" t="s">
        <v>248</v>
      </c>
      <c r="S1627">
        <v>151.48621199999999</v>
      </c>
      <c r="T1627" s="1095">
        <v>-32.820687999999997</v>
      </c>
    </row>
    <row r="1628" spans="16:20">
      <c r="P1628" s="1094">
        <v>2327</v>
      </c>
      <c r="Q1628" t="s">
        <v>2717</v>
      </c>
      <c r="R1628" t="s">
        <v>248</v>
      </c>
      <c r="S1628">
        <v>151.48621199999999</v>
      </c>
      <c r="T1628" s="1095">
        <v>-32.820687999999997</v>
      </c>
    </row>
    <row r="1629" spans="16:20">
      <c r="P1629" s="1094">
        <v>2328</v>
      </c>
      <c r="Q1629" t="s">
        <v>2718</v>
      </c>
      <c r="R1629" t="s">
        <v>248</v>
      </c>
      <c r="S1629">
        <v>150.56481700000001</v>
      </c>
      <c r="T1629" s="1095">
        <v>-32.576929999999997</v>
      </c>
    </row>
    <row r="1630" spans="16:20">
      <c r="P1630" s="1094">
        <v>2328</v>
      </c>
      <c r="Q1630" t="s">
        <v>2719</v>
      </c>
      <c r="R1630" t="s">
        <v>248</v>
      </c>
      <c r="S1630">
        <v>150.56481700000001</v>
      </c>
      <c r="T1630" s="1095">
        <v>-32.576929999999997</v>
      </c>
    </row>
    <row r="1631" spans="16:20">
      <c r="P1631" s="1094">
        <v>2328</v>
      </c>
      <c r="Q1631" t="s">
        <v>2720</v>
      </c>
      <c r="R1631" t="s">
        <v>248</v>
      </c>
      <c r="S1631">
        <v>150.56481700000001</v>
      </c>
      <c r="T1631" s="1095">
        <v>-32.576929999999997</v>
      </c>
    </row>
    <row r="1632" spans="16:20">
      <c r="P1632" s="1094">
        <v>2328</v>
      </c>
      <c r="Q1632" t="s">
        <v>2721</v>
      </c>
      <c r="R1632" t="s">
        <v>248</v>
      </c>
      <c r="S1632">
        <v>150.56481700000001</v>
      </c>
      <c r="T1632" s="1095">
        <v>-32.576929999999997</v>
      </c>
    </row>
    <row r="1633" spans="16:20">
      <c r="P1633" s="1094">
        <v>2328</v>
      </c>
      <c r="Q1633" t="s">
        <v>2722</v>
      </c>
      <c r="R1633" t="s">
        <v>248</v>
      </c>
      <c r="S1633">
        <v>150.56481700000001</v>
      </c>
      <c r="T1633" s="1095">
        <v>-32.576929999999997</v>
      </c>
    </row>
    <row r="1634" spans="16:20">
      <c r="P1634" s="1094">
        <v>2328</v>
      </c>
      <c r="Q1634" t="s">
        <v>2723</v>
      </c>
      <c r="R1634" t="s">
        <v>248</v>
      </c>
      <c r="S1634">
        <v>150.56481700000001</v>
      </c>
      <c r="T1634" s="1095">
        <v>-32.576929999999997</v>
      </c>
    </row>
    <row r="1635" spans="16:20">
      <c r="P1635" s="1094">
        <v>2328</v>
      </c>
      <c r="Q1635" t="s">
        <v>2724</v>
      </c>
      <c r="R1635" t="s">
        <v>248</v>
      </c>
      <c r="S1635">
        <v>150.56481700000001</v>
      </c>
      <c r="T1635" s="1095">
        <v>-32.576929999999997</v>
      </c>
    </row>
    <row r="1636" spans="16:20">
      <c r="P1636" s="1094">
        <v>2328</v>
      </c>
      <c r="Q1636" t="s">
        <v>2725</v>
      </c>
      <c r="R1636" t="s">
        <v>248</v>
      </c>
      <c r="S1636">
        <v>150.56481700000001</v>
      </c>
      <c r="T1636" s="1095">
        <v>-32.576929999999997</v>
      </c>
    </row>
    <row r="1637" spans="16:20">
      <c r="P1637" s="1094">
        <v>2328</v>
      </c>
      <c r="Q1637" t="s">
        <v>2726</v>
      </c>
      <c r="R1637" t="s">
        <v>248</v>
      </c>
      <c r="S1637">
        <v>150.56481700000001</v>
      </c>
      <c r="T1637" s="1095">
        <v>-32.576929999999997</v>
      </c>
    </row>
    <row r="1638" spans="16:20">
      <c r="P1638" s="1094">
        <v>2328</v>
      </c>
      <c r="Q1638" t="s">
        <v>2727</v>
      </c>
      <c r="R1638" t="s">
        <v>248</v>
      </c>
      <c r="S1638">
        <v>150.56481700000001</v>
      </c>
      <c r="T1638" s="1095">
        <v>-32.576929999999997</v>
      </c>
    </row>
    <row r="1639" spans="16:20">
      <c r="P1639" s="1094">
        <v>2329</v>
      </c>
      <c r="Q1639" t="s">
        <v>2728</v>
      </c>
      <c r="R1639" t="s">
        <v>248</v>
      </c>
      <c r="S1639">
        <v>150.18751700000001</v>
      </c>
      <c r="T1639" s="1095">
        <v>-32.047497999999997</v>
      </c>
    </row>
    <row r="1640" spans="16:20">
      <c r="P1640" s="1094">
        <v>2329</v>
      </c>
      <c r="Q1640" t="s">
        <v>2729</v>
      </c>
      <c r="R1640" t="s">
        <v>248</v>
      </c>
      <c r="S1640">
        <v>150.18751700000001</v>
      </c>
      <c r="T1640" s="1095">
        <v>-32.047497999999997</v>
      </c>
    </row>
    <row r="1641" spans="16:20">
      <c r="P1641" s="1094">
        <v>2329</v>
      </c>
      <c r="Q1641" t="s">
        <v>2730</v>
      </c>
      <c r="R1641" t="s">
        <v>248</v>
      </c>
      <c r="S1641">
        <v>150.18751700000001</v>
      </c>
      <c r="T1641" s="1095">
        <v>-32.047497999999997</v>
      </c>
    </row>
    <row r="1642" spans="16:20">
      <c r="P1642" s="1094">
        <v>2329</v>
      </c>
      <c r="Q1642" t="s">
        <v>2731</v>
      </c>
      <c r="R1642" t="s">
        <v>248</v>
      </c>
      <c r="S1642">
        <v>150.18751700000001</v>
      </c>
      <c r="T1642" s="1095">
        <v>-32.047497999999997</v>
      </c>
    </row>
    <row r="1643" spans="16:20">
      <c r="P1643" s="1094">
        <v>2330</v>
      </c>
      <c r="Q1643" t="s">
        <v>2732</v>
      </c>
      <c r="R1643" t="s">
        <v>248</v>
      </c>
      <c r="S1643">
        <v>150.972137</v>
      </c>
      <c r="T1643" s="1095">
        <v>-32.760486</v>
      </c>
    </row>
    <row r="1644" spans="16:20">
      <c r="P1644" s="1094">
        <v>2330</v>
      </c>
      <c r="Q1644" t="s">
        <v>2733</v>
      </c>
      <c r="R1644" t="s">
        <v>248</v>
      </c>
      <c r="S1644">
        <v>150.972137</v>
      </c>
      <c r="T1644" s="1095">
        <v>-32.760486</v>
      </c>
    </row>
    <row r="1645" spans="16:20">
      <c r="P1645" s="1094">
        <v>2330</v>
      </c>
      <c r="Q1645" t="s">
        <v>2734</v>
      </c>
      <c r="R1645" t="s">
        <v>248</v>
      </c>
      <c r="S1645">
        <v>150.972137</v>
      </c>
      <c r="T1645" s="1095">
        <v>-32.760486</v>
      </c>
    </row>
    <row r="1646" spans="16:20">
      <c r="P1646" s="1094">
        <v>2330</v>
      </c>
      <c r="Q1646" t="s">
        <v>2735</v>
      </c>
      <c r="R1646" t="s">
        <v>248</v>
      </c>
      <c r="S1646">
        <v>150.972137</v>
      </c>
      <c r="T1646" s="1095">
        <v>-32.760486</v>
      </c>
    </row>
    <row r="1647" spans="16:20">
      <c r="P1647" s="1094">
        <v>2330</v>
      </c>
      <c r="Q1647" t="s">
        <v>2736</v>
      </c>
      <c r="R1647" t="s">
        <v>248</v>
      </c>
      <c r="S1647">
        <v>150.972137</v>
      </c>
      <c r="T1647" s="1095">
        <v>-32.760486</v>
      </c>
    </row>
    <row r="1648" spans="16:20">
      <c r="P1648" s="1094">
        <v>2330</v>
      </c>
      <c r="Q1648" t="s">
        <v>2737</v>
      </c>
      <c r="R1648" t="s">
        <v>248</v>
      </c>
      <c r="S1648">
        <v>150.972137</v>
      </c>
      <c r="T1648" s="1095">
        <v>-32.760486</v>
      </c>
    </row>
    <row r="1649" spans="16:20">
      <c r="P1649" s="1094">
        <v>2330</v>
      </c>
      <c r="Q1649" t="s">
        <v>2738</v>
      </c>
      <c r="R1649" t="s">
        <v>248</v>
      </c>
      <c r="S1649">
        <v>150.972137</v>
      </c>
      <c r="T1649" s="1095">
        <v>-32.760486</v>
      </c>
    </row>
    <row r="1650" spans="16:20">
      <c r="P1650" s="1094">
        <v>2330</v>
      </c>
      <c r="Q1650" t="s">
        <v>2739</v>
      </c>
      <c r="R1650" t="s">
        <v>248</v>
      </c>
      <c r="S1650">
        <v>150.972137</v>
      </c>
      <c r="T1650" s="1095">
        <v>-32.760486</v>
      </c>
    </row>
    <row r="1651" spans="16:20">
      <c r="P1651" s="1094">
        <v>2330</v>
      </c>
      <c r="Q1651" t="s">
        <v>2740</v>
      </c>
      <c r="R1651" t="s">
        <v>248</v>
      </c>
      <c r="S1651">
        <v>150.972137</v>
      </c>
      <c r="T1651" s="1095">
        <v>-32.760486</v>
      </c>
    </row>
    <row r="1652" spans="16:20">
      <c r="P1652" s="1094">
        <v>2330</v>
      </c>
      <c r="Q1652" t="s">
        <v>2741</v>
      </c>
      <c r="R1652" t="s">
        <v>248</v>
      </c>
      <c r="S1652">
        <v>150.972137</v>
      </c>
      <c r="T1652" s="1095">
        <v>-32.760486</v>
      </c>
    </row>
    <row r="1653" spans="16:20">
      <c r="P1653" s="1094">
        <v>2330</v>
      </c>
      <c r="Q1653" t="s">
        <v>1734</v>
      </c>
      <c r="R1653" t="s">
        <v>248</v>
      </c>
      <c r="S1653">
        <v>150.972137</v>
      </c>
      <c r="T1653" s="1095">
        <v>-32.760486</v>
      </c>
    </row>
    <row r="1654" spans="16:20">
      <c r="P1654" s="1094">
        <v>2330</v>
      </c>
      <c r="Q1654" t="s">
        <v>2742</v>
      </c>
      <c r="R1654" t="s">
        <v>248</v>
      </c>
      <c r="S1654">
        <v>150.972137</v>
      </c>
      <c r="T1654" s="1095">
        <v>-32.760486</v>
      </c>
    </row>
    <row r="1655" spans="16:20">
      <c r="P1655" s="1094">
        <v>2330</v>
      </c>
      <c r="Q1655" t="s">
        <v>2743</v>
      </c>
      <c r="R1655" t="s">
        <v>248</v>
      </c>
      <c r="S1655">
        <v>150.972137</v>
      </c>
      <c r="T1655" s="1095">
        <v>-32.760486</v>
      </c>
    </row>
    <row r="1656" spans="16:20">
      <c r="P1656" s="1094">
        <v>2330</v>
      </c>
      <c r="Q1656" t="s">
        <v>2075</v>
      </c>
      <c r="R1656" t="s">
        <v>248</v>
      </c>
      <c r="S1656">
        <v>150.972137</v>
      </c>
      <c r="T1656" s="1095">
        <v>-32.760486</v>
      </c>
    </row>
    <row r="1657" spans="16:20">
      <c r="P1657" s="1094">
        <v>2330</v>
      </c>
      <c r="Q1657" t="s">
        <v>2744</v>
      </c>
      <c r="R1657" t="s">
        <v>248</v>
      </c>
      <c r="S1657">
        <v>150.972137</v>
      </c>
      <c r="T1657" s="1095">
        <v>-32.760486</v>
      </c>
    </row>
    <row r="1658" spans="16:20">
      <c r="P1658" s="1094">
        <v>2330</v>
      </c>
      <c r="Q1658" t="s">
        <v>2745</v>
      </c>
      <c r="R1658" t="s">
        <v>248</v>
      </c>
      <c r="S1658">
        <v>150.972137</v>
      </c>
      <c r="T1658" s="1095">
        <v>-32.760486</v>
      </c>
    </row>
    <row r="1659" spans="16:20">
      <c r="P1659" s="1094">
        <v>2330</v>
      </c>
      <c r="Q1659" t="s">
        <v>2746</v>
      </c>
      <c r="R1659" t="s">
        <v>248</v>
      </c>
      <c r="S1659">
        <v>150.972137</v>
      </c>
      <c r="T1659" s="1095">
        <v>-32.760486</v>
      </c>
    </row>
    <row r="1660" spans="16:20">
      <c r="P1660" s="1094">
        <v>2330</v>
      </c>
      <c r="Q1660" t="s">
        <v>2747</v>
      </c>
      <c r="R1660" t="s">
        <v>248</v>
      </c>
      <c r="S1660">
        <v>150.972137</v>
      </c>
      <c r="T1660" s="1095">
        <v>-32.760486</v>
      </c>
    </row>
    <row r="1661" spans="16:20">
      <c r="P1661" s="1094">
        <v>2330</v>
      </c>
      <c r="Q1661" t="s">
        <v>2748</v>
      </c>
      <c r="R1661" t="s">
        <v>248</v>
      </c>
      <c r="S1661">
        <v>150.972137</v>
      </c>
      <c r="T1661" s="1095">
        <v>-32.760486</v>
      </c>
    </row>
    <row r="1662" spans="16:20">
      <c r="P1662" s="1094">
        <v>2330</v>
      </c>
      <c r="Q1662" t="s">
        <v>2749</v>
      </c>
      <c r="R1662" t="s">
        <v>248</v>
      </c>
      <c r="S1662">
        <v>150.972137</v>
      </c>
      <c r="T1662" s="1095">
        <v>-32.760486</v>
      </c>
    </row>
    <row r="1663" spans="16:20">
      <c r="P1663" s="1094">
        <v>2330</v>
      </c>
      <c r="Q1663" t="s">
        <v>2750</v>
      </c>
      <c r="R1663" t="s">
        <v>248</v>
      </c>
      <c r="S1663">
        <v>150.972137</v>
      </c>
      <c r="T1663" s="1095">
        <v>-32.760486</v>
      </c>
    </row>
    <row r="1664" spans="16:20">
      <c r="P1664" s="1094">
        <v>2330</v>
      </c>
      <c r="Q1664" t="s">
        <v>2751</v>
      </c>
      <c r="R1664" t="s">
        <v>248</v>
      </c>
      <c r="S1664">
        <v>150.972137</v>
      </c>
      <c r="T1664" s="1095">
        <v>-32.760486</v>
      </c>
    </row>
    <row r="1665" spans="16:20">
      <c r="P1665" s="1094">
        <v>2330</v>
      </c>
      <c r="Q1665" t="s">
        <v>2752</v>
      </c>
      <c r="R1665" t="s">
        <v>248</v>
      </c>
      <c r="S1665">
        <v>150.972137</v>
      </c>
      <c r="T1665" s="1095">
        <v>-32.760486</v>
      </c>
    </row>
    <row r="1666" spans="16:20">
      <c r="P1666" s="1094">
        <v>2330</v>
      </c>
      <c r="Q1666" t="s">
        <v>2753</v>
      </c>
      <c r="R1666" t="s">
        <v>248</v>
      </c>
      <c r="S1666">
        <v>150.972137</v>
      </c>
      <c r="T1666" s="1095">
        <v>-32.760486</v>
      </c>
    </row>
    <row r="1667" spans="16:20">
      <c r="P1667" s="1094">
        <v>2330</v>
      </c>
      <c r="Q1667" t="s">
        <v>2754</v>
      </c>
      <c r="R1667" t="s">
        <v>248</v>
      </c>
      <c r="S1667">
        <v>150.972137</v>
      </c>
      <c r="T1667" s="1095">
        <v>-32.760486</v>
      </c>
    </row>
    <row r="1668" spans="16:20">
      <c r="P1668" s="1094">
        <v>2330</v>
      </c>
      <c r="Q1668" t="s">
        <v>2755</v>
      </c>
      <c r="R1668" t="s">
        <v>248</v>
      </c>
      <c r="S1668">
        <v>150.972137</v>
      </c>
      <c r="T1668" s="1095">
        <v>-32.760486</v>
      </c>
    </row>
    <row r="1669" spans="16:20">
      <c r="P1669" s="1094">
        <v>2330</v>
      </c>
      <c r="Q1669" t="s">
        <v>2756</v>
      </c>
      <c r="R1669" t="s">
        <v>248</v>
      </c>
      <c r="S1669">
        <v>150.972137</v>
      </c>
      <c r="T1669" s="1095">
        <v>-32.760486</v>
      </c>
    </row>
    <row r="1670" spans="16:20">
      <c r="P1670" s="1094">
        <v>2330</v>
      </c>
      <c r="Q1670" t="s">
        <v>2757</v>
      </c>
      <c r="R1670" t="s">
        <v>248</v>
      </c>
      <c r="S1670">
        <v>150.972137</v>
      </c>
      <c r="T1670" s="1095">
        <v>-32.760486</v>
      </c>
    </row>
    <row r="1671" spans="16:20">
      <c r="P1671" s="1094">
        <v>2330</v>
      </c>
      <c r="Q1671" t="s">
        <v>2758</v>
      </c>
      <c r="R1671" t="s">
        <v>248</v>
      </c>
      <c r="S1671">
        <v>150.972137</v>
      </c>
      <c r="T1671" s="1095">
        <v>-32.760486</v>
      </c>
    </row>
    <row r="1672" spans="16:20">
      <c r="P1672" s="1094">
        <v>2330</v>
      </c>
      <c r="Q1672" t="s">
        <v>2759</v>
      </c>
      <c r="R1672" t="s">
        <v>248</v>
      </c>
      <c r="S1672">
        <v>150.972137</v>
      </c>
      <c r="T1672" s="1095">
        <v>-32.760486</v>
      </c>
    </row>
    <row r="1673" spans="16:20">
      <c r="P1673" s="1094">
        <v>2330</v>
      </c>
      <c r="Q1673" t="s">
        <v>2760</v>
      </c>
      <c r="R1673" t="s">
        <v>248</v>
      </c>
      <c r="S1673">
        <v>150.972137</v>
      </c>
      <c r="T1673" s="1095">
        <v>-32.760486</v>
      </c>
    </row>
    <row r="1674" spans="16:20">
      <c r="P1674" s="1094">
        <v>2330</v>
      </c>
      <c r="Q1674" t="s">
        <v>2761</v>
      </c>
      <c r="R1674" t="s">
        <v>248</v>
      </c>
      <c r="S1674">
        <v>150.972137</v>
      </c>
      <c r="T1674" s="1095">
        <v>-32.760486</v>
      </c>
    </row>
    <row r="1675" spans="16:20">
      <c r="P1675" s="1094">
        <v>2330</v>
      </c>
      <c r="Q1675" t="s">
        <v>2762</v>
      </c>
      <c r="R1675" t="s">
        <v>248</v>
      </c>
      <c r="S1675">
        <v>150.972137</v>
      </c>
      <c r="T1675" s="1095">
        <v>-32.760486</v>
      </c>
    </row>
    <row r="1676" spans="16:20">
      <c r="P1676" s="1094">
        <v>2330</v>
      </c>
      <c r="Q1676" t="s">
        <v>2763</v>
      </c>
      <c r="R1676" t="s">
        <v>248</v>
      </c>
      <c r="S1676">
        <v>150.972137</v>
      </c>
      <c r="T1676" s="1095">
        <v>-32.760486</v>
      </c>
    </row>
    <row r="1677" spans="16:20">
      <c r="P1677" s="1094">
        <v>2330</v>
      </c>
      <c r="Q1677" t="s">
        <v>2764</v>
      </c>
      <c r="R1677" t="s">
        <v>248</v>
      </c>
      <c r="S1677">
        <v>150.972137</v>
      </c>
      <c r="T1677" s="1095">
        <v>-32.760486</v>
      </c>
    </row>
    <row r="1678" spans="16:20">
      <c r="P1678" s="1094">
        <v>2330</v>
      </c>
      <c r="Q1678" t="s">
        <v>2765</v>
      </c>
      <c r="R1678" t="s">
        <v>248</v>
      </c>
      <c r="S1678">
        <v>150.972137</v>
      </c>
      <c r="T1678" s="1095">
        <v>-32.760486</v>
      </c>
    </row>
    <row r="1679" spans="16:20">
      <c r="P1679" s="1094">
        <v>2330</v>
      </c>
      <c r="Q1679" t="s">
        <v>2766</v>
      </c>
      <c r="R1679" t="s">
        <v>248</v>
      </c>
      <c r="S1679">
        <v>150.972137</v>
      </c>
      <c r="T1679" s="1095">
        <v>-32.760486</v>
      </c>
    </row>
    <row r="1680" spans="16:20">
      <c r="P1680" s="1094">
        <v>2330</v>
      </c>
      <c r="Q1680" t="s">
        <v>2767</v>
      </c>
      <c r="R1680" t="s">
        <v>248</v>
      </c>
      <c r="S1680">
        <v>150.972137</v>
      </c>
      <c r="T1680" s="1095">
        <v>-32.760486</v>
      </c>
    </row>
    <row r="1681" spans="16:20">
      <c r="P1681" s="1094">
        <v>2330</v>
      </c>
      <c r="Q1681" t="s">
        <v>2768</v>
      </c>
      <c r="R1681" t="s">
        <v>248</v>
      </c>
      <c r="S1681">
        <v>150.972137</v>
      </c>
      <c r="T1681" s="1095">
        <v>-32.760486</v>
      </c>
    </row>
    <row r="1682" spans="16:20">
      <c r="P1682" s="1094">
        <v>2330</v>
      </c>
      <c r="Q1682" t="s">
        <v>2769</v>
      </c>
      <c r="R1682" t="s">
        <v>248</v>
      </c>
      <c r="S1682">
        <v>150.972137</v>
      </c>
      <c r="T1682" s="1095">
        <v>-32.760486</v>
      </c>
    </row>
    <row r="1683" spans="16:20">
      <c r="P1683" s="1094">
        <v>2330</v>
      </c>
      <c r="Q1683" t="s">
        <v>2770</v>
      </c>
      <c r="R1683" t="s">
        <v>248</v>
      </c>
      <c r="S1683">
        <v>150.972137</v>
      </c>
      <c r="T1683" s="1095">
        <v>-32.760486</v>
      </c>
    </row>
    <row r="1684" spans="16:20">
      <c r="P1684" s="1094">
        <v>2330</v>
      </c>
      <c r="Q1684" t="s">
        <v>2771</v>
      </c>
      <c r="R1684" t="s">
        <v>248</v>
      </c>
      <c r="S1684">
        <v>150.972137</v>
      </c>
      <c r="T1684" s="1095">
        <v>-32.760486</v>
      </c>
    </row>
    <row r="1685" spans="16:20">
      <c r="P1685" s="1094">
        <v>2330</v>
      </c>
      <c r="Q1685" t="s">
        <v>2772</v>
      </c>
      <c r="R1685" t="s">
        <v>248</v>
      </c>
      <c r="S1685">
        <v>150.972137</v>
      </c>
      <c r="T1685" s="1095">
        <v>-32.760486</v>
      </c>
    </row>
    <row r="1686" spans="16:20">
      <c r="P1686" s="1094">
        <v>2330</v>
      </c>
      <c r="Q1686" t="s">
        <v>2773</v>
      </c>
      <c r="R1686" t="s">
        <v>248</v>
      </c>
      <c r="S1686">
        <v>150.972137</v>
      </c>
      <c r="T1686" s="1095">
        <v>-32.760486</v>
      </c>
    </row>
    <row r="1687" spans="16:20">
      <c r="P1687" s="1094">
        <v>2330</v>
      </c>
      <c r="Q1687" t="s">
        <v>2774</v>
      </c>
      <c r="R1687" t="s">
        <v>248</v>
      </c>
      <c r="S1687">
        <v>150.972137</v>
      </c>
      <c r="T1687" s="1095">
        <v>-32.760486</v>
      </c>
    </row>
    <row r="1688" spans="16:20">
      <c r="P1688" s="1094">
        <v>2330</v>
      </c>
      <c r="Q1688" t="s">
        <v>2775</v>
      </c>
      <c r="R1688" t="s">
        <v>248</v>
      </c>
      <c r="S1688">
        <v>150.972137</v>
      </c>
      <c r="T1688" s="1095">
        <v>-32.760486</v>
      </c>
    </row>
    <row r="1689" spans="16:20">
      <c r="P1689" s="1094">
        <v>2330</v>
      </c>
      <c r="Q1689" t="s">
        <v>2776</v>
      </c>
      <c r="R1689" t="s">
        <v>248</v>
      </c>
      <c r="S1689">
        <v>150.972137</v>
      </c>
      <c r="T1689" s="1095">
        <v>-32.760486</v>
      </c>
    </row>
    <row r="1690" spans="16:20">
      <c r="P1690" s="1094">
        <v>2330</v>
      </c>
      <c r="Q1690" t="s">
        <v>2777</v>
      </c>
      <c r="R1690" t="s">
        <v>248</v>
      </c>
      <c r="S1690">
        <v>150.972137</v>
      </c>
      <c r="T1690" s="1095">
        <v>-32.760486</v>
      </c>
    </row>
    <row r="1691" spans="16:20">
      <c r="P1691" s="1094">
        <v>2330</v>
      </c>
      <c r="Q1691" t="s">
        <v>2778</v>
      </c>
      <c r="R1691" t="s">
        <v>248</v>
      </c>
      <c r="S1691">
        <v>150.972137</v>
      </c>
      <c r="T1691" s="1095">
        <v>-32.760486</v>
      </c>
    </row>
    <row r="1692" spans="16:20">
      <c r="P1692" s="1094">
        <v>2330</v>
      </c>
      <c r="Q1692" t="s">
        <v>2779</v>
      </c>
      <c r="R1692" t="s">
        <v>248</v>
      </c>
      <c r="S1692">
        <v>150.972137</v>
      </c>
      <c r="T1692" s="1095">
        <v>-32.760486</v>
      </c>
    </row>
    <row r="1693" spans="16:20">
      <c r="P1693" s="1094">
        <v>2330</v>
      </c>
      <c r="Q1693" t="s">
        <v>2780</v>
      </c>
      <c r="R1693" t="s">
        <v>248</v>
      </c>
      <c r="S1693">
        <v>150.972137</v>
      </c>
      <c r="T1693" s="1095">
        <v>-32.760486</v>
      </c>
    </row>
    <row r="1694" spans="16:20">
      <c r="P1694" s="1094">
        <v>2330</v>
      </c>
      <c r="Q1694" t="s">
        <v>2781</v>
      </c>
      <c r="R1694" t="s">
        <v>248</v>
      </c>
      <c r="S1694">
        <v>150.972137</v>
      </c>
      <c r="T1694" s="1095">
        <v>-32.760486</v>
      </c>
    </row>
    <row r="1695" spans="16:20">
      <c r="P1695" s="1094">
        <v>2330</v>
      </c>
      <c r="Q1695" t="s">
        <v>2782</v>
      </c>
      <c r="R1695" t="s">
        <v>248</v>
      </c>
      <c r="S1695">
        <v>150.972137</v>
      </c>
      <c r="T1695" s="1095">
        <v>-32.760486</v>
      </c>
    </row>
    <row r="1696" spans="16:20">
      <c r="P1696" s="1094">
        <v>2330</v>
      </c>
      <c r="Q1696" t="s">
        <v>2783</v>
      </c>
      <c r="R1696" t="s">
        <v>248</v>
      </c>
      <c r="S1696">
        <v>150.972137</v>
      </c>
      <c r="T1696" s="1095">
        <v>-32.760486</v>
      </c>
    </row>
    <row r="1697" spans="16:20">
      <c r="P1697" s="1094">
        <v>2330</v>
      </c>
      <c r="Q1697" t="s">
        <v>2784</v>
      </c>
      <c r="R1697" t="s">
        <v>248</v>
      </c>
      <c r="S1697">
        <v>150.972137</v>
      </c>
      <c r="T1697" s="1095">
        <v>-32.760486</v>
      </c>
    </row>
    <row r="1698" spans="16:20">
      <c r="P1698" s="1094">
        <v>2330</v>
      </c>
      <c r="Q1698" t="s">
        <v>2785</v>
      </c>
      <c r="R1698" t="s">
        <v>248</v>
      </c>
      <c r="S1698">
        <v>150.972137</v>
      </c>
      <c r="T1698" s="1095">
        <v>-32.760486</v>
      </c>
    </row>
    <row r="1699" spans="16:20">
      <c r="P1699" s="1094">
        <v>2330</v>
      </c>
      <c r="Q1699" t="s">
        <v>2786</v>
      </c>
      <c r="R1699" t="s">
        <v>248</v>
      </c>
      <c r="S1699">
        <v>150.972137</v>
      </c>
      <c r="T1699" s="1095">
        <v>-32.760486</v>
      </c>
    </row>
    <row r="1700" spans="16:20">
      <c r="P1700" s="1094">
        <v>2330</v>
      </c>
      <c r="Q1700" t="s">
        <v>2787</v>
      </c>
      <c r="R1700" t="s">
        <v>248</v>
      </c>
      <c r="S1700">
        <v>150.972137</v>
      </c>
      <c r="T1700" s="1095">
        <v>-32.760486</v>
      </c>
    </row>
    <row r="1701" spans="16:20">
      <c r="P1701" s="1094">
        <v>2330</v>
      </c>
      <c r="Q1701" t="s">
        <v>2788</v>
      </c>
      <c r="R1701" t="s">
        <v>248</v>
      </c>
      <c r="S1701">
        <v>150.972137</v>
      </c>
      <c r="T1701" s="1095">
        <v>-32.760486</v>
      </c>
    </row>
    <row r="1702" spans="16:20">
      <c r="P1702" s="1094">
        <v>2330</v>
      </c>
      <c r="Q1702" t="s">
        <v>2789</v>
      </c>
      <c r="R1702" t="s">
        <v>248</v>
      </c>
      <c r="S1702">
        <v>150.972137</v>
      </c>
      <c r="T1702" s="1095">
        <v>-32.760486</v>
      </c>
    </row>
    <row r="1703" spans="16:20">
      <c r="P1703" s="1094">
        <v>2330</v>
      </c>
      <c r="Q1703" t="s">
        <v>2790</v>
      </c>
      <c r="R1703" t="s">
        <v>248</v>
      </c>
      <c r="S1703">
        <v>150.972137</v>
      </c>
      <c r="T1703" s="1095">
        <v>-32.760486</v>
      </c>
    </row>
    <row r="1704" spans="16:20">
      <c r="P1704" s="1094">
        <v>2330</v>
      </c>
      <c r="Q1704" t="s">
        <v>2791</v>
      </c>
      <c r="R1704" t="s">
        <v>248</v>
      </c>
      <c r="S1704">
        <v>150.972137</v>
      </c>
      <c r="T1704" s="1095">
        <v>-32.760486</v>
      </c>
    </row>
    <row r="1705" spans="16:20">
      <c r="P1705" s="1094">
        <v>2331</v>
      </c>
      <c r="Q1705" t="s">
        <v>2792</v>
      </c>
      <c r="R1705" t="s">
        <v>248</v>
      </c>
      <c r="S1705">
        <v>151.17147900000001</v>
      </c>
      <c r="T1705" s="1095">
        <v>-32.616149999999998</v>
      </c>
    </row>
    <row r="1706" spans="16:20">
      <c r="P1706" s="1094">
        <v>2333</v>
      </c>
      <c r="Q1706" t="s">
        <v>2793</v>
      </c>
      <c r="R1706" t="s">
        <v>248</v>
      </c>
      <c r="S1706">
        <v>150.70194900000001</v>
      </c>
      <c r="T1706" s="1095">
        <v>-32.248567999999999</v>
      </c>
    </row>
    <row r="1707" spans="16:20">
      <c r="P1707" s="1094">
        <v>2333</v>
      </c>
      <c r="Q1707" t="s">
        <v>2794</v>
      </c>
      <c r="R1707" t="s">
        <v>248</v>
      </c>
      <c r="S1707">
        <v>150.70194900000001</v>
      </c>
      <c r="T1707" s="1095">
        <v>-32.248567999999999</v>
      </c>
    </row>
    <row r="1708" spans="16:20">
      <c r="P1708" s="1094">
        <v>2333</v>
      </c>
      <c r="Q1708" t="s">
        <v>2795</v>
      </c>
      <c r="R1708" t="s">
        <v>248</v>
      </c>
      <c r="S1708">
        <v>150.70194900000001</v>
      </c>
      <c r="T1708" s="1095">
        <v>-32.248567999999999</v>
      </c>
    </row>
    <row r="1709" spans="16:20">
      <c r="P1709" s="1094">
        <v>2333</v>
      </c>
      <c r="Q1709" t="s">
        <v>2796</v>
      </c>
      <c r="R1709" t="s">
        <v>248</v>
      </c>
      <c r="S1709">
        <v>150.70194900000001</v>
      </c>
      <c r="T1709" s="1095">
        <v>-32.248567999999999</v>
      </c>
    </row>
    <row r="1710" spans="16:20">
      <c r="P1710" s="1094">
        <v>2333</v>
      </c>
      <c r="Q1710" t="s">
        <v>2797</v>
      </c>
      <c r="R1710" t="s">
        <v>248</v>
      </c>
      <c r="S1710">
        <v>150.70194900000001</v>
      </c>
      <c r="T1710" s="1095">
        <v>-32.248567999999999</v>
      </c>
    </row>
    <row r="1711" spans="16:20">
      <c r="P1711" s="1094">
        <v>2333</v>
      </c>
      <c r="Q1711" t="s">
        <v>2798</v>
      </c>
      <c r="R1711" t="s">
        <v>248</v>
      </c>
      <c r="S1711">
        <v>150.70194900000001</v>
      </c>
      <c r="T1711" s="1095">
        <v>-32.248567999999999</v>
      </c>
    </row>
    <row r="1712" spans="16:20">
      <c r="P1712" s="1094">
        <v>2333</v>
      </c>
      <c r="Q1712" t="s">
        <v>2799</v>
      </c>
      <c r="R1712" t="s">
        <v>248</v>
      </c>
      <c r="S1712">
        <v>150.70194900000001</v>
      </c>
      <c r="T1712" s="1095">
        <v>-32.248567999999999</v>
      </c>
    </row>
    <row r="1713" spans="16:20">
      <c r="P1713" s="1094">
        <v>2333</v>
      </c>
      <c r="Q1713" t="s">
        <v>2800</v>
      </c>
      <c r="R1713" t="s">
        <v>248</v>
      </c>
      <c r="S1713">
        <v>150.70194900000001</v>
      </c>
      <c r="T1713" s="1095">
        <v>-32.248567999999999</v>
      </c>
    </row>
    <row r="1714" spans="16:20">
      <c r="P1714" s="1094">
        <v>2333</v>
      </c>
      <c r="Q1714" t="s">
        <v>2801</v>
      </c>
      <c r="R1714" t="s">
        <v>248</v>
      </c>
      <c r="S1714">
        <v>150.70194900000001</v>
      </c>
      <c r="T1714" s="1095">
        <v>-32.248567999999999</v>
      </c>
    </row>
    <row r="1715" spans="16:20">
      <c r="P1715" s="1094">
        <v>2333</v>
      </c>
      <c r="Q1715" t="s">
        <v>2802</v>
      </c>
      <c r="R1715" t="s">
        <v>248</v>
      </c>
      <c r="S1715">
        <v>150.70194900000001</v>
      </c>
      <c r="T1715" s="1095">
        <v>-32.248567999999999</v>
      </c>
    </row>
    <row r="1716" spans="16:20">
      <c r="P1716" s="1094">
        <v>2333</v>
      </c>
      <c r="Q1716" t="s">
        <v>2803</v>
      </c>
      <c r="R1716" t="s">
        <v>248</v>
      </c>
      <c r="S1716">
        <v>150.70194900000001</v>
      </c>
      <c r="T1716" s="1095">
        <v>-32.248567999999999</v>
      </c>
    </row>
    <row r="1717" spans="16:20">
      <c r="P1717" s="1094">
        <v>2333</v>
      </c>
      <c r="Q1717" t="s">
        <v>2804</v>
      </c>
      <c r="R1717" t="s">
        <v>248</v>
      </c>
      <c r="S1717">
        <v>150.70194900000001</v>
      </c>
      <c r="T1717" s="1095">
        <v>-32.248567999999999</v>
      </c>
    </row>
    <row r="1718" spans="16:20">
      <c r="P1718" s="1094">
        <v>2333</v>
      </c>
      <c r="Q1718" t="s">
        <v>2805</v>
      </c>
      <c r="R1718" t="s">
        <v>248</v>
      </c>
      <c r="S1718">
        <v>150.70194900000001</v>
      </c>
      <c r="T1718" s="1095">
        <v>-32.248567999999999</v>
      </c>
    </row>
    <row r="1719" spans="16:20">
      <c r="P1719" s="1094">
        <v>2333</v>
      </c>
      <c r="Q1719" t="s">
        <v>2806</v>
      </c>
      <c r="R1719" t="s">
        <v>248</v>
      </c>
      <c r="S1719">
        <v>150.70194900000001</v>
      </c>
      <c r="T1719" s="1095">
        <v>-32.248567999999999</v>
      </c>
    </row>
    <row r="1720" spans="16:20">
      <c r="P1720" s="1094">
        <v>2334</v>
      </c>
      <c r="Q1720" t="s">
        <v>2807</v>
      </c>
      <c r="R1720" t="s">
        <v>248</v>
      </c>
      <c r="S1720">
        <v>151.38545099999999</v>
      </c>
      <c r="T1720" s="1095">
        <v>-32.728461000000003</v>
      </c>
    </row>
    <row r="1721" spans="16:20">
      <c r="P1721" s="1094">
        <v>2335</v>
      </c>
      <c r="Q1721" t="s">
        <v>2808</v>
      </c>
      <c r="R1721" t="s">
        <v>248</v>
      </c>
      <c r="S1721">
        <v>151.31941399999999</v>
      </c>
      <c r="T1721" s="1095">
        <v>-32.642118000000004</v>
      </c>
    </row>
    <row r="1722" spans="16:20">
      <c r="P1722" s="1094">
        <v>2335</v>
      </c>
      <c r="Q1722" t="s">
        <v>2809</v>
      </c>
      <c r="R1722" t="s">
        <v>248</v>
      </c>
      <c r="S1722">
        <v>151.31941399999999</v>
      </c>
      <c r="T1722" s="1095">
        <v>-32.642118000000004</v>
      </c>
    </row>
    <row r="1723" spans="16:20">
      <c r="P1723" s="1094">
        <v>2335</v>
      </c>
      <c r="Q1723" t="s">
        <v>2810</v>
      </c>
      <c r="R1723" t="s">
        <v>248</v>
      </c>
      <c r="S1723">
        <v>151.31941399999999</v>
      </c>
      <c r="T1723" s="1095">
        <v>-32.642118000000004</v>
      </c>
    </row>
    <row r="1724" spans="16:20">
      <c r="P1724" s="1094">
        <v>2335</v>
      </c>
      <c r="Q1724" t="s">
        <v>2811</v>
      </c>
      <c r="R1724" t="s">
        <v>248</v>
      </c>
      <c r="S1724">
        <v>151.31941399999999</v>
      </c>
      <c r="T1724" s="1095">
        <v>-32.642118000000004</v>
      </c>
    </row>
    <row r="1725" spans="16:20">
      <c r="P1725" s="1094">
        <v>2335</v>
      </c>
      <c r="Q1725" t="s">
        <v>2812</v>
      </c>
      <c r="R1725" t="s">
        <v>248</v>
      </c>
      <c r="S1725">
        <v>151.31941399999999</v>
      </c>
      <c r="T1725" s="1095">
        <v>-32.642118000000004</v>
      </c>
    </row>
    <row r="1726" spans="16:20">
      <c r="P1726" s="1094">
        <v>2335</v>
      </c>
      <c r="Q1726" t="s">
        <v>2813</v>
      </c>
      <c r="R1726" t="s">
        <v>248</v>
      </c>
      <c r="S1726">
        <v>151.31941399999999</v>
      </c>
      <c r="T1726" s="1095">
        <v>-32.642118000000004</v>
      </c>
    </row>
    <row r="1727" spans="16:20">
      <c r="P1727" s="1094">
        <v>2335</v>
      </c>
      <c r="Q1727" t="s">
        <v>2814</v>
      </c>
      <c r="R1727" t="s">
        <v>248</v>
      </c>
      <c r="S1727">
        <v>151.31941399999999</v>
      </c>
      <c r="T1727" s="1095">
        <v>-32.642118000000004</v>
      </c>
    </row>
    <row r="1728" spans="16:20">
      <c r="P1728" s="1094">
        <v>2335</v>
      </c>
      <c r="Q1728" t="s">
        <v>2815</v>
      </c>
      <c r="R1728" t="s">
        <v>248</v>
      </c>
      <c r="S1728">
        <v>151.31941399999999</v>
      </c>
      <c r="T1728" s="1095">
        <v>-32.642118000000004</v>
      </c>
    </row>
    <row r="1729" spans="16:20">
      <c r="P1729" s="1094">
        <v>2335</v>
      </c>
      <c r="Q1729" t="s">
        <v>2816</v>
      </c>
      <c r="R1729" t="s">
        <v>248</v>
      </c>
      <c r="S1729">
        <v>151.31941399999999</v>
      </c>
      <c r="T1729" s="1095">
        <v>-32.642118000000004</v>
      </c>
    </row>
    <row r="1730" spans="16:20">
      <c r="P1730" s="1094">
        <v>2336</v>
      </c>
      <c r="Q1730" t="s">
        <v>2817</v>
      </c>
      <c r="R1730" t="s">
        <v>248</v>
      </c>
      <c r="S1730">
        <v>151.10291699999999</v>
      </c>
      <c r="T1730" s="1095">
        <v>-32.14622</v>
      </c>
    </row>
    <row r="1731" spans="16:20">
      <c r="P1731" s="1094">
        <v>2336</v>
      </c>
      <c r="Q1731" t="s">
        <v>2818</v>
      </c>
      <c r="R1731" t="s">
        <v>248</v>
      </c>
      <c r="S1731">
        <v>151.10291699999999</v>
      </c>
      <c r="T1731" s="1095">
        <v>-32.14622</v>
      </c>
    </row>
    <row r="1732" spans="16:20">
      <c r="P1732" s="1094">
        <v>2336</v>
      </c>
      <c r="Q1732" t="s">
        <v>2819</v>
      </c>
      <c r="R1732" t="s">
        <v>248</v>
      </c>
      <c r="S1732">
        <v>151.10291699999999</v>
      </c>
      <c r="T1732" s="1095">
        <v>-32.14622</v>
      </c>
    </row>
    <row r="1733" spans="16:20">
      <c r="P1733" s="1094">
        <v>2336</v>
      </c>
      <c r="Q1733" t="s">
        <v>2820</v>
      </c>
      <c r="R1733" t="s">
        <v>248</v>
      </c>
      <c r="S1733">
        <v>151.10291699999999</v>
      </c>
      <c r="T1733" s="1095">
        <v>-32.14622</v>
      </c>
    </row>
    <row r="1734" spans="16:20">
      <c r="P1734" s="1094">
        <v>2336</v>
      </c>
      <c r="Q1734" t="s">
        <v>2821</v>
      </c>
      <c r="R1734" t="s">
        <v>248</v>
      </c>
      <c r="S1734">
        <v>151.10291699999999</v>
      </c>
      <c r="T1734" s="1095">
        <v>-32.14622</v>
      </c>
    </row>
    <row r="1735" spans="16:20">
      <c r="P1735" s="1094">
        <v>2336</v>
      </c>
      <c r="Q1735" t="s">
        <v>2822</v>
      </c>
      <c r="R1735" t="s">
        <v>248</v>
      </c>
      <c r="S1735">
        <v>151.10291699999999</v>
      </c>
      <c r="T1735" s="1095">
        <v>-32.14622</v>
      </c>
    </row>
    <row r="1736" spans="16:20">
      <c r="P1736" s="1094">
        <v>2336</v>
      </c>
      <c r="Q1736" t="s">
        <v>2823</v>
      </c>
      <c r="R1736" t="s">
        <v>248</v>
      </c>
      <c r="S1736">
        <v>151.10291699999999</v>
      </c>
      <c r="T1736" s="1095">
        <v>-32.14622</v>
      </c>
    </row>
    <row r="1737" spans="16:20">
      <c r="P1737" s="1094">
        <v>2336</v>
      </c>
      <c r="Q1737" t="s">
        <v>2824</v>
      </c>
      <c r="R1737" t="s">
        <v>248</v>
      </c>
      <c r="S1737">
        <v>151.10291699999999</v>
      </c>
      <c r="T1737" s="1095">
        <v>-32.14622</v>
      </c>
    </row>
    <row r="1738" spans="16:20">
      <c r="P1738" s="1094">
        <v>2337</v>
      </c>
      <c r="Q1738" t="s">
        <v>2825</v>
      </c>
      <c r="R1738" t="s">
        <v>248</v>
      </c>
      <c r="S1738">
        <v>151.080412</v>
      </c>
      <c r="T1738" s="1095">
        <v>-31.966754000000002</v>
      </c>
    </row>
    <row r="1739" spans="16:20">
      <c r="P1739" s="1094">
        <v>2337</v>
      </c>
      <c r="Q1739" t="s">
        <v>2826</v>
      </c>
      <c r="R1739" t="s">
        <v>248</v>
      </c>
      <c r="S1739">
        <v>151.080412</v>
      </c>
      <c r="T1739" s="1095">
        <v>-31.966754000000002</v>
      </c>
    </row>
    <row r="1740" spans="16:20">
      <c r="P1740" s="1094">
        <v>2337</v>
      </c>
      <c r="Q1740" t="s">
        <v>2827</v>
      </c>
      <c r="R1740" t="s">
        <v>248</v>
      </c>
      <c r="S1740">
        <v>151.080412</v>
      </c>
      <c r="T1740" s="1095">
        <v>-31.966754000000002</v>
      </c>
    </row>
    <row r="1741" spans="16:20">
      <c r="P1741" s="1094">
        <v>2337</v>
      </c>
      <c r="Q1741" t="s">
        <v>2828</v>
      </c>
      <c r="R1741" t="s">
        <v>248</v>
      </c>
      <c r="S1741">
        <v>151.080412</v>
      </c>
      <c r="T1741" s="1095">
        <v>-31.966754000000002</v>
      </c>
    </row>
    <row r="1742" spans="16:20">
      <c r="P1742" s="1094">
        <v>2337</v>
      </c>
      <c r="Q1742" t="s">
        <v>2829</v>
      </c>
      <c r="R1742" t="s">
        <v>248</v>
      </c>
      <c r="S1742">
        <v>151.080412</v>
      </c>
      <c r="T1742" s="1095">
        <v>-31.966754000000002</v>
      </c>
    </row>
    <row r="1743" spans="16:20">
      <c r="P1743" s="1094">
        <v>2337</v>
      </c>
      <c r="Q1743" t="s">
        <v>2830</v>
      </c>
      <c r="R1743" t="s">
        <v>248</v>
      </c>
      <c r="S1743">
        <v>151.080412</v>
      </c>
      <c r="T1743" s="1095">
        <v>-31.966754000000002</v>
      </c>
    </row>
    <row r="1744" spans="16:20">
      <c r="P1744" s="1094">
        <v>2337</v>
      </c>
      <c r="Q1744" t="s">
        <v>2831</v>
      </c>
      <c r="R1744" t="s">
        <v>248</v>
      </c>
      <c r="S1744">
        <v>151.080412</v>
      </c>
      <c r="T1744" s="1095">
        <v>-31.966754000000002</v>
      </c>
    </row>
    <row r="1745" spans="16:20">
      <c r="P1745" s="1094">
        <v>2337</v>
      </c>
      <c r="Q1745" t="s">
        <v>2832</v>
      </c>
      <c r="R1745" t="s">
        <v>248</v>
      </c>
      <c r="S1745">
        <v>151.080412</v>
      </c>
      <c r="T1745" s="1095">
        <v>-31.966754000000002</v>
      </c>
    </row>
    <row r="1746" spans="16:20">
      <c r="P1746" s="1094">
        <v>2337</v>
      </c>
      <c r="Q1746" t="s">
        <v>2833</v>
      </c>
      <c r="R1746" t="s">
        <v>248</v>
      </c>
      <c r="S1746">
        <v>151.080412</v>
      </c>
      <c r="T1746" s="1095">
        <v>-31.966754000000002</v>
      </c>
    </row>
    <row r="1747" spans="16:20">
      <c r="P1747" s="1094">
        <v>2337</v>
      </c>
      <c r="Q1747" t="s">
        <v>2834</v>
      </c>
      <c r="R1747" t="s">
        <v>248</v>
      </c>
      <c r="S1747">
        <v>151.080412</v>
      </c>
      <c r="T1747" s="1095">
        <v>-31.966754000000002</v>
      </c>
    </row>
    <row r="1748" spans="16:20">
      <c r="P1748" s="1094">
        <v>2337</v>
      </c>
      <c r="Q1748" t="s">
        <v>2835</v>
      </c>
      <c r="R1748" t="s">
        <v>248</v>
      </c>
      <c r="S1748">
        <v>151.080412</v>
      </c>
      <c r="T1748" s="1095">
        <v>-31.966754000000002</v>
      </c>
    </row>
    <row r="1749" spans="16:20">
      <c r="P1749" s="1094">
        <v>2337</v>
      </c>
      <c r="Q1749" t="s">
        <v>2836</v>
      </c>
      <c r="R1749" t="s">
        <v>248</v>
      </c>
      <c r="S1749">
        <v>151.080412</v>
      </c>
      <c r="T1749" s="1095">
        <v>-31.966754000000002</v>
      </c>
    </row>
    <row r="1750" spans="16:20">
      <c r="P1750" s="1094">
        <v>2337</v>
      </c>
      <c r="Q1750" t="s">
        <v>2837</v>
      </c>
      <c r="R1750" t="s">
        <v>248</v>
      </c>
      <c r="S1750">
        <v>151.080412</v>
      </c>
      <c r="T1750" s="1095">
        <v>-31.966754000000002</v>
      </c>
    </row>
    <row r="1751" spans="16:20">
      <c r="P1751" s="1094">
        <v>2337</v>
      </c>
      <c r="Q1751" t="s">
        <v>2838</v>
      </c>
      <c r="R1751" t="s">
        <v>248</v>
      </c>
      <c r="S1751">
        <v>151.080412</v>
      </c>
      <c r="T1751" s="1095">
        <v>-31.966754000000002</v>
      </c>
    </row>
    <row r="1752" spans="16:20">
      <c r="P1752" s="1094">
        <v>2337</v>
      </c>
      <c r="Q1752" t="s">
        <v>2839</v>
      </c>
      <c r="R1752" t="s">
        <v>248</v>
      </c>
      <c r="S1752">
        <v>151.080412</v>
      </c>
      <c r="T1752" s="1095">
        <v>-31.966754000000002</v>
      </c>
    </row>
    <row r="1753" spans="16:20">
      <c r="P1753" s="1094">
        <v>2337</v>
      </c>
      <c r="Q1753" t="s">
        <v>2840</v>
      </c>
      <c r="R1753" t="s">
        <v>248</v>
      </c>
      <c r="S1753">
        <v>151.080412</v>
      </c>
      <c r="T1753" s="1095">
        <v>-31.966754000000002</v>
      </c>
    </row>
    <row r="1754" spans="16:20">
      <c r="P1754" s="1094">
        <v>2337</v>
      </c>
      <c r="Q1754" t="s">
        <v>2841</v>
      </c>
      <c r="R1754" t="s">
        <v>248</v>
      </c>
      <c r="S1754">
        <v>151.080412</v>
      </c>
      <c r="T1754" s="1095">
        <v>-31.966754000000002</v>
      </c>
    </row>
    <row r="1755" spans="16:20">
      <c r="P1755" s="1094">
        <v>2337</v>
      </c>
      <c r="Q1755" t="s">
        <v>2842</v>
      </c>
      <c r="R1755" t="s">
        <v>248</v>
      </c>
      <c r="S1755">
        <v>151.080412</v>
      </c>
      <c r="T1755" s="1095">
        <v>-31.966754000000002</v>
      </c>
    </row>
    <row r="1756" spans="16:20">
      <c r="P1756" s="1094">
        <v>2337</v>
      </c>
      <c r="Q1756" t="s">
        <v>2843</v>
      </c>
      <c r="R1756" t="s">
        <v>248</v>
      </c>
      <c r="S1756">
        <v>151.080412</v>
      </c>
      <c r="T1756" s="1095">
        <v>-31.966754000000002</v>
      </c>
    </row>
    <row r="1757" spans="16:20">
      <c r="P1757" s="1094">
        <v>2337</v>
      </c>
      <c r="Q1757" t="s">
        <v>2844</v>
      </c>
      <c r="R1757" t="s">
        <v>248</v>
      </c>
      <c r="S1757">
        <v>151.080412</v>
      </c>
      <c r="T1757" s="1095">
        <v>-31.966754000000002</v>
      </c>
    </row>
    <row r="1758" spans="16:20">
      <c r="P1758" s="1094">
        <v>2337</v>
      </c>
      <c r="Q1758" t="s">
        <v>2845</v>
      </c>
      <c r="R1758" t="s">
        <v>248</v>
      </c>
      <c r="S1758">
        <v>151.080412</v>
      </c>
      <c r="T1758" s="1095">
        <v>-31.966754000000002</v>
      </c>
    </row>
    <row r="1759" spans="16:20">
      <c r="P1759" s="1094">
        <v>2337</v>
      </c>
      <c r="Q1759" t="s">
        <v>2846</v>
      </c>
      <c r="R1759" t="s">
        <v>248</v>
      </c>
      <c r="S1759">
        <v>151.080412</v>
      </c>
      <c r="T1759" s="1095">
        <v>-31.966754000000002</v>
      </c>
    </row>
    <row r="1760" spans="16:20">
      <c r="P1760" s="1094">
        <v>2337</v>
      </c>
      <c r="Q1760" t="s">
        <v>2847</v>
      </c>
      <c r="R1760" t="s">
        <v>248</v>
      </c>
      <c r="S1760">
        <v>151.080412</v>
      </c>
      <c r="T1760" s="1095">
        <v>-31.966754000000002</v>
      </c>
    </row>
    <row r="1761" spans="16:20">
      <c r="P1761" s="1094">
        <v>2337</v>
      </c>
      <c r="Q1761" t="s">
        <v>2848</v>
      </c>
      <c r="R1761" t="s">
        <v>248</v>
      </c>
      <c r="S1761">
        <v>151.080412</v>
      </c>
      <c r="T1761" s="1095">
        <v>-31.966754000000002</v>
      </c>
    </row>
    <row r="1762" spans="16:20">
      <c r="P1762" s="1094">
        <v>2337</v>
      </c>
      <c r="Q1762" t="s">
        <v>2849</v>
      </c>
      <c r="R1762" t="s">
        <v>248</v>
      </c>
      <c r="S1762">
        <v>151.080412</v>
      </c>
      <c r="T1762" s="1095">
        <v>-31.966754000000002</v>
      </c>
    </row>
    <row r="1763" spans="16:20">
      <c r="P1763" s="1094">
        <v>2338</v>
      </c>
      <c r="Q1763" t="s">
        <v>2850</v>
      </c>
      <c r="R1763" t="s">
        <v>248</v>
      </c>
      <c r="S1763">
        <v>151.02915899999999</v>
      </c>
      <c r="T1763" s="1095">
        <v>-31.735174000000001</v>
      </c>
    </row>
    <row r="1764" spans="16:20">
      <c r="P1764" s="1094">
        <v>2338</v>
      </c>
      <c r="Q1764" t="s">
        <v>2851</v>
      </c>
      <c r="R1764" t="s">
        <v>248</v>
      </c>
      <c r="S1764">
        <v>151.02915899999999</v>
      </c>
      <c r="T1764" s="1095">
        <v>-31.735174000000001</v>
      </c>
    </row>
    <row r="1765" spans="16:20">
      <c r="P1765" s="1094">
        <v>2338</v>
      </c>
      <c r="Q1765" t="s">
        <v>2852</v>
      </c>
      <c r="R1765" t="s">
        <v>248</v>
      </c>
      <c r="S1765">
        <v>151.02915899999999</v>
      </c>
      <c r="T1765" s="1095">
        <v>-31.735174000000001</v>
      </c>
    </row>
    <row r="1766" spans="16:20">
      <c r="P1766" s="1094">
        <v>2338</v>
      </c>
      <c r="Q1766" t="s">
        <v>2853</v>
      </c>
      <c r="R1766" t="s">
        <v>248</v>
      </c>
      <c r="S1766">
        <v>151.02915899999999</v>
      </c>
      <c r="T1766" s="1095">
        <v>-31.735174000000001</v>
      </c>
    </row>
    <row r="1767" spans="16:20">
      <c r="P1767" s="1094">
        <v>2338</v>
      </c>
      <c r="Q1767" t="s">
        <v>2854</v>
      </c>
      <c r="R1767" t="s">
        <v>248</v>
      </c>
      <c r="S1767">
        <v>151.02915899999999</v>
      </c>
      <c r="T1767" s="1095">
        <v>-31.735174000000001</v>
      </c>
    </row>
    <row r="1768" spans="16:20">
      <c r="P1768" s="1094">
        <v>2338</v>
      </c>
      <c r="Q1768" t="s">
        <v>2855</v>
      </c>
      <c r="R1768" t="s">
        <v>248</v>
      </c>
      <c r="S1768">
        <v>151.02915899999999</v>
      </c>
      <c r="T1768" s="1095">
        <v>-31.735174000000001</v>
      </c>
    </row>
    <row r="1769" spans="16:20">
      <c r="P1769" s="1094">
        <v>2338</v>
      </c>
      <c r="Q1769" t="s">
        <v>2856</v>
      </c>
      <c r="R1769" t="s">
        <v>248</v>
      </c>
      <c r="S1769">
        <v>151.02915899999999</v>
      </c>
      <c r="T1769" s="1095">
        <v>-31.735174000000001</v>
      </c>
    </row>
    <row r="1770" spans="16:20">
      <c r="P1770" s="1094">
        <v>2338</v>
      </c>
      <c r="Q1770" t="s">
        <v>2857</v>
      </c>
      <c r="R1770" t="s">
        <v>248</v>
      </c>
      <c r="S1770">
        <v>151.02915899999999</v>
      </c>
      <c r="T1770" s="1095">
        <v>-31.735174000000001</v>
      </c>
    </row>
    <row r="1771" spans="16:20">
      <c r="P1771" s="1094">
        <v>2338</v>
      </c>
      <c r="Q1771" t="s">
        <v>2858</v>
      </c>
      <c r="R1771" t="s">
        <v>248</v>
      </c>
      <c r="S1771">
        <v>151.02915899999999</v>
      </c>
      <c r="T1771" s="1095">
        <v>-31.735174000000001</v>
      </c>
    </row>
    <row r="1772" spans="16:20">
      <c r="P1772" s="1094">
        <v>2339</v>
      </c>
      <c r="Q1772" t="s">
        <v>2859</v>
      </c>
      <c r="R1772" t="s">
        <v>248</v>
      </c>
      <c r="S1772">
        <v>150.603274</v>
      </c>
      <c r="T1772" s="1095">
        <v>-31.735738000000001</v>
      </c>
    </row>
    <row r="1773" spans="16:20">
      <c r="P1773" s="1094">
        <v>2339</v>
      </c>
      <c r="Q1773" t="s">
        <v>2860</v>
      </c>
      <c r="R1773" t="s">
        <v>248</v>
      </c>
      <c r="S1773">
        <v>150.603274</v>
      </c>
      <c r="T1773" s="1095">
        <v>-31.735738000000001</v>
      </c>
    </row>
    <row r="1774" spans="16:20">
      <c r="P1774" s="1094">
        <v>2339</v>
      </c>
      <c r="Q1774" t="s">
        <v>2861</v>
      </c>
      <c r="R1774" t="s">
        <v>248</v>
      </c>
      <c r="S1774">
        <v>150.603274</v>
      </c>
      <c r="T1774" s="1095">
        <v>-31.735738000000001</v>
      </c>
    </row>
    <row r="1775" spans="16:20">
      <c r="P1775" s="1094">
        <v>2339</v>
      </c>
      <c r="Q1775" t="s">
        <v>2862</v>
      </c>
      <c r="R1775" t="s">
        <v>248</v>
      </c>
      <c r="S1775">
        <v>150.603274</v>
      </c>
      <c r="T1775" s="1095">
        <v>-31.735738000000001</v>
      </c>
    </row>
    <row r="1776" spans="16:20">
      <c r="P1776" s="1094">
        <v>2339</v>
      </c>
      <c r="Q1776" t="s">
        <v>2863</v>
      </c>
      <c r="R1776" t="s">
        <v>248</v>
      </c>
      <c r="S1776">
        <v>150.603274</v>
      </c>
      <c r="T1776" s="1095">
        <v>-31.735738000000001</v>
      </c>
    </row>
    <row r="1777" spans="16:20">
      <c r="P1777" s="1094">
        <v>2339</v>
      </c>
      <c r="Q1777" t="s">
        <v>2864</v>
      </c>
      <c r="R1777" t="s">
        <v>248</v>
      </c>
      <c r="S1777">
        <v>150.603274</v>
      </c>
      <c r="T1777" s="1095">
        <v>-31.735738000000001</v>
      </c>
    </row>
    <row r="1778" spans="16:20">
      <c r="P1778" s="1094">
        <v>2339</v>
      </c>
      <c r="Q1778" t="s">
        <v>2865</v>
      </c>
      <c r="R1778" t="s">
        <v>248</v>
      </c>
      <c r="S1778">
        <v>150.603274</v>
      </c>
      <c r="T1778" s="1095">
        <v>-31.735738000000001</v>
      </c>
    </row>
    <row r="1779" spans="16:20">
      <c r="P1779" s="1094">
        <v>2339</v>
      </c>
      <c r="Q1779" t="s">
        <v>2866</v>
      </c>
      <c r="R1779" t="s">
        <v>248</v>
      </c>
      <c r="S1779">
        <v>150.603274</v>
      </c>
      <c r="T1779" s="1095">
        <v>-31.735738000000001</v>
      </c>
    </row>
    <row r="1780" spans="16:20">
      <c r="P1780" s="1094">
        <v>2339</v>
      </c>
      <c r="Q1780" t="s">
        <v>2867</v>
      </c>
      <c r="R1780" t="s">
        <v>248</v>
      </c>
      <c r="S1780">
        <v>150.603274</v>
      </c>
      <c r="T1780" s="1095">
        <v>-31.735738000000001</v>
      </c>
    </row>
    <row r="1781" spans="16:20">
      <c r="P1781" s="1094">
        <v>2339</v>
      </c>
      <c r="Q1781" t="s">
        <v>2868</v>
      </c>
      <c r="R1781" t="s">
        <v>248</v>
      </c>
      <c r="S1781">
        <v>150.603274</v>
      </c>
      <c r="T1781" s="1095">
        <v>-31.735738000000001</v>
      </c>
    </row>
    <row r="1782" spans="16:20">
      <c r="P1782" s="1094">
        <v>2340</v>
      </c>
      <c r="Q1782" t="s">
        <v>2869</v>
      </c>
      <c r="R1782" t="s">
        <v>248</v>
      </c>
      <c r="S1782">
        <v>151.13832199999999</v>
      </c>
      <c r="T1782" s="1095">
        <v>-31.333591999999999</v>
      </c>
    </row>
    <row r="1783" spans="16:20">
      <c r="P1783" s="1094">
        <v>2340</v>
      </c>
      <c r="Q1783" t="s">
        <v>2870</v>
      </c>
      <c r="R1783" t="s">
        <v>248</v>
      </c>
      <c r="S1783">
        <v>151.13832199999999</v>
      </c>
      <c r="T1783" s="1095">
        <v>-31.333591999999999</v>
      </c>
    </row>
    <row r="1784" spans="16:20">
      <c r="P1784" s="1094">
        <v>2340</v>
      </c>
      <c r="Q1784" t="s">
        <v>2871</v>
      </c>
      <c r="R1784" t="s">
        <v>248</v>
      </c>
      <c r="S1784">
        <v>151.13832199999999</v>
      </c>
      <c r="T1784" s="1095">
        <v>-31.333591999999999</v>
      </c>
    </row>
    <row r="1785" spans="16:20">
      <c r="P1785" s="1094">
        <v>2340</v>
      </c>
      <c r="Q1785" t="s">
        <v>2872</v>
      </c>
      <c r="R1785" t="s">
        <v>248</v>
      </c>
      <c r="S1785">
        <v>151.13832199999999</v>
      </c>
      <c r="T1785" s="1095">
        <v>-31.333591999999999</v>
      </c>
    </row>
    <row r="1786" spans="16:20">
      <c r="P1786" s="1094">
        <v>2340</v>
      </c>
      <c r="Q1786" t="s">
        <v>2873</v>
      </c>
      <c r="R1786" t="s">
        <v>248</v>
      </c>
      <c r="S1786">
        <v>151.13832199999999</v>
      </c>
      <c r="T1786" s="1095">
        <v>-31.333591999999999</v>
      </c>
    </row>
    <row r="1787" spans="16:20">
      <c r="P1787" s="1094">
        <v>2340</v>
      </c>
      <c r="Q1787" t="s">
        <v>2874</v>
      </c>
      <c r="R1787" t="s">
        <v>248</v>
      </c>
      <c r="S1787">
        <v>151.13832199999999</v>
      </c>
      <c r="T1787" s="1095">
        <v>-31.333591999999999</v>
      </c>
    </row>
    <row r="1788" spans="16:20">
      <c r="P1788" s="1094">
        <v>2340</v>
      </c>
      <c r="Q1788" t="s">
        <v>2875</v>
      </c>
      <c r="R1788" t="s">
        <v>248</v>
      </c>
      <c r="S1788">
        <v>151.13832199999999</v>
      </c>
      <c r="T1788" s="1095">
        <v>-31.333591999999999</v>
      </c>
    </row>
    <row r="1789" spans="16:20">
      <c r="P1789" s="1094">
        <v>2340</v>
      </c>
      <c r="Q1789" t="s">
        <v>2876</v>
      </c>
      <c r="R1789" t="s">
        <v>248</v>
      </c>
      <c r="S1789">
        <v>151.13832199999999</v>
      </c>
      <c r="T1789" s="1095">
        <v>-31.333591999999999</v>
      </c>
    </row>
    <row r="1790" spans="16:20">
      <c r="P1790" s="1094">
        <v>2340</v>
      </c>
      <c r="Q1790" t="s">
        <v>2877</v>
      </c>
      <c r="R1790" t="s">
        <v>248</v>
      </c>
      <c r="S1790">
        <v>151.13832199999999</v>
      </c>
      <c r="T1790" s="1095">
        <v>-31.333591999999999</v>
      </c>
    </row>
    <row r="1791" spans="16:20">
      <c r="P1791" s="1094">
        <v>2340</v>
      </c>
      <c r="Q1791" t="s">
        <v>2878</v>
      </c>
      <c r="R1791" t="s">
        <v>248</v>
      </c>
      <c r="S1791">
        <v>151.13832199999999</v>
      </c>
      <c r="T1791" s="1095">
        <v>-31.333591999999999</v>
      </c>
    </row>
    <row r="1792" spans="16:20">
      <c r="P1792" s="1094">
        <v>2340</v>
      </c>
      <c r="Q1792" t="s">
        <v>2879</v>
      </c>
      <c r="R1792" t="s">
        <v>248</v>
      </c>
      <c r="S1792">
        <v>151.13832199999999</v>
      </c>
      <c r="T1792" s="1095">
        <v>-31.333591999999999</v>
      </c>
    </row>
    <row r="1793" spans="16:20">
      <c r="P1793" s="1094">
        <v>2340</v>
      </c>
      <c r="Q1793" t="s">
        <v>2755</v>
      </c>
      <c r="R1793" t="s">
        <v>248</v>
      </c>
      <c r="S1793">
        <v>151.13832199999999</v>
      </c>
      <c r="T1793" s="1095">
        <v>-31.333591999999999</v>
      </c>
    </row>
    <row r="1794" spans="16:20">
      <c r="P1794" s="1094">
        <v>2340</v>
      </c>
      <c r="Q1794" t="s">
        <v>2880</v>
      </c>
      <c r="R1794" t="s">
        <v>248</v>
      </c>
      <c r="S1794">
        <v>151.13832199999999</v>
      </c>
      <c r="T1794" s="1095">
        <v>-31.333591999999999</v>
      </c>
    </row>
    <row r="1795" spans="16:20">
      <c r="P1795" s="1094">
        <v>2340</v>
      </c>
      <c r="Q1795" t="s">
        <v>2881</v>
      </c>
      <c r="R1795" t="s">
        <v>248</v>
      </c>
      <c r="S1795">
        <v>151.13832199999999</v>
      </c>
      <c r="T1795" s="1095">
        <v>-31.333591999999999</v>
      </c>
    </row>
    <row r="1796" spans="16:20">
      <c r="P1796" s="1094">
        <v>2340</v>
      </c>
      <c r="Q1796" t="s">
        <v>2882</v>
      </c>
      <c r="R1796" t="s">
        <v>248</v>
      </c>
      <c r="S1796">
        <v>151.13832199999999</v>
      </c>
      <c r="T1796" s="1095">
        <v>-31.333591999999999</v>
      </c>
    </row>
    <row r="1797" spans="16:20">
      <c r="P1797" s="1094">
        <v>2340</v>
      </c>
      <c r="Q1797" t="s">
        <v>2883</v>
      </c>
      <c r="R1797" t="s">
        <v>248</v>
      </c>
      <c r="S1797">
        <v>151.13832199999999</v>
      </c>
      <c r="T1797" s="1095">
        <v>-31.333591999999999</v>
      </c>
    </row>
    <row r="1798" spans="16:20">
      <c r="P1798" s="1094">
        <v>2340</v>
      </c>
      <c r="Q1798" t="s">
        <v>2884</v>
      </c>
      <c r="R1798" t="s">
        <v>248</v>
      </c>
      <c r="S1798">
        <v>151.13832199999999</v>
      </c>
      <c r="T1798" s="1095">
        <v>-31.333591999999999</v>
      </c>
    </row>
    <row r="1799" spans="16:20">
      <c r="P1799" s="1094">
        <v>2340</v>
      </c>
      <c r="Q1799" t="s">
        <v>2885</v>
      </c>
      <c r="R1799" t="s">
        <v>248</v>
      </c>
      <c r="S1799">
        <v>151.13832199999999</v>
      </c>
      <c r="T1799" s="1095">
        <v>-31.333591999999999</v>
      </c>
    </row>
    <row r="1800" spans="16:20">
      <c r="P1800" s="1094">
        <v>2340</v>
      </c>
      <c r="Q1800" t="s">
        <v>2886</v>
      </c>
      <c r="R1800" t="s">
        <v>248</v>
      </c>
      <c r="S1800">
        <v>151.13832199999999</v>
      </c>
      <c r="T1800" s="1095">
        <v>-31.333591999999999</v>
      </c>
    </row>
    <row r="1801" spans="16:20">
      <c r="P1801" s="1094">
        <v>2340</v>
      </c>
      <c r="Q1801" t="s">
        <v>2887</v>
      </c>
      <c r="R1801" t="s">
        <v>248</v>
      </c>
      <c r="S1801">
        <v>151.13832199999999</v>
      </c>
      <c r="T1801" s="1095">
        <v>-31.333591999999999</v>
      </c>
    </row>
    <row r="1802" spans="16:20">
      <c r="P1802" s="1094">
        <v>2340</v>
      </c>
      <c r="Q1802" t="s">
        <v>2888</v>
      </c>
      <c r="R1802" t="s">
        <v>248</v>
      </c>
      <c r="S1802">
        <v>151.13832199999999</v>
      </c>
      <c r="T1802" s="1095">
        <v>-31.333591999999999</v>
      </c>
    </row>
    <row r="1803" spans="16:20">
      <c r="P1803" s="1094">
        <v>2340</v>
      </c>
      <c r="Q1803" t="s">
        <v>2889</v>
      </c>
      <c r="R1803" t="s">
        <v>248</v>
      </c>
      <c r="S1803">
        <v>151.13832199999999</v>
      </c>
      <c r="T1803" s="1095">
        <v>-31.333591999999999</v>
      </c>
    </row>
    <row r="1804" spans="16:20">
      <c r="P1804" s="1094">
        <v>2340</v>
      </c>
      <c r="Q1804" t="s">
        <v>2890</v>
      </c>
      <c r="R1804" t="s">
        <v>248</v>
      </c>
      <c r="S1804">
        <v>151.13832199999999</v>
      </c>
      <c r="T1804" s="1095">
        <v>-31.333591999999999</v>
      </c>
    </row>
    <row r="1805" spans="16:20">
      <c r="P1805" s="1094">
        <v>2340</v>
      </c>
      <c r="Q1805" t="s">
        <v>2891</v>
      </c>
      <c r="R1805" t="s">
        <v>248</v>
      </c>
      <c r="S1805">
        <v>151.13832199999999</v>
      </c>
      <c r="T1805" s="1095">
        <v>-31.333591999999999</v>
      </c>
    </row>
    <row r="1806" spans="16:20">
      <c r="P1806" s="1094">
        <v>2340</v>
      </c>
      <c r="Q1806" t="s">
        <v>2892</v>
      </c>
      <c r="R1806" t="s">
        <v>248</v>
      </c>
      <c r="S1806">
        <v>151.13832199999999</v>
      </c>
      <c r="T1806" s="1095">
        <v>-31.333591999999999</v>
      </c>
    </row>
    <row r="1807" spans="16:20">
      <c r="P1807" s="1094">
        <v>2340</v>
      </c>
      <c r="Q1807" t="s">
        <v>2893</v>
      </c>
      <c r="R1807" t="s">
        <v>248</v>
      </c>
      <c r="S1807">
        <v>151.13832199999999</v>
      </c>
      <c r="T1807" s="1095">
        <v>-31.333591999999999</v>
      </c>
    </row>
    <row r="1808" spans="16:20">
      <c r="P1808" s="1094">
        <v>2340</v>
      </c>
      <c r="Q1808" t="s">
        <v>2894</v>
      </c>
      <c r="R1808" t="s">
        <v>248</v>
      </c>
      <c r="S1808">
        <v>151.13832199999999</v>
      </c>
      <c r="T1808" s="1095">
        <v>-31.333591999999999</v>
      </c>
    </row>
    <row r="1809" spans="16:20">
      <c r="P1809" s="1094">
        <v>2340</v>
      </c>
      <c r="Q1809" t="s">
        <v>2895</v>
      </c>
      <c r="R1809" t="s">
        <v>248</v>
      </c>
      <c r="S1809">
        <v>151.13832199999999</v>
      </c>
      <c r="T1809" s="1095">
        <v>-31.333591999999999</v>
      </c>
    </row>
    <row r="1810" spans="16:20">
      <c r="P1810" s="1094">
        <v>2340</v>
      </c>
      <c r="Q1810" t="s">
        <v>2896</v>
      </c>
      <c r="R1810" t="s">
        <v>248</v>
      </c>
      <c r="S1810">
        <v>151.13832199999999</v>
      </c>
      <c r="T1810" s="1095">
        <v>-31.333591999999999</v>
      </c>
    </row>
    <row r="1811" spans="16:20">
      <c r="P1811" s="1094">
        <v>2340</v>
      </c>
      <c r="Q1811" t="s">
        <v>2897</v>
      </c>
      <c r="R1811" t="s">
        <v>248</v>
      </c>
      <c r="S1811">
        <v>151.13832199999999</v>
      </c>
      <c r="T1811" s="1095">
        <v>-31.333591999999999</v>
      </c>
    </row>
    <row r="1812" spans="16:20">
      <c r="P1812" s="1094">
        <v>2340</v>
      </c>
      <c r="Q1812" t="s">
        <v>2898</v>
      </c>
      <c r="R1812" t="s">
        <v>248</v>
      </c>
      <c r="S1812">
        <v>151.13832199999999</v>
      </c>
      <c r="T1812" s="1095">
        <v>-31.333591999999999</v>
      </c>
    </row>
    <row r="1813" spans="16:20">
      <c r="P1813" s="1094">
        <v>2340</v>
      </c>
      <c r="Q1813" t="s">
        <v>2899</v>
      </c>
      <c r="R1813" t="s">
        <v>248</v>
      </c>
      <c r="S1813">
        <v>151.13832199999999</v>
      </c>
      <c r="T1813" s="1095">
        <v>-31.333591999999999</v>
      </c>
    </row>
    <row r="1814" spans="16:20">
      <c r="P1814" s="1094">
        <v>2340</v>
      </c>
      <c r="Q1814" t="s">
        <v>2900</v>
      </c>
      <c r="R1814" t="s">
        <v>248</v>
      </c>
      <c r="S1814">
        <v>151.13832199999999</v>
      </c>
      <c r="T1814" s="1095">
        <v>-31.333591999999999</v>
      </c>
    </row>
    <row r="1815" spans="16:20">
      <c r="P1815" s="1094">
        <v>2340</v>
      </c>
      <c r="Q1815" t="s">
        <v>2901</v>
      </c>
      <c r="R1815" t="s">
        <v>248</v>
      </c>
      <c r="S1815">
        <v>151.13832199999999</v>
      </c>
      <c r="T1815" s="1095">
        <v>-31.333591999999999</v>
      </c>
    </row>
    <row r="1816" spans="16:20">
      <c r="P1816" s="1094">
        <v>2340</v>
      </c>
      <c r="Q1816" t="s">
        <v>2902</v>
      </c>
      <c r="R1816" t="s">
        <v>248</v>
      </c>
      <c r="S1816">
        <v>151.13832199999999</v>
      </c>
      <c r="T1816" s="1095">
        <v>-31.333591999999999</v>
      </c>
    </row>
    <row r="1817" spans="16:20">
      <c r="P1817" s="1094">
        <v>2340</v>
      </c>
      <c r="Q1817" t="s">
        <v>2903</v>
      </c>
      <c r="R1817" t="s">
        <v>248</v>
      </c>
      <c r="S1817">
        <v>151.13832199999999</v>
      </c>
      <c r="T1817" s="1095">
        <v>-31.333591999999999</v>
      </c>
    </row>
    <row r="1818" spans="16:20">
      <c r="P1818" s="1094">
        <v>2341</v>
      </c>
      <c r="Q1818" t="s">
        <v>2904</v>
      </c>
      <c r="R1818" t="s">
        <v>248</v>
      </c>
      <c r="S1818">
        <v>150.611053</v>
      </c>
      <c r="T1818" s="1095">
        <v>-31.346640000000001</v>
      </c>
    </row>
    <row r="1819" spans="16:20">
      <c r="P1819" s="1094">
        <v>2342</v>
      </c>
      <c r="Q1819" t="s">
        <v>2905</v>
      </c>
      <c r="R1819" t="s">
        <v>248</v>
      </c>
      <c r="S1819">
        <v>150.54907</v>
      </c>
      <c r="T1819" s="1095">
        <v>-31.155222999999999</v>
      </c>
    </row>
    <row r="1820" spans="16:20">
      <c r="P1820" s="1094">
        <v>2342</v>
      </c>
      <c r="Q1820" t="s">
        <v>2906</v>
      </c>
      <c r="R1820" t="s">
        <v>248</v>
      </c>
      <c r="S1820">
        <v>150.54907</v>
      </c>
      <c r="T1820" s="1095">
        <v>-31.155222999999999</v>
      </c>
    </row>
    <row r="1821" spans="16:20">
      <c r="P1821" s="1094">
        <v>2343</v>
      </c>
      <c r="Q1821" t="s">
        <v>2907</v>
      </c>
      <c r="R1821" t="s">
        <v>248</v>
      </c>
      <c r="S1821">
        <v>150.372784</v>
      </c>
      <c r="T1821" s="1095">
        <v>-31.505932000000001</v>
      </c>
    </row>
    <row r="1822" spans="16:20">
      <c r="P1822" s="1094">
        <v>2343</v>
      </c>
      <c r="Q1822" t="s">
        <v>2908</v>
      </c>
      <c r="R1822" t="s">
        <v>248</v>
      </c>
      <c r="S1822">
        <v>150.372784</v>
      </c>
      <c r="T1822" s="1095">
        <v>-31.505932000000001</v>
      </c>
    </row>
    <row r="1823" spans="16:20">
      <c r="P1823" s="1094">
        <v>2343</v>
      </c>
      <c r="Q1823" t="s">
        <v>2909</v>
      </c>
      <c r="R1823" t="s">
        <v>248</v>
      </c>
      <c r="S1823">
        <v>150.372784</v>
      </c>
      <c r="T1823" s="1095">
        <v>-31.505932000000001</v>
      </c>
    </row>
    <row r="1824" spans="16:20">
      <c r="P1824" s="1094">
        <v>2343</v>
      </c>
      <c r="Q1824" t="s">
        <v>2910</v>
      </c>
      <c r="R1824" t="s">
        <v>248</v>
      </c>
      <c r="S1824">
        <v>150.372784</v>
      </c>
      <c r="T1824" s="1095">
        <v>-31.505932000000001</v>
      </c>
    </row>
    <row r="1825" spans="16:20">
      <c r="P1825" s="1094">
        <v>2343</v>
      </c>
      <c r="Q1825" t="s">
        <v>2911</v>
      </c>
      <c r="R1825" t="s">
        <v>248</v>
      </c>
      <c r="S1825">
        <v>150.372784</v>
      </c>
      <c r="T1825" s="1095">
        <v>-31.505932000000001</v>
      </c>
    </row>
    <row r="1826" spans="16:20">
      <c r="P1826" s="1094">
        <v>2343</v>
      </c>
      <c r="Q1826" t="s">
        <v>2912</v>
      </c>
      <c r="R1826" t="s">
        <v>248</v>
      </c>
      <c r="S1826">
        <v>150.372784</v>
      </c>
      <c r="T1826" s="1095">
        <v>-31.505932000000001</v>
      </c>
    </row>
    <row r="1827" spans="16:20">
      <c r="P1827" s="1094">
        <v>2343</v>
      </c>
      <c r="Q1827" t="s">
        <v>2913</v>
      </c>
      <c r="R1827" t="s">
        <v>248</v>
      </c>
      <c r="S1827">
        <v>150.372784</v>
      </c>
      <c r="T1827" s="1095">
        <v>-31.505932000000001</v>
      </c>
    </row>
    <row r="1828" spans="16:20">
      <c r="P1828" s="1094">
        <v>2343</v>
      </c>
      <c r="Q1828" t="s">
        <v>2914</v>
      </c>
      <c r="R1828" t="s">
        <v>248</v>
      </c>
      <c r="S1828">
        <v>150.372784</v>
      </c>
      <c r="T1828" s="1095">
        <v>-31.505932000000001</v>
      </c>
    </row>
    <row r="1829" spans="16:20">
      <c r="P1829" s="1094">
        <v>2343</v>
      </c>
      <c r="Q1829" t="s">
        <v>2915</v>
      </c>
      <c r="R1829" t="s">
        <v>248</v>
      </c>
      <c r="S1829">
        <v>150.372784</v>
      </c>
      <c r="T1829" s="1095">
        <v>-31.505932000000001</v>
      </c>
    </row>
    <row r="1830" spans="16:20">
      <c r="P1830" s="1094">
        <v>2343</v>
      </c>
      <c r="Q1830" t="s">
        <v>2916</v>
      </c>
      <c r="R1830" t="s">
        <v>248</v>
      </c>
      <c r="S1830">
        <v>150.372784</v>
      </c>
      <c r="T1830" s="1095">
        <v>-31.505932000000001</v>
      </c>
    </row>
    <row r="1831" spans="16:20">
      <c r="P1831" s="1094">
        <v>2343</v>
      </c>
      <c r="Q1831" t="s">
        <v>2917</v>
      </c>
      <c r="R1831" t="s">
        <v>248</v>
      </c>
      <c r="S1831">
        <v>150.372784</v>
      </c>
      <c r="T1831" s="1095">
        <v>-31.505932000000001</v>
      </c>
    </row>
    <row r="1832" spans="16:20">
      <c r="P1832" s="1094">
        <v>2343</v>
      </c>
      <c r="Q1832" t="s">
        <v>2918</v>
      </c>
      <c r="R1832" t="s">
        <v>248</v>
      </c>
      <c r="S1832">
        <v>150.372784</v>
      </c>
      <c r="T1832" s="1095">
        <v>-31.505932000000001</v>
      </c>
    </row>
    <row r="1833" spans="16:20">
      <c r="P1833" s="1094">
        <v>2343</v>
      </c>
      <c r="Q1833" t="s">
        <v>2919</v>
      </c>
      <c r="R1833" t="s">
        <v>248</v>
      </c>
      <c r="S1833">
        <v>150.372784</v>
      </c>
      <c r="T1833" s="1095">
        <v>-31.505932000000001</v>
      </c>
    </row>
    <row r="1834" spans="16:20">
      <c r="P1834" s="1094">
        <v>2344</v>
      </c>
      <c r="Q1834" t="s">
        <v>2920</v>
      </c>
      <c r="R1834" t="s">
        <v>248</v>
      </c>
      <c r="S1834">
        <v>150.72957400000001</v>
      </c>
      <c r="T1834" s="1095">
        <v>-31.173749999999998</v>
      </c>
    </row>
    <row r="1835" spans="16:20">
      <c r="P1835" s="1094">
        <v>2344</v>
      </c>
      <c r="Q1835" t="s">
        <v>2921</v>
      </c>
      <c r="R1835" t="s">
        <v>248</v>
      </c>
      <c r="S1835">
        <v>150.72957400000001</v>
      </c>
      <c r="T1835" s="1095">
        <v>-31.173749999999998</v>
      </c>
    </row>
    <row r="1836" spans="16:20">
      <c r="P1836" s="1094">
        <v>2345</v>
      </c>
      <c r="Q1836" t="s">
        <v>2922</v>
      </c>
      <c r="R1836" t="s">
        <v>248</v>
      </c>
      <c r="S1836">
        <v>150.87503100000001</v>
      </c>
      <c r="T1836" s="1095">
        <v>-30.864342000000001</v>
      </c>
    </row>
    <row r="1837" spans="16:20">
      <c r="P1837" s="1094">
        <v>2345</v>
      </c>
      <c r="Q1837" t="s">
        <v>2923</v>
      </c>
      <c r="R1837" t="s">
        <v>248</v>
      </c>
      <c r="S1837">
        <v>150.87503100000001</v>
      </c>
      <c r="T1837" s="1095">
        <v>-30.864342000000001</v>
      </c>
    </row>
    <row r="1838" spans="16:20">
      <c r="P1838" s="1094">
        <v>2346</v>
      </c>
      <c r="Q1838" t="s">
        <v>2924</v>
      </c>
      <c r="R1838" t="s">
        <v>248</v>
      </c>
      <c r="S1838">
        <v>150.761923</v>
      </c>
      <c r="T1838" s="1095">
        <v>-30.627675</v>
      </c>
    </row>
    <row r="1839" spans="16:20">
      <c r="P1839" s="1094">
        <v>2346</v>
      </c>
      <c r="Q1839" t="s">
        <v>2925</v>
      </c>
      <c r="R1839" t="s">
        <v>248</v>
      </c>
      <c r="S1839">
        <v>150.761923</v>
      </c>
      <c r="T1839" s="1095">
        <v>-30.627675</v>
      </c>
    </row>
    <row r="1840" spans="16:20">
      <c r="P1840" s="1094">
        <v>2346</v>
      </c>
      <c r="Q1840" t="s">
        <v>2926</v>
      </c>
      <c r="R1840" t="s">
        <v>248</v>
      </c>
      <c r="S1840">
        <v>150.761923</v>
      </c>
      <c r="T1840" s="1095">
        <v>-30.627675</v>
      </c>
    </row>
    <row r="1841" spans="16:20">
      <c r="P1841" s="1094">
        <v>2346</v>
      </c>
      <c r="Q1841" t="s">
        <v>2927</v>
      </c>
      <c r="R1841" t="s">
        <v>248</v>
      </c>
      <c r="S1841">
        <v>150.761923</v>
      </c>
      <c r="T1841" s="1095">
        <v>-30.627675</v>
      </c>
    </row>
    <row r="1842" spans="16:20">
      <c r="P1842" s="1094">
        <v>2347</v>
      </c>
      <c r="Q1842" t="s">
        <v>2928</v>
      </c>
      <c r="R1842" t="s">
        <v>248</v>
      </c>
      <c r="S1842">
        <v>150.52316300000001</v>
      </c>
      <c r="T1842" s="1095">
        <v>-30.281898999999999</v>
      </c>
    </row>
    <row r="1843" spans="16:20">
      <c r="P1843" s="1094">
        <v>2347</v>
      </c>
      <c r="Q1843" t="s">
        <v>2929</v>
      </c>
      <c r="R1843" t="s">
        <v>248</v>
      </c>
      <c r="S1843">
        <v>150.52316300000001</v>
      </c>
      <c r="T1843" s="1095">
        <v>-30.281898999999999</v>
      </c>
    </row>
    <row r="1844" spans="16:20">
      <c r="P1844" s="1094">
        <v>2347</v>
      </c>
      <c r="Q1844" t="s">
        <v>2930</v>
      </c>
      <c r="R1844" t="s">
        <v>248</v>
      </c>
      <c r="S1844">
        <v>150.52316300000001</v>
      </c>
      <c r="T1844" s="1095">
        <v>-30.281898999999999</v>
      </c>
    </row>
    <row r="1845" spans="16:20">
      <c r="P1845" s="1094">
        <v>2347</v>
      </c>
      <c r="Q1845" t="s">
        <v>2931</v>
      </c>
      <c r="R1845" t="s">
        <v>248</v>
      </c>
      <c r="S1845">
        <v>150.52316300000001</v>
      </c>
      <c r="T1845" s="1095">
        <v>-30.281898999999999</v>
      </c>
    </row>
    <row r="1846" spans="16:20">
      <c r="P1846" s="1094">
        <v>2347</v>
      </c>
      <c r="Q1846" t="s">
        <v>2932</v>
      </c>
      <c r="R1846" t="s">
        <v>248</v>
      </c>
      <c r="S1846">
        <v>150.52316300000001</v>
      </c>
      <c r="T1846" s="1095">
        <v>-30.281898999999999</v>
      </c>
    </row>
    <row r="1847" spans="16:20">
      <c r="P1847" s="1094">
        <v>2347</v>
      </c>
      <c r="Q1847" t="s">
        <v>2933</v>
      </c>
      <c r="R1847" t="s">
        <v>248</v>
      </c>
      <c r="S1847">
        <v>150.52316300000001</v>
      </c>
      <c r="T1847" s="1095">
        <v>-30.281898999999999</v>
      </c>
    </row>
    <row r="1848" spans="16:20">
      <c r="P1848" s="1094">
        <v>2347</v>
      </c>
      <c r="Q1848" t="s">
        <v>2934</v>
      </c>
      <c r="R1848" t="s">
        <v>248</v>
      </c>
      <c r="S1848">
        <v>150.52316300000001</v>
      </c>
      <c r="T1848" s="1095">
        <v>-30.281898999999999</v>
      </c>
    </row>
    <row r="1849" spans="16:20">
      <c r="P1849" s="1094">
        <v>2347</v>
      </c>
      <c r="Q1849" t="s">
        <v>2935</v>
      </c>
      <c r="R1849" t="s">
        <v>248</v>
      </c>
      <c r="S1849">
        <v>150.52316300000001</v>
      </c>
      <c r="T1849" s="1095">
        <v>-30.281898999999999</v>
      </c>
    </row>
    <row r="1850" spans="16:20">
      <c r="P1850" s="1094">
        <v>2347</v>
      </c>
      <c r="Q1850" t="s">
        <v>2936</v>
      </c>
      <c r="R1850" t="s">
        <v>248</v>
      </c>
      <c r="S1850">
        <v>150.52316300000001</v>
      </c>
      <c r="T1850" s="1095">
        <v>-30.281898999999999</v>
      </c>
    </row>
    <row r="1851" spans="16:20">
      <c r="P1851" s="1094">
        <v>2347</v>
      </c>
      <c r="Q1851" t="s">
        <v>2937</v>
      </c>
      <c r="R1851" t="s">
        <v>248</v>
      </c>
      <c r="S1851">
        <v>150.52316300000001</v>
      </c>
      <c r="T1851" s="1095">
        <v>-30.281898999999999</v>
      </c>
    </row>
    <row r="1852" spans="16:20">
      <c r="P1852" s="1094">
        <v>2347</v>
      </c>
      <c r="Q1852" t="s">
        <v>2938</v>
      </c>
      <c r="R1852" t="s">
        <v>248</v>
      </c>
      <c r="S1852">
        <v>150.52316300000001</v>
      </c>
      <c r="T1852" s="1095">
        <v>-30.281898999999999</v>
      </c>
    </row>
    <row r="1853" spans="16:20">
      <c r="P1853" s="1094">
        <v>2347</v>
      </c>
      <c r="Q1853" t="s">
        <v>2939</v>
      </c>
      <c r="R1853" t="s">
        <v>248</v>
      </c>
      <c r="S1853">
        <v>150.52316300000001</v>
      </c>
      <c r="T1853" s="1095">
        <v>-30.281898999999999</v>
      </c>
    </row>
    <row r="1854" spans="16:20">
      <c r="P1854" s="1094">
        <v>2347</v>
      </c>
      <c r="Q1854" t="s">
        <v>2940</v>
      </c>
      <c r="R1854" t="s">
        <v>248</v>
      </c>
      <c r="S1854">
        <v>150.52316300000001</v>
      </c>
      <c r="T1854" s="1095">
        <v>-30.281898999999999</v>
      </c>
    </row>
    <row r="1855" spans="16:20">
      <c r="P1855" s="1094">
        <v>2347</v>
      </c>
      <c r="Q1855" t="s">
        <v>2941</v>
      </c>
      <c r="R1855" t="s">
        <v>248</v>
      </c>
      <c r="S1855">
        <v>150.52316300000001</v>
      </c>
      <c r="T1855" s="1095">
        <v>-30.281898999999999</v>
      </c>
    </row>
    <row r="1856" spans="16:20">
      <c r="P1856" s="1094">
        <v>2348</v>
      </c>
      <c r="Q1856" t="s">
        <v>2942</v>
      </c>
      <c r="R1856" t="s">
        <v>248</v>
      </c>
      <c r="S1856">
        <v>0</v>
      </c>
      <c r="T1856" s="1095">
        <v>0</v>
      </c>
    </row>
    <row r="1857" spans="16:20">
      <c r="P1857" s="1094">
        <v>2350</v>
      </c>
      <c r="Q1857" t="s">
        <v>2943</v>
      </c>
      <c r="R1857" t="s">
        <v>248</v>
      </c>
      <c r="S1857">
        <v>151.90615299999999</v>
      </c>
      <c r="T1857" s="1095">
        <v>-30.493397000000002</v>
      </c>
    </row>
    <row r="1858" spans="16:20">
      <c r="P1858" s="1094">
        <v>2350</v>
      </c>
      <c r="Q1858" t="s">
        <v>2944</v>
      </c>
      <c r="R1858" t="s">
        <v>248</v>
      </c>
      <c r="S1858">
        <v>151.90615299999999</v>
      </c>
      <c r="T1858" s="1095">
        <v>-30.493397000000002</v>
      </c>
    </row>
    <row r="1859" spans="16:20">
      <c r="P1859" s="1094">
        <v>2350</v>
      </c>
      <c r="Q1859" t="s">
        <v>2945</v>
      </c>
      <c r="R1859" t="s">
        <v>248</v>
      </c>
      <c r="S1859">
        <v>151.90615299999999</v>
      </c>
      <c r="T1859" s="1095">
        <v>-30.493397000000002</v>
      </c>
    </row>
    <row r="1860" spans="16:20">
      <c r="P1860" s="1094">
        <v>2350</v>
      </c>
      <c r="Q1860" t="s">
        <v>2946</v>
      </c>
      <c r="R1860" t="s">
        <v>248</v>
      </c>
      <c r="S1860">
        <v>151.90615299999999</v>
      </c>
      <c r="T1860" s="1095">
        <v>-30.493397000000002</v>
      </c>
    </row>
    <row r="1861" spans="16:20">
      <c r="P1861" s="1094">
        <v>2350</v>
      </c>
      <c r="Q1861" t="s">
        <v>2947</v>
      </c>
      <c r="R1861" t="s">
        <v>248</v>
      </c>
      <c r="S1861">
        <v>151.90615299999999</v>
      </c>
      <c r="T1861" s="1095">
        <v>-30.493397000000002</v>
      </c>
    </row>
    <row r="1862" spans="16:20">
      <c r="P1862" s="1094">
        <v>2350</v>
      </c>
      <c r="Q1862" t="s">
        <v>2948</v>
      </c>
      <c r="R1862" t="s">
        <v>248</v>
      </c>
      <c r="S1862">
        <v>151.90615299999999</v>
      </c>
      <c r="T1862" s="1095">
        <v>-30.493397000000002</v>
      </c>
    </row>
    <row r="1863" spans="16:20">
      <c r="P1863" s="1094">
        <v>2350</v>
      </c>
      <c r="Q1863" t="s">
        <v>2949</v>
      </c>
      <c r="R1863" t="s">
        <v>248</v>
      </c>
      <c r="S1863">
        <v>151.90615299999999</v>
      </c>
      <c r="T1863" s="1095">
        <v>-30.493397000000002</v>
      </c>
    </row>
    <row r="1864" spans="16:20">
      <c r="P1864" s="1094">
        <v>2350</v>
      </c>
      <c r="Q1864" t="s">
        <v>2950</v>
      </c>
      <c r="R1864" t="s">
        <v>248</v>
      </c>
      <c r="S1864">
        <v>151.90615299999999</v>
      </c>
      <c r="T1864" s="1095">
        <v>-30.493397000000002</v>
      </c>
    </row>
    <row r="1865" spans="16:20">
      <c r="P1865" s="1094">
        <v>2350</v>
      </c>
      <c r="Q1865" t="s">
        <v>2951</v>
      </c>
      <c r="R1865" t="s">
        <v>248</v>
      </c>
      <c r="S1865">
        <v>151.90615299999999</v>
      </c>
      <c r="T1865" s="1095">
        <v>-30.493397000000002</v>
      </c>
    </row>
    <row r="1866" spans="16:20">
      <c r="P1866" s="1094">
        <v>2350</v>
      </c>
      <c r="Q1866" t="s">
        <v>2952</v>
      </c>
      <c r="R1866" t="s">
        <v>248</v>
      </c>
      <c r="S1866">
        <v>151.90615299999999</v>
      </c>
      <c r="T1866" s="1095">
        <v>-30.493397000000002</v>
      </c>
    </row>
    <row r="1867" spans="16:20">
      <c r="P1867" s="1094">
        <v>2350</v>
      </c>
      <c r="Q1867" t="s">
        <v>2953</v>
      </c>
      <c r="R1867" t="s">
        <v>248</v>
      </c>
      <c r="S1867">
        <v>151.90615299999999</v>
      </c>
      <c r="T1867" s="1095">
        <v>-30.493397000000002</v>
      </c>
    </row>
    <row r="1868" spans="16:20">
      <c r="P1868" s="1094">
        <v>2350</v>
      </c>
      <c r="Q1868" t="s">
        <v>2954</v>
      </c>
      <c r="R1868" t="s">
        <v>248</v>
      </c>
      <c r="S1868">
        <v>151.90615299999999</v>
      </c>
      <c r="T1868" s="1095">
        <v>-30.493397000000002</v>
      </c>
    </row>
    <row r="1869" spans="16:20">
      <c r="P1869" s="1094">
        <v>2350</v>
      </c>
      <c r="Q1869" t="s">
        <v>2955</v>
      </c>
      <c r="R1869" t="s">
        <v>248</v>
      </c>
      <c r="S1869">
        <v>151.90615299999999</v>
      </c>
      <c r="T1869" s="1095">
        <v>-30.493397000000002</v>
      </c>
    </row>
    <row r="1870" spans="16:20">
      <c r="P1870" s="1094">
        <v>2350</v>
      </c>
      <c r="Q1870" t="s">
        <v>2956</v>
      </c>
      <c r="R1870" t="s">
        <v>248</v>
      </c>
      <c r="S1870">
        <v>151.90615299999999</v>
      </c>
      <c r="T1870" s="1095">
        <v>-30.493397000000002</v>
      </c>
    </row>
    <row r="1871" spans="16:20">
      <c r="P1871" s="1094">
        <v>2350</v>
      </c>
      <c r="Q1871" t="s">
        <v>2957</v>
      </c>
      <c r="R1871" t="s">
        <v>248</v>
      </c>
      <c r="S1871">
        <v>151.90615299999999</v>
      </c>
      <c r="T1871" s="1095">
        <v>-30.493397000000002</v>
      </c>
    </row>
    <row r="1872" spans="16:20">
      <c r="P1872" s="1094">
        <v>2350</v>
      </c>
      <c r="Q1872" t="s">
        <v>1804</v>
      </c>
      <c r="R1872" t="s">
        <v>248</v>
      </c>
      <c r="S1872">
        <v>151.90615299999999</v>
      </c>
      <c r="T1872" s="1095">
        <v>-30.493397000000002</v>
      </c>
    </row>
    <row r="1873" spans="16:20">
      <c r="P1873" s="1094">
        <v>2350</v>
      </c>
      <c r="Q1873" t="s">
        <v>2958</v>
      </c>
      <c r="R1873" t="s">
        <v>248</v>
      </c>
      <c r="S1873">
        <v>151.90615299999999</v>
      </c>
      <c r="T1873" s="1095">
        <v>-30.493397000000002</v>
      </c>
    </row>
    <row r="1874" spans="16:20">
      <c r="P1874" s="1094">
        <v>2350</v>
      </c>
      <c r="Q1874" t="s">
        <v>2959</v>
      </c>
      <c r="R1874" t="s">
        <v>248</v>
      </c>
      <c r="S1874">
        <v>151.90615299999999</v>
      </c>
      <c r="T1874" s="1095">
        <v>-30.493397000000002</v>
      </c>
    </row>
    <row r="1875" spans="16:20">
      <c r="P1875" s="1094">
        <v>2350</v>
      </c>
      <c r="Q1875" t="s">
        <v>2960</v>
      </c>
      <c r="R1875" t="s">
        <v>248</v>
      </c>
      <c r="S1875">
        <v>151.90615299999999</v>
      </c>
      <c r="T1875" s="1095">
        <v>-30.493397000000002</v>
      </c>
    </row>
    <row r="1876" spans="16:20">
      <c r="P1876" s="1094">
        <v>2350</v>
      </c>
      <c r="Q1876" t="s">
        <v>2961</v>
      </c>
      <c r="R1876" t="s">
        <v>248</v>
      </c>
      <c r="S1876">
        <v>151.90615299999999</v>
      </c>
      <c r="T1876" s="1095">
        <v>-30.493397000000002</v>
      </c>
    </row>
    <row r="1877" spans="16:20">
      <c r="P1877" s="1094">
        <v>2350</v>
      </c>
      <c r="Q1877" t="s">
        <v>2962</v>
      </c>
      <c r="R1877" t="s">
        <v>248</v>
      </c>
      <c r="S1877">
        <v>151.90615299999999</v>
      </c>
      <c r="T1877" s="1095">
        <v>-30.493397000000002</v>
      </c>
    </row>
    <row r="1878" spans="16:20">
      <c r="P1878" s="1094">
        <v>2350</v>
      </c>
      <c r="Q1878" t="s">
        <v>2963</v>
      </c>
      <c r="R1878" t="s">
        <v>248</v>
      </c>
      <c r="S1878">
        <v>151.90615299999999</v>
      </c>
      <c r="T1878" s="1095">
        <v>-30.493397000000002</v>
      </c>
    </row>
    <row r="1879" spans="16:20">
      <c r="P1879" s="1094">
        <v>2350</v>
      </c>
      <c r="Q1879" t="s">
        <v>2964</v>
      </c>
      <c r="R1879" t="s">
        <v>248</v>
      </c>
      <c r="S1879">
        <v>151.90615299999999</v>
      </c>
      <c r="T1879" s="1095">
        <v>-30.493397000000002</v>
      </c>
    </row>
    <row r="1880" spans="16:20">
      <c r="P1880" s="1094">
        <v>2350</v>
      </c>
      <c r="Q1880" t="s">
        <v>2965</v>
      </c>
      <c r="R1880" t="s">
        <v>248</v>
      </c>
      <c r="S1880">
        <v>151.90615299999999</v>
      </c>
      <c r="T1880" s="1095">
        <v>-30.493397000000002</v>
      </c>
    </row>
    <row r="1881" spans="16:20">
      <c r="P1881" s="1094">
        <v>2350</v>
      </c>
      <c r="Q1881" t="s">
        <v>2966</v>
      </c>
      <c r="R1881" t="s">
        <v>248</v>
      </c>
      <c r="S1881">
        <v>151.90615299999999</v>
      </c>
      <c r="T1881" s="1095">
        <v>-30.493397000000002</v>
      </c>
    </row>
    <row r="1882" spans="16:20">
      <c r="P1882" s="1094">
        <v>2350</v>
      </c>
      <c r="Q1882" t="s">
        <v>2967</v>
      </c>
      <c r="R1882" t="s">
        <v>248</v>
      </c>
      <c r="S1882">
        <v>151.90615299999999</v>
      </c>
      <c r="T1882" s="1095">
        <v>-30.493397000000002</v>
      </c>
    </row>
    <row r="1883" spans="16:20">
      <c r="P1883" s="1094">
        <v>2350</v>
      </c>
      <c r="Q1883" t="s">
        <v>2968</v>
      </c>
      <c r="R1883" t="s">
        <v>248</v>
      </c>
      <c r="S1883">
        <v>151.90615299999999</v>
      </c>
      <c r="T1883" s="1095">
        <v>-30.493397000000002</v>
      </c>
    </row>
    <row r="1884" spans="16:20">
      <c r="P1884" s="1094">
        <v>2350</v>
      </c>
      <c r="Q1884" t="s">
        <v>2969</v>
      </c>
      <c r="R1884" t="s">
        <v>248</v>
      </c>
      <c r="S1884">
        <v>151.90615299999999</v>
      </c>
      <c r="T1884" s="1095">
        <v>-30.493397000000002</v>
      </c>
    </row>
    <row r="1885" spans="16:20">
      <c r="P1885" s="1094">
        <v>2350</v>
      </c>
      <c r="Q1885" t="s">
        <v>2970</v>
      </c>
      <c r="R1885" t="s">
        <v>248</v>
      </c>
      <c r="S1885">
        <v>151.90615299999999</v>
      </c>
      <c r="T1885" s="1095">
        <v>-30.493397000000002</v>
      </c>
    </row>
    <row r="1886" spans="16:20">
      <c r="P1886" s="1094">
        <v>2350</v>
      </c>
      <c r="Q1886" t="s">
        <v>2971</v>
      </c>
      <c r="R1886" t="s">
        <v>248</v>
      </c>
      <c r="S1886">
        <v>151.90615299999999</v>
      </c>
      <c r="T1886" s="1095">
        <v>-30.493397000000002</v>
      </c>
    </row>
    <row r="1887" spans="16:20">
      <c r="P1887" s="1094">
        <v>2350</v>
      </c>
      <c r="Q1887" t="s">
        <v>2972</v>
      </c>
      <c r="R1887" t="s">
        <v>248</v>
      </c>
      <c r="S1887">
        <v>151.90615299999999</v>
      </c>
      <c r="T1887" s="1095">
        <v>-30.493397000000002</v>
      </c>
    </row>
    <row r="1888" spans="16:20">
      <c r="P1888" s="1094">
        <v>2350</v>
      </c>
      <c r="Q1888" t="s">
        <v>2973</v>
      </c>
      <c r="R1888" t="s">
        <v>248</v>
      </c>
      <c r="S1888">
        <v>151.90615299999999</v>
      </c>
      <c r="T1888" s="1095">
        <v>-30.493397000000002</v>
      </c>
    </row>
    <row r="1889" spans="16:20">
      <c r="P1889" s="1094">
        <v>2350</v>
      </c>
      <c r="Q1889" t="s">
        <v>2974</v>
      </c>
      <c r="R1889" t="s">
        <v>248</v>
      </c>
      <c r="S1889">
        <v>151.90615299999999</v>
      </c>
      <c r="T1889" s="1095">
        <v>-30.493397000000002</v>
      </c>
    </row>
    <row r="1890" spans="16:20">
      <c r="P1890" s="1094">
        <v>2350</v>
      </c>
      <c r="Q1890" t="s">
        <v>2975</v>
      </c>
      <c r="R1890" t="s">
        <v>248</v>
      </c>
      <c r="S1890">
        <v>151.90615299999999</v>
      </c>
      <c r="T1890" s="1095">
        <v>-30.493397000000002</v>
      </c>
    </row>
    <row r="1891" spans="16:20">
      <c r="P1891" s="1094">
        <v>2350</v>
      </c>
      <c r="Q1891" t="s">
        <v>2976</v>
      </c>
      <c r="R1891" t="s">
        <v>248</v>
      </c>
      <c r="S1891">
        <v>151.90615299999999</v>
      </c>
      <c r="T1891" s="1095">
        <v>-30.493397000000002</v>
      </c>
    </row>
    <row r="1892" spans="16:20">
      <c r="P1892" s="1094">
        <v>2350</v>
      </c>
      <c r="Q1892" t="s">
        <v>2977</v>
      </c>
      <c r="R1892" t="s">
        <v>248</v>
      </c>
      <c r="S1892">
        <v>151.90615299999999</v>
      </c>
      <c r="T1892" s="1095">
        <v>-30.493397000000002</v>
      </c>
    </row>
    <row r="1893" spans="16:20">
      <c r="P1893" s="1094">
        <v>2350</v>
      </c>
      <c r="Q1893" t="s">
        <v>2978</v>
      </c>
      <c r="R1893" t="s">
        <v>248</v>
      </c>
      <c r="S1893">
        <v>151.90615299999999</v>
      </c>
      <c r="T1893" s="1095">
        <v>-30.493397000000002</v>
      </c>
    </row>
    <row r="1894" spans="16:20">
      <c r="P1894" s="1094">
        <v>2351</v>
      </c>
      <c r="Q1894" t="s">
        <v>2979</v>
      </c>
      <c r="R1894" t="s">
        <v>248</v>
      </c>
      <c r="S1894">
        <v>151.63962699999999</v>
      </c>
      <c r="T1894" s="1095">
        <v>-30.489128999999998</v>
      </c>
    </row>
    <row r="1895" spans="16:20">
      <c r="P1895" s="1094">
        <v>2352</v>
      </c>
      <c r="Q1895" t="s">
        <v>2980</v>
      </c>
      <c r="R1895" t="s">
        <v>248</v>
      </c>
      <c r="S1895">
        <v>151.24618899999999</v>
      </c>
      <c r="T1895" s="1095">
        <v>-31.088118999999999</v>
      </c>
    </row>
    <row r="1896" spans="16:20">
      <c r="P1896" s="1094">
        <v>2352</v>
      </c>
      <c r="Q1896" t="s">
        <v>2981</v>
      </c>
      <c r="R1896" t="s">
        <v>248</v>
      </c>
      <c r="S1896">
        <v>151.24618899999999</v>
      </c>
      <c r="T1896" s="1095">
        <v>-31.088118999999999</v>
      </c>
    </row>
    <row r="1897" spans="16:20">
      <c r="P1897" s="1094">
        <v>2352</v>
      </c>
      <c r="Q1897" t="s">
        <v>2982</v>
      </c>
      <c r="R1897" t="s">
        <v>248</v>
      </c>
      <c r="S1897">
        <v>151.24618899999999</v>
      </c>
      <c r="T1897" s="1095">
        <v>-31.088118999999999</v>
      </c>
    </row>
    <row r="1898" spans="16:20">
      <c r="P1898" s="1094">
        <v>2352</v>
      </c>
      <c r="Q1898" t="s">
        <v>2983</v>
      </c>
      <c r="R1898" t="s">
        <v>248</v>
      </c>
      <c r="S1898">
        <v>151.24618899999999</v>
      </c>
      <c r="T1898" s="1095">
        <v>-31.088118999999999</v>
      </c>
    </row>
    <row r="1899" spans="16:20">
      <c r="P1899" s="1094">
        <v>2353</v>
      </c>
      <c r="Q1899" t="s">
        <v>2984</v>
      </c>
      <c r="R1899" t="s">
        <v>248</v>
      </c>
      <c r="S1899">
        <v>151.095609</v>
      </c>
      <c r="T1899" s="1095">
        <v>-30.973618999999999</v>
      </c>
    </row>
    <row r="1900" spans="16:20">
      <c r="P1900" s="1094">
        <v>2354</v>
      </c>
      <c r="Q1900" t="s">
        <v>2985</v>
      </c>
      <c r="R1900" t="s">
        <v>248</v>
      </c>
      <c r="S1900">
        <v>151.76262700000001</v>
      </c>
      <c r="T1900" s="1095">
        <v>-31.145897999999999</v>
      </c>
    </row>
    <row r="1901" spans="16:20">
      <c r="P1901" s="1094">
        <v>2354</v>
      </c>
      <c r="Q1901" t="s">
        <v>2986</v>
      </c>
      <c r="R1901" t="s">
        <v>248</v>
      </c>
      <c r="S1901">
        <v>151.76262700000001</v>
      </c>
      <c r="T1901" s="1095">
        <v>-31.145897999999999</v>
      </c>
    </row>
    <row r="1902" spans="16:20">
      <c r="P1902" s="1094">
        <v>2354</v>
      </c>
      <c r="Q1902" t="s">
        <v>2987</v>
      </c>
      <c r="R1902" t="s">
        <v>248</v>
      </c>
      <c r="S1902">
        <v>151.76262700000001</v>
      </c>
      <c r="T1902" s="1095">
        <v>-31.145897999999999</v>
      </c>
    </row>
    <row r="1903" spans="16:20">
      <c r="P1903" s="1094">
        <v>2354</v>
      </c>
      <c r="Q1903" t="s">
        <v>2988</v>
      </c>
      <c r="R1903" t="s">
        <v>248</v>
      </c>
      <c r="S1903">
        <v>151.76262700000001</v>
      </c>
      <c r="T1903" s="1095">
        <v>-31.145897999999999</v>
      </c>
    </row>
    <row r="1904" spans="16:20">
      <c r="P1904" s="1094">
        <v>2354</v>
      </c>
      <c r="Q1904" t="s">
        <v>2989</v>
      </c>
      <c r="R1904" t="s">
        <v>248</v>
      </c>
      <c r="S1904">
        <v>151.76262700000001</v>
      </c>
      <c r="T1904" s="1095">
        <v>-31.145897999999999</v>
      </c>
    </row>
    <row r="1905" spans="16:20">
      <c r="P1905" s="1094">
        <v>2354</v>
      </c>
      <c r="Q1905" t="s">
        <v>2990</v>
      </c>
      <c r="R1905" t="s">
        <v>248</v>
      </c>
      <c r="S1905">
        <v>151.76262700000001</v>
      </c>
      <c r="T1905" s="1095">
        <v>-31.145897999999999</v>
      </c>
    </row>
    <row r="1906" spans="16:20">
      <c r="P1906" s="1094">
        <v>2354</v>
      </c>
      <c r="Q1906" t="s">
        <v>2991</v>
      </c>
      <c r="R1906" t="s">
        <v>248</v>
      </c>
      <c r="S1906">
        <v>151.76262700000001</v>
      </c>
      <c r="T1906" s="1095">
        <v>-31.145897999999999</v>
      </c>
    </row>
    <row r="1907" spans="16:20">
      <c r="P1907" s="1094">
        <v>2354</v>
      </c>
      <c r="Q1907" t="s">
        <v>2992</v>
      </c>
      <c r="R1907" t="s">
        <v>248</v>
      </c>
      <c r="S1907">
        <v>151.76262700000001</v>
      </c>
      <c r="T1907" s="1095">
        <v>-31.145897999999999</v>
      </c>
    </row>
    <row r="1908" spans="16:20">
      <c r="P1908" s="1094">
        <v>2354</v>
      </c>
      <c r="Q1908" t="s">
        <v>2993</v>
      </c>
      <c r="R1908" t="s">
        <v>248</v>
      </c>
      <c r="S1908">
        <v>151.76262700000001</v>
      </c>
      <c r="T1908" s="1095">
        <v>-31.145897999999999</v>
      </c>
    </row>
    <row r="1909" spans="16:20">
      <c r="P1909" s="1094">
        <v>2354</v>
      </c>
      <c r="Q1909" t="s">
        <v>2994</v>
      </c>
      <c r="R1909" t="s">
        <v>248</v>
      </c>
      <c r="S1909">
        <v>151.76262700000001</v>
      </c>
      <c r="T1909" s="1095">
        <v>-31.145897999999999</v>
      </c>
    </row>
    <row r="1910" spans="16:20">
      <c r="P1910" s="1094">
        <v>2354</v>
      </c>
      <c r="Q1910" t="s">
        <v>2995</v>
      </c>
      <c r="R1910" t="s">
        <v>248</v>
      </c>
      <c r="S1910">
        <v>151.76262700000001</v>
      </c>
      <c r="T1910" s="1095">
        <v>-31.145897999999999</v>
      </c>
    </row>
    <row r="1911" spans="16:20">
      <c r="P1911" s="1094">
        <v>2355</v>
      </c>
      <c r="Q1911" t="s">
        <v>2996</v>
      </c>
      <c r="R1911" t="s">
        <v>248</v>
      </c>
      <c r="S1911">
        <v>151.154222</v>
      </c>
      <c r="T1911" s="1095">
        <v>-30.775229</v>
      </c>
    </row>
    <row r="1912" spans="16:20">
      <c r="P1912" s="1094">
        <v>2355</v>
      </c>
      <c r="Q1912" t="s">
        <v>2997</v>
      </c>
      <c r="R1912" t="s">
        <v>248</v>
      </c>
      <c r="S1912">
        <v>151.154222</v>
      </c>
      <c r="T1912" s="1095">
        <v>-30.775229</v>
      </c>
    </row>
    <row r="1913" spans="16:20">
      <c r="P1913" s="1094">
        <v>2355</v>
      </c>
      <c r="Q1913" t="s">
        <v>2998</v>
      </c>
      <c r="R1913" t="s">
        <v>248</v>
      </c>
      <c r="S1913">
        <v>151.154222</v>
      </c>
      <c r="T1913" s="1095">
        <v>-30.775229</v>
      </c>
    </row>
    <row r="1914" spans="16:20">
      <c r="P1914" s="1094">
        <v>2356</v>
      </c>
      <c r="Q1914" t="s">
        <v>2999</v>
      </c>
      <c r="R1914" t="s">
        <v>248</v>
      </c>
      <c r="S1914">
        <v>0</v>
      </c>
      <c r="T1914" s="1095">
        <v>0</v>
      </c>
    </row>
    <row r="1915" spans="16:20">
      <c r="P1915" s="1094">
        <v>2357</v>
      </c>
      <c r="Q1915" t="s">
        <v>3000</v>
      </c>
      <c r="R1915" t="s">
        <v>248</v>
      </c>
      <c r="S1915">
        <v>149.26387399999999</v>
      </c>
      <c r="T1915" s="1095">
        <v>-31.193339000000002</v>
      </c>
    </row>
    <row r="1916" spans="16:20">
      <c r="P1916" s="1094">
        <v>2357</v>
      </c>
      <c r="Q1916" t="s">
        <v>3001</v>
      </c>
      <c r="R1916" t="s">
        <v>248</v>
      </c>
      <c r="S1916">
        <v>149.26387399999999</v>
      </c>
      <c r="T1916" s="1095">
        <v>-31.193339000000002</v>
      </c>
    </row>
    <row r="1917" spans="16:20">
      <c r="P1917" s="1094">
        <v>2357</v>
      </c>
      <c r="Q1917" t="s">
        <v>3002</v>
      </c>
      <c r="R1917" t="s">
        <v>248</v>
      </c>
      <c r="S1917">
        <v>149.26387399999999</v>
      </c>
      <c r="T1917" s="1095">
        <v>-31.193339000000002</v>
      </c>
    </row>
    <row r="1918" spans="16:20">
      <c r="P1918" s="1094">
        <v>2357</v>
      </c>
      <c r="Q1918" t="s">
        <v>3003</v>
      </c>
      <c r="R1918" t="s">
        <v>248</v>
      </c>
      <c r="S1918">
        <v>149.26387399999999</v>
      </c>
      <c r="T1918" s="1095">
        <v>-31.193339000000002</v>
      </c>
    </row>
    <row r="1919" spans="16:20">
      <c r="P1919" s="1094">
        <v>2357</v>
      </c>
      <c r="Q1919" t="s">
        <v>3004</v>
      </c>
      <c r="R1919" t="s">
        <v>248</v>
      </c>
      <c r="S1919">
        <v>149.26387399999999</v>
      </c>
      <c r="T1919" s="1095">
        <v>-31.193339000000002</v>
      </c>
    </row>
    <row r="1920" spans="16:20">
      <c r="P1920" s="1094">
        <v>2357</v>
      </c>
      <c r="Q1920" t="s">
        <v>3005</v>
      </c>
      <c r="R1920" t="s">
        <v>248</v>
      </c>
      <c r="S1920">
        <v>149.26387399999999</v>
      </c>
      <c r="T1920" s="1095">
        <v>-31.193339000000002</v>
      </c>
    </row>
    <row r="1921" spans="16:20">
      <c r="P1921" s="1094">
        <v>2358</v>
      </c>
      <c r="Q1921" t="s">
        <v>3006</v>
      </c>
      <c r="R1921" t="s">
        <v>248</v>
      </c>
      <c r="S1921">
        <v>151.29751899999999</v>
      </c>
      <c r="T1921" s="1095">
        <v>-30.540296999999999</v>
      </c>
    </row>
    <row r="1922" spans="16:20">
      <c r="P1922" s="1094">
        <v>2358</v>
      </c>
      <c r="Q1922" t="s">
        <v>3007</v>
      </c>
      <c r="R1922" t="s">
        <v>248</v>
      </c>
      <c r="S1922">
        <v>151.29751899999999</v>
      </c>
      <c r="T1922" s="1095">
        <v>-30.540296999999999</v>
      </c>
    </row>
    <row r="1923" spans="16:20">
      <c r="P1923" s="1094">
        <v>2358</v>
      </c>
      <c r="Q1923" t="s">
        <v>3008</v>
      </c>
      <c r="R1923" t="s">
        <v>248</v>
      </c>
      <c r="S1923">
        <v>151.29751899999999</v>
      </c>
      <c r="T1923" s="1095">
        <v>-30.540296999999999</v>
      </c>
    </row>
    <row r="1924" spans="16:20">
      <c r="P1924" s="1094">
        <v>2358</v>
      </c>
      <c r="Q1924" t="s">
        <v>1804</v>
      </c>
      <c r="R1924" t="s">
        <v>248</v>
      </c>
      <c r="S1924">
        <v>151.29751899999999</v>
      </c>
      <c r="T1924" s="1095">
        <v>-30.540296999999999</v>
      </c>
    </row>
    <row r="1925" spans="16:20">
      <c r="P1925" s="1094">
        <v>2358</v>
      </c>
      <c r="Q1925" t="s">
        <v>3009</v>
      </c>
      <c r="R1925" t="s">
        <v>248</v>
      </c>
      <c r="S1925">
        <v>151.29751899999999</v>
      </c>
      <c r="T1925" s="1095">
        <v>-30.540296999999999</v>
      </c>
    </row>
    <row r="1926" spans="16:20">
      <c r="P1926" s="1094">
        <v>2358</v>
      </c>
      <c r="Q1926" t="s">
        <v>3010</v>
      </c>
      <c r="R1926" t="s">
        <v>248</v>
      </c>
      <c r="S1926">
        <v>151.29751899999999</v>
      </c>
      <c r="T1926" s="1095">
        <v>-30.540296999999999</v>
      </c>
    </row>
    <row r="1927" spans="16:20">
      <c r="P1927" s="1094">
        <v>2358</v>
      </c>
      <c r="Q1927" t="s">
        <v>3011</v>
      </c>
      <c r="R1927" t="s">
        <v>248</v>
      </c>
      <c r="S1927">
        <v>151.29751899999999</v>
      </c>
      <c r="T1927" s="1095">
        <v>-30.540296999999999</v>
      </c>
    </row>
    <row r="1928" spans="16:20">
      <c r="P1928" s="1094">
        <v>2358</v>
      </c>
      <c r="Q1928" t="s">
        <v>3012</v>
      </c>
      <c r="R1928" t="s">
        <v>248</v>
      </c>
      <c r="S1928">
        <v>151.29751899999999</v>
      </c>
      <c r="T1928" s="1095">
        <v>-30.540296999999999</v>
      </c>
    </row>
    <row r="1929" spans="16:20">
      <c r="P1929" s="1094">
        <v>2358</v>
      </c>
      <c r="Q1929" t="s">
        <v>3013</v>
      </c>
      <c r="R1929" t="s">
        <v>248</v>
      </c>
      <c r="S1929">
        <v>151.29751899999999</v>
      </c>
      <c r="T1929" s="1095">
        <v>-30.540296999999999</v>
      </c>
    </row>
    <row r="1930" spans="16:20">
      <c r="P1930" s="1094">
        <v>2358</v>
      </c>
      <c r="Q1930" t="s">
        <v>3014</v>
      </c>
      <c r="R1930" t="s">
        <v>248</v>
      </c>
      <c r="S1930">
        <v>151.29751899999999</v>
      </c>
      <c r="T1930" s="1095">
        <v>-30.540296999999999</v>
      </c>
    </row>
    <row r="1931" spans="16:20">
      <c r="P1931" s="1094">
        <v>2358</v>
      </c>
      <c r="Q1931" t="s">
        <v>3015</v>
      </c>
      <c r="R1931" t="s">
        <v>248</v>
      </c>
      <c r="S1931">
        <v>151.29751899999999</v>
      </c>
      <c r="T1931" s="1095">
        <v>-30.540296999999999</v>
      </c>
    </row>
    <row r="1932" spans="16:20">
      <c r="P1932" s="1094">
        <v>2358</v>
      </c>
      <c r="Q1932" t="s">
        <v>3016</v>
      </c>
      <c r="R1932" t="s">
        <v>248</v>
      </c>
      <c r="S1932">
        <v>151.29751899999999</v>
      </c>
      <c r="T1932" s="1095">
        <v>-30.540296999999999</v>
      </c>
    </row>
    <row r="1933" spans="16:20">
      <c r="P1933" s="1094">
        <v>2359</v>
      </c>
      <c r="Q1933" t="s">
        <v>3017</v>
      </c>
      <c r="R1933" t="s">
        <v>248</v>
      </c>
      <c r="S1933">
        <v>151.00112200000001</v>
      </c>
      <c r="T1933" s="1095">
        <v>-30.140505000000001</v>
      </c>
    </row>
    <row r="1934" spans="16:20">
      <c r="P1934" s="1094">
        <v>2359</v>
      </c>
      <c r="Q1934" t="s">
        <v>3018</v>
      </c>
      <c r="R1934" t="s">
        <v>248</v>
      </c>
      <c r="S1934">
        <v>151.00112200000001</v>
      </c>
      <c r="T1934" s="1095">
        <v>-30.140505000000001</v>
      </c>
    </row>
    <row r="1935" spans="16:20">
      <c r="P1935" s="1094">
        <v>2360</v>
      </c>
      <c r="Q1935" t="s">
        <v>3019</v>
      </c>
      <c r="R1935" t="s">
        <v>248</v>
      </c>
      <c r="S1935">
        <v>151.162025</v>
      </c>
      <c r="T1935" s="1095">
        <v>-29.630051999999999</v>
      </c>
    </row>
    <row r="1936" spans="16:20">
      <c r="P1936" s="1094">
        <v>2360</v>
      </c>
      <c r="Q1936" t="s">
        <v>3020</v>
      </c>
      <c r="R1936" t="s">
        <v>248</v>
      </c>
      <c r="S1936">
        <v>151.162025</v>
      </c>
      <c r="T1936" s="1095">
        <v>-29.630051999999999</v>
      </c>
    </row>
    <row r="1937" spans="16:20">
      <c r="P1937" s="1094">
        <v>2360</v>
      </c>
      <c r="Q1937" t="s">
        <v>3021</v>
      </c>
      <c r="R1937" t="s">
        <v>248</v>
      </c>
      <c r="S1937">
        <v>151.162025</v>
      </c>
      <c r="T1937" s="1095">
        <v>-29.630051999999999</v>
      </c>
    </row>
    <row r="1938" spans="16:20">
      <c r="P1938" s="1094">
        <v>2360</v>
      </c>
      <c r="Q1938" t="s">
        <v>3022</v>
      </c>
      <c r="R1938" t="s">
        <v>248</v>
      </c>
      <c r="S1938">
        <v>151.162025</v>
      </c>
      <c r="T1938" s="1095">
        <v>-29.630051999999999</v>
      </c>
    </row>
    <row r="1939" spans="16:20">
      <c r="P1939" s="1094">
        <v>2360</v>
      </c>
      <c r="Q1939" t="s">
        <v>3023</v>
      </c>
      <c r="R1939" t="s">
        <v>248</v>
      </c>
      <c r="S1939">
        <v>151.162025</v>
      </c>
      <c r="T1939" s="1095">
        <v>-29.630051999999999</v>
      </c>
    </row>
    <row r="1940" spans="16:20">
      <c r="P1940" s="1094">
        <v>2360</v>
      </c>
      <c r="Q1940" t="s">
        <v>3024</v>
      </c>
      <c r="R1940" t="s">
        <v>248</v>
      </c>
      <c r="S1940">
        <v>151.162025</v>
      </c>
      <c r="T1940" s="1095">
        <v>-29.630051999999999</v>
      </c>
    </row>
    <row r="1941" spans="16:20">
      <c r="P1941" s="1094">
        <v>2360</v>
      </c>
      <c r="Q1941" t="s">
        <v>3025</v>
      </c>
      <c r="R1941" t="s">
        <v>248</v>
      </c>
      <c r="S1941">
        <v>151.162025</v>
      </c>
      <c r="T1941" s="1095">
        <v>-29.630051999999999</v>
      </c>
    </row>
    <row r="1942" spans="16:20">
      <c r="P1942" s="1094">
        <v>2360</v>
      </c>
      <c r="Q1942" t="s">
        <v>3026</v>
      </c>
      <c r="R1942" t="s">
        <v>248</v>
      </c>
      <c r="S1942">
        <v>151.162025</v>
      </c>
      <c r="T1942" s="1095">
        <v>-29.630051999999999</v>
      </c>
    </row>
    <row r="1943" spans="16:20">
      <c r="P1943" s="1094">
        <v>2360</v>
      </c>
      <c r="Q1943" t="s">
        <v>3027</v>
      </c>
      <c r="R1943" t="s">
        <v>248</v>
      </c>
      <c r="S1943">
        <v>151.162025</v>
      </c>
      <c r="T1943" s="1095">
        <v>-29.630051999999999</v>
      </c>
    </row>
    <row r="1944" spans="16:20">
      <c r="P1944" s="1094">
        <v>2360</v>
      </c>
      <c r="Q1944" t="s">
        <v>3028</v>
      </c>
      <c r="R1944" t="s">
        <v>248</v>
      </c>
      <c r="S1944">
        <v>151.162025</v>
      </c>
      <c r="T1944" s="1095">
        <v>-29.630051999999999</v>
      </c>
    </row>
    <row r="1945" spans="16:20">
      <c r="P1945" s="1094">
        <v>2360</v>
      </c>
      <c r="Q1945" t="s">
        <v>3029</v>
      </c>
      <c r="R1945" t="s">
        <v>248</v>
      </c>
      <c r="S1945">
        <v>151.162025</v>
      </c>
      <c r="T1945" s="1095">
        <v>-29.630051999999999</v>
      </c>
    </row>
    <row r="1946" spans="16:20">
      <c r="P1946" s="1094">
        <v>2360</v>
      </c>
      <c r="Q1946" t="s">
        <v>3030</v>
      </c>
      <c r="R1946" t="s">
        <v>248</v>
      </c>
      <c r="S1946">
        <v>151.162025</v>
      </c>
      <c r="T1946" s="1095">
        <v>-29.630051999999999</v>
      </c>
    </row>
    <row r="1947" spans="16:20">
      <c r="P1947" s="1094">
        <v>2360</v>
      </c>
      <c r="Q1947" t="s">
        <v>3031</v>
      </c>
      <c r="R1947" t="s">
        <v>248</v>
      </c>
      <c r="S1947">
        <v>151.162025</v>
      </c>
      <c r="T1947" s="1095">
        <v>-29.630051999999999</v>
      </c>
    </row>
    <row r="1948" spans="16:20">
      <c r="P1948" s="1094">
        <v>2360</v>
      </c>
      <c r="Q1948" t="s">
        <v>3032</v>
      </c>
      <c r="R1948" t="s">
        <v>248</v>
      </c>
      <c r="S1948">
        <v>151.162025</v>
      </c>
      <c r="T1948" s="1095">
        <v>-29.630051999999999</v>
      </c>
    </row>
    <row r="1949" spans="16:20">
      <c r="P1949" s="1094">
        <v>2360</v>
      </c>
      <c r="Q1949" t="s">
        <v>3033</v>
      </c>
      <c r="R1949" t="s">
        <v>248</v>
      </c>
      <c r="S1949">
        <v>151.162025</v>
      </c>
      <c r="T1949" s="1095">
        <v>-29.630051999999999</v>
      </c>
    </row>
    <row r="1950" spans="16:20">
      <c r="P1950" s="1094">
        <v>2360</v>
      </c>
      <c r="Q1950" t="s">
        <v>3034</v>
      </c>
      <c r="R1950" t="s">
        <v>248</v>
      </c>
      <c r="S1950">
        <v>151.162025</v>
      </c>
      <c r="T1950" s="1095">
        <v>-29.630051999999999</v>
      </c>
    </row>
    <row r="1951" spans="16:20">
      <c r="P1951" s="1094">
        <v>2360</v>
      </c>
      <c r="Q1951" t="s">
        <v>3035</v>
      </c>
      <c r="R1951" t="s">
        <v>248</v>
      </c>
      <c r="S1951">
        <v>151.162025</v>
      </c>
      <c r="T1951" s="1095">
        <v>-29.630051999999999</v>
      </c>
    </row>
    <row r="1952" spans="16:20">
      <c r="P1952" s="1094">
        <v>2360</v>
      </c>
      <c r="Q1952" t="s">
        <v>3036</v>
      </c>
      <c r="R1952" t="s">
        <v>248</v>
      </c>
      <c r="S1952">
        <v>151.162025</v>
      </c>
      <c r="T1952" s="1095">
        <v>-29.630051999999999</v>
      </c>
    </row>
    <row r="1953" spans="16:20">
      <c r="P1953" s="1094">
        <v>2360</v>
      </c>
      <c r="Q1953" t="s">
        <v>3037</v>
      </c>
      <c r="R1953" t="s">
        <v>248</v>
      </c>
      <c r="S1953">
        <v>151.162025</v>
      </c>
      <c r="T1953" s="1095">
        <v>-29.630051999999999</v>
      </c>
    </row>
    <row r="1954" spans="16:20">
      <c r="P1954" s="1094">
        <v>2360</v>
      </c>
      <c r="Q1954" t="s">
        <v>3038</v>
      </c>
      <c r="R1954" t="s">
        <v>248</v>
      </c>
      <c r="S1954">
        <v>151.162025</v>
      </c>
      <c r="T1954" s="1095">
        <v>-29.630051999999999</v>
      </c>
    </row>
    <row r="1955" spans="16:20">
      <c r="P1955" s="1094">
        <v>2360</v>
      </c>
      <c r="Q1955" t="s">
        <v>3039</v>
      </c>
      <c r="R1955" t="s">
        <v>248</v>
      </c>
      <c r="S1955">
        <v>151.162025</v>
      </c>
      <c r="T1955" s="1095">
        <v>-29.630051999999999</v>
      </c>
    </row>
    <row r="1956" spans="16:20">
      <c r="P1956" s="1094">
        <v>2360</v>
      </c>
      <c r="Q1956" t="s">
        <v>3040</v>
      </c>
      <c r="R1956" t="s">
        <v>248</v>
      </c>
      <c r="S1956">
        <v>151.162025</v>
      </c>
      <c r="T1956" s="1095">
        <v>-29.630051999999999</v>
      </c>
    </row>
    <row r="1957" spans="16:20">
      <c r="P1957" s="1094">
        <v>2360</v>
      </c>
      <c r="Q1957" t="s">
        <v>3041</v>
      </c>
      <c r="R1957" t="s">
        <v>248</v>
      </c>
      <c r="S1957">
        <v>151.162025</v>
      </c>
      <c r="T1957" s="1095">
        <v>-29.630051999999999</v>
      </c>
    </row>
    <row r="1958" spans="16:20">
      <c r="P1958" s="1094">
        <v>2360</v>
      </c>
      <c r="Q1958" t="s">
        <v>3042</v>
      </c>
      <c r="R1958" t="s">
        <v>248</v>
      </c>
      <c r="S1958">
        <v>151.162025</v>
      </c>
      <c r="T1958" s="1095">
        <v>-29.630051999999999</v>
      </c>
    </row>
    <row r="1959" spans="16:20">
      <c r="P1959" s="1094">
        <v>2361</v>
      </c>
      <c r="Q1959" t="s">
        <v>3043</v>
      </c>
      <c r="R1959" t="s">
        <v>248</v>
      </c>
      <c r="S1959">
        <v>151.141751</v>
      </c>
      <c r="T1959" s="1095">
        <v>-29.198492999999999</v>
      </c>
    </row>
    <row r="1960" spans="16:20">
      <c r="P1960" s="1094">
        <v>2361</v>
      </c>
      <c r="Q1960" t="s">
        <v>3044</v>
      </c>
      <c r="R1960" t="s">
        <v>248</v>
      </c>
      <c r="S1960">
        <v>151.141751</v>
      </c>
      <c r="T1960" s="1095">
        <v>-29.198492999999999</v>
      </c>
    </row>
    <row r="1961" spans="16:20">
      <c r="P1961" s="1094">
        <v>2361</v>
      </c>
      <c r="Q1961" t="s">
        <v>3045</v>
      </c>
      <c r="R1961" t="s">
        <v>248</v>
      </c>
      <c r="S1961">
        <v>151.141751</v>
      </c>
      <c r="T1961" s="1095">
        <v>-29.198492999999999</v>
      </c>
    </row>
    <row r="1962" spans="16:20">
      <c r="P1962" s="1094">
        <v>2361</v>
      </c>
      <c r="Q1962" t="s">
        <v>3046</v>
      </c>
      <c r="R1962" t="s">
        <v>248</v>
      </c>
      <c r="S1962">
        <v>151.141751</v>
      </c>
      <c r="T1962" s="1095">
        <v>-29.198492999999999</v>
      </c>
    </row>
    <row r="1963" spans="16:20">
      <c r="P1963" s="1094">
        <v>2361</v>
      </c>
      <c r="Q1963" t="s">
        <v>3047</v>
      </c>
      <c r="R1963" t="s">
        <v>248</v>
      </c>
      <c r="S1963">
        <v>151.141751</v>
      </c>
      <c r="T1963" s="1095">
        <v>-29.198492999999999</v>
      </c>
    </row>
    <row r="1964" spans="16:20">
      <c r="P1964" s="1094">
        <v>2365</v>
      </c>
      <c r="Q1964" t="s">
        <v>3048</v>
      </c>
      <c r="R1964" t="s">
        <v>248</v>
      </c>
      <c r="S1964">
        <v>151.67302799999999</v>
      </c>
      <c r="T1964" s="1095">
        <v>-30.115912999999999</v>
      </c>
    </row>
    <row r="1965" spans="16:20">
      <c r="P1965" s="1094">
        <v>2365</v>
      </c>
      <c r="Q1965" t="s">
        <v>3049</v>
      </c>
      <c r="R1965" t="s">
        <v>248</v>
      </c>
      <c r="S1965">
        <v>151.67302799999999</v>
      </c>
      <c r="T1965" s="1095">
        <v>-30.115912999999999</v>
      </c>
    </row>
    <row r="1966" spans="16:20">
      <c r="P1966" s="1094">
        <v>2365</v>
      </c>
      <c r="Q1966" t="s">
        <v>3050</v>
      </c>
      <c r="R1966" t="s">
        <v>248</v>
      </c>
      <c r="S1966">
        <v>151.67302799999999</v>
      </c>
      <c r="T1966" s="1095">
        <v>-30.115912999999999</v>
      </c>
    </row>
    <row r="1967" spans="16:20">
      <c r="P1967" s="1094">
        <v>2365</v>
      </c>
      <c r="Q1967" t="s">
        <v>3051</v>
      </c>
      <c r="R1967" t="s">
        <v>248</v>
      </c>
      <c r="S1967">
        <v>151.67302799999999</v>
      </c>
      <c r="T1967" s="1095">
        <v>-30.115912999999999</v>
      </c>
    </row>
    <row r="1968" spans="16:20">
      <c r="P1968" s="1094">
        <v>2365</v>
      </c>
      <c r="Q1968" t="s">
        <v>3052</v>
      </c>
      <c r="R1968" t="s">
        <v>248</v>
      </c>
      <c r="S1968">
        <v>151.67302799999999</v>
      </c>
      <c r="T1968" s="1095">
        <v>-30.115912999999999</v>
      </c>
    </row>
    <row r="1969" spans="16:20">
      <c r="P1969" s="1094">
        <v>2365</v>
      </c>
      <c r="Q1969" t="s">
        <v>3053</v>
      </c>
      <c r="R1969" t="s">
        <v>248</v>
      </c>
      <c r="S1969">
        <v>151.67302799999999</v>
      </c>
      <c r="T1969" s="1095">
        <v>-30.115912999999999</v>
      </c>
    </row>
    <row r="1970" spans="16:20">
      <c r="P1970" s="1094">
        <v>2365</v>
      </c>
      <c r="Q1970" t="s">
        <v>2950</v>
      </c>
      <c r="R1970" t="s">
        <v>248</v>
      </c>
      <c r="S1970">
        <v>151.67302799999999</v>
      </c>
      <c r="T1970" s="1095">
        <v>-30.115912999999999</v>
      </c>
    </row>
    <row r="1971" spans="16:20">
      <c r="P1971" s="1094">
        <v>2365</v>
      </c>
      <c r="Q1971" t="s">
        <v>3054</v>
      </c>
      <c r="R1971" t="s">
        <v>248</v>
      </c>
      <c r="S1971">
        <v>151.67302799999999</v>
      </c>
      <c r="T1971" s="1095">
        <v>-30.115912999999999</v>
      </c>
    </row>
    <row r="1972" spans="16:20">
      <c r="P1972" s="1094">
        <v>2365</v>
      </c>
      <c r="Q1972" t="s">
        <v>3055</v>
      </c>
      <c r="R1972" t="s">
        <v>248</v>
      </c>
      <c r="S1972">
        <v>151.67302799999999</v>
      </c>
      <c r="T1972" s="1095">
        <v>-30.115912999999999</v>
      </c>
    </row>
    <row r="1973" spans="16:20">
      <c r="P1973" s="1094">
        <v>2365</v>
      </c>
      <c r="Q1973" t="s">
        <v>3056</v>
      </c>
      <c r="R1973" t="s">
        <v>248</v>
      </c>
      <c r="S1973">
        <v>151.67302799999999</v>
      </c>
      <c r="T1973" s="1095">
        <v>-30.115912999999999</v>
      </c>
    </row>
    <row r="1974" spans="16:20">
      <c r="P1974" s="1094">
        <v>2365</v>
      </c>
      <c r="Q1974" t="s">
        <v>3057</v>
      </c>
      <c r="R1974" t="s">
        <v>248</v>
      </c>
      <c r="S1974">
        <v>151.67302799999999</v>
      </c>
      <c r="T1974" s="1095">
        <v>-30.115912999999999</v>
      </c>
    </row>
    <row r="1975" spans="16:20">
      <c r="P1975" s="1094">
        <v>2365</v>
      </c>
      <c r="Q1975" t="s">
        <v>3058</v>
      </c>
      <c r="R1975" t="s">
        <v>248</v>
      </c>
      <c r="S1975">
        <v>151.67302799999999</v>
      </c>
      <c r="T1975" s="1095">
        <v>-30.115912999999999</v>
      </c>
    </row>
    <row r="1976" spans="16:20">
      <c r="P1976" s="1094">
        <v>2365</v>
      </c>
      <c r="Q1976" t="s">
        <v>3059</v>
      </c>
      <c r="R1976" t="s">
        <v>248</v>
      </c>
      <c r="S1976">
        <v>151.67302799999999</v>
      </c>
      <c r="T1976" s="1095">
        <v>-30.115912999999999</v>
      </c>
    </row>
    <row r="1977" spans="16:20">
      <c r="P1977" s="1094">
        <v>2365</v>
      </c>
      <c r="Q1977" t="s">
        <v>3060</v>
      </c>
      <c r="R1977" t="s">
        <v>248</v>
      </c>
      <c r="S1977">
        <v>151.67302799999999</v>
      </c>
      <c r="T1977" s="1095">
        <v>-30.115912999999999</v>
      </c>
    </row>
    <row r="1978" spans="16:20">
      <c r="P1978" s="1094">
        <v>2365</v>
      </c>
      <c r="Q1978" t="s">
        <v>3061</v>
      </c>
      <c r="R1978" t="s">
        <v>248</v>
      </c>
      <c r="S1978">
        <v>151.67302799999999</v>
      </c>
      <c r="T1978" s="1095">
        <v>-30.115912999999999</v>
      </c>
    </row>
    <row r="1979" spans="16:20">
      <c r="P1979" s="1094">
        <v>2365</v>
      </c>
      <c r="Q1979" t="s">
        <v>3062</v>
      </c>
      <c r="R1979" t="s">
        <v>248</v>
      </c>
      <c r="S1979">
        <v>151.67302799999999</v>
      </c>
      <c r="T1979" s="1095">
        <v>-30.115912999999999</v>
      </c>
    </row>
    <row r="1980" spans="16:20">
      <c r="P1980" s="1094">
        <v>2365</v>
      </c>
      <c r="Q1980" t="s">
        <v>3063</v>
      </c>
      <c r="R1980" t="s">
        <v>248</v>
      </c>
      <c r="S1980">
        <v>151.67302799999999</v>
      </c>
      <c r="T1980" s="1095">
        <v>-30.115912999999999</v>
      </c>
    </row>
    <row r="1981" spans="16:20">
      <c r="P1981" s="1094">
        <v>2365</v>
      </c>
      <c r="Q1981" t="s">
        <v>3064</v>
      </c>
      <c r="R1981" t="s">
        <v>248</v>
      </c>
      <c r="S1981">
        <v>151.67302799999999</v>
      </c>
      <c r="T1981" s="1095">
        <v>-30.115912999999999</v>
      </c>
    </row>
    <row r="1982" spans="16:20">
      <c r="P1982" s="1094">
        <v>2365</v>
      </c>
      <c r="Q1982" t="s">
        <v>3065</v>
      </c>
      <c r="R1982" t="s">
        <v>248</v>
      </c>
      <c r="S1982">
        <v>151.67302799999999</v>
      </c>
      <c r="T1982" s="1095">
        <v>-30.115912999999999</v>
      </c>
    </row>
    <row r="1983" spans="16:20">
      <c r="P1983" s="1094">
        <v>2365</v>
      </c>
      <c r="Q1983" t="s">
        <v>3066</v>
      </c>
      <c r="R1983" t="s">
        <v>248</v>
      </c>
      <c r="S1983">
        <v>151.67302799999999</v>
      </c>
      <c r="T1983" s="1095">
        <v>-30.115912999999999</v>
      </c>
    </row>
    <row r="1984" spans="16:20">
      <c r="P1984" s="1094">
        <v>2365</v>
      </c>
      <c r="Q1984" t="s">
        <v>3067</v>
      </c>
      <c r="R1984" t="s">
        <v>248</v>
      </c>
      <c r="S1984">
        <v>151.67302799999999</v>
      </c>
      <c r="T1984" s="1095">
        <v>-30.115912999999999</v>
      </c>
    </row>
    <row r="1985" spans="16:20">
      <c r="P1985" s="1094">
        <v>2365</v>
      </c>
      <c r="Q1985" t="s">
        <v>3068</v>
      </c>
      <c r="R1985" t="s">
        <v>248</v>
      </c>
      <c r="S1985">
        <v>151.67302799999999</v>
      </c>
      <c r="T1985" s="1095">
        <v>-30.115912999999999</v>
      </c>
    </row>
    <row r="1986" spans="16:20">
      <c r="P1986" s="1094">
        <v>2365</v>
      </c>
      <c r="Q1986" t="s">
        <v>3069</v>
      </c>
      <c r="R1986" t="s">
        <v>248</v>
      </c>
      <c r="S1986">
        <v>151.67302799999999</v>
      </c>
      <c r="T1986" s="1095">
        <v>-30.115912999999999</v>
      </c>
    </row>
    <row r="1987" spans="16:20">
      <c r="P1987" s="1094">
        <v>2365</v>
      </c>
      <c r="Q1987" t="s">
        <v>1962</v>
      </c>
      <c r="R1987" t="s">
        <v>248</v>
      </c>
      <c r="S1987">
        <v>151.67302799999999</v>
      </c>
      <c r="T1987" s="1095">
        <v>-30.115912999999999</v>
      </c>
    </row>
    <row r="1988" spans="16:20">
      <c r="P1988" s="1094">
        <v>2365</v>
      </c>
      <c r="Q1988" t="s">
        <v>3070</v>
      </c>
      <c r="R1988" t="s">
        <v>248</v>
      </c>
      <c r="S1988">
        <v>151.67302799999999</v>
      </c>
      <c r="T1988" s="1095">
        <v>-30.115912999999999</v>
      </c>
    </row>
    <row r="1989" spans="16:20">
      <c r="P1989" s="1094">
        <v>2365</v>
      </c>
      <c r="Q1989" t="s">
        <v>3071</v>
      </c>
      <c r="R1989" t="s">
        <v>248</v>
      </c>
      <c r="S1989">
        <v>151.67302799999999</v>
      </c>
      <c r="T1989" s="1095">
        <v>-30.115912999999999</v>
      </c>
    </row>
    <row r="1990" spans="16:20">
      <c r="P1990" s="1094">
        <v>2365</v>
      </c>
      <c r="Q1990" t="s">
        <v>3072</v>
      </c>
      <c r="R1990" t="s">
        <v>248</v>
      </c>
      <c r="S1990">
        <v>151.67302799999999</v>
      </c>
      <c r="T1990" s="1095">
        <v>-30.115912999999999</v>
      </c>
    </row>
    <row r="1991" spans="16:20">
      <c r="P1991" s="1094">
        <v>2369</v>
      </c>
      <c r="Q1991" t="s">
        <v>3073</v>
      </c>
      <c r="R1991" t="s">
        <v>248</v>
      </c>
      <c r="S1991">
        <v>151.26507699999999</v>
      </c>
      <c r="T1991" s="1095">
        <v>-29.985367</v>
      </c>
    </row>
    <row r="1992" spans="16:20">
      <c r="P1992" s="1094">
        <v>2369</v>
      </c>
      <c r="Q1992" t="s">
        <v>3074</v>
      </c>
      <c r="R1992" t="s">
        <v>248</v>
      </c>
      <c r="S1992">
        <v>151.26507699999999</v>
      </c>
      <c r="T1992" s="1095">
        <v>-29.985367</v>
      </c>
    </row>
    <row r="1993" spans="16:20">
      <c r="P1993" s="1094">
        <v>2369</v>
      </c>
      <c r="Q1993" t="s">
        <v>3075</v>
      </c>
      <c r="R1993" t="s">
        <v>248</v>
      </c>
      <c r="S1993">
        <v>151.26507699999999</v>
      </c>
      <c r="T1993" s="1095">
        <v>-29.985367</v>
      </c>
    </row>
    <row r="1994" spans="16:20">
      <c r="P1994" s="1094">
        <v>2370</v>
      </c>
      <c r="Q1994" t="s">
        <v>3076</v>
      </c>
      <c r="R1994" t="s">
        <v>248</v>
      </c>
      <c r="S1994">
        <v>151.86939699999999</v>
      </c>
      <c r="T1994" s="1095">
        <v>-29.736170999999999</v>
      </c>
    </row>
    <row r="1995" spans="16:20">
      <c r="P1995" s="1094">
        <v>2370</v>
      </c>
      <c r="Q1995" t="s">
        <v>3077</v>
      </c>
      <c r="R1995" t="s">
        <v>248</v>
      </c>
      <c r="S1995">
        <v>151.86939699999999</v>
      </c>
      <c r="T1995" s="1095">
        <v>-29.736170999999999</v>
      </c>
    </row>
    <row r="1996" spans="16:20">
      <c r="P1996" s="1094">
        <v>2370</v>
      </c>
      <c r="Q1996" t="s">
        <v>3078</v>
      </c>
      <c r="R1996" t="s">
        <v>248</v>
      </c>
      <c r="S1996">
        <v>151.86939699999999</v>
      </c>
      <c r="T1996" s="1095">
        <v>-29.736170999999999</v>
      </c>
    </row>
    <row r="1997" spans="16:20">
      <c r="P1997" s="1094">
        <v>2370</v>
      </c>
      <c r="Q1997" t="s">
        <v>3079</v>
      </c>
      <c r="R1997" t="s">
        <v>248</v>
      </c>
      <c r="S1997">
        <v>151.86939699999999</v>
      </c>
      <c r="T1997" s="1095">
        <v>-29.736170999999999</v>
      </c>
    </row>
    <row r="1998" spans="16:20">
      <c r="P1998" s="1094">
        <v>2370</v>
      </c>
      <c r="Q1998" t="s">
        <v>3080</v>
      </c>
      <c r="R1998" t="s">
        <v>248</v>
      </c>
      <c r="S1998">
        <v>151.86939699999999</v>
      </c>
      <c r="T1998" s="1095">
        <v>-29.736170999999999</v>
      </c>
    </row>
    <row r="1999" spans="16:20">
      <c r="P1999" s="1094">
        <v>2370</v>
      </c>
      <c r="Q1999" t="s">
        <v>3081</v>
      </c>
      <c r="R1999" t="s">
        <v>248</v>
      </c>
      <c r="S1999">
        <v>151.86939699999999</v>
      </c>
      <c r="T1999" s="1095">
        <v>-29.736170999999999</v>
      </c>
    </row>
    <row r="2000" spans="16:20">
      <c r="P2000" s="1094">
        <v>2370</v>
      </c>
      <c r="Q2000" t="s">
        <v>3082</v>
      </c>
      <c r="R2000" t="s">
        <v>248</v>
      </c>
      <c r="S2000">
        <v>151.86939699999999</v>
      </c>
      <c r="T2000" s="1095">
        <v>-29.736170999999999</v>
      </c>
    </row>
    <row r="2001" spans="16:20">
      <c r="P2001" s="1094">
        <v>2370</v>
      </c>
      <c r="Q2001" t="s">
        <v>3083</v>
      </c>
      <c r="R2001" t="s">
        <v>248</v>
      </c>
      <c r="S2001">
        <v>151.86939699999999</v>
      </c>
      <c r="T2001" s="1095">
        <v>-29.736170999999999</v>
      </c>
    </row>
    <row r="2002" spans="16:20">
      <c r="P2002" s="1094">
        <v>2370</v>
      </c>
      <c r="Q2002" t="s">
        <v>3084</v>
      </c>
      <c r="R2002" t="s">
        <v>248</v>
      </c>
      <c r="S2002">
        <v>151.86939699999999</v>
      </c>
      <c r="T2002" s="1095">
        <v>-29.736170999999999</v>
      </c>
    </row>
    <row r="2003" spans="16:20">
      <c r="P2003" s="1094">
        <v>2370</v>
      </c>
      <c r="Q2003" t="s">
        <v>2812</v>
      </c>
      <c r="R2003" t="s">
        <v>248</v>
      </c>
      <c r="S2003">
        <v>151.86939699999999</v>
      </c>
      <c r="T2003" s="1095">
        <v>-29.736170999999999</v>
      </c>
    </row>
    <row r="2004" spans="16:20">
      <c r="P2004" s="1094">
        <v>2370</v>
      </c>
      <c r="Q2004" t="s">
        <v>3085</v>
      </c>
      <c r="R2004" t="s">
        <v>248</v>
      </c>
      <c r="S2004">
        <v>151.86939699999999</v>
      </c>
      <c r="T2004" s="1095">
        <v>-29.736170999999999</v>
      </c>
    </row>
    <row r="2005" spans="16:20">
      <c r="P2005" s="1094">
        <v>2370</v>
      </c>
      <c r="Q2005" t="s">
        <v>3086</v>
      </c>
      <c r="R2005" t="s">
        <v>248</v>
      </c>
      <c r="S2005">
        <v>151.86939699999999</v>
      </c>
      <c r="T2005" s="1095">
        <v>-29.736170999999999</v>
      </c>
    </row>
    <row r="2006" spans="16:20">
      <c r="P2006" s="1094">
        <v>2370</v>
      </c>
      <c r="Q2006" t="s">
        <v>3087</v>
      </c>
      <c r="R2006" t="s">
        <v>248</v>
      </c>
      <c r="S2006">
        <v>151.86939699999999</v>
      </c>
      <c r="T2006" s="1095">
        <v>-29.736170999999999</v>
      </c>
    </row>
    <row r="2007" spans="16:20">
      <c r="P2007" s="1094">
        <v>2370</v>
      </c>
      <c r="Q2007" t="s">
        <v>3088</v>
      </c>
      <c r="R2007" t="s">
        <v>248</v>
      </c>
      <c r="S2007">
        <v>151.86939699999999</v>
      </c>
      <c r="T2007" s="1095">
        <v>-29.736170999999999</v>
      </c>
    </row>
    <row r="2008" spans="16:20">
      <c r="P2008" s="1094">
        <v>2370</v>
      </c>
      <c r="Q2008" t="s">
        <v>3089</v>
      </c>
      <c r="R2008" t="s">
        <v>248</v>
      </c>
      <c r="S2008">
        <v>151.86939699999999</v>
      </c>
      <c r="T2008" s="1095">
        <v>-29.736170999999999</v>
      </c>
    </row>
    <row r="2009" spans="16:20">
      <c r="P2009" s="1094">
        <v>2370</v>
      </c>
      <c r="Q2009" t="s">
        <v>3090</v>
      </c>
      <c r="R2009" t="s">
        <v>248</v>
      </c>
      <c r="S2009">
        <v>151.86939699999999</v>
      </c>
      <c r="T2009" s="1095">
        <v>-29.736170999999999</v>
      </c>
    </row>
    <row r="2010" spans="16:20">
      <c r="P2010" s="1094">
        <v>2370</v>
      </c>
      <c r="Q2010" t="s">
        <v>3091</v>
      </c>
      <c r="R2010" t="s">
        <v>248</v>
      </c>
      <c r="S2010">
        <v>151.86939699999999</v>
      </c>
      <c r="T2010" s="1095">
        <v>-29.736170999999999</v>
      </c>
    </row>
    <row r="2011" spans="16:20">
      <c r="P2011" s="1094">
        <v>2370</v>
      </c>
      <c r="Q2011" t="s">
        <v>3092</v>
      </c>
      <c r="R2011" t="s">
        <v>248</v>
      </c>
      <c r="S2011">
        <v>151.86939699999999</v>
      </c>
      <c r="T2011" s="1095">
        <v>-29.736170999999999</v>
      </c>
    </row>
    <row r="2012" spans="16:20">
      <c r="P2012" s="1094">
        <v>2370</v>
      </c>
      <c r="Q2012" t="s">
        <v>3093</v>
      </c>
      <c r="R2012" t="s">
        <v>248</v>
      </c>
      <c r="S2012">
        <v>151.86939699999999</v>
      </c>
      <c r="T2012" s="1095">
        <v>-29.736170999999999</v>
      </c>
    </row>
    <row r="2013" spans="16:20">
      <c r="P2013" s="1094">
        <v>2370</v>
      </c>
      <c r="Q2013" t="s">
        <v>3094</v>
      </c>
      <c r="R2013" t="s">
        <v>248</v>
      </c>
      <c r="S2013">
        <v>151.86939699999999</v>
      </c>
      <c r="T2013" s="1095">
        <v>-29.736170999999999</v>
      </c>
    </row>
    <row r="2014" spans="16:20">
      <c r="P2014" s="1094">
        <v>2370</v>
      </c>
      <c r="Q2014" t="s">
        <v>3095</v>
      </c>
      <c r="R2014" t="s">
        <v>248</v>
      </c>
      <c r="S2014">
        <v>151.86939699999999</v>
      </c>
      <c r="T2014" s="1095">
        <v>-29.736170999999999</v>
      </c>
    </row>
    <row r="2015" spans="16:20">
      <c r="P2015" s="1094">
        <v>2370</v>
      </c>
      <c r="Q2015" t="s">
        <v>3096</v>
      </c>
      <c r="R2015" t="s">
        <v>248</v>
      </c>
      <c r="S2015">
        <v>151.86939699999999</v>
      </c>
      <c r="T2015" s="1095">
        <v>-29.736170999999999</v>
      </c>
    </row>
    <row r="2016" spans="16:20">
      <c r="P2016" s="1094">
        <v>2370</v>
      </c>
      <c r="Q2016" t="s">
        <v>3097</v>
      </c>
      <c r="R2016" t="s">
        <v>248</v>
      </c>
      <c r="S2016">
        <v>151.86939699999999</v>
      </c>
      <c r="T2016" s="1095">
        <v>-29.736170999999999</v>
      </c>
    </row>
    <row r="2017" spans="16:20">
      <c r="P2017" s="1094">
        <v>2370</v>
      </c>
      <c r="Q2017" t="s">
        <v>3098</v>
      </c>
      <c r="R2017" t="s">
        <v>248</v>
      </c>
      <c r="S2017">
        <v>151.86939699999999</v>
      </c>
      <c r="T2017" s="1095">
        <v>-29.736170999999999</v>
      </c>
    </row>
    <row r="2018" spans="16:20">
      <c r="P2018" s="1094">
        <v>2371</v>
      </c>
      <c r="Q2018" t="s">
        <v>3099</v>
      </c>
      <c r="R2018" t="s">
        <v>248</v>
      </c>
      <c r="S2018">
        <v>151.81467499999999</v>
      </c>
      <c r="T2018" s="1095">
        <v>-29.366250000000001</v>
      </c>
    </row>
    <row r="2019" spans="16:20">
      <c r="P2019" s="1094">
        <v>2371</v>
      </c>
      <c r="Q2019" t="s">
        <v>3100</v>
      </c>
      <c r="R2019" t="s">
        <v>248</v>
      </c>
      <c r="S2019">
        <v>151.81467499999999</v>
      </c>
      <c r="T2019" s="1095">
        <v>-29.366250000000001</v>
      </c>
    </row>
    <row r="2020" spans="16:20">
      <c r="P2020" s="1094">
        <v>2371</v>
      </c>
      <c r="Q2020" t="s">
        <v>3101</v>
      </c>
      <c r="R2020" t="s">
        <v>248</v>
      </c>
      <c r="S2020">
        <v>151.81467499999999</v>
      </c>
      <c r="T2020" s="1095">
        <v>-29.366250000000001</v>
      </c>
    </row>
    <row r="2021" spans="16:20">
      <c r="P2021" s="1094">
        <v>2371</v>
      </c>
      <c r="Q2021" t="s">
        <v>3102</v>
      </c>
      <c r="R2021" t="s">
        <v>248</v>
      </c>
      <c r="S2021">
        <v>151.81467499999999</v>
      </c>
      <c r="T2021" s="1095">
        <v>-29.366250000000001</v>
      </c>
    </row>
    <row r="2022" spans="16:20">
      <c r="P2022" s="1094">
        <v>2371</v>
      </c>
      <c r="Q2022" t="s">
        <v>3103</v>
      </c>
      <c r="R2022" t="s">
        <v>248</v>
      </c>
      <c r="S2022">
        <v>151.81467499999999</v>
      </c>
      <c r="T2022" s="1095">
        <v>-29.366250000000001</v>
      </c>
    </row>
    <row r="2023" spans="16:20">
      <c r="P2023" s="1094">
        <v>2371</v>
      </c>
      <c r="Q2023" t="s">
        <v>3104</v>
      </c>
      <c r="R2023" t="s">
        <v>248</v>
      </c>
      <c r="S2023">
        <v>151.81467499999999</v>
      </c>
      <c r="T2023" s="1095">
        <v>-29.366250000000001</v>
      </c>
    </row>
    <row r="2024" spans="16:20">
      <c r="P2024" s="1094">
        <v>2371</v>
      </c>
      <c r="Q2024" t="s">
        <v>3070</v>
      </c>
      <c r="R2024" t="s">
        <v>248</v>
      </c>
      <c r="S2024">
        <v>151.81467499999999</v>
      </c>
      <c r="T2024" s="1095">
        <v>-29.366250000000001</v>
      </c>
    </row>
    <row r="2025" spans="16:20">
      <c r="P2025" s="1094">
        <v>2371</v>
      </c>
      <c r="Q2025" t="s">
        <v>3105</v>
      </c>
      <c r="R2025" t="s">
        <v>248</v>
      </c>
      <c r="S2025">
        <v>151.81467499999999</v>
      </c>
      <c r="T2025" s="1095">
        <v>-29.366250000000001</v>
      </c>
    </row>
    <row r="2026" spans="16:20">
      <c r="P2026" s="1094">
        <v>2371</v>
      </c>
      <c r="Q2026" t="s">
        <v>3106</v>
      </c>
      <c r="R2026" t="s">
        <v>248</v>
      </c>
      <c r="S2026">
        <v>151.81467499999999</v>
      </c>
      <c r="T2026" s="1095">
        <v>-29.366250000000001</v>
      </c>
    </row>
    <row r="2027" spans="16:20">
      <c r="P2027" s="1094">
        <v>2371</v>
      </c>
      <c r="Q2027" t="s">
        <v>3107</v>
      </c>
      <c r="R2027" t="s">
        <v>248</v>
      </c>
      <c r="S2027">
        <v>151.81467499999999</v>
      </c>
      <c r="T2027" s="1095">
        <v>-29.366250000000001</v>
      </c>
    </row>
    <row r="2028" spans="16:20">
      <c r="P2028" s="1094">
        <v>2371</v>
      </c>
      <c r="Q2028" t="s">
        <v>3108</v>
      </c>
      <c r="R2028" t="s">
        <v>248</v>
      </c>
      <c r="S2028">
        <v>151.81467499999999</v>
      </c>
      <c r="T2028" s="1095">
        <v>-29.366250000000001</v>
      </c>
    </row>
    <row r="2029" spans="16:20">
      <c r="P2029" s="1094">
        <v>2372</v>
      </c>
      <c r="Q2029" t="s">
        <v>3109</v>
      </c>
      <c r="R2029" t="s">
        <v>248</v>
      </c>
      <c r="S2029">
        <v>151.999661</v>
      </c>
      <c r="T2029" s="1095">
        <v>-29.083318999999999</v>
      </c>
    </row>
    <row r="2030" spans="16:20">
      <c r="P2030" s="1094">
        <v>2372</v>
      </c>
      <c r="Q2030" t="s">
        <v>3110</v>
      </c>
      <c r="R2030" t="s">
        <v>248</v>
      </c>
      <c r="S2030">
        <v>151.999661</v>
      </c>
      <c r="T2030" s="1095">
        <v>-29.083318999999999</v>
      </c>
    </row>
    <row r="2031" spans="16:20">
      <c r="P2031" s="1094">
        <v>2372</v>
      </c>
      <c r="Q2031" t="s">
        <v>3111</v>
      </c>
      <c r="R2031" t="s">
        <v>248</v>
      </c>
      <c r="S2031">
        <v>151.999661</v>
      </c>
      <c r="T2031" s="1095">
        <v>-29.083318999999999</v>
      </c>
    </row>
    <row r="2032" spans="16:20">
      <c r="P2032" s="1094">
        <v>2372</v>
      </c>
      <c r="Q2032" t="s">
        <v>3112</v>
      </c>
      <c r="R2032" t="s">
        <v>248</v>
      </c>
      <c r="S2032">
        <v>151.999661</v>
      </c>
      <c r="T2032" s="1095">
        <v>-29.083318999999999</v>
      </c>
    </row>
    <row r="2033" spans="16:20">
      <c r="P2033" s="1094">
        <v>2372</v>
      </c>
      <c r="Q2033" t="s">
        <v>3113</v>
      </c>
      <c r="R2033" t="s">
        <v>248</v>
      </c>
      <c r="S2033">
        <v>151.999661</v>
      </c>
      <c r="T2033" s="1095">
        <v>-29.083318999999999</v>
      </c>
    </row>
    <row r="2034" spans="16:20">
      <c r="P2034" s="1094">
        <v>2372</v>
      </c>
      <c r="Q2034" t="s">
        <v>3114</v>
      </c>
      <c r="R2034" t="s">
        <v>248</v>
      </c>
      <c r="S2034">
        <v>151.999661</v>
      </c>
      <c r="T2034" s="1095">
        <v>-29.083318999999999</v>
      </c>
    </row>
    <row r="2035" spans="16:20">
      <c r="P2035" s="1094">
        <v>2372</v>
      </c>
      <c r="Q2035" t="s">
        <v>3115</v>
      </c>
      <c r="R2035" t="s">
        <v>248</v>
      </c>
      <c r="S2035">
        <v>151.999661</v>
      </c>
      <c r="T2035" s="1095">
        <v>-29.083318999999999</v>
      </c>
    </row>
    <row r="2036" spans="16:20">
      <c r="P2036" s="1094">
        <v>2372</v>
      </c>
      <c r="Q2036" t="s">
        <v>3116</v>
      </c>
      <c r="R2036" t="s">
        <v>248</v>
      </c>
      <c r="S2036">
        <v>151.999661</v>
      </c>
      <c r="T2036" s="1095">
        <v>-29.083318999999999</v>
      </c>
    </row>
    <row r="2037" spans="16:20">
      <c r="P2037" s="1094">
        <v>2372</v>
      </c>
      <c r="Q2037" t="s">
        <v>3117</v>
      </c>
      <c r="R2037" t="s">
        <v>248</v>
      </c>
      <c r="S2037">
        <v>151.999661</v>
      </c>
      <c r="T2037" s="1095">
        <v>-29.083318999999999</v>
      </c>
    </row>
    <row r="2038" spans="16:20">
      <c r="P2038" s="1094">
        <v>2372</v>
      </c>
      <c r="Q2038" t="s">
        <v>3118</v>
      </c>
      <c r="R2038" t="s">
        <v>248</v>
      </c>
      <c r="S2038">
        <v>151.999661</v>
      </c>
      <c r="T2038" s="1095">
        <v>-29.083318999999999</v>
      </c>
    </row>
    <row r="2039" spans="16:20">
      <c r="P2039" s="1094">
        <v>2372</v>
      </c>
      <c r="Q2039" t="s">
        <v>3119</v>
      </c>
      <c r="R2039" t="s">
        <v>248</v>
      </c>
      <c r="S2039">
        <v>151.999661</v>
      </c>
      <c r="T2039" s="1095">
        <v>-29.083318999999999</v>
      </c>
    </row>
    <row r="2040" spans="16:20">
      <c r="P2040" s="1094">
        <v>2372</v>
      </c>
      <c r="Q2040" t="s">
        <v>3120</v>
      </c>
      <c r="R2040" t="s">
        <v>248</v>
      </c>
      <c r="S2040">
        <v>151.999661</v>
      </c>
      <c r="T2040" s="1095">
        <v>-29.083318999999999</v>
      </c>
    </row>
    <row r="2041" spans="16:20">
      <c r="P2041" s="1094">
        <v>2372</v>
      </c>
      <c r="Q2041" t="s">
        <v>3121</v>
      </c>
      <c r="R2041" t="s">
        <v>248</v>
      </c>
      <c r="S2041">
        <v>151.999661</v>
      </c>
      <c r="T2041" s="1095">
        <v>-29.083318999999999</v>
      </c>
    </row>
    <row r="2042" spans="16:20">
      <c r="P2042" s="1094">
        <v>2372</v>
      </c>
      <c r="Q2042" t="s">
        <v>3122</v>
      </c>
      <c r="R2042" t="s">
        <v>248</v>
      </c>
      <c r="S2042">
        <v>151.999661</v>
      </c>
      <c r="T2042" s="1095">
        <v>-29.083318999999999</v>
      </c>
    </row>
    <row r="2043" spans="16:20">
      <c r="P2043" s="1094">
        <v>2372</v>
      </c>
      <c r="Q2043" t="s">
        <v>3123</v>
      </c>
      <c r="R2043" t="s">
        <v>248</v>
      </c>
      <c r="S2043">
        <v>151.999661</v>
      </c>
      <c r="T2043" s="1095">
        <v>-29.083318999999999</v>
      </c>
    </row>
    <row r="2044" spans="16:20">
      <c r="P2044" s="1094">
        <v>2372</v>
      </c>
      <c r="Q2044" t="s">
        <v>3124</v>
      </c>
      <c r="R2044" t="s">
        <v>248</v>
      </c>
      <c r="S2044">
        <v>151.999661</v>
      </c>
      <c r="T2044" s="1095">
        <v>-29.083318999999999</v>
      </c>
    </row>
    <row r="2045" spans="16:20">
      <c r="P2045" s="1094">
        <v>2372</v>
      </c>
      <c r="Q2045" t="s">
        <v>3125</v>
      </c>
      <c r="R2045" t="s">
        <v>248</v>
      </c>
      <c r="S2045">
        <v>151.999661</v>
      </c>
      <c r="T2045" s="1095">
        <v>-29.083318999999999</v>
      </c>
    </row>
    <row r="2046" spans="16:20">
      <c r="P2046" s="1094">
        <v>2372</v>
      </c>
      <c r="Q2046" t="s">
        <v>3126</v>
      </c>
      <c r="R2046" t="s">
        <v>248</v>
      </c>
      <c r="S2046">
        <v>151.999661</v>
      </c>
      <c r="T2046" s="1095">
        <v>-29.083318999999999</v>
      </c>
    </row>
    <row r="2047" spans="16:20">
      <c r="P2047" s="1094">
        <v>2372</v>
      </c>
      <c r="Q2047" t="s">
        <v>3127</v>
      </c>
      <c r="R2047" t="s">
        <v>248</v>
      </c>
      <c r="S2047">
        <v>151.999661</v>
      </c>
      <c r="T2047" s="1095">
        <v>-29.083318999999999</v>
      </c>
    </row>
    <row r="2048" spans="16:20">
      <c r="P2048" s="1094">
        <v>2372</v>
      </c>
      <c r="Q2048" t="s">
        <v>3128</v>
      </c>
      <c r="R2048" t="s">
        <v>248</v>
      </c>
      <c r="S2048">
        <v>151.999661</v>
      </c>
      <c r="T2048" s="1095">
        <v>-29.083318999999999</v>
      </c>
    </row>
    <row r="2049" spans="16:20">
      <c r="P2049" s="1094">
        <v>2372</v>
      </c>
      <c r="Q2049" t="s">
        <v>3129</v>
      </c>
      <c r="R2049" t="s">
        <v>248</v>
      </c>
      <c r="S2049">
        <v>151.999661</v>
      </c>
      <c r="T2049" s="1095">
        <v>-29.083318999999999</v>
      </c>
    </row>
    <row r="2050" spans="16:20">
      <c r="P2050" s="1094">
        <v>2372</v>
      </c>
      <c r="Q2050" t="s">
        <v>3130</v>
      </c>
      <c r="R2050" t="s">
        <v>248</v>
      </c>
      <c r="S2050">
        <v>151.999661</v>
      </c>
      <c r="T2050" s="1095">
        <v>-29.083318999999999</v>
      </c>
    </row>
    <row r="2051" spans="16:20">
      <c r="P2051" s="1094">
        <v>2379</v>
      </c>
      <c r="Q2051" t="s">
        <v>3131</v>
      </c>
      <c r="R2051" t="s">
        <v>248</v>
      </c>
      <c r="S2051">
        <v>149.754627</v>
      </c>
      <c r="T2051" s="1095">
        <v>-31.126265</v>
      </c>
    </row>
    <row r="2052" spans="16:20">
      <c r="P2052" s="1094">
        <v>2379</v>
      </c>
      <c r="Q2052" t="s">
        <v>3132</v>
      </c>
      <c r="R2052" t="s">
        <v>248</v>
      </c>
      <c r="S2052">
        <v>149.754627</v>
      </c>
      <c r="T2052" s="1095">
        <v>-31.126265</v>
      </c>
    </row>
    <row r="2053" spans="16:20">
      <c r="P2053" s="1094">
        <v>2380</v>
      </c>
      <c r="Q2053" t="s">
        <v>3133</v>
      </c>
      <c r="R2053" t="s">
        <v>248</v>
      </c>
      <c r="S2053">
        <v>150.19915399999999</v>
      </c>
      <c r="T2053" s="1095">
        <v>-31.046116999999999</v>
      </c>
    </row>
    <row r="2054" spans="16:20">
      <c r="P2054" s="1094">
        <v>2380</v>
      </c>
      <c r="Q2054" t="s">
        <v>3134</v>
      </c>
      <c r="R2054" t="s">
        <v>248</v>
      </c>
      <c r="S2054">
        <v>150.19915399999999</v>
      </c>
      <c r="T2054" s="1095">
        <v>-31.046116999999999</v>
      </c>
    </row>
    <row r="2055" spans="16:20">
      <c r="P2055" s="1094">
        <v>2380</v>
      </c>
      <c r="Q2055" t="s">
        <v>3135</v>
      </c>
      <c r="R2055" t="s">
        <v>248</v>
      </c>
      <c r="S2055">
        <v>150.19915399999999</v>
      </c>
      <c r="T2055" s="1095">
        <v>-31.046116999999999</v>
      </c>
    </row>
    <row r="2056" spans="16:20">
      <c r="P2056" s="1094">
        <v>2380</v>
      </c>
      <c r="Q2056" t="s">
        <v>3136</v>
      </c>
      <c r="R2056" t="s">
        <v>248</v>
      </c>
      <c r="S2056">
        <v>150.19915399999999</v>
      </c>
      <c r="T2056" s="1095">
        <v>-31.046116999999999</v>
      </c>
    </row>
    <row r="2057" spans="16:20">
      <c r="P2057" s="1094">
        <v>2380</v>
      </c>
      <c r="Q2057" t="s">
        <v>3137</v>
      </c>
      <c r="R2057" t="s">
        <v>248</v>
      </c>
      <c r="S2057">
        <v>150.19915399999999</v>
      </c>
      <c r="T2057" s="1095">
        <v>-31.046116999999999</v>
      </c>
    </row>
    <row r="2058" spans="16:20">
      <c r="P2058" s="1094">
        <v>2380</v>
      </c>
      <c r="Q2058" t="s">
        <v>3138</v>
      </c>
      <c r="R2058" t="s">
        <v>248</v>
      </c>
      <c r="S2058">
        <v>150.19915399999999</v>
      </c>
      <c r="T2058" s="1095">
        <v>-31.046116999999999</v>
      </c>
    </row>
    <row r="2059" spans="16:20">
      <c r="P2059" s="1094">
        <v>2380</v>
      </c>
      <c r="Q2059" t="s">
        <v>3139</v>
      </c>
      <c r="R2059" t="s">
        <v>248</v>
      </c>
      <c r="S2059">
        <v>150.19915399999999</v>
      </c>
      <c r="T2059" s="1095">
        <v>-31.046116999999999</v>
      </c>
    </row>
    <row r="2060" spans="16:20">
      <c r="P2060" s="1094">
        <v>2380</v>
      </c>
      <c r="Q2060" t="s">
        <v>3140</v>
      </c>
      <c r="R2060" t="s">
        <v>248</v>
      </c>
      <c r="S2060">
        <v>150.19915399999999</v>
      </c>
      <c r="T2060" s="1095">
        <v>-31.046116999999999</v>
      </c>
    </row>
    <row r="2061" spans="16:20">
      <c r="P2061" s="1094">
        <v>2380</v>
      </c>
      <c r="Q2061" t="s">
        <v>3141</v>
      </c>
      <c r="R2061" t="s">
        <v>248</v>
      </c>
      <c r="S2061">
        <v>150.19915399999999</v>
      </c>
      <c r="T2061" s="1095">
        <v>-31.046116999999999</v>
      </c>
    </row>
    <row r="2062" spans="16:20">
      <c r="P2062" s="1094">
        <v>2380</v>
      </c>
      <c r="Q2062" t="s">
        <v>3142</v>
      </c>
      <c r="R2062" t="s">
        <v>248</v>
      </c>
      <c r="S2062">
        <v>150.19915399999999</v>
      </c>
      <c r="T2062" s="1095">
        <v>-31.046116999999999</v>
      </c>
    </row>
    <row r="2063" spans="16:20">
      <c r="P2063" s="1094">
        <v>2380</v>
      </c>
      <c r="Q2063" t="s">
        <v>3143</v>
      </c>
      <c r="R2063" t="s">
        <v>248</v>
      </c>
      <c r="S2063">
        <v>150.19915399999999</v>
      </c>
      <c r="T2063" s="1095">
        <v>-31.046116999999999</v>
      </c>
    </row>
    <row r="2064" spans="16:20">
      <c r="P2064" s="1094">
        <v>2380</v>
      </c>
      <c r="Q2064" t="s">
        <v>3144</v>
      </c>
      <c r="R2064" t="s">
        <v>248</v>
      </c>
      <c r="S2064">
        <v>150.19915399999999</v>
      </c>
      <c r="T2064" s="1095">
        <v>-31.046116999999999</v>
      </c>
    </row>
    <row r="2065" spans="16:20">
      <c r="P2065" s="1094">
        <v>2380</v>
      </c>
      <c r="Q2065" t="s">
        <v>3145</v>
      </c>
      <c r="R2065" t="s">
        <v>248</v>
      </c>
      <c r="S2065">
        <v>150.19915399999999</v>
      </c>
      <c r="T2065" s="1095">
        <v>-31.046116999999999</v>
      </c>
    </row>
    <row r="2066" spans="16:20">
      <c r="P2066" s="1094">
        <v>2380</v>
      </c>
      <c r="Q2066" t="s">
        <v>3146</v>
      </c>
      <c r="R2066" t="s">
        <v>248</v>
      </c>
      <c r="S2066">
        <v>150.19915399999999</v>
      </c>
      <c r="T2066" s="1095">
        <v>-31.046116999999999</v>
      </c>
    </row>
    <row r="2067" spans="16:20">
      <c r="P2067" s="1094">
        <v>2380</v>
      </c>
      <c r="Q2067" t="s">
        <v>3147</v>
      </c>
      <c r="R2067" t="s">
        <v>248</v>
      </c>
      <c r="S2067">
        <v>150.19915399999999</v>
      </c>
      <c r="T2067" s="1095">
        <v>-31.046116999999999</v>
      </c>
    </row>
    <row r="2068" spans="16:20">
      <c r="P2068" s="1094">
        <v>2381</v>
      </c>
      <c r="Q2068" t="s">
        <v>3148</v>
      </c>
      <c r="R2068" t="s">
        <v>248</v>
      </c>
      <c r="S2068">
        <v>0</v>
      </c>
      <c r="T2068" s="1095">
        <v>0</v>
      </c>
    </row>
    <row r="2069" spans="16:20">
      <c r="P2069" s="1094">
        <v>2381</v>
      </c>
      <c r="Q2069" t="s">
        <v>3149</v>
      </c>
      <c r="R2069" t="s">
        <v>248</v>
      </c>
      <c r="S2069">
        <v>0</v>
      </c>
      <c r="T2069" s="1095">
        <v>0</v>
      </c>
    </row>
    <row r="2070" spans="16:20">
      <c r="P2070" s="1094">
        <v>2381</v>
      </c>
      <c r="Q2070" t="s">
        <v>3150</v>
      </c>
      <c r="R2070" t="s">
        <v>248</v>
      </c>
      <c r="S2070">
        <v>0</v>
      </c>
      <c r="T2070" s="1095">
        <v>0</v>
      </c>
    </row>
    <row r="2071" spans="16:20">
      <c r="P2071" s="1094">
        <v>2381</v>
      </c>
      <c r="Q2071" t="s">
        <v>3151</v>
      </c>
      <c r="R2071" t="s">
        <v>248</v>
      </c>
      <c r="S2071">
        <v>0</v>
      </c>
      <c r="T2071" s="1095">
        <v>0</v>
      </c>
    </row>
    <row r="2072" spans="16:20">
      <c r="P2072" s="1094">
        <v>2381</v>
      </c>
      <c r="Q2072" t="s">
        <v>3152</v>
      </c>
      <c r="R2072" t="s">
        <v>248</v>
      </c>
      <c r="S2072">
        <v>0</v>
      </c>
      <c r="T2072" s="1095">
        <v>0</v>
      </c>
    </row>
    <row r="2073" spans="16:20">
      <c r="P2073" s="1094">
        <v>2381</v>
      </c>
      <c r="Q2073" t="s">
        <v>3153</v>
      </c>
      <c r="R2073" t="s">
        <v>248</v>
      </c>
      <c r="S2073">
        <v>0</v>
      </c>
      <c r="T2073" s="1095">
        <v>0</v>
      </c>
    </row>
    <row r="2074" spans="16:20">
      <c r="P2074" s="1094">
        <v>2382</v>
      </c>
      <c r="Q2074" t="s">
        <v>3154</v>
      </c>
      <c r="R2074" t="s">
        <v>248</v>
      </c>
      <c r="S2074">
        <v>150.17805999999999</v>
      </c>
      <c r="T2074" s="1095">
        <v>-30.595044000000001</v>
      </c>
    </row>
    <row r="2075" spans="16:20">
      <c r="P2075" s="1094">
        <v>2382</v>
      </c>
      <c r="Q2075" t="s">
        <v>3155</v>
      </c>
      <c r="R2075" t="s">
        <v>248</v>
      </c>
      <c r="S2075">
        <v>150.17805999999999</v>
      </c>
      <c r="T2075" s="1095">
        <v>-30.595044000000001</v>
      </c>
    </row>
    <row r="2076" spans="16:20">
      <c r="P2076" s="1094">
        <v>2382</v>
      </c>
      <c r="Q2076" t="s">
        <v>3156</v>
      </c>
      <c r="R2076" t="s">
        <v>248</v>
      </c>
      <c r="S2076">
        <v>150.17805999999999</v>
      </c>
      <c r="T2076" s="1095">
        <v>-30.595044000000001</v>
      </c>
    </row>
    <row r="2077" spans="16:20">
      <c r="P2077" s="1094">
        <v>2382</v>
      </c>
      <c r="Q2077" t="s">
        <v>3157</v>
      </c>
      <c r="R2077" t="s">
        <v>248</v>
      </c>
      <c r="S2077">
        <v>150.17805999999999</v>
      </c>
      <c r="T2077" s="1095">
        <v>-30.595044000000001</v>
      </c>
    </row>
    <row r="2078" spans="16:20">
      <c r="P2078" s="1094">
        <v>2386</v>
      </c>
      <c r="Q2078" t="s">
        <v>3158</v>
      </c>
      <c r="R2078" t="s">
        <v>248</v>
      </c>
      <c r="S2078">
        <v>148.92441700000001</v>
      </c>
      <c r="T2078" s="1095">
        <v>-30.078970000000002</v>
      </c>
    </row>
    <row r="2079" spans="16:20">
      <c r="P2079" s="1094">
        <v>2386</v>
      </c>
      <c r="Q2079" t="s">
        <v>3159</v>
      </c>
      <c r="R2079" t="s">
        <v>248</v>
      </c>
      <c r="S2079">
        <v>148.92441700000001</v>
      </c>
      <c r="T2079" s="1095">
        <v>-30.078970000000002</v>
      </c>
    </row>
    <row r="2080" spans="16:20">
      <c r="P2080" s="1094">
        <v>2387</v>
      </c>
      <c r="Q2080" t="s">
        <v>3160</v>
      </c>
      <c r="R2080" t="s">
        <v>248</v>
      </c>
      <c r="S2080">
        <v>148.83710600000001</v>
      </c>
      <c r="T2080" s="1095">
        <v>-29.757915000000001</v>
      </c>
    </row>
    <row r="2081" spans="16:20">
      <c r="P2081" s="1094">
        <v>2388</v>
      </c>
      <c r="Q2081" t="s">
        <v>3161</v>
      </c>
      <c r="R2081" t="s">
        <v>248</v>
      </c>
      <c r="S2081">
        <v>149.001543</v>
      </c>
      <c r="T2081" s="1095">
        <v>-30.427329</v>
      </c>
    </row>
    <row r="2082" spans="16:20">
      <c r="P2082" s="1094">
        <v>2388</v>
      </c>
      <c r="Q2082" t="s">
        <v>3162</v>
      </c>
      <c r="R2082" t="s">
        <v>248</v>
      </c>
      <c r="S2082">
        <v>149.001543</v>
      </c>
      <c r="T2082" s="1095">
        <v>-30.427329</v>
      </c>
    </row>
    <row r="2083" spans="16:20">
      <c r="P2083" s="1094">
        <v>2388</v>
      </c>
      <c r="Q2083" t="s">
        <v>3163</v>
      </c>
      <c r="R2083" t="s">
        <v>248</v>
      </c>
      <c r="S2083">
        <v>149.001543</v>
      </c>
      <c r="T2083" s="1095">
        <v>-30.427329</v>
      </c>
    </row>
    <row r="2084" spans="16:20">
      <c r="P2084" s="1094">
        <v>2388</v>
      </c>
      <c r="Q2084" t="s">
        <v>3164</v>
      </c>
      <c r="R2084" t="s">
        <v>248</v>
      </c>
      <c r="S2084">
        <v>149.001543</v>
      </c>
      <c r="T2084" s="1095">
        <v>-30.427329</v>
      </c>
    </row>
    <row r="2085" spans="16:20">
      <c r="P2085" s="1094">
        <v>2388</v>
      </c>
      <c r="Q2085" t="s">
        <v>3165</v>
      </c>
      <c r="R2085" t="s">
        <v>248</v>
      </c>
      <c r="S2085">
        <v>149.001543</v>
      </c>
      <c r="T2085" s="1095">
        <v>-30.427329</v>
      </c>
    </row>
    <row r="2086" spans="16:20">
      <c r="P2086" s="1094">
        <v>2388</v>
      </c>
      <c r="Q2086" t="s">
        <v>3166</v>
      </c>
      <c r="R2086" t="s">
        <v>248</v>
      </c>
      <c r="S2086">
        <v>149.001543</v>
      </c>
      <c r="T2086" s="1095">
        <v>-30.427329</v>
      </c>
    </row>
    <row r="2087" spans="16:20">
      <c r="P2087" s="1094">
        <v>2388</v>
      </c>
      <c r="Q2087" t="s">
        <v>3167</v>
      </c>
      <c r="R2087" t="s">
        <v>248</v>
      </c>
      <c r="S2087">
        <v>149.001543</v>
      </c>
      <c r="T2087" s="1095">
        <v>-30.427329</v>
      </c>
    </row>
    <row r="2088" spans="16:20">
      <c r="P2088" s="1094">
        <v>2388</v>
      </c>
      <c r="Q2088" t="s">
        <v>3168</v>
      </c>
      <c r="R2088" t="s">
        <v>248</v>
      </c>
      <c r="S2088">
        <v>149.001543</v>
      </c>
      <c r="T2088" s="1095">
        <v>-30.427329</v>
      </c>
    </row>
    <row r="2089" spans="16:20">
      <c r="P2089" s="1094">
        <v>2388</v>
      </c>
      <c r="Q2089" t="s">
        <v>3169</v>
      </c>
      <c r="R2089" t="s">
        <v>248</v>
      </c>
      <c r="S2089">
        <v>149.001543</v>
      </c>
      <c r="T2089" s="1095">
        <v>-30.427329</v>
      </c>
    </row>
    <row r="2090" spans="16:20">
      <c r="P2090" s="1094">
        <v>2390</v>
      </c>
      <c r="Q2090" t="s">
        <v>3170</v>
      </c>
      <c r="R2090" t="s">
        <v>248</v>
      </c>
      <c r="S2090">
        <v>149.767538</v>
      </c>
      <c r="T2090" s="1095">
        <v>-30.413330999999999</v>
      </c>
    </row>
    <row r="2091" spans="16:20">
      <c r="P2091" s="1094">
        <v>2390</v>
      </c>
      <c r="Q2091" t="s">
        <v>3171</v>
      </c>
      <c r="R2091" t="s">
        <v>248</v>
      </c>
      <c r="S2091">
        <v>149.767538</v>
      </c>
      <c r="T2091" s="1095">
        <v>-30.413330999999999</v>
      </c>
    </row>
    <row r="2092" spans="16:20">
      <c r="P2092" s="1094">
        <v>2390</v>
      </c>
      <c r="Q2092" t="s">
        <v>3172</v>
      </c>
      <c r="R2092" t="s">
        <v>248</v>
      </c>
      <c r="S2092">
        <v>149.767538</v>
      </c>
      <c r="T2092" s="1095">
        <v>-30.413330999999999</v>
      </c>
    </row>
    <row r="2093" spans="16:20">
      <c r="P2093" s="1094">
        <v>2390</v>
      </c>
      <c r="Q2093" t="s">
        <v>3173</v>
      </c>
      <c r="R2093" t="s">
        <v>248</v>
      </c>
      <c r="S2093">
        <v>149.767538</v>
      </c>
      <c r="T2093" s="1095">
        <v>-30.413330999999999</v>
      </c>
    </row>
    <row r="2094" spans="16:20">
      <c r="P2094" s="1094">
        <v>2390</v>
      </c>
      <c r="Q2094" t="s">
        <v>3174</v>
      </c>
      <c r="R2094" t="s">
        <v>248</v>
      </c>
      <c r="S2094">
        <v>149.767538</v>
      </c>
      <c r="T2094" s="1095">
        <v>-30.413330999999999</v>
      </c>
    </row>
    <row r="2095" spans="16:20">
      <c r="P2095" s="1094">
        <v>2390</v>
      </c>
      <c r="Q2095" t="s">
        <v>3175</v>
      </c>
      <c r="R2095" t="s">
        <v>248</v>
      </c>
      <c r="S2095">
        <v>149.767538</v>
      </c>
      <c r="T2095" s="1095">
        <v>-30.413330999999999</v>
      </c>
    </row>
    <row r="2096" spans="16:20">
      <c r="P2096" s="1094">
        <v>2390</v>
      </c>
      <c r="Q2096" t="s">
        <v>3176</v>
      </c>
      <c r="R2096" t="s">
        <v>248</v>
      </c>
      <c r="S2096">
        <v>149.767538</v>
      </c>
      <c r="T2096" s="1095">
        <v>-30.413330999999999</v>
      </c>
    </row>
    <row r="2097" spans="16:20">
      <c r="P2097" s="1094">
        <v>2390</v>
      </c>
      <c r="Q2097" t="s">
        <v>3177</v>
      </c>
      <c r="R2097" t="s">
        <v>248</v>
      </c>
      <c r="S2097">
        <v>149.767538</v>
      </c>
      <c r="T2097" s="1095">
        <v>-30.413330999999999</v>
      </c>
    </row>
    <row r="2098" spans="16:20">
      <c r="P2098" s="1094">
        <v>2390</v>
      </c>
      <c r="Q2098" t="s">
        <v>3178</v>
      </c>
      <c r="R2098" t="s">
        <v>248</v>
      </c>
      <c r="S2098">
        <v>149.767538</v>
      </c>
      <c r="T2098" s="1095">
        <v>-30.413330999999999</v>
      </c>
    </row>
    <row r="2099" spans="16:20">
      <c r="P2099" s="1094">
        <v>2390</v>
      </c>
      <c r="Q2099" t="s">
        <v>3179</v>
      </c>
      <c r="R2099" t="s">
        <v>248</v>
      </c>
      <c r="S2099">
        <v>149.767538</v>
      </c>
      <c r="T2099" s="1095">
        <v>-30.413330999999999</v>
      </c>
    </row>
    <row r="2100" spans="16:20">
      <c r="P2100" s="1094">
        <v>2390</v>
      </c>
      <c r="Q2100" t="s">
        <v>3180</v>
      </c>
      <c r="R2100" t="s">
        <v>248</v>
      </c>
      <c r="S2100">
        <v>149.767538</v>
      </c>
      <c r="T2100" s="1095">
        <v>-30.413330999999999</v>
      </c>
    </row>
    <row r="2101" spans="16:20">
      <c r="P2101" s="1094">
        <v>2390</v>
      </c>
      <c r="Q2101" t="s">
        <v>3181</v>
      </c>
      <c r="R2101" t="s">
        <v>248</v>
      </c>
      <c r="S2101">
        <v>149.767538</v>
      </c>
      <c r="T2101" s="1095">
        <v>-30.413330999999999</v>
      </c>
    </row>
    <row r="2102" spans="16:20">
      <c r="P2102" s="1094">
        <v>2390</v>
      </c>
      <c r="Q2102" t="s">
        <v>3182</v>
      </c>
      <c r="R2102" t="s">
        <v>248</v>
      </c>
      <c r="S2102">
        <v>149.767538</v>
      </c>
      <c r="T2102" s="1095">
        <v>-30.413330999999999</v>
      </c>
    </row>
    <row r="2103" spans="16:20">
      <c r="P2103" s="1094">
        <v>2395</v>
      </c>
      <c r="Q2103" t="s">
        <v>3183</v>
      </c>
      <c r="R2103" t="s">
        <v>248</v>
      </c>
      <c r="S2103">
        <v>149.440922</v>
      </c>
      <c r="T2103" s="1095">
        <v>-31.584171999999999</v>
      </c>
    </row>
    <row r="2104" spans="16:20">
      <c r="P2104" s="1094">
        <v>2395</v>
      </c>
      <c r="Q2104" t="s">
        <v>3184</v>
      </c>
      <c r="R2104" t="s">
        <v>248</v>
      </c>
      <c r="S2104">
        <v>149.440922</v>
      </c>
      <c r="T2104" s="1095">
        <v>-31.584171999999999</v>
      </c>
    </row>
    <row r="2105" spans="16:20">
      <c r="P2105" s="1094">
        <v>2396</v>
      </c>
      <c r="Q2105" t="s">
        <v>3185</v>
      </c>
      <c r="R2105" t="s">
        <v>248</v>
      </c>
      <c r="S2105">
        <v>148.98406299999999</v>
      </c>
      <c r="T2105" s="1095">
        <v>-30.777380999999998</v>
      </c>
    </row>
    <row r="2106" spans="16:20">
      <c r="P2106" s="1094">
        <v>2396</v>
      </c>
      <c r="Q2106" t="s">
        <v>3186</v>
      </c>
      <c r="R2106" t="s">
        <v>248</v>
      </c>
      <c r="S2106">
        <v>148.98406299999999</v>
      </c>
      <c r="T2106" s="1095">
        <v>-30.777380999999998</v>
      </c>
    </row>
    <row r="2107" spans="16:20">
      <c r="P2107" s="1094">
        <v>2396</v>
      </c>
      <c r="Q2107" t="s">
        <v>3187</v>
      </c>
      <c r="R2107" t="s">
        <v>248</v>
      </c>
      <c r="S2107">
        <v>148.98406299999999</v>
      </c>
      <c r="T2107" s="1095">
        <v>-30.777380999999998</v>
      </c>
    </row>
    <row r="2108" spans="16:20">
      <c r="P2108" s="1094">
        <v>2397</v>
      </c>
      <c r="Q2108" t="s">
        <v>3188</v>
      </c>
      <c r="R2108" t="s">
        <v>248</v>
      </c>
      <c r="S2108">
        <v>149.690988</v>
      </c>
      <c r="T2108" s="1095">
        <v>-29.925739</v>
      </c>
    </row>
    <row r="2109" spans="16:20">
      <c r="P2109" s="1094">
        <v>2397</v>
      </c>
      <c r="Q2109" t="s">
        <v>3189</v>
      </c>
      <c r="R2109" t="s">
        <v>248</v>
      </c>
      <c r="S2109">
        <v>149.690988</v>
      </c>
      <c r="T2109" s="1095">
        <v>-29.925739</v>
      </c>
    </row>
    <row r="2110" spans="16:20">
      <c r="P2110" s="1094">
        <v>2397</v>
      </c>
      <c r="Q2110" t="s">
        <v>3190</v>
      </c>
      <c r="R2110" t="s">
        <v>248</v>
      </c>
      <c r="S2110">
        <v>149.690988</v>
      </c>
      <c r="T2110" s="1095">
        <v>-29.925739</v>
      </c>
    </row>
    <row r="2111" spans="16:20">
      <c r="P2111" s="1094">
        <v>2398</v>
      </c>
      <c r="Q2111" t="s">
        <v>3191</v>
      </c>
      <c r="R2111" t="s">
        <v>248</v>
      </c>
      <c r="S2111">
        <v>149.795738</v>
      </c>
      <c r="T2111" s="1095">
        <v>-29.741060999999998</v>
      </c>
    </row>
    <row r="2112" spans="16:20">
      <c r="P2112" s="1094">
        <v>2399</v>
      </c>
      <c r="Q2112" t="s">
        <v>3192</v>
      </c>
      <c r="R2112" t="s">
        <v>248</v>
      </c>
      <c r="S2112">
        <v>150.22266200000001</v>
      </c>
      <c r="T2112" s="1095">
        <v>-29.409324999999999</v>
      </c>
    </row>
    <row r="2113" spans="16:20">
      <c r="P2113" s="1094">
        <v>2399</v>
      </c>
      <c r="Q2113" t="s">
        <v>3193</v>
      </c>
      <c r="R2113" t="s">
        <v>248</v>
      </c>
      <c r="S2113">
        <v>150.22266200000001</v>
      </c>
      <c r="T2113" s="1095">
        <v>-29.409324999999999</v>
      </c>
    </row>
    <row r="2114" spans="16:20">
      <c r="P2114" s="1094">
        <v>2399</v>
      </c>
      <c r="Q2114" t="s">
        <v>3194</v>
      </c>
      <c r="R2114" t="s">
        <v>248</v>
      </c>
      <c r="S2114">
        <v>150.22266200000001</v>
      </c>
      <c r="T2114" s="1095">
        <v>-29.409324999999999</v>
      </c>
    </row>
    <row r="2115" spans="16:20">
      <c r="P2115" s="1094">
        <v>2400</v>
      </c>
      <c r="Q2115" t="s">
        <v>3195</v>
      </c>
      <c r="R2115" t="s">
        <v>248</v>
      </c>
      <c r="S2115">
        <v>149.46214800000001</v>
      </c>
      <c r="T2115" s="1095">
        <v>-29.474920999999998</v>
      </c>
    </row>
    <row r="2116" spans="16:20">
      <c r="P2116" s="1094">
        <v>2400</v>
      </c>
      <c r="Q2116" t="s">
        <v>3196</v>
      </c>
      <c r="R2116" t="s">
        <v>248</v>
      </c>
      <c r="S2116">
        <v>149.46214800000001</v>
      </c>
      <c r="T2116" s="1095">
        <v>-29.474920999999998</v>
      </c>
    </row>
    <row r="2117" spans="16:20">
      <c r="P2117" s="1094">
        <v>2400</v>
      </c>
      <c r="Q2117" t="s">
        <v>3197</v>
      </c>
      <c r="R2117" t="s">
        <v>248</v>
      </c>
      <c r="S2117">
        <v>149.46214800000001</v>
      </c>
      <c r="T2117" s="1095">
        <v>-29.474920999999998</v>
      </c>
    </row>
    <row r="2118" spans="16:20">
      <c r="P2118" s="1094">
        <v>2400</v>
      </c>
      <c r="Q2118" t="s">
        <v>3198</v>
      </c>
      <c r="R2118" t="s">
        <v>248</v>
      </c>
      <c r="S2118">
        <v>149.46214800000001</v>
      </c>
      <c r="T2118" s="1095">
        <v>-29.474920999999998</v>
      </c>
    </row>
    <row r="2119" spans="16:20">
      <c r="P2119" s="1094">
        <v>2400</v>
      </c>
      <c r="Q2119" t="s">
        <v>3199</v>
      </c>
      <c r="R2119" t="s">
        <v>248</v>
      </c>
      <c r="S2119">
        <v>149.46214800000001</v>
      </c>
      <c r="T2119" s="1095">
        <v>-29.474920999999998</v>
      </c>
    </row>
    <row r="2120" spans="16:20">
      <c r="P2120" s="1094">
        <v>2400</v>
      </c>
      <c r="Q2120" t="s">
        <v>3200</v>
      </c>
      <c r="R2120" t="s">
        <v>248</v>
      </c>
      <c r="S2120">
        <v>149.46214800000001</v>
      </c>
      <c r="T2120" s="1095">
        <v>-29.474920999999998</v>
      </c>
    </row>
    <row r="2121" spans="16:20">
      <c r="P2121" s="1094">
        <v>2400</v>
      </c>
      <c r="Q2121" t="s">
        <v>3201</v>
      </c>
      <c r="R2121" t="s">
        <v>248</v>
      </c>
      <c r="S2121">
        <v>149.46214800000001</v>
      </c>
      <c r="T2121" s="1095">
        <v>-29.474920999999998</v>
      </c>
    </row>
    <row r="2122" spans="16:20">
      <c r="P2122" s="1094">
        <v>2400</v>
      </c>
      <c r="Q2122" t="s">
        <v>3202</v>
      </c>
      <c r="R2122" t="s">
        <v>248</v>
      </c>
      <c r="S2122">
        <v>149.46214800000001</v>
      </c>
      <c r="T2122" s="1095">
        <v>-29.474920999999998</v>
      </c>
    </row>
    <row r="2123" spans="16:20">
      <c r="P2123" s="1094">
        <v>2400</v>
      </c>
      <c r="Q2123" t="s">
        <v>3203</v>
      </c>
      <c r="R2123" t="s">
        <v>248</v>
      </c>
      <c r="S2123">
        <v>149.46214800000001</v>
      </c>
      <c r="T2123" s="1095">
        <v>-29.474920999999998</v>
      </c>
    </row>
    <row r="2124" spans="16:20">
      <c r="P2124" s="1094">
        <v>2400</v>
      </c>
      <c r="Q2124" t="s">
        <v>3204</v>
      </c>
      <c r="R2124" t="s">
        <v>248</v>
      </c>
      <c r="S2124">
        <v>149.46214800000001</v>
      </c>
      <c r="T2124" s="1095">
        <v>-29.474920999999998</v>
      </c>
    </row>
    <row r="2125" spans="16:20">
      <c r="P2125" s="1094">
        <v>2401</v>
      </c>
      <c r="Q2125" t="s">
        <v>3205</v>
      </c>
      <c r="R2125" t="s">
        <v>248</v>
      </c>
      <c r="S2125">
        <v>150.33161899999999</v>
      </c>
      <c r="T2125" s="1095">
        <v>-29.611901</v>
      </c>
    </row>
    <row r="2126" spans="16:20">
      <c r="P2126" s="1094">
        <v>2402</v>
      </c>
      <c r="Q2126" t="s">
        <v>3206</v>
      </c>
      <c r="R2126" t="s">
        <v>248</v>
      </c>
      <c r="S2126">
        <v>150.54754500000001</v>
      </c>
      <c r="T2126" s="1095">
        <v>-29.441821000000001</v>
      </c>
    </row>
    <row r="2127" spans="16:20">
      <c r="P2127" s="1094">
        <v>2402</v>
      </c>
      <c r="Q2127" t="s">
        <v>3207</v>
      </c>
      <c r="R2127" t="s">
        <v>248</v>
      </c>
      <c r="S2127">
        <v>150.54754500000001</v>
      </c>
      <c r="T2127" s="1095">
        <v>-29.441821000000001</v>
      </c>
    </row>
    <row r="2128" spans="16:20">
      <c r="P2128" s="1094">
        <v>2402</v>
      </c>
      <c r="Q2128" t="s">
        <v>3208</v>
      </c>
      <c r="R2128" t="s">
        <v>248</v>
      </c>
      <c r="S2128">
        <v>150.54754500000001</v>
      </c>
      <c r="T2128" s="1095">
        <v>-29.441821000000001</v>
      </c>
    </row>
    <row r="2129" spans="16:20">
      <c r="P2129" s="1094">
        <v>2403</v>
      </c>
      <c r="Q2129" t="s">
        <v>3209</v>
      </c>
      <c r="R2129" t="s">
        <v>248</v>
      </c>
      <c r="S2129">
        <v>150.78733299999999</v>
      </c>
      <c r="T2129" s="1095">
        <v>-29.620234</v>
      </c>
    </row>
    <row r="2130" spans="16:20">
      <c r="P2130" s="1094">
        <v>2403</v>
      </c>
      <c r="Q2130" t="s">
        <v>3210</v>
      </c>
      <c r="R2130" t="s">
        <v>248</v>
      </c>
      <c r="S2130">
        <v>150.78733299999999</v>
      </c>
      <c r="T2130" s="1095">
        <v>-29.620234</v>
      </c>
    </row>
    <row r="2131" spans="16:20">
      <c r="P2131" s="1094">
        <v>2403</v>
      </c>
      <c r="Q2131" t="s">
        <v>3211</v>
      </c>
      <c r="R2131" t="s">
        <v>248</v>
      </c>
      <c r="S2131">
        <v>150.78733299999999</v>
      </c>
      <c r="T2131" s="1095">
        <v>-29.620234</v>
      </c>
    </row>
    <row r="2132" spans="16:20">
      <c r="P2132" s="1094">
        <v>2403</v>
      </c>
      <c r="Q2132" t="s">
        <v>3212</v>
      </c>
      <c r="R2132" t="s">
        <v>248</v>
      </c>
      <c r="S2132">
        <v>150.78733299999999</v>
      </c>
      <c r="T2132" s="1095">
        <v>-29.620234</v>
      </c>
    </row>
    <row r="2133" spans="16:20">
      <c r="P2133" s="1094">
        <v>2404</v>
      </c>
      <c r="Q2133" t="s">
        <v>3213</v>
      </c>
      <c r="R2133" t="s">
        <v>248</v>
      </c>
      <c r="S2133">
        <v>150.49786</v>
      </c>
      <c r="T2133" s="1095">
        <v>-29.871531999999998</v>
      </c>
    </row>
    <row r="2134" spans="16:20">
      <c r="P2134" s="1094">
        <v>2404</v>
      </c>
      <c r="Q2134" t="s">
        <v>3214</v>
      </c>
      <c r="R2134" t="s">
        <v>248</v>
      </c>
      <c r="S2134">
        <v>150.49786</v>
      </c>
      <c r="T2134" s="1095">
        <v>-29.871531999999998</v>
      </c>
    </row>
    <row r="2135" spans="16:20">
      <c r="P2135" s="1094">
        <v>2404</v>
      </c>
      <c r="Q2135" t="s">
        <v>3215</v>
      </c>
      <c r="R2135" t="s">
        <v>248</v>
      </c>
      <c r="S2135">
        <v>150.49786</v>
      </c>
      <c r="T2135" s="1095">
        <v>-29.871531999999998</v>
      </c>
    </row>
    <row r="2136" spans="16:20">
      <c r="P2136" s="1094">
        <v>2404</v>
      </c>
      <c r="Q2136" t="s">
        <v>3216</v>
      </c>
      <c r="R2136" t="s">
        <v>248</v>
      </c>
      <c r="S2136">
        <v>150.49786</v>
      </c>
      <c r="T2136" s="1095">
        <v>-29.871531999999998</v>
      </c>
    </row>
    <row r="2137" spans="16:20">
      <c r="P2137" s="1094">
        <v>2405</v>
      </c>
      <c r="Q2137" t="s">
        <v>3217</v>
      </c>
      <c r="R2137" t="s">
        <v>248</v>
      </c>
      <c r="S2137">
        <v>149.64724899999999</v>
      </c>
      <c r="T2137" s="1095">
        <v>-28.894651</v>
      </c>
    </row>
    <row r="2138" spans="16:20">
      <c r="P2138" s="1094">
        <v>2405</v>
      </c>
      <c r="Q2138" t="s">
        <v>3218</v>
      </c>
      <c r="R2138" t="s">
        <v>248</v>
      </c>
      <c r="S2138">
        <v>149.64724899999999</v>
      </c>
      <c r="T2138" s="1095">
        <v>-28.894651</v>
      </c>
    </row>
    <row r="2139" spans="16:20">
      <c r="P2139" s="1094">
        <v>2406</v>
      </c>
      <c r="Q2139" t="s">
        <v>3219</v>
      </c>
      <c r="R2139" t="s">
        <v>248</v>
      </c>
      <c r="S2139">
        <v>148.84779599999999</v>
      </c>
      <c r="T2139" s="1095">
        <v>-28.893723999999999</v>
      </c>
    </row>
    <row r="2140" spans="16:20">
      <c r="P2140" s="1094">
        <v>2406</v>
      </c>
      <c r="Q2140" t="s">
        <v>3220</v>
      </c>
      <c r="R2140" t="s">
        <v>248</v>
      </c>
      <c r="S2140">
        <v>148.84779599999999</v>
      </c>
      <c r="T2140" s="1095">
        <v>-28.893723999999999</v>
      </c>
    </row>
    <row r="2141" spans="16:20">
      <c r="P2141" s="1094">
        <v>2408</v>
      </c>
      <c r="Q2141" t="s">
        <v>3221</v>
      </c>
      <c r="R2141" t="s">
        <v>248</v>
      </c>
      <c r="S2141">
        <v>150.43503200000001</v>
      </c>
      <c r="T2141" s="1095">
        <v>-29.035917999999999</v>
      </c>
    </row>
    <row r="2142" spans="16:20">
      <c r="P2142" s="1094">
        <v>2408</v>
      </c>
      <c r="Q2142" t="s">
        <v>3222</v>
      </c>
      <c r="R2142" t="s">
        <v>248</v>
      </c>
      <c r="S2142">
        <v>150.43503200000001</v>
      </c>
      <c r="T2142" s="1095">
        <v>-29.035917999999999</v>
      </c>
    </row>
    <row r="2143" spans="16:20">
      <c r="P2143" s="1094">
        <v>2409</v>
      </c>
      <c r="Q2143" t="s">
        <v>3223</v>
      </c>
      <c r="R2143" t="s">
        <v>248</v>
      </c>
      <c r="S2143">
        <v>150.185847</v>
      </c>
      <c r="T2143" s="1095">
        <v>-28.707837000000001</v>
      </c>
    </row>
    <row r="2144" spans="16:20">
      <c r="P2144" s="1094">
        <v>2410</v>
      </c>
      <c r="Q2144" t="s">
        <v>3224</v>
      </c>
      <c r="R2144" t="s">
        <v>248</v>
      </c>
      <c r="S2144">
        <v>150.742604</v>
      </c>
      <c r="T2144" s="1095">
        <v>-28.901047999999999</v>
      </c>
    </row>
    <row r="2145" spans="16:20">
      <c r="P2145" s="1094">
        <v>2411</v>
      </c>
      <c r="Q2145" t="s">
        <v>3225</v>
      </c>
      <c r="R2145" t="s">
        <v>248</v>
      </c>
      <c r="S2145">
        <v>150.307886</v>
      </c>
      <c r="T2145" s="1095">
        <v>-29.131193</v>
      </c>
    </row>
    <row r="2146" spans="16:20">
      <c r="P2146" s="1094">
        <v>2415</v>
      </c>
      <c r="Q2146" t="s">
        <v>3226</v>
      </c>
      <c r="R2146" t="s">
        <v>248</v>
      </c>
      <c r="S2146">
        <v>151.888327</v>
      </c>
      <c r="T2146" s="1095">
        <v>-32.306266999999998</v>
      </c>
    </row>
    <row r="2147" spans="16:20">
      <c r="P2147" s="1094">
        <v>2415</v>
      </c>
      <c r="Q2147" t="s">
        <v>3227</v>
      </c>
      <c r="R2147" t="s">
        <v>248</v>
      </c>
      <c r="S2147">
        <v>151.888327</v>
      </c>
      <c r="T2147" s="1095">
        <v>-32.306266999999998</v>
      </c>
    </row>
    <row r="2148" spans="16:20">
      <c r="P2148" s="1094">
        <v>2415</v>
      </c>
      <c r="Q2148" t="s">
        <v>3228</v>
      </c>
      <c r="R2148" t="s">
        <v>248</v>
      </c>
      <c r="S2148">
        <v>151.888327</v>
      </c>
      <c r="T2148" s="1095">
        <v>-32.306266999999998</v>
      </c>
    </row>
    <row r="2149" spans="16:20">
      <c r="P2149" s="1094">
        <v>2415</v>
      </c>
      <c r="Q2149" t="s">
        <v>3229</v>
      </c>
      <c r="R2149" t="s">
        <v>248</v>
      </c>
      <c r="S2149">
        <v>151.888327</v>
      </c>
      <c r="T2149" s="1095">
        <v>-32.306266999999998</v>
      </c>
    </row>
    <row r="2150" spans="16:20">
      <c r="P2150" s="1094">
        <v>2420</v>
      </c>
      <c r="Q2150" t="s">
        <v>2341</v>
      </c>
      <c r="R2150" t="s">
        <v>248</v>
      </c>
      <c r="S2150">
        <v>151.68545599999999</v>
      </c>
      <c r="T2150" s="1095">
        <v>-32.239696000000002</v>
      </c>
    </row>
    <row r="2151" spans="16:20">
      <c r="P2151" s="1094">
        <v>2420</v>
      </c>
      <c r="Q2151" t="s">
        <v>3230</v>
      </c>
      <c r="R2151" t="s">
        <v>248</v>
      </c>
      <c r="S2151">
        <v>151.68545599999999</v>
      </c>
      <c r="T2151" s="1095">
        <v>-32.239696000000002</v>
      </c>
    </row>
    <row r="2152" spans="16:20">
      <c r="P2152" s="1094">
        <v>2420</v>
      </c>
      <c r="Q2152" t="s">
        <v>3231</v>
      </c>
      <c r="R2152" t="s">
        <v>248</v>
      </c>
      <c r="S2152">
        <v>151.68545599999999</v>
      </c>
      <c r="T2152" s="1095">
        <v>-32.239696000000002</v>
      </c>
    </row>
    <row r="2153" spans="16:20">
      <c r="P2153" s="1094">
        <v>2420</v>
      </c>
      <c r="Q2153" t="s">
        <v>3232</v>
      </c>
      <c r="R2153" t="s">
        <v>248</v>
      </c>
      <c r="S2153">
        <v>151.68545599999999</v>
      </c>
      <c r="T2153" s="1095">
        <v>-32.239696000000002</v>
      </c>
    </row>
    <row r="2154" spans="16:20">
      <c r="P2154" s="1094">
        <v>2420</v>
      </c>
      <c r="Q2154" t="s">
        <v>3233</v>
      </c>
      <c r="R2154" t="s">
        <v>248</v>
      </c>
      <c r="S2154">
        <v>151.68545599999999</v>
      </c>
      <c r="T2154" s="1095">
        <v>-32.239696000000002</v>
      </c>
    </row>
    <row r="2155" spans="16:20">
      <c r="P2155" s="1094">
        <v>2420</v>
      </c>
      <c r="Q2155" t="s">
        <v>3234</v>
      </c>
      <c r="R2155" t="s">
        <v>248</v>
      </c>
      <c r="S2155">
        <v>151.68545599999999</v>
      </c>
      <c r="T2155" s="1095">
        <v>-32.239696000000002</v>
      </c>
    </row>
    <row r="2156" spans="16:20">
      <c r="P2156" s="1094">
        <v>2420</v>
      </c>
      <c r="Q2156" t="s">
        <v>3235</v>
      </c>
      <c r="R2156" t="s">
        <v>248</v>
      </c>
      <c r="S2156">
        <v>151.68545599999999</v>
      </c>
      <c r="T2156" s="1095">
        <v>-32.239696000000002</v>
      </c>
    </row>
    <row r="2157" spans="16:20">
      <c r="P2157" s="1094">
        <v>2420</v>
      </c>
      <c r="Q2157" t="s">
        <v>3236</v>
      </c>
      <c r="R2157" t="s">
        <v>248</v>
      </c>
      <c r="S2157">
        <v>151.68545599999999</v>
      </c>
      <c r="T2157" s="1095">
        <v>-32.239696000000002</v>
      </c>
    </row>
    <row r="2158" spans="16:20">
      <c r="P2158" s="1094">
        <v>2420</v>
      </c>
      <c r="Q2158" t="s">
        <v>3237</v>
      </c>
      <c r="R2158" t="s">
        <v>248</v>
      </c>
      <c r="S2158">
        <v>151.68545599999999</v>
      </c>
      <c r="T2158" s="1095">
        <v>-32.239696000000002</v>
      </c>
    </row>
    <row r="2159" spans="16:20">
      <c r="P2159" s="1094">
        <v>2420</v>
      </c>
      <c r="Q2159" t="s">
        <v>3238</v>
      </c>
      <c r="R2159" t="s">
        <v>248</v>
      </c>
      <c r="S2159">
        <v>151.68545599999999</v>
      </c>
      <c r="T2159" s="1095">
        <v>-32.239696000000002</v>
      </c>
    </row>
    <row r="2160" spans="16:20">
      <c r="P2160" s="1094">
        <v>2420</v>
      </c>
      <c r="Q2160" t="s">
        <v>3239</v>
      </c>
      <c r="R2160" t="s">
        <v>248</v>
      </c>
      <c r="S2160">
        <v>151.68545599999999</v>
      </c>
      <c r="T2160" s="1095">
        <v>-32.239696000000002</v>
      </c>
    </row>
    <row r="2161" spans="16:20">
      <c r="P2161" s="1094">
        <v>2420</v>
      </c>
      <c r="Q2161" t="s">
        <v>3240</v>
      </c>
      <c r="R2161" t="s">
        <v>248</v>
      </c>
      <c r="S2161">
        <v>151.68545599999999</v>
      </c>
      <c r="T2161" s="1095">
        <v>-32.239696000000002</v>
      </c>
    </row>
    <row r="2162" spans="16:20">
      <c r="P2162" s="1094">
        <v>2420</v>
      </c>
      <c r="Q2162" t="s">
        <v>3241</v>
      </c>
      <c r="R2162" t="s">
        <v>248</v>
      </c>
      <c r="S2162">
        <v>151.68545599999999</v>
      </c>
      <c r="T2162" s="1095">
        <v>-32.239696000000002</v>
      </c>
    </row>
    <row r="2163" spans="16:20">
      <c r="P2163" s="1094">
        <v>2420</v>
      </c>
      <c r="Q2163" t="s">
        <v>3242</v>
      </c>
      <c r="R2163" t="s">
        <v>248</v>
      </c>
      <c r="S2163">
        <v>151.68545599999999</v>
      </c>
      <c r="T2163" s="1095">
        <v>-32.239696000000002</v>
      </c>
    </row>
    <row r="2164" spans="16:20">
      <c r="P2164" s="1094">
        <v>2420</v>
      </c>
      <c r="Q2164" t="s">
        <v>3243</v>
      </c>
      <c r="R2164" t="s">
        <v>248</v>
      </c>
      <c r="S2164">
        <v>151.68545599999999</v>
      </c>
      <c r="T2164" s="1095">
        <v>-32.239696000000002</v>
      </c>
    </row>
    <row r="2165" spans="16:20">
      <c r="P2165" s="1094">
        <v>2420</v>
      </c>
      <c r="Q2165" t="s">
        <v>3244</v>
      </c>
      <c r="R2165" t="s">
        <v>248</v>
      </c>
      <c r="S2165">
        <v>151.68545599999999</v>
      </c>
      <c r="T2165" s="1095">
        <v>-32.239696000000002</v>
      </c>
    </row>
    <row r="2166" spans="16:20">
      <c r="P2166" s="1094">
        <v>2420</v>
      </c>
      <c r="Q2166" t="s">
        <v>3245</v>
      </c>
      <c r="R2166" t="s">
        <v>248</v>
      </c>
      <c r="S2166">
        <v>151.68545599999999</v>
      </c>
      <c r="T2166" s="1095">
        <v>-32.239696000000002</v>
      </c>
    </row>
    <row r="2167" spans="16:20">
      <c r="P2167" s="1094">
        <v>2420</v>
      </c>
      <c r="Q2167" t="s">
        <v>3246</v>
      </c>
      <c r="R2167" t="s">
        <v>248</v>
      </c>
      <c r="S2167">
        <v>151.68545599999999</v>
      </c>
      <c r="T2167" s="1095">
        <v>-32.239696000000002</v>
      </c>
    </row>
    <row r="2168" spans="16:20">
      <c r="P2168" s="1094">
        <v>2420</v>
      </c>
      <c r="Q2168" t="s">
        <v>3247</v>
      </c>
      <c r="R2168" t="s">
        <v>248</v>
      </c>
      <c r="S2168">
        <v>151.68545599999999</v>
      </c>
      <c r="T2168" s="1095">
        <v>-32.239696000000002</v>
      </c>
    </row>
    <row r="2169" spans="16:20">
      <c r="P2169" s="1094">
        <v>2420</v>
      </c>
      <c r="Q2169" t="s">
        <v>3248</v>
      </c>
      <c r="R2169" t="s">
        <v>248</v>
      </c>
      <c r="S2169">
        <v>151.68545599999999</v>
      </c>
      <c r="T2169" s="1095">
        <v>-32.239696000000002</v>
      </c>
    </row>
    <row r="2170" spans="16:20">
      <c r="P2170" s="1094">
        <v>2420</v>
      </c>
      <c r="Q2170" t="s">
        <v>3249</v>
      </c>
      <c r="R2170" t="s">
        <v>248</v>
      </c>
      <c r="S2170">
        <v>151.68545599999999</v>
      </c>
      <c r="T2170" s="1095">
        <v>-32.239696000000002</v>
      </c>
    </row>
    <row r="2171" spans="16:20">
      <c r="P2171" s="1094">
        <v>2420</v>
      </c>
      <c r="Q2171" t="s">
        <v>3250</v>
      </c>
      <c r="R2171" t="s">
        <v>248</v>
      </c>
      <c r="S2171">
        <v>151.68545599999999</v>
      </c>
      <c r="T2171" s="1095">
        <v>-32.239696000000002</v>
      </c>
    </row>
    <row r="2172" spans="16:20">
      <c r="P2172" s="1094">
        <v>2421</v>
      </c>
      <c r="Q2172" t="s">
        <v>3251</v>
      </c>
      <c r="R2172" t="s">
        <v>248</v>
      </c>
      <c r="S2172">
        <v>151.54301699999999</v>
      </c>
      <c r="T2172" s="1095">
        <v>-32.601852999999998</v>
      </c>
    </row>
    <row r="2173" spans="16:20">
      <c r="P2173" s="1094">
        <v>2421</v>
      </c>
      <c r="Q2173" t="s">
        <v>3252</v>
      </c>
      <c r="R2173" t="s">
        <v>248</v>
      </c>
      <c r="S2173">
        <v>151.54301699999999</v>
      </c>
      <c r="T2173" s="1095">
        <v>-32.601852999999998</v>
      </c>
    </row>
    <row r="2174" spans="16:20">
      <c r="P2174" s="1094">
        <v>2421</v>
      </c>
      <c r="Q2174" t="s">
        <v>3253</v>
      </c>
      <c r="R2174" t="s">
        <v>248</v>
      </c>
      <c r="S2174">
        <v>151.54301699999999</v>
      </c>
      <c r="T2174" s="1095">
        <v>-32.601852999999998</v>
      </c>
    </row>
    <row r="2175" spans="16:20">
      <c r="P2175" s="1094">
        <v>2421</v>
      </c>
      <c r="Q2175" t="s">
        <v>3014</v>
      </c>
      <c r="R2175" t="s">
        <v>248</v>
      </c>
      <c r="S2175">
        <v>151.54301699999999</v>
      </c>
      <c r="T2175" s="1095">
        <v>-32.601852999999998</v>
      </c>
    </row>
    <row r="2176" spans="16:20">
      <c r="P2176" s="1094">
        <v>2421</v>
      </c>
      <c r="Q2176" t="s">
        <v>3254</v>
      </c>
      <c r="R2176" t="s">
        <v>248</v>
      </c>
      <c r="S2176">
        <v>151.54301699999999</v>
      </c>
      <c r="T2176" s="1095">
        <v>-32.601852999999998</v>
      </c>
    </row>
    <row r="2177" spans="16:20">
      <c r="P2177" s="1094">
        <v>2421</v>
      </c>
      <c r="Q2177" t="s">
        <v>3255</v>
      </c>
      <c r="R2177" t="s">
        <v>248</v>
      </c>
      <c r="S2177">
        <v>151.54301699999999</v>
      </c>
      <c r="T2177" s="1095">
        <v>-32.601852999999998</v>
      </c>
    </row>
    <row r="2178" spans="16:20">
      <c r="P2178" s="1094">
        <v>2422</v>
      </c>
      <c r="Q2178" t="s">
        <v>3256</v>
      </c>
      <c r="R2178" t="s">
        <v>248</v>
      </c>
      <c r="S2178">
        <v>151.86580599999999</v>
      </c>
      <c r="T2178" s="1095">
        <v>-31.973082000000002</v>
      </c>
    </row>
    <row r="2179" spans="16:20">
      <c r="P2179" s="1094">
        <v>2422</v>
      </c>
      <c r="Q2179" t="s">
        <v>3007</v>
      </c>
      <c r="R2179" t="s">
        <v>248</v>
      </c>
      <c r="S2179">
        <v>151.86580599999999</v>
      </c>
      <c r="T2179" s="1095">
        <v>-31.973082000000002</v>
      </c>
    </row>
    <row r="2180" spans="16:20">
      <c r="P2180" s="1094">
        <v>2422</v>
      </c>
      <c r="Q2180" t="s">
        <v>3257</v>
      </c>
      <c r="R2180" t="s">
        <v>248</v>
      </c>
      <c r="S2180">
        <v>151.86580599999999</v>
      </c>
      <c r="T2180" s="1095">
        <v>-31.973082000000002</v>
      </c>
    </row>
    <row r="2181" spans="16:20">
      <c r="P2181" s="1094">
        <v>2422</v>
      </c>
      <c r="Q2181" t="s">
        <v>3258</v>
      </c>
      <c r="R2181" t="s">
        <v>248</v>
      </c>
      <c r="S2181">
        <v>151.86580599999999</v>
      </c>
      <c r="T2181" s="1095">
        <v>-31.973082000000002</v>
      </c>
    </row>
    <row r="2182" spans="16:20">
      <c r="P2182" s="1094">
        <v>2422</v>
      </c>
      <c r="Q2182" t="s">
        <v>3259</v>
      </c>
      <c r="R2182" t="s">
        <v>248</v>
      </c>
      <c r="S2182">
        <v>151.86580599999999</v>
      </c>
      <c r="T2182" s="1095">
        <v>-31.973082000000002</v>
      </c>
    </row>
    <row r="2183" spans="16:20">
      <c r="P2183" s="1094">
        <v>2422</v>
      </c>
      <c r="Q2183" t="s">
        <v>3260</v>
      </c>
      <c r="R2183" t="s">
        <v>248</v>
      </c>
      <c r="S2183">
        <v>151.86580599999999</v>
      </c>
      <c r="T2183" s="1095">
        <v>-31.973082000000002</v>
      </c>
    </row>
    <row r="2184" spans="16:20">
      <c r="P2184" s="1094">
        <v>2422</v>
      </c>
      <c r="Q2184" t="s">
        <v>3261</v>
      </c>
      <c r="R2184" t="s">
        <v>248</v>
      </c>
      <c r="S2184">
        <v>151.86580599999999</v>
      </c>
      <c r="T2184" s="1095">
        <v>-31.973082000000002</v>
      </c>
    </row>
    <row r="2185" spans="16:20">
      <c r="P2185" s="1094">
        <v>2422</v>
      </c>
      <c r="Q2185" t="s">
        <v>3262</v>
      </c>
      <c r="R2185" t="s">
        <v>248</v>
      </c>
      <c r="S2185">
        <v>151.86580599999999</v>
      </c>
      <c r="T2185" s="1095">
        <v>-31.973082000000002</v>
      </c>
    </row>
    <row r="2186" spans="16:20">
      <c r="P2186" s="1094">
        <v>2422</v>
      </c>
      <c r="Q2186" t="s">
        <v>3263</v>
      </c>
      <c r="R2186" t="s">
        <v>248</v>
      </c>
      <c r="S2186">
        <v>151.86580599999999</v>
      </c>
      <c r="T2186" s="1095">
        <v>-31.973082000000002</v>
      </c>
    </row>
    <row r="2187" spans="16:20">
      <c r="P2187" s="1094">
        <v>2422</v>
      </c>
      <c r="Q2187" t="s">
        <v>3264</v>
      </c>
      <c r="R2187" t="s">
        <v>248</v>
      </c>
      <c r="S2187">
        <v>151.86580599999999</v>
      </c>
      <c r="T2187" s="1095">
        <v>-31.973082000000002</v>
      </c>
    </row>
    <row r="2188" spans="16:20">
      <c r="P2188" s="1094">
        <v>2422</v>
      </c>
      <c r="Q2188" t="s">
        <v>3265</v>
      </c>
      <c r="R2188" t="s">
        <v>248</v>
      </c>
      <c r="S2188">
        <v>151.86580599999999</v>
      </c>
      <c r="T2188" s="1095">
        <v>-31.973082000000002</v>
      </c>
    </row>
    <row r="2189" spans="16:20">
      <c r="P2189" s="1094">
        <v>2422</v>
      </c>
      <c r="Q2189" t="s">
        <v>3266</v>
      </c>
      <c r="R2189" t="s">
        <v>248</v>
      </c>
      <c r="S2189">
        <v>151.86580599999999</v>
      </c>
      <c r="T2189" s="1095">
        <v>-31.973082000000002</v>
      </c>
    </row>
    <row r="2190" spans="16:20">
      <c r="P2190" s="1094">
        <v>2422</v>
      </c>
      <c r="Q2190" t="s">
        <v>3267</v>
      </c>
      <c r="R2190" t="s">
        <v>248</v>
      </c>
      <c r="S2190">
        <v>151.86580599999999</v>
      </c>
      <c r="T2190" s="1095">
        <v>-31.973082000000002</v>
      </c>
    </row>
    <row r="2191" spans="16:20">
      <c r="P2191" s="1094">
        <v>2422</v>
      </c>
      <c r="Q2191" t="s">
        <v>3268</v>
      </c>
      <c r="R2191" t="s">
        <v>248</v>
      </c>
      <c r="S2191">
        <v>151.86580599999999</v>
      </c>
      <c r="T2191" s="1095">
        <v>-31.973082000000002</v>
      </c>
    </row>
    <row r="2192" spans="16:20">
      <c r="P2192" s="1094">
        <v>2422</v>
      </c>
      <c r="Q2192" t="s">
        <v>3269</v>
      </c>
      <c r="R2192" t="s">
        <v>248</v>
      </c>
      <c r="S2192">
        <v>151.86580599999999</v>
      </c>
      <c r="T2192" s="1095">
        <v>-31.973082000000002</v>
      </c>
    </row>
    <row r="2193" spans="16:20">
      <c r="P2193" s="1094">
        <v>2422</v>
      </c>
      <c r="Q2193" t="s">
        <v>3270</v>
      </c>
      <c r="R2193" t="s">
        <v>248</v>
      </c>
      <c r="S2193">
        <v>151.86580599999999</v>
      </c>
      <c r="T2193" s="1095">
        <v>-31.973082000000002</v>
      </c>
    </row>
    <row r="2194" spans="16:20">
      <c r="P2194" s="1094">
        <v>2422</v>
      </c>
      <c r="Q2194" t="s">
        <v>3271</v>
      </c>
      <c r="R2194" t="s">
        <v>248</v>
      </c>
      <c r="S2194">
        <v>151.86580599999999</v>
      </c>
      <c r="T2194" s="1095">
        <v>-31.973082000000002</v>
      </c>
    </row>
    <row r="2195" spans="16:20">
      <c r="P2195" s="1094">
        <v>2422</v>
      </c>
      <c r="Q2195" t="s">
        <v>3272</v>
      </c>
      <c r="R2195" t="s">
        <v>248</v>
      </c>
      <c r="S2195">
        <v>151.86580599999999</v>
      </c>
      <c r="T2195" s="1095">
        <v>-31.973082000000002</v>
      </c>
    </row>
    <row r="2196" spans="16:20">
      <c r="P2196" s="1094">
        <v>2422</v>
      </c>
      <c r="Q2196" t="s">
        <v>3273</v>
      </c>
      <c r="R2196" t="s">
        <v>248</v>
      </c>
      <c r="S2196">
        <v>151.86580599999999</v>
      </c>
      <c r="T2196" s="1095">
        <v>-31.973082000000002</v>
      </c>
    </row>
    <row r="2197" spans="16:20">
      <c r="P2197" s="1094">
        <v>2422</v>
      </c>
      <c r="Q2197" t="s">
        <v>3274</v>
      </c>
      <c r="R2197" t="s">
        <v>248</v>
      </c>
      <c r="S2197">
        <v>151.86580599999999</v>
      </c>
      <c r="T2197" s="1095">
        <v>-31.973082000000002</v>
      </c>
    </row>
    <row r="2198" spans="16:20">
      <c r="P2198" s="1094">
        <v>2422</v>
      </c>
      <c r="Q2198" t="s">
        <v>3275</v>
      </c>
      <c r="R2198" t="s">
        <v>248</v>
      </c>
      <c r="S2198">
        <v>151.86580599999999</v>
      </c>
      <c r="T2198" s="1095">
        <v>-31.973082000000002</v>
      </c>
    </row>
    <row r="2199" spans="16:20">
      <c r="P2199" s="1094">
        <v>2422</v>
      </c>
      <c r="Q2199" t="s">
        <v>3276</v>
      </c>
      <c r="R2199" t="s">
        <v>248</v>
      </c>
      <c r="S2199">
        <v>151.86580599999999</v>
      </c>
      <c r="T2199" s="1095">
        <v>-31.973082000000002</v>
      </c>
    </row>
    <row r="2200" spans="16:20">
      <c r="P2200" s="1094">
        <v>2422</v>
      </c>
      <c r="Q2200" t="s">
        <v>3277</v>
      </c>
      <c r="R2200" t="s">
        <v>248</v>
      </c>
      <c r="S2200">
        <v>151.86580599999999</v>
      </c>
      <c r="T2200" s="1095">
        <v>-31.973082000000002</v>
      </c>
    </row>
    <row r="2201" spans="16:20">
      <c r="P2201" s="1094">
        <v>2422</v>
      </c>
      <c r="Q2201" t="s">
        <v>3278</v>
      </c>
      <c r="R2201" t="s">
        <v>248</v>
      </c>
      <c r="S2201">
        <v>151.86580599999999</v>
      </c>
      <c r="T2201" s="1095">
        <v>-31.973082000000002</v>
      </c>
    </row>
    <row r="2202" spans="16:20">
      <c r="P2202" s="1094">
        <v>2422</v>
      </c>
      <c r="Q2202" t="s">
        <v>3279</v>
      </c>
      <c r="R2202" t="s">
        <v>248</v>
      </c>
      <c r="S2202">
        <v>151.86580599999999</v>
      </c>
      <c r="T2202" s="1095">
        <v>-31.973082000000002</v>
      </c>
    </row>
    <row r="2203" spans="16:20">
      <c r="P2203" s="1094">
        <v>2422</v>
      </c>
      <c r="Q2203" t="s">
        <v>3280</v>
      </c>
      <c r="R2203" t="s">
        <v>248</v>
      </c>
      <c r="S2203">
        <v>151.86580599999999</v>
      </c>
      <c r="T2203" s="1095">
        <v>-31.973082000000002</v>
      </c>
    </row>
    <row r="2204" spans="16:20">
      <c r="P2204" s="1094">
        <v>2422</v>
      </c>
      <c r="Q2204" t="s">
        <v>3281</v>
      </c>
      <c r="R2204" t="s">
        <v>248</v>
      </c>
      <c r="S2204">
        <v>151.86580599999999</v>
      </c>
      <c r="T2204" s="1095">
        <v>-31.973082000000002</v>
      </c>
    </row>
    <row r="2205" spans="16:20">
      <c r="P2205" s="1094">
        <v>2422</v>
      </c>
      <c r="Q2205" t="s">
        <v>3282</v>
      </c>
      <c r="R2205" t="s">
        <v>248</v>
      </c>
      <c r="S2205">
        <v>151.86580599999999</v>
      </c>
      <c r="T2205" s="1095">
        <v>-31.973082000000002</v>
      </c>
    </row>
    <row r="2206" spans="16:20">
      <c r="P2206" s="1094">
        <v>2422</v>
      </c>
      <c r="Q2206" t="s">
        <v>3283</v>
      </c>
      <c r="R2206" t="s">
        <v>248</v>
      </c>
      <c r="S2206">
        <v>151.86580599999999</v>
      </c>
      <c r="T2206" s="1095">
        <v>-31.973082000000002</v>
      </c>
    </row>
    <row r="2207" spans="16:20">
      <c r="P2207" s="1094">
        <v>2422</v>
      </c>
      <c r="Q2207" t="s">
        <v>3284</v>
      </c>
      <c r="R2207" t="s">
        <v>248</v>
      </c>
      <c r="S2207">
        <v>151.86580599999999</v>
      </c>
      <c r="T2207" s="1095">
        <v>-31.973082000000002</v>
      </c>
    </row>
    <row r="2208" spans="16:20">
      <c r="P2208" s="1094">
        <v>2422</v>
      </c>
      <c r="Q2208" t="s">
        <v>3285</v>
      </c>
      <c r="R2208" t="s">
        <v>248</v>
      </c>
      <c r="S2208">
        <v>151.86580599999999</v>
      </c>
      <c r="T2208" s="1095">
        <v>-31.973082000000002</v>
      </c>
    </row>
    <row r="2209" spans="16:20">
      <c r="P2209" s="1094">
        <v>2422</v>
      </c>
      <c r="Q2209" t="s">
        <v>3286</v>
      </c>
      <c r="R2209" t="s">
        <v>248</v>
      </c>
      <c r="S2209">
        <v>151.86580599999999</v>
      </c>
      <c r="T2209" s="1095">
        <v>-31.973082000000002</v>
      </c>
    </row>
    <row r="2210" spans="16:20">
      <c r="P2210" s="1094">
        <v>2422</v>
      </c>
      <c r="Q2210" t="s">
        <v>3287</v>
      </c>
      <c r="R2210" t="s">
        <v>248</v>
      </c>
      <c r="S2210">
        <v>151.86580599999999</v>
      </c>
      <c r="T2210" s="1095">
        <v>-31.973082000000002</v>
      </c>
    </row>
    <row r="2211" spans="16:20">
      <c r="P2211" s="1094">
        <v>2422</v>
      </c>
      <c r="Q2211" t="s">
        <v>3288</v>
      </c>
      <c r="R2211" t="s">
        <v>248</v>
      </c>
      <c r="S2211">
        <v>151.86580599999999</v>
      </c>
      <c r="T2211" s="1095">
        <v>-31.973082000000002</v>
      </c>
    </row>
    <row r="2212" spans="16:20">
      <c r="P2212" s="1094">
        <v>2422</v>
      </c>
      <c r="Q2212" t="s">
        <v>3289</v>
      </c>
      <c r="R2212" t="s">
        <v>248</v>
      </c>
      <c r="S2212">
        <v>151.86580599999999</v>
      </c>
      <c r="T2212" s="1095">
        <v>-31.973082000000002</v>
      </c>
    </row>
    <row r="2213" spans="16:20">
      <c r="P2213" s="1094">
        <v>2422</v>
      </c>
      <c r="Q2213" t="s">
        <v>3290</v>
      </c>
      <c r="R2213" t="s">
        <v>248</v>
      </c>
      <c r="S2213">
        <v>151.86580599999999</v>
      </c>
      <c r="T2213" s="1095">
        <v>-31.973082000000002</v>
      </c>
    </row>
    <row r="2214" spans="16:20">
      <c r="P2214" s="1094">
        <v>2422</v>
      </c>
      <c r="Q2214" t="s">
        <v>3291</v>
      </c>
      <c r="R2214" t="s">
        <v>248</v>
      </c>
      <c r="S2214">
        <v>151.86580599999999</v>
      </c>
      <c r="T2214" s="1095">
        <v>-31.973082000000002</v>
      </c>
    </row>
    <row r="2215" spans="16:20">
      <c r="P2215" s="1094">
        <v>2422</v>
      </c>
      <c r="Q2215" t="s">
        <v>3292</v>
      </c>
      <c r="R2215" t="s">
        <v>248</v>
      </c>
      <c r="S2215">
        <v>151.86580599999999</v>
      </c>
      <c r="T2215" s="1095">
        <v>-31.973082000000002</v>
      </c>
    </row>
    <row r="2216" spans="16:20">
      <c r="P2216" s="1094">
        <v>2422</v>
      </c>
      <c r="Q2216" t="s">
        <v>3293</v>
      </c>
      <c r="R2216" t="s">
        <v>248</v>
      </c>
      <c r="S2216">
        <v>151.86580599999999</v>
      </c>
      <c r="T2216" s="1095">
        <v>-31.973082000000002</v>
      </c>
    </row>
    <row r="2217" spans="16:20">
      <c r="P2217" s="1094">
        <v>2422</v>
      </c>
      <c r="Q2217" t="s">
        <v>3294</v>
      </c>
      <c r="R2217" t="s">
        <v>248</v>
      </c>
      <c r="S2217">
        <v>151.86580599999999</v>
      </c>
      <c r="T2217" s="1095">
        <v>-31.973082000000002</v>
      </c>
    </row>
    <row r="2218" spans="16:20">
      <c r="P2218" s="1094">
        <v>2422</v>
      </c>
      <c r="Q2218" t="s">
        <v>3295</v>
      </c>
      <c r="R2218" t="s">
        <v>248</v>
      </c>
      <c r="S2218">
        <v>151.86580599999999</v>
      </c>
      <c r="T2218" s="1095">
        <v>-31.973082000000002</v>
      </c>
    </row>
    <row r="2219" spans="16:20">
      <c r="P2219" s="1094">
        <v>2422</v>
      </c>
      <c r="Q2219" t="s">
        <v>3296</v>
      </c>
      <c r="R2219" t="s">
        <v>248</v>
      </c>
      <c r="S2219">
        <v>151.86580599999999</v>
      </c>
      <c r="T2219" s="1095">
        <v>-31.973082000000002</v>
      </c>
    </row>
    <row r="2220" spans="16:20">
      <c r="P2220" s="1094">
        <v>2422</v>
      </c>
      <c r="Q2220" t="s">
        <v>3297</v>
      </c>
      <c r="R2220" t="s">
        <v>248</v>
      </c>
      <c r="S2220">
        <v>151.86580599999999</v>
      </c>
      <c r="T2220" s="1095">
        <v>-31.973082000000002</v>
      </c>
    </row>
    <row r="2221" spans="16:20">
      <c r="P2221" s="1094">
        <v>2422</v>
      </c>
      <c r="Q2221" t="s">
        <v>3298</v>
      </c>
      <c r="R2221" t="s">
        <v>248</v>
      </c>
      <c r="S2221">
        <v>151.86580599999999</v>
      </c>
      <c r="T2221" s="1095">
        <v>-31.973082000000002</v>
      </c>
    </row>
    <row r="2222" spans="16:20">
      <c r="P2222" s="1094">
        <v>2422</v>
      </c>
      <c r="Q2222" t="s">
        <v>3299</v>
      </c>
      <c r="R2222" t="s">
        <v>248</v>
      </c>
      <c r="S2222">
        <v>151.86580599999999</v>
      </c>
      <c r="T2222" s="1095">
        <v>-31.973082000000002</v>
      </c>
    </row>
    <row r="2223" spans="16:20">
      <c r="P2223" s="1094">
        <v>2422</v>
      </c>
      <c r="Q2223" t="s">
        <v>3300</v>
      </c>
      <c r="R2223" t="s">
        <v>248</v>
      </c>
      <c r="S2223">
        <v>151.86580599999999</v>
      </c>
      <c r="T2223" s="1095">
        <v>-31.973082000000002</v>
      </c>
    </row>
    <row r="2224" spans="16:20">
      <c r="P2224" s="1094">
        <v>2422</v>
      </c>
      <c r="Q2224" t="s">
        <v>3301</v>
      </c>
      <c r="R2224" t="s">
        <v>248</v>
      </c>
      <c r="S2224">
        <v>151.86580599999999</v>
      </c>
      <c r="T2224" s="1095">
        <v>-31.973082000000002</v>
      </c>
    </row>
    <row r="2225" spans="16:20">
      <c r="P2225" s="1094">
        <v>2422</v>
      </c>
      <c r="Q2225" t="s">
        <v>3302</v>
      </c>
      <c r="R2225" t="s">
        <v>248</v>
      </c>
      <c r="S2225">
        <v>151.86580599999999</v>
      </c>
      <c r="T2225" s="1095">
        <v>-31.973082000000002</v>
      </c>
    </row>
    <row r="2226" spans="16:20">
      <c r="P2226" s="1094">
        <v>2422</v>
      </c>
      <c r="Q2226" t="s">
        <v>3303</v>
      </c>
      <c r="R2226" t="s">
        <v>248</v>
      </c>
      <c r="S2226">
        <v>151.86580599999999</v>
      </c>
      <c r="T2226" s="1095">
        <v>-31.973082000000002</v>
      </c>
    </row>
    <row r="2227" spans="16:20">
      <c r="P2227" s="1094">
        <v>2423</v>
      </c>
      <c r="Q2227" t="s">
        <v>3304</v>
      </c>
      <c r="R2227" t="s">
        <v>248</v>
      </c>
      <c r="S2227">
        <v>152.27090100000001</v>
      </c>
      <c r="T2227" s="1095">
        <v>-32.364860999999998</v>
      </c>
    </row>
    <row r="2228" spans="16:20">
      <c r="P2228" s="1094">
        <v>2423</v>
      </c>
      <c r="Q2228" t="s">
        <v>3305</v>
      </c>
      <c r="R2228" t="s">
        <v>248</v>
      </c>
      <c r="S2228">
        <v>152.27090100000001</v>
      </c>
      <c r="T2228" s="1095">
        <v>-32.364860999999998</v>
      </c>
    </row>
    <row r="2229" spans="16:20">
      <c r="P2229" s="1094">
        <v>2423</v>
      </c>
      <c r="Q2229" t="s">
        <v>3306</v>
      </c>
      <c r="R2229" t="s">
        <v>248</v>
      </c>
      <c r="S2229">
        <v>152.27090100000001</v>
      </c>
      <c r="T2229" s="1095">
        <v>-32.364860999999998</v>
      </c>
    </row>
    <row r="2230" spans="16:20">
      <c r="P2230" s="1094">
        <v>2423</v>
      </c>
      <c r="Q2230" t="s">
        <v>3307</v>
      </c>
      <c r="R2230" t="s">
        <v>248</v>
      </c>
      <c r="S2230">
        <v>152.27090100000001</v>
      </c>
      <c r="T2230" s="1095">
        <v>-32.364860999999998</v>
      </c>
    </row>
    <row r="2231" spans="16:20">
      <c r="P2231" s="1094">
        <v>2423</v>
      </c>
      <c r="Q2231" t="s">
        <v>3308</v>
      </c>
      <c r="R2231" t="s">
        <v>248</v>
      </c>
      <c r="S2231">
        <v>152.27090100000001</v>
      </c>
      <c r="T2231" s="1095">
        <v>-32.364860999999998</v>
      </c>
    </row>
    <row r="2232" spans="16:20">
      <c r="P2232" s="1094">
        <v>2423</v>
      </c>
      <c r="Q2232" t="s">
        <v>3309</v>
      </c>
      <c r="R2232" t="s">
        <v>248</v>
      </c>
      <c r="S2232">
        <v>152.27090100000001</v>
      </c>
      <c r="T2232" s="1095">
        <v>-32.364860999999998</v>
      </c>
    </row>
    <row r="2233" spans="16:20">
      <c r="P2233" s="1094">
        <v>2423</v>
      </c>
      <c r="Q2233" t="s">
        <v>3310</v>
      </c>
      <c r="R2233" t="s">
        <v>248</v>
      </c>
      <c r="S2233">
        <v>152.27090100000001</v>
      </c>
      <c r="T2233" s="1095">
        <v>-32.364860999999998</v>
      </c>
    </row>
    <row r="2234" spans="16:20">
      <c r="P2234" s="1094">
        <v>2423</v>
      </c>
      <c r="Q2234" t="s">
        <v>3311</v>
      </c>
      <c r="R2234" t="s">
        <v>248</v>
      </c>
      <c r="S2234">
        <v>152.27090100000001</v>
      </c>
      <c r="T2234" s="1095">
        <v>-32.364860999999998</v>
      </c>
    </row>
    <row r="2235" spans="16:20">
      <c r="P2235" s="1094">
        <v>2423</v>
      </c>
      <c r="Q2235" t="s">
        <v>3312</v>
      </c>
      <c r="R2235" t="s">
        <v>248</v>
      </c>
      <c r="S2235">
        <v>152.27090100000001</v>
      </c>
      <c r="T2235" s="1095">
        <v>-32.364860999999998</v>
      </c>
    </row>
    <row r="2236" spans="16:20">
      <c r="P2236" s="1094">
        <v>2423</v>
      </c>
      <c r="Q2236" t="s">
        <v>3313</v>
      </c>
      <c r="R2236" t="s">
        <v>248</v>
      </c>
      <c r="S2236">
        <v>152.27090100000001</v>
      </c>
      <c r="T2236" s="1095">
        <v>-32.364860999999998</v>
      </c>
    </row>
    <row r="2237" spans="16:20">
      <c r="P2237" s="1094">
        <v>2423</v>
      </c>
      <c r="Q2237" t="s">
        <v>3314</v>
      </c>
      <c r="R2237" t="s">
        <v>248</v>
      </c>
      <c r="S2237">
        <v>152.27090100000001</v>
      </c>
      <c r="T2237" s="1095">
        <v>-32.364860999999998</v>
      </c>
    </row>
    <row r="2238" spans="16:20">
      <c r="P2238" s="1094">
        <v>2423</v>
      </c>
      <c r="Q2238" t="s">
        <v>3315</v>
      </c>
      <c r="R2238" t="s">
        <v>248</v>
      </c>
      <c r="S2238">
        <v>152.27090100000001</v>
      </c>
      <c r="T2238" s="1095">
        <v>-32.364860999999998</v>
      </c>
    </row>
    <row r="2239" spans="16:20">
      <c r="P2239" s="1094">
        <v>2423</v>
      </c>
      <c r="Q2239" t="s">
        <v>3316</v>
      </c>
      <c r="R2239" t="s">
        <v>248</v>
      </c>
      <c r="S2239">
        <v>152.27090100000001</v>
      </c>
      <c r="T2239" s="1095">
        <v>-32.364860999999998</v>
      </c>
    </row>
    <row r="2240" spans="16:20">
      <c r="P2240" s="1094">
        <v>2423</v>
      </c>
      <c r="Q2240" t="s">
        <v>3317</v>
      </c>
      <c r="R2240" t="s">
        <v>248</v>
      </c>
      <c r="S2240">
        <v>152.27090100000001</v>
      </c>
      <c r="T2240" s="1095">
        <v>-32.364860999999998</v>
      </c>
    </row>
    <row r="2241" spans="16:20">
      <c r="P2241" s="1094">
        <v>2423</v>
      </c>
      <c r="Q2241" t="s">
        <v>3318</v>
      </c>
      <c r="R2241" t="s">
        <v>248</v>
      </c>
      <c r="S2241">
        <v>152.27090100000001</v>
      </c>
      <c r="T2241" s="1095">
        <v>-32.364860999999998</v>
      </c>
    </row>
    <row r="2242" spans="16:20">
      <c r="P2242" s="1094">
        <v>2423</v>
      </c>
      <c r="Q2242" t="s">
        <v>3319</v>
      </c>
      <c r="R2242" t="s">
        <v>248</v>
      </c>
      <c r="S2242">
        <v>152.27090100000001</v>
      </c>
      <c r="T2242" s="1095">
        <v>-32.364860999999998</v>
      </c>
    </row>
    <row r="2243" spans="16:20">
      <c r="P2243" s="1094">
        <v>2423</v>
      </c>
      <c r="Q2243" t="s">
        <v>3320</v>
      </c>
      <c r="R2243" t="s">
        <v>248</v>
      </c>
      <c r="S2243">
        <v>152.27090100000001</v>
      </c>
      <c r="T2243" s="1095">
        <v>-32.364860999999998</v>
      </c>
    </row>
    <row r="2244" spans="16:20">
      <c r="P2244" s="1094">
        <v>2424</v>
      </c>
      <c r="Q2244" t="s">
        <v>3321</v>
      </c>
      <c r="R2244" t="s">
        <v>248</v>
      </c>
      <c r="S2244">
        <v>151.964845</v>
      </c>
      <c r="T2244" s="1095">
        <v>-31.6402</v>
      </c>
    </row>
    <row r="2245" spans="16:20">
      <c r="P2245" s="1094">
        <v>2424</v>
      </c>
      <c r="Q2245" t="s">
        <v>3322</v>
      </c>
      <c r="R2245" t="s">
        <v>248</v>
      </c>
      <c r="S2245">
        <v>151.964845</v>
      </c>
      <c r="T2245" s="1095">
        <v>-31.6402</v>
      </c>
    </row>
    <row r="2246" spans="16:20">
      <c r="P2246" s="1094">
        <v>2424</v>
      </c>
      <c r="Q2246" t="s">
        <v>3323</v>
      </c>
      <c r="R2246" t="s">
        <v>248</v>
      </c>
      <c r="S2246">
        <v>151.964845</v>
      </c>
      <c r="T2246" s="1095">
        <v>-31.6402</v>
      </c>
    </row>
    <row r="2247" spans="16:20">
      <c r="P2247" s="1094">
        <v>2424</v>
      </c>
      <c r="Q2247" t="s">
        <v>3324</v>
      </c>
      <c r="R2247" t="s">
        <v>248</v>
      </c>
      <c r="S2247">
        <v>151.964845</v>
      </c>
      <c r="T2247" s="1095">
        <v>-31.6402</v>
      </c>
    </row>
    <row r="2248" spans="16:20">
      <c r="P2248" s="1094">
        <v>2424</v>
      </c>
      <c r="Q2248" t="s">
        <v>3325</v>
      </c>
      <c r="R2248" t="s">
        <v>248</v>
      </c>
      <c r="S2248">
        <v>151.964845</v>
      </c>
      <c r="T2248" s="1095">
        <v>-31.6402</v>
      </c>
    </row>
    <row r="2249" spans="16:20">
      <c r="P2249" s="1094">
        <v>2424</v>
      </c>
      <c r="Q2249" t="s">
        <v>3326</v>
      </c>
      <c r="R2249" t="s">
        <v>248</v>
      </c>
      <c r="S2249">
        <v>151.964845</v>
      </c>
      <c r="T2249" s="1095">
        <v>-31.6402</v>
      </c>
    </row>
    <row r="2250" spans="16:20">
      <c r="P2250" s="1094">
        <v>2424</v>
      </c>
      <c r="Q2250" t="s">
        <v>3327</v>
      </c>
      <c r="R2250" t="s">
        <v>248</v>
      </c>
      <c r="S2250">
        <v>151.964845</v>
      </c>
      <c r="T2250" s="1095">
        <v>-31.6402</v>
      </c>
    </row>
    <row r="2251" spans="16:20">
      <c r="P2251" s="1094">
        <v>2424</v>
      </c>
      <c r="Q2251" t="s">
        <v>3328</v>
      </c>
      <c r="R2251" t="s">
        <v>248</v>
      </c>
      <c r="S2251">
        <v>151.964845</v>
      </c>
      <c r="T2251" s="1095">
        <v>-31.6402</v>
      </c>
    </row>
    <row r="2252" spans="16:20">
      <c r="P2252" s="1094">
        <v>2424</v>
      </c>
      <c r="Q2252" t="s">
        <v>3329</v>
      </c>
      <c r="R2252" t="s">
        <v>248</v>
      </c>
      <c r="S2252">
        <v>151.964845</v>
      </c>
      <c r="T2252" s="1095">
        <v>-31.6402</v>
      </c>
    </row>
    <row r="2253" spans="16:20">
      <c r="P2253" s="1094">
        <v>2424</v>
      </c>
      <c r="Q2253" t="s">
        <v>3330</v>
      </c>
      <c r="R2253" t="s">
        <v>248</v>
      </c>
      <c r="S2253">
        <v>151.964845</v>
      </c>
      <c r="T2253" s="1095">
        <v>-31.6402</v>
      </c>
    </row>
    <row r="2254" spans="16:20">
      <c r="P2254" s="1094">
        <v>2425</v>
      </c>
      <c r="Q2254" t="s">
        <v>3331</v>
      </c>
      <c r="R2254" t="s">
        <v>248</v>
      </c>
      <c r="S2254">
        <v>152.00245100000001</v>
      </c>
      <c r="T2254" s="1095">
        <v>-32.417597999999998</v>
      </c>
    </row>
    <row r="2255" spans="16:20">
      <c r="P2255" s="1094">
        <v>2425</v>
      </c>
      <c r="Q2255" t="s">
        <v>3332</v>
      </c>
      <c r="R2255" t="s">
        <v>248</v>
      </c>
      <c r="S2255">
        <v>152.00245100000001</v>
      </c>
      <c r="T2255" s="1095">
        <v>-32.417597999999998</v>
      </c>
    </row>
    <row r="2256" spans="16:20">
      <c r="P2256" s="1094">
        <v>2425</v>
      </c>
      <c r="Q2256" t="s">
        <v>3333</v>
      </c>
      <c r="R2256" t="s">
        <v>248</v>
      </c>
      <c r="S2256">
        <v>152.00245100000001</v>
      </c>
      <c r="T2256" s="1095">
        <v>-32.417597999999998</v>
      </c>
    </row>
    <row r="2257" spans="16:20">
      <c r="P2257" s="1094">
        <v>2425</v>
      </c>
      <c r="Q2257" t="s">
        <v>3334</v>
      </c>
      <c r="R2257" t="s">
        <v>248</v>
      </c>
      <c r="S2257">
        <v>152.00245100000001</v>
      </c>
      <c r="T2257" s="1095">
        <v>-32.417597999999998</v>
      </c>
    </row>
    <row r="2258" spans="16:20">
      <c r="P2258" s="1094">
        <v>2425</v>
      </c>
      <c r="Q2258" t="s">
        <v>3335</v>
      </c>
      <c r="R2258" t="s">
        <v>248</v>
      </c>
      <c r="S2258">
        <v>152.00245100000001</v>
      </c>
      <c r="T2258" s="1095">
        <v>-32.417597999999998</v>
      </c>
    </row>
    <row r="2259" spans="16:20">
      <c r="P2259" s="1094">
        <v>2425</v>
      </c>
      <c r="Q2259" t="s">
        <v>3336</v>
      </c>
      <c r="R2259" t="s">
        <v>248</v>
      </c>
      <c r="S2259">
        <v>152.00245100000001</v>
      </c>
      <c r="T2259" s="1095">
        <v>-32.417597999999998</v>
      </c>
    </row>
    <row r="2260" spans="16:20">
      <c r="P2260" s="1094">
        <v>2426</v>
      </c>
      <c r="Q2260" t="s">
        <v>3337</v>
      </c>
      <c r="R2260" t="s">
        <v>248</v>
      </c>
      <c r="S2260">
        <v>152.59533500000001</v>
      </c>
      <c r="T2260" s="1095">
        <v>-31.817926</v>
      </c>
    </row>
    <row r="2261" spans="16:20">
      <c r="P2261" s="1094">
        <v>2426</v>
      </c>
      <c r="Q2261" t="s">
        <v>3338</v>
      </c>
      <c r="R2261" t="s">
        <v>248</v>
      </c>
      <c r="S2261">
        <v>152.59533500000001</v>
      </c>
      <c r="T2261" s="1095">
        <v>-31.817926</v>
      </c>
    </row>
    <row r="2262" spans="16:20">
      <c r="P2262" s="1094">
        <v>2426</v>
      </c>
      <c r="Q2262" t="s">
        <v>3339</v>
      </c>
      <c r="R2262" t="s">
        <v>248</v>
      </c>
      <c r="S2262">
        <v>152.59533500000001</v>
      </c>
      <c r="T2262" s="1095">
        <v>-31.817926</v>
      </c>
    </row>
    <row r="2263" spans="16:20">
      <c r="P2263" s="1094">
        <v>2427</v>
      </c>
      <c r="Q2263" t="s">
        <v>3340</v>
      </c>
      <c r="R2263" t="s">
        <v>248</v>
      </c>
      <c r="S2263">
        <v>152.68658300000001</v>
      </c>
      <c r="T2263" s="1095">
        <v>-31.842317999999999</v>
      </c>
    </row>
    <row r="2264" spans="16:20">
      <c r="P2264" s="1094">
        <v>2427</v>
      </c>
      <c r="Q2264" t="s">
        <v>3341</v>
      </c>
      <c r="R2264" t="s">
        <v>248</v>
      </c>
      <c r="S2264">
        <v>152.68658300000001</v>
      </c>
      <c r="T2264" s="1095">
        <v>-31.842317999999999</v>
      </c>
    </row>
    <row r="2265" spans="16:20">
      <c r="P2265" s="1094">
        <v>2428</v>
      </c>
      <c r="Q2265" t="s">
        <v>3342</v>
      </c>
      <c r="R2265" t="s">
        <v>248</v>
      </c>
      <c r="S2265">
        <v>152.454216</v>
      </c>
      <c r="T2265" s="1095">
        <v>-32.196739000000001</v>
      </c>
    </row>
    <row r="2266" spans="16:20">
      <c r="P2266" s="1094">
        <v>2428</v>
      </c>
      <c r="Q2266" t="s">
        <v>3343</v>
      </c>
      <c r="R2266" t="s">
        <v>248</v>
      </c>
      <c r="S2266">
        <v>152.454216</v>
      </c>
      <c r="T2266" s="1095">
        <v>-32.196739000000001</v>
      </c>
    </row>
    <row r="2267" spans="16:20">
      <c r="P2267" s="1094">
        <v>2428</v>
      </c>
      <c r="Q2267" t="s">
        <v>3344</v>
      </c>
      <c r="R2267" t="s">
        <v>248</v>
      </c>
      <c r="S2267">
        <v>152.454216</v>
      </c>
      <c r="T2267" s="1095">
        <v>-32.196739000000001</v>
      </c>
    </row>
    <row r="2268" spans="16:20">
      <c r="P2268" s="1094">
        <v>2428</v>
      </c>
      <c r="Q2268" t="s">
        <v>3345</v>
      </c>
      <c r="R2268" t="s">
        <v>248</v>
      </c>
      <c r="S2268">
        <v>152.454216</v>
      </c>
      <c r="T2268" s="1095">
        <v>-32.196739000000001</v>
      </c>
    </row>
    <row r="2269" spans="16:20">
      <c r="P2269" s="1094">
        <v>2428</v>
      </c>
      <c r="Q2269" t="s">
        <v>3346</v>
      </c>
      <c r="R2269" t="s">
        <v>248</v>
      </c>
      <c r="S2269">
        <v>152.454216</v>
      </c>
      <c r="T2269" s="1095">
        <v>-32.196739000000001</v>
      </c>
    </row>
    <row r="2270" spans="16:20">
      <c r="P2270" s="1094">
        <v>2428</v>
      </c>
      <c r="Q2270" t="s">
        <v>3347</v>
      </c>
      <c r="R2270" t="s">
        <v>248</v>
      </c>
      <c r="S2270">
        <v>152.454216</v>
      </c>
      <c r="T2270" s="1095">
        <v>-32.196739000000001</v>
      </c>
    </row>
    <row r="2271" spans="16:20">
      <c r="P2271" s="1094">
        <v>2428</v>
      </c>
      <c r="Q2271" t="s">
        <v>3348</v>
      </c>
      <c r="R2271" t="s">
        <v>248</v>
      </c>
      <c r="S2271">
        <v>152.454216</v>
      </c>
      <c r="T2271" s="1095">
        <v>-32.196739000000001</v>
      </c>
    </row>
    <row r="2272" spans="16:20">
      <c r="P2272" s="1094">
        <v>2428</v>
      </c>
      <c r="Q2272" t="s">
        <v>3349</v>
      </c>
      <c r="R2272" t="s">
        <v>248</v>
      </c>
      <c r="S2272">
        <v>152.454216</v>
      </c>
      <c r="T2272" s="1095">
        <v>-32.196739000000001</v>
      </c>
    </row>
    <row r="2273" spans="16:20">
      <c r="P2273" s="1094">
        <v>2428</v>
      </c>
      <c r="Q2273" t="s">
        <v>3350</v>
      </c>
      <c r="R2273" t="s">
        <v>248</v>
      </c>
      <c r="S2273">
        <v>152.454216</v>
      </c>
      <c r="T2273" s="1095">
        <v>-32.196739000000001</v>
      </c>
    </row>
    <row r="2274" spans="16:20">
      <c r="P2274" s="1094">
        <v>2428</v>
      </c>
      <c r="Q2274" t="s">
        <v>3351</v>
      </c>
      <c r="R2274" t="s">
        <v>248</v>
      </c>
      <c r="S2274">
        <v>152.454216</v>
      </c>
      <c r="T2274" s="1095">
        <v>-32.196739000000001</v>
      </c>
    </row>
    <row r="2275" spans="16:20">
      <c r="P2275" s="1094">
        <v>2428</v>
      </c>
      <c r="Q2275" t="s">
        <v>2306</v>
      </c>
      <c r="R2275" t="s">
        <v>248</v>
      </c>
      <c r="S2275">
        <v>152.454216</v>
      </c>
      <c r="T2275" s="1095">
        <v>-32.196739000000001</v>
      </c>
    </row>
    <row r="2276" spans="16:20">
      <c r="P2276" s="1094">
        <v>2428</v>
      </c>
      <c r="Q2276" t="s">
        <v>3352</v>
      </c>
      <c r="R2276" t="s">
        <v>248</v>
      </c>
      <c r="S2276">
        <v>152.454216</v>
      </c>
      <c r="T2276" s="1095">
        <v>-32.196739000000001</v>
      </c>
    </row>
    <row r="2277" spans="16:20">
      <c r="P2277" s="1094">
        <v>2428</v>
      </c>
      <c r="Q2277" t="s">
        <v>3353</v>
      </c>
      <c r="R2277" t="s">
        <v>248</v>
      </c>
      <c r="S2277">
        <v>152.454216</v>
      </c>
      <c r="T2277" s="1095">
        <v>-32.196739000000001</v>
      </c>
    </row>
    <row r="2278" spans="16:20">
      <c r="P2278" s="1094">
        <v>2428</v>
      </c>
      <c r="Q2278" t="s">
        <v>3354</v>
      </c>
      <c r="R2278" t="s">
        <v>248</v>
      </c>
      <c r="S2278">
        <v>152.454216</v>
      </c>
      <c r="T2278" s="1095">
        <v>-32.196739000000001</v>
      </c>
    </row>
    <row r="2279" spans="16:20">
      <c r="P2279" s="1094">
        <v>2428</v>
      </c>
      <c r="Q2279" t="s">
        <v>3355</v>
      </c>
      <c r="R2279" t="s">
        <v>248</v>
      </c>
      <c r="S2279">
        <v>152.454216</v>
      </c>
      <c r="T2279" s="1095">
        <v>-32.196739000000001</v>
      </c>
    </row>
    <row r="2280" spans="16:20">
      <c r="P2280" s="1094">
        <v>2428</v>
      </c>
      <c r="Q2280" t="s">
        <v>3356</v>
      </c>
      <c r="R2280" t="s">
        <v>248</v>
      </c>
      <c r="S2280">
        <v>152.454216</v>
      </c>
      <c r="T2280" s="1095">
        <v>-32.196739000000001</v>
      </c>
    </row>
    <row r="2281" spans="16:20">
      <c r="P2281" s="1094">
        <v>2428</v>
      </c>
      <c r="Q2281" t="s">
        <v>3357</v>
      </c>
      <c r="R2281" t="s">
        <v>248</v>
      </c>
      <c r="S2281">
        <v>152.454216</v>
      </c>
      <c r="T2281" s="1095">
        <v>-32.196739000000001</v>
      </c>
    </row>
    <row r="2282" spans="16:20">
      <c r="P2282" s="1094">
        <v>2428</v>
      </c>
      <c r="Q2282" t="s">
        <v>3358</v>
      </c>
      <c r="R2282" t="s">
        <v>248</v>
      </c>
      <c r="S2282">
        <v>152.454216</v>
      </c>
      <c r="T2282" s="1095">
        <v>-32.196739000000001</v>
      </c>
    </row>
    <row r="2283" spans="16:20">
      <c r="P2283" s="1094">
        <v>2429</v>
      </c>
      <c r="Q2283" t="s">
        <v>3359</v>
      </c>
      <c r="R2283" t="s">
        <v>248</v>
      </c>
      <c r="S2283">
        <v>152.292395</v>
      </c>
      <c r="T2283" s="1095">
        <v>-31.770375000000001</v>
      </c>
    </row>
    <row r="2284" spans="16:20">
      <c r="P2284" s="1094">
        <v>2429</v>
      </c>
      <c r="Q2284" t="s">
        <v>3360</v>
      </c>
      <c r="R2284" t="s">
        <v>248</v>
      </c>
      <c r="S2284">
        <v>152.292395</v>
      </c>
      <c r="T2284" s="1095">
        <v>-31.770375000000001</v>
      </c>
    </row>
    <row r="2285" spans="16:20">
      <c r="P2285" s="1094">
        <v>2429</v>
      </c>
      <c r="Q2285" t="s">
        <v>3361</v>
      </c>
      <c r="R2285" t="s">
        <v>248</v>
      </c>
      <c r="S2285">
        <v>152.292395</v>
      </c>
      <c r="T2285" s="1095">
        <v>-31.770375000000001</v>
      </c>
    </row>
    <row r="2286" spans="16:20">
      <c r="P2286" s="1094">
        <v>2429</v>
      </c>
      <c r="Q2286" t="s">
        <v>3362</v>
      </c>
      <c r="R2286" t="s">
        <v>248</v>
      </c>
      <c r="S2286">
        <v>152.292395</v>
      </c>
      <c r="T2286" s="1095">
        <v>-31.770375000000001</v>
      </c>
    </row>
    <row r="2287" spans="16:20">
      <c r="P2287" s="1094">
        <v>2429</v>
      </c>
      <c r="Q2287" t="s">
        <v>3363</v>
      </c>
      <c r="R2287" t="s">
        <v>248</v>
      </c>
      <c r="S2287">
        <v>152.292395</v>
      </c>
      <c r="T2287" s="1095">
        <v>-31.770375000000001</v>
      </c>
    </row>
    <row r="2288" spans="16:20">
      <c r="P2288" s="1094">
        <v>2429</v>
      </c>
      <c r="Q2288" t="s">
        <v>3364</v>
      </c>
      <c r="R2288" t="s">
        <v>248</v>
      </c>
      <c r="S2288">
        <v>152.292395</v>
      </c>
      <c r="T2288" s="1095">
        <v>-31.770375000000001</v>
      </c>
    </row>
    <row r="2289" spans="16:20">
      <c r="P2289" s="1094">
        <v>2429</v>
      </c>
      <c r="Q2289" t="s">
        <v>3365</v>
      </c>
      <c r="R2289" t="s">
        <v>248</v>
      </c>
      <c r="S2289">
        <v>152.292395</v>
      </c>
      <c r="T2289" s="1095">
        <v>-31.770375000000001</v>
      </c>
    </row>
    <row r="2290" spans="16:20">
      <c r="P2290" s="1094">
        <v>2429</v>
      </c>
      <c r="Q2290" t="s">
        <v>3366</v>
      </c>
      <c r="R2290" t="s">
        <v>248</v>
      </c>
      <c r="S2290">
        <v>152.292395</v>
      </c>
      <c r="T2290" s="1095">
        <v>-31.770375000000001</v>
      </c>
    </row>
    <row r="2291" spans="16:20">
      <c r="P2291" s="1094">
        <v>2429</v>
      </c>
      <c r="Q2291" t="s">
        <v>3367</v>
      </c>
      <c r="R2291" t="s">
        <v>248</v>
      </c>
      <c r="S2291">
        <v>152.292395</v>
      </c>
      <c r="T2291" s="1095">
        <v>-31.770375000000001</v>
      </c>
    </row>
    <row r="2292" spans="16:20">
      <c r="P2292" s="1094">
        <v>2429</v>
      </c>
      <c r="Q2292" t="s">
        <v>3368</v>
      </c>
      <c r="R2292" t="s">
        <v>248</v>
      </c>
      <c r="S2292">
        <v>152.292395</v>
      </c>
      <c r="T2292" s="1095">
        <v>-31.770375000000001</v>
      </c>
    </row>
    <row r="2293" spans="16:20">
      <c r="P2293" s="1094">
        <v>2429</v>
      </c>
      <c r="Q2293" t="s">
        <v>3369</v>
      </c>
      <c r="R2293" t="s">
        <v>248</v>
      </c>
      <c r="S2293">
        <v>152.292395</v>
      </c>
      <c r="T2293" s="1095">
        <v>-31.770375000000001</v>
      </c>
    </row>
    <row r="2294" spans="16:20">
      <c r="P2294" s="1094">
        <v>2429</v>
      </c>
      <c r="Q2294" t="s">
        <v>3370</v>
      </c>
      <c r="R2294" t="s">
        <v>248</v>
      </c>
      <c r="S2294">
        <v>152.292395</v>
      </c>
      <c r="T2294" s="1095">
        <v>-31.770375000000001</v>
      </c>
    </row>
    <row r="2295" spans="16:20">
      <c r="P2295" s="1094">
        <v>2429</v>
      </c>
      <c r="Q2295" t="s">
        <v>3371</v>
      </c>
      <c r="R2295" t="s">
        <v>248</v>
      </c>
      <c r="S2295">
        <v>152.292395</v>
      </c>
      <c r="T2295" s="1095">
        <v>-31.770375000000001</v>
      </c>
    </row>
    <row r="2296" spans="16:20">
      <c r="P2296" s="1094">
        <v>2429</v>
      </c>
      <c r="Q2296" t="s">
        <v>3372</v>
      </c>
      <c r="R2296" t="s">
        <v>248</v>
      </c>
      <c r="S2296">
        <v>152.292395</v>
      </c>
      <c r="T2296" s="1095">
        <v>-31.770375000000001</v>
      </c>
    </row>
    <row r="2297" spans="16:20">
      <c r="P2297" s="1094">
        <v>2429</v>
      </c>
      <c r="Q2297" t="s">
        <v>3373</v>
      </c>
      <c r="R2297" t="s">
        <v>248</v>
      </c>
      <c r="S2297">
        <v>152.292395</v>
      </c>
      <c r="T2297" s="1095">
        <v>-31.770375000000001</v>
      </c>
    </row>
    <row r="2298" spans="16:20">
      <c r="P2298" s="1094">
        <v>2429</v>
      </c>
      <c r="Q2298" t="s">
        <v>3374</v>
      </c>
      <c r="R2298" t="s">
        <v>248</v>
      </c>
      <c r="S2298">
        <v>152.292395</v>
      </c>
      <c r="T2298" s="1095">
        <v>-31.770375000000001</v>
      </c>
    </row>
    <row r="2299" spans="16:20">
      <c r="P2299" s="1094">
        <v>2429</v>
      </c>
      <c r="Q2299" t="s">
        <v>3375</v>
      </c>
      <c r="R2299" t="s">
        <v>248</v>
      </c>
      <c r="S2299">
        <v>152.292395</v>
      </c>
      <c r="T2299" s="1095">
        <v>-31.770375000000001</v>
      </c>
    </row>
    <row r="2300" spans="16:20">
      <c r="P2300" s="1094">
        <v>2429</v>
      </c>
      <c r="Q2300" t="s">
        <v>3376</v>
      </c>
      <c r="R2300" t="s">
        <v>248</v>
      </c>
      <c r="S2300">
        <v>152.292395</v>
      </c>
      <c r="T2300" s="1095">
        <v>-31.770375000000001</v>
      </c>
    </row>
    <row r="2301" spans="16:20">
      <c r="P2301" s="1094">
        <v>2429</v>
      </c>
      <c r="Q2301" t="s">
        <v>3377</v>
      </c>
      <c r="R2301" t="s">
        <v>248</v>
      </c>
      <c r="S2301">
        <v>152.292395</v>
      </c>
      <c r="T2301" s="1095">
        <v>-31.770375000000001</v>
      </c>
    </row>
    <row r="2302" spans="16:20">
      <c r="P2302" s="1094">
        <v>2429</v>
      </c>
      <c r="Q2302" t="s">
        <v>3378</v>
      </c>
      <c r="R2302" t="s">
        <v>248</v>
      </c>
      <c r="S2302">
        <v>152.292395</v>
      </c>
      <c r="T2302" s="1095">
        <v>-31.770375000000001</v>
      </c>
    </row>
    <row r="2303" spans="16:20">
      <c r="P2303" s="1094">
        <v>2429</v>
      </c>
      <c r="Q2303" t="s">
        <v>3379</v>
      </c>
      <c r="R2303" t="s">
        <v>248</v>
      </c>
      <c r="S2303">
        <v>152.292395</v>
      </c>
      <c r="T2303" s="1095">
        <v>-31.770375000000001</v>
      </c>
    </row>
    <row r="2304" spans="16:20">
      <c r="P2304" s="1094">
        <v>2429</v>
      </c>
      <c r="Q2304" t="s">
        <v>3380</v>
      </c>
      <c r="R2304" t="s">
        <v>248</v>
      </c>
      <c r="S2304">
        <v>152.292395</v>
      </c>
      <c r="T2304" s="1095">
        <v>-31.770375000000001</v>
      </c>
    </row>
    <row r="2305" spans="16:20">
      <c r="P2305" s="1094">
        <v>2429</v>
      </c>
      <c r="Q2305" t="s">
        <v>3381</v>
      </c>
      <c r="R2305" t="s">
        <v>248</v>
      </c>
      <c r="S2305">
        <v>152.292395</v>
      </c>
      <c r="T2305" s="1095">
        <v>-31.770375000000001</v>
      </c>
    </row>
    <row r="2306" spans="16:20">
      <c r="P2306" s="1094">
        <v>2429</v>
      </c>
      <c r="Q2306" t="s">
        <v>3382</v>
      </c>
      <c r="R2306" t="s">
        <v>248</v>
      </c>
      <c r="S2306">
        <v>152.292395</v>
      </c>
      <c r="T2306" s="1095">
        <v>-31.770375000000001</v>
      </c>
    </row>
    <row r="2307" spans="16:20">
      <c r="P2307" s="1094">
        <v>2429</v>
      </c>
      <c r="Q2307" t="s">
        <v>3383</v>
      </c>
      <c r="R2307" t="s">
        <v>248</v>
      </c>
      <c r="S2307">
        <v>152.292395</v>
      </c>
      <c r="T2307" s="1095">
        <v>-31.770375000000001</v>
      </c>
    </row>
    <row r="2308" spans="16:20">
      <c r="P2308" s="1094">
        <v>2429</v>
      </c>
      <c r="Q2308" t="s">
        <v>3384</v>
      </c>
      <c r="R2308" t="s">
        <v>248</v>
      </c>
      <c r="S2308">
        <v>152.292395</v>
      </c>
      <c r="T2308" s="1095">
        <v>-31.770375000000001</v>
      </c>
    </row>
    <row r="2309" spans="16:20">
      <c r="P2309" s="1094">
        <v>2429</v>
      </c>
      <c r="Q2309" t="s">
        <v>3385</v>
      </c>
      <c r="R2309" t="s">
        <v>248</v>
      </c>
      <c r="S2309">
        <v>152.292395</v>
      </c>
      <c r="T2309" s="1095">
        <v>-31.770375000000001</v>
      </c>
    </row>
    <row r="2310" spans="16:20">
      <c r="P2310" s="1094">
        <v>2429</v>
      </c>
      <c r="Q2310" t="s">
        <v>3386</v>
      </c>
      <c r="R2310" t="s">
        <v>248</v>
      </c>
      <c r="S2310">
        <v>152.292395</v>
      </c>
      <c r="T2310" s="1095">
        <v>-31.770375000000001</v>
      </c>
    </row>
    <row r="2311" spans="16:20">
      <c r="P2311" s="1094">
        <v>2429</v>
      </c>
      <c r="Q2311" t="s">
        <v>3387</v>
      </c>
      <c r="R2311" t="s">
        <v>248</v>
      </c>
      <c r="S2311">
        <v>152.292395</v>
      </c>
      <c r="T2311" s="1095">
        <v>-31.770375000000001</v>
      </c>
    </row>
    <row r="2312" spans="16:20">
      <c r="P2312" s="1094">
        <v>2429</v>
      </c>
      <c r="Q2312" t="s">
        <v>3388</v>
      </c>
      <c r="R2312" t="s">
        <v>248</v>
      </c>
      <c r="S2312">
        <v>152.292395</v>
      </c>
      <c r="T2312" s="1095">
        <v>-31.770375000000001</v>
      </c>
    </row>
    <row r="2313" spans="16:20">
      <c r="P2313" s="1094">
        <v>2429</v>
      </c>
      <c r="Q2313" t="s">
        <v>3389</v>
      </c>
      <c r="R2313" t="s">
        <v>248</v>
      </c>
      <c r="S2313">
        <v>152.292395</v>
      </c>
      <c r="T2313" s="1095">
        <v>-31.770375000000001</v>
      </c>
    </row>
    <row r="2314" spans="16:20">
      <c r="P2314" s="1094">
        <v>2429</v>
      </c>
      <c r="Q2314" t="s">
        <v>3390</v>
      </c>
      <c r="R2314" t="s">
        <v>248</v>
      </c>
      <c r="S2314">
        <v>152.292395</v>
      </c>
      <c r="T2314" s="1095">
        <v>-31.770375000000001</v>
      </c>
    </row>
    <row r="2315" spans="16:20">
      <c r="P2315" s="1094">
        <v>2430</v>
      </c>
      <c r="Q2315" t="s">
        <v>3391</v>
      </c>
      <c r="R2315" t="s">
        <v>248</v>
      </c>
      <c r="S2315">
        <v>152.503209</v>
      </c>
      <c r="T2315" s="1095">
        <v>-31.899311000000001</v>
      </c>
    </row>
    <row r="2316" spans="16:20">
      <c r="P2316" s="1094">
        <v>2430</v>
      </c>
      <c r="Q2316" t="s">
        <v>3392</v>
      </c>
      <c r="R2316" t="s">
        <v>248</v>
      </c>
      <c r="S2316">
        <v>152.503209</v>
      </c>
      <c r="T2316" s="1095">
        <v>-31.899311000000001</v>
      </c>
    </row>
    <row r="2317" spans="16:20">
      <c r="P2317" s="1094">
        <v>2430</v>
      </c>
      <c r="Q2317" t="s">
        <v>3393</v>
      </c>
      <c r="R2317" t="s">
        <v>248</v>
      </c>
      <c r="S2317">
        <v>152.503209</v>
      </c>
      <c r="T2317" s="1095">
        <v>-31.899311000000001</v>
      </c>
    </row>
    <row r="2318" spans="16:20">
      <c r="P2318" s="1094">
        <v>2430</v>
      </c>
      <c r="Q2318" t="s">
        <v>3394</v>
      </c>
      <c r="R2318" t="s">
        <v>248</v>
      </c>
      <c r="S2318">
        <v>152.503209</v>
      </c>
      <c r="T2318" s="1095">
        <v>-31.899311000000001</v>
      </c>
    </row>
    <row r="2319" spans="16:20">
      <c r="P2319" s="1094">
        <v>2430</v>
      </c>
      <c r="Q2319" t="s">
        <v>3395</v>
      </c>
      <c r="R2319" t="s">
        <v>248</v>
      </c>
      <c r="S2319">
        <v>152.503209</v>
      </c>
      <c r="T2319" s="1095">
        <v>-31.899311000000001</v>
      </c>
    </row>
    <row r="2320" spans="16:20">
      <c r="P2320" s="1094">
        <v>2430</v>
      </c>
      <c r="Q2320" t="s">
        <v>3396</v>
      </c>
      <c r="R2320" t="s">
        <v>248</v>
      </c>
      <c r="S2320">
        <v>152.503209</v>
      </c>
      <c r="T2320" s="1095">
        <v>-31.899311000000001</v>
      </c>
    </row>
    <row r="2321" spans="16:20">
      <c r="P2321" s="1094">
        <v>2430</v>
      </c>
      <c r="Q2321" t="s">
        <v>3397</v>
      </c>
      <c r="R2321" t="s">
        <v>248</v>
      </c>
      <c r="S2321">
        <v>152.503209</v>
      </c>
      <c r="T2321" s="1095">
        <v>-31.899311000000001</v>
      </c>
    </row>
    <row r="2322" spans="16:20">
      <c r="P2322" s="1094">
        <v>2430</v>
      </c>
      <c r="Q2322" t="s">
        <v>3398</v>
      </c>
      <c r="R2322" t="s">
        <v>248</v>
      </c>
      <c r="S2322">
        <v>152.503209</v>
      </c>
      <c r="T2322" s="1095">
        <v>-31.899311000000001</v>
      </c>
    </row>
    <row r="2323" spans="16:20">
      <c r="P2323" s="1094">
        <v>2430</v>
      </c>
      <c r="Q2323" t="s">
        <v>3399</v>
      </c>
      <c r="R2323" t="s">
        <v>248</v>
      </c>
      <c r="S2323">
        <v>152.503209</v>
      </c>
      <c r="T2323" s="1095">
        <v>-31.899311000000001</v>
      </c>
    </row>
    <row r="2324" spans="16:20">
      <c r="P2324" s="1094">
        <v>2430</v>
      </c>
      <c r="Q2324" t="s">
        <v>3400</v>
      </c>
      <c r="R2324" t="s">
        <v>248</v>
      </c>
      <c r="S2324">
        <v>152.503209</v>
      </c>
      <c r="T2324" s="1095">
        <v>-31.899311000000001</v>
      </c>
    </row>
    <row r="2325" spans="16:20">
      <c r="P2325" s="1094">
        <v>2430</v>
      </c>
      <c r="Q2325" t="s">
        <v>3401</v>
      </c>
      <c r="R2325" t="s">
        <v>248</v>
      </c>
      <c r="S2325">
        <v>152.503209</v>
      </c>
      <c r="T2325" s="1095">
        <v>-31.899311000000001</v>
      </c>
    </row>
    <row r="2326" spans="16:20">
      <c r="P2326" s="1094">
        <v>2430</v>
      </c>
      <c r="Q2326" t="s">
        <v>3402</v>
      </c>
      <c r="R2326" t="s">
        <v>248</v>
      </c>
      <c r="S2326">
        <v>152.503209</v>
      </c>
      <c r="T2326" s="1095">
        <v>-31.899311000000001</v>
      </c>
    </row>
    <row r="2327" spans="16:20">
      <c r="P2327" s="1094">
        <v>2430</v>
      </c>
      <c r="Q2327" t="s">
        <v>3403</v>
      </c>
      <c r="R2327" t="s">
        <v>248</v>
      </c>
      <c r="S2327">
        <v>152.503209</v>
      </c>
      <c r="T2327" s="1095">
        <v>-31.899311000000001</v>
      </c>
    </row>
    <row r="2328" spans="16:20">
      <c r="P2328" s="1094">
        <v>2430</v>
      </c>
      <c r="Q2328" t="s">
        <v>3404</v>
      </c>
      <c r="R2328" t="s">
        <v>248</v>
      </c>
      <c r="S2328">
        <v>152.503209</v>
      </c>
      <c r="T2328" s="1095">
        <v>-31.899311000000001</v>
      </c>
    </row>
    <row r="2329" spans="16:20">
      <c r="P2329" s="1094">
        <v>2430</v>
      </c>
      <c r="Q2329" t="s">
        <v>3405</v>
      </c>
      <c r="R2329" t="s">
        <v>248</v>
      </c>
      <c r="S2329">
        <v>152.503209</v>
      </c>
      <c r="T2329" s="1095">
        <v>-31.899311000000001</v>
      </c>
    </row>
    <row r="2330" spans="16:20">
      <c r="P2330" s="1094">
        <v>2430</v>
      </c>
      <c r="Q2330" t="s">
        <v>3406</v>
      </c>
      <c r="R2330" t="s">
        <v>248</v>
      </c>
      <c r="S2330">
        <v>152.503209</v>
      </c>
      <c r="T2330" s="1095">
        <v>-31.899311000000001</v>
      </c>
    </row>
    <row r="2331" spans="16:20">
      <c r="P2331" s="1094">
        <v>2430</v>
      </c>
      <c r="Q2331" t="s">
        <v>3407</v>
      </c>
      <c r="R2331" t="s">
        <v>248</v>
      </c>
      <c r="S2331">
        <v>152.503209</v>
      </c>
      <c r="T2331" s="1095">
        <v>-31.899311000000001</v>
      </c>
    </row>
    <row r="2332" spans="16:20">
      <c r="P2332" s="1094">
        <v>2430</v>
      </c>
      <c r="Q2332" t="s">
        <v>3408</v>
      </c>
      <c r="R2332" t="s">
        <v>248</v>
      </c>
      <c r="S2332">
        <v>152.503209</v>
      </c>
      <c r="T2332" s="1095">
        <v>-31.899311000000001</v>
      </c>
    </row>
    <row r="2333" spans="16:20">
      <c r="P2333" s="1094">
        <v>2430</v>
      </c>
      <c r="Q2333" t="s">
        <v>3409</v>
      </c>
      <c r="R2333" t="s">
        <v>248</v>
      </c>
      <c r="S2333">
        <v>152.503209</v>
      </c>
      <c r="T2333" s="1095">
        <v>-31.899311000000001</v>
      </c>
    </row>
    <row r="2334" spans="16:20">
      <c r="P2334" s="1094">
        <v>2430</v>
      </c>
      <c r="Q2334" t="s">
        <v>3410</v>
      </c>
      <c r="R2334" t="s">
        <v>248</v>
      </c>
      <c r="S2334">
        <v>152.503209</v>
      </c>
      <c r="T2334" s="1095">
        <v>-31.899311000000001</v>
      </c>
    </row>
    <row r="2335" spans="16:20">
      <c r="P2335" s="1094">
        <v>2430</v>
      </c>
      <c r="Q2335" t="s">
        <v>2090</v>
      </c>
      <c r="R2335" t="s">
        <v>248</v>
      </c>
      <c r="S2335">
        <v>152.503209</v>
      </c>
      <c r="T2335" s="1095">
        <v>-31.899311000000001</v>
      </c>
    </row>
    <row r="2336" spans="16:20">
      <c r="P2336" s="1094">
        <v>2430</v>
      </c>
      <c r="Q2336" t="s">
        <v>3411</v>
      </c>
      <c r="R2336" t="s">
        <v>248</v>
      </c>
      <c r="S2336">
        <v>152.503209</v>
      </c>
      <c r="T2336" s="1095">
        <v>-31.899311000000001</v>
      </c>
    </row>
    <row r="2337" spans="16:20">
      <c r="P2337" s="1094">
        <v>2430</v>
      </c>
      <c r="Q2337" t="s">
        <v>3412</v>
      </c>
      <c r="R2337" t="s">
        <v>248</v>
      </c>
      <c r="S2337">
        <v>152.503209</v>
      </c>
      <c r="T2337" s="1095">
        <v>-31.899311000000001</v>
      </c>
    </row>
    <row r="2338" spans="16:20">
      <c r="P2338" s="1094">
        <v>2430</v>
      </c>
      <c r="Q2338" t="s">
        <v>3413</v>
      </c>
      <c r="R2338" t="s">
        <v>248</v>
      </c>
      <c r="S2338">
        <v>152.503209</v>
      </c>
      <c r="T2338" s="1095">
        <v>-31.899311000000001</v>
      </c>
    </row>
    <row r="2339" spans="16:20">
      <c r="P2339" s="1094">
        <v>2430</v>
      </c>
      <c r="Q2339" t="s">
        <v>3414</v>
      </c>
      <c r="R2339" t="s">
        <v>248</v>
      </c>
      <c r="S2339">
        <v>152.503209</v>
      </c>
      <c r="T2339" s="1095">
        <v>-31.899311000000001</v>
      </c>
    </row>
    <row r="2340" spans="16:20">
      <c r="P2340" s="1094">
        <v>2430</v>
      </c>
      <c r="Q2340" t="s">
        <v>3415</v>
      </c>
      <c r="R2340" t="s">
        <v>248</v>
      </c>
      <c r="S2340">
        <v>152.503209</v>
      </c>
      <c r="T2340" s="1095">
        <v>-31.899311000000001</v>
      </c>
    </row>
    <row r="2341" spans="16:20">
      <c r="P2341" s="1094">
        <v>2430</v>
      </c>
      <c r="Q2341" t="s">
        <v>3416</v>
      </c>
      <c r="R2341" t="s">
        <v>248</v>
      </c>
      <c r="S2341">
        <v>152.503209</v>
      </c>
      <c r="T2341" s="1095">
        <v>-31.899311000000001</v>
      </c>
    </row>
    <row r="2342" spans="16:20">
      <c r="P2342" s="1094">
        <v>2430</v>
      </c>
      <c r="Q2342" t="s">
        <v>3417</v>
      </c>
      <c r="R2342" t="s">
        <v>248</v>
      </c>
      <c r="S2342">
        <v>152.503209</v>
      </c>
      <c r="T2342" s="1095">
        <v>-31.899311000000001</v>
      </c>
    </row>
    <row r="2343" spans="16:20">
      <c r="P2343" s="1094">
        <v>2430</v>
      </c>
      <c r="Q2343" t="s">
        <v>3418</v>
      </c>
      <c r="R2343" t="s">
        <v>248</v>
      </c>
      <c r="S2343">
        <v>152.503209</v>
      </c>
      <c r="T2343" s="1095">
        <v>-31.899311000000001</v>
      </c>
    </row>
    <row r="2344" spans="16:20">
      <c r="P2344" s="1094">
        <v>2430</v>
      </c>
      <c r="Q2344" t="s">
        <v>3419</v>
      </c>
      <c r="R2344" t="s">
        <v>248</v>
      </c>
      <c r="S2344">
        <v>152.503209</v>
      </c>
      <c r="T2344" s="1095">
        <v>-31.899311000000001</v>
      </c>
    </row>
    <row r="2345" spans="16:20">
      <c r="P2345" s="1094">
        <v>2430</v>
      </c>
      <c r="Q2345" t="s">
        <v>3420</v>
      </c>
      <c r="R2345" t="s">
        <v>248</v>
      </c>
      <c r="S2345">
        <v>152.503209</v>
      </c>
      <c r="T2345" s="1095">
        <v>-31.899311000000001</v>
      </c>
    </row>
    <row r="2346" spans="16:20">
      <c r="P2346" s="1094">
        <v>2430</v>
      </c>
      <c r="Q2346" t="s">
        <v>3421</v>
      </c>
      <c r="R2346" t="s">
        <v>248</v>
      </c>
      <c r="S2346">
        <v>152.503209</v>
      </c>
      <c r="T2346" s="1095">
        <v>-31.899311000000001</v>
      </c>
    </row>
    <row r="2347" spans="16:20">
      <c r="P2347" s="1094">
        <v>2430</v>
      </c>
      <c r="Q2347" t="s">
        <v>3422</v>
      </c>
      <c r="R2347" t="s">
        <v>248</v>
      </c>
      <c r="S2347">
        <v>152.503209</v>
      </c>
      <c r="T2347" s="1095">
        <v>-31.899311000000001</v>
      </c>
    </row>
    <row r="2348" spans="16:20">
      <c r="P2348" s="1094">
        <v>2430</v>
      </c>
      <c r="Q2348" t="s">
        <v>3423</v>
      </c>
      <c r="R2348" t="s">
        <v>248</v>
      </c>
      <c r="S2348">
        <v>152.503209</v>
      </c>
      <c r="T2348" s="1095">
        <v>-31.899311000000001</v>
      </c>
    </row>
    <row r="2349" spans="16:20">
      <c r="P2349" s="1094">
        <v>2430</v>
      </c>
      <c r="Q2349" t="s">
        <v>3424</v>
      </c>
      <c r="R2349" t="s">
        <v>248</v>
      </c>
      <c r="S2349">
        <v>152.503209</v>
      </c>
      <c r="T2349" s="1095">
        <v>-31.899311000000001</v>
      </c>
    </row>
    <row r="2350" spans="16:20">
      <c r="P2350" s="1094">
        <v>2430</v>
      </c>
      <c r="Q2350" t="s">
        <v>3425</v>
      </c>
      <c r="R2350" t="s">
        <v>248</v>
      </c>
      <c r="S2350">
        <v>152.503209</v>
      </c>
      <c r="T2350" s="1095">
        <v>-31.899311000000001</v>
      </c>
    </row>
    <row r="2351" spans="16:20">
      <c r="P2351" s="1094">
        <v>2430</v>
      </c>
      <c r="Q2351" t="s">
        <v>3426</v>
      </c>
      <c r="R2351" t="s">
        <v>248</v>
      </c>
      <c r="S2351">
        <v>152.503209</v>
      </c>
      <c r="T2351" s="1095">
        <v>-31.899311000000001</v>
      </c>
    </row>
    <row r="2352" spans="16:20">
      <c r="P2352" s="1094">
        <v>2430</v>
      </c>
      <c r="Q2352" t="s">
        <v>3427</v>
      </c>
      <c r="R2352" t="s">
        <v>248</v>
      </c>
      <c r="S2352">
        <v>152.503209</v>
      </c>
      <c r="T2352" s="1095">
        <v>-31.899311000000001</v>
      </c>
    </row>
    <row r="2353" spans="16:20">
      <c r="P2353" s="1094">
        <v>2430</v>
      </c>
      <c r="Q2353" t="s">
        <v>3428</v>
      </c>
      <c r="R2353" t="s">
        <v>248</v>
      </c>
      <c r="S2353">
        <v>152.503209</v>
      </c>
      <c r="T2353" s="1095">
        <v>-31.899311000000001</v>
      </c>
    </row>
    <row r="2354" spans="16:20">
      <c r="P2354" s="1094">
        <v>2430</v>
      </c>
      <c r="Q2354" t="s">
        <v>3429</v>
      </c>
      <c r="R2354" t="s">
        <v>248</v>
      </c>
      <c r="S2354">
        <v>152.503209</v>
      </c>
      <c r="T2354" s="1095">
        <v>-31.899311000000001</v>
      </c>
    </row>
    <row r="2355" spans="16:20">
      <c r="P2355" s="1094">
        <v>2431</v>
      </c>
      <c r="Q2355" t="s">
        <v>3430</v>
      </c>
      <c r="R2355" t="s">
        <v>248</v>
      </c>
      <c r="S2355">
        <v>153.05378899999999</v>
      </c>
      <c r="T2355" s="1095">
        <v>-30.925232999999999</v>
      </c>
    </row>
    <row r="2356" spans="16:20">
      <c r="P2356" s="1094">
        <v>2431</v>
      </c>
      <c r="Q2356" t="s">
        <v>3431</v>
      </c>
      <c r="R2356" t="s">
        <v>248</v>
      </c>
      <c r="S2356">
        <v>153.05378899999999</v>
      </c>
      <c r="T2356" s="1095">
        <v>-30.925232999999999</v>
      </c>
    </row>
    <row r="2357" spans="16:20">
      <c r="P2357" s="1094">
        <v>2431</v>
      </c>
      <c r="Q2357" t="s">
        <v>3432</v>
      </c>
      <c r="R2357" t="s">
        <v>248</v>
      </c>
      <c r="S2357">
        <v>153.05378899999999</v>
      </c>
      <c r="T2357" s="1095">
        <v>-30.925232999999999</v>
      </c>
    </row>
    <row r="2358" spans="16:20">
      <c r="P2358" s="1094">
        <v>2439</v>
      </c>
      <c r="Q2358" t="s">
        <v>3433</v>
      </c>
      <c r="R2358" t="s">
        <v>248</v>
      </c>
      <c r="S2358">
        <v>152.65215499999999</v>
      </c>
      <c r="T2358" s="1095">
        <v>-31.654722</v>
      </c>
    </row>
    <row r="2359" spans="16:20">
      <c r="P2359" s="1094">
        <v>2439</v>
      </c>
      <c r="Q2359" t="s">
        <v>3434</v>
      </c>
      <c r="R2359" t="s">
        <v>248</v>
      </c>
      <c r="S2359">
        <v>152.65215499999999</v>
      </c>
      <c r="T2359" s="1095">
        <v>-31.654722</v>
      </c>
    </row>
    <row r="2360" spans="16:20">
      <c r="P2360" s="1094">
        <v>2439</v>
      </c>
      <c r="Q2360" t="s">
        <v>3435</v>
      </c>
      <c r="R2360" t="s">
        <v>248</v>
      </c>
      <c r="S2360">
        <v>152.65215499999999</v>
      </c>
      <c r="T2360" s="1095">
        <v>-31.654722</v>
      </c>
    </row>
    <row r="2361" spans="16:20">
      <c r="P2361" s="1094">
        <v>2439</v>
      </c>
      <c r="Q2361" t="s">
        <v>3436</v>
      </c>
      <c r="R2361" t="s">
        <v>248</v>
      </c>
      <c r="S2361">
        <v>152.65215499999999</v>
      </c>
      <c r="T2361" s="1095">
        <v>-31.654722</v>
      </c>
    </row>
    <row r="2362" spans="16:20">
      <c r="P2362" s="1094">
        <v>2439</v>
      </c>
      <c r="Q2362" t="s">
        <v>3437</v>
      </c>
      <c r="R2362" t="s">
        <v>248</v>
      </c>
      <c r="S2362">
        <v>152.65215499999999</v>
      </c>
      <c r="T2362" s="1095">
        <v>-31.654722</v>
      </c>
    </row>
    <row r="2363" spans="16:20">
      <c r="P2363" s="1094">
        <v>2439</v>
      </c>
      <c r="Q2363" t="s">
        <v>3438</v>
      </c>
      <c r="R2363" t="s">
        <v>248</v>
      </c>
      <c r="S2363">
        <v>152.65215499999999</v>
      </c>
      <c r="T2363" s="1095">
        <v>-31.654722</v>
      </c>
    </row>
    <row r="2364" spans="16:20">
      <c r="P2364" s="1094">
        <v>2439</v>
      </c>
      <c r="Q2364" t="s">
        <v>3439</v>
      </c>
      <c r="R2364" t="s">
        <v>248</v>
      </c>
      <c r="S2364">
        <v>152.65215499999999</v>
      </c>
      <c r="T2364" s="1095">
        <v>-31.654722</v>
      </c>
    </row>
    <row r="2365" spans="16:20">
      <c r="P2365" s="1094">
        <v>2439</v>
      </c>
      <c r="Q2365" t="s">
        <v>3440</v>
      </c>
      <c r="R2365" t="s">
        <v>248</v>
      </c>
      <c r="S2365">
        <v>152.65215499999999</v>
      </c>
      <c r="T2365" s="1095">
        <v>-31.654722</v>
      </c>
    </row>
    <row r="2366" spans="16:20">
      <c r="P2366" s="1094">
        <v>2439</v>
      </c>
      <c r="Q2366" t="s">
        <v>3441</v>
      </c>
      <c r="R2366" t="s">
        <v>248</v>
      </c>
      <c r="S2366">
        <v>152.65215499999999</v>
      </c>
      <c r="T2366" s="1095">
        <v>-31.654722</v>
      </c>
    </row>
    <row r="2367" spans="16:20">
      <c r="P2367" s="1094">
        <v>2439</v>
      </c>
      <c r="Q2367" t="s">
        <v>3442</v>
      </c>
      <c r="R2367" t="s">
        <v>248</v>
      </c>
      <c r="S2367">
        <v>152.65215499999999</v>
      </c>
      <c r="T2367" s="1095">
        <v>-31.654722</v>
      </c>
    </row>
    <row r="2368" spans="16:20">
      <c r="P2368" s="1094">
        <v>2440</v>
      </c>
      <c r="Q2368" t="s">
        <v>3443</v>
      </c>
      <c r="R2368" t="s">
        <v>248</v>
      </c>
      <c r="S2368">
        <v>153.01964799999999</v>
      </c>
      <c r="T2368" s="1095">
        <v>-30.375791</v>
      </c>
    </row>
    <row r="2369" spans="16:20">
      <c r="P2369" s="1094">
        <v>2440</v>
      </c>
      <c r="Q2369" t="s">
        <v>3444</v>
      </c>
      <c r="R2369" t="s">
        <v>248</v>
      </c>
      <c r="S2369">
        <v>153.01964799999999</v>
      </c>
      <c r="T2369" s="1095">
        <v>-30.375791</v>
      </c>
    </row>
    <row r="2370" spans="16:20">
      <c r="P2370" s="1094">
        <v>2440</v>
      </c>
      <c r="Q2370" t="s">
        <v>3445</v>
      </c>
      <c r="R2370" t="s">
        <v>248</v>
      </c>
      <c r="S2370">
        <v>153.01964799999999</v>
      </c>
      <c r="T2370" s="1095">
        <v>-30.375791</v>
      </c>
    </row>
    <row r="2371" spans="16:20">
      <c r="P2371" s="1094">
        <v>2440</v>
      </c>
      <c r="Q2371" t="s">
        <v>3446</v>
      </c>
      <c r="R2371" t="s">
        <v>248</v>
      </c>
      <c r="S2371">
        <v>153.01964799999999</v>
      </c>
      <c r="T2371" s="1095">
        <v>-30.375791</v>
      </c>
    </row>
    <row r="2372" spans="16:20">
      <c r="P2372" s="1094">
        <v>2440</v>
      </c>
      <c r="Q2372" t="s">
        <v>3447</v>
      </c>
      <c r="R2372" t="s">
        <v>248</v>
      </c>
      <c r="S2372">
        <v>153.01964799999999</v>
      </c>
      <c r="T2372" s="1095">
        <v>-30.375791</v>
      </c>
    </row>
    <row r="2373" spans="16:20">
      <c r="P2373" s="1094">
        <v>2440</v>
      </c>
      <c r="Q2373" t="s">
        <v>3448</v>
      </c>
      <c r="R2373" t="s">
        <v>248</v>
      </c>
      <c r="S2373">
        <v>153.01964799999999</v>
      </c>
      <c r="T2373" s="1095">
        <v>-30.375791</v>
      </c>
    </row>
    <row r="2374" spans="16:20">
      <c r="P2374" s="1094">
        <v>2440</v>
      </c>
      <c r="Q2374" t="s">
        <v>3449</v>
      </c>
      <c r="R2374" t="s">
        <v>248</v>
      </c>
      <c r="S2374">
        <v>153.01964799999999</v>
      </c>
      <c r="T2374" s="1095">
        <v>-30.375791</v>
      </c>
    </row>
    <row r="2375" spans="16:20">
      <c r="P2375" s="1094">
        <v>2440</v>
      </c>
      <c r="Q2375" t="s">
        <v>3450</v>
      </c>
      <c r="R2375" t="s">
        <v>248</v>
      </c>
      <c r="S2375">
        <v>153.01964799999999</v>
      </c>
      <c r="T2375" s="1095">
        <v>-30.375791</v>
      </c>
    </row>
    <row r="2376" spans="16:20">
      <c r="P2376" s="1094">
        <v>2440</v>
      </c>
      <c r="Q2376" t="s">
        <v>3451</v>
      </c>
      <c r="R2376" t="s">
        <v>248</v>
      </c>
      <c r="S2376">
        <v>153.01964799999999</v>
      </c>
      <c r="T2376" s="1095">
        <v>-30.375791</v>
      </c>
    </row>
    <row r="2377" spans="16:20">
      <c r="P2377" s="1094">
        <v>2440</v>
      </c>
      <c r="Q2377" t="s">
        <v>3452</v>
      </c>
      <c r="R2377" t="s">
        <v>248</v>
      </c>
      <c r="S2377">
        <v>153.01964799999999</v>
      </c>
      <c r="T2377" s="1095">
        <v>-30.375791</v>
      </c>
    </row>
    <row r="2378" spans="16:20">
      <c r="P2378" s="1094">
        <v>2440</v>
      </c>
      <c r="Q2378" t="s">
        <v>3453</v>
      </c>
      <c r="R2378" t="s">
        <v>248</v>
      </c>
      <c r="S2378">
        <v>153.01964799999999</v>
      </c>
      <c r="T2378" s="1095">
        <v>-30.375791</v>
      </c>
    </row>
    <row r="2379" spans="16:20">
      <c r="P2379" s="1094">
        <v>2440</v>
      </c>
      <c r="Q2379" t="s">
        <v>3454</v>
      </c>
      <c r="R2379" t="s">
        <v>248</v>
      </c>
      <c r="S2379">
        <v>153.01964799999999</v>
      </c>
      <c r="T2379" s="1095">
        <v>-30.375791</v>
      </c>
    </row>
    <row r="2380" spans="16:20">
      <c r="P2380" s="1094">
        <v>2440</v>
      </c>
      <c r="Q2380" t="s">
        <v>3455</v>
      </c>
      <c r="R2380" t="s">
        <v>248</v>
      </c>
      <c r="S2380">
        <v>153.01964799999999</v>
      </c>
      <c r="T2380" s="1095">
        <v>-30.375791</v>
      </c>
    </row>
    <row r="2381" spans="16:20">
      <c r="P2381" s="1094">
        <v>2440</v>
      </c>
      <c r="Q2381" t="s">
        <v>3456</v>
      </c>
      <c r="R2381" t="s">
        <v>248</v>
      </c>
      <c r="S2381">
        <v>153.01964799999999</v>
      </c>
      <c r="T2381" s="1095">
        <v>-30.375791</v>
      </c>
    </row>
    <row r="2382" spans="16:20">
      <c r="P2382" s="1094">
        <v>2440</v>
      </c>
      <c r="Q2382" t="s">
        <v>3457</v>
      </c>
      <c r="R2382" t="s">
        <v>248</v>
      </c>
      <c r="S2382">
        <v>153.01964799999999</v>
      </c>
      <c r="T2382" s="1095">
        <v>-30.375791</v>
      </c>
    </row>
    <row r="2383" spans="16:20">
      <c r="P2383" s="1094">
        <v>2440</v>
      </c>
      <c r="Q2383" t="s">
        <v>3458</v>
      </c>
      <c r="R2383" t="s">
        <v>248</v>
      </c>
      <c r="S2383">
        <v>153.01964799999999</v>
      </c>
      <c r="T2383" s="1095">
        <v>-30.375791</v>
      </c>
    </row>
    <row r="2384" spans="16:20">
      <c r="P2384" s="1094">
        <v>2440</v>
      </c>
      <c r="Q2384" t="s">
        <v>3459</v>
      </c>
      <c r="R2384" t="s">
        <v>248</v>
      </c>
      <c r="S2384">
        <v>153.01964799999999</v>
      </c>
      <c r="T2384" s="1095">
        <v>-30.375791</v>
      </c>
    </row>
    <row r="2385" spans="16:20">
      <c r="P2385" s="1094">
        <v>2440</v>
      </c>
      <c r="Q2385" t="s">
        <v>3058</v>
      </c>
      <c r="R2385" t="s">
        <v>248</v>
      </c>
      <c r="S2385">
        <v>153.01964799999999</v>
      </c>
      <c r="T2385" s="1095">
        <v>-30.375791</v>
      </c>
    </row>
    <row r="2386" spans="16:20">
      <c r="P2386" s="1094">
        <v>2440</v>
      </c>
      <c r="Q2386" t="s">
        <v>3460</v>
      </c>
      <c r="R2386" t="s">
        <v>248</v>
      </c>
      <c r="S2386">
        <v>153.01964799999999</v>
      </c>
      <c r="T2386" s="1095">
        <v>-30.375791</v>
      </c>
    </row>
    <row r="2387" spans="16:20">
      <c r="P2387" s="1094">
        <v>2440</v>
      </c>
      <c r="Q2387" t="s">
        <v>2651</v>
      </c>
      <c r="R2387" t="s">
        <v>248</v>
      </c>
      <c r="S2387">
        <v>153.01964799999999</v>
      </c>
      <c r="T2387" s="1095">
        <v>-30.375791</v>
      </c>
    </row>
    <row r="2388" spans="16:20">
      <c r="P2388" s="1094">
        <v>2440</v>
      </c>
      <c r="Q2388" t="s">
        <v>3461</v>
      </c>
      <c r="R2388" t="s">
        <v>248</v>
      </c>
      <c r="S2388">
        <v>153.01964799999999</v>
      </c>
      <c r="T2388" s="1095">
        <v>-30.375791</v>
      </c>
    </row>
    <row r="2389" spans="16:20">
      <c r="P2389" s="1094">
        <v>2440</v>
      </c>
      <c r="Q2389" t="s">
        <v>3462</v>
      </c>
      <c r="R2389" t="s">
        <v>248</v>
      </c>
      <c r="S2389">
        <v>153.01964799999999</v>
      </c>
      <c r="T2389" s="1095">
        <v>-30.375791</v>
      </c>
    </row>
    <row r="2390" spans="16:20">
      <c r="P2390" s="1094">
        <v>2440</v>
      </c>
      <c r="Q2390" t="s">
        <v>3463</v>
      </c>
      <c r="R2390" t="s">
        <v>248</v>
      </c>
      <c r="S2390">
        <v>153.01964799999999</v>
      </c>
      <c r="T2390" s="1095">
        <v>-30.375791</v>
      </c>
    </row>
    <row r="2391" spans="16:20">
      <c r="P2391" s="1094">
        <v>2440</v>
      </c>
      <c r="Q2391" t="s">
        <v>3464</v>
      </c>
      <c r="R2391" t="s">
        <v>248</v>
      </c>
      <c r="S2391">
        <v>153.01964799999999</v>
      </c>
      <c r="T2391" s="1095">
        <v>-30.375791</v>
      </c>
    </row>
    <row r="2392" spans="16:20">
      <c r="P2392" s="1094">
        <v>2440</v>
      </c>
      <c r="Q2392" t="s">
        <v>3465</v>
      </c>
      <c r="R2392" t="s">
        <v>248</v>
      </c>
      <c r="S2392">
        <v>153.01964799999999</v>
      </c>
      <c r="T2392" s="1095">
        <v>-30.375791</v>
      </c>
    </row>
    <row r="2393" spans="16:20">
      <c r="P2393" s="1094">
        <v>2440</v>
      </c>
      <c r="Q2393" t="s">
        <v>3466</v>
      </c>
      <c r="R2393" t="s">
        <v>248</v>
      </c>
      <c r="S2393">
        <v>153.01964799999999</v>
      </c>
      <c r="T2393" s="1095">
        <v>-30.375791</v>
      </c>
    </row>
    <row r="2394" spans="16:20">
      <c r="P2394" s="1094">
        <v>2440</v>
      </c>
      <c r="Q2394" t="s">
        <v>3467</v>
      </c>
      <c r="R2394" t="s">
        <v>248</v>
      </c>
      <c r="S2394">
        <v>153.01964799999999</v>
      </c>
      <c r="T2394" s="1095">
        <v>-30.375791</v>
      </c>
    </row>
    <row r="2395" spans="16:20">
      <c r="P2395" s="1094">
        <v>2440</v>
      </c>
      <c r="Q2395" t="s">
        <v>3468</v>
      </c>
      <c r="R2395" t="s">
        <v>248</v>
      </c>
      <c r="S2395">
        <v>153.01964799999999</v>
      </c>
      <c r="T2395" s="1095">
        <v>-30.375791</v>
      </c>
    </row>
    <row r="2396" spans="16:20">
      <c r="P2396" s="1094">
        <v>2440</v>
      </c>
      <c r="Q2396" t="s">
        <v>3469</v>
      </c>
      <c r="R2396" t="s">
        <v>248</v>
      </c>
      <c r="S2396">
        <v>153.01964799999999</v>
      </c>
      <c r="T2396" s="1095">
        <v>-30.375791</v>
      </c>
    </row>
    <row r="2397" spans="16:20">
      <c r="P2397" s="1094">
        <v>2440</v>
      </c>
      <c r="Q2397" t="s">
        <v>3470</v>
      </c>
      <c r="R2397" t="s">
        <v>248</v>
      </c>
      <c r="S2397">
        <v>153.01964799999999</v>
      </c>
      <c r="T2397" s="1095">
        <v>-30.375791</v>
      </c>
    </row>
    <row r="2398" spans="16:20">
      <c r="P2398" s="1094">
        <v>2440</v>
      </c>
      <c r="Q2398" t="s">
        <v>3471</v>
      </c>
      <c r="R2398" t="s">
        <v>248</v>
      </c>
      <c r="S2398">
        <v>153.01964799999999</v>
      </c>
      <c r="T2398" s="1095">
        <v>-30.375791</v>
      </c>
    </row>
    <row r="2399" spans="16:20">
      <c r="P2399" s="1094">
        <v>2440</v>
      </c>
      <c r="Q2399" t="s">
        <v>3472</v>
      </c>
      <c r="R2399" t="s">
        <v>248</v>
      </c>
      <c r="S2399">
        <v>153.01964799999999</v>
      </c>
      <c r="T2399" s="1095">
        <v>-30.375791</v>
      </c>
    </row>
    <row r="2400" spans="16:20">
      <c r="P2400" s="1094">
        <v>2440</v>
      </c>
      <c r="Q2400" t="s">
        <v>3473</v>
      </c>
      <c r="R2400" t="s">
        <v>248</v>
      </c>
      <c r="S2400">
        <v>153.01964799999999</v>
      </c>
      <c r="T2400" s="1095">
        <v>-30.375791</v>
      </c>
    </row>
    <row r="2401" spans="16:20">
      <c r="P2401" s="1094">
        <v>2440</v>
      </c>
      <c r="Q2401" t="s">
        <v>3474</v>
      </c>
      <c r="R2401" t="s">
        <v>248</v>
      </c>
      <c r="S2401">
        <v>153.01964799999999</v>
      </c>
      <c r="T2401" s="1095">
        <v>-30.375791</v>
      </c>
    </row>
    <row r="2402" spans="16:20">
      <c r="P2402" s="1094">
        <v>2440</v>
      </c>
      <c r="Q2402" t="s">
        <v>3475</v>
      </c>
      <c r="R2402" t="s">
        <v>248</v>
      </c>
      <c r="S2402">
        <v>153.01964799999999</v>
      </c>
      <c r="T2402" s="1095">
        <v>-30.375791</v>
      </c>
    </row>
    <row r="2403" spans="16:20">
      <c r="P2403" s="1094">
        <v>2440</v>
      </c>
      <c r="Q2403" t="s">
        <v>3476</v>
      </c>
      <c r="R2403" t="s">
        <v>248</v>
      </c>
      <c r="S2403">
        <v>153.01964799999999</v>
      </c>
      <c r="T2403" s="1095">
        <v>-30.375791</v>
      </c>
    </row>
    <row r="2404" spans="16:20">
      <c r="P2404" s="1094">
        <v>2440</v>
      </c>
      <c r="Q2404" t="s">
        <v>3477</v>
      </c>
      <c r="R2404" t="s">
        <v>248</v>
      </c>
      <c r="S2404">
        <v>153.01964799999999</v>
      </c>
      <c r="T2404" s="1095">
        <v>-30.375791</v>
      </c>
    </row>
    <row r="2405" spans="16:20">
      <c r="P2405" s="1094">
        <v>2440</v>
      </c>
      <c r="Q2405" t="s">
        <v>3478</v>
      </c>
      <c r="R2405" t="s">
        <v>248</v>
      </c>
      <c r="S2405">
        <v>153.01964799999999</v>
      </c>
      <c r="T2405" s="1095">
        <v>-30.375791</v>
      </c>
    </row>
    <row r="2406" spans="16:20">
      <c r="P2406" s="1094">
        <v>2440</v>
      </c>
      <c r="Q2406" t="s">
        <v>3479</v>
      </c>
      <c r="R2406" t="s">
        <v>248</v>
      </c>
      <c r="S2406">
        <v>153.01964799999999</v>
      </c>
      <c r="T2406" s="1095">
        <v>-30.375791</v>
      </c>
    </row>
    <row r="2407" spans="16:20">
      <c r="P2407" s="1094">
        <v>2440</v>
      </c>
      <c r="Q2407" t="s">
        <v>3480</v>
      </c>
      <c r="R2407" t="s">
        <v>248</v>
      </c>
      <c r="S2407">
        <v>153.01964799999999</v>
      </c>
      <c r="T2407" s="1095">
        <v>-30.375791</v>
      </c>
    </row>
    <row r="2408" spans="16:20">
      <c r="P2408" s="1094">
        <v>2440</v>
      </c>
      <c r="Q2408" t="s">
        <v>3481</v>
      </c>
      <c r="R2408" t="s">
        <v>248</v>
      </c>
      <c r="S2408">
        <v>153.01964799999999</v>
      </c>
      <c r="T2408" s="1095">
        <v>-30.375791</v>
      </c>
    </row>
    <row r="2409" spans="16:20">
      <c r="P2409" s="1094">
        <v>2440</v>
      </c>
      <c r="Q2409" t="s">
        <v>3482</v>
      </c>
      <c r="R2409" t="s">
        <v>248</v>
      </c>
      <c r="S2409">
        <v>153.01964799999999</v>
      </c>
      <c r="T2409" s="1095">
        <v>-30.375791</v>
      </c>
    </row>
    <row r="2410" spans="16:20">
      <c r="P2410" s="1094">
        <v>2440</v>
      </c>
      <c r="Q2410" t="s">
        <v>3483</v>
      </c>
      <c r="R2410" t="s">
        <v>248</v>
      </c>
      <c r="S2410">
        <v>153.01964799999999</v>
      </c>
      <c r="T2410" s="1095">
        <v>-30.375791</v>
      </c>
    </row>
    <row r="2411" spans="16:20">
      <c r="P2411" s="1094">
        <v>2440</v>
      </c>
      <c r="Q2411" t="s">
        <v>3484</v>
      </c>
      <c r="R2411" t="s">
        <v>248</v>
      </c>
      <c r="S2411">
        <v>153.01964799999999</v>
      </c>
      <c r="T2411" s="1095">
        <v>-30.375791</v>
      </c>
    </row>
    <row r="2412" spans="16:20">
      <c r="P2412" s="1094">
        <v>2440</v>
      </c>
      <c r="Q2412" t="s">
        <v>3485</v>
      </c>
      <c r="R2412" t="s">
        <v>248</v>
      </c>
      <c r="S2412">
        <v>153.01964799999999</v>
      </c>
      <c r="T2412" s="1095">
        <v>-30.375791</v>
      </c>
    </row>
    <row r="2413" spans="16:20">
      <c r="P2413" s="1094">
        <v>2440</v>
      </c>
      <c r="Q2413" t="s">
        <v>3486</v>
      </c>
      <c r="R2413" t="s">
        <v>248</v>
      </c>
      <c r="S2413">
        <v>153.01964799999999</v>
      </c>
      <c r="T2413" s="1095">
        <v>-30.375791</v>
      </c>
    </row>
    <row r="2414" spans="16:20">
      <c r="P2414" s="1094">
        <v>2440</v>
      </c>
      <c r="Q2414" t="s">
        <v>3487</v>
      </c>
      <c r="R2414" t="s">
        <v>248</v>
      </c>
      <c r="S2414">
        <v>153.01964799999999</v>
      </c>
      <c r="T2414" s="1095">
        <v>-30.375791</v>
      </c>
    </row>
    <row r="2415" spans="16:20">
      <c r="P2415" s="1094">
        <v>2440</v>
      </c>
      <c r="Q2415" t="s">
        <v>3488</v>
      </c>
      <c r="R2415" t="s">
        <v>248</v>
      </c>
      <c r="S2415">
        <v>153.01964799999999</v>
      </c>
      <c r="T2415" s="1095">
        <v>-30.375791</v>
      </c>
    </row>
    <row r="2416" spans="16:20">
      <c r="P2416" s="1094">
        <v>2440</v>
      </c>
      <c r="Q2416" t="s">
        <v>3489</v>
      </c>
      <c r="R2416" t="s">
        <v>248</v>
      </c>
      <c r="S2416">
        <v>153.01964799999999</v>
      </c>
      <c r="T2416" s="1095">
        <v>-30.375791</v>
      </c>
    </row>
    <row r="2417" spans="16:20">
      <c r="P2417" s="1094">
        <v>2441</v>
      </c>
      <c r="Q2417" t="s">
        <v>3490</v>
      </c>
      <c r="R2417" t="s">
        <v>248</v>
      </c>
      <c r="S2417">
        <v>0</v>
      </c>
      <c r="T2417" s="1095">
        <v>0</v>
      </c>
    </row>
    <row r="2418" spans="16:20">
      <c r="P2418" s="1094">
        <v>2441</v>
      </c>
      <c r="Q2418" t="s">
        <v>3491</v>
      </c>
      <c r="R2418" t="s">
        <v>248</v>
      </c>
      <c r="S2418">
        <v>0</v>
      </c>
      <c r="T2418" s="1095">
        <v>0</v>
      </c>
    </row>
    <row r="2419" spans="16:20">
      <c r="P2419" s="1094">
        <v>2441</v>
      </c>
      <c r="Q2419" t="s">
        <v>3492</v>
      </c>
      <c r="R2419" t="s">
        <v>248</v>
      </c>
      <c r="S2419">
        <v>0</v>
      </c>
      <c r="T2419" s="1095">
        <v>0</v>
      </c>
    </row>
    <row r="2420" spans="16:20">
      <c r="P2420" s="1094">
        <v>2441</v>
      </c>
      <c r="Q2420" t="s">
        <v>3493</v>
      </c>
      <c r="R2420" t="s">
        <v>248</v>
      </c>
      <c r="S2420">
        <v>0</v>
      </c>
      <c r="T2420" s="1095">
        <v>0</v>
      </c>
    </row>
    <row r="2421" spans="16:20">
      <c r="P2421" s="1094">
        <v>2441</v>
      </c>
      <c r="Q2421" t="s">
        <v>3494</v>
      </c>
      <c r="R2421" t="s">
        <v>248</v>
      </c>
      <c r="S2421">
        <v>0</v>
      </c>
      <c r="T2421" s="1095">
        <v>0</v>
      </c>
    </row>
    <row r="2422" spans="16:20">
      <c r="P2422" s="1094">
        <v>2441</v>
      </c>
      <c r="Q2422" t="s">
        <v>3495</v>
      </c>
      <c r="R2422" t="s">
        <v>248</v>
      </c>
      <c r="S2422">
        <v>0</v>
      </c>
      <c r="T2422" s="1095">
        <v>0</v>
      </c>
    </row>
    <row r="2423" spans="16:20">
      <c r="P2423" s="1094">
        <v>2441</v>
      </c>
      <c r="Q2423" t="s">
        <v>3496</v>
      </c>
      <c r="R2423" t="s">
        <v>248</v>
      </c>
      <c r="S2423">
        <v>0</v>
      </c>
      <c r="T2423" s="1095">
        <v>0</v>
      </c>
    </row>
    <row r="2424" spans="16:20">
      <c r="P2424" s="1094">
        <v>2441</v>
      </c>
      <c r="Q2424" t="s">
        <v>3497</v>
      </c>
      <c r="R2424" t="s">
        <v>248</v>
      </c>
      <c r="S2424">
        <v>0</v>
      </c>
      <c r="T2424" s="1095">
        <v>0</v>
      </c>
    </row>
    <row r="2425" spans="16:20">
      <c r="P2425" s="1094">
        <v>2441</v>
      </c>
      <c r="Q2425" t="s">
        <v>3498</v>
      </c>
      <c r="R2425" t="s">
        <v>248</v>
      </c>
      <c r="S2425">
        <v>0</v>
      </c>
      <c r="T2425" s="1095">
        <v>0</v>
      </c>
    </row>
    <row r="2426" spans="16:20">
      <c r="P2426" s="1094">
        <v>2441</v>
      </c>
      <c r="Q2426" t="s">
        <v>3499</v>
      </c>
      <c r="R2426" t="s">
        <v>248</v>
      </c>
      <c r="S2426">
        <v>0</v>
      </c>
      <c r="T2426" s="1095">
        <v>0</v>
      </c>
    </row>
    <row r="2427" spans="16:20">
      <c r="P2427" s="1094">
        <v>2441</v>
      </c>
      <c r="Q2427" t="s">
        <v>3500</v>
      </c>
      <c r="R2427" t="s">
        <v>248</v>
      </c>
      <c r="S2427">
        <v>0</v>
      </c>
      <c r="T2427" s="1095">
        <v>0</v>
      </c>
    </row>
    <row r="2428" spans="16:20">
      <c r="P2428" s="1094">
        <v>2441</v>
      </c>
      <c r="Q2428" t="s">
        <v>3501</v>
      </c>
      <c r="R2428" t="s">
        <v>248</v>
      </c>
      <c r="S2428">
        <v>0</v>
      </c>
      <c r="T2428" s="1095">
        <v>0</v>
      </c>
    </row>
    <row r="2429" spans="16:20">
      <c r="P2429" s="1094">
        <v>2441</v>
      </c>
      <c r="Q2429" t="s">
        <v>3502</v>
      </c>
      <c r="R2429" t="s">
        <v>248</v>
      </c>
      <c r="S2429">
        <v>0</v>
      </c>
      <c r="T2429" s="1095">
        <v>0</v>
      </c>
    </row>
    <row r="2430" spans="16:20">
      <c r="P2430" s="1094">
        <v>2441</v>
      </c>
      <c r="Q2430" t="s">
        <v>3503</v>
      </c>
      <c r="R2430" t="s">
        <v>248</v>
      </c>
      <c r="S2430">
        <v>0</v>
      </c>
      <c r="T2430" s="1095">
        <v>0</v>
      </c>
    </row>
    <row r="2431" spans="16:20">
      <c r="P2431" s="1094">
        <v>2441</v>
      </c>
      <c r="Q2431" t="s">
        <v>3504</v>
      </c>
      <c r="R2431" t="s">
        <v>248</v>
      </c>
      <c r="S2431">
        <v>0</v>
      </c>
      <c r="T2431" s="1095">
        <v>0</v>
      </c>
    </row>
    <row r="2432" spans="16:20">
      <c r="P2432" s="1094">
        <v>2441</v>
      </c>
      <c r="Q2432" t="s">
        <v>3505</v>
      </c>
      <c r="R2432" t="s">
        <v>248</v>
      </c>
      <c r="S2432">
        <v>0</v>
      </c>
      <c r="T2432" s="1095">
        <v>0</v>
      </c>
    </row>
    <row r="2433" spans="16:20">
      <c r="P2433" s="1094">
        <v>2441</v>
      </c>
      <c r="Q2433" t="s">
        <v>3506</v>
      </c>
      <c r="R2433" t="s">
        <v>248</v>
      </c>
      <c r="S2433">
        <v>0</v>
      </c>
      <c r="T2433" s="1095">
        <v>0</v>
      </c>
    </row>
    <row r="2434" spans="16:20">
      <c r="P2434" s="1094">
        <v>2441</v>
      </c>
      <c r="Q2434" t="s">
        <v>3507</v>
      </c>
      <c r="R2434" t="s">
        <v>248</v>
      </c>
      <c r="S2434">
        <v>0</v>
      </c>
      <c r="T2434" s="1095">
        <v>0</v>
      </c>
    </row>
    <row r="2435" spans="16:20">
      <c r="P2435" s="1094">
        <v>2441</v>
      </c>
      <c r="Q2435" t="s">
        <v>3508</v>
      </c>
      <c r="R2435" t="s">
        <v>248</v>
      </c>
      <c r="S2435">
        <v>0</v>
      </c>
      <c r="T2435" s="1095">
        <v>0</v>
      </c>
    </row>
    <row r="2436" spans="16:20">
      <c r="P2436" s="1094">
        <v>2441</v>
      </c>
      <c r="Q2436" t="s">
        <v>3509</v>
      </c>
      <c r="R2436" t="s">
        <v>248</v>
      </c>
      <c r="S2436">
        <v>0</v>
      </c>
      <c r="T2436" s="1095">
        <v>0</v>
      </c>
    </row>
    <row r="2437" spans="16:20">
      <c r="P2437" s="1094">
        <v>2441</v>
      </c>
      <c r="Q2437" t="s">
        <v>3510</v>
      </c>
      <c r="R2437" t="s">
        <v>248</v>
      </c>
      <c r="S2437">
        <v>0</v>
      </c>
      <c r="T2437" s="1095">
        <v>0</v>
      </c>
    </row>
    <row r="2438" spans="16:20">
      <c r="P2438" s="1094">
        <v>2441</v>
      </c>
      <c r="Q2438" t="s">
        <v>3511</v>
      </c>
      <c r="R2438" t="s">
        <v>248</v>
      </c>
      <c r="S2438">
        <v>0</v>
      </c>
      <c r="T2438" s="1095">
        <v>0</v>
      </c>
    </row>
    <row r="2439" spans="16:20">
      <c r="P2439" s="1094">
        <v>2442</v>
      </c>
      <c r="Q2439" t="s">
        <v>3512</v>
      </c>
      <c r="R2439" t="s">
        <v>248</v>
      </c>
      <c r="S2439">
        <v>0</v>
      </c>
      <c r="T2439" s="1095">
        <v>0</v>
      </c>
    </row>
    <row r="2440" spans="16:20">
      <c r="P2440" s="1094">
        <v>2442</v>
      </c>
      <c r="Q2440" t="s">
        <v>3513</v>
      </c>
      <c r="R2440" t="s">
        <v>248</v>
      </c>
      <c r="S2440">
        <v>0</v>
      </c>
      <c r="T2440" s="1095">
        <v>0</v>
      </c>
    </row>
    <row r="2441" spans="16:20">
      <c r="P2441" s="1094">
        <v>2443</v>
      </c>
      <c r="Q2441" t="s">
        <v>3514</v>
      </c>
      <c r="R2441" t="s">
        <v>248</v>
      </c>
      <c r="S2441">
        <v>152.747152</v>
      </c>
      <c r="T2441" s="1095">
        <v>-31.725435999999998</v>
      </c>
    </row>
    <row r="2442" spans="16:20">
      <c r="P2442" s="1094">
        <v>2443</v>
      </c>
      <c r="Q2442" t="s">
        <v>3515</v>
      </c>
      <c r="R2442" t="s">
        <v>248</v>
      </c>
      <c r="S2442">
        <v>152.747152</v>
      </c>
      <c r="T2442" s="1095">
        <v>-31.725435999999998</v>
      </c>
    </row>
    <row r="2443" spans="16:20">
      <c r="P2443" s="1094">
        <v>2443</v>
      </c>
      <c r="Q2443" t="s">
        <v>3516</v>
      </c>
      <c r="R2443" t="s">
        <v>248</v>
      </c>
      <c r="S2443">
        <v>152.747152</v>
      </c>
      <c r="T2443" s="1095">
        <v>-31.725435999999998</v>
      </c>
    </row>
    <row r="2444" spans="16:20">
      <c r="P2444" s="1094">
        <v>2443</v>
      </c>
      <c r="Q2444" t="s">
        <v>3517</v>
      </c>
      <c r="R2444" t="s">
        <v>248</v>
      </c>
      <c r="S2444">
        <v>152.747152</v>
      </c>
      <c r="T2444" s="1095">
        <v>-31.725435999999998</v>
      </c>
    </row>
    <row r="2445" spans="16:20">
      <c r="P2445" s="1094">
        <v>2443</v>
      </c>
      <c r="Q2445" t="s">
        <v>3518</v>
      </c>
      <c r="R2445" t="s">
        <v>248</v>
      </c>
      <c r="S2445">
        <v>152.747152</v>
      </c>
      <c r="T2445" s="1095">
        <v>-31.725435999999998</v>
      </c>
    </row>
    <row r="2446" spans="16:20">
      <c r="P2446" s="1094">
        <v>2443</v>
      </c>
      <c r="Q2446" t="s">
        <v>3519</v>
      </c>
      <c r="R2446" t="s">
        <v>248</v>
      </c>
      <c r="S2446">
        <v>152.747152</v>
      </c>
      <c r="T2446" s="1095">
        <v>-31.725435999999998</v>
      </c>
    </row>
    <row r="2447" spans="16:20">
      <c r="P2447" s="1094">
        <v>2443</v>
      </c>
      <c r="Q2447" t="s">
        <v>3520</v>
      </c>
      <c r="R2447" t="s">
        <v>248</v>
      </c>
      <c r="S2447">
        <v>152.747152</v>
      </c>
      <c r="T2447" s="1095">
        <v>-31.725435999999998</v>
      </c>
    </row>
    <row r="2448" spans="16:20">
      <c r="P2448" s="1094">
        <v>2443</v>
      </c>
      <c r="Q2448" t="s">
        <v>3521</v>
      </c>
      <c r="R2448" t="s">
        <v>248</v>
      </c>
      <c r="S2448">
        <v>152.747152</v>
      </c>
      <c r="T2448" s="1095">
        <v>-31.725435999999998</v>
      </c>
    </row>
    <row r="2449" spans="16:20">
      <c r="P2449" s="1094">
        <v>2443</v>
      </c>
      <c r="Q2449" t="s">
        <v>3522</v>
      </c>
      <c r="R2449" t="s">
        <v>248</v>
      </c>
      <c r="S2449">
        <v>152.747152</v>
      </c>
      <c r="T2449" s="1095">
        <v>-31.725435999999998</v>
      </c>
    </row>
    <row r="2450" spans="16:20">
      <c r="P2450" s="1094">
        <v>2443</v>
      </c>
      <c r="Q2450" t="s">
        <v>3523</v>
      </c>
      <c r="R2450" t="s">
        <v>248</v>
      </c>
      <c r="S2450">
        <v>152.747152</v>
      </c>
      <c r="T2450" s="1095">
        <v>-31.725435999999998</v>
      </c>
    </row>
    <row r="2451" spans="16:20">
      <c r="P2451" s="1094">
        <v>2443</v>
      </c>
      <c r="Q2451" t="s">
        <v>3524</v>
      </c>
      <c r="R2451" t="s">
        <v>248</v>
      </c>
      <c r="S2451">
        <v>152.747152</v>
      </c>
      <c r="T2451" s="1095">
        <v>-31.725435999999998</v>
      </c>
    </row>
    <row r="2452" spans="16:20">
      <c r="P2452" s="1094">
        <v>2443</v>
      </c>
      <c r="Q2452" t="s">
        <v>3525</v>
      </c>
      <c r="R2452" t="s">
        <v>248</v>
      </c>
      <c r="S2452">
        <v>152.747152</v>
      </c>
      <c r="T2452" s="1095">
        <v>-31.725435999999998</v>
      </c>
    </row>
    <row r="2453" spans="16:20">
      <c r="P2453" s="1094">
        <v>2443</v>
      </c>
      <c r="Q2453" t="s">
        <v>3526</v>
      </c>
      <c r="R2453" t="s">
        <v>248</v>
      </c>
      <c r="S2453">
        <v>152.747152</v>
      </c>
      <c r="T2453" s="1095">
        <v>-31.725435999999998</v>
      </c>
    </row>
    <row r="2454" spans="16:20">
      <c r="P2454" s="1094">
        <v>2443</v>
      </c>
      <c r="Q2454" t="s">
        <v>3527</v>
      </c>
      <c r="R2454" t="s">
        <v>248</v>
      </c>
      <c r="S2454">
        <v>152.747152</v>
      </c>
      <c r="T2454" s="1095">
        <v>-31.725435999999998</v>
      </c>
    </row>
    <row r="2455" spans="16:20">
      <c r="P2455" s="1094">
        <v>2443</v>
      </c>
      <c r="Q2455" t="s">
        <v>3528</v>
      </c>
      <c r="R2455" t="s">
        <v>248</v>
      </c>
      <c r="S2455">
        <v>152.747152</v>
      </c>
      <c r="T2455" s="1095">
        <v>-31.725435999999998</v>
      </c>
    </row>
    <row r="2456" spans="16:20">
      <c r="P2456" s="1094">
        <v>2443</v>
      </c>
      <c r="Q2456" t="s">
        <v>3529</v>
      </c>
      <c r="R2456" t="s">
        <v>248</v>
      </c>
      <c r="S2456">
        <v>152.747152</v>
      </c>
      <c r="T2456" s="1095">
        <v>-31.725435999999998</v>
      </c>
    </row>
    <row r="2457" spans="16:20">
      <c r="P2457" s="1094">
        <v>2443</v>
      </c>
      <c r="Q2457" t="s">
        <v>3530</v>
      </c>
      <c r="R2457" t="s">
        <v>248</v>
      </c>
      <c r="S2457">
        <v>152.747152</v>
      </c>
      <c r="T2457" s="1095">
        <v>-31.725435999999998</v>
      </c>
    </row>
    <row r="2458" spans="16:20">
      <c r="P2458" s="1094">
        <v>2443</v>
      </c>
      <c r="Q2458" t="s">
        <v>3531</v>
      </c>
      <c r="R2458" t="s">
        <v>248</v>
      </c>
      <c r="S2458">
        <v>152.747152</v>
      </c>
      <c r="T2458" s="1095">
        <v>-31.725435999999998</v>
      </c>
    </row>
    <row r="2459" spans="16:20">
      <c r="P2459" s="1094">
        <v>2443</v>
      </c>
      <c r="Q2459" t="s">
        <v>3532</v>
      </c>
      <c r="R2459" t="s">
        <v>248</v>
      </c>
      <c r="S2459">
        <v>152.747152</v>
      </c>
      <c r="T2459" s="1095">
        <v>-31.725435999999998</v>
      </c>
    </row>
    <row r="2460" spans="16:20">
      <c r="P2460" s="1094">
        <v>2444</v>
      </c>
      <c r="Q2460" t="s">
        <v>3533</v>
      </c>
      <c r="R2460" t="s">
        <v>248</v>
      </c>
      <c r="S2460">
        <v>152.87253000000001</v>
      </c>
      <c r="T2460" s="1095">
        <v>-31.439613999999999</v>
      </c>
    </row>
    <row r="2461" spans="16:20">
      <c r="P2461" s="1094">
        <v>2444</v>
      </c>
      <c r="Q2461" t="s">
        <v>3534</v>
      </c>
      <c r="R2461" t="s">
        <v>248</v>
      </c>
      <c r="S2461">
        <v>152.87253000000001</v>
      </c>
      <c r="T2461" s="1095">
        <v>-31.439613999999999</v>
      </c>
    </row>
    <row r="2462" spans="16:20">
      <c r="P2462" s="1094">
        <v>2444</v>
      </c>
      <c r="Q2462" t="s">
        <v>3535</v>
      </c>
      <c r="R2462" t="s">
        <v>248</v>
      </c>
      <c r="S2462">
        <v>152.87253000000001</v>
      </c>
      <c r="T2462" s="1095">
        <v>-31.439613999999999</v>
      </c>
    </row>
    <row r="2463" spans="16:20">
      <c r="P2463" s="1094">
        <v>2444</v>
      </c>
      <c r="Q2463" t="s">
        <v>3536</v>
      </c>
      <c r="R2463" t="s">
        <v>248</v>
      </c>
      <c r="S2463">
        <v>152.87253000000001</v>
      </c>
      <c r="T2463" s="1095">
        <v>-31.439613999999999</v>
      </c>
    </row>
    <row r="2464" spans="16:20">
      <c r="P2464" s="1094">
        <v>2444</v>
      </c>
      <c r="Q2464" t="s">
        <v>2667</v>
      </c>
      <c r="R2464" t="s">
        <v>248</v>
      </c>
      <c r="S2464">
        <v>152.87253000000001</v>
      </c>
      <c r="T2464" s="1095">
        <v>-31.439613999999999</v>
      </c>
    </row>
    <row r="2465" spans="16:20">
      <c r="P2465" s="1094">
        <v>2444</v>
      </c>
      <c r="Q2465" t="s">
        <v>3537</v>
      </c>
      <c r="R2465" t="s">
        <v>248</v>
      </c>
      <c r="S2465">
        <v>152.87253000000001</v>
      </c>
      <c r="T2465" s="1095">
        <v>-31.439613999999999</v>
      </c>
    </row>
    <row r="2466" spans="16:20">
      <c r="P2466" s="1094">
        <v>2444</v>
      </c>
      <c r="Q2466" t="s">
        <v>3538</v>
      </c>
      <c r="R2466" t="s">
        <v>248</v>
      </c>
      <c r="S2466">
        <v>152.87253000000001</v>
      </c>
      <c r="T2466" s="1095">
        <v>-31.439613999999999</v>
      </c>
    </row>
    <row r="2467" spans="16:20">
      <c r="P2467" s="1094">
        <v>2444</v>
      </c>
      <c r="Q2467" t="s">
        <v>3539</v>
      </c>
      <c r="R2467" t="s">
        <v>248</v>
      </c>
      <c r="S2467">
        <v>152.87253000000001</v>
      </c>
      <c r="T2467" s="1095">
        <v>-31.439613999999999</v>
      </c>
    </row>
    <row r="2468" spans="16:20">
      <c r="P2468" s="1094">
        <v>2444</v>
      </c>
      <c r="Q2468" t="s">
        <v>3540</v>
      </c>
      <c r="R2468" t="s">
        <v>248</v>
      </c>
      <c r="S2468">
        <v>152.87253000000001</v>
      </c>
      <c r="T2468" s="1095">
        <v>-31.439613999999999</v>
      </c>
    </row>
    <row r="2469" spans="16:20">
      <c r="P2469" s="1094">
        <v>2444</v>
      </c>
      <c r="Q2469" t="s">
        <v>3541</v>
      </c>
      <c r="R2469" t="s">
        <v>248</v>
      </c>
      <c r="S2469">
        <v>152.87253000000001</v>
      </c>
      <c r="T2469" s="1095">
        <v>-31.439613999999999</v>
      </c>
    </row>
    <row r="2470" spans="16:20">
      <c r="P2470" s="1094">
        <v>2444</v>
      </c>
      <c r="Q2470" t="s">
        <v>3542</v>
      </c>
      <c r="R2470" t="s">
        <v>248</v>
      </c>
      <c r="S2470">
        <v>152.87253000000001</v>
      </c>
      <c r="T2470" s="1095">
        <v>-31.439613999999999</v>
      </c>
    </row>
    <row r="2471" spans="16:20">
      <c r="P2471" s="1094">
        <v>2444</v>
      </c>
      <c r="Q2471" t="s">
        <v>3543</v>
      </c>
      <c r="R2471" t="s">
        <v>248</v>
      </c>
      <c r="S2471">
        <v>152.87253000000001</v>
      </c>
      <c r="T2471" s="1095">
        <v>-31.439613999999999</v>
      </c>
    </row>
    <row r="2472" spans="16:20">
      <c r="P2472" s="1094">
        <v>2445</v>
      </c>
      <c r="Q2472" t="s">
        <v>3544</v>
      </c>
      <c r="R2472" t="s">
        <v>248</v>
      </c>
      <c r="S2472">
        <v>152.820899</v>
      </c>
      <c r="T2472" s="1095">
        <v>-31.583037000000001</v>
      </c>
    </row>
    <row r="2473" spans="16:20">
      <c r="P2473" s="1094">
        <v>2445</v>
      </c>
      <c r="Q2473" t="s">
        <v>3545</v>
      </c>
      <c r="R2473" t="s">
        <v>248</v>
      </c>
      <c r="S2473">
        <v>152.820899</v>
      </c>
      <c r="T2473" s="1095">
        <v>-31.583037000000001</v>
      </c>
    </row>
    <row r="2474" spans="16:20">
      <c r="P2474" s="1094">
        <v>2445</v>
      </c>
      <c r="Q2474" t="s">
        <v>3546</v>
      </c>
      <c r="R2474" t="s">
        <v>248</v>
      </c>
      <c r="S2474">
        <v>152.820899</v>
      </c>
      <c r="T2474" s="1095">
        <v>-31.583037000000001</v>
      </c>
    </row>
    <row r="2475" spans="16:20">
      <c r="P2475" s="1094">
        <v>2446</v>
      </c>
      <c r="Q2475" t="s">
        <v>3547</v>
      </c>
      <c r="R2475" t="s">
        <v>248</v>
      </c>
      <c r="S2475">
        <v>152.466916</v>
      </c>
      <c r="T2475" s="1095">
        <v>-31.387394</v>
      </c>
    </row>
    <row r="2476" spans="16:20">
      <c r="P2476" s="1094">
        <v>2446</v>
      </c>
      <c r="Q2476" t="s">
        <v>3548</v>
      </c>
      <c r="R2476" t="s">
        <v>248</v>
      </c>
      <c r="S2476">
        <v>152.466916</v>
      </c>
      <c r="T2476" s="1095">
        <v>-31.387394</v>
      </c>
    </row>
    <row r="2477" spans="16:20">
      <c r="P2477" s="1094">
        <v>2446</v>
      </c>
      <c r="Q2477" t="s">
        <v>3549</v>
      </c>
      <c r="R2477" t="s">
        <v>248</v>
      </c>
      <c r="S2477">
        <v>152.466916</v>
      </c>
      <c r="T2477" s="1095">
        <v>-31.387394</v>
      </c>
    </row>
    <row r="2478" spans="16:20">
      <c r="P2478" s="1094">
        <v>2446</v>
      </c>
      <c r="Q2478" t="s">
        <v>3550</v>
      </c>
      <c r="R2478" t="s">
        <v>248</v>
      </c>
      <c r="S2478">
        <v>152.466916</v>
      </c>
      <c r="T2478" s="1095">
        <v>-31.387394</v>
      </c>
    </row>
    <row r="2479" spans="16:20">
      <c r="P2479" s="1094">
        <v>2446</v>
      </c>
      <c r="Q2479" t="s">
        <v>3551</v>
      </c>
      <c r="R2479" t="s">
        <v>248</v>
      </c>
      <c r="S2479">
        <v>152.466916</v>
      </c>
      <c r="T2479" s="1095">
        <v>-31.387394</v>
      </c>
    </row>
    <row r="2480" spans="16:20">
      <c r="P2480" s="1094">
        <v>2446</v>
      </c>
      <c r="Q2480" t="s">
        <v>3552</v>
      </c>
      <c r="R2480" t="s">
        <v>248</v>
      </c>
      <c r="S2480">
        <v>152.466916</v>
      </c>
      <c r="T2480" s="1095">
        <v>-31.387394</v>
      </c>
    </row>
    <row r="2481" spans="16:20">
      <c r="P2481" s="1094">
        <v>2446</v>
      </c>
      <c r="Q2481" t="s">
        <v>3553</v>
      </c>
      <c r="R2481" t="s">
        <v>248</v>
      </c>
      <c r="S2481">
        <v>152.466916</v>
      </c>
      <c r="T2481" s="1095">
        <v>-31.387394</v>
      </c>
    </row>
    <row r="2482" spans="16:20">
      <c r="P2482" s="1094">
        <v>2446</v>
      </c>
      <c r="Q2482" t="s">
        <v>3554</v>
      </c>
      <c r="R2482" t="s">
        <v>248</v>
      </c>
      <c r="S2482">
        <v>152.466916</v>
      </c>
      <c r="T2482" s="1095">
        <v>-31.387394</v>
      </c>
    </row>
    <row r="2483" spans="16:20">
      <c r="P2483" s="1094">
        <v>2446</v>
      </c>
      <c r="Q2483" t="s">
        <v>3555</v>
      </c>
      <c r="R2483" t="s">
        <v>248</v>
      </c>
      <c r="S2483">
        <v>152.466916</v>
      </c>
      <c r="T2483" s="1095">
        <v>-31.387394</v>
      </c>
    </row>
    <row r="2484" spans="16:20">
      <c r="P2484" s="1094">
        <v>2446</v>
      </c>
      <c r="Q2484" t="s">
        <v>3556</v>
      </c>
      <c r="R2484" t="s">
        <v>248</v>
      </c>
      <c r="S2484">
        <v>152.466916</v>
      </c>
      <c r="T2484" s="1095">
        <v>-31.387394</v>
      </c>
    </row>
    <row r="2485" spans="16:20">
      <c r="P2485" s="1094">
        <v>2446</v>
      </c>
      <c r="Q2485" t="s">
        <v>3557</v>
      </c>
      <c r="R2485" t="s">
        <v>248</v>
      </c>
      <c r="S2485">
        <v>152.466916</v>
      </c>
      <c r="T2485" s="1095">
        <v>-31.387394</v>
      </c>
    </row>
    <row r="2486" spans="16:20">
      <c r="P2486" s="1094">
        <v>2446</v>
      </c>
      <c r="Q2486" t="s">
        <v>3558</v>
      </c>
      <c r="R2486" t="s">
        <v>248</v>
      </c>
      <c r="S2486">
        <v>152.466916</v>
      </c>
      <c r="T2486" s="1095">
        <v>-31.387394</v>
      </c>
    </row>
    <row r="2487" spans="16:20">
      <c r="P2487" s="1094">
        <v>2446</v>
      </c>
      <c r="Q2487" t="s">
        <v>3559</v>
      </c>
      <c r="R2487" t="s">
        <v>248</v>
      </c>
      <c r="S2487">
        <v>152.466916</v>
      </c>
      <c r="T2487" s="1095">
        <v>-31.387394</v>
      </c>
    </row>
    <row r="2488" spans="16:20">
      <c r="P2488" s="1094">
        <v>2446</v>
      </c>
      <c r="Q2488" t="s">
        <v>3560</v>
      </c>
      <c r="R2488" t="s">
        <v>248</v>
      </c>
      <c r="S2488">
        <v>152.466916</v>
      </c>
      <c r="T2488" s="1095">
        <v>-31.387394</v>
      </c>
    </row>
    <row r="2489" spans="16:20">
      <c r="P2489" s="1094">
        <v>2446</v>
      </c>
      <c r="Q2489" t="s">
        <v>3561</v>
      </c>
      <c r="R2489" t="s">
        <v>248</v>
      </c>
      <c r="S2489">
        <v>152.466916</v>
      </c>
      <c r="T2489" s="1095">
        <v>-31.387394</v>
      </c>
    </row>
    <row r="2490" spans="16:20">
      <c r="P2490" s="1094">
        <v>2446</v>
      </c>
      <c r="Q2490" t="s">
        <v>3562</v>
      </c>
      <c r="R2490" t="s">
        <v>248</v>
      </c>
      <c r="S2490">
        <v>152.466916</v>
      </c>
      <c r="T2490" s="1095">
        <v>-31.387394</v>
      </c>
    </row>
    <row r="2491" spans="16:20">
      <c r="P2491" s="1094">
        <v>2446</v>
      </c>
      <c r="Q2491" t="s">
        <v>3563</v>
      </c>
      <c r="R2491" t="s">
        <v>248</v>
      </c>
      <c r="S2491">
        <v>152.466916</v>
      </c>
      <c r="T2491" s="1095">
        <v>-31.387394</v>
      </c>
    </row>
    <row r="2492" spans="16:20">
      <c r="P2492" s="1094">
        <v>2446</v>
      </c>
      <c r="Q2492" t="s">
        <v>3564</v>
      </c>
      <c r="R2492" t="s">
        <v>248</v>
      </c>
      <c r="S2492">
        <v>152.466916</v>
      </c>
      <c r="T2492" s="1095">
        <v>-31.387394</v>
      </c>
    </row>
    <row r="2493" spans="16:20">
      <c r="P2493" s="1094">
        <v>2446</v>
      </c>
      <c r="Q2493" t="s">
        <v>3565</v>
      </c>
      <c r="R2493" t="s">
        <v>248</v>
      </c>
      <c r="S2493">
        <v>152.466916</v>
      </c>
      <c r="T2493" s="1095">
        <v>-31.387394</v>
      </c>
    </row>
    <row r="2494" spans="16:20">
      <c r="P2494" s="1094">
        <v>2446</v>
      </c>
      <c r="Q2494" t="s">
        <v>3566</v>
      </c>
      <c r="R2494" t="s">
        <v>248</v>
      </c>
      <c r="S2494">
        <v>152.466916</v>
      </c>
      <c r="T2494" s="1095">
        <v>-31.387394</v>
      </c>
    </row>
    <row r="2495" spans="16:20">
      <c r="P2495" s="1094">
        <v>2446</v>
      </c>
      <c r="Q2495" t="s">
        <v>3567</v>
      </c>
      <c r="R2495" t="s">
        <v>248</v>
      </c>
      <c r="S2495">
        <v>152.466916</v>
      </c>
      <c r="T2495" s="1095">
        <v>-31.387394</v>
      </c>
    </row>
    <row r="2496" spans="16:20">
      <c r="P2496" s="1094">
        <v>2446</v>
      </c>
      <c r="Q2496" t="s">
        <v>3568</v>
      </c>
      <c r="R2496" t="s">
        <v>248</v>
      </c>
      <c r="S2496">
        <v>152.466916</v>
      </c>
      <c r="T2496" s="1095">
        <v>-31.387394</v>
      </c>
    </row>
    <row r="2497" spans="16:20">
      <c r="P2497" s="1094">
        <v>2446</v>
      </c>
      <c r="Q2497" t="s">
        <v>3569</v>
      </c>
      <c r="R2497" t="s">
        <v>248</v>
      </c>
      <c r="S2497">
        <v>152.466916</v>
      </c>
      <c r="T2497" s="1095">
        <v>-31.387394</v>
      </c>
    </row>
    <row r="2498" spans="16:20">
      <c r="P2498" s="1094">
        <v>2446</v>
      </c>
      <c r="Q2498" t="s">
        <v>3570</v>
      </c>
      <c r="R2498" t="s">
        <v>248</v>
      </c>
      <c r="S2498">
        <v>152.466916</v>
      </c>
      <c r="T2498" s="1095">
        <v>-31.387394</v>
      </c>
    </row>
    <row r="2499" spans="16:20">
      <c r="P2499" s="1094">
        <v>2446</v>
      </c>
      <c r="Q2499" t="s">
        <v>3571</v>
      </c>
      <c r="R2499" t="s">
        <v>248</v>
      </c>
      <c r="S2499">
        <v>152.466916</v>
      </c>
      <c r="T2499" s="1095">
        <v>-31.387394</v>
      </c>
    </row>
    <row r="2500" spans="16:20">
      <c r="P2500" s="1094">
        <v>2446</v>
      </c>
      <c r="Q2500" t="s">
        <v>3572</v>
      </c>
      <c r="R2500" t="s">
        <v>248</v>
      </c>
      <c r="S2500">
        <v>152.466916</v>
      </c>
      <c r="T2500" s="1095">
        <v>-31.387394</v>
      </c>
    </row>
    <row r="2501" spans="16:20">
      <c r="P2501" s="1094">
        <v>2446</v>
      </c>
      <c r="Q2501" t="s">
        <v>3573</v>
      </c>
      <c r="R2501" t="s">
        <v>248</v>
      </c>
      <c r="S2501">
        <v>152.466916</v>
      </c>
      <c r="T2501" s="1095">
        <v>-31.387394</v>
      </c>
    </row>
    <row r="2502" spans="16:20">
      <c r="P2502" s="1094">
        <v>2446</v>
      </c>
      <c r="Q2502" t="s">
        <v>3574</v>
      </c>
      <c r="R2502" t="s">
        <v>248</v>
      </c>
      <c r="S2502">
        <v>152.466916</v>
      </c>
      <c r="T2502" s="1095">
        <v>-31.387394</v>
      </c>
    </row>
    <row r="2503" spans="16:20">
      <c r="P2503" s="1094">
        <v>2446</v>
      </c>
      <c r="Q2503" t="s">
        <v>3575</v>
      </c>
      <c r="R2503" t="s">
        <v>248</v>
      </c>
      <c r="S2503">
        <v>152.466916</v>
      </c>
      <c r="T2503" s="1095">
        <v>-31.387394</v>
      </c>
    </row>
    <row r="2504" spans="16:20">
      <c r="P2504" s="1094">
        <v>2446</v>
      </c>
      <c r="Q2504" t="s">
        <v>3576</v>
      </c>
      <c r="R2504" t="s">
        <v>248</v>
      </c>
      <c r="S2504">
        <v>152.466916</v>
      </c>
      <c r="T2504" s="1095">
        <v>-31.387394</v>
      </c>
    </row>
    <row r="2505" spans="16:20">
      <c r="P2505" s="1094">
        <v>2446</v>
      </c>
      <c r="Q2505" t="s">
        <v>3577</v>
      </c>
      <c r="R2505" t="s">
        <v>248</v>
      </c>
      <c r="S2505">
        <v>152.466916</v>
      </c>
      <c r="T2505" s="1095">
        <v>-31.387394</v>
      </c>
    </row>
    <row r="2506" spans="16:20">
      <c r="P2506" s="1094">
        <v>2446</v>
      </c>
      <c r="Q2506" t="s">
        <v>3578</v>
      </c>
      <c r="R2506" t="s">
        <v>248</v>
      </c>
      <c r="S2506">
        <v>152.466916</v>
      </c>
      <c r="T2506" s="1095">
        <v>-31.387394</v>
      </c>
    </row>
    <row r="2507" spans="16:20">
      <c r="P2507" s="1094">
        <v>2446</v>
      </c>
      <c r="Q2507" t="s">
        <v>3579</v>
      </c>
      <c r="R2507" t="s">
        <v>248</v>
      </c>
      <c r="S2507">
        <v>152.466916</v>
      </c>
      <c r="T2507" s="1095">
        <v>-31.387394</v>
      </c>
    </row>
    <row r="2508" spans="16:20">
      <c r="P2508" s="1094">
        <v>2446</v>
      </c>
      <c r="Q2508" t="s">
        <v>3580</v>
      </c>
      <c r="R2508" t="s">
        <v>248</v>
      </c>
      <c r="S2508">
        <v>152.466916</v>
      </c>
      <c r="T2508" s="1095">
        <v>-31.387394</v>
      </c>
    </row>
    <row r="2509" spans="16:20">
      <c r="P2509" s="1094">
        <v>2446</v>
      </c>
      <c r="Q2509" t="s">
        <v>3581</v>
      </c>
      <c r="R2509" t="s">
        <v>248</v>
      </c>
      <c r="S2509">
        <v>152.466916</v>
      </c>
      <c r="T2509" s="1095">
        <v>-31.387394</v>
      </c>
    </row>
    <row r="2510" spans="16:20">
      <c r="P2510" s="1094">
        <v>2447</v>
      </c>
      <c r="Q2510" t="s">
        <v>3582</v>
      </c>
      <c r="R2510" t="s">
        <v>248</v>
      </c>
      <c r="S2510">
        <v>152.75162900000001</v>
      </c>
      <c r="T2510" s="1095">
        <v>-30.770669999999999</v>
      </c>
    </row>
    <row r="2511" spans="16:20">
      <c r="P2511" s="1094">
        <v>2447</v>
      </c>
      <c r="Q2511" t="s">
        <v>3583</v>
      </c>
      <c r="R2511" t="s">
        <v>248</v>
      </c>
      <c r="S2511">
        <v>152.75162900000001</v>
      </c>
      <c r="T2511" s="1095">
        <v>-30.770669999999999</v>
      </c>
    </row>
    <row r="2512" spans="16:20">
      <c r="P2512" s="1094">
        <v>2447</v>
      </c>
      <c r="Q2512" t="s">
        <v>3584</v>
      </c>
      <c r="R2512" t="s">
        <v>248</v>
      </c>
      <c r="S2512">
        <v>152.75162900000001</v>
      </c>
      <c r="T2512" s="1095">
        <v>-30.770669999999999</v>
      </c>
    </row>
    <row r="2513" spans="16:20">
      <c r="P2513" s="1094">
        <v>2447</v>
      </c>
      <c r="Q2513" t="s">
        <v>3585</v>
      </c>
      <c r="R2513" t="s">
        <v>248</v>
      </c>
      <c r="S2513">
        <v>152.75162900000001</v>
      </c>
      <c r="T2513" s="1095">
        <v>-30.770669999999999</v>
      </c>
    </row>
    <row r="2514" spans="16:20">
      <c r="P2514" s="1094">
        <v>2447</v>
      </c>
      <c r="Q2514" t="s">
        <v>3586</v>
      </c>
      <c r="R2514" t="s">
        <v>248</v>
      </c>
      <c r="S2514">
        <v>152.75162900000001</v>
      </c>
      <c r="T2514" s="1095">
        <v>-30.770669999999999</v>
      </c>
    </row>
    <row r="2515" spans="16:20">
      <c r="P2515" s="1094">
        <v>2447</v>
      </c>
      <c r="Q2515" t="s">
        <v>3587</v>
      </c>
      <c r="R2515" t="s">
        <v>248</v>
      </c>
      <c r="S2515">
        <v>152.75162900000001</v>
      </c>
      <c r="T2515" s="1095">
        <v>-30.770669999999999</v>
      </c>
    </row>
    <row r="2516" spans="16:20">
      <c r="P2516" s="1094">
        <v>2447</v>
      </c>
      <c r="Q2516" t="s">
        <v>3588</v>
      </c>
      <c r="R2516" t="s">
        <v>248</v>
      </c>
      <c r="S2516">
        <v>152.75162900000001</v>
      </c>
      <c r="T2516" s="1095">
        <v>-30.770669999999999</v>
      </c>
    </row>
    <row r="2517" spans="16:20">
      <c r="P2517" s="1094">
        <v>2447</v>
      </c>
      <c r="Q2517" t="s">
        <v>3589</v>
      </c>
      <c r="R2517" t="s">
        <v>248</v>
      </c>
      <c r="S2517">
        <v>152.75162900000001</v>
      </c>
      <c r="T2517" s="1095">
        <v>-30.770669999999999</v>
      </c>
    </row>
    <row r="2518" spans="16:20">
      <c r="P2518" s="1094">
        <v>2447</v>
      </c>
      <c r="Q2518" t="s">
        <v>3590</v>
      </c>
      <c r="R2518" t="s">
        <v>248</v>
      </c>
      <c r="S2518">
        <v>152.75162900000001</v>
      </c>
      <c r="T2518" s="1095">
        <v>-30.770669999999999</v>
      </c>
    </row>
    <row r="2519" spans="16:20">
      <c r="P2519" s="1094">
        <v>2447</v>
      </c>
      <c r="Q2519" t="s">
        <v>3591</v>
      </c>
      <c r="R2519" t="s">
        <v>248</v>
      </c>
      <c r="S2519">
        <v>152.75162900000001</v>
      </c>
      <c r="T2519" s="1095">
        <v>-30.770669999999999</v>
      </c>
    </row>
    <row r="2520" spans="16:20">
      <c r="P2520" s="1094">
        <v>2447</v>
      </c>
      <c r="Q2520" t="s">
        <v>3592</v>
      </c>
      <c r="R2520" t="s">
        <v>248</v>
      </c>
      <c r="S2520">
        <v>152.75162900000001</v>
      </c>
      <c r="T2520" s="1095">
        <v>-30.770669999999999</v>
      </c>
    </row>
    <row r="2521" spans="16:20">
      <c r="P2521" s="1094">
        <v>2447</v>
      </c>
      <c r="Q2521" t="s">
        <v>3593</v>
      </c>
      <c r="R2521" t="s">
        <v>248</v>
      </c>
      <c r="S2521">
        <v>152.75162900000001</v>
      </c>
      <c r="T2521" s="1095">
        <v>-30.770669999999999</v>
      </c>
    </row>
    <row r="2522" spans="16:20">
      <c r="P2522" s="1094">
        <v>2447</v>
      </c>
      <c r="Q2522" t="s">
        <v>3594</v>
      </c>
      <c r="R2522" t="s">
        <v>248</v>
      </c>
      <c r="S2522">
        <v>152.75162900000001</v>
      </c>
      <c r="T2522" s="1095">
        <v>-30.770669999999999</v>
      </c>
    </row>
    <row r="2523" spans="16:20">
      <c r="P2523" s="1094">
        <v>2447</v>
      </c>
      <c r="Q2523" t="s">
        <v>3595</v>
      </c>
      <c r="R2523" t="s">
        <v>248</v>
      </c>
      <c r="S2523">
        <v>152.75162900000001</v>
      </c>
      <c r="T2523" s="1095">
        <v>-30.770669999999999</v>
      </c>
    </row>
    <row r="2524" spans="16:20">
      <c r="P2524" s="1094">
        <v>2447</v>
      </c>
      <c r="Q2524" t="s">
        <v>3596</v>
      </c>
      <c r="R2524" t="s">
        <v>248</v>
      </c>
      <c r="S2524">
        <v>152.75162900000001</v>
      </c>
      <c r="T2524" s="1095">
        <v>-30.770669999999999</v>
      </c>
    </row>
    <row r="2525" spans="16:20">
      <c r="P2525" s="1094">
        <v>2447</v>
      </c>
      <c r="Q2525" t="s">
        <v>3597</v>
      </c>
      <c r="R2525" t="s">
        <v>248</v>
      </c>
      <c r="S2525">
        <v>152.75162900000001</v>
      </c>
      <c r="T2525" s="1095">
        <v>-30.770669999999999</v>
      </c>
    </row>
    <row r="2526" spans="16:20">
      <c r="P2526" s="1094">
        <v>2448</v>
      </c>
      <c r="Q2526" t="s">
        <v>3598</v>
      </c>
      <c r="R2526" t="s">
        <v>248</v>
      </c>
      <c r="S2526">
        <v>152.956681</v>
      </c>
      <c r="T2526" s="1095">
        <v>-30.604666999999999</v>
      </c>
    </row>
    <row r="2527" spans="16:20">
      <c r="P2527" s="1094">
        <v>2448</v>
      </c>
      <c r="Q2527" t="s">
        <v>3599</v>
      </c>
      <c r="R2527" t="s">
        <v>248</v>
      </c>
      <c r="S2527">
        <v>152.956681</v>
      </c>
      <c r="T2527" s="1095">
        <v>-30.604666999999999</v>
      </c>
    </row>
    <row r="2528" spans="16:20">
      <c r="P2528" s="1094">
        <v>2448</v>
      </c>
      <c r="Q2528" t="s">
        <v>3600</v>
      </c>
      <c r="R2528" t="s">
        <v>248</v>
      </c>
      <c r="S2528">
        <v>152.956681</v>
      </c>
      <c r="T2528" s="1095">
        <v>-30.604666999999999</v>
      </c>
    </row>
    <row r="2529" spans="16:20">
      <c r="P2529" s="1094">
        <v>2448</v>
      </c>
      <c r="Q2529" t="s">
        <v>3601</v>
      </c>
      <c r="R2529" t="s">
        <v>248</v>
      </c>
      <c r="S2529">
        <v>152.956681</v>
      </c>
      <c r="T2529" s="1095">
        <v>-30.604666999999999</v>
      </c>
    </row>
    <row r="2530" spans="16:20">
      <c r="P2530" s="1094">
        <v>2448</v>
      </c>
      <c r="Q2530" t="s">
        <v>3602</v>
      </c>
      <c r="R2530" t="s">
        <v>248</v>
      </c>
      <c r="S2530">
        <v>152.956681</v>
      </c>
      <c r="T2530" s="1095">
        <v>-30.604666999999999</v>
      </c>
    </row>
    <row r="2531" spans="16:20">
      <c r="P2531" s="1094">
        <v>2449</v>
      </c>
      <c r="Q2531" t="s">
        <v>3603</v>
      </c>
      <c r="R2531" t="s">
        <v>248</v>
      </c>
      <c r="S2531">
        <v>152.737629</v>
      </c>
      <c r="T2531" s="1095">
        <v>-30.628160000000001</v>
      </c>
    </row>
    <row r="2532" spans="16:20">
      <c r="P2532" s="1094">
        <v>2449</v>
      </c>
      <c r="Q2532" t="s">
        <v>3604</v>
      </c>
      <c r="R2532" t="s">
        <v>248</v>
      </c>
      <c r="S2532">
        <v>152.737629</v>
      </c>
      <c r="T2532" s="1095">
        <v>-30.628160000000001</v>
      </c>
    </row>
    <row r="2533" spans="16:20">
      <c r="P2533" s="1094">
        <v>2449</v>
      </c>
      <c r="Q2533" t="s">
        <v>3605</v>
      </c>
      <c r="R2533" t="s">
        <v>248</v>
      </c>
      <c r="S2533">
        <v>152.737629</v>
      </c>
      <c r="T2533" s="1095">
        <v>-30.628160000000001</v>
      </c>
    </row>
    <row r="2534" spans="16:20">
      <c r="P2534" s="1094">
        <v>2449</v>
      </c>
      <c r="Q2534" t="s">
        <v>3606</v>
      </c>
      <c r="R2534" t="s">
        <v>248</v>
      </c>
      <c r="S2534">
        <v>152.737629</v>
      </c>
      <c r="T2534" s="1095">
        <v>-30.628160000000001</v>
      </c>
    </row>
    <row r="2535" spans="16:20">
      <c r="P2535" s="1094">
        <v>2449</v>
      </c>
      <c r="Q2535" t="s">
        <v>3607</v>
      </c>
      <c r="R2535" t="s">
        <v>248</v>
      </c>
      <c r="S2535">
        <v>152.737629</v>
      </c>
      <c r="T2535" s="1095">
        <v>-30.628160000000001</v>
      </c>
    </row>
    <row r="2536" spans="16:20">
      <c r="P2536" s="1094">
        <v>2449</v>
      </c>
      <c r="Q2536" t="s">
        <v>3608</v>
      </c>
      <c r="R2536" t="s">
        <v>248</v>
      </c>
      <c r="S2536">
        <v>152.737629</v>
      </c>
      <c r="T2536" s="1095">
        <v>-30.628160000000001</v>
      </c>
    </row>
    <row r="2537" spans="16:20">
      <c r="P2537" s="1094">
        <v>2449</v>
      </c>
      <c r="Q2537" t="s">
        <v>3609</v>
      </c>
      <c r="R2537" t="s">
        <v>248</v>
      </c>
      <c r="S2537">
        <v>152.737629</v>
      </c>
      <c r="T2537" s="1095">
        <v>-30.628160000000001</v>
      </c>
    </row>
    <row r="2538" spans="16:20">
      <c r="P2538" s="1094">
        <v>2450</v>
      </c>
      <c r="Q2538" t="s">
        <v>3610</v>
      </c>
      <c r="R2538" t="s">
        <v>248</v>
      </c>
      <c r="S2538">
        <v>152.65826799999999</v>
      </c>
      <c r="T2538" s="1095">
        <v>-30.097726000000002</v>
      </c>
    </row>
    <row r="2539" spans="16:20">
      <c r="P2539" s="1094">
        <v>2450</v>
      </c>
      <c r="Q2539" t="s">
        <v>3611</v>
      </c>
      <c r="R2539" t="s">
        <v>248</v>
      </c>
      <c r="S2539">
        <v>152.65826799999999</v>
      </c>
      <c r="T2539" s="1095">
        <v>-30.097726000000002</v>
      </c>
    </row>
    <row r="2540" spans="16:20">
      <c r="P2540" s="1094">
        <v>2450</v>
      </c>
      <c r="Q2540" t="s">
        <v>3612</v>
      </c>
      <c r="R2540" t="s">
        <v>248</v>
      </c>
      <c r="S2540">
        <v>152.65826799999999</v>
      </c>
      <c r="T2540" s="1095">
        <v>-30.097726000000002</v>
      </c>
    </row>
    <row r="2541" spans="16:20">
      <c r="P2541" s="1094">
        <v>2450</v>
      </c>
      <c r="Q2541" t="s">
        <v>3613</v>
      </c>
      <c r="R2541" t="s">
        <v>248</v>
      </c>
      <c r="S2541">
        <v>152.65826799999999</v>
      </c>
      <c r="T2541" s="1095">
        <v>-30.097726000000002</v>
      </c>
    </row>
    <row r="2542" spans="16:20">
      <c r="P2542" s="1094">
        <v>2450</v>
      </c>
      <c r="Q2542" t="s">
        <v>3614</v>
      </c>
      <c r="R2542" t="s">
        <v>248</v>
      </c>
      <c r="S2542">
        <v>152.65826799999999</v>
      </c>
      <c r="T2542" s="1095">
        <v>-30.097726000000002</v>
      </c>
    </row>
    <row r="2543" spans="16:20">
      <c r="P2543" s="1094">
        <v>2450</v>
      </c>
      <c r="Q2543" t="s">
        <v>3615</v>
      </c>
      <c r="R2543" t="s">
        <v>248</v>
      </c>
      <c r="S2543">
        <v>152.65826799999999</v>
      </c>
      <c r="T2543" s="1095">
        <v>-30.097726000000002</v>
      </c>
    </row>
    <row r="2544" spans="16:20">
      <c r="P2544" s="1094">
        <v>2450</v>
      </c>
      <c r="Q2544" t="s">
        <v>3616</v>
      </c>
      <c r="R2544" t="s">
        <v>248</v>
      </c>
      <c r="S2544">
        <v>152.65826799999999</v>
      </c>
      <c r="T2544" s="1095">
        <v>-30.097726000000002</v>
      </c>
    </row>
    <row r="2545" spans="16:20">
      <c r="P2545" s="1094">
        <v>2450</v>
      </c>
      <c r="Q2545" t="s">
        <v>3617</v>
      </c>
      <c r="R2545" t="s">
        <v>248</v>
      </c>
      <c r="S2545">
        <v>152.65826799999999</v>
      </c>
      <c r="T2545" s="1095">
        <v>-30.097726000000002</v>
      </c>
    </row>
    <row r="2546" spans="16:20">
      <c r="P2546" s="1094">
        <v>2450</v>
      </c>
      <c r="Q2546" t="s">
        <v>3618</v>
      </c>
      <c r="R2546" t="s">
        <v>248</v>
      </c>
      <c r="S2546">
        <v>152.65826799999999</v>
      </c>
      <c r="T2546" s="1095">
        <v>-30.097726000000002</v>
      </c>
    </row>
    <row r="2547" spans="16:20">
      <c r="P2547" s="1094">
        <v>2450</v>
      </c>
      <c r="Q2547" t="s">
        <v>3619</v>
      </c>
      <c r="R2547" t="s">
        <v>248</v>
      </c>
      <c r="S2547">
        <v>152.65826799999999</v>
      </c>
      <c r="T2547" s="1095">
        <v>-30.097726000000002</v>
      </c>
    </row>
    <row r="2548" spans="16:20">
      <c r="P2548" s="1094">
        <v>2450</v>
      </c>
      <c r="Q2548" t="s">
        <v>3620</v>
      </c>
      <c r="R2548" t="s">
        <v>248</v>
      </c>
      <c r="S2548">
        <v>152.65826799999999</v>
      </c>
      <c r="T2548" s="1095">
        <v>-30.097726000000002</v>
      </c>
    </row>
    <row r="2549" spans="16:20">
      <c r="P2549" s="1094">
        <v>2450</v>
      </c>
      <c r="Q2549" t="s">
        <v>3621</v>
      </c>
      <c r="R2549" t="s">
        <v>248</v>
      </c>
      <c r="S2549">
        <v>152.65826799999999</v>
      </c>
      <c r="T2549" s="1095">
        <v>-30.097726000000002</v>
      </c>
    </row>
    <row r="2550" spans="16:20">
      <c r="P2550" s="1094">
        <v>2450</v>
      </c>
      <c r="Q2550" t="s">
        <v>3622</v>
      </c>
      <c r="R2550" t="s">
        <v>248</v>
      </c>
      <c r="S2550">
        <v>152.65826799999999</v>
      </c>
      <c r="T2550" s="1095">
        <v>-30.097726000000002</v>
      </c>
    </row>
    <row r="2551" spans="16:20">
      <c r="P2551" s="1094">
        <v>2450</v>
      </c>
      <c r="Q2551" t="s">
        <v>3623</v>
      </c>
      <c r="R2551" t="s">
        <v>248</v>
      </c>
      <c r="S2551">
        <v>152.65826799999999</v>
      </c>
      <c r="T2551" s="1095">
        <v>-30.097726000000002</v>
      </c>
    </row>
    <row r="2552" spans="16:20">
      <c r="P2552" s="1094">
        <v>2450</v>
      </c>
      <c r="Q2552" t="s">
        <v>3624</v>
      </c>
      <c r="R2552" t="s">
        <v>248</v>
      </c>
      <c r="S2552">
        <v>152.65826799999999</v>
      </c>
      <c r="T2552" s="1095">
        <v>-30.097726000000002</v>
      </c>
    </row>
    <row r="2553" spans="16:20">
      <c r="P2553" s="1094">
        <v>2450</v>
      </c>
      <c r="Q2553" t="s">
        <v>3625</v>
      </c>
      <c r="R2553" t="s">
        <v>248</v>
      </c>
      <c r="S2553">
        <v>152.65826799999999</v>
      </c>
      <c r="T2553" s="1095">
        <v>-30.097726000000002</v>
      </c>
    </row>
    <row r="2554" spans="16:20">
      <c r="P2554" s="1094">
        <v>2450</v>
      </c>
      <c r="Q2554" t="s">
        <v>3626</v>
      </c>
      <c r="R2554" t="s">
        <v>248</v>
      </c>
      <c r="S2554">
        <v>152.65826799999999</v>
      </c>
      <c r="T2554" s="1095">
        <v>-30.097726000000002</v>
      </c>
    </row>
    <row r="2555" spans="16:20">
      <c r="P2555" s="1094">
        <v>2450</v>
      </c>
      <c r="Q2555" t="s">
        <v>3627</v>
      </c>
      <c r="R2555" t="s">
        <v>248</v>
      </c>
      <c r="S2555">
        <v>152.65826799999999</v>
      </c>
      <c r="T2555" s="1095">
        <v>-30.097726000000002</v>
      </c>
    </row>
    <row r="2556" spans="16:20">
      <c r="P2556" s="1094">
        <v>2450</v>
      </c>
      <c r="Q2556" t="s">
        <v>3628</v>
      </c>
      <c r="R2556" t="s">
        <v>248</v>
      </c>
      <c r="S2556">
        <v>152.65826799999999</v>
      </c>
      <c r="T2556" s="1095">
        <v>-30.097726000000002</v>
      </c>
    </row>
    <row r="2557" spans="16:20">
      <c r="P2557" s="1094">
        <v>2452</v>
      </c>
      <c r="Q2557" t="s">
        <v>3629</v>
      </c>
      <c r="R2557" t="s">
        <v>248</v>
      </c>
      <c r="S2557">
        <v>153.08188000000001</v>
      </c>
      <c r="T2557" s="1095">
        <v>-30.357168000000001</v>
      </c>
    </row>
    <row r="2558" spans="16:20">
      <c r="P2558" s="1094">
        <v>2452</v>
      </c>
      <c r="Q2558" t="s">
        <v>3630</v>
      </c>
      <c r="R2558" t="s">
        <v>248</v>
      </c>
      <c r="S2558">
        <v>153.08188000000001</v>
      </c>
      <c r="T2558" s="1095">
        <v>-30.357168000000001</v>
      </c>
    </row>
    <row r="2559" spans="16:20">
      <c r="P2559" s="1094">
        <v>2452</v>
      </c>
      <c r="Q2559" t="s">
        <v>3631</v>
      </c>
      <c r="R2559" t="s">
        <v>248</v>
      </c>
      <c r="S2559">
        <v>153.08188000000001</v>
      </c>
      <c r="T2559" s="1095">
        <v>-30.357168000000001</v>
      </c>
    </row>
    <row r="2560" spans="16:20">
      <c r="P2560" s="1094">
        <v>2452</v>
      </c>
      <c r="Q2560" t="s">
        <v>3632</v>
      </c>
      <c r="R2560" t="s">
        <v>248</v>
      </c>
      <c r="S2560">
        <v>153.08188000000001</v>
      </c>
      <c r="T2560" s="1095">
        <v>-30.357168000000001</v>
      </c>
    </row>
    <row r="2561" spans="16:20">
      <c r="P2561" s="1094">
        <v>2453</v>
      </c>
      <c r="Q2561" t="s">
        <v>3633</v>
      </c>
      <c r="R2561" t="s">
        <v>248</v>
      </c>
      <c r="S2561">
        <v>152.62106199999999</v>
      </c>
      <c r="T2561" s="1095">
        <v>-30.329084999999999</v>
      </c>
    </row>
    <row r="2562" spans="16:20">
      <c r="P2562" s="1094">
        <v>2453</v>
      </c>
      <c r="Q2562" t="s">
        <v>3634</v>
      </c>
      <c r="R2562" t="s">
        <v>248</v>
      </c>
      <c r="S2562">
        <v>152.62106199999999</v>
      </c>
      <c r="T2562" s="1095">
        <v>-30.329084999999999</v>
      </c>
    </row>
    <row r="2563" spans="16:20">
      <c r="P2563" s="1094">
        <v>2453</v>
      </c>
      <c r="Q2563" t="s">
        <v>3635</v>
      </c>
      <c r="R2563" t="s">
        <v>248</v>
      </c>
      <c r="S2563">
        <v>152.62106199999999</v>
      </c>
      <c r="T2563" s="1095">
        <v>-30.329084999999999</v>
      </c>
    </row>
    <row r="2564" spans="16:20">
      <c r="P2564" s="1094">
        <v>2453</v>
      </c>
      <c r="Q2564" t="s">
        <v>3636</v>
      </c>
      <c r="R2564" t="s">
        <v>248</v>
      </c>
      <c r="S2564">
        <v>152.62106199999999</v>
      </c>
      <c r="T2564" s="1095">
        <v>-30.329084999999999</v>
      </c>
    </row>
    <row r="2565" spans="16:20">
      <c r="P2565" s="1094">
        <v>2453</v>
      </c>
      <c r="Q2565" t="s">
        <v>3637</v>
      </c>
      <c r="R2565" t="s">
        <v>248</v>
      </c>
      <c r="S2565">
        <v>152.62106199999999</v>
      </c>
      <c r="T2565" s="1095">
        <v>-30.329084999999999</v>
      </c>
    </row>
    <row r="2566" spans="16:20">
      <c r="P2566" s="1094">
        <v>2453</v>
      </c>
      <c r="Q2566" t="s">
        <v>3638</v>
      </c>
      <c r="R2566" t="s">
        <v>248</v>
      </c>
      <c r="S2566">
        <v>152.62106199999999</v>
      </c>
      <c r="T2566" s="1095">
        <v>-30.329084999999999</v>
      </c>
    </row>
    <row r="2567" spans="16:20">
      <c r="P2567" s="1094">
        <v>2453</v>
      </c>
      <c r="Q2567" t="s">
        <v>3639</v>
      </c>
      <c r="R2567" t="s">
        <v>248</v>
      </c>
      <c r="S2567">
        <v>152.62106199999999</v>
      </c>
      <c r="T2567" s="1095">
        <v>-30.329084999999999</v>
      </c>
    </row>
    <row r="2568" spans="16:20">
      <c r="P2568" s="1094">
        <v>2453</v>
      </c>
      <c r="Q2568" t="s">
        <v>3640</v>
      </c>
      <c r="R2568" t="s">
        <v>248</v>
      </c>
      <c r="S2568">
        <v>152.62106199999999</v>
      </c>
      <c r="T2568" s="1095">
        <v>-30.329084999999999</v>
      </c>
    </row>
    <row r="2569" spans="16:20">
      <c r="P2569" s="1094">
        <v>2453</v>
      </c>
      <c r="Q2569" t="s">
        <v>3641</v>
      </c>
      <c r="R2569" t="s">
        <v>248</v>
      </c>
      <c r="S2569">
        <v>152.62106199999999</v>
      </c>
      <c r="T2569" s="1095">
        <v>-30.329084999999999</v>
      </c>
    </row>
    <row r="2570" spans="16:20">
      <c r="P2570" s="1094">
        <v>2453</v>
      </c>
      <c r="Q2570" t="s">
        <v>3642</v>
      </c>
      <c r="R2570" t="s">
        <v>248</v>
      </c>
      <c r="S2570">
        <v>152.62106199999999</v>
      </c>
      <c r="T2570" s="1095">
        <v>-30.329084999999999</v>
      </c>
    </row>
    <row r="2571" spans="16:20">
      <c r="P2571" s="1094">
        <v>2453</v>
      </c>
      <c r="Q2571" t="s">
        <v>3643</v>
      </c>
      <c r="R2571" t="s">
        <v>248</v>
      </c>
      <c r="S2571">
        <v>152.62106199999999</v>
      </c>
      <c r="T2571" s="1095">
        <v>-30.329084999999999</v>
      </c>
    </row>
    <row r="2572" spans="16:20">
      <c r="P2572" s="1094">
        <v>2453</v>
      </c>
      <c r="Q2572" t="s">
        <v>3644</v>
      </c>
      <c r="R2572" t="s">
        <v>248</v>
      </c>
      <c r="S2572">
        <v>152.62106199999999</v>
      </c>
      <c r="T2572" s="1095">
        <v>-30.329084999999999</v>
      </c>
    </row>
    <row r="2573" spans="16:20">
      <c r="P2573" s="1094">
        <v>2453</v>
      </c>
      <c r="Q2573" t="s">
        <v>3645</v>
      </c>
      <c r="R2573" t="s">
        <v>248</v>
      </c>
      <c r="S2573">
        <v>152.62106199999999</v>
      </c>
      <c r="T2573" s="1095">
        <v>-30.329084999999999</v>
      </c>
    </row>
    <row r="2574" spans="16:20">
      <c r="P2574" s="1094">
        <v>2453</v>
      </c>
      <c r="Q2574" t="s">
        <v>3646</v>
      </c>
      <c r="R2574" t="s">
        <v>248</v>
      </c>
      <c r="S2574">
        <v>152.62106199999999</v>
      </c>
      <c r="T2574" s="1095">
        <v>-30.329084999999999</v>
      </c>
    </row>
    <row r="2575" spans="16:20">
      <c r="P2575" s="1094">
        <v>2453</v>
      </c>
      <c r="Q2575" t="s">
        <v>3647</v>
      </c>
      <c r="R2575" t="s">
        <v>248</v>
      </c>
      <c r="S2575">
        <v>152.62106199999999</v>
      </c>
      <c r="T2575" s="1095">
        <v>-30.329084999999999</v>
      </c>
    </row>
    <row r="2576" spans="16:20">
      <c r="P2576" s="1094">
        <v>2453</v>
      </c>
      <c r="Q2576" t="s">
        <v>3648</v>
      </c>
      <c r="R2576" t="s">
        <v>248</v>
      </c>
      <c r="S2576">
        <v>152.62106199999999</v>
      </c>
      <c r="T2576" s="1095">
        <v>-30.329084999999999</v>
      </c>
    </row>
    <row r="2577" spans="16:20">
      <c r="P2577" s="1094">
        <v>2453</v>
      </c>
      <c r="Q2577" t="s">
        <v>3649</v>
      </c>
      <c r="R2577" t="s">
        <v>248</v>
      </c>
      <c r="S2577">
        <v>152.62106199999999</v>
      </c>
      <c r="T2577" s="1095">
        <v>-30.329084999999999</v>
      </c>
    </row>
    <row r="2578" spans="16:20">
      <c r="P2578" s="1094">
        <v>2453</v>
      </c>
      <c r="Q2578" t="s">
        <v>3650</v>
      </c>
      <c r="R2578" t="s">
        <v>248</v>
      </c>
      <c r="S2578">
        <v>152.62106199999999</v>
      </c>
      <c r="T2578" s="1095">
        <v>-30.329084999999999</v>
      </c>
    </row>
    <row r="2579" spans="16:20">
      <c r="P2579" s="1094">
        <v>2454</v>
      </c>
      <c r="Q2579" t="s">
        <v>3651</v>
      </c>
      <c r="R2579" t="s">
        <v>248</v>
      </c>
      <c r="S2579">
        <v>152.84026600000001</v>
      </c>
      <c r="T2579" s="1095">
        <v>-30.459807000000001</v>
      </c>
    </row>
    <row r="2580" spans="16:20">
      <c r="P2580" s="1094">
        <v>2454</v>
      </c>
      <c r="Q2580" t="s">
        <v>3652</v>
      </c>
      <c r="R2580" t="s">
        <v>248</v>
      </c>
      <c r="S2580">
        <v>152.84026600000001</v>
      </c>
      <c r="T2580" s="1095">
        <v>-30.459807000000001</v>
      </c>
    </row>
    <row r="2581" spans="16:20">
      <c r="P2581" s="1094">
        <v>2454</v>
      </c>
      <c r="Q2581" t="s">
        <v>3653</v>
      </c>
      <c r="R2581" t="s">
        <v>248</v>
      </c>
      <c r="S2581">
        <v>152.84026600000001</v>
      </c>
      <c r="T2581" s="1095">
        <v>-30.459807000000001</v>
      </c>
    </row>
    <row r="2582" spans="16:20">
      <c r="P2582" s="1094">
        <v>2454</v>
      </c>
      <c r="Q2582" t="s">
        <v>3654</v>
      </c>
      <c r="R2582" t="s">
        <v>248</v>
      </c>
      <c r="S2582">
        <v>152.84026600000001</v>
      </c>
      <c r="T2582" s="1095">
        <v>-30.459807000000001</v>
      </c>
    </row>
    <row r="2583" spans="16:20">
      <c r="P2583" s="1094">
        <v>2454</v>
      </c>
      <c r="Q2583" t="s">
        <v>3655</v>
      </c>
      <c r="R2583" t="s">
        <v>248</v>
      </c>
      <c r="S2583">
        <v>152.84026600000001</v>
      </c>
      <c r="T2583" s="1095">
        <v>-30.459807000000001</v>
      </c>
    </row>
    <row r="2584" spans="16:20">
      <c r="P2584" s="1094">
        <v>2454</v>
      </c>
      <c r="Q2584" t="s">
        <v>3656</v>
      </c>
      <c r="R2584" t="s">
        <v>248</v>
      </c>
      <c r="S2584">
        <v>152.84026600000001</v>
      </c>
      <c r="T2584" s="1095">
        <v>-30.459807000000001</v>
      </c>
    </row>
    <row r="2585" spans="16:20">
      <c r="P2585" s="1094">
        <v>2454</v>
      </c>
      <c r="Q2585" t="s">
        <v>3657</v>
      </c>
      <c r="R2585" t="s">
        <v>248</v>
      </c>
      <c r="S2585">
        <v>152.84026600000001</v>
      </c>
      <c r="T2585" s="1095">
        <v>-30.459807000000001</v>
      </c>
    </row>
    <row r="2586" spans="16:20">
      <c r="P2586" s="1094">
        <v>2454</v>
      </c>
      <c r="Q2586" t="s">
        <v>3658</v>
      </c>
      <c r="R2586" t="s">
        <v>248</v>
      </c>
      <c r="S2586">
        <v>152.84026600000001</v>
      </c>
      <c r="T2586" s="1095">
        <v>-30.459807000000001</v>
      </c>
    </row>
    <row r="2587" spans="16:20">
      <c r="P2587" s="1094">
        <v>2454</v>
      </c>
      <c r="Q2587" t="s">
        <v>3659</v>
      </c>
      <c r="R2587" t="s">
        <v>248</v>
      </c>
      <c r="S2587">
        <v>152.84026600000001</v>
      </c>
      <c r="T2587" s="1095">
        <v>-30.459807000000001</v>
      </c>
    </row>
    <row r="2588" spans="16:20">
      <c r="P2588" s="1094">
        <v>2454</v>
      </c>
      <c r="Q2588" t="s">
        <v>3660</v>
      </c>
      <c r="R2588" t="s">
        <v>248</v>
      </c>
      <c r="S2588">
        <v>152.84026600000001</v>
      </c>
      <c r="T2588" s="1095">
        <v>-30.459807000000001</v>
      </c>
    </row>
    <row r="2589" spans="16:20">
      <c r="P2589" s="1094">
        <v>2454</v>
      </c>
      <c r="Q2589" t="s">
        <v>3661</v>
      </c>
      <c r="R2589" t="s">
        <v>248</v>
      </c>
      <c r="S2589">
        <v>152.84026600000001</v>
      </c>
      <c r="T2589" s="1095">
        <v>-30.459807000000001</v>
      </c>
    </row>
    <row r="2590" spans="16:20">
      <c r="P2590" s="1094">
        <v>2454</v>
      </c>
      <c r="Q2590" t="s">
        <v>3662</v>
      </c>
      <c r="R2590" t="s">
        <v>248</v>
      </c>
      <c r="S2590">
        <v>152.84026600000001</v>
      </c>
      <c r="T2590" s="1095">
        <v>-30.459807000000001</v>
      </c>
    </row>
    <row r="2591" spans="16:20">
      <c r="P2591" s="1094">
        <v>2454</v>
      </c>
      <c r="Q2591" t="s">
        <v>3663</v>
      </c>
      <c r="R2591" t="s">
        <v>248</v>
      </c>
      <c r="S2591">
        <v>152.84026600000001</v>
      </c>
      <c r="T2591" s="1095">
        <v>-30.459807000000001</v>
      </c>
    </row>
    <row r="2592" spans="16:20">
      <c r="P2592" s="1094">
        <v>2454</v>
      </c>
      <c r="Q2592" t="s">
        <v>3664</v>
      </c>
      <c r="R2592" t="s">
        <v>248</v>
      </c>
      <c r="S2592">
        <v>152.84026600000001</v>
      </c>
      <c r="T2592" s="1095">
        <v>-30.459807000000001</v>
      </c>
    </row>
    <row r="2593" spans="16:20">
      <c r="P2593" s="1094">
        <v>2454</v>
      </c>
      <c r="Q2593" t="s">
        <v>3665</v>
      </c>
      <c r="R2593" t="s">
        <v>248</v>
      </c>
      <c r="S2593">
        <v>152.84026600000001</v>
      </c>
      <c r="T2593" s="1095">
        <v>-30.459807000000001</v>
      </c>
    </row>
    <row r="2594" spans="16:20">
      <c r="P2594" s="1094">
        <v>2454</v>
      </c>
      <c r="Q2594" t="s">
        <v>3666</v>
      </c>
      <c r="R2594" t="s">
        <v>248</v>
      </c>
      <c r="S2594">
        <v>152.84026600000001</v>
      </c>
      <c r="T2594" s="1095">
        <v>-30.459807000000001</v>
      </c>
    </row>
    <row r="2595" spans="16:20">
      <c r="P2595" s="1094">
        <v>2454</v>
      </c>
      <c r="Q2595" t="s">
        <v>3667</v>
      </c>
      <c r="R2595" t="s">
        <v>248</v>
      </c>
      <c r="S2595">
        <v>152.84026600000001</v>
      </c>
      <c r="T2595" s="1095">
        <v>-30.459807000000001</v>
      </c>
    </row>
    <row r="2596" spans="16:20">
      <c r="P2596" s="1094">
        <v>2454</v>
      </c>
      <c r="Q2596" t="s">
        <v>3668</v>
      </c>
      <c r="R2596" t="s">
        <v>248</v>
      </c>
      <c r="S2596">
        <v>152.84026600000001</v>
      </c>
      <c r="T2596" s="1095">
        <v>-30.459807000000001</v>
      </c>
    </row>
    <row r="2597" spans="16:20">
      <c r="P2597" s="1094">
        <v>2454</v>
      </c>
      <c r="Q2597" t="s">
        <v>3669</v>
      </c>
      <c r="R2597" t="s">
        <v>248</v>
      </c>
      <c r="S2597">
        <v>152.84026600000001</v>
      </c>
      <c r="T2597" s="1095">
        <v>-30.459807000000001</v>
      </c>
    </row>
    <row r="2598" spans="16:20">
      <c r="P2598" s="1094">
        <v>2455</v>
      </c>
      <c r="Q2598" t="s">
        <v>3670</v>
      </c>
      <c r="R2598" t="s">
        <v>248</v>
      </c>
      <c r="S2598">
        <v>152.96348</v>
      </c>
      <c r="T2598" s="1095">
        <v>-30.529366</v>
      </c>
    </row>
    <row r="2599" spans="16:20">
      <c r="P2599" s="1094">
        <v>2455</v>
      </c>
      <c r="Q2599" t="s">
        <v>3671</v>
      </c>
      <c r="R2599" t="s">
        <v>248</v>
      </c>
      <c r="S2599">
        <v>152.96348</v>
      </c>
      <c r="T2599" s="1095">
        <v>-30.529366</v>
      </c>
    </row>
    <row r="2600" spans="16:20">
      <c r="P2600" s="1094">
        <v>2456</v>
      </c>
      <c r="Q2600" t="s">
        <v>3672</v>
      </c>
      <c r="R2600" t="s">
        <v>248</v>
      </c>
      <c r="S2600">
        <v>153.14340899999999</v>
      </c>
      <c r="T2600" s="1095">
        <v>-30.073663</v>
      </c>
    </row>
    <row r="2601" spans="16:20">
      <c r="P2601" s="1094">
        <v>2456</v>
      </c>
      <c r="Q2601" t="s">
        <v>3673</v>
      </c>
      <c r="R2601" t="s">
        <v>248</v>
      </c>
      <c r="S2601">
        <v>153.14340899999999</v>
      </c>
      <c r="T2601" s="1095">
        <v>-30.073663</v>
      </c>
    </row>
    <row r="2602" spans="16:20">
      <c r="P2602" s="1094">
        <v>2456</v>
      </c>
      <c r="Q2602" t="s">
        <v>3674</v>
      </c>
      <c r="R2602" t="s">
        <v>248</v>
      </c>
      <c r="S2602">
        <v>153.14340899999999</v>
      </c>
      <c r="T2602" s="1095">
        <v>-30.073663</v>
      </c>
    </row>
    <row r="2603" spans="16:20">
      <c r="P2603" s="1094">
        <v>2456</v>
      </c>
      <c r="Q2603" t="s">
        <v>3675</v>
      </c>
      <c r="R2603" t="s">
        <v>248</v>
      </c>
      <c r="S2603">
        <v>153.14340899999999</v>
      </c>
      <c r="T2603" s="1095">
        <v>-30.073663</v>
      </c>
    </row>
    <row r="2604" spans="16:20">
      <c r="P2604" s="1094">
        <v>2456</v>
      </c>
      <c r="Q2604" t="s">
        <v>3676</v>
      </c>
      <c r="R2604" t="s">
        <v>248</v>
      </c>
      <c r="S2604">
        <v>153.14340899999999</v>
      </c>
      <c r="T2604" s="1095">
        <v>-30.073663</v>
      </c>
    </row>
    <row r="2605" spans="16:20">
      <c r="P2605" s="1094">
        <v>2456</v>
      </c>
      <c r="Q2605" t="s">
        <v>3677</v>
      </c>
      <c r="R2605" t="s">
        <v>248</v>
      </c>
      <c r="S2605">
        <v>153.14340899999999</v>
      </c>
      <c r="T2605" s="1095">
        <v>-30.073663</v>
      </c>
    </row>
    <row r="2606" spans="16:20">
      <c r="P2606" s="1094">
        <v>2456</v>
      </c>
      <c r="Q2606" t="s">
        <v>3678</v>
      </c>
      <c r="R2606" t="s">
        <v>248</v>
      </c>
      <c r="S2606">
        <v>153.14340899999999</v>
      </c>
      <c r="T2606" s="1095">
        <v>-30.073663</v>
      </c>
    </row>
    <row r="2607" spans="16:20">
      <c r="P2607" s="1094">
        <v>2456</v>
      </c>
      <c r="Q2607" t="s">
        <v>3679</v>
      </c>
      <c r="R2607" t="s">
        <v>248</v>
      </c>
      <c r="S2607">
        <v>153.14340899999999</v>
      </c>
      <c r="T2607" s="1095">
        <v>-30.073663</v>
      </c>
    </row>
    <row r="2608" spans="16:20">
      <c r="P2608" s="1094">
        <v>2456</v>
      </c>
      <c r="Q2608" t="s">
        <v>3680</v>
      </c>
      <c r="R2608" t="s">
        <v>248</v>
      </c>
      <c r="S2608">
        <v>153.14340899999999</v>
      </c>
      <c r="T2608" s="1095">
        <v>-30.073663</v>
      </c>
    </row>
    <row r="2609" spans="16:20">
      <c r="P2609" s="1094">
        <v>2456</v>
      </c>
      <c r="Q2609" t="s">
        <v>3681</v>
      </c>
      <c r="R2609" t="s">
        <v>248</v>
      </c>
      <c r="S2609">
        <v>153.14340899999999</v>
      </c>
      <c r="T2609" s="1095">
        <v>-30.073663</v>
      </c>
    </row>
    <row r="2610" spans="16:20">
      <c r="P2610" s="1094">
        <v>2460</v>
      </c>
      <c r="Q2610" t="s">
        <v>3682</v>
      </c>
      <c r="R2610" t="s">
        <v>248</v>
      </c>
      <c r="S2610">
        <v>153.271074</v>
      </c>
      <c r="T2610" s="1095">
        <v>-29.320772000000002</v>
      </c>
    </row>
    <row r="2611" spans="16:20">
      <c r="P2611" s="1094">
        <v>2460</v>
      </c>
      <c r="Q2611" t="s">
        <v>3683</v>
      </c>
      <c r="R2611" t="s">
        <v>248</v>
      </c>
      <c r="S2611">
        <v>153.271074</v>
      </c>
      <c r="T2611" s="1095">
        <v>-29.320772000000002</v>
      </c>
    </row>
    <row r="2612" spans="16:20">
      <c r="P2612" s="1094">
        <v>2460</v>
      </c>
      <c r="Q2612" t="s">
        <v>3684</v>
      </c>
      <c r="R2612" t="s">
        <v>248</v>
      </c>
      <c r="S2612">
        <v>153.271074</v>
      </c>
      <c r="T2612" s="1095">
        <v>-29.320772000000002</v>
      </c>
    </row>
    <row r="2613" spans="16:20">
      <c r="P2613" s="1094">
        <v>2460</v>
      </c>
      <c r="Q2613" t="s">
        <v>3685</v>
      </c>
      <c r="R2613" t="s">
        <v>248</v>
      </c>
      <c r="S2613">
        <v>153.271074</v>
      </c>
      <c r="T2613" s="1095">
        <v>-29.320772000000002</v>
      </c>
    </row>
    <row r="2614" spans="16:20">
      <c r="P2614" s="1094">
        <v>2460</v>
      </c>
      <c r="Q2614" t="s">
        <v>3686</v>
      </c>
      <c r="R2614" t="s">
        <v>248</v>
      </c>
      <c r="S2614">
        <v>153.271074</v>
      </c>
      <c r="T2614" s="1095">
        <v>-29.320772000000002</v>
      </c>
    </row>
    <row r="2615" spans="16:20">
      <c r="P2615" s="1094">
        <v>2460</v>
      </c>
      <c r="Q2615" t="s">
        <v>3687</v>
      </c>
      <c r="R2615" t="s">
        <v>248</v>
      </c>
      <c r="S2615">
        <v>153.271074</v>
      </c>
      <c r="T2615" s="1095">
        <v>-29.320772000000002</v>
      </c>
    </row>
    <row r="2616" spans="16:20">
      <c r="P2616" s="1094">
        <v>2460</v>
      </c>
      <c r="Q2616" t="s">
        <v>3688</v>
      </c>
      <c r="R2616" t="s">
        <v>248</v>
      </c>
      <c r="S2616">
        <v>153.271074</v>
      </c>
      <c r="T2616" s="1095">
        <v>-29.320772000000002</v>
      </c>
    </row>
    <row r="2617" spans="16:20">
      <c r="P2617" s="1094">
        <v>2460</v>
      </c>
      <c r="Q2617" t="s">
        <v>3689</v>
      </c>
      <c r="R2617" t="s">
        <v>248</v>
      </c>
      <c r="S2617">
        <v>153.271074</v>
      </c>
      <c r="T2617" s="1095">
        <v>-29.320772000000002</v>
      </c>
    </row>
    <row r="2618" spans="16:20">
      <c r="P2618" s="1094">
        <v>2460</v>
      </c>
      <c r="Q2618" t="s">
        <v>3690</v>
      </c>
      <c r="R2618" t="s">
        <v>248</v>
      </c>
      <c r="S2618">
        <v>153.271074</v>
      </c>
      <c r="T2618" s="1095">
        <v>-29.320772000000002</v>
      </c>
    </row>
    <row r="2619" spans="16:20">
      <c r="P2619" s="1094">
        <v>2460</v>
      </c>
      <c r="Q2619" t="s">
        <v>3691</v>
      </c>
      <c r="R2619" t="s">
        <v>248</v>
      </c>
      <c r="S2619">
        <v>153.271074</v>
      </c>
      <c r="T2619" s="1095">
        <v>-29.320772000000002</v>
      </c>
    </row>
    <row r="2620" spans="16:20">
      <c r="P2620" s="1094">
        <v>2460</v>
      </c>
      <c r="Q2620" t="s">
        <v>3692</v>
      </c>
      <c r="R2620" t="s">
        <v>248</v>
      </c>
      <c r="S2620">
        <v>153.271074</v>
      </c>
      <c r="T2620" s="1095">
        <v>-29.320772000000002</v>
      </c>
    </row>
    <row r="2621" spans="16:20">
      <c r="P2621" s="1094">
        <v>2460</v>
      </c>
      <c r="Q2621" t="s">
        <v>3693</v>
      </c>
      <c r="R2621" t="s">
        <v>248</v>
      </c>
      <c r="S2621">
        <v>153.271074</v>
      </c>
      <c r="T2621" s="1095">
        <v>-29.320772000000002</v>
      </c>
    </row>
    <row r="2622" spans="16:20">
      <c r="P2622" s="1094">
        <v>2460</v>
      </c>
      <c r="Q2622" t="s">
        <v>3694</v>
      </c>
      <c r="R2622" t="s">
        <v>248</v>
      </c>
      <c r="S2622">
        <v>153.271074</v>
      </c>
      <c r="T2622" s="1095">
        <v>-29.320772000000002</v>
      </c>
    </row>
    <row r="2623" spans="16:20">
      <c r="P2623" s="1094">
        <v>2460</v>
      </c>
      <c r="Q2623" t="s">
        <v>3695</v>
      </c>
      <c r="R2623" t="s">
        <v>248</v>
      </c>
      <c r="S2623">
        <v>153.271074</v>
      </c>
      <c r="T2623" s="1095">
        <v>-29.320772000000002</v>
      </c>
    </row>
    <row r="2624" spans="16:20">
      <c r="P2624" s="1094">
        <v>2460</v>
      </c>
      <c r="Q2624" t="s">
        <v>3696</v>
      </c>
      <c r="R2624" t="s">
        <v>248</v>
      </c>
      <c r="S2624">
        <v>153.271074</v>
      </c>
      <c r="T2624" s="1095">
        <v>-29.320772000000002</v>
      </c>
    </row>
    <row r="2625" spans="16:20">
      <c r="P2625" s="1094">
        <v>2460</v>
      </c>
      <c r="Q2625" t="s">
        <v>3697</v>
      </c>
      <c r="R2625" t="s">
        <v>248</v>
      </c>
      <c r="S2625">
        <v>153.271074</v>
      </c>
      <c r="T2625" s="1095">
        <v>-29.320772000000002</v>
      </c>
    </row>
    <row r="2626" spans="16:20">
      <c r="P2626" s="1094">
        <v>2460</v>
      </c>
      <c r="Q2626" t="s">
        <v>3698</v>
      </c>
      <c r="R2626" t="s">
        <v>248</v>
      </c>
      <c r="S2626">
        <v>153.271074</v>
      </c>
      <c r="T2626" s="1095">
        <v>-29.320772000000002</v>
      </c>
    </row>
    <row r="2627" spans="16:20">
      <c r="P2627" s="1094">
        <v>2460</v>
      </c>
      <c r="Q2627" t="s">
        <v>3699</v>
      </c>
      <c r="R2627" t="s">
        <v>248</v>
      </c>
      <c r="S2627">
        <v>153.271074</v>
      </c>
      <c r="T2627" s="1095">
        <v>-29.320772000000002</v>
      </c>
    </row>
    <row r="2628" spans="16:20">
      <c r="P2628" s="1094">
        <v>2460</v>
      </c>
      <c r="Q2628" t="s">
        <v>3700</v>
      </c>
      <c r="R2628" t="s">
        <v>248</v>
      </c>
      <c r="S2628">
        <v>153.271074</v>
      </c>
      <c r="T2628" s="1095">
        <v>-29.320772000000002</v>
      </c>
    </row>
    <row r="2629" spans="16:20">
      <c r="P2629" s="1094">
        <v>2460</v>
      </c>
      <c r="Q2629" t="s">
        <v>3701</v>
      </c>
      <c r="R2629" t="s">
        <v>248</v>
      </c>
      <c r="S2629">
        <v>153.271074</v>
      </c>
      <c r="T2629" s="1095">
        <v>-29.320772000000002</v>
      </c>
    </row>
    <row r="2630" spans="16:20">
      <c r="P2630" s="1094">
        <v>2460</v>
      </c>
      <c r="Q2630" t="s">
        <v>3702</v>
      </c>
      <c r="R2630" t="s">
        <v>248</v>
      </c>
      <c r="S2630">
        <v>153.271074</v>
      </c>
      <c r="T2630" s="1095">
        <v>-29.320772000000002</v>
      </c>
    </row>
    <row r="2631" spans="16:20">
      <c r="P2631" s="1094">
        <v>2460</v>
      </c>
      <c r="Q2631" t="s">
        <v>3703</v>
      </c>
      <c r="R2631" t="s">
        <v>248</v>
      </c>
      <c r="S2631">
        <v>153.271074</v>
      </c>
      <c r="T2631" s="1095">
        <v>-29.320772000000002</v>
      </c>
    </row>
    <row r="2632" spans="16:20">
      <c r="P2632" s="1094">
        <v>2460</v>
      </c>
      <c r="Q2632" t="s">
        <v>3704</v>
      </c>
      <c r="R2632" t="s">
        <v>248</v>
      </c>
      <c r="S2632">
        <v>153.271074</v>
      </c>
      <c r="T2632" s="1095">
        <v>-29.320772000000002</v>
      </c>
    </row>
    <row r="2633" spans="16:20">
      <c r="P2633" s="1094">
        <v>2460</v>
      </c>
      <c r="Q2633" t="s">
        <v>3705</v>
      </c>
      <c r="R2633" t="s">
        <v>248</v>
      </c>
      <c r="S2633">
        <v>153.271074</v>
      </c>
      <c r="T2633" s="1095">
        <v>-29.320772000000002</v>
      </c>
    </row>
    <row r="2634" spans="16:20">
      <c r="P2634" s="1094">
        <v>2460</v>
      </c>
      <c r="Q2634" t="s">
        <v>3706</v>
      </c>
      <c r="R2634" t="s">
        <v>248</v>
      </c>
      <c r="S2634">
        <v>153.271074</v>
      </c>
      <c r="T2634" s="1095">
        <v>-29.320772000000002</v>
      </c>
    </row>
    <row r="2635" spans="16:20">
      <c r="P2635" s="1094">
        <v>2460</v>
      </c>
      <c r="Q2635" t="s">
        <v>3707</v>
      </c>
      <c r="R2635" t="s">
        <v>248</v>
      </c>
      <c r="S2635">
        <v>153.271074</v>
      </c>
      <c r="T2635" s="1095">
        <v>-29.320772000000002</v>
      </c>
    </row>
    <row r="2636" spans="16:20">
      <c r="P2636" s="1094">
        <v>2460</v>
      </c>
      <c r="Q2636" t="s">
        <v>3708</v>
      </c>
      <c r="R2636" t="s">
        <v>248</v>
      </c>
      <c r="S2636">
        <v>153.271074</v>
      </c>
      <c r="T2636" s="1095">
        <v>-29.320772000000002</v>
      </c>
    </row>
    <row r="2637" spans="16:20">
      <c r="P2637" s="1094">
        <v>2460</v>
      </c>
      <c r="Q2637" t="s">
        <v>3709</v>
      </c>
      <c r="R2637" t="s">
        <v>248</v>
      </c>
      <c r="S2637">
        <v>153.271074</v>
      </c>
      <c r="T2637" s="1095">
        <v>-29.320772000000002</v>
      </c>
    </row>
    <row r="2638" spans="16:20">
      <c r="P2638" s="1094">
        <v>2460</v>
      </c>
      <c r="Q2638" t="s">
        <v>3710</v>
      </c>
      <c r="R2638" t="s">
        <v>248</v>
      </c>
      <c r="S2638">
        <v>153.271074</v>
      </c>
      <c r="T2638" s="1095">
        <v>-29.320772000000002</v>
      </c>
    </row>
    <row r="2639" spans="16:20">
      <c r="P2639" s="1094">
        <v>2460</v>
      </c>
      <c r="Q2639" t="s">
        <v>3711</v>
      </c>
      <c r="R2639" t="s">
        <v>248</v>
      </c>
      <c r="S2639">
        <v>153.271074</v>
      </c>
      <c r="T2639" s="1095">
        <v>-29.320772000000002</v>
      </c>
    </row>
    <row r="2640" spans="16:20">
      <c r="P2640" s="1094">
        <v>2460</v>
      </c>
      <c r="Q2640" t="s">
        <v>3712</v>
      </c>
      <c r="R2640" t="s">
        <v>248</v>
      </c>
      <c r="S2640">
        <v>153.271074</v>
      </c>
      <c r="T2640" s="1095">
        <v>-29.320772000000002</v>
      </c>
    </row>
    <row r="2641" spans="16:20">
      <c r="P2641" s="1094">
        <v>2460</v>
      </c>
      <c r="Q2641" t="s">
        <v>3713</v>
      </c>
      <c r="R2641" t="s">
        <v>248</v>
      </c>
      <c r="S2641">
        <v>153.271074</v>
      </c>
      <c r="T2641" s="1095">
        <v>-29.320772000000002</v>
      </c>
    </row>
    <row r="2642" spans="16:20">
      <c r="P2642" s="1094">
        <v>2460</v>
      </c>
      <c r="Q2642" t="s">
        <v>3714</v>
      </c>
      <c r="R2642" t="s">
        <v>248</v>
      </c>
      <c r="S2642">
        <v>153.271074</v>
      </c>
      <c r="T2642" s="1095">
        <v>-29.320772000000002</v>
      </c>
    </row>
    <row r="2643" spans="16:20">
      <c r="P2643" s="1094">
        <v>2460</v>
      </c>
      <c r="Q2643" t="s">
        <v>3715</v>
      </c>
      <c r="R2643" t="s">
        <v>248</v>
      </c>
      <c r="S2643">
        <v>153.271074</v>
      </c>
      <c r="T2643" s="1095">
        <v>-29.320772000000002</v>
      </c>
    </row>
    <row r="2644" spans="16:20">
      <c r="P2644" s="1094">
        <v>2460</v>
      </c>
      <c r="Q2644" t="s">
        <v>3716</v>
      </c>
      <c r="R2644" t="s">
        <v>248</v>
      </c>
      <c r="S2644">
        <v>153.271074</v>
      </c>
      <c r="T2644" s="1095">
        <v>-29.320772000000002</v>
      </c>
    </row>
    <row r="2645" spans="16:20">
      <c r="P2645" s="1094">
        <v>2460</v>
      </c>
      <c r="Q2645" t="s">
        <v>3717</v>
      </c>
      <c r="R2645" t="s">
        <v>248</v>
      </c>
      <c r="S2645">
        <v>153.271074</v>
      </c>
      <c r="T2645" s="1095">
        <v>-29.320772000000002</v>
      </c>
    </row>
    <row r="2646" spans="16:20">
      <c r="P2646" s="1094">
        <v>2460</v>
      </c>
      <c r="Q2646" t="s">
        <v>3718</v>
      </c>
      <c r="R2646" t="s">
        <v>248</v>
      </c>
      <c r="S2646">
        <v>153.271074</v>
      </c>
      <c r="T2646" s="1095">
        <v>-29.320772000000002</v>
      </c>
    </row>
    <row r="2647" spans="16:20">
      <c r="P2647" s="1094">
        <v>2460</v>
      </c>
      <c r="Q2647" t="s">
        <v>3719</v>
      </c>
      <c r="R2647" t="s">
        <v>248</v>
      </c>
      <c r="S2647">
        <v>153.271074</v>
      </c>
      <c r="T2647" s="1095">
        <v>-29.320772000000002</v>
      </c>
    </row>
    <row r="2648" spans="16:20">
      <c r="P2648" s="1094">
        <v>2460</v>
      </c>
      <c r="Q2648" t="s">
        <v>3720</v>
      </c>
      <c r="R2648" t="s">
        <v>248</v>
      </c>
      <c r="S2648">
        <v>153.271074</v>
      </c>
      <c r="T2648" s="1095">
        <v>-29.320772000000002</v>
      </c>
    </row>
    <row r="2649" spans="16:20">
      <c r="P2649" s="1094">
        <v>2460</v>
      </c>
      <c r="Q2649" t="s">
        <v>3721</v>
      </c>
      <c r="R2649" t="s">
        <v>248</v>
      </c>
      <c r="S2649">
        <v>153.271074</v>
      </c>
      <c r="T2649" s="1095">
        <v>-29.320772000000002</v>
      </c>
    </row>
    <row r="2650" spans="16:20">
      <c r="P2650" s="1094">
        <v>2460</v>
      </c>
      <c r="Q2650" t="s">
        <v>3722</v>
      </c>
      <c r="R2650" t="s">
        <v>248</v>
      </c>
      <c r="S2650">
        <v>153.271074</v>
      </c>
      <c r="T2650" s="1095">
        <v>-29.320772000000002</v>
      </c>
    </row>
    <row r="2651" spans="16:20">
      <c r="P2651" s="1094">
        <v>2460</v>
      </c>
      <c r="Q2651" t="s">
        <v>3723</v>
      </c>
      <c r="R2651" t="s">
        <v>248</v>
      </c>
      <c r="S2651">
        <v>153.271074</v>
      </c>
      <c r="T2651" s="1095">
        <v>-29.320772000000002</v>
      </c>
    </row>
    <row r="2652" spans="16:20">
      <c r="P2652" s="1094">
        <v>2460</v>
      </c>
      <c r="Q2652" t="s">
        <v>3724</v>
      </c>
      <c r="R2652" t="s">
        <v>248</v>
      </c>
      <c r="S2652">
        <v>153.271074</v>
      </c>
      <c r="T2652" s="1095">
        <v>-29.320772000000002</v>
      </c>
    </row>
    <row r="2653" spans="16:20">
      <c r="P2653" s="1094">
        <v>2460</v>
      </c>
      <c r="Q2653" t="s">
        <v>3725</v>
      </c>
      <c r="R2653" t="s">
        <v>248</v>
      </c>
      <c r="S2653">
        <v>153.271074</v>
      </c>
      <c r="T2653" s="1095">
        <v>-29.320772000000002</v>
      </c>
    </row>
    <row r="2654" spans="16:20">
      <c r="P2654" s="1094">
        <v>2460</v>
      </c>
      <c r="Q2654" t="s">
        <v>3726</v>
      </c>
      <c r="R2654" t="s">
        <v>248</v>
      </c>
      <c r="S2654">
        <v>153.271074</v>
      </c>
      <c r="T2654" s="1095">
        <v>-29.320772000000002</v>
      </c>
    </row>
    <row r="2655" spans="16:20">
      <c r="P2655" s="1094">
        <v>2460</v>
      </c>
      <c r="Q2655" t="s">
        <v>3727</v>
      </c>
      <c r="R2655" t="s">
        <v>248</v>
      </c>
      <c r="S2655">
        <v>153.271074</v>
      </c>
      <c r="T2655" s="1095">
        <v>-29.320772000000002</v>
      </c>
    </row>
    <row r="2656" spans="16:20">
      <c r="P2656" s="1094">
        <v>2460</v>
      </c>
      <c r="Q2656" t="s">
        <v>3728</v>
      </c>
      <c r="R2656" t="s">
        <v>248</v>
      </c>
      <c r="S2656">
        <v>153.271074</v>
      </c>
      <c r="T2656" s="1095">
        <v>-29.320772000000002</v>
      </c>
    </row>
    <row r="2657" spans="16:20">
      <c r="P2657" s="1094">
        <v>2460</v>
      </c>
      <c r="Q2657" t="s">
        <v>3729</v>
      </c>
      <c r="R2657" t="s">
        <v>248</v>
      </c>
      <c r="S2657">
        <v>153.271074</v>
      </c>
      <c r="T2657" s="1095">
        <v>-29.320772000000002</v>
      </c>
    </row>
    <row r="2658" spans="16:20">
      <c r="P2658" s="1094">
        <v>2460</v>
      </c>
      <c r="Q2658" t="s">
        <v>3730</v>
      </c>
      <c r="R2658" t="s">
        <v>248</v>
      </c>
      <c r="S2658">
        <v>153.271074</v>
      </c>
      <c r="T2658" s="1095">
        <v>-29.320772000000002</v>
      </c>
    </row>
    <row r="2659" spans="16:20">
      <c r="P2659" s="1094">
        <v>2460</v>
      </c>
      <c r="Q2659" t="s">
        <v>3731</v>
      </c>
      <c r="R2659" t="s">
        <v>248</v>
      </c>
      <c r="S2659">
        <v>153.271074</v>
      </c>
      <c r="T2659" s="1095">
        <v>-29.320772000000002</v>
      </c>
    </row>
    <row r="2660" spans="16:20">
      <c r="P2660" s="1094">
        <v>2460</v>
      </c>
      <c r="Q2660" t="s">
        <v>3732</v>
      </c>
      <c r="R2660" t="s">
        <v>248</v>
      </c>
      <c r="S2660">
        <v>153.271074</v>
      </c>
      <c r="T2660" s="1095">
        <v>-29.320772000000002</v>
      </c>
    </row>
    <row r="2661" spans="16:20">
      <c r="P2661" s="1094">
        <v>2460</v>
      </c>
      <c r="Q2661" t="s">
        <v>3733</v>
      </c>
      <c r="R2661" t="s">
        <v>248</v>
      </c>
      <c r="S2661">
        <v>153.271074</v>
      </c>
      <c r="T2661" s="1095">
        <v>-29.320772000000002</v>
      </c>
    </row>
    <row r="2662" spans="16:20">
      <c r="P2662" s="1094">
        <v>2460</v>
      </c>
      <c r="Q2662" t="s">
        <v>3734</v>
      </c>
      <c r="R2662" t="s">
        <v>248</v>
      </c>
      <c r="S2662">
        <v>153.271074</v>
      </c>
      <c r="T2662" s="1095">
        <v>-29.320772000000002</v>
      </c>
    </row>
    <row r="2663" spans="16:20">
      <c r="P2663" s="1094">
        <v>2460</v>
      </c>
      <c r="Q2663" t="s">
        <v>3735</v>
      </c>
      <c r="R2663" t="s">
        <v>248</v>
      </c>
      <c r="S2663">
        <v>153.271074</v>
      </c>
      <c r="T2663" s="1095">
        <v>-29.320772000000002</v>
      </c>
    </row>
    <row r="2664" spans="16:20">
      <c r="P2664" s="1094">
        <v>2460</v>
      </c>
      <c r="Q2664" t="s">
        <v>3736</v>
      </c>
      <c r="R2664" t="s">
        <v>248</v>
      </c>
      <c r="S2664">
        <v>153.271074</v>
      </c>
      <c r="T2664" s="1095">
        <v>-29.320772000000002</v>
      </c>
    </row>
    <row r="2665" spans="16:20">
      <c r="P2665" s="1094">
        <v>2460</v>
      </c>
      <c r="Q2665" t="s">
        <v>3737</v>
      </c>
      <c r="R2665" t="s">
        <v>248</v>
      </c>
      <c r="S2665">
        <v>153.271074</v>
      </c>
      <c r="T2665" s="1095">
        <v>-29.320772000000002</v>
      </c>
    </row>
    <row r="2666" spans="16:20">
      <c r="P2666" s="1094">
        <v>2460</v>
      </c>
      <c r="Q2666" t="s">
        <v>3738</v>
      </c>
      <c r="R2666" t="s">
        <v>248</v>
      </c>
      <c r="S2666">
        <v>153.271074</v>
      </c>
      <c r="T2666" s="1095">
        <v>-29.320772000000002</v>
      </c>
    </row>
    <row r="2667" spans="16:20">
      <c r="P2667" s="1094">
        <v>2460</v>
      </c>
      <c r="Q2667" t="s">
        <v>3739</v>
      </c>
      <c r="R2667" t="s">
        <v>248</v>
      </c>
      <c r="S2667">
        <v>153.271074</v>
      </c>
      <c r="T2667" s="1095">
        <v>-29.320772000000002</v>
      </c>
    </row>
    <row r="2668" spans="16:20">
      <c r="P2668" s="1094">
        <v>2460</v>
      </c>
      <c r="Q2668" t="s">
        <v>3740</v>
      </c>
      <c r="R2668" t="s">
        <v>248</v>
      </c>
      <c r="S2668">
        <v>153.271074</v>
      </c>
      <c r="T2668" s="1095">
        <v>-29.320772000000002</v>
      </c>
    </row>
    <row r="2669" spans="16:20">
      <c r="P2669" s="1094">
        <v>2460</v>
      </c>
      <c r="Q2669" t="s">
        <v>3741</v>
      </c>
      <c r="R2669" t="s">
        <v>248</v>
      </c>
      <c r="S2669">
        <v>153.271074</v>
      </c>
      <c r="T2669" s="1095">
        <v>-29.320772000000002</v>
      </c>
    </row>
    <row r="2670" spans="16:20">
      <c r="P2670" s="1094">
        <v>2460</v>
      </c>
      <c r="Q2670" t="s">
        <v>3742</v>
      </c>
      <c r="R2670" t="s">
        <v>248</v>
      </c>
      <c r="S2670">
        <v>153.271074</v>
      </c>
      <c r="T2670" s="1095">
        <v>-29.320772000000002</v>
      </c>
    </row>
    <row r="2671" spans="16:20">
      <c r="P2671" s="1094">
        <v>2460</v>
      </c>
      <c r="Q2671" t="s">
        <v>3743</v>
      </c>
      <c r="R2671" t="s">
        <v>248</v>
      </c>
      <c r="S2671">
        <v>153.271074</v>
      </c>
      <c r="T2671" s="1095">
        <v>-29.320772000000002</v>
      </c>
    </row>
    <row r="2672" spans="16:20">
      <c r="P2672" s="1094">
        <v>2460</v>
      </c>
      <c r="Q2672" t="s">
        <v>3744</v>
      </c>
      <c r="R2672" t="s">
        <v>248</v>
      </c>
      <c r="S2672">
        <v>153.271074</v>
      </c>
      <c r="T2672" s="1095">
        <v>-29.320772000000002</v>
      </c>
    </row>
    <row r="2673" spans="16:20">
      <c r="P2673" s="1094">
        <v>2460</v>
      </c>
      <c r="Q2673" t="s">
        <v>3745</v>
      </c>
      <c r="R2673" t="s">
        <v>248</v>
      </c>
      <c r="S2673">
        <v>153.271074</v>
      </c>
      <c r="T2673" s="1095">
        <v>-29.320772000000002</v>
      </c>
    </row>
    <row r="2674" spans="16:20">
      <c r="P2674" s="1094">
        <v>2460</v>
      </c>
      <c r="Q2674" t="s">
        <v>3746</v>
      </c>
      <c r="R2674" t="s">
        <v>248</v>
      </c>
      <c r="S2674">
        <v>153.271074</v>
      </c>
      <c r="T2674" s="1095">
        <v>-29.320772000000002</v>
      </c>
    </row>
    <row r="2675" spans="16:20">
      <c r="P2675" s="1094">
        <v>2460</v>
      </c>
      <c r="Q2675" t="s">
        <v>2160</v>
      </c>
      <c r="R2675" t="s">
        <v>248</v>
      </c>
      <c r="S2675">
        <v>153.271074</v>
      </c>
      <c r="T2675" s="1095">
        <v>-29.320772000000002</v>
      </c>
    </row>
    <row r="2676" spans="16:20">
      <c r="P2676" s="1094">
        <v>2460</v>
      </c>
      <c r="Q2676" t="s">
        <v>3747</v>
      </c>
      <c r="R2676" t="s">
        <v>248</v>
      </c>
      <c r="S2676">
        <v>153.271074</v>
      </c>
      <c r="T2676" s="1095">
        <v>-29.320772000000002</v>
      </c>
    </row>
    <row r="2677" spans="16:20">
      <c r="P2677" s="1094">
        <v>2460</v>
      </c>
      <c r="Q2677" t="s">
        <v>3748</v>
      </c>
      <c r="R2677" t="s">
        <v>248</v>
      </c>
      <c r="S2677">
        <v>153.271074</v>
      </c>
      <c r="T2677" s="1095">
        <v>-29.320772000000002</v>
      </c>
    </row>
    <row r="2678" spans="16:20">
      <c r="P2678" s="1094">
        <v>2460</v>
      </c>
      <c r="Q2678" t="s">
        <v>3749</v>
      </c>
      <c r="R2678" t="s">
        <v>248</v>
      </c>
      <c r="S2678">
        <v>153.271074</v>
      </c>
      <c r="T2678" s="1095">
        <v>-29.320772000000002</v>
      </c>
    </row>
    <row r="2679" spans="16:20">
      <c r="P2679" s="1094">
        <v>2460</v>
      </c>
      <c r="Q2679" t="s">
        <v>3750</v>
      </c>
      <c r="R2679" t="s">
        <v>248</v>
      </c>
      <c r="S2679">
        <v>153.271074</v>
      </c>
      <c r="T2679" s="1095">
        <v>-29.320772000000002</v>
      </c>
    </row>
    <row r="2680" spans="16:20">
      <c r="P2680" s="1094">
        <v>2460</v>
      </c>
      <c r="Q2680" t="s">
        <v>3751</v>
      </c>
      <c r="R2680" t="s">
        <v>248</v>
      </c>
      <c r="S2680">
        <v>153.271074</v>
      </c>
      <c r="T2680" s="1095">
        <v>-29.320772000000002</v>
      </c>
    </row>
    <row r="2681" spans="16:20">
      <c r="P2681" s="1094">
        <v>2460</v>
      </c>
      <c r="Q2681" t="s">
        <v>3608</v>
      </c>
      <c r="R2681" t="s">
        <v>248</v>
      </c>
      <c r="S2681">
        <v>153.271074</v>
      </c>
      <c r="T2681" s="1095">
        <v>-29.320772000000002</v>
      </c>
    </row>
    <row r="2682" spans="16:20">
      <c r="P2682" s="1094">
        <v>2460</v>
      </c>
      <c r="Q2682" t="s">
        <v>3752</v>
      </c>
      <c r="R2682" t="s">
        <v>248</v>
      </c>
      <c r="S2682">
        <v>153.271074</v>
      </c>
      <c r="T2682" s="1095">
        <v>-29.320772000000002</v>
      </c>
    </row>
    <row r="2683" spans="16:20">
      <c r="P2683" s="1094">
        <v>2460</v>
      </c>
      <c r="Q2683" t="s">
        <v>3753</v>
      </c>
      <c r="R2683" t="s">
        <v>248</v>
      </c>
      <c r="S2683">
        <v>153.271074</v>
      </c>
      <c r="T2683" s="1095">
        <v>-29.320772000000002</v>
      </c>
    </row>
    <row r="2684" spans="16:20">
      <c r="P2684" s="1094">
        <v>2460</v>
      </c>
      <c r="Q2684" t="s">
        <v>3754</v>
      </c>
      <c r="R2684" t="s">
        <v>248</v>
      </c>
      <c r="S2684">
        <v>153.271074</v>
      </c>
      <c r="T2684" s="1095">
        <v>-29.320772000000002</v>
      </c>
    </row>
    <row r="2685" spans="16:20">
      <c r="P2685" s="1094">
        <v>2460</v>
      </c>
      <c r="Q2685" t="s">
        <v>3755</v>
      </c>
      <c r="R2685" t="s">
        <v>248</v>
      </c>
      <c r="S2685">
        <v>153.271074</v>
      </c>
      <c r="T2685" s="1095">
        <v>-29.320772000000002</v>
      </c>
    </row>
    <row r="2686" spans="16:20">
      <c r="P2686" s="1094">
        <v>2460</v>
      </c>
      <c r="Q2686" t="s">
        <v>3756</v>
      </c>
      <c r="R2686" t="s">
        <v>248</v>
      </c>
      <c r="S2686">
        <v>153.271074</v>
      </c>
      <c r="T2686" s="1095">
        <v>-29.320772000000002</v>
      </c>
    </row>
    <row r="2687" spans="16:20">
      <c r="P2687" s="1094">
        <v>2460</v>
      </c>
      <c r="Q2687" t="s">
        <v>3757</v>
      </c>
      <c r="R2687" t="s">
        <v>248</v>
      </c>
      <c r="S2687">
        <v>153.271074</v>
      </c>
      <c r="T2687" s="1095">
        <v>-29.320772000000002</v>
      </c>
    </row>
    <row r="2688" spans="16:20">
      <c r="P2688" s="1094">
        <v>2460</v>
      </c>
      <c r="Q2688" t="s">
        <v>3758</v>
      </c>
      <c r="R2688" t="s">
        <v>248</v>
      </c>
      <c r="S2688">
        <v>153.271074</v>
      </c>
      <c r="T2688" s="1095">
        <v>-29.320772000000002</v>
      </c>
    </row>
    <row r="2689" spans="16:20">
      <c r="P2689" s="1094">
        <v>2460</v>
      </c>
      <c r="Q2689" t="s">
        <v>3759</v>
      </c>
      <c r="R2689" t="s">
        <v>248</v>
      </c>
      <c r="S2689">
        <v>153.271074</v>
      </c>
      <c r="T2689" s="1095">
        <v>-29.320772000000002</v>
      </c>
    </row>
    <row r="2690" spans="16:20">
      <c r="P2690" s="1094">
        <v>2460</v>
      </c>
      <c r="Q2690" t="s">
        <v>3760</v>
      </c>
      <c r="R2690" t="s">
        <v>248</v>
      </c>
      <c r="S2690">
        <v>153.271074</v>
      </c>
      <c r="T2690" s="1095">
        <v>-29.320772000000002</v>
      </c>
    </row>
    <row r="2691" spans="16:20">
      <c r="P2691" s="1094">
        <v>2460</v>
      </c>
      <c r="Q2691" t="s">
        <v>3761</v>
      </c>
      <c r="R2691" t="s">
        <v>248</v>
      </c>
      <c r="S2691">
        <v>153.271074</v>
      </c>
      <c r="T2691" s="1095">
        <v>-29.320772000000002</v>
      </c>
    </row>
    <row r="2692" spans="16:20">
      <c r="P2692" s="1094">
        <v>2460</v>
      </c>
      <c r="Q2692" t="s">
        <v>3762</v>
      </c>
      <c r="R2692" t="s">
        <v>248</v>
      </c>
      <c r="S2692">
        <v>153.271074</v>
      </c>
      <c r="T2692" s="1095">
        <v>-29.320772000000002</v>
      </c>
    </row>
    <row r="2693" spans="16:20">
      <c r="P2693" s="1094">
        <v>2460</v>
      </c>
      <c r="Q2693" t="s">
        <v>3763</v>
      </c>
      <c r="R2693" t="s">
        <v>248</v>
      </c>
      <c r="S2693">
        <v>153.271074</v>
      </c>
      <c r="T2693" s="1095">
        <v>-29.320772000000002</v>
      </c>
    </row>
    <row r="2694" spans="16:20">
      <c r="P2694" s="1094">
        <v>2460</v>
      </c>
      <c r="Q2694" t="s">
        <v>3764</v>
      </c>
      <c r="R2694" t="s">
        <v>248</v>
      </c>
      <c r="S2694">
        <v>153.271074</v>
      </c>
      <c r="T2694" s="1095">
        <v>-29.320772000000002</v>
      </c>
    </row>
    <row r="2695" spans="16:20">
      <c r="P2695" s="1094">
        <v>2460</v>
      </c>
      <c r="Q2695" t="s">
        <v>3765</v>
      </c>
      <c r="R2695" t="s">
        <v>248</v>
      </c>
      <c r="S2695">
        <v>153.271074</v>
      </c>
      <c r="T2695" s="1095">
        <v>-29.320772000000002</v>
      </c>
    </row>
    <row r="2696" spans="16:20">
      <c r="P2696" s="1094">
        <v>2460</v>
      </c>
      <c r="Q2696" t="s">
        <v>3766</v>
      </c>
      <c r="R2696" t="s">
        <v>248</v>
      </c>
      <c r="S2696">
        <v>153.271074</v>
      </c>
      <c r="T2696" s="1095">
        <v>-29.320772000000002</v>
      </c>
    </row>
    <row r="2697" spans="16:20">
      <c r="P2697" s="1094">
        <v>2460</v>
      </c>
      <c r="Q2697" t="s">
        <v>3767</v>
      </c>
      <c r="R2697" t="s">
        <v>248</v>
      </c>
      <c r="S2697">
        <v>153.271074</v>
      </c>
      <c r="T2697" s="1095">
        <v>-29.320772000000002</v>
      </c>
    </row>
    <row r="2698" spans="16:20">
      <c r="P2698" s="1094">
        <v>2460</v>
      </c>
      <c r="Q2698" t="s">
        <v>3768</v>
      </c>
      <c r="R2698" t="s">
        <v>248</v>
      </c>
      <c r="S2698">
        <v>153.271074</v>
      </c>
      <c r="T2698" s="1095">
        <v>-29.320772000000002</v>
      </c>
    </row>
    <row r="2699" spans="16:20">
      <c r="P2699" s="1094">
        <v>2462</v>
      </c>
      <c r="Q2699" t="s">
        <v>3769</v>
      </c>
      <c r="R2699" t="s">
        <v>248</v>
      </c>
      <c r="S2699">
        <v>153.18704700000001</v>
      </c>
      <c r="T2699" s="1095">
        <v>-29.829194000000001</v>
      </c>
    </row>
    <row r="2700" spans="16:20">
      <c r="P2700" s="1094">
        <v>2462</v>
      </c>
      <c r="Q2700" t="s">
        <v>3770</v>
      </c>
      <c r="R2700" t="s">
        <v>248</v>
      </c>
      <c r="S2700">
        <v>153.18704700000001</v>
      </c>
      <c r="T2700" s="1095">
        <v>-29.829194000000001</v>
      </c>
    </row>
    <row r="2701" spans="16:20">
      <c r="P2701" s="1094">
        <v>2462</v>
      </c>
      <c r="Q2701" t="s">
        <v>3771</v>
      </c>
      <c r="R2701" t="s">
        <v>248</v>
      </c>
      <c r="S2701">
        <v>153.18704700000001</v>
      </c>
      <c r="T2701" s="1095">
        <v>-29.829194000000001</v>
      </c>
    </row>
    <row r="2702" spans="16:20">
      <c r="P2702" s="1094">
        <v>2462</v>
      </c>
      <c r="Q2702" t="s">
        <v>3772</v>
      </c>
      <c r="R2702" t="s">
        <v>248</v>
      </c>
      <c r="S2702">
        <v>153.18704700000001</v>
      </c>
      <c r="T2702" s="1095">
        <v>-29.829194000000001</v>
      </c>
    </row>
    <row r="2703" spans="16:20">
      <c r="P2703" s="1094">
        <v>2462</v>
      </c>
      <c r="Q2703" t="s">
        <v>3773</v>
      </c>
      <c r="R2703" t="s">
        <v>248</v>
      </c>
      <c r="S2703">
        <v>153.18704700000001</v>
      </c>
      <c r="T2703" s="1095">
        <v>-29.829194000000001</v>
      </c>
    </row>
    <row r="2704" spans="16:20">
      <c r="P2704" s="1094">
        <v>2462</v>
      </c>
      <c r="Q2704" t="s">
        <v>3774</v>
      </c>
      <c r="R2704" t="s">
        <v>248</v>
      </c>
      <c r="S2704">
        <v>153.18704700000001</v>
      </c>
      <c r="T2704" s="1095">
        <v>-29.829194000000001</v>
      </c>
    </row>
    <row r="2705" spans="16:20">
      <c r="P2705" s="1094">
        <v>2462</v>
      </c>
      <c r="Q2705" t="s">
        <v>3775</v>
      </c>
      <c r="R2705" t="s">
        <v>248</v>
      </c>
      <c r="S2705">
        <v>153.18704700000001</v>
      </c>
      <c r="T2705" s="1095">
        <v>-29.829194000000001</v>
      </c>
    </row>
    <row r="2706" spans="16:20">
      <c r="P2706" s="1094">
        <v>2462</v>
      </c>
      <c r="Q2706" t="s">
        <v>3776</v>
      </c>
      <c r="R2706" t="s">
        <v>248</v>
      </c>
      <c r="S2706">
        <v>153.18704700000001</v>
      </c>
      <c r="T2706" s="1095">
        <v>-29.829194000000001</v>
      </c>
    </row>
    <row r="2707" spans="16:20">
      <c r="P2707" s="1094">
        <v>2462</v>
      </c>
      <c r="Q2707" t="s">
        <v>3777</v>
      </c>
      <c r="R2707" t="s">
        <v>248</v>
      </c>
      <c r="S2707">
        <v>153.18704700000001</v>
      </c>
      <c r="T2707" s="1095">
        <v>-29.829194000000001</v>
      </c>
    </row>
    <row r="2708" spans="16:20">
      <c r="P2708" s="1094">
        <v>2462</v>
      </c>
      <c r="Q2708" t="s">
        <v>3778</v>
      </c>
      <c r="R2708" t="s">
        <v>248</v>
      </c>
      <c r="S2708">
        <v>153.18704700000001</v>
      </c>
      <c r="T2708" s="1095">
        <v>-29.829194000000001</v>
      </c>
    </row>
    <row r="2709" spans="16:20">
      <c r="P2709" s="1094">
        <v>2462</v>
      </c>
      <c r="Q2709" t="s">
        <v>3779</v>
      </c>
      <c r="R2709" t="s">
        <v>248</v>
      </c>
      <c r="S2709">
        <v>153.18704700000001</v>
      </c>
      <c r="T2709" s="1095">
        <v>-29.829194000000001</v>
      </c>
    </row>
    <row r="2710" spans="16:20">
      <c r="P2710" s="1094">
        <v>2462</v>
      </c>
      <c r="Q2710" t="s">
        <v>3780</v>
      </c>
      <c r="R2710" t="s">
        <v>248</v>
      </c>
      <c r="S2710">
        <v>153.18704700000001</v>
      </c>
      <c r="T2710" s="1095">
        <v>-29.829194000000001</v>
      </c>
    </row>
    <row r="2711" spans="16:20">
      <c r="P2711" s="1094">
        <v>2463</v>
      </c>
      <c r="Q2711" t="s">
        <v>3781</v>
      </c>
      <c r="R2711" t="s">
        <v>248</v>
      </c>
      <c r="S2711">
        <v>153.10478900000001</v>
      </c>
      <c r="T2711" s="1095">
        <v>-29.366910000000001</v>
      </c>
    </row>
    <row r="2712" spans="16:20">
      <c r="P2712" s="1094">
        <v>2463</v>
      </c>
      <c r="Q2712" t="s">
        <v>3782</v>
      </c>
      <c r="R2712" t="s">
        <v>248</v>
      </c>
      <c r="S2712">
        <v>153.10478900000001</v>
      </c>
      <c r="T2712" s="1095">
        <v>-29.366910000000001</v>
      </c>
    </row>
    <row r="2713" spans="16:20">
      <c r="P2713" s="1094">
        <v>2463</v>
      </c>
      <c r="Q2713" t="s">
        <v>3783</v>
      </c>
      <c r="R2713" t="s">
        <v>248</v>
      </c>
      <c r="S2713">
        <v>153.10478900000001</v>
      </c>
      <c r="T2713" s="1095">
        <v>-29.366910000000001</v>
      </c>
    </row>
    <row r="2714" spans="16:20">
      <c r="P2714" s="1094">
        <v>2463</v>
      </c>
      <c r="Q2714" t="s">
        <v>3784</v>
      </c>
      <c r="R2714" t="s">
        <v>248</v>
      </c>
      <c r="S2714">
        <v>153.10478900000001</v>
      </c>
      <c r="T2714" s="1095">
        <v>-29.366910000000001</v>
      </c>
    </row>
    <row r="2715" spans="16:20">
      <c r="P2715" s="1094">
        <v>2463</v>
      </c>
      <c r="Q2715" t="s">
        <v>3785</v>
      </c>
      <c r="R2715" t="s">
        <v>248</v>
      </c>
      <c r="S2715">
        <v>153.10478900000001</v>
      </c>
      <c r="T2715" s="1095">
        <v>-29.366910000000001</v>
      </c>
    </row>
    <row r="2716" spans="16:20">
      <c r="P2716" s="1094">
        <v>2463</v>
      </c>
      <c r="Q2716" t="s">
        <v>3786</v>
      </c>
      <c r="R2716" t="s">
        <v>248</v>
      </c>
      <c r="S2716">
        <v>153.10478900000001</v>
      </c>
      <c r="T2716" s="1095">
        <v>-29.366910000000001</v>
      </c>
    </row>
    <row r="2717" spans="16:20">
      <c r="P2717" s="1094">
        <v>2463</v>
      </c>
      <c r="Q2717" t="s">
        <v>3787</v>
      </c>
      <c r="R2717" t="s">
        <v>248</v>
      </c>
      <c r="S2717">
        <v>153.10478900000001</v>
      </c>
      <c r="T2717" s="1095">
        <v>-29.366910000000001</v>
      </c>
    </row>
    <row r="2718" spans="16:20">
      <c r="P2718" s="1094">
        <v>2463</v>
      </c>
      <c r="Q2718" t="s">
        <v>3788</v>
      </c>
      <c r="R2718" t="s">
        <v>248</v>
      </c>
      <c r="S2718">
        <v>153.10478900000001</v>
      </c>
      <c r="T2718" s="1095">
        <v>-29.366910000000001</v>
      </c>
    </row>
    <row r="2719" spans="16:20">
      <c r="P2719" s="1094">
        <v>2463</v>
      </c>
      <c r="Q2719" t="s">
        <v>3789</v>
      </c>
      <c r="R2719" t="s">
        <v>248</v>
      </c>
      <c r="S2719">
        <v>153.10478900000001</v>
      </c>
      <c r="T2719" s="1095">
        <v>-29.366910000000001</v>
      </c>
    </row>
    <row r="2720" spans="16:20">
      <c r="P2720" s="1094">
        <v>2463</v>
      </c>
      <c r="Q2720" t="s">
        <v>3790</v>
      </c>
      <c r="R2720" t="s">
        <v>248</v>
      </c>
      <c r="S2720">
        <v>153.10478900000001</v>
      </c>
      <c r="T2720" s="1095">
        <v>-29.366910000000001</v>
      </c>
    </row>
    <row r="2721" spans="16:20">
      <c r="P2721" s="1094">
        <v>2463</v>
      </c>
      <c r="Q2721" t="s">
        <v>3791</v>
      </c>
      <c r="R2721" t="s">
        <v>248</v>
      </c>
      <c r="S2721">
        <v>153.10478900000001</v>
      </c>
      <c r="T2721" s="1095">
        <v>-29.366910000000001</v>
      </c>
    </row>
    <row r="2722" spans="16:20">
      <c r="P2722" s="1094">
        <v>2463</v>
      </c>
      <c r="Q2722" t="s">
        <v>3792</v>
      </c>
      <c r="R2722" t="s">
        <v>248</v>
      </c>
      <c r="S2722">
        <v>153.10478900000001</v>
      </c>
      <c r="T2722" s="1095">
        <v>-29.366910000000001</v>
      </c>
    </row>
    <row r="2723" spans="16:20">
      <c r="P2723" s="1094">
        <v>2463</v>
      </c>
      <c r="Q2723" t="s">
        <v>3793</v>
      </c>
      <c r="R2723" t="s">
        <v>248</v>
      </c>
      <c r="S2723">
        <v>153.10478900000001</v>
      </c>
      <c r="T2723" s="1095">
        <v>-29.366910000000001</v>
      </c>
    </row>
    <row r="2724" spans="16:20">
      <c r="P2724" s="1094">
        <v>2463</v>
      </c>
      <c r="Q2724" t="s">
        <v>3794</v>
      </c>
      <c r="R2724" t="s">
        <v>248</v>
      </c>
      <c r="S2724">
        <v>153.10478900000001</v>
      </c>
      <c r="T2724" s="1095">
        <v>-29.366910000000001</v>
      </c>
    </row>
    <row r="2725" spans="16:20">
      <c r="P2725" s="1094">
        <v>2463</v>
      </c>
      <c r="Q2725" t="s">
        <v>3795</v>
      </c>
      <c r="R2725" t="s">
        <v>248</v>
      </c>
      <c r="S2725">
        <v>153.10478900000001</v>
      </c>
      <c r="T2725" s="1095">
        <v>-29.366910000000001</v>
      </c>
    </row>
    <row r="2726" spans="16:20">
      <c r="P2726" s="1094">
        <v>2463</v>
      </c>
      <c r="Q2726" t="s">
        <v>3796</v>
      </c>
      <c r="R2726" t="s">
        <v>248</v>
      </c>
      <c r="S2726">
        <v>153.10478900000001</v>
      </c>
      <c r="T2726" s="1095">
        <v>-29.366910000000001</v>
      </c>
    </row>
    <row r="2727" spans="16:20">
      <c r="P2727" s="1094">
        <v>2463</v>
      </c>
      <c r="Q2727" t="s">
        <v>3797</v>
      </c>
      <c r="R2727" t="s">
        <v>248</v>
      </c>
      <c r="S2727">
        <v>153.10478900000001</v>
      </c>
      <c r="T2727" s="1095">
        <v>-29.366910000000001</v>
      </c>
    </row>
    <row r="2728" spans="16:20">
      <c r="P2728" s="1094">
        <v>2464</v>
      </c>
      <c r="Q2728" t="s">
        <v>3798</v>
      </c>
      <c r="R2728" t="s">
        <v>248</v>
      </c>
      <c r="S2728">
        <v>153.334228</v>
      </c>
      <c r="T2728" s="1095">
        <v>-29.484556000000001</v>
      </c>
    </row>
    <row r="2729" spans="16:20">
      <c r="P2729" s="1094">
        <v>2464</v>
      </c>
      <c r="Q2729" t="s">
        <v>3799</v>
      </c>
      <c r="R2729" t="s">
        <v>248</v>
      </c>
      <c r="S2729">
        <v>153.334228</v>
      </c>
      <c r="T2729" s="1095">
        <v>-29.484556000000001</v>
      </c>
    </row>
    <row r="2730" spans="16:20">
      <c r="P2730" s="1094">
        <v>2464</v>
      </c>
      <c r="Q2730" t="s">
        <v>3800</v>
      </c>
      <c r="R2730" t="s">
        <v>248</v>
      </c>
      <c r="S2730">
        <v>153.334228</v>
      </c>
      <c r="T2730" s="1095">
        <v>-29.484556000000001</v>
      </c>
    </row>
    <row r="2731" spans="16:20">
      <c r="P2731" s="1094">
        <v>2464</v>
      </c>
      <c r="Q2731" t="s">
        <v>3801</v>
      </c>
      <c r="R2731" t="s">
        <v>248</v>
      </c>
      <c r="S2731">
        <v>153.334228</v>
      </c>
      <c r="T2731" s="1095">
        <v>-29.484556000000001</v>
      </c>
    </row>
    <row r="2732" spans="16:20">
      <c r="P2732" s="1094">
        <v>2465</v>
      </c>
      <c r="Q2732" t="s">
        <v>3802</v>
      </c>
      <c r="R2732" t="s">
        <v>248</v>
      </c>
      <c r="S2732">
        <v>153.243897</v>
      </c>
      <c r="T2732" s="1095">
        <v>-29.412621999999999</v>
      </c>
    </row>
    <row r="2733" spans="16:20">
      <c r="P2733" s="1094">
        <v>2466</v>
      </c>
      <c r="Q2733" t="s">
        <v>3803</v>
      </c>
      <c r="R2733" t="s">
        <v>248</v>
      </c>
      <c r="S2733">
        <v>0</v>
      </c>
      <c r="T2733" s="1095">
        <v>0</v>
      </c>
    </row>
    <row r="2734" spans="16:20">
      <c r="P2734" s="1094">
        <v>2466</v>
      </c>
      <c r="Q2734" t="s">
        <v>3804</v>
      </c>
      <c r="R2734" t="s">
        <v>248</v>
      </c>
      <c r="S2734">
        <v>0</v>
      </c>
      <c r="T2734" s="1095">
        <v>0</v>
      </c>
    </row>
    <row r="2735" spans="16:20">
      <c r="P2735" s="1094">
        <v>2466</v>
      </c>
      <c r="Q2735" t="s">
        <v>3805</v>
      </c>
      <c r="R2735" t="s">
        <v>248</v>
      </c>
      <c r="S2735">
        <v>0</v>
      </c>
      <c r="T2735" s="1095">
        <v>0</v>
      </c>
    </row>
    <row r="2736" spans="16:20">
      <c r="P2736" s="1094">
        <v>2469</v>
      </c>
      <c r="Q2736" t="s">
        <v>3806</v>
      </c>
      <c r="R2736" t="s">
        <v>248</v>
      </c>
      <c r="S2736">
        <v>0</v>
      </c>
      <c r="T2736" s="1095">
        <v>0</v>
      </c>
    </row>
    <row r="2737" spans="16:20">
      <c r="P2737" s="1094">
        <v>2469</v>
      </c>
      <c r="Q2737" t="s">
        <v>3807</v>
      </c>
      <c r="R2737" t="s">
        <v>248</v>
      </c>
      <c r="S2737">
        <v>0</v>
      </c>
      <c r="T2737" s="1095">
        <v>0</v>
      </c>
    </row>
    <row r="2738" spans="16:20">
      <c r="P2738" s="1094">
        <v>2469</v>
      </c>
      <c r="Q2738" t="s">
        <v>3808</v>
      </c>
      <c r="R2738" t="s">
        <v>248</v>
      </c>
      <c r="S2738">
        <v>0</v>
      </c>
      <c r="T2738" s="1095">
        <v>0</v>
      </c>
    </row>
    <row r="2739" spans="16:20">
      <c r="P2739" s="1094">
        <v>2469</v>
      </c>
      <c r="Q2739" t="s">
        <v>3809</v>
      </c>
      <c r="R2739" t="s">
        <v>248</v>
      </c>
      <c r="S2739">
        <v>0</v>
      </c>
      <c r="T2739" s="1095">
        <v>0</v>
      </c>
    </row>
    <row r="2740" spans="16:20">
      <c r="P2740" s="1094">
        <v>2469</v>
      </c>
      <c r="Q2740" t="s">
        <v>3810</v>
      </c>
      <c r="R2740" t="s">
        <v>248</v>
      </c>
      <c r="S2740">
        <v>0</v>
      </c>
      <c r="T2740" s="1095">
        <v>0</v>
      </c>
    </row>
    <row r="2741" spans="16:20">
      <c r="P2741" s="1094">
        <v>2469</v>
      </c>
      <c r="Q2741" t="s">
        <v>3811</v>
      </c>
      <c r="R2741" t="s">
        <v>248</v>
      </c>
      <c r="S2741">
        <v>0</v>
      </c>
      <c r="T2741" s="1095">
        <v>0</v>
      </c>
    </row>
    <row r="2742" spans="16:20">
      <c r="P2742" s="1094">
        <v>2469</v>
      </c>
      <c r="Q2742" t="s">
        <v>3812</v>
      </c>
      <c r="R2742" t="s">
        <v>248</v>
      </c>
      <c r="S2742">
        <v>0</v>
      </c>
      <c r="T2742" s="1095">
        <v>0</v>
      </c>
    </row>
    <row r="2743" spans="16:20">
      <c r="P2743" s="1094">
        <v>2469</v>
      </c>
      <c r="Q2743" t="s">
        <v>3813</v>
      </c>
      <c r="R2743" t="s">
        <v>248</v>
      </c>
      <c r="S2743">
        <v>0</v>
      </c>
      <c r="T2743" s="1095">
        <v>0</v>
      </c>
    </row>
    <row r="2744" spans="16:20">
      <c r="P2744" s="1094">
        <v>2469</v>
      </c>
      <c r="Q2744" t="s">
        <v>3814</v>
      </c>
      <c r="R2744" t="s">
        <v>248</v>
      </c>
      <c r="S2744">
        <v>0</v>
      </c>
      <c r="T2744" s="1095">
        <v>0</v>
      </c>
    </row>
    <row r="2745" spans="16:20">
      <c r="P2745" s="1094">
        <v>2469</v>
      </c>
      <c r="Q2745" t="s">
        <v>3815</v>
      </c>
      <c r="R2745" t="s">
        <v>248</v>
      </c>
      <c r="S2745">
        <v>0</v>
      </c>
      <c r="T2745" s="1095">
        <v>0</v>
      </c>
    </row>
    <row r="2746" spans="16:20">
      <c r="P2746" s="1094">
        <v>2469</v>
      </c>
      <c r="Q2746" t="s">
        <v>3816</v>
      </c>
      <c r="R2746" t="s">
        <v>248</v>
      </c>
      <c r="S2746">
        <v>0</v>
      </c>
      <c r="T2746" s="1095">
        <v>0</v>
      </c>
    </row>
    <row r="2747" spans="16:20">
      <c r="P2747" s="1094">
        <v>2469</v>
      </c>
      <c r="Q2747" t="s">
        <v>3817</v>
      </c>
      <c r="R2747" t="s">
        <v>248</v>
      </c>
      <c r="S2747">
        <v>0</v>
      </c>
      <c r="T2747" s="1095">
        <v>0</v>
      </c>
    </row>
    <row r="2748" spans="16:20">
      <c r="P2748" s="1094">
        <v>2469</v>
      </c>
      <c r="Q2748" t="s">
        <v>3818</v>
      </c>
      <c r="R2748" t="s">
        <v>248</v>
      </c>
      <c r="S2748">
        <v>0</v>
      </c>
      <c r="T2748" s="1095">
        <v>0</v>
      </c>
    </row>
    <row r="2749" spans="16:20">
      <c r="P2749" s="1094">
        <v>2469</v>
      </c>
      <c r="Q2749" t="s">
        <v>3819</v>
      </c>
      <c r="R2749" t="s">
        <v>248</v>
      </c>
      <c r="S2749">
        <v>0</v>
      </c>
      <c r="T2749" s="1095">
        <v>0</v>
      </c>
    </row>
    <row r="2750" spans="16:20">
      <c r="P2750" s="1094">
        <v>2469</v>
      </c>
      <c r="Q2750" t="s">
        <v>3820</v>
      </c>
      <c r="R2750" t="s">
        <v>248</v>
      </c>
      <c r="S2750">
        <v>0</v>
      </c>
      <c r="T2750" s="1095">
        <v>0</v>
      </c>
    </row>
    <row r="2751" spans="16:20">
      <c r="P2751" s="1094">
        <v>2469</v>
      </c>
      <c r="Q2751" t="s">
        <v>3821</v>
      </c>
      <c r="R2751" t="s">
        <v>248</v>
      </c>
      <c r="S2751">
        <v>0</v>
      </c>
      <c r="T2751" s="1095">
        <v>0</v>
      </c>
    </row>
    <row r="2752" spans="16:20">
      <c r="P2752" s="1094">
        <v>2469</v>
      </c>
      <c r="Q2752" t="s">
        <v>3822</v>
      </c>
      <c r="R2752" t="s">
        <v>248</v>
      </c>
      <c r="S2752">
        <v>0</v>
      </c>
      <c r="T2752" s="1095">
        <v>0</v>
      </c>
    </row>
    <row r="2753" spans="16:20">
      <c r="P2753" s="1094">
        <v>2469</v>
      </c>
      <c r="Q2753" t="s">
        <v>3455</v>
      </c>
      <c r="R2753" t="s">
        <v>248</v>
      </c>
      <c r="S2753">
        <v>0</v>
      </c>
      <c r="T2753" s="1095">
        <v>0</v>
      </c>
    </row>
    <row r="2754" spans="16:20">
      <c r="P2754" s="1094">
        <v>2469</v>
      </c>
      <c r="Q2754" t="s">
        <v>3823</v>
      </c>
      <c r="R2754" t="s">
        <v>248</v>
      </c>
      <c r="S2754">
        <v>0</v>
      </c>
      <c r="T2754" s="1095">
        <v>0</v>
      </c>
    </row>
    <row r="2755" spans="16:20">
      <c r="P2755" s="1094">
        <v>2469</v>
      </c>
      <c r="Q2755" t="s">
        <v>3824</v>
      </c>
      <c r="R2755" t="s">
        <v>248</v>
      </c>
      <c r="S2755">
        <v>0</v>
      </c>
      <c r="T2755" s="1095">
        <v>0</v>
      </c>
    </row>
    <row r="2756" spans="16:20">
      <c r="P2756" s="1094">
        <v>2469</v>
      </c>
      <c r="Q2756" t="s">
        <v>3825</v>
      </c>
      <c r="R2756" t="s">
        <v>248</v>
      </c>
      <c r="S2756">
        <v>0</v>
      </c>
      <c r="T2756" s="1095">
        <v>0</v>
      </c>
    </row>
    <row r="2757" spans="16:20">
      <c r="P2757" s="1094">
        <v>2469</v>
      </c>
      <c r="Q2757" t="s">
        <v>3826</v>
      </c>
      <c r="R2757" t="s">
        <v>248</v>
      </c>
      <c r="S2757">
        <v>0</v>
      </c>
      <c r="T2757" s="1095">
        <v>0</v>
      </c>
    </row>
    <row r="2758" spans="16:20">
      <c r="P2758" s="1094">
        <v>2469</v>
      </c>
      <c r="Q2758" t="s">
        <v>3827</v>
      </c>
      <c r="R2758" t="s">
        <v>248</v>
      </c>
      <c r="S2758">
        <v>0</v>
      </c>
      <c r="T2758" s="1095">
        <v>0</v>
      </c>
    </row>
    <row r="2759" spans="16:20">
      <c r="P2759" s="1094">
        <v>2469</v>
      </c>
      <c r="Q2759" t="s">
        <v>3828</v>
      </c>
      <c r="R2759" t="s">
        <v>248</v>
      </c>
      <c r="S2759">
        <v>0</v>
      </c>
      <c r="T2759" s="1095">
        <v>0</v>
      </c>
    </row>
    <row r="2760" spans="16:20">
      <c r="P2760" s="1094">
        <v>2469</v>
      </c>
      <c r="Q2760" t="s">
        <v>3829</v>
      </c>
      <c r="R2760" t="s">
        <v>248</v>
      </c>
      <c r="S2760">
        <v>0</v>
      </c>
      <c r="T2760" s="1095">
        <v>0</v>
      </c>
    </row>
    <row r="2761" spans="16:20">
      <c r="P2761" s="1094">
        <v>2469</v>
      </c>
      <c r="Q2761" t="s">
        <v>3830</v>
      </c>
      <c r="R2761" t="s">
        <v>248</v>
      </c>
      <c r="S2761">
        <v>0</v>
      </c>
      <c r="T2761" s="1095">
        <v>0</v>
      </c>
    </row>
    <row r="2762" spans="16:20">
      <c r="P2762" s="1094">
        <v>2469</v>
      </c>
      <c r="Q2762" t="s">
        <v>3831</v>
      </c>
      <c r="R2762" t="s">
        <v>248</v>
      </c>
      <c r="S2762">
        <v>0</v>
      </c>
      <c r="T2762" s="1095">
        <v>0</v>
      </c>
    </row>
    <row r="2763" spans="16:20">
      <c r="P2763" s="1094">
        <v>2469</v>
      </c>
      <c r="Q2763" t="s">
        <v>3832</v>
      </c>
      <c r="R2763" t="s">
        <v>248</v>
      </c>
      <c r="S2763">
        <v>0</v>
      </c>
      <c r="T2763" s="1095">
        <v>0</v>
      </c>
    </row>
    <row r="2764" spans="16:20">
      <c r="P2764" s="1094">
        <v>2469</v>
      </c>
      <c r="Q2764" t="s">
        <v>3833</v>
      </c>
      <c r="R2764" t="s">
        <v>248</v>
      </c>
      <c r="S2764">
        <v>0</v>
      </c>
      <c r="T2764" s="1095">
        <v>0</v>
      </c>
    </row>
    <row r="2765" spans="16:20">
      <c r="P2765" s="1094">
        <v>2469</v>
      </c>
      <c r="Q2765" t="s">
        <v>3834</v>
      </c>
      <c r="R2765" t="s">
        <v>248</v>
      </c>
      <c r="S2765">
        <v>0</v>
      </c>
      <c r="T2765" s="1095">
        <v>0</v>
      </c>
    </row>
    <row r="2766" spans="16:20">
      <c r="P2766" s="1094">
        <v>2469</v>
      </c>
      <c r="Q2766" t="s">
        <v>3835</v>
      </c>
      <c r="R2766" t="s">
        <v>248</v>
      </c>
      <c r="S2766">
        <v>0</v>
      </c>
      <c r="T2766" s="1095">
        <v>0</v>
      </c>
    </row>
    <row r="2767" spans="16:20">
      <c r="P2767" s="1094">
        <v>2469</v>
      </c>
      <c r="Q2767" t="s">
        <v>3836</v>
      </c>
      <c r="R2767" t="s">
        <v>248</v>
      </c>
      <c r="S2767">
        <v>0</v>
      </c>
      <c r="T2767" s="1095">
        <v>0</v>
      </c>
    </row>
    <row r="2768" spans="16:20">
      <c r="P2768" s="1094">
        <v>2469</v>
      </c>
      <c r="Q2768" t="s">
        <v>3837</v>
      </c>
      <c r="R2768" t="s">
        <v>248</v>
      </c>
      <c r="S2768">
        <v>0</v>
      </c>
      <c r="T2768" s="1095">
        <v>0</v>
      </c>
    </row>
    <row r="2769" spans="16:20">
      <c r="P2769" s="1094">
        <v>2469</v>
      </c>
      <c r="Q2769" t="s">
        <v>3838</v>
      </c>
      <c r="R2769" t="s">
        <v>248</v>
      </c>
      <c r="S2769">
        <v>0</v>
      </c>
      <c r="T2769" s="1095">
        <v>0</v>
      </c>
    </row>
    <row r="2770" spans="16:20">
      <c r="P2770" s="1094">
        <v>2469</v>
      </c>
      <c r="Q2770" t="s">
        <v>3839</v>
      </c>
      <c r="R2770" t="s">
        <v>248</v>
      </c>
      <c r="S2770">
        <v>0</v>
      </c>
      <c r="T2770" s="1095">
        <v>0</v>
      </c>
    </row>
    <row r="2771" spans="16:20">
      <c r="P2771" s="1094">
        <v>2469</v>
      </c>
      <c r="Q2771" t="s">
        <v>3840</v>
      </c>
      <c r="R2771" t="s">
        <v>248</v>
      </c>
      <c r="S2771">
        <v>0</v>
      </c>
      <c r="T2771" s="1095">
        <v>0</v>
      </c>
    </row>
    <row r="2772" spans="16:20">
      <c r="P2772" s="1094">
        <v>2469</v>
      </c>
      <c r="Q2772" t="s">
        <v>3841</v>
      </c>
      <c r="R2772" t="s">
        <v>248</v>
      </c>
      <c r="S2772">
        <v>0</v>
      </c>
      <c r="T2772" s="1095">
        <v>0</v>
      </c>
    </row>
    <row r="2773" spans="16:20">
      <c r="P2773" s="1094">
        <v>2469</v>
      </c>
      <c r="Q2773" t="s">
        <v>3842</v>
      </c>
      <c r="R2773" t="s">
        <v>248</v>
      </c>
      <c r="S2773">
        <v>0</v>
      </c>
      <c r="T2773" s="1095">
        <v>0</v>
      </c>
    </row>
    <row r="2774" spans="16:20">
      <c r="P2774" s="1094">
        <v>2469</v>
      </c>
      <c r="Q2774" t="s">
        <v>3843</v>
      </c>
      <c r="R2774" t="s">
        <v>248</v>
      </c>
      <c r="S2774">
        <v>0</v>
      </c>
      <c r="T2774" s="1095">
        <v>0</v>
      </c>
    </row>
    <row r="2775" spans="16:20">
      <c r="P2775" s="1094">
        <v>2469</v>
      </c>
      <c r="Q2775" t="s">
        <v>3844</v>
      </c>
      <c r="R2775" t="s">
        <v>248</v>
      </c>
      <c r="S2775">
        <v>0</v>
      </c>
      <c r="T2775" s="1095">
        <v>0</v>
      </c>
    </row>
    <row r="2776" spans="16:20">
      <c r="P2776" s="1094">
        <v>2469</v>
      </c>
      <c r="Q2776" t="s">
        <v>3845</v>
      </c>
      <c r="R2776" t="s">
        <v>248</v>
      </c>
      <c r="S2776">
        <v>0</v>
      </c>
      <c r="T2776" s="1095">
        <v>0</v>
      </c>
    </row>
    <row r="2777" spans="16:20">
      <c r="P2777" s="1094">
        <v>2469</v>
      </c>
      <c r="Q2777" t="s">
        <v>3846</v>
      </c>
      <c r="R2777" t="s">
        <v>248</v>
      </c>
      <c r="S2777">
        <v>0</v>
      </c>
      <c r="T2777" s="1095">
        <v>0</v>
      </c>
    </row>
    <row r="2778" spans="16:20">
      <c r="P2778" s="1094">
        <v>2469</v>
      </c>
      <c r="Q2778" t="s">
        <v>3847</v>
      </c>
      <c r="R2778" t="s">
        <v>248</v>
      </c>
      <c r="S2778">
        <v>0</v>
      </c>
      <c r="T2778" s="1095">
        <v>0</v>
      </c>
    </row>
    <row r="2779" spans="16:20">
      <c r="P2779" s="1094">
        <v>2469</v>
      </c>
      <c r="Q2779" t="s">
        <v>3848</v>
      </c>
      <c r="R2779" t="s">
        <v>248</v>
      </c>
      <c r="S2779">
        <v>0</v>
      </c>
      <c r="T2779" s="1095">
        <v>0</v>
      </c>
    </row>
    <row r="2780" spans="16:20">
      <c r="P2780" s="1094">
        <v>2469</v>
      </c>
      <c r="Q2780" t="s">
        <v>3849</v>
      </c>
      <c r="R2780" t="s">
        <v>248</v>
      </c>
      <c r="S2780">
        <v>0</v>
      </c>
      <c r="T2780" s="1095">
        <v>0</v>
      </c>
    </row>
    <row r="2781" spans="16:20">
      <c r="P2781" s="1094">
        <v>2469</v>
      </c>
      <c r="Q2781" t="s">
        <v>3850</v>
      </c>
      <c r="R2781" t="s">
        <v>248</v>
      </c>
      <c r="S2781">
        <v>0</v>
      </c>
      <c r="T2781" s="1095">
        <v>0</v>
      </c>
    </row>
    <row r="2782" spans="16:20">
      <c r="P2782" s="1094">
        <v>2470</v>
      </c>
      <c r="Q2782" t="s">
        <v>3851</v>
      </c>
      <c r="R2782" t="s">
        <v>248</v>
      </c>
      <c r="S2782">
        <v>152.74975900000001</v>
      </c>
      <c r="T2782" s="1095">
        <v>-28.927859999999999</v>
      </c>
    </row>
    <row r="2783" spans="16:20">
      <c r="P2783" s="1094">
        <v>2470</v>
      </c>
      <c r="Q2783" t="s">
        <v>3852</v>
      </c>
      <c r="R2783" t="s">
        <v>248</v>
      </c>
      <c r="S2783">
        <v>152.74975900000001</v>
      </c>
      <c r="T2783" s="1095">
        <v>-28.927859999999999</v>
      </c>
    </row>
    <row r="2784" spans="16:20">
      <c r="P2784" s="1094">
        <v>2470</v>
      </c>
      <c r="Q2784" t="s">
        <v>3853</v>
      </c>
      <c r="R2784" t="s">
        <v>248</v>
      </c>
      <c r="S2784">
        <v>152.74975900000001</v>
      </c>
      <c r="T2784" s="1095">
        <v>-28.927859999999999</v>
      </c>
    </row>
    <row r="2785" spans="16:20">
      <c r="P2785" s="1094">
        <v>2470</v>
      </c>
      <c r="Q2785" t="s">
        <v>3854</v>
      </c>
      <c r="R2785" t="s">
        <v>248</v>
      </c>
      <c r="S2785">
        <v>152.74975900000001</v>
      </c>
      <c r="T2785" s="1095">
        <v>-28.927859999999999</v>
      </c>
    </row>
    <row r="2786" spans="16:20">
      <c r="P2786" s="1094">
        <v>2470</v>
      </c>
      <c r="Q2786" t="s">
        <v>3855</v>
      </c>
      <c r="R2786" t="s">
        <v>248</v>
      </c>
      <c r="S2786">
        <v>152.74975900000001</v>
      </c>
      <c r="T2786" s="1095">
        <v>-28.927859999999999</v>
      </c>
    </row>
    <row r="2787" spans="16:20">
      <c r="P2787" s="1094">
        <v>2470</v>
      </c>
      <c r="Q2787" t="s">
        <v>3856</v>
      </c>
      <c r="R2787" t="s">
        <v>248</v>
      </c>
      <c r="S2787">
        <v>152.74975900000001</v>
      </c>
      <c r="T2787" s="1095">
        <v>-28.927859999999999</v>
      </c>
    </row>
    <row r="2788" spans="16:20">
      <c r="P2788" s="1094">
        <v>2470</v>
      </c>
      <c r="Q2788" t="s">
        <v>3857</v>
      </c>
      <c r="R2788" t="s">
        <v>248</v>
      </c>
      <c r="S2788">
        <v>152.74975900000001</v>
      </c>
      <c r="T2788" s="1095">
        <v>-28.927859999999999</v>
      </c>
    </row>
    <row r="2789" spans="16:20">
      <c r="P2789" s="1094">
        <v>2470</v>
      </c>
      <c r="Q2789" t="s">
        <v>3858</v>
      </c>
      <c r="R2789" t="s">
        <v>248</v>
      </c>
      <c r="S2789">
        <v>152.74975900000001</v>
      </c>
      <c r="T2789" s="1095">
        <v>-28.927859999999999</v>
      </c>
    </row>
    <row r="2790" spans="16:20">
      <c r="P2790" s="1094">
        <v>2470</v>
      </c>
      <c r="Q2790" t="s">
        <v>3859</v>
      </c>
      <c r="R2790" t="s">
        <v>248</v>
      </c>
      <c r="S2790">
        <v>152.74975900000001</v>
      </c>
      <c r="T2790" s="1095">
        <v>-28.927859999999999</v>
      </c>
    </row>
    <row r="2791" spans="16:20">
      <c r="P2791" s="1094">
        <v>2470</v>
      </c>
      <c r="Q2791" t="s">
        <v>3860</v>
      </c>
      <c r="R2791" t="s">
        <v>248</v>
      </c>
      <c r="S2791">
        <v>152.74975900000001</v>
      </c>
      <c r="T2791" s="1095">
        <v>-28.927859999999999</v>
      </c>
    </row>
    <row r="2792" spans="16:20">
      <c r="P2792" s="1094">
        <v>2470</v>
      </c>
      <c r="Q2792" t="s">
        <v>3861</v>
      </c>
      <c r="R2792" t="s">
        <v>248</v>
      </c>
      <c r="S2792">
        <v>152.74975900000001</v>
      </c>
      <c r="T2792" s="1095">
        <v>-28.927859999999999</v>
      </c>
    </row>
    <row r="2793" spans="16:20">
      <c r="P2793" s="1094">
        <v>2470</v>
      </c>
      <c r="Q2793" t="s">
        <v>3862</v>
      </c>
      <c r="R2793" t="s">
        <v>248</v>
      </c>
      <c r="S2793">
        <v>152.74975900000001</v>
      </c>
      <c r="T2793" s="1095">
        <v>-28.927859999999999</v>
      </c>
    </row>
    <row r="2794" spans="16:20">
      <c r="P2794" s="1094">
        <v>2470</v>
      </c>
      <c r="Q2794" t="s">
        <v>3863</v>
      </c>
      <c r="R2794" t="s">
        <v>248</v>
      </c>
      <c r="S2794">
        <v>152.74975900000001</v>
      </c>
      <c r="T2794" s="1095">
        <v>-28.927859999999999</v>
      </c>
    </row>
    <row r="2795" spans="16:20">
      <c r="P2795" s="1094">
        <v>2470</v>
      </c>
      <c r="Q2795" t="s">
        <v>3864</v>
      </c>
      <c r="R2795" t="s">
        <v>248</v>
      </c>
      <c r="S2795">
        <v>152.74975900000001</v>
      </c>
      <c r="T2795" s="1095">
        <v>-28.927859999999999</v>
      </c>
    </row>
    <row r="2796" spans="16:20">
      <c r="P2796" s="1094">
        <v>2470</v>
      </c>
      <c r="Q2796" t="s">
        <v>3865</v>
      </c>
      <c r="R2796" t="s">
        <v>248</v>
      </c>
      <c r="S2796">
        <v>152.74975900000001</v>
      </c>
      <c r="T2796" s="1095">
        <v>-28.927859999999999</v>
      </c>
    </row>
    <row r="2797" spans="16:20">
      <c r="P2797" s="1094">
        <v>2470</v>
      </c>
      <c r="Q2797" t="s">
        <v>3866</v>
      </c>
      <c r="R2797" t="s">
        <v>248</v>
      </c>
      <c r="S2797">
        <v>152.74975900000001</v>
      </c>
      <c r="T2797" s="1095">
        <v>-28.927859999999999</v>
      </c>
    </row>
    <row r="2798" spans="16:20">
      <c r="P2798" s="1094">
        <v>2470</v>
      </c>
      <c r="Q2798" t="s">
        <v>3867</v>
      </c>
      <c r="R2798" t="s">
        <v>248</v>
      </c>
      <c r="S2798">
        <v>152.74975900000001</v>
      </c>
      <c r="T2798" s="1095">
        <v>-28.927859999999999</v>
      </c>
    </row>
    <row r="2799" spans="16:20">
      <c r="P2799" s="1094">
        <v>2470</v>
      </c>
      <c r="Q2799" t="s">
        <v>3868</v>
      </c>
      <c r="R2799" t="s">
        <v>248</v>
      </c>
      <c r="S2799">
        <v>152.74975900000001</v>
      </c>
      <c r="T2799" s="1095">
        <v>-28.927859999999999</v>
      </c>
    </row>
    <row r="2800" spans="16:20">
      <c r="P2800" s="1094">
        <v>2470</v>
      </c>
      <c r="Q2800" t="s">
        <v>3869</v>
      </c>
      <c r="R2800" t="s">
        <v>248</v>
      </c>
      <c r="S2800">
        <v>152.74975900000001</v>
      </c>
      <c r="T2800" s="1095">
        <v>-28.927859999999999</v>
      </c>
    </row>
    <row r="2801" spans="16:20">
      <c r="P2801" s="1094">
        <v>2470</v>
      </c>
      <c r="Q2801" t="s">
        <v>3870</v>
      </c>
      <c r="R2801" t="s">
        <v>248</v>
      </c>
      <c r="S2801">
        <v>152.74975900000001</v>
      </c>
      <c r="T2801" s="1095">
        <v>-28.927859999999999</v>
      </c>
    </row>
    <row r="2802" spans="16:20">
      <c r="P2802" s="1094">
        <v>2470</v>
      </c>
      <c r="Q2802" t="s">
        <v>3871</v>
      </c>
      <c r="R2802" t="s">
        <v>248</v>
      </c>
      <c r="S2802">
        <v>152.74975900000001</v>
      </c>
      <c r="T2802" s="1095">
        <v>-28.927859999999999</v>
      </c>
    </row>
    <row r="2803" spans="16:20">
      <c r="P2803" s="1094">
        <v>2470</v>
      </c>
      <c r="Q2803" t="s">
        <v>3872</v>
      </c>
      <c r="R2803" t="s">
        <v>248</v>
      </c>
      <c r="S2803">
        <v>152.74975900000001</v>
      </c>
      <c r="T2803" s="1095">
        <v>-28.927859999999999</v>
      </c>
    </row>
    <row r="2804" spans="16:20">
      <c r="P2804" s="1094">
        <v>2470</v>
      </c>
      <c r="Q2804" t="s">
        <v>3873</v>
      </c>
      <c r="R2804" t="s">
        <v>248</v>
      </c>
      <c r="S2804">
        <v>152.74975900000001</v>
      </c>
      <c r="T2804" s="1095">
        <v>-28.927859999999999</v>
      </c>
    </row>
    <row r="2805" spans="16:20">
      <c r="P2805" s="1094">
        <v>2470</v>
      </c>
      <c r="Q2805" t="s">
        <v>3874</v>
      </c>
      <c r="R2805" t="s">
        <v>248</v>
      </c>
      <c r="S2805">
        <v>152.74975900000001</v>
      </c>
      <c r="T2805" s="1095">
        <v>-28.927859999999999</v>
      </c>
    </row>
    <row r="2806" spans="16:20">
      <c r="P2806" s="1094">
        <v>2470</v>
      </c>
      <c r="Q2806" t="s">
        <v>3875</v>
      </c>
      <c r="R2806" t="s">
        <v>248</v>
      </c>
      <c r="S2806">
        <v>152.74975900000001</v>
      </c>
      <c r="T2806" s="1095">
        <v>-28.927859999999999</v>
      </c>
    </row>
    <row r="2807" spans="16:20">
      <c r="P2807" s="1094">
        <v>2470</v>
      </c>
      <c r="Q2807" t="s">
        <v>3876</v>
      </c>
      <c r="R2807" t="s">
        <v>248</v>
      </c>
      <c r="S2807">
        <v>152.74975900000001</v>
      </c>
      <c r="T2807" s="1095">
        <v>-28.927859999999999</v>
      </c>
    </row>
    <row r="2808" spans="16:20">
      <c r="P2808" s="1094">
        <v>2470</v>
      </c>
      <c r="Q2808" t="s">
        <v>3877</v>
      </c>
      <c r="R2808" t="s">
        <v>248</v>
      </c>
      <c r="S2808">
        <v>152.74975900000001</v>
      </c>
      <c r="T2808" s="1095">
        <v>-28.927859999999999</v>
      </c>
    </row>
    <row r="2809" spans="16:20">
      <c r="P2809" s="1094">
        <v>2471</v>
      </c>
      <c r="Q2809" t="s">
        <v>3878</v>
      </c>
      <c r="R2809" t="s">
        <v>248</v>
      </c>
      <c r="S2809">
        <v>153.243213</v>
      </c>
      <c r="T2809" s="1095">
        <v>-29.018999000000001</v>
      </c>
    </row>
    <row r="2810" spans="16:20">
      <c r="P2810" s="1094">
        <v>2471</v>
      </c>
      <c r="Q2810" t="s">
        <v>3879</v>
      </c>
      <c r="R2810" t="s">
        <v>248</v>
      </c>
      <c r="S2810">
        <v>153.243213</v>
      </c>
      <c r="T2810" s="1095">
        <v>-29.018999000000001</v>
      </c>
    </row>
    <row r="2811" spans="16:20">
      <c r="P2811" s="1094">
        <v>2471</v>
      </c>
      <c r="Q2811" t="s">
        <v>3880</v>
      </c>
      <c r="R2811" t="s">
        <v>248</v>
      </c>
      <c r="S2811">
        <v>153.243213</v>
      </c>
      <c r="T2811" s="1095">
        <v>-29.018999000000001</v>
      </c>
    </row>
    <row r="2812" spans="16:20">
      <c r="P2812" s="1094">
        <v>2471</v>
      </c>
      <c r="Q2812" t="s">
        <v>3881</v>
      </c>
      <c r="R2812" t="s">
        <v>248</v>
      </c>
      <c r="S2812">
        <v>153.243213</v>
      </c>
      <c r="T2812" s="1095">
        <v>-29.018999000000001</v>
      </c>
    </row>
    <row r="2813" spans="16:20">
      <c r="P2813" s="1094">
        <v>2471</v>
      </c>
      <c r="Q2813" t="s">
        <v>3882</v>
      </c>
      <c r="R2813" t="s">
        <v>248</v>
      </c>
      <c r="S2813">
        <v>153.243213</v>
      </c>
      <c r="T2813" s="1095">
        <v>-29.018999000000001</v>
      </c>
    </row>
    <row r="2814" spans="16:20">
      <c r="P2814" s="1094">
        <v>2471</v>
      </c>
      <c r="Q2814" t="s">
        <v>2677</v>
      </c>
      <c r="R2814" t="s">
        <v>248</v>
      </c>
      <c r="S2814">
        <v>153.243213</v>
      </c>
      <c r="T2814" s="1095">
        <v>-29.018999000000001</v>
      </c>
    </row>
    <row r="2815" spans="16:20">
      <c r="P2815" s="1094">
        <v>2471</v>
      </c>
      <c r="Q2815" t="s">
        <v>3883</v>
      </c>
      <c r="R2815" t="s">
        <v>248</v>
      </c>
      <c r="S2815">
        <v>153.243213</v>
      </c>
      <c r="T2815" s="1095">
        <v>-29.018999000000001</v>
      </c>
    </row>
    <row r="2816" spans="16:20">
      <c r="P2816" s="1094">
        <v>2472</v>
      </c>
      <c r="Q2816" t="s">
        <v>3884</v>
      </c>
      <c r="R2816" t="s">
        <v>248</v>
      </c>
      <c r="S2816">
        <v>153.303855</v>
      </c>
      <c r="T2816" s="1095">
        <v>-29.156770999999999</v>
      </c>
    </row>
    <row r="2817" spans="16:20">
      <c r="P2817" s="1094">
        <v>2472</v>
      </c>
      <c r="Q2817" t="s">
        <v>3885</v>
      </c>
      <c r="R2817" t="s">
        <v>248</v>
      </c>
      <c r="S2817">
        <v>153.303855</v>
      </c>
      <c r="T2817" s="1095">
        <v>-29.156770999999999</v>
      </c>
    </row>
    <row r="2818" spans="16:20">
      <c r="P2818" s="1094">
        <v>2472</v>
      </c>
      <c r="Q2818" t="s">
        <v>3886</v>
      </c>
      <c r="R2818" t="s">
        <v>248</v>
      </c>
      <c r="S2818">
        <v>153.303855</v>
      </c>
      <c r="T2818" s="1095">
        <v>-29.156770999999999</v>
      </c>
    </row>
    <row r="2819" spans="16:20">
      <c r="P2819" s="1094">
        <v>2472</v>
      </c>
      <c r="Q2819" t="s">
        <v>3887</v>
      </c>
      <c r="R2819" t="s">
        <v>248</v>
      </c>
      <c r="S2819">
        <v>153.303855</v>
      </c>
      <c r="T2819" s="1095">
        <v>-29.156770999999999</v>
      </c>
    </row>
    <row r="2820" spans="16:20">
      <c r="P2820" s="1094">
        <v>2472</v>
      </c>
      <c r="Q2820" t="s">
        <v>3888</v>
      </c>
      <c r="R2820" t="s">
        <v>248</v>
      </c>
      <c r="S2820">
        <v>153.303855</v>
      </c>
      <c r="T2820" s="1095">
        <v>-29.156770999999999</v>
      </c>
    </row>
    <row r="2821" spans="16:20">
      <c r="P2821" s="1094">
        <v>2472</v>
      </c>
      <c r="Q2821" t="s">
        <v>3889</v>
      </c>
      <c r="R2821" t="s">
        <v>248</v>
      </c>
      <c r="S2821">
        <v>153.303855</v>
      </c>
      <c r="T2821" s="1095">
        <v>-29.156770999999999</v>
      </c>
    </row>
    <row r="2822" spans="16:20">
      <c r="P2822" s="1094">
        <v>2472</v>
      </c>
      <c r="Q2822" t="s">
        <v>3890</v>
      </c>
      <c r="R2822" t="s">
        <v>248</v>
      </c>
      <c r="S2822">
        <v>153.303855</v>
      </c>
      <c r="T2822" s="1095">
        <v>-29.156770999999999</v>
      </c>
    </row>
    <row r="2823" spans="16:20">
      <c r="P2823" s="1094">
        <v>2473</v>
      </c>
      <c r="Q2823" t="s">
        <v>3891</v>
      </c>
      <c r="R2823" t="s">
        <v>248</v>
      </c>
      <c r="S2823">
        <v>153.43269000000001</v>
      </c>
      <c r="T2823" s="1095">
        <v>-29.130196999999999</v>
      </c>
    </row>
    <row r="2824" spans="16:20">
      <c r="P2824" s="1094">
        <v>2474</v>
      </c>
      <c r="Q2824" t="s">
        <v>3892</v>
      </c>
      <c r="R2824" t="s">
        <v>248</v>
      </c>
      <c r="S2824">
        <v>152.88504</v>
      </c>
      <c r="T2824" s="1095">
        <v>-28.499375000000001</v>
      </c>
    </row>
    <row r="2825" spans="16:20">
      <c r="P2825" s="1094">
        <v>2474</v>
      </c>
      <c r="Q2825" t="s">
        <v>3893</v>
      </c>
      <c r="R2825" t="s">
        <v>248</v>
      </c>
      <c r="S2825">
        <v>152.88504</v>
      </c>
      <c r="T2825" s="1095">
        <v>-28.499375000000001</v>
      </c>
    </row>
    <row r="2826" spans="16:20">
      <c r="P2826" s="1094">
        <v>2474</v>
      </c>
      <c r="Q2826" t="s">
        <v>3894</v>
      </c>
      <c r="R2826" t="s">
        <v>248</v>
      </c>
      <c r="S2826">
        <v>152.88504</v>
      </c>
      <c r="T2826" s="1095">
        <v>-28.499375000000001</v>
      </c>
    </row>
    <row r="2827" spans="16:20">
      <c r="P2827" s="1094">
        <v>2474</v>
      </c>
      <c r="Q2827" t="s">
        <v>3895</v>
      </c>
      <c r="R2827" t="s">
        <v>248</v>
      </c>
      <c r="S2827">
        <v>152.88504</v>
      </c>
      <c r="T2827" s="1095">
        <v>-28.499375000000001</v>
      </c>
    </row>
    <row r="2828" spans="16:20">
      <c r="P2828" s="1094">
        <v>2474</v>
      </c>
      <c r="Q2828" t="s">
        <v>3896</v>
      </c>
      <c r="R2828" t="s">
        <v>248</v>
      </c>
      <c r="S2828">
        <v>152.88504</v>
      </c>
      <c r="T2828" s="1095">
        <v>-28.499375000000001</v>
      </c>
    </row>
    <row r="2829" spans="16:20">
      <c r="P2829" s="1094">
        <v>2474</v>
      </c>
      <c r="Q2829" t="s">
        <v>3897</v>
      </c>
      <c r="R2829" t="s">
        <v>248</v>
      </c>
      <c r="S2829">
        <v>152.88504</v>
      </c>
      <c r="T2829" s="1095">
        <v>-28.499375000000001</v>
      </c>
    </row>
    <row r="2830" spans="16:20">
      <c r="P2830" s="1094">
        <v>2474</v>
      </c>
      <c r="Q2830" t="s">
        <v>3898</v>
      </c>
      <c r="R2830" t="s">
        <v>248</v>
      </c>
      <c r="S2830">
        <v>152.88504</v>
      </c>
      <c r="T2830" s="1095">
        <v>-28.499375000000001</v>
      </c>
    </row>
    <row r="2831" spans="16:20">
      <c r="P2831" s="1094">
        <v>2474</v>
      </c>
      <c r="Q2831" t="s">
        <v>3899</v>
      </c>
      <c r="R2831" t="s">
        <v>248</v>
      </c>
      <c r="S2831">
        <v>152.88504</v>
      </c>
      <c r="T2831" s="1095">
        <v>-28.499375000000001</v>
      </c>
    </row>
    <row r="2832" spans="16:20">
      <c r="P2832" s="1094">
        <v>2474</v>
      </c>
      <c r="Q2832" t="s">
        <v>3900</v>
      </c>
      <c r="R2832" t="s">
        <v>248</v>
      </c>
      <c r="S2832">
        <v>152.88504</v>
      </c>
      <c r="T2832" s="1095">
        <v>-28.499375000000001</v>
      </c>
    </row>
    <row r="2833" spans="16:20">
      <c r="P2833" s="1094">
        <v>2474</v>
      </c>
      <c r="Q2833" t="s">
        <v>3901</v>
      </c>
      <c r="R2833" t="s">
        <v>248</v>
      </c>
      <c r="S2833">
        <v>152.88504</v>
      </c>
      <c r="T2833" s="1095">
        <v>-28.499375000000001</v>
      </c>
    </row>
    <row r="2834" spans="16:20">
      <c r="P2834" s="1094">
        <v>2474</v>
      </c>
      <c r="Q2834" t="s">
        <v>3902</v>
      </c>
      <c r="R2834" t="s">
        <v>248</v>
      </c>
      <c r="S2834">
        <v>152.88504</v>
      </c>
      <c r="T2834" s="1095">
        <v>-28.499375000000001</v>
      </c>
    </row>
    <row r="2835" spans="16:20">
      <c r="P2835" s="1094">
        <v>2474</v>
      </c>
      <c r="Q2835" t="s">
        <v>3903</v>
      </c>
      <c r="R2835" t="s">
        <v>248</v>
      </c>
      <c r="S2835">
        <v>152.88504</v>
      </c>
      <c r="T2835" s="1095">
        <v>-28.499375000000001</v>
      </c>
    </row>
    <row r="2836" spans="16:20">
      <c r="P2836" s="1094">
        <v>2474</v>
      </c>
      <c r="Q2836" t="s">
        <v>3904</v>
      </c>
      <c r="R2836" t="s">
        <v>248</v>
      </c>
      <c r="S2836">
        <v>152.88504</v>
      </c>
      <c r="T2836" s="1095">
        <v>-28.499375000000001</v>
      </c>
    </row>
    <row r="2837" spans="16:20">
      <c r="P2837" s="1094">
        <v>2474</v>
      </c>
      <c r="Q2837" t="s">
        <v>3905</v>
      </c>
      <c r="R2837" t="s">
        <v>248</v>
      </c>
      <c r="S2837">
        <v>152.88504</v>
      </c>
      <c r="T2837" s="1095">
        <v>-28.499375000000001</v>
      </c>
    </row>
    <row r="2838" spans="16:20">
      <c r="P2838" s="1094">
        <v>2474</v>
      </c>
      <c r="Q2838" t="s">
        <v>3906</v>
      </c>
      <c r="R2838" t="s">
        <v>248</v>
      </c>
      <c r="S2838">
        <v>152.88504</v>
      </c>
      <c r="T2838" s="1095">
        <v>-28.499375000000001</v>
      </c>
    </row>
    <row r="2839" spans="16:20">
      <c r="P2839" s="1094">
        <v>2474</v>
      </c>
      <c r="Q2839" t="s">
        <v>3907</v>
      </c>
      <c r="R2839" t="s">
        <v>248</v>
      </c>
      <c r="S2839">
        <v>152.88504</v>
      </c>
      <c r="T2839" s="1095">
        <v>-28.499375000000001</v>
      </c>
    </row>
    <row r="2840" spans="16:20">
      <c r="P2840" s="1094">
        <v>2474</v>
      </c>
      <c r="Q2840" t="s">
        <v>3908</v>
      </c>
      <c r="R2840" t="s">
        <v>248</v>
      </c>
      <c r="S2840">
        <v>152.88504</v>
      </c>
      <c r="T2840" s="1095">
        <v>-28.499375000000001</v>
      </c>
    </row>
    <row r="2841" spans="16:20">
      <c r="P2841" s="1094">
        <v>2474</v>
      </c>
      <c r="Q2841" t="s">
        <v>3909</v>
      </c>
      <c r="R2841" t="s">
        <v>248</v>
      </c>
      <c r="S2841">
        <v>152.88504</v>
      </c>
      <c r="T2841" s="1095">
        <v>-28.499375000000001</v>
      </c>
    </row>
    <row r="2842" spans="16:20">
      <c r="P2842" s="1094">
        <v>2474</v>
      </c>
      <c r="Q2842" t="s">
        <v>3910</v>
      </c>
      <c r="R2842" t="s">
        <v>248</v>
      </c>
      <c r="S2842">
        <v>152.88504</v>
      </c>
      <c r="T2842" s="1095">
        <v>-28.499375000000001</v>
      </c>
    </row>
    <row r="2843" spans="16:20">
      <c r="P2843" s="1094">
        <v>2474</v>
      </c>
      <c r="Q2843" t="s">
        <v>3911</v>
      </c>
      <c r="R2843" t="s">
        <v>248</v>
      </c>
      <c r="S2843">
        <v>152.88504</v>
      </c>
      <c r="T2843" s="1095">
        <v>-28.499375000000001</v>
      </c>
    </row>
    <row r="2844" spans="16:20">
      <c r="P2844" s="1094">
        <v>2474</v>
      </c>
      <c r="Q2844" t="s">
        <v>3912</v>
      </c>
      <c r="R2844" t="s">
        <v>248</v>
      </c>
      <c r="S2844">
        <v>152.88504</v>
      </c>
      <c r="T2844" s="1095">
        <v>-28.499375000000001</v>
      </c>
    </row>
    <row r="2845" spans="16:20">
      <c r="P2845" s="1094">
        <v>2474</v>
      </c>
      <c r="Q2845" t="s">
        <v>3913</v>
      </c>
      <c r="R2845" t="s">
        <v>248</v>
      </c>
      <c r="S2845">
        <v>152.88504</v>
      </c>
      <c r="T2845" s="1095">
        <v>-28.499375000000001</v>
      </c>
    </row>
    <row r="2846" spans="16:20">
      <c r="P2846" s="1094">
        <v>2474</v>
      </c>
      <c r="Q2846" t="s">
        <v>3914</v>
      </c>
      <c r="R2846" t="s">
        <v>248</v>
      </c>
      <c r="S2846">
        <v>152.88504</v>
      </c>
      <c r="T2846" s="1095">
        <v>-28.499375000000001</v>
      </c>
    </row>
    <row r="2847" spans="16:20">
      <c r="P2847" s="1094">
        <v>2474</v>
      </c>
      <c r="Q2847" t="s">
        <v>3915</v>
      </c>
      <c r="R2847" t="s">
        <v>248</v>
      </c>
      <c r="S2847">
        <v>152.88504</v>
      </c>
      <c r="T2847" s="1095">
        <v>-28.499375000000001</v>
      </c>
    </row>
    <row r="2848" spans="16:20">
      <c r="P2848" s="1094">
        <v>2474</v>
      </c>
      <c r="Q2848" t="s">
        <v>3916</v>
      </c>
      <c r="R2848" t="s">
        <v>248</v>
      </c>
      <c r="S2848">
        <v>152.88504</v>
      </c>
      <c r="T2848" s="1095">
        <v>-28.499375000000001</v>
      </c>
    </row>
    <row r="2849" spans="16:20">
      <c r="P2849" s="1094">
        <v>2474</v>
      </c>
      <c r="Q2849" t="s">
        <v>3917</v>
      </c>
      <c r="R2849" t="s">
        <v>248</v>
      </c>
      <c r="S2849">
        <v>152.88504</v>
      </c>
      <c r="T2849" s="1095">
        <v>-28.499375000000001</v>
      </c>
    </row>
    <row r="2850" spans="16:20">
      <c r="P2850" s="1094">
        <v>2474</v>
      </c>
      <c r="Q2850" t="s">
        <v>3918</v>
      </c>
      <c r="R2850" t="s">
        <v>248</v>
      </c>
      <c r="S2850">
        <v>152.88504</v>
      </c>
      <c r="T2850" s="1095">
        <v>-28.499375000000001</v>
      </c>
    </row>
    <row r="2851" spans="16:20">
      <c r="P2851" s="1094">
        <v>2474</v>
      </c>
      <c r="Q2851" t="s">
        <v>3919</v>
      </c>
      <c r="R2851" t="s">
        <v>248</v>
      </c>
      <c r="S2851">
        <v>152.88504</v>
      </c>
      <c r="T2851" s="1095">
        <v>-28.499375000000001</v>
      </c>
    </row>
    <row r="2852" spans="16:20">
      <c r="P2852" s="1094">
        <v>2474</v>
      </c>
      <c r="Q2852" t="s">
        <v>3920</v>
      </c>
      <c r="R2852" t="s">
        <v>248</v>
      </c>
      <c r="S2852">
        <v>152.88504</v>
      </c>
      <c r="T2852" s="1095">
        <v>-28.499375000000001</v>
      </c>
    </row>
    <row r="2853" spans="16:20">
      <c r="P2853" s="1094">
        <v>2474</v>
      </c>
      <c r="Q2853" t="s">
        <v>3921</v>
      </c>
      <c r="R2853" t="s">
        <v>248</v>
      </c>
      <c r="S2853">
        <v>152.88504</v>
      </c>
      <c r="T2853" s="1095">
        <v>-28.499375000000001</v>
      </c>
    </row>
    <row r="2854" spans="16:20">
      <c r="P2854" s="1094">
        <v>2474</v>
      </c>
      <c r="Q2854" t="s">
        <v>3922</v>
      </c>
      <c r="R2854" t="s">
        <v>248</v>
      </c>
      <c r="S2854">
        <v>152.88504</v>
      </c>
      <c r="T2854" s="1095">
        <v>-28.499375000000001</v>
      </c>
    </row>
    <row r="2855" spans="16:20">
      <c r="P2855" s="1094">
        <v>2475</v>
      </c>
      <c r="Q2855" t="s">
        <v>3923</v>
      </c>
      <c r="R2855" t="s">
        <v>248</v>
      </c>
      <c r="S2855">
        <v>152.388341</v>
      </c>
      <c r="T2855" s="1095">
        <v>-28.546257000000001</v>
      </c>
    </row>
    <row r="2856" spans="16:20">
      <c r="P2856" s="1094">
        <v>2475</v>
      </c>
      <c r="Q2856" t="s">
        <v>3924</v>
      </c>
      <c r="R2856" t="s">
        <v>248</v>
      </c>
      <c r="S2856">
        <v>152.388341</v>
      </c>
      <c r="T2856" s="1095">
        <v>-28.546257000000001</v>
      </c>
    </row>
    <row r="2857" spans="16:20">
      <c r="P2857" s="1094">
        <v>2475</v>
      </c>
      <c r="Q2857" t="s">
        <v>3925</v>
      </c>
      <c r="R2857" t="s">
        <v>248</v>
      </c>
      <c r="S2857">
        <v>152.388341</v>
      </c>
      <c r="T2857" s="1095">
        <v>-28.546257000000001</v>
      </c>
    </row>
    <row r="2858" spans="16:20">
      <c r="P2858" s="1094">
        <v>2475</v>
      </c>
      <c r="Q2858" t="s">
        <v>3926</v>
      </c>
      <c r="R2858" t="s">
        <v>248</v>
      </c>
      <c r="S2858">
        <v>152.388341</v>
      </c>
      <c r="T2858" s="1095">
        <v>-28.546257000000001</v>
      </c>
    </row>
    <row r="2859" spans="16:20">
      <c r="P2859" s="1094">
        <v>2476</v>
      </c>
      <c r="Q2859" t="s">
        <v>3927</v>
      </c>
      <c r="R2859" t="s">
        <v>248</v>
      </c>
      <c r="S2859">
        <v>152.49764999999999</v>
      </c>
      <c r="T2859" s="1095">
        <v>-28.364560000000001</v>
      </c>
    </row>
    <row r="2860" spans="16:20">
      <c r="P2860" s="1094">
        <v>2476</v>
      </c>
      <c r="Q2860" t="s">
        <v>3928</v>
      </c>
      <c r="R2860" t="s">
        <v>248</v>
      </c>
      <c r="S2860">
        <v>152.49764999999999</v>
      </c>
      <c r="T2860" s="1095">
        <v>-28.364560000000001</v>
      </c>
    </row>
    <row r="2861" spans="16:20">
      <c r="P2861" s="1094">
        <v>2476</v>
      </c>
      <c r="Q2861" t="s">
        <v>3929</v>
      </c>
      <c r="R2861" t="s">
        <v>248</v>
      </c>
      <c r="S2861">
        <v>152.49764999999999</v>
      </c>
      <c r="T2861" s="1095">
        <v>-28.364560000000001</v>
      </c>
    </row>
    <row r="2862" spans="16:20">
      <c r="P2862" s="1094">
        <v>2476</v>
      </c>
      <c r="Q2862" t="s">
        <v>3930</v>
      </c>
      <c r="R2862" t="s">
        <v>248</v>
      </c>
      <c r="S2862">
        <v>152.49764999999999</v>
      </c>
      <c r="T2862" s="1095">
        <v>-28.364560000000001</v>
      </c>
    </row>
    <row r="2863" spans="16:20">
      <c r="P2863" s="1094">
        <v>2476</v>
      </c>
      <c r="Q2863" t="s">
        <v>3931</v>
      </c>
      <c r="R2863" t="s">
        <v>248</v>
      </c>
      <c r="S2863">
        <v>152.49764999999999</v>
      </c>
      <c r="T2863" s="1095">
        <v>-28.364560000000001</v>
      </c>
    </row>
    <row r="2864" spans="16:20">
      <c r="P2864" s="1094">
        <v>2476</v>
      </c>
      <c r="Q2864" t="s">
        <v>3932</v>
      </c>
      <c r="R2864" t="s">
        <v>248</v>
      </c>
      <c r="S2864">
        <v>152.49764999999999</v>
      </c>
      <c r="T2864" s="1095">
        <v>-28.364560000000001</v>
      </c>
    </row>
    <row r="2865" spans="16:20">
      <c r="P2865" s="1094">
        <v>2476</v>
      </c>
      <c r="Q2865" t="s">
        <v>3933</v>
      </c>
      <c r="R2865" t="s">
        <v>248</v>
      </c>
      <c r="S2865">
        <v>152.49764999999999</v>
      </c>
      <c r="T2865" s="1095">
        <v>-28.364560000000001</v>
      </c>
    </row>
    <row r="2866" spans="16:20">
      <c r="P2866" s="1094">
        <v>2476</v>
      </c>
      <c r="Q2866" t="s">
        <v>3934</v>
      </c>
      <c r="R2866" t="s">
        <v>248</v>
      </c>
      <c r="S2866">
        <v>152.49764999999999</v>
      </c>
      <c r="T2866" s="1095">
        <v>-28.364560000000001</v>
      </c>
    </row>
    <row r="2867" spans="16:20">
      <c r="P2867" s="1094">
        <v>2476</v>
      </c>
      <c r="Q2867" t="s">
        <v>3935</v>
      </c>
      <c r="R2867" t="s">
        <v>248</v>
      </c>
      <c r="S2867">
        <v>152.49764999999999</v>
      </c>
      <c r="T2867" s="1095">
        <v>-28.364560000000001</v>
      </c>
    </row>
    <row r="2868" spans="16:20">
      <c r="P2868" s="1094">
        <v>2477</v>
      </c>
      <c r="Q2868" t="s">
        <v>3936</v>
      </c>
      <c r="R2868" t="s">
        <v>248</v>
      </c>
      <c r="S2868">
        <v>153.427314</v>
      </c>
      <c r="T2868" s="1095">
        <v>-28.907675000000001</v>
      </c>
    </row>
    <row r="2869" spans="16:20">
      <c r="P2869" s="1094">
        <v>2477</v>
      </c>
      <c r="Q2869" t="s">
        <v>3937</v>
      </c>
      <c r="R2869" t="s">
        <v>248</v>
      </c>
      <c r="S2869">
        <v>153.427314</v>
      </c>
      <c r="T2869" s="1095">
        <v>-28.907675000000001</v>
      </c>
    </row>
    <row r="2870" spans="16:20">
      <c r="P2870" s="1094">
        <v>2477</v>
      </c>
      <c r="Q2870" t="s">
        <v>3938</v>
      </c>
      <c r="R2870" t="s">
        <v>248</v>
      </c>
      <c r="S2870">
        <v>153.427314</v>
      </c>
      <c r="T2870" s="1095">
        <v>-28.907675000000001</v>
      </c>
    </row>
    <row r="2871" spans="16:20">
      <c r="P2871" s="1094">
        <v>2477</v>
      </c>
      <c r="Q2871" t="s">
        <v>3939</v>
      </c>
      <c r="R2871" t="s">
        <v>248</v>
      </c>
      <c r="S2871">
        <v>153.427314</v>
      </c>
      <c r="T2871" s="1095">
        <v>-28.907675000000001</v>
      </c>
    </row>
    <row r="2872" spans="16:20">
      <c r="P2872" s="1094">
        <v>2477</v>
      </c>
      <c r="Q2872" t="s">
        <v>2810</v>
      </c>
      <c r="R2872" t="s">
        <v>248</v>
      </c>
      <c r="S2872">
        <v>153.427314</v>
      </c>
      <c r="T2872" s="1095">
        <v>-28.907675000000001</v>
      </c>
    </row>
    <row r="2873" spans="16:20">
      <c r="P2873" s="1094">
        <v>2477</v>
      </c>
      <c r="Q2873" t="s">
        <v>3940</v>
      </c>
      <c r="R2873" t="s">
        <v>248</v>
      </c>
      <c r="S2873">
        <v>153.427314</v>
      </c>
      <c r="T2873" s="1095">
        <v>-28.907675000000001</v>
      </c>
    </row>
    <row r="2874" spans="16:20">
      <c r="P2874" s="1094">
        <v>2477</v>
      </c>
      <c r="Q2874" t="s">
        <v>3941</v>
      </c>
      <c r="R2874" t="s">
        <v>248</v>
      </c>
      <c r="S2874">
        <v>153.427314</v>
      </c>
      <c r="T2874" s="1095">
        <v>-28.907675000000001</v>
      </c>
    </row>
    <row r="2875" spans="16:20">
      <c r="P2875" s="1094">
        <v>2477</v>
      </c>
      <c r="Q2875" t="s">
        <v>3942</v>
      </c>
      <c r="R2875" t="s">
        <v>248</v>
      </c>
      <c r="S2875">
        <v>153.427314</v>
      </c>
      <c r="T2875" s="1095">
        <v>-28.907675000000001</v>
      </c>
    </row>
    <row r="2876" spans="16:20">
      <c r="P2876" s="1094">
        <v>2477</v>
      </c>
      <c r="Q2876" t="s">
        <v>3943</v>
      </c>
      <c r="R2876" t="s">
        <v>248</v>
      </c>
      <c r="S2876">
        <v>153.427314</v>
      </c>
      <c r="T2876" s="1095">
        <v>-28.907675000000001</v>
      </c>
    </row>
    <row r="2877" spans="16:20">
      <c r="P2877" s="1094">
        <v>2477</v>
      </c>
      <c r="Q2877" t="s">
        <v>3944</v>
      </c>
      <c r="R2877" t="s">
        <v>248</v>
      </c>
      <c r="S2877">
        <v>153.427314</v>
      </c>
      <c r="T2877" s="1095">
        <v>-28.907675000000001</v>
      </c>
    </row>
    <row r="2878" spans="16:20">
      <c r="P2878" s="1094">
        <v>2477</v>
      </c>
      <c r="Q2878" t="s">
        <v>3945</v>
      </c>
      <c r="R2878" t="s">
        <v>248</v>
      </c>
      <c r="S2878">
        <v>153.427314</v>
      </c>
      <c r="T2878" s="1095">
        <v>-28.907675000000001</v>
      </c>
    </row>
    <row r="2879" spans="16:20">
      <c r="P2879" s="1094">
        <v>2477</v>
      </c>
      <c r="Q2879" t="s">
        <v>3946</v>
      </c>
      <c r="R2879" t="s">
        <v>248</v>
      </c>
      <c r="S2879">
        <v>153.427314</v>
      </c>
      <c r="T2879" s="1095">
        <v>-28.907675000000001</v>
      </c>
    </row>
    <row r="2880" spans="16:20">
      <c r="P2880" s="1094">
        <v>2477</v>
      </c>
      <c r="Q2880" t="s">
        <v>3947</v>
      </c>
      <c r="R2880" t="s">
        <v>248</v>
      </c>
      <c r="S2880">
        <v>153.427314</v>
      </c>
      <c r="T2880" s="1095">
        <v>-28.907675000000001</v>
      </c>
    </row>
    <row r="2881" spans="16:20">
      <c r="P2881" s="1094">
        <v>2477</v>
      </c>
      <c r="Q2881" t="s">
        <v>3948</v>
      </c>
      <c r="R2881" t="s">
        <v>248</v>
      </c>
      <c r="S2881">
        <v>153.427314</v>
      </c>
      <c r="T2881" s="1095">
        <v>-28.907675000000001</v>
      </c>
    </row>
    <row r="2882" spans="16:20">
      <c r="P2882" s="1094">
        <v>2477</v>
      </c>
      <c r="Q2882" t="s">
        <v>3949</v>
      </c>
      <c r="R2882" t="s">
        <v>248</v>
      </c>
      <c r="S2882">
        <v>153.427314</v>
      </c>
      <c r="T2882" s="1095">
        <v>-28.907675000000001</v>
      </c>
    </row>
    <row r="2883" spans="16:20">
      <c r="P2883" s="1094">
        <v>2478</v>
      </c>
      <c r="Q2883" t="s">
        <v>3950</v>
      </c>
      <c r="R2883" t="s">
        <v>248</v>
      </c>
      <c r="S2883">
        <v>153.53247500000001</v>
      </c>
      <c r="T2883" s="1095">
        <v>-28.865483000000001</v>
      </c>
    </row>
    <row r="2884" spans="16:20">
      <c r="P2884" s="1094">
        <v>2478</v>
      </c>
      <c r="Q2884" t="s">
        <v>3951</v>
      </c>
      <c r="R2884" t="s">
        <v>248</v>
      </c>
      <c r="S2884">
        <v>153.53247500000001</v>
      </c>
      <c r="T2884" s="1095">
        <v>-28.865483000000001</v>
      </c>
    </row>
    <row r="2885" spans="16:20">
      <c r="P2885" s="1094">
        <v>2478</v>
      </c>
      <c r="Q2885" t="s">
        <v>3952</v>
      </c>
      <c r="R2885" t="s">
        <v>248</v>
      </c>
      <c r="S2885">
        <v>153.53247500000001</v>
      </c>
      <c r="T2885" s="1095">
        <v>-28.865483000000001</v>
      </c>
    </row>
    <row r="2886" spans="16:20">
      <c r="P2886" s="1094">
        <v>2478</v>
      </c>
      <c r="Q2886" t="s">
        <v>3953</v>
      </c>
      <c r="R2886" t="s">
        <v>248</v>
      </c>
      <c r="S2886">
        <v>153.53247500000001</v>
      </c>
      <c r="T2886" s="1095">
        <v>-28.865483000000001</v>
      </c>
    </row>
    <row r="2887" spans="16:20">
      <c r="P2887" s="1094">
        <v>2478</v>
      </c>
      <c r="Q2887" t="s">
        <v>3954</v>
      </c>
      <c r="R2887" t="s">
        <v>248</v>
      </c>
      <c r="S2887">
        <v>153.53247500000001</v>
      </c>
      <c r="T2887" s="1095">
        <v>-28.865483000000001</v>
      </c>
    </row>
    <row r="2888" spans="16:20">
      <c r="P2888" s="1094">
        <v>2478</v>
      </c>
      <c r="Q2888" t="s">
        <v>3955</v>
      </c>
      <c r="R2888" t="s">
        <v>248</v>
      </c>
      <c r="S2888">
        <v>153.53247500000001</v>
      </c>
      <c r="T2888" s="1095">
        <v>-28.865483000000001</v>
      </c>
    </row>
    <row r="2889" spans="16:20">
      <c r="P2889" s="1094">
        <v>2478</v>
      </c>
      <c r="Q2889" t="s">
        <v>3956</v>
      </c>
      <c r="R2889" t="s">
        <v>248</v>
      </c>
      <c r="S2889">
        <v>153.53247500000001</v>
      </c>
      <c r="T2889" s="1095">
        <v>-28.865483000000001</v>
      </c>
    </row>
    <row r="2890" spans="16:20">
      <c r="P2890" s="1094">
        <v>2478</v>
      </c>
      <c r="Q2890" t="s">
        <v>3957</v>
      </c>
      <c r="R2890" t="s">
        <v>248</v>
      </c>
      <c r="S2890">
        <v>153.53247500000001</v>
      </c>
      <c r="T2890" s="1095">
        <v>-28.865483000000001</v>
      </c>
    </row>
    <row r="2891" spans="16:20">
      <c r="P2891" s="1094">
        <v>2478</v>
      </c>
      <c r="Q2891" t="s">
        <v>3958</v>
      </c>
      <c r="R2891" t="s">
        <v>248</v>
      </c>
      <c r="S2891">
        <v>153.53247500000001</v>
      </c>
      <c r="T2891" s="1095">
        <v>-28.865483000000001</v>
      </c>
    </row>
    <row r="2892" spans="16:20">
      <c r="P2892" s="1094">
        <v>2478</v>
      </c>
      <c r="Q2892" t="s">
        <v>3959</v>
      </c>
      <c r="R2892" t="s">
        <v>248</v>
      </c>
      <c r="S2892">
        <v>153.53247500000001</v>
      </c>
      <c r="T2892" s="1095">
        <v>-28.865483000000001</v>
      </c>
    </row>
    <row r="2893" spans="16:20">
      <c r="P2893" s="1094">
        <v>2478</v>
      </c>
      <c r="Q2893" t="s">
        <v>3960</v>
      </c>
      <c r="R2893" t="s">
        <v>248</v>
      </c>
      <c r="S2893">
        <v>153.53247500000001</v>
      </c>
      <c r="T2893" s="1095">
        <v>-28.865483000000001</v>
      </c>
    </row>
    <row r="2894" spans="16:20">
      <c r="P2894" s="1094">
        <v>2478</v>
      </c>
      <c r="Q2894" t="s">
        <v>3961</v>
      </c>
      <c r="R2894" t="s">
        <v>248</v>
      </c>
      <c r="S2894">
        <v>153.53247500000001</v>
      </c>
      <c r="T2894" s="1095">
        <v>-28.865483000000001</v>
      </c>
    </row>
    <row r="2895" spans="16:20">
      <c r="P2895" s="1094">
        <v>2478</v>
      </c>
      <c r="Q2895" t="s">
        <v>3962</v>
      </c>
      <c r="R2895" t="s">
        <v>248</v>
      </c>
      <c r="S2895">
        <v>153.53247500000001</v>
      </c>
      <c r="T2895" s="1095">
        <v>-28.865483000000001</v>
      </c>
    </row>
    <row r="2896" spans="16:20">
      <c r="P2896" s="1094">
        <v>2478</v>
      </c>
      <c r="Q2896" t="s">
        <v>3963</v>
      </c>
      <c r="R2896" t="s">
        <v>248</v>
      </c>
      <c r="S2896">
        <v>153.53247500000001</v>
      </c>
      <c r="T2896" s="1095">
        <v>-28.865483000000001</v>
      </c>
    </row>
    <row r="2897" spans="16:20">
      <c r="P2897" s="1094">
        <v>2478</v>
      </c>
      <c r="Q2897" t="s">
        <v>3964</v>
      </c>
      <c r="R2897" t="s">
        <v>248</v>
      </c>
      <c r="S2897">
        <v>153.53247500000001</v>
      </c>
      <c r="T2897" s="1095">
        <v>-28.865483000000001</v>
      </c>
    </row>
    <row r="2898" spans="16:20">
      <c r="P2898" s="1094">
        <v>2479</v>
      </c>
      <c r="Q2898" t="s">
        <v>3965</v>
      </c>
      <c r="R2898" t="s">
        <v>248</v>
      </c>
      <c r="S2898">
        <v>153.51496299999999</v>
      </c>
      <c r="T2898" s="1095">
        <v>-28.709544999999999</v>
      </c>
    </row>
    <row r="2899" spans="16:20">
      <c r="P2899" s="1094">
        <v>2479</v>
      </c>
      <c r="Q2899" t="s">
        <v>3966</v>
      </c>
      <c r="R2899" t="s">
        <v>248</v>
      </c>
      <c r="S2899">
        <v>153.51496299999999</v>
      </c>
      <c r="T2899" s="1095">
        <v>-28.709544999999999</v>
      </c>
    </row>
    <row r="2900" spans="16:20">
      <c r="P2900" s="1094">
        <v>2479</v>
      </c>
      <c r="Q2900" t="s">
        <v>3967</v>
      </c>
      <c r="R2900" t="s">
        <v>248</v>
      </c>
      <c r="S2900">
        <v>153.51496299999999</v>
      </c>
      <c r="T2900" s="1095">
        <v>-28.709544999999999</v>
      </c>
    </row>
    <row r="2901" spans="16:20">
      <c r="P2901" s="1094">
        <v>2479</v>
      </c>
      <c r="Q2901" t="s">
        <v>3968</v>
      </c>
      <c r="R2901" t="s">
        <v>248</v>
      </c>
      <c r="S2901">
        <v>153.51496299999999</v>
      </c>
      <c r="T2901" s="1095">
        <v>-28.709544999999999</v>
      </c>
    </row>
    <row r="2902" spans="16:20">
      <c r="P2902" s="1094">
        <v>2479</v>
      </c>
      <c r="Q2902" t="s">
        <v>3969</v>
      </c>
      <c r="R2902" t="s">
        <v>248</v>
      </c>
      <c r="S2902">
        <v>153.51496299999999</v>
      </c>
      <c r="T2902" s="1095">
        <v>-28.709544999999999</v>
      </c>
    </row>
    <row r="2903" spans="16:20">
      <c r="P2903" s="1094">
        <v>2479</v>
      </c>
      <c r="Q2903" t="s">
        <v>3970</v>
      </c>
      <c r="R2903" t="s">
        <v>248</v>
      </c>
      <c r="S2903">
        <v>153.51496299999999</v>
      </c>
      <c r="T2903" s="1095">
        <v>-28.709544999999999</v>
      </c>
    </row>
    <row r="2904" spans="16:20">
      <c r="P2904" s="1094">
        <v>2479</v>
      </c>
      <c r="Q2904" t="s">
        <v>3971</v>
      </c>
      <c r="R2904" t="s">
        <v>248</v>
      </c>
      <c r="S2904">
        <v>153.51496299999999</v>
      </c>
      <c r="T2904" s="1095">
        <v>-28.709544999999999</v>
      </c>
    </row>
    <row r="2905" spans="16:20">
      <c r="P2905" s="1094">
        <v>2479</v>
      </c>
      <c r="Q2905" t="s">
        <v>3972</v>
      </c>
      <c r="R2905" t="s">
        <v>248</v>
      </c>
      <c r="S2905">
        <v>153.51496299999999</v>
      </c>
      <c r="T2905" s="1095">
        <v>-28.709544999999999</v>
      </c>
    </row>
    <row r="2906" spans="16:20">
      <c r="P2906" s="1094">
        <v>2479</v>
      </c>
      <c r="Q2906" t="s">
        <v>3973</v>
      </c>
      <c r="R2906" t="s">
        <v>248</v>
      </c>
      <c r="S2906">
        <v>153.51496299999999</v>
      </c>
      <c r="T2906" s="1095">
        <v>-28.709544999999999</v>
      </c>
    </row>
    <row r="2907" spans="16:20">
      <c r="P2907" s="1094">
        <v>2479</v>
      </c>
      <c r="Q2907" t="s">
        <v>3974</v>
      </c>
      <c r="R2907" t="s">
        <v>248</v>
      </c>
      <c r="S2907">
        <v>153.51496299999999</v>
      </c>
      <c r="T2907" s="1095">
        <v>-28.709544999999999</v>
      </c>
    </row>
    <row r="2908" spans="16:20">
      <c r="P2908" s="1094">
        <v>2479</v>
      </c>
      <c r="Q2908" t="s">
        <v>3975</v>
      </c>
      <c r="R2908" t="s">
        <v>248</v>
      </c>
      <c r="S2908">
        <v>153.51496299999999</v>
      </c>
      <c r="T2908" s="1095">
        <v>-28.709544999999999</v>
      </c>
    </row>
    <row r="2909" spans="16:20">
      <c r="P2909" s="1094">
        <v>2479</v>
      </c>
      <c r="Q2909" t="s">
        <v>3976</v>
      </c>
      <c r="R2909" t="s">
        <v>248</v>
      </c>
      <c r="S2909">
        <v>153.51496299999999</v>
      </c>
      <c r="T2909" s="1095">
        <v>-28.709544999999999</v>
      </c>
    </row>
    <row r="2910" spans="16:20">
      <c r="P2910" s="1094">
        <v>2480</v>
      </c>
      <c r="Q2910" t="s">
        <v>3256</v>
      </c>
      <c r="R2910" t="s">
        <v>248</v>
      </c>
      <c r="S2910">
        <v>153.25943000000001</v>
      </c>
      <c r="T2910" s="1095">
        <v>-28.706486000000002</v>
      </c>
    </row>
    <row r="2911" spans="16:20">
      <c r="P2911" s="1094">
        <v>2480</v>
      </c>
      <c r="Q2911" t="s">
        <v>3977</v>
      </c>
      <c r="R2911" t="s">
        <v>248</v>
      </c>
      <c r="S2911">
        <v>153.25943000000001</v>
      </c>
      <c r="T2911" s="1095">
        <v>-28.706486000000002</v>
      </c>
    </row>
    <row r="2912" spans="16:20">
      <c r="P2912" s="1094">
        <v>2480</v>
      </c>
      <c r="Q2912" t="s">
        <v>3978</v>
      </c>
      <c r="R2912" t="s">
        <v>248</v>
      </c>
      <c r="S2912">
        <v>153.25943000000001</v>
      </c>
      <c r="T2912" s="1095">
        <v>-28.706486000000002</v>
      </c>
    </row>
    <row r="2913" spans="16:20">
      <c r="P2913" s="1094">
        <v>2480</v>
      </c>
      <c r="Q2913" t="s">
        <v>3979</v>
      </c>
      <c r="R2913" t="s">
        <v>248</v>
      </c>
      <c r="S2913">
        <v>153.25943000000001</v>
      </c>
      <c r="T2913" s="1095">
        <v>-28.706486000000002</v>
      </c>
    </row>
    <row r="2914" spans="16:20">
      <c r="P2914" s="1094">
        <v>2480</v>
      </c>
      <c r="Q2914" t="s">
        <v>3980</v>
      </c>
      <c r="R2914" t="s">
        <v>248</v>
      </c>
      <c r="S2914">
        <v>153.25943000000001</v>
      </c>
      <c r="T2914" s="1095">
        <v>-28.706486000000002</v>
      </c>
    </row>
    <row r="2915" spans="16:20">
      <c r="P2915" s="1094">
        <v>2480</v>
      </c>
      <c r="Q2915" t="s">
        <v>3981</v>
      </c>
      <c r="R2915" t="s">
        <v>248</v>
      </c>
      <c r="S2915">
        <v>153.25943000000001</v>
      </c>
      <c r="T2915" s="1095">
        <v>-28.706486000000002</v>
      </c>
    </row>
    <row r="2916" spans="16:20">
      <c r="P2916" s="1094">
        <v>2480</v>
      </c>
      <c r="Q2916" t="s">
        <v>3982</v>
      </c>
      <c r="R2916" t="s">
        <v>248</v>
      </c>
      <c r="S2916">
        <v>153.25943000000001</v>
      </c>
      <c r="T2916" s="1095">
        <v>-28.706486000000002</v>
      </c>
    </row>
    <row r="2917" spans="16:20">
      <c r="P2917" s="1094">
        <v>2480</v>
      </c>
      <c r="Q2917" t="s">
        <v>3983</v>
      </c>
      <c r="R2917" t="s">
        <v>248</v>
      </c>
      <c r="S2917">
        <v>153.25943000000001</v>
      </c>
      <c r="T2917" s="1095">
        <v>-28.706486000000002</v>
      </c>
    </row>
    <row r="2918" spans="16:20">
      <c r="P2918" s="1094">
        <v>2480</v>
      </c>
      <c r="Q2918" t="s">
        <v>3984</v>
      </c>
      <c r="R2918" t="s">
        <v>248</v>
      </c>
      <c r="S2918">
        <v>153.25943000000001</v>
      </c>
      <c r="T2918" s="1095">
        <v>-28.706486000000002</v>
      </c>
    </row>
    <row r="2919" spans="16:20">
      <c r="P2919" s="1094">
        <v>2480</v>
      </c>
      <c r="Q2919" t="s">
        <v>3985</v>
      </c>
      <c r="R2919" t="s">
        <v>248</v>
      </c>
      <c r="S2919">
        <v>153.25943000000001</v>
      </c>
      <c r="T2919" s="1095">
        <v>-28.706486000000002</v>
      </c>
    </row>
    <row r="2920" spans="16:20">
      <c r="P2920" s="1094">
        <v>2480</v>
      </c>
      <c r="Q2920" t="s">
        <v>3986</v>
      </c>
      <c r="R2920" t="s">
        <v>248</v>
      </c>
      <c r="S2920">
        <v>153.25943000000001</v>
      </c>
      <c r="T2920" s="1095">
        <v>-28.706486000000002</v>
      </c>
    </row>
    <row r="2921" spans="16:20">
      <c r="P2921" s="1094">
        <v>2480</v>
      </c>
      <c r="Q2921" t="s">
        <v>3987</v>
      </c>
      <c r="R2921" t="s">
        <v>248</v>
      </c>
      <c r="S2921">
        <v>153.25943000000001</v>
      </c>
      <c r="T2921" s="1095">
        <v>-28.706486000000002</v>
      </c>
    </row>
    <row r="2922" spans="16:20">
      <c r="P2922" s="1094">
        <v>2480</v>
      </c>
      <c r="Q2922" t="s">
        <v>3988</v>
      </c>
      <c r="R2922" t="s">
        <v>248</v>
      </c>
      <c r="S2922">
        <v>153.25943000000001</v>
      </c>
      <c r="T2922" s="1095">
        <v>-28.706486000000002</v>
      </c>
    </row>
    <row r="2923" spans="16:20">
      <c r="P2923" s="1094">
        <v>2480</v>
      </c>
      <c r="Q2923" t="s">
        <v>3989</v>
      </c>
      <c r="R2923" t="s">
        <v>248</v>
      </c>
      <c r="S2923">
        <v>153.25943000000001</v>
      </c>
      <c r="T2923" s="1095">
        <v>-28.706486000000002</v>
      </c>
    </row>
    <row r="2924" spans="16:20">
      <c r="P2924" s="1094">
        <v>2480</v>
      </c>
      <c r="Q2924" t="s">
        <v>3990</v>
      </c>
      <c r="R2924" t="s">
        <v>248</v>
      </c>
      <c r="S2924">
        <v>153.25943000000001</v>
      </c>
      <c r="T2924" s="1095">
        <v>-28.706486000000002</v>
      </c>
    </row>
    <row r="2925" spans="16:20">
      <c r="P2925" s="1094">
        <v>2480</v>
      </c>
      <c r="Q2925" t="s">
        <v>3991</v>
      </c>
      <c r="R2925" t="s">
        <v>248</v>
      </c>
      <c r="S2925">
        <v>153.25943000000001</v>
      </c>
      <c r="T2925" s="1095">
        <v>-28.706486000000002</v>
      </c>
    </row>
    <row r="2926" spans="16:20">
      <c r="P2926" s="1094">
        <v>2480</v>
      </c>
      <c r="Q2926" t="s">
        <v>3992</v>
      </c>
      <c r="R2926" t="s">
        <v>248</v>
      </c>
      <c r="S2926">
        <v>153.25943000000001</v>
      </c>
      <c r="T2926" s="1095">
        <v>-28.706486000000002</v>
      </c>
    </row>
    <row r="2927" spans="16:20">
      <c r="P2927" s="1094">
        <v>2480</v>
      </c>
      <c r="Q2927" t="s">
        <v>3993</v>
      </c>
      <c r="R2927" t="s">
        <v>248</v>
      </c>
      <c r="S2927">
        <v>153.25943000000001</v>
      </c>
      <c r="T2927" s="1095">
        <v>-28.706486000000002</v>
      </c>
    </row>
    <row r="2928" spans="16:20">
      <c r="P2928" s="1094">
        <v>2480</v>
      </c>
      <c r="Q2928" t="s">
        <v>3994</v>
      </c>
      <c r="R2928" t="s">
        <v>248</v>
      </c>
      <c r="S2928">
        <v>153.25943000000001</v>
      </c>
      <c r="T2928" s="1095">
        <v>-28.706486000000002</v>
      </c>
    </row>
    <row r="2929" spans="16:20">
      <c r="P2929" s="1094">
        <v>2480</v>
      </c>
      <c r="Q2929" t="s">
        <v>3995</v>
      </c>
      <c r="R2929" t="s">
        <v>248</v>
      </c>
      <c r="S2929">
        <v>153.25943000000001</v>
      </c>
      <c r="T2929" s="1095">
        <v>-28.706486000000002</v>
      </c>
    </row>
    <row r="2930" spans="16:20">
      <c r="P2930" s="1094">
        <v>2480</v>
      </c>
      <c r="Q2930" t="s">
        <v>3996</v>
      </c>
      <c r="R2930" t="s">
        <v>248</v>
      </c>
      <c r="S2930">
        <v>153.25943000000001</v>
      </c>
      <c r="T2930" s="1095">
        <v>-28.706486000000002</v>
      </c>
    </row>
    <row r="2931" spans="16:20">
      <c r="P2931" s="1094">
        <v>2480</v>
      </c>
      <c r="Q2931" t="s">
        <v>3997</v>
      </c>
      <c r="R2931" t="s">
        <v>248</v>
      </c>
      <c r="S2931">
        <v>153.25943000000001</v>
      </c>
      <c r="T2931" s="1095">
        <v>-28.706486000000002</v>
      </c>
    </row>
    <row r="2932" spans="16:20">
      <c r="P2932" s="1094">
        <v>2480</v>
      </c>
      <c r="Q2932" t="s">
        <v>3998</v>
      </c>
      <c r="R2932" t="s">
        <v>248</v>
      </c>
      <c r="S2932">
        <v>153.25943000000001</v>
      </c>
      <c r="T2932" s="1095">
        <v>-28.706486000000002</v>
      </c>
    </row>
    <row r="2933" spans="16:20">
      <c r="P2933" s="1094">
        <v>2480</v>
      </c>
      <c r="Q2933" t="s">
        <v>3999</v>
      </c>
      <c r="R2933" t="s">
        <v>248</v>
      </c>
      <c r="S2933">
        <v>153.25943000000001</v>
      </c>
      <c r="T2933" s="1095">
        <v>-28.706486000000002</v>
      </c>
    </row>
    <row r="2934" spans="16:20">
      <c r="P2934" s="1094">
        <v>2480</v>
      </c>
      <c r="Q2934" t="s">
        <v>4000</v>
      </c>
      <c r="R2934" t="s">
        <v>248</v>
      </c>
      <c r="S2934">
        <v>153.25943000000001</v>
      </c>
      <c r="T2934" s="1095">
        <v>-28.706486000000002</v>
      </c>
    </row>
    <row r="2935" spans="16:20">
      <c r="P2935" s="1094">
        <v>2480</v>
      </c>
      <c r="Q2935" t="s">
        <v>4001</v>
      </c>
      <c r="R2935" t="s">
        <v>248</v>
      </c>
      <c r="S2935">
        <v>153.25943000000001</v>
      </c>
      <c r="T2935" s="1095">
        <v>-28.706486000000002</v>
      </c>
    </row>
    <row r="2936" spans="16:20">
      <c r="P2936" s="1094">
        <v>2480</v>
      </c>
      <c r="Q2936" t="s">
        <v>4002</v>
      </c>
      <c r="R2936" t="s">
        <v>248</v>
      </c>
      <c r="S2936">
        <v>153.25943000000001</v>
      </c>
      <c r="T2936" s="1095">
        <v>-28.706486000000002</v>
      </c>
    </row>
    <row r="2937" spans="16:20">
      <c r="P2937" s="1094">
        <v>2480</v>
      </c>
      <c r="Q2937" t="s">
        <v>4003</v>
      </c>
      <c r="R2937" t="s">
        <v>248</v>
      </c>
      <c r="S2937">
        <v>153.25943000000001</v>
      </c>
      <c r="T2937" s="1095">
        <v>-28.706486000000002</v>
      </c>
    </row>
    <row r="2938" spans="16:20">
      <c r="P2938" s="1094">
        <v>2480</v>
      </c>
      <c r="Q2938" t="s">
        <v>4004</v>
      </c>
      <c r="R2938" t="s">
        <v>248</v>
      </c>
      <c r="S2938">
        <v>153.25943000000001</v>
      </c>
      <c r="T2938" s="1095">
        <v>-28.706486000000002</v>
      </c>
    </row>
    <row r="2939" spans="16:20">
      <c r="P2939" s="1094">
        <v>2480</v>
      </c>
      <c r="Q2939" t="s">
        <v>4005</v>
      </c>
      <c r="R2939" t="s">
        <v>248</v>
      </c>
      <c r="S2939">
        <v>153.25943000000001</v>
      </c>
      <c r="T2939" s="1095">
        <v>-28.706486000000002</v>
      </c>
    </row>
    <row r="2940" spans="16:20">
      <c r="P2940" s="1094">
        <v>2480</v>
      </c>
      <c r="Q2940" t="s">
        <v>4006</v>
      </c>
      <c r="R2940" t="s">
        <v>248</v>
      </c>
      <c r="S2940">
        <v>153.25943000000001</v>
      </c>
      <c r="T2940" s="1095">
        <v>-28.706486000000002</v>
      </c>
    </row>
    <row r="2941" spans="16:20">
      <c r="P2941" s="1094">
        <v>2480</v>
      </c>
      <c r="Q2941" t="s">
        <v>4007</v>
      </c>
      <c r="R2941" t="s">
        <v>248</v>
      </c>
      <c r="S2941">
        <v>153.25943000000001</v>
      </c>
      <c r="T2941" s="1095">
        <v>-28.706486000000002</v>
      </c>
    </row>
    <row r="2942" spans="16:20">
      <c r="P2942" s="1094">
        <v>2480</v>
      </c>
      <c r="Q2942" t="s">
        <v>4008</v>
      </c>
      <c r="R2942" t="s">
        <v>248</v>
      </c>
      <c r="S2942">
        <v>153.25943000000001</v>
      </c>
      <c r="T2942" s="1095">
        <v>-28.706486000000002</v>
      </c>
    </row>
    <row r="2943" spans="16:20">
      <c r="P2943" s="1094">
        <v>2480</v>
      </c>
      <c r="Q2943" t="s">
        <v>4009</v>
      </c>
      <c r="R2943" t="s">
        <v>248</v>
      </c>
      <c r="S2943">
        <v>153.25943000000001</v>
      </c>
      <c r="T2943" s="1095">
        <v>-28.706486000000002</v>
      </c>
    </row>
    <row r="2944" spans="16:20">
      <c r="P2944" s="1094">
        <v>2480</v>
      </c>
      <c r="Q2944" t="s">
        <v>4010</v>
      </c>
      <c r="R2944" t="s">
        <v>248</v>
      </c>
      <c r="S2944">
        <v>153.25943000000001</v>
      </c>
      <c r="T2944" s="1095">
        <v>-28.706486000000002</v>
      </c>
    </row>
    <row r="2945" spans="16:20">
      <c r="P2945" s="1094">
        <v>2480</v>
      </c>
      <c r="Q2945" t="s">
        <v>4011</v>
      </c>
      <c r="R2945" t="s">
        <v>248</v>
      </c>
      <c r="S2945">
        <v>153.25943000000001</v>
      </c>
      <c r="T2945" s="1095">
        <v>-28.706486000000002</v>
      </c>
    </row>
    <row r="2946" spans="16:20">
      <c r="P2946" s="1094">
        <v>2480</v>
      </c>
      <c r="Q2946" t="s">
        <v>4012</v>
      </c>
      <c r="R2946" t="s">
        <v>248</v>
      </c>
      <c r="S2946">
        <v>153.25943000000001</v>
      </c>
      <c r="T2946" s="1095">
        <v>-28.706486000000002</v>
      </c>
    </row>
    <row r="2947" spans="16:20">
      <c r="P2947" s="1094">
        <v>2480</v>
      </c>
      <c r="Q2947" t="s">
        <v>4013</v>
      </c>
      <c r="R2947" t="s">
        <v>248</v>
      </c>
      <c r="S2947">
        <v>153.25943000000001</v>
      </c>
      <c r="T2947" s="1095">
        <v>-28.706486000000002</v>
      </c>
    </row>
    <row r="2948" spans="16:20">
      <c r="P2948" s="1094">
        <v>2480</v>
      </c>
      <c r="Q2948" t="s">
        <v>4014</v>
      </c>
      <c r="R2948" t="s">
        <v>248</v>
      </c>
      <c r="S2948">
        <v>153.25943000000001</v>
      </c>
      <c r="T2948" s="1095">
        <v>-28.706486000000002</v>
      </c>
    </row>
    <row r="2949" spans="16:20">
      <c r="P2949" s="1094">
        <v>2480</v>
      </c>
      <c r="Q2949" t="s">
        <v>4015</v>
      </c>
      <c r="R2949" t="s">
        <v>248</v>
      </c>
      <c r="S2949">
        <v>153.25943000000001</v>
      </c>
      <c r="T2949" s="1095">
        <v>-28.706486000000002</v>
      </c>
    </row>
    <row r="2950" spans="16:20">
      <c r="P2950" s="1094">
        <v>2480</v>
      </c>
      <c r="Q2950" t="s">
        <v>4016</v>
      </c>
      <c r="R2950" t="s">
        <v>248</v>
      </c>
      <c r="S2950">
        <v>153.25943000000001</v>
      </c>
      <c r="T2950" s="1095">
        <v>-28.706486000000002</v>
      </c>
    </row>
    <row r="2951" spans="16:20">
      <c r="P2951" s="1094">
        <v>2480</v>
      </c>
      <c r="Q2951" t="s">
        <v>4017</v>
      </c>
      <c r="R2951" t="s">
        <v>248</v>
      </c>
      <c r="S2951">
        <v>153.25943000000001</v>
      </c>
      <c r="T2951" s="1095">
        <v>-28.706486000000002</v>
      </c>
    </row>
    <row r="2952" spans="16:20">
      <c r="P2952" s="1094">
        <v>2480</v>
      </c>
      <c r="Q2952" t="s">
        <v>4018</v>
      </c>
      <c r="R2952" t="s">
        <v>248</v>
      </c>
      <c r="S2952">
        <v>153.25943000000001</v>
      </c>
      <c r="T2952" s="1095">
        <v>-28.706486000000002</v>
      </c>
    </row>
    <row r="2953" spans="16:20">
      <c r="P2953" s="1094">
        <v>2480</v>
      </c>
      <c r="Q2953" t="s">
        <v>4019</v>
      </c>
      <c r="R2953" t="s">
        <v>248</v>
      </c>
      <c r="S2953">
        <v>153.25943000000001</v>
      </c>
      <c r="T2953" s="1095">
        <v>-28.706486000000002</v>
      </c>
    </row>
    <row r="2954" spans="16:20">
      <c r="P2954" s="1094">
        <v>2480</v>
      </c>
      <c r="Q2954" t="s">
        <v>4020</v>
      </c>
      <c r="R2954" t="s">
        <v>248</v>
      </c>
      <c r="S2954">
        <v>153.25943000000001</v>
      </c>
      <c r="T2954" s="1095">
        <v>-28.706486000000002</v>
      </c>
    </row>
    <row r="2955" spans="16:20">
      <c r="P2955" s="1094">
        <v>2480</v>
      </c>
      <c r="Q2955" t="s">
        <v>4021</v>
      </c>
      <c r="R2955" t="s">
        <v>248</v>
      </c>
      <c r="S2955">
        <v>153.25943000000001</v>
      </c>
      <c r="T2955" s="1095">
        <v>-28.706486000000002</v>
      </c>
    </row>
    <row r="2956" spans="16:20">
      <c r="P2956" s="1094">
        <v>2480</v>
      </c>
      <c r="Q2956" t="s">
        <v>4022</v>
      </c>
      <c r="R2956" t="s">
        <v>248</v>
      </c>
      <c r="S2956">
        <v>153.25943000000001</v>
      </c>
      <c r="T2956" s="1095">
        <v>-28.706486000000002</v>
      </c>
    </row>
    <row r="2957" spans="16:20">
      <c r="P2957" s="1094">
        <v>2480</v>
      </c>
      <c r="Q2957" t="s">
        <v>4023</v>
      </c>
      <c r="R2957" t="s">
        <v>248</v>
      </c>
      <c r="S2957">
        <v>153.25943000000001</v>
      </c>
      <c r="T2957" s="1095">
        <v>-28.706486000000002</v>
      </c>
    </row>
    <row r="2958" spans="16:20">
      <c r="P2958" s="1094">
        <v>2480</v>
      </c>
      <c r="Q2958" t="s">
        <v>4024</v>
      </c>
      <c r="R2958" t="s">
        <v>248</v>
      </c>
      <c r="S2958">
        <v>153.25943000000001</v>
      </c>
      <c r="T2958" s="1095">
        <v>-28.706486000000002</v>
      </c>
    </row>
    <row r="2959" spans="16:20">
      <c r="P2959" s="1094">
        <v>2480</v>
      </c>
      <c r="Q2959" t="s">
        <v>4025</v>
      </c>
      <c r="R2959" t="s">
        <v>248</v>
      </c>
      <c r="S2959">
        <v>153.25943000000001</v>
      </c>
      <c r="T2959" s="1095">
        <v>-28.706486000000002</v>
      </c>
    </row>
    <row r="2960" spans="16:20">
      <c r="P2960" s="1094">
        <v>2480</v>
      </c>
      <c r="Q2960" t="s">
        <v>4026</v>
      </c>
      <c r="R2960" t="s">
        <v>248</v>
      </c>
      <c r="S2960">
        <v>153.25943000000001</v>
      </c>
      <c r="T2960" s="1095">
        <v>-28.706486000000002</v>
      </c>
    </row>
    <row r="2961" spans="16:20">
      <c r="P2961" s="1094">
        <v>2480</v>
      </c>
      <c r="Q2961" t="s">
        <v>4027</v>
      </c>
      <c r="R2961" t="s">
        <v>248</v>
      </c>
      <c r="S2961">
        <v>153.25943000000001</v>
      </c>
      <c r="T2961" s="1095">
        <v>-28.706486000000002</v>
      </c>
    </row>
    <row r="2962" spans="16:20">
      <c r="P2962" s="1094">
        <v>2480</v>
      </c>
      <c r="Q2962" t="s">
        <v>4028</v>
      </c>
      <c r="R2962" t="s">
        <v>248</v>
      </c>
      <c r="S2962">
        <v>153.25943000000001</v>
      </c>
      <c r="T2962" s="1095">
        <v>-28.706486000000002</v>
      </c>
    </row>
    <row r="2963" spans="16:20">
      <c r="P2963" s="1094">
        <v>2480</v>
      </c>
      <c r="Q2963" t="s">
        <v>4029</v>
      </c>
      <c r="R2963" t="s">
        <v>248</v>
      </c>
      <c r="S2963">
        <v>153.25943000000001</v>
      </c>
      <c r="T2963" s="1095">
        <v>-28.706486000000002</v>
      </c>
    </row>
    <row r="2964" spans="16:20">
      <c r="P2964" s="1094">
        <v>2480</v>
      </c>
      <c r="Q2964" t="s">
        <v>4030</v>
      </c>
      <c r="R2964" t="s">
        <v>248</v>
      </c>
      <c r="S2964">
        <v>153.25943000000001</v>
      </c>
      <c r="T2964" s="1095">
        <v>-28.706486000000002</v>
      </c>
    </row>
    <row r="2965" spans="16:20">
      <c r="P2965" s="1094">
        <v>2480</v>
      </c>
      <c r="Q2965" t="s">
        <v>4031</v>
      </c>
      <c r="R2965" t="s">
        <v>248</v>
      </c>
      <c r="S2965">
        <v>153.25943000000001</v>
      </c>
      <c r="T2965" s="1095">
        <v>-28.706486000000002</v>
      </c>
    </row>
    <row r="2966" spans="16:20">
      <c r="P2966" s="1094">
        <v>2480</v>
      </c>
      <c r="Q2966" t="s">
        <v>4032</v>
      </c>
      <c r="R2966" t="s">
        <v>248</v>
      </c>
      <c r="S2966">
        <v>153.25943000000001</v>
      </c>
      <c r="T2966" s="1095">
        <v>-28.706486000000002</v>
      </c>
    </row>
    <row r="2967" spans="16:20">
      <c r="P2967" s="1094">
        <v>2480</v>
      </c>
      <c r="Q2967" t="s">
        <v>4033</v>
      </c>
      <c r="R2967" t="s">
        <v>248</v>
      </c>
      <c r="S2967">
        <v>153.25943000000001</v>
      </c>
      <c r="T2967" s="1095">
        <v>-28.706486000000002</v>
      </c>
    </row>
    <row r="2968" spans="16:20">
      <c r="P2968" s="1094">
        <v>2480</v>
      </c>
      <c r="Q2968" t="s">
        <v>4034</v>
      </c>
      <c r="R2968" t="s">
        <v>248</v>
      </c>
      <c r="S2968">
        <v>153.25943000000001</v>
      </c>
      <c r="T2968" s="1095">
        <v>-28.706486000000002</v>
      </c>
    </row>
    <row r="2969" spans="16:20">
      <c r="P2969" s="1094">
        <v>2480</v>
      </c>
      <c r="Q2969" t="s">
        <v>4035</v>
      </c>
      <c r="R2969" t="s">
        <v>248</v>
      </c>
      <c r="S2969">
        <v>153.25943000000001</v>
      </c>
      <c r="T2969" s="1095">
        <v>-28.706486000000002</v>
      </c>
    </row>
    <row r="2970" spans="16:20">
      <c r="P2970" s="1094">
        <v>2480</v>
      </c>
      <c r="Q2970" t="s">
        <v>4036</v>
      </c>
      <c r="R2970" t="s">
        <v>248</v>
      </c>
      <c r="S2970">
        <v>153.25943000000001</v>
      </c>
      <c r="T2970" s="1095">
        <v>-28.706486000000002</v>
      </c>
    </row>
    <row r="2971" spans="16:20">
      <c r="P2971" s="1094">
        <v>2480</v>
      </c>
      <c r="Q2971" t="s">
        <v>4037</v>
      </c>
      <c r="R2971" t="s">
        <v>248</v>
      </c>
      <c r="S2971">
        <v>153.25943000000001</v>
      </c>
      <c r="T2971" s="1095">
        <v>-28.706486000000002</v>
      </c>
    </row>
    <row r="2972" spans="16:20">
      <c r="P2972" s="1094">
        <v>2480</v>
      </c>
      <c r="Q2972" t="s">
        <v>4038</v>
      </c>
      <c r="R2972" t="s">
        <v>248</v>
      </c>
      <c r="S2972">
        <v>153.25943000000001</v>
      </c>
      <c r="T2972" s="1095">
        <v>-28.706486000000002</v>
      </c>
    </row>
    <row r="2973" spans="16:20">
      <c r="P2973" s="1094">
        <v>2480</v>
      </c>
      <c r="Q2973" t="s">
        <v>4039</v>
      </c>
      <c r="R2973" t="s">
        <v>248</v>
      </c>
      <c r="S2973">
        <v>153.25943000000001</v>
      </c>
      <c r="T2973" s="1095">
        <v>-28.706486000000002</v>
      </c>
    </row>
    <row r="2974" spans="16:20">
      <c r="P2974" s="1094">
        <v>2480</v>
      </c>
      <c r="Q2974" t="s">
        <v>4040</v>
      </c>
      <c r="R2974" t="s">
        <v>248</v>
      </c>
      <c r="S2974">
        <v>153.25943000000001</v>
      </c>
      <c r="T2974" s="1095">
        <v>-28.706486000000002</v>
      </c>
    </row>
    <row r="2975" spans="16:20">
      <c r="P2975" s="1094">
        <v>2480</v>
      </c>
      <c r="Q2975" t="s">
        <v>4041</v>
      </c>
      <c r="R2975" t="s">
        <v>248</v>
      </c>
      <c r="S2975">
        <v>153.25943000000001</v>
      </c>
      <c r="T2975" s="1095">
        <v>-28.706486000000002</v>
      </c>
    </row>
    <row r="2976" spans="16:20">
      <c r="P2976" s="1094">
        <v>2480</v>
      </c>
      <c r="Q2976" t="s">
        <v>4042</v>
      </c>
      <c r="R2976" t="s">
        <v>248</v>
      </c>
      <c r="S2976">
        <v>153.25943000000001</v>
      </c>
      <c r="T2976" s="1095">
        <v>-28.706486000000002</v>
      </c>
    </row>
    <row r="2977" spans="16:20">
      <c r="P2977" s="1094">
        <v>2480</v>
      </c>
      <c r="Q2977" t="s">
        <v>4043</v>
      </c>
      <c r="R2977" t="s">
        <v>248</v>
      </c>
      <c r="S2977">
        <v>153.25943000000001</v>
      </c>
      <c r="T2977" s="1095">
        <v>-28.706486000000002</v>
      </c>
    </row>
    <row r="2978" spans="16:20">
      <c r="P2978" s="1094">
        <v>2480</v>
      </c>
      <c r="Q2978" t="s">
        <v>4044</v>
      </c>
      <c r="R2978" t="s">
        <v>248</v>
      </c>
      <c r="S2978">
        <v>153.25943000000001</v>
      </c>
      <c r="T2978" s="1095">
        <v>-28.706486000000002</v>
      </c>
    </row>
    <row r="2979" spans="16:20">
      <c r="P2979" s="1094">
        <v>2480</v>
      </c>
      <c r="Q2979" t="s">
        <v>4045</v>
      </c>
      <c r="R2979" t="s">
        <v>248</v>
      </c>
      <c r="S2979">
        <v>153.25943000000001</v>
      </c>
      <c r="T2979" s="1095">
        <v>-28.706486000000002</v>
      </c>
    </row>
    <row r="2980" spans="16:20">
      <c r="P2980" s="1094">
        <v>2480</v>
      </c>
      <c r="Q2980" t="s">
        <v>4046</v>
      </c>
      <c r="R2980" t="s">
        <v>248</v>
      </c>
      <c r="S2980">
        <v>153.25943000000001</v>
      </c>
      <c r="T2980" s="1095">
        <v>-28.706486000000002</v>
      </c>
    </row>
    <row r="2981" spans="16:20">
      <c r="P2981" s="1094">
        <v>2481</v>
      </c>
      <c r="Q2981" t="s">
        <v>4047</v>
      </c>
      <c r="R2981" t="s">
        <v>248</v>
      </c>
      <c r="S2981">
        <v>153.59284299999999</v>
      </c>
      <c r="T2981" s="1095">
        <v>-28.660755999999999</v>
      </c>
    </row>
    <row r="2982" spans="16:20">
      <c r="P2982" s="1094">
        <v>2481</v>
      </c>
      <c r="Q2982" t="s">
        <v>4048</v>
      </c>
      <c r="R2982" t="s">
        <v>248</v>
      </c>
      <c r="S2982">
        <v>153.59284299999999</v>
      </c>
      <c r="T2982" s="1095">
        <v>-28.660755999999999</v>
      </c>
    </row>
    <row r="2983" spans="16:20">
      <c r="P2983" s="1094">
        <v>2481</v>
      </c>
      <c r="Q2983" t="s">
        <v>4049</v>
      </c>
      <c r="R2983" t="s">
        <v>248</v>
      </c>
      <c r="S2983">
        <v>153.59284299999999</v>
      </c>
      <c r="T2983" s="1095">
        <v>-28.660755999999999</v>
      </c>
    </row>
    <row r="2984" spans="16:20">
      <c r="P2984" s="1094">
        <v>2481</v>
      </c>
      <c r="Q2984" t="s">
        <v>4050</v>
      </c>
      <c r="R2984" t="s">
        <v>248</v>
      </c>
      <c r="S2984">
        <v>153.59284299999999</v>
      </c>
      <c r="T2984" s="1095">
        <v>-28.660755999999999</v>
      </c>
    </row>
    <row r="2985" spans="16:20">
      <c r="P2985" s="1094">
        <v>2481</v>
      </c>
      <c r="Q2985" t="s">
        <v>4051</v>
      </c>
      <c r="R2985" t="s">
        <v>248</v>
      </c>
      <c r="S2985">
        <v>153.59284299999999</v>
      </c>
      <c r="T2985" s="1095">
        <v>-28.660755999999999</v>
      </c>
    </row>
    <row r="2986" spans="16:20">
      <c r="P2986" s="1094">
        <v>2481</v>
      </c>
      <c r="Q2986" t="s">
        <v>4052</v>
      </c>
      <c r="R2986" t="s">
        <v>248</v>
      </c>
      <c r="S2986">
        <v>153.59284299999999</v>
      </c>
      <c r="T2986" s="1095">
        <v>-28.660755999999999</v>
      </c>
    </row>
    <row r="2987" spans="16:20">
      <c r="P2987" s="1094">
        <v>2481</v>
      </c>
      <c r="Q2987" t="s">
        <v>4053</v>
      </c>
      <c r="R2987" t="s">
        <v>248</v>
      </c>
      <c r="S2987">
        <v>153.59284299999999</v>
      </c>
      <c r="T2987" s="1095">
        <v>-28.660755999999999</v>
      </c>
    </row>
    <row r="2988" spans="16:20">
      <c r="P2988" s="1094">
        <v>2481</v>
      </c>
      <c r="Q2988" t="s">
        <v>4054</v>
      </c>
      <c r="R2988" t="s">
        <v>248</v>
      </c>
      <c r="S2988">
        <v>153.59284299999999</v>
      </c>
      <c r="T2988" s="1095">
        <v>-28.660755999999999</v>
      </c>
    </row>
    <row r="2989" spans="16:20">
      <c r="P2989" s="1094">
        <v>2482</v>
      </c>
      <c r="Q2989" t="s">
        <v>4055</v>
      </c>
      <c r="R2989" t="s">
        <v>248</v>
      </c>
      <c r="S2989">
        <v>153.43239800000001</v>
      </c>
      <c r="T2989" s="1095">
        <v>-28.547307</v>
      </c>
    </row>
    <row r="2990" spans="16:20">
      <c r="P2990" s="1094">
        <v>2482</v>
      </c>
      <c r="Q2990" t="s">
        <v>4056</v>
      </c>
      <c r="R2990" t="s">
        <v>248</v>
      </c>
      <c r="S2990">
        <v>153.43239800000001</v>
      </c>
      <c r="T2990" s="1095">
        <v>-28.547307</v>
      </c>
    </row>
    <row r="2991" spans="16:20">
      <c r="P2991" s="1094">
        <v>2482</v>
      </c>
      <c r="Q2991" t="s">
        <v>4057</v>
      </c>
      <c r="R2991" t="s">
        <v>248</v>
      </c>
      <c r="S2991">
        <v>153.43239800000001</v>
      </c>
      <c r="T2991" s="1095">
        <v>-28.547307</v>
      </c>
    </row>
    <row r="2992" spans="16:20">
      <c r="P2992" s="1094">
        <v>2482</v>
      </c>
      <c r="Q2992" t="s">
        <v>4058</v>
      </c>
      <c r="R2992" t="s">
        <v>248</v>
      </c>
      <c r="S2992">
        <v>153.43239800000001</v>
      </c>
      <c r="T2992" s="1095">
        <v>-28.547307</v>
      </c>
    </row>
    <row r="2993" spans="16:20">
      <c r="P2993" s="1094">
        <v>2482</v>
      </c>
      <c r="Q2993" t="s">
        <v>4059</v>
      </c>
      <c r="R2993" t="s">
        <v>248</v>
      </c>
      <c r="S2993">
        <v>153.43239800000001</v>
      </c>
      <c r="T2993" s="1095">
        <v>-28.547307</v>
      </c>
    </row>
    <row r="2994" spans="16:20">
      <c r="P2994" s="1094">
        <v>2482</v>
      </c>
      <c r="Q2994" t="s">
        <v>4060</v>
      </c>
      <c r="R2994" t="s">
        <v>248</v>
      </c>
      <c r="S2994">
        <v>153.43239800000001</v>
      </c>
      <c r="T2994" s="1095">
        <v>-28.547307</v>
      </c>
    </row>
    <row r="2995" spans="16:20">
      <c r="P2995" s="1094">
        <v>2482</v>
      </c>
      <c r="Q2995" t="s">
        <v>4061</v>
      </c>
      <c r="R2995" t="s">
        <v>248</v>
      </c>
      <c r="S2995">
        <v>153.43239800000001</v>
      </c>
      <c r="T2995" s="1095">
        <v>-28.547307</v>
      </c>
    </row>
    <row r="2996" spans="16:20">
      <c r="P2996" s="1094">
        <v>2482</v>
      </c>
      <c r="Q2996" t="s">
        <v>4062</v>
      </c>
      <c r="R2996" t="s">
        <v>248</v>
      </c>
      <c r="S2996">
        <v>153.43239800000001</v>
      </c>
      <c r="T2996" s="1095">
        <v>-28.547307</v>
      </c>
    </row>
    <row r="2997" spans="16:20">
      <c r="P2997" s="1094">
        <v>2482</v>
      </c>
      <c r="Q2997" t="s">
        <v>4063</v>
      </c>
      <c r="R2997" t="s">
        <v>248</v>
      </c>
      <c r="S2997">
        <v>153.43239800000001</v>
      </c>
      <c r="T2997" s="1095">
        <v>-28.547307</v>
      </c>
    </row>
    <row r="2998" spans="16:20">
      <c r="P2998" s="1094">
        <v>2483</v>
      </c>
      <c r="Q2998" t="s">
        <v>4064</v>
      </c>
      <c r="R2998" t="s">
        <v>248</v>
      </c>
      <c r="S2998">
        <v>153.494236</v>
      </c>
      <c r="T2998" s="1095">
        <v>-28.461127999999999</v>
      </c>
    </row>
    <row r="2999" spans="16:20">
      <c r="P2999" s="1094">
        <v>2483</v>
      </c>
      <c r="Q2999" t="s">
        <v>4065</v>
      </c>
      <c r="R2999" t="s">
        <v>248</v>
      </c>
      <c r="S2999">
        <v>153.494236</v>
      </c>
      <c r="T2999" s="1095">
        <v>-28.461127999999999</v>
      </c>
    </row>
    <row r="3000" spans="16:20">
      <c r="P3000" s="1094">
        <v>2483</v>
      </c>
      <c r="Q3000" t="s">
        <v>4066</v>
      </c>
      <c r="R3000" t="s">
        <v>248</v>
      </c>
      <c r="S3000">
        <v>153.494236</v>
      </c>
      <c r="T3000" s="1095">
        <v>-28.461127999999999</v>
      </c>
    </row>
    <row r="3001" spans="16:20">
      <c r="P3001" s="1094">
        <v>2483</v>
      </c>
      <c r="Q3001" t="s">
        <v>4067</v>
      </c>
      <c r="R3001" t="s">
        <v>248</v>
      </c>
      <c r="S3001">
        <v>153.494236</v>
      </c>
      <c r="T3001" s="1095">
        <v>-28.461127999999999</v>
      </c>
    </row>
    <row r="3002" spans="16:20">
      <c r="P3002" s="1094">
        <v>2483</v>
      </c>
      <c r="Q3002" t="s">
        <v>4068</v>
      </c>
      <c r="R3002" t="s">
        <v>248</v>
      </c>
      <c r="S3002">
        <v>153.494236</v>
      </c>
      <c r="T3002" s="1095">
        <v>-28.461127999999999</v>
      </c>
    </row>
    <row r="3003" spans="16:20">
      <c r="P3003" s="1094">
        <v>2483</v>
      </c>
      <c r="Q3003" t="s">
        <v>4069</v>
      </c>
      <c r="R3003" t="s">
        <v>248</v>
      </c>
      <c r="S3003">
        <v>153.494236</v>
      </c>
      <c r="T3003" s="1095">
        <v>-28.461127999999999</v>
      </c>
    </row>
    <row r="3004" spans="16:20">
      <c r="P3004" s="1094">
        <v>2483</v>
      </c>
      <c r="Q3004" t="s">
        <v>4070</v>
      </c>
      <c r="R3004" t="s">
        <v>248</v>
      </c>
      <c r="S3004">
        <v>153.494236</v>
      </c>
      <c r="T3004" s="1095">
        <v>-28.461127999999999</v>
      </c>
    </row>
    <row r="3005" spans="16:20">
      <c r="P3005" s="1094">
        <v>2483</v>
      </c>
      <c r="Q3005" t="s">
        <v>4071</v>
      </c>
      <c r="R3005" t="s">
        <v>248</v>
      </c>
      <c r="S3005">
        <v>153.494236</v>
      </c>
      <c r="T3005" s="1095">
        <v>-28.461127999999999</v>
      </c>
    </row>
    <row r="3006" spans="16:20">
      <c r="P3006" s="1094">
        <v>2483</v>
      </c>
      <c r="Q3006" t="s">
        <v>4072</v>
      </c>
      <c r="R3006" t="s">
        <v>248</v>
      </c>
      <c r="S3006">
        <v>153.494236</v>
      </c>
      <c r="T3006" s="1095">
        <v>-28.461127999999999</v>
      </c>
    </row>
    <row r="3007" spans="16:20">
      <c r="P3007" s="1094">
        <v>2483</v>
      </c>
      <c r="Q3007" t="s">
        <v>4073</v>
      </c>
      <c r="R3007" t="s">
        <v>248</v>
      </c>
      <c r="S3007">
        <v>153.494236</v>
      </c>
      <c r="T3007" s="1095">
        <v>-28.461127999999999</v>
      </c>
    </row>
    <row r="3008" spans="16:20">
      <c r="P3008" s="1094">
        <v>2483</v>
      </c>
      <c r="Q3008" t="s">
        <v>4074</v>
      </c>
      <c r="R3008" t="s">
        <v>248</v>
      </c>
      <c r="S3008">
        <v>153.494236</v>
      </c>
      <c r="T3008" s="1095">
        <v>-28.461127999999999</v>
      </c>
    </row>
    <row r="3009" spans="16:20">
      <c r="P3009" s="1094">
        <v>2483</v>
      </c>
      <c r="Q3009" t="s">
        <v>4075</v>
      </c>
      <c r="R3009" t="s">
        <v>248</v>
      </c>
      <c r="S3009">
        <v>153.494236</v>
      </c>
      <c r="T3009" s="1095">
        <v>-28.461127999999999</v>
      </c>
    </row>
    <row r="3010" spans="16:20">
      <c r="P3010" s="1094">
        <v>2483</v>
      </c>
      <c r="Q3010" t="s">
        <v>4076</v>
      </c>
      <c r="R3010" t="s">
        <v>248</v>
      </c>
      <c r="S3010">
        <v>153.494236</v>
      </c>
      <c r="T3010" s="1095">
        <v>-28.461127999999999</v>
      </c>
    </row>
    <row r="3011" spans="16:20">
      <c r="P3011" s="1094">
        <v>2483</v>
      </c>
      <c r="Q3011" t="s">
        <v>4077</v>
      </c>
      <c r="R3011" t="s">
        <v>248</v>
      </c>
      <c r="S3011">
        <v>153.494236</v>
      </c>
      <c r="T3011" s="1095">
        <v>-28.461127999999999</v>
      </c>
    </row>
    <row r="3012" spans="16:20">
      <c r="P3012" s="1094">
        <v>2484</v>
      </c>
      <c r="Q3012" t="s">
        <v>3256</v>
      </c>
      <c r="R3012" t="s">
        <v>248</v>
      </c>
      <c r="S3012">
        <v>153.31648000000001</v>
      </c>
      <c r="T3012" s="1095">
        <v>-28.380590000000002</v>
      </c>
    </row>
    <row r="3013" spans="16:20">
      <c r="P3013" s="1094">
        <v>2484</v>
      </c>
      <c r="Q3013" t="s">
        <v>2568</v>
      </c>
      <c r="R3013" t="s">
        <v>248</v>
      </c>
      <c r="S3013">
        <v>153.31648000000001</v>
      </c>
      <c r="T3013" s="1095">
        <v>-28.380590000000002</v>
      </c>
    </row>
    <row r="3014" spans="16:20">
      <c r="P3014" s="1094">
        <v>2484</v>
      </c>
      <c r="Q3014" t="s">
        <v>4078</v>
      </c>
      <c r="R3014" t="s">
        <v>248</v>
      </c>
      <c r="S3014">
        <v>153.31648000000001</v>
      </c>
      <c r="T3014" s="1095">
        <v>-28.380590000000002</v>
      </c>
    </row>
    <row r="3015" spans="16:20">
      <c r="P3015" s="1094">
        <v>2484</v>
      </c>
      <c r="Q3015" t="s">
        <v>4079</v>
      </c>
      <c r="R3015" t="s">
        <v>248</v>
      </c>
      <c r="S3015">
        <v>153.31648000000001</v>
      </c>
      <c r="T3015" s="1095">
        <v>-28.380590000000002</v>
      </c>
    </row>
    <row r="3016" spans="16:20">
      <c r="P3016" s="1094">
        <v>2484</v>
      </c>
      <c r="Q3016" t="s">
        <v>4080</v>
      </c>
      <c r="R3016" t="s">
        <v>248</v>
      </c>
      <c r="S3016">
        <v>153.31648000000001</v>
      </c>
      <c r="T3016" s="1095">
        <v>-28.380590000000002</v>
      </c>
    </row>
    <row r="3017" spans="16:20">
      <c r="P3017" s="1094">
        <v>2484</v>
      </c>
      <c r="Q3017" t="s">
        <v>4081</v>
      </c>
      <c r="R3017" t="s">
        <v>248</v>
      </c>
      <c r="S3017">
        <v>153.31648000000001</v>
      </c>
      <c r="T3017" s="1095">
        <v>-28.380590000000002</v>
      </c>
    </row>
    <row r="3018" spans="16:20">
      <c r="P3018" s="1094">
        <v>2484</v>
      </c>
      <c r="Q3018" t="s">
        <v>2686</v>
      </c>
      <c r="R3018" t="s">
        <v>248</v>
      </c>
      <c r="S3018">
        <v>153.31648000000001</v>
      </c>
      <c r="T3018" s="1095">
        <v>-28.380590000000002</v>
      </c>
    </row>
    <row r="3019" spans="16:20">
      <c r="P3019" s="1094">
        <v>2484</v>
      </c>
      <c r="Q3019" t="s">
        <v>4082</v>
      </c>
      <c r="R3019" t="s">
        <v>248</v>
      </c>
      <c r="S3019">
        <v>153.31648000000001</v>
      </c>
      <c r="T3019" s="1095">
        <v>-28.380590000000002</v>
      </c>
    </row>
    <row r="3020" spans="16:20">
      <c r="P3020" s="1094">
        <v>2484</v>
      </c>
      <c r="Q3020" t="s">
        <v>4083</v>
      </c>
      <c r="R3020" t="s">
        <v>248</v>
      </c>
      <c r="S3020">
        <v>153.31648000000001</v>
      </c>
      <c r="T3020" s="1095">
        <v>-28.380590000000002</v>
      </c>
    </row>
    <row r="3021" spans="16:20">
      <c r="P3021" s="1094">
        <v>2484</v>
      </c>
      <c r="Q3021" t="s">
        <v>4084</v>
      </c>
      <c r="R3021" t="s">
        <v>248</v>
      </c>
      <c r="S3021">
        <v>153.31648000000001</v>
      </c>
      <c r="T3021" s="1095">
        <v>-28.380590000000002</v>
      </c>
    </row>
    <row r="3022" spans="16:20">
      <c r="P3022" s="1094">
        <v>2484</v>
      </c>
      <c r="Q3022" t="s">
        <v>4085</v>
      </c>
      <c r="R3022" t="s">
        <v>248</v>
      </c>
      <c r="S3022">
        <v>153.31648000000001</v>
      </c>
      <c r="T3022" s="1095">
        <v>-28.380590000000002</v>
      </c>
    </row>
    <row r="3023" spans="16:20">
      <c r="P3023" s="1094">
        <v>2484</v>
      </c>
      <c r="Q3023" t="s">
        <v>4086</v>
      </c>
      <c r="R3023" t="s">
        <v>248</v>
      </c>
      <c r="S3023">
        <v>153.31648000000001</v>
      </c>
      <c r="T3023" s="1095">
        <v>-28.380590000000002</v>
      </c>
    </row>
    <row r="3024" spans="16:20">
      <c r="P3024" s="1094">
        <v>2484</v>
      </c>
      <c r="Q3024" t="s">
        <v>4087</v>
      </c>
      <c r="R3024" t="s">
        <v>248</v>
      </c>
      <c r="S3024">
        <v>153.31648000000001</v>
      </c>
      <c r="T3024" s="1095">
        <v>-28.380590000000002</v>
      </c>
    </row>
    <row r="3025" spans="16:20">
      <c r="P3025" s="1094">
        <v>2484</v>
      </c>
      <c r="Q3025" t="s">
        <v>4088</v>
      </c>
      <c r="R3025" t="s">
        <v>248</v>
      </c>
      <c r="S3025">
        <v>153.31648000000001</v>
      </c>
      <c r="T3025" s="1095">
        <v>-28.380590000000002</v>
      </c>
    </row>
    <row r="3026" spans="16:20">
      <c r="P3026" s="1094">
        <v>2484</v>
      </c>
      <c r="Q3026" t="s">
        <v>4089</v>
      </c>
      <c r="R3026" t="s">
        <v>248</v>
      </c>
      <c r="S3026">
        <v>153.31648000000001</v>
      </c>
      <c r="T3026" s="1095">
        <v>-28.380590000000002</v>
      </c>
    </row>
    <row r="3027" spans="16:20">
      <c r="P3027" s="1094">
        <v>2484</v>
      </c>
      <c r="Q3027" t="s">
        <v>4090</v>
      </c>
      <c r="R3027" t="s">
        <v>248</v>
      </c>
      <c r="S3027">
        <v>153.31648000000001</v>
      </c>
      <c r="T3027" s="1095">
        <v>-28.380590000000002</v>
      </c>
    </row>
    <row r="3028" spans="16:20">
      <c r="P3028" s="1094">
        <v>2484</v>
      </c>
      <c r="Q3028" t="s">
        <v>4091</v>
      </c>
      <c r="R3028" t="s">
        <v>248</v>
      </c>
      <c r="S3028">
        <v>153.31648000000001</v>
      </c>
      <c r="T3028" s="1095">
        <v>-28.380590000000002</v>
      </c>
    </row>
    <row r="3029" spans="16:20">
      <c r="P3029" s="1094">
        <v>2484</v>
      </c>
      <c r="Q3029" t="s">
        <v>4092</v>
      </c>
      <c r="R3029" t="s">
        <v>248</v>
      </c>
      <c r="S3029">
        <v>153.31648000000001</v>
      </c>
      <c r="T3029" s="1095">
        <v>-28.380590000000002</v>
      </c>
    </row>
    <row r="3030" spans="16:20">
      <c r="P3030" s="1094">
        <v>2484</v>
      </c>
      <c r="Q3030" t="s">
        <v>4093</v>
      </c>
      <c r="R3030" t="s">
        <v>248</v>
      </c>
      <c r="S3030">
        <v>153.31648000000001</v>
      </c>
      <c r="T3030" s="1095">
        <v>-28.380590000000002</v>
      </c>
    </row>
    <row r="3031" spans="16:20">
      <c r="P3031" s="1094">
        <v>2484</v>
      </c>
      <c r="Q3031" t="s">
        <v>4094</v>
      </c>
      <c r="R3031" t="s">
        <v>248</v>
      </c>
      <c r="S3031">
        <v>153.31648000000001</v>
      </c>
      <c r="T3031" s="1095">
        <v>-28.380590000000002</v>
      </c>
    </row>
    <row r="3032" spans="16:20">
      <c r="P3032" s="1094">
        <v>2484</v>
      </c>
      <c r="Q3032" t="s">
        <v>4095</v>
      </c>
      <c r="R3032" t="s">
        <v>248</v>
      </c>
      <c r="S3032">
        <v>153.31648000000001</v>
      </c>
      <c r="T3032" s="1095">
        <v>-28.380590000000002</v>
      </c>
    </row>
    <row r="3033" spans="16:20">
      <c r="P3033" s="1094">
        <v>2484</v>
      </c>
      <c r="Q3033" t="s">
        <v>4096</v>
      </c>
      <c r="R3033" t="s">
        <v>248</v>
      </c>
      <c r="S3033">
        <v>153.31648000000001</v>
      </c>
      <c r="T3033" s="1095">
        <v>-28.380590000000002</v>
      </c>
    </row>
    <row r="3034" spans="16:20">
      <c r="P3034" s="1094">
        <v>2484</v>
      </c>
      <c r="Q3034" t="s">
        <v>4097</v>
      </c>
      <c r="R3034" t="s">
        <v>248</v>
      </c>
      <c r="S3034">
        <v>153.31648000000001</v>
      </c>
      <c r="T3034" s="1095">
        <v>-28.380590000000002</v>
      </c>
    </row>
    <row r="3035" spans="16:20">
      <c r="P3035" s="1094">
        <v>2484</v>
      </c>
      <c r="Q3035" t="s">
        <v>4098</v>
      </c>
      <c r="R3035" t="s">
        <v>248</v>
      </c>
      <c r="S3035">
        <v>153.31648000000001</v>
      </c>
      <c r="T3035" s="1095">
        <v>-28.380590000000002</v>
      </c>
    </row>
    <row r="3036" spans="16:20">
      <c r="P3036" s="1094">
        <v>2484</v>
      </c>
      <c r="Q3036" t="s">
        <v>4099</v>
      </c>
      <c r="R3036" t="s">
        <v>248</v>
      </c>
      <c r="S3036">
        <v>153.31648000000001</v>
      </c>
      <c r="T3036" s="1095">
        <v>-28.380590000000002</v>
      </c>
    </row>
    <row r="3037" spans="16:20">
      <c r="P3037" s="1094">
        <v>2484</v>
      </c>
      <c r="Q3037" t="s">
        <v>4100</v>
      </c>
      <c r="R3037" t="s">
        <v>248</v>
      </c>
      <c r="S3037">
        <v>153.31648000000001</v>
      </c>
      <c r="T3037" s="1095">
        <v>-28.380590000000002</v>
      </c>
    </row>
    <row r="3038" spans="16:20">
      <c r="P3038" s="1094">
        <v>2484</v>
      </c>
      <c r="Q3038" t="s">
        <v>4101</v>
      </c>
      <c r="R3038" t="s">
        <v>248</v>
      </c>
      <c r="S3038">
        <v>153.31648000000001</v>
      </c>
      <c r="T3038" s="1095">
        <v>-28.380590000000002</v>
      </c>
    </row>
    <row r="3039" spans="16:20">
      <c r="P3039" s="1094">
        <v>2484</v>
      </c>
      <c r="Q3039" t="s">
        <v>4102</v>
      </c>
      <c r="R3039" t="s">
        <v>248</v>
      </c>
      <c r="S3039">
        <v>153.31648000000001</v>
      </c>
      <c r="T3039" s="1095">
        <v>-28.380590000000002</v>
      </c>
    </row>
    <row r="3040" spans="16:20">
      <c r="P3040" s="1094">
        <v>2484</v>
      </c>
      <c r="Q3040" t="s">
        <v>4103</v>
      </c>
      <c r="R3040" t="s">
        <v>248</v>
      </c>
      <c r="S3040">
        <v>153.31648000000001</v>
      </c>
      <c r="T3040" s="1095">
        <v>-28.380590000000002</v>
      </c>
    </row>
    <row r="3041" spans="16:20">
      <c r="P3041" s="1094">
        <v>2484</v>
      </c>
      <c r="Q3041" t="s">
        <v>4104</v>
      </c>
      <c r="R3041" t="s">
        <v>248</v>
      </c>
      <c r="S3041">
        <v>153.31648000000001</v>
      </c>
      <c r="T3041" s="1095">
        <v>-28.380590000000002</v>
      </c>
    </row>
    <row r="3042" spans="16:20">
      <c r="P3042" s="1094">
        <v>2484</v>
      </c>
      <c r="Q3042" t="s">
        <v>4105</v>
      </c>
      <c r="R3042" t="s">
        <v>248</v>
      </c>
      <c r="S3042">
        <v>153.31648000000001</v>
      </c>
      <c r="T3042" s="1095">
        <v>-28.380590000000002</v>
      </c>
    </row>
    <row r="3043" spans="16:20">
      <c r="P3043" s="1094">
        <v>2484</v>
      </c>
      <c r="Q3043" t="s">
        <v>4106</v>
      </c>
      <c r="R3043" t="s">
        <v>248</v>
      </c>
      <c r="S3043">
        <v>153.31648000000001</v>
      </c>
      <c r="T3043" s="1095">
        <v>-28.380590000000002</v>
      </c>
    </row>
    <row r="3044" spans="16:20">
      <c r="P3044" s="1094">
        <v>2484</v>
      </c>
      <c r="Q3044" t="s">
        <v>4107</v>
      </c>
      <c r="R3044" t="s">
        <v>248</v>
      </c>
      <c r="S3044">
        <v>153.31648000000001</v>
      </c>
      <c r="T3044" s="1095">
        <v>-28.380590000000002</v>
      </c>
    </row>
    <row r="3045" spans="16:20">
      <c r="P3045" s="1094">
        <v>2484</v>
      </c>
      <c r="Q3045" t="s">
        <v>4108</v>
      </c>
      <c r="R3045" t="s">
        <v>248</v>
      </c>
      <c r="S3045">
        <v>153.31648000000001</v>
      </c>
      <c r="T3045" s="1095">
        <v>-28.380590000000002</v>
      </c>
    </row>
    <row r="3046" spans="16:20">
      <c r="P3046" s="1094">
        <v>2484</v>
      </c>
      <c r="Q3046" t="s">
        <v>4109</v>
      </c>
      <c r="R3046" t="s">
        <v>248</v>
      </c>
      <c r="S3046">
        <v>153.31648000000001</v>
      </c>
      <c r="T3046" s="1095">
        <v>-28.380590000000002</v>
      </c>
    </row>
    <row r="3047" spans="16:20">
      <c r="P3047" s="1094">
        <v>2484</v>
      </c>
      <c r="Q3047" t="s">
        <v>4110</v>
      </c>
      <c r="R3047" t="s">
        <v>248</v>
      </c>
      <c r="S3047">
        <v>153.31648000000001</v>
      </c>
      <c r="T3047" s="1095">
        <v>-28.380590000000002</v>
      </c>
    </row>
    <row r="3048" spans="16:20">
      <c r="P3048" s="1094">
        <v>2484</v>
      </c>
      <c r="Q3048" t="s">
        <v>4111</v>
      </c>
      <c r="R3048" t="s">
        <v>248</v>
      </c>
      <c r="S3048">
        <v>153.31648000000001</v>
      </c>
      <c r="T3048" s="1095">
        <v>-28.380590000000002</v>
      </c>
    </row>
    <row r="3049" spans="16:20">
      <c r="P3049" s="1094">
        <v>2484</v>
      </c>
      <c r="Q3049" t="s">
        <v>4112</v>
      </c>
      <c r="R3049" t="s">
        <v>248</v>
      </c>
      <c r="S3049">
        <v>153.31648000000001</v>
      </c>
      <c r="T3049" s="1095">
        <v>-28.380590000000002</v>
      </c>
    </row>
    <row r="3050" spans="16:20">
      <c r="P3050" s="1094">
        <v>2484</v>
      </c>
      <c r="Q3050" t="s">
        <v>4113</v>
      </c>
      <c r="R3050" t="s">
        <v>248</v>
      </c>
      <c r="S3050">
        <v>153.31648000000001</v>
      </c>
      <c r="T3050" s="1095">
        <v>-28.380590000000002</v>
      </c>
    </row>
    <row r="3051" spans="16:20">
      <c r="P3051" s="1094">
        <v>2484</v>
      </c>
      <c r="Q3051" t="s">
        <v>4114</v>
      </c>
      <c r="R3051" t="s">
        <v>248</v>
      </c>
      <c r="S3051">
        <v>153.31648000000001</v>
      </c>
      <c r="T3051" s="1095">
        <v>-28.380590000000002</v>
      </c>
    </row>
    <row r="3052" spans="16:20">
      <c r="P3052" s="1094">
        <v>2484</v>
      </c>
      <c r="Q3052" t="s">
        <v>4115</v>
      </c>
      <c r="R3052" t="s">
        <v>248</v>
      </c>
      <c r="S3052">
        <v>153.31648000000001</v>
      </c>
      <c r="T3052" s="1095">
        <v>-28.380590000000002</v>
      </c>
    </row>
    <row r="3053" spans="16:20">
      <c r="P3053" s="1094">
        <v>2484</v>
      </c>
      <c r="Q3053" t="s">
        <v>4116</v>
      </c>
      <c r="R3053" t="s">
        <v>248</v>
      </c>
      <c r="S3053">
        <v>153.31648000000001</v>
      </c>
      <c r="T3053" s="1095">
        <v>-28.380590000000002</v>
      </c>
    </row>
    <row r="3054" spans="16:20">
      <c r="P3054" s="1094">
        <v>2484</v>
      </c>
      <c r="Q3054" t="s">
        <v>4117</v>
      </c>
      <c r="R3054" t="s">
        <v>248</v>
      </c>
      <c r="S3054">
        <v>153.31648000000001</v>
      </c>
      <c r="T3054" s="1095">
        <v>-28.380590000000002</v>
      </c>
    </row>
    <row r="3055" spans="16:20">
      <c r="P3055" s="1094">
        <v>2484</v>
      </c>
      <c r="Q3055" t="s">
        <v>4118</v>
      </c>
      <c r="R3055" t="s">
        <v>248</v>
      </c>
      <c r="S3055">
        <v>153.31648000000001</v>
      </c>
      <c r="T3055" s="1095">
        <v>-28.380590000000002</v>
      </c>
    </row>
    <row r="3056" spans="16:20">
      <c r="P3056" s="1094">
        <v>2484</v>
      </c>
      <c r="Q3056" t="s">
        <v>4119</v>
      </c>
      <c r="R3056" t="s">
        <v>248</v>
      </c>
      <c r="S3056">
        <v>153.31648000000001</v>
      </c>
      <c r="T3056" s="1095">
        <v>-28.380590000000002</v>
      </c>
    </row>
    <row r="3057" spans="16:20">
      <c r="P3057" s="1094">
        <v>2484</v>
      </c>
      <c r="Q3057" t="s">
        <v>4120</v>
      </c>
      <c r="R3057" t="s">
        <v>248</v>
      </c>
      <c r="S3057">
        <v>153.31648000000001</v>
      </c>
      <c r="T3057" s="1095">
        <v>-28.380590000000002</v>
      </c>
    </row>
    <row r="3058" spans="16:20">
      <c r="P3058" s="1094">
        <v>2484</v>
      </c>
      <c r="Q3058" t="s">
        <v>4121</v>
      </c>
      <c r="R3058" t="s">
        <v>248</v>
      </c>
      <c r="S3058">
        <v>153.31648000000001</v>
      </c>
      <c r="T3058" s="1095">
        <v>-28.380590000000002</v>
      </c>
    </row>
    <row r="3059" spans="16:20">
      <c r="P3059" s="1094">
        <v>2484</v>
      </c>
      <c r="Q3059" t="s">
        <v>4122</v>
      </c>
      <c r="R3059" t="s">
        <v>248</v>
      </c>
      <c r="S3059">
        <v>153.31648000000001</v>
      </c>
      <c r="T3059" s="1095">
        <v>-28.380590000000002</v>
      </c>
    </row>
    <row r="3060" spans="16:20">
      <c r="P3060" s="1094">
        <v>2484</v>
      </c>
      <c r="Q3060" t="s">
        <v>4123</v>
      </c>
      <c r="R3060" t="s">
        <v>248</v>
      </c>
      <c r="S3060">
        <v>153.31648000000001</v>
      </c>
      <c r="T3060" s="1095">
        <v>-28.380590000000002</v>
      </c>
    </row>
    <row r="3061" spans="16:20">
      <c r="P3061" s="1094">
        <v>2484</v>
      </c>
      <c r="Q3061" t="s">
        <v>4124</v>
      </c>
      <c r="R3061" t="s">
        <v>248</v>
      </c>
      <c r="S3061">
        <v>153.31648000000001</v>
      </c>
      <c r="T3061" s="1095">
        <v>-28.380590000000002</v>
      </c>
    </row>
    <row r="3062" spans="16:20">
      <c r="P3062" s="1094">
        <v>2484</v>
      </c>
      <c r="Q3062" t="s">
        <v>4125</v>
      </c>
      <c r="R3062" t="s">
        <v>248</v>
      </c>
      <c r="S3062">
        <v>153.31648000000001</v>
      </c>
      <c r="T3062" s="1095">
        <v>-28.380590000000002</v>
      </c>
    </row>
    <row r="3063" spans="16:20">
      <c r="P3063" s="1094">
        <v>2484</v>
      </c>
      <c r="Q3063" t="s">
        <v>4126</v>
      </c>
      <c r="R3063" t="s">
        <v>248</v>
      </c>
      <c r="S3063">
        <v>153.31648000000001</v>
      </c>
      <c r="T3063" s="1095">
        <v>-28.380590000000002</v>
      </c>
    </row>
    <row r="3064" spans="16:20">
      <c r="P3064" s="1094">
        <v>2484</v>
      </c>
      <c r="Q3064" t="s">
        <v>4127</v>
      </c>
      <c r="R3064" t="s">
        <v>248</v>
      </c>
      <c r="S3064">
        <v>153.31648000000001</v>
      </c>
      <c r="T3064" s="1095">
        <v>-28.380590000000002</v>
      </c>
    </row>
    <row r="3065" spans="16:20">
      <c r="P3065" s="1094">
        <v>2484</v>
      </c>
      <c r="Q3065" t="s">
        <v>4128</v>
      </c>
      <c r="R3065" t="s">
        <v>248</v>
      </c>
      <c r="S3065">
        <v>153.31648000000001</v>
      </c>
      <c r="T3065" s="1095">
        <v>-28.380590000000002</v>
      </c>
    </row>
    <row r="3066" spans="16:20">
      <c r="P3066" s="1094">
        <v>2484</v>
      </c>
      <c r="Q3066" t="s">
        <v>4129</v>
      </c>
      <c r="R3066" t="s">
        <v>248</v>
      </c>
      <c r="S3066">
        <v>153.31648000000001</v>
      </c>
      <c r="T3066" s="1095">
        <v>-28.380590000000002</v>
      </c>
    </row>
    <row r="3067" spans="16:20">
      <c r="P3067" s="1094">
        <v>2484</v>
      </c>
      <c r="Q3067" t="s">
        <v>4130</v>
      </c>
      <c r="R3067" t="s">
        <v>248</v>
      </c>
      <c r="S3067">
        <v>153.31648000000001</v>
      </c>
      <c r="T3067" s="1095">
        <v>-28.380590000000002</v>
      </c>
    </row>
    <row r="3068" spans="16:20">
      <c r="P3068" s="1094">
        <v>2485</v>
      </c>
      <c r="Q3068" t="s">
        <v>4131</v>
      </c>
      <c r="R3068" t="s">
        <v>248</v>
      </c>
      <c r="S3068">
        <v>153.526816</v>
      </c>
      <c r="T3068" s="1095">
        <v>-28.184241</v>
      </c>
    </row>
    <row r="3069" spans="16:20">
      <c r="P3069" s="1094">
        <v>2485</v>
      </c>
      <c r="Q3069" t="s">
        <v>4132</v>
      </c>
      <c r="R3069" t="s">
        <v>248</v>
      </c>
      <c r="S3069">
        <v>153.526816</v>
      </c>
      <c r="T3069" s="1095">
        <v>-28.184241</v>
      </c>
    </row>
    <row r="3070" spans="16:20">
      <c r="P3070" s="1094">
        <v>2486</v>
      </c>
      <c r="Q3070" t="s">
        <v>4133</v>
      </c>
      <c r="R3070" t="s">
        <v>248</v>
      </c>
      <c r="S3070">
        <v>153.47921700000001</v>
      </c>
      <c r="T3070" s="1095">
        <v>-28.215215000000001</v>
      </c>
    </row>
    <row r="3071" spans="16:20">
      <c r="P3071" s="1094">
        <v>2486</v>
      </c>
      <c r="Q3071" t="s">
        <v>4134</v>
      </c>
      <c r="R3071" t="s">
        <v>248</v>
      </c>
      <c r="S3071">
        <v>153.47921700000001</v>
      </c>
      <c r="T3071" s="1095">
        <v>-28.215215000000001</v>
      </c>
    </row>
    <row r="3072" spans="16:20">
      <c r="P3072" s="1094">
        <v>2486</v>
      </c>
      <c r="Q3072" t="s">
        <v>4135</v>
      </c>
      <c r="R3072" t="s">
        <v>248</v>
      </c>
      <c r="S3072">
        <v>153.47921700000001</v>
      </c>
      <c r="T3072" s="1095">
        <v>-28.215215000000001</v>
      </c>
    </row>
    <row r="3073" spans="16:20">
      <c r="P3073" s="1094">
        <v>2486</v>
      </c>
      <c r="Q3073" t="s">
        <v>4136</v>
      </c>
      <c r="R3073" t="s">
        <v>248</v>
      </c>
      <c r="S3073">
        <v>153.47921700000001</v>
      </c>
      <c r="T3073" s="1095">
        <v>-28.215215000000001</v>
      </c>
    </row>
    <row r="3074" spans="16:20">
      <c r="P3074" s="1094">
        <v>2486</v>
      </c>
      <c r="Q3074" t="s">
        <v>4137</v>
      </c>
      <c r="R3074" t="s">
        <v>248</v>
      </c>
      <c r="S3074">
        <v>153.47921700000001</v>
      </c>
      <c r="T3074" s="1095">
        <v>-28.215215000000001</v>
      </c>
    </row>
    <row r="3075" spans="16:20">
      <c r="P3075" s="1094">
        <v>2486</v>
      </c>
      <c r="Q3075" t="s">
        <v>4138</v>
      </c>
      <c r="R3075" t="s">
        <v>248</v>
      </c>
      <c r="S3075">
        <v>153.47921700000001</v>
      </c>
      <c r="T3075" s="1095">
        <v>-28.215215000000001</v>
      </c>
    </row>
    <row r="3076" spans="16:20">
      <c r="P3076" s="1094">
        <v>2486</v>
      </c>
      <c r="Q3076" t="s">
        <v>4139</v>
      </c>
      <c r="R3076" t="s">
        <v>248</v>
      </c>
      <c r="S3076">
        <v>153.47921700000001</v>
      </c>
      <c r="T3076" s="1095">
        <v>-28.215215000000001</v>
      </c>
    </row>
    <row r="3077" spans="16:20">
      <c r="P3077" s="1094">
        <v>2486</v>
      </c>
      <c r="Q3077" t="s">
        <v>4140</v>
      </c>
      <c r="R3077" t="s">
        <v>248</v>
      </c>
      <c r="S3077">
        <v>153.47921700000001</v>
      </c>
      <c r="T3077" s="1095">
        <v>-28.215215000000001</v>
      </c>
    </row>
    <row r="3078" spans="16:20">
      <c r="P3078" s="1094">
        <v>2486</v>
      </c>
      <c r="Q3078" t="s">
        <v>4141</v>
      </c>
      <c r="R3078" t="s">
        <v>248</v>
      </c>
      <c r="S3078">
        <v>153.47921700000001</v>
      </c>
      <c r="T3078" s="1095">
        <v>-28.215215000000001</v>
      </c>
    </row>
    <row r="3079" spans="16:20">
      <c r="P3079" s="1094">
        <v>2486</v>
      </c>
      <c r="Q3079" t="s">
        <v>4142</v>
      </c>
      <c r="R3079" t="s">
        <v>248</v>
      </c>
      <c r="S3079">
        <v>153.47921700000001</v>
      </c>
      <c r="T3079" s="1095">
        <v>-28.215215000000001</v>
      </c>
    </row>
    <row r="3080" spans="16:20">
      <c r="P3080" s="1094">
        <v>2486</v>
      </c>
      <c r="Q3080" t="s">
        <v>4143</v>
      </c>
      <c r="R3080" t="s">
        <v>248</v>
      </c>
      <c r="S3080">
        <v>153.47921700000001</v>
      </c>
      <c r="T3080" s="1095">
        <v>-28.215215000000001</v>
      </c>
    </row>
    <row r="3081" spans="16:20">
      <c r="P3081" s="1094">
        <v>2486</v>
      </c>
      <c r="Q3081" t="s">
        <v>4144</v>
      </c>
      <c r="R3081" t="s">
        <v>248</v>
      </c>
      <c r="S3081">
        <v>153.47921700000001</v>
      </c>
      <c r="T3081" s="1095">
        <v>-28.215215000000001</v>
      </c>
    </row>
    <row r="3082" spans="16:20">
      <c r="P3082" s="1094">
        <v>2486</v>
      </c>
      <c r="Q3082" t="s">
        <v>4145</v>
      </c>
      <c r="R3082" t="s">
        <v>248</v>
      </c>
      <c r="S3082">
        <v>153.47921700000001</v>
      </c>
      <c r="T3082" s="1095">
        <v>-28.215215000000001</v>
      </c>
    </row>
    <row r="3083" spans="16:20">
      <c r="P3083" s="1094">
        <v>2487</v>
      </c>
      <c r="Q3083" t="s">
        <v>1374</v>
      </c>
      <c r="R3083" t="s">
        <v>248</v>
      </c>
      <c r="S3083">
        <v>153.548588</v>
      </c>
      <c r="T3083" s="1095">
        <v>-28.279730000000001</v>
      </c>
    </row>
    <row r="3084" spans="16:20">
      <c r="P3084" s="1094">
        <v>2487</v>
      </c>
      <c r="Q3084" t="s">
        <v>4146</v>
      </c>
      <c r="R3084" t="s">
        <v>248</v>
      </c>
      <c r="S3084">
        <v>153.548588</v>
      </c>
      <c r="T3084" s="1095">
        <v>-28.279730000000001</v>
      </c>
    </row>
    <row r="3085" spans="16:20">
      <c r="P3085" s="1094">
        <v>2487</v>
      </c>
      <c r="Q3085" t="s">
        <v>4147</v>
      </c>
      <c r="R3085" t="s">
        <v>248</v>
      </c>
      <c r="S3085">
        <v>153.548588</v>
      </c>
      <c r="T3085" s="1095">
        <v>-28.279730000000001</v>
      </c>
    </row>
    <row r="3086" spans="16:20">
      <c r="P3086" s="1094">
        <v>2487</v>
      </c>
      <c r="Q3086" t="s">
        <v>4148</v>
      </c>
      <c r="R3086" t="s">
        <v>248</v>
      </c>
      <c r="S3086">
        <v>153.548588</v>
      </c>
      <c r="T3086" s="1095">
        <v>-28.279730000000001</v>
      </c>
    </row>
    <row r="3087" spans="16:20">
      <c r="P3087" s="1094">
        <v>2487</v>
      </c>
      <c r="Q3087" t="s">
        <v>4149</v>
      </c>
      <c r="R3087" t="s">
        <v>248</v>
      </c>
      <c r="S3087">
        <v>153.548588</v>
      </c>
      <c r="T3087" s="1095">
        <v>-28.279730000000001</v>
      </c>
    </row>
    <row r="3088" spans="16:20">
      <c r="P3088" s="1094">
        <v>2487</v>
      </c>
      <c r="Q3088" t="s">
        <v>4150</v>
      </c>
      <c r="R3088" t="s">
        <v>248</v>
      </c>
      <c r="S3088">
        <v>153.548588</v>
      </c>
      <c r="T3088" s="1095">
        <v>-28.279730000000001</v>
      </c>
    </row>
    <row r="3089" spans="16:20">
      <c r="P3089" s="1094">
        <v>2487</v>
      </c>
      <c r="Q3089" t="s">
        <v>4151</v>
      </c>
      <c r="R3089" t="s">
        <v>248</v>
      </c>
      <c r="S3089">
        <v>153.548588</v>
      </c>
      <c r="T3089" s="1095">
        <v>-28.279730000000001</v>
      </c>
    </row>
    <row r="3090" spans="16:20">
      <c r="P3090" s="1094">
        <v>2488</v>
      </c>
      <c r="Q3090" t="s">
        <v>4152</v>
      </c>
      <c r="R3090" t="s">
        <v>248</v>
      </c>
      <c r="S3090">
        <v>153.56069299999999</v>
      </c>
      <c r="T3090" s="1095">
        <v>-28.340990000000001</v>
      </c>
    </row>
    <row r="3091" spans="16:20">
      <c r="P3091" s="1094">
        <v>2488</v>
      </c>
      <c r="Q3091" t="s">
        <v>4153</v>
      </c>
      <c r="R3091" t="s">
        <v>248</v>
      </c>
      <c r="S3091">
        <v>153.56069299999999</v>
      </c>
      <c r="T3091" s="1095">
        <v>-28.340990000000001</v>
      </c>
    </row>
    <row r="3092" spans="16:20">
      <c r="P3092" s="1094">
        <v>2488</v>
      </c>
      <c r="Q3092" t="s">
        <v>4154</v>
      </c>
      <c r="R3092" t="s">
        <v>248</v>
      </c>
      <c r="S3092">
        <v>153.56069299999999</v>
      </c>
      <c r="T3092" s="1095">
        <v>-28.340990000000001</v>
      </c>
    </row>
    <row r="3093" spans="16:20">
      <c r="P3093" s="1094">
        <v>2489</v>
      </c>
      <c r="Q3093" t="s">
        <v>4155</v>
      </c>
      <c r="R3093" t="s">
        <v>248</v>
      </c>
      <c r="S3093">
        <v>153.541853</v>
      </c>
      <c r="T3093" s="1095">
        <v>-28.392182999999999</v>
      </c>
    </row>
    <row r="3094" spans="16:20">
      <c r="P3094" s="1094">
        <v>2489</v>
      </c>
      <c r="Q3094" t="s">
        <v>4156</v>
      </c>
      <c r="R3094" t="s">
        <v>248</v>
      </c>
      <c r="S3094">
        <v>153.541853</v>
      </c>
      <c r="T3094" s="1095">
        <v>-28.392182999999999</v>
      </c>
    </row>
    <row r="3095" spans="16:20">
      <c r="P3095" s="1094">
        <v>2490</v>
      </c>
      <c r="Q3095" t="s">
        <v>4157</v>
      </c>
      <c r="R3095" t="s">
        <v>248</v>
      </c>
      <c r="S3095">
        <v>153.472644</v>
      </c>
      <c r="T3095" s="1095">
        <v>-28.271718</v>
      </c>
    </row>
    <row r="3096" spans="16:20">
      <c r="P3096" s="1094">
        <v>2490</v>
      </c>
      <c r="Q3096" t="s">
        <v>4158</v>
      </c>
      <c r="R3096" t="s">
        <v>248</v>
      </c>
      <c r="S3096">
        <v>153.472644</v>
      </c>
      <c r="T3096" s="1095">
        <v>-28.271718</v>
      </c>
    </row>
    <row r="3097" spans="16:20">
      <c r="P3097" s="1094">
        <v>2500</v>
      </c>
      <c r="Q3097" t="s">
        <v>4159</v>
      </c>
      <c r="R3097" t="s">
        <v>248</v>
      </c>
      <c r="S3097">
        <v>150.87429399999999</v>
      </c>
      <c r="T3097" s="1095">
        <v>-34.423171000000004</v>
      </c>
    </row>
    <row r="3098" spans="16:20">
      <c r="P3098" s="1094">
        <v>2500</v>
      </c>
      <c r="Q3098" t="s">
        <v>4160</v>
      </c>
      <c r="R3098" t="s">
        <v>248</v>
      </c>
      <c r="S3098">
        <v>150.87429399999999</v>
      </c>
      <c r="T3098" s="1095">
        <v>-34.423171000000004</v>
      </c>
    </row>
    <row r="3099" spans="16:20">
      <c r="P3099" s="1094">
        <v>2500</v>
      </c>
      <c r="Q3099" t="s">
        <v>4161</v>
      </c>
      <c r="R3099" t="s">
        <v>248</v>
      </c>
      <c r="S3099">
        <v>150.87429399999999</v>
      </c>
      <c r="T3099" s="1095">
        <v>-34.423171000000004</v>
      </c>
    </row>
    <row r="3100" spans="16:20">
      <c r="P3100" s="1094">
        <v>2500</v>
      </c>
      <c r="Q3100" t="s">
        <v>4162</v>
      </c>
      <c r="R3100" t="s">
        <v>248</v>
      </c>
      <c r="S3100">
        <v>150.87429399999999</v>
      </c>
      <c r="T3100" s="1095">
        <v>-34.423171000000004</v>
      </c>
    </row>
    <row r="3101" spans="16:20">
      <c r="P3101" s="1094">
        <v>2500</v>
      </c>
      <c r="Q3101" t="s">
        <v>4163</v>
      </c>
      <c r="R3101" t="s">
        <v>248</v>
      </c>
      <c r="S3101">
        <v>150.87429399999999</v>
      </c>
      <c r="T3101" s="1095">
        <v>-34.423171000000004</v>
      </c>
    </row>
    <row r="3102" spans="16:20">
      <c r="P3102" s="1094">
        <v>2500</v>
      </c>
      <c r="Q3102" t="s">
        <v>4164</v>
      </c>
      <c r="R3102" t="s">
        <v>248</v>
      </c>
      <c r="S3102">
        <v>150.87429399999999</v>
      </c>
      <c r="T3102" s="1095">
        <v>-34.423171000000004</v>
      </c>
    </row>
    <row r="3103" spans="16:20">
      <c r="P3103" s="1094">
        <v>2500</v>
      </c>
      <c r="Q3103" t="s">
        <v>4165</v>
      </c>
      <c r="R3103" t="s">
        <v>248</v>
      </c>
      <c r="S3103">
        <v>150.87429399999999</v>
      </c>
      <c r="T3103" s="1095">
        <v>-34.423171000000004</v>
      </c>
    </row>
    <row r="3104" spans="16:20">
      <c r="P3104" s="1094">
        <v>2500</v>
      </c>
      <c r="Q3104" t="s">
        <v>4166</v>
      </c>
      <c r="R3104" t="s">
        <v>248</v>
      </c>
      <c r="S3104">
        <v>150.87429399999999</v>
      </c>
      <c r="T3104" s="1095">
        <v>-34.423171000000004</v>
      </c>
    </row>
    <row r="3105" spans="16:20">
      <c r="P3105" s="1094">
        <v>2500</v>
      </c>
      <c r="Q3105" t="s">
        <v>4167</v>
      </c>
      <c r="R3105" t="s">
        <v>248</v>
      </c>
      <c r="S3105">
        <v>150.87429399999999</v>
      </c>
      <c r="T3105" s="1095">
        <v>-34.423171000000004</v>
      </c>
    </row>
    <row r="3106" spans="16:20">
      <c r="P3106" s="1094">
        <v>2500</v>
      </c>
      <c r="Q3106" t="s">
        <v>4168</v>
      </c>
      <c r="R3106" t="s">
        <v>248</v>
      </c>
      <c r="S3106">
        <v>150.87429399999999</v>
      </c>
      <c r="T3106" s="1095">
        <v>-34.423171000000004</v>
      </c>
    </row>
    <row r="3107" spans="16:20">
      <c r="P3107" s="1094">
        <v>2502</v>
      </c>
      <c r="Q3107" t="s">
        <v>4169</v>
      </c>
      <c r="R3107" t="s">
        <v>248</v>
      </c>
      <c r="S3107">
        <v>150.87308100000001</v>
      </c>
      <c r="T3107" s="1095">
        <v>-34.494723</v>
      </c>
    </row>
    <row r="3108" spans="16:20">
      <c r="P3108" s="1094">
        <v>2502</v>
      </c>
      <c r="Q3108" t="s">
        <v>4170</v>
      </c>
      <c r="R3108" t="s">
        <v>248</v>
      </c>
      <c r="S3108">
        <v>150.87308100000001</v>
      </c>
      <c r="T3108" s="1095">
        <v>-34.494723</v>
      </c>
    </row>
    <row r="3109" spans="16:20">
      <c r="P3109" s="1094">
        <v>2502</v>
      </c>
      <c r="Q3109" t="s">
        <v>4171</v>
      </c>
      <c r="R3109" t="s">
        <v>248</v>
      </c>
      <c r="S3109">
        <v>150.87308100000001</v>
      </c>
      <c r="T3109" s="1095">
        <v>-34.494723</v>
      </c>
    </row>
    <row r="3110" spans="16:20">
      <c r="P3110" s="1094">
        <v>2502</v>
      </c>
      <c r="Q3110" t="s">
        <v>4172</v>
      </c>
      <c r="R3110" t="s">
        <v>248</v>
      </c>
      <c r="S3110">
        <v>150.87308100000001</v>
      </c>
      <c r="T3110" s="1095">
        <v>-34.494723</v>
      </c>
    </row>
    <row r="3111" spans="16:20">
      <c r="P3111" s="1094">
        <v>2505</v>
      </c>
      <c r="Q3111" t="s">
        <v>4173</v>
      </c>
      <c r="R3111" t="s">
        <v>248</v>
      </c>
      <c r="S3111">
        <v>150.94389899999999</v>
      </c>
      <c r="T3111" s="1095">
        <v>-34.466405999999999</v>
      </c>
    </row>
    <row r="3112" spans="16:20">
      <c r="P3112" s="1094">
        <v>2505</v>
      </c>
      <c r="Q3112" t="s">
        <v>4174</v>
      </c>
      <c r="R3112" t="s">
        <v>248</v>
      </c>
      <c r="S3112">
        <v>150.94389899999999</v>
      </c>
      <c r="T3112" s="1095">
        <v>-34.466405999999999</v>
      </c>
    </row>
    <row r="3113" spans="16:20">
      <c r="P3113" s="1094">
        <v>2506</v>
      </c>
      <c r="Q3113" t="s">
        <v>4175</v>
      </c>
      <c r="R3113" t="s">
        <v>248</v>
      </c>
      <c r="S3113">
        <v>150.84079199999999</v>
      </c>
      <c r="T3113" s="1095">
        <v>-34.484940000000002</v>
      </c>
    </row>
    <row r="3114" spans="16:20">
      <c r="P3114" s="1094">
        <v>2508</v>
      </c>
      <c r="Q3114" t="s">
        <v>4176</v>
      </c>
      <c r="R3114" t="s">
        <v>248</v>
      </c>
      <c r="S3114">
        <v>150.96967900000001</v>
      </c>
      <c r="T3114" s="1095">
        <v>-34.230944000000001</v>
      </c>
    </row>
    <row r="3115" spans="16:20">
      <c r="P3115" s="1094">
        <v>2508</v>
      </c>
      <c r="Q3115" t="s">
        <v>4177</v>
      </c>
      <c r="R3115" t="s">
        <v>248</v>
      </c>
      <c r="S3115">
        <v>150.96967900000001</v>
      </c>
      <c r="T3115" s="1095">
        <v>-34.230944000000001</v>
      </c>
    </row>
    <row r="3116" spans="16:20">
      <c r="P3116" s="1094">
        <v>2508</v>
      </c>
      <c r="Q3116" t="s">
        <v>4178</v>
      </c>
      <c r="R3116" t="s">
        <v>248</v>
      </c>
      <c r="S3116">
        <v>150.96967900000001</v>
      </c>
      <c r="T3116" s="1095">
        <v>-34.230944000000001</v>
      </c>
    </row>
    <row r="3117" spans="16:20">
      <c r="P3117" s="1094">
        <v>2508</v>
      </c>
      <c r="Q3117" t="s">
        <v>4179</v>
      </c>
      <c r="R3117" t="s">
        <v>248</v>
      </c>
      <c r="S3117">
        <v>150.96967900000001</v>
      </c>
      <c r="T3117" s="1095">
        <v>-34.230944000000001</v>
      </c>
    </row>
    <row r="3118" spans="16:20">
      <c r="P3118" s="1094">
        <v>2508</v>
      </c>
      <c r="Q3118" t="s">
        <v>4180</v>
      </c>
      <c r="R3118" t="s">
        <v>248</v>
      </c>
      <c r="S3118">
        <v>150.96967900000001</v>
      </c>
      <c r="T3118" s="1095">
        <v>-34.230944000000001</v>
      </c>
    </row>
    <row r="3119" spans="16:20">
      <c r="P3119" s="1094">
        <v>2508</v>
      </c>
      <c r="Q3119" t="s">
        <v>4181</v>
      </c>
      <c r="R3119" t="s">
        <v>248</v>
      </c>
      <c r="S3119">
        <v>150.96967900000001</v>
      </c>
      <c r="T3119" s="1095">
        <v>-34.230944000000001</v>
      </c>
    </row>
    <row r="3120" spans="16:20">
      <c r="P3120" s="1094">
        <v>2508</v>
      </c>
      <c r="Q3120" t="s">
        <v>4182</v>
      </c>
      <c r="R3120" t="s">
        <v>248</v>
      </c>
      <c r="S3120">
        <v>150.96967900000001</v>
      </c>
      <c r="T3120" s="1095">
        <v>-34.230944000000001</v>
      </c>
    </row>
    <row r="3121" spans="16:20">
      <c r="P3121" s="1094">
        <v>2508</v>
      </c>
      <c r="Q3121" t="s">
        <v>4183</v>
      </c>
      <c r="R3121" t="s">
        <v>248</v>
      </c>
      <c r="S3121">
        <v>150.96967900000001</v>
      </c>
      <c r="T3121" s="1095">
        <v>-34.230944000000001</v>
      </c>
    </row>
    <row r="3122" spans="16:20">
      <c r="P3122" s="1094">
        <v>2515</v>
      </c>
      <c r="Q3122" t="s">
        <v>4184</v>
      </c>
      <c r="R3122" t="s">
        <v>248</v>
      </c>
      <c r="S3122">
        <v>150.9299</v>
      </c>
      <c r="T3122" s="1095">
        <v>-34.300293000000003</v>
      </c>
    </row>
    <row r="3123" spans="16:20">
      <c r="P3123" s="1094">
        <v>2515</v>
      </c>
      <c r="Q3123" t="s">
        <v>4185</v>
      </c>
      <c r="R3123" t="s">
        <v>248</v>
      </c>
      <c r="S3123">
        <v>150.9299</v>
      </c>
      <c r="T3123" s="1095">
        <v>-34.300293000000003</v>
      </c>
    </row>
    <row r="3124" spans="16:20">
      <c r="P3124" s="1094">
        <v>2515</v>
      </c>
      <c r="Q3124" t="s">
        <v>4186</v>
      </c>
      <c r="R3124" t="s">
        <v>248</v>
      </c>
      <c r="S3124">
        <v>150.9299</v>
      </c>
      <c r="T3124" s="1095">
        <v>-34.300293000000003</v>
      </c>
    </row>
    <row r="3125" spans="16:20">
      <c r="P3125" s="1094">
        <v>2515</v>
      </c>
      <c r="Q3125" t="s">
        <v>4187</v>
      </c>
      <c r="R3125" t="s">
        <v>248</v>
      </c>
      <c r="S3125">
        <v>150.9299</v>
      </c>
      <c r="T3125" s="1095">
        <v>-34.300293000000003</v>
      </c>
    </row>
    <row r="3126" spans="16:20">
      <c r="P3126" s="1094">
        <v>2515</v>
      </c>
      <c r="Q3126" t="s">
        <v>4188</v>
      </c>
      <c r="R3126" t="s">
        <v>248</v>
      </c>
      <c r="S3126">
        <v>150.9299</v>
      </c>
      <c r="T3126" s="1095">
        <v>-34.300293000000003</v>
      </c>
    </row>
    <row r="3127" spans="16:20">
      <c r="P3127" s="1094">
        <v>2515</v>
      </c>
      <c r="Q3127" t="s">
        <v>4189</v>
      </c>
      <c r="R3127" t="s">
        <v>248</v>
      </c>
      <c r="S3127">
        <v>150.9299</v>
      </c>
      <c r="T3127" s="1095">
        <v>-34.300293000000003</v>
      </c>
    </row>
    <row r="3128" spans="16:20">
      <c r="P3128" s="1094">
        <v>2516</v>
      </c>
      <c r="Q3128" t="s">
        <v>4190</v>
      </c>
      <c r="R3128" t="s">
        <v>248</v>
      </c>
      <c r="S3128">
        <v>150.90483499999999</v>
      </c>
      <c r="T3128" s="1095">
        <v>-34.332109000000003</v>
      </c>
    </row>
    <row r="3129" spans="16:20">
      <c r="P3129" s="1094">
        <v>2516</v>
      </c>
      <c r="Q3129" t="s">
        <v>4191</v>
      </c>
      <c r="R3129" t="s">
        <v>248</v>
      </c>
      <c r="S3129">
        <v>150.90483499999999</v>
      </c>
      <c r="T3129" s="1095">
        <v>-34.332109000000003</v>
      </c>
    </row>
    <row r="3130" spans="16:20">
      <c r="P3130" s="1094">
        <v>2517</v>
      </c>
      <c r="Q3130" t="s">
        <v>4192</v>
      </c>
      <c r="R3130" t="s">
        <v>248</v>
      </c>
      <c r="S3130">
        <v>150.89116899999999</v>
      </c>
      <c r="T3130" s="1095">
        <v>-34.349361999999999</v>
      </c>
    </row>
    <row r="3131" spans="16:20">
      <c r="P3131" s="1094">
        <v>2517</v>
      </c>
      <c r="Q3131" t="s">
        <v>4193</v>
      </c>
      <c r="R3131" t="s">
        <v>248</v>
      </c>
      <c r="S3131">
        <v>150.89116899999999</v>
      </c>
      <c r="T3131" s="1095">
        <v>-34.349361999999999</v>
      </c>
    </row>
    <row r="3132" spans="16:20">
      <c r="P3132" s="1094">
        <v>2517</v>
      </c>
      <c r="Q3132" t="s">
        <v>4194</v>
      </c>
      <c r="R3132" t="s">
        <v>248</v>
      </c>
      <c r="S3132">
        <v>150.89116899999999</v>
      </c>
      <c r="T3132" s="1095">
        <v>-34.349361999999999</v>
      </c>
    </row>
    <row r="3133" spans="16:20">
      <c r="P3133" s="1094">
        <v>2518</v>
      </c>
      <c r="Q3133" t="s">
        <v>4195</v>
      </c>
      <c r="R3133" t="s">
        <v>248</v>
      </c>
      <c r="S3133">
        <v>150.88672099999999</v>
      </c>
      <c r="T3133" s="1095">
        <v>-34.373654000000002</v>
      </c>
    </row>
    <row r="3134" spans="16:20">
      <c r="P3134" s="1094">
        <v>2518</v>
      </c>
      <c r="Q3134" t="s">
        <v>4196</v>
      </c>
      <c r="R3134" t="s">
        <v>248</v>
      </c>
      <c r="S3134">
        <v>150.88672099999999</v>
      </c>
      <c r="T3134" s="1095">
        <v>-34.373654000000002</v>
      </c>
    </row>
    <row r="3135" spans="16:20">
      <c r="P3135" s="1094">
        <v>2518</v>
      </c>
      <c r="Q3135" t="s">
        <v>4197</v>
      </c>
      <c r="R3135" t="s">
        <v>248</v>
      </c>
      <c r="S3135">
        <v>150.88672099999999</v>
      </c>
      <c r="T3135" s="1095">
        <v>-34.373654000000002</v>
      </c>
    </row>
    <row r="3136" spans="16:20">
      <c r="P3136" s="1094">
        <v>2518</v>
      </c>
      <c r="Q3136" t="s">
        <v>4198</v>
      </c>
      <c r="R3136" t="s">
        <v>248</v>
      </c>
      <c r="S3136">
        <v>150.88672099999999</v>
      </c>
      <c r="T3136" s="1095">
        <v>-34.373654000000002</v>
      </c>
    </row>
    <row r="3137" spans="16:20">
      <c r="P3137" s="1094">
        <v>2518</v>
      </c>
      <c r="Q3137" t="s">
        <v>4199</v>
      </c>
      <c r="R3137" t="s">
        <v>248</v>
      </c>
      <c r="S3137">
        <v>150.88672099999999</v>
      </c>
      <c r="T3137" s="1095">
        <v>-34.373654000000002</v>
      </c>
    </row>
    <row r="3138" spans="16:20">
      <c r="P3138" s="1094">
        <v>2519</v>
      </c>
      <c r="Q3138" t="s">
        <v>4200</v>
      </c>
      <c r="R3138" t="s">
        <v>248</v>
      </c>
      <c r="S3138">
        <v>150.70962299999999</v>
      </c>
      <c r="T3138" s="1095">
        <v>-34.355580000000003</v>
      </c>
    </row>
    <row r="3139" spans="16:20">
      <c r="P3139" s="1094">
        <v>2519</v>
      </c>
      <c r="Q3139" t="s">
        <v>4201</v>
      </c>
      <c r="R3139" t="s">
        <v>248</v>
      </c>
      <c r="S3139">
        <v>150.70962299999999</v>
      </c>
      <c r="T3139" s="1095">
        <v>-34.355580000000003</v>
      </c>
    </row>
    <row r="3140" spans="16:20">
      <c r="P3140" s="1094">
        <v>2519</v>
      </c>
      <c r="Q3140" t="s">
        <v>4202</v>
      </c>
      <c r="R3140" t="s">
        <v>248</v>
      </c>
      <c r="S3140">
        <v>150.70962299999999</v>
      </c>
      <c r="T3140" s="1095">
        <v>-34.355580000000003</v>
      </c>
    </row>
    <row r="3141" spans="16:20">
      <c r="P3141" s="1094">
        <v>2519</v>
      </c>
      <c r="Q3141" t="s">
        <v>4203</v>
      </c>
      <c r="R3141" t="s">
        <v>248</v>
      </c>
      <c r="S3141">
        <v>150.70962299999999</v>
      </c>
      <c r="T3141" s="1095">
        <v>-34.355580000000003</v>
      </c>
    </row>
    <row r="3142" spans="16:20">
      <c r="P3142" s="1094">
        <v>2519</v>
      </c>
      <c r="Q3142" t="s">
        <v>4204</v>
      </c>
      <c r="R3142" t="s">
        <v>248</v>
      </c>
      <c r="S3142">
        <v>150.70962299999999</v>
      </c>
      <c r="T3142" s="1095">
        <v>-34.355580000000003</v>
      </c>
    </row>
    <row r="3143" spans="16:20">
      <c r="P3143" s="1094">
        <v>2519</v>
      </c>
      <c r="Q3143" t="s">
        <v>4205</v>
      </c>
      <c r="R3143" t="s">
        <v>248</v>
      </c>
      <c r="S3143">
        <v>150.70962299999999</v>
      </c>
      <c r="T3143" s="1095">
        <v>-34.355580000000003</v>
      </c>
    </row>
    <row r="3144" spans="16:20">
      <c r="P3144" s="1094">
        <v>2520</v>
      </c>
      <c r="Q3144" t="s">
        <v>4165</v>
      </c>
      <c r="R3144" t="s">
        <v>248</v>
      </c>
      <c r="S3144">
        <v>0</v>
      </c>
      <c r="T3144" s="1095">
        <v>0</v>
      </c>
    </row>
    <row r="3145" spans="16:20">
      <c r="P3145" s="1094">
        <v>2521</v>
      </c>
      <c r="Q3145" t="s">
        <v>4206</v>
      </c>
      <c r="R3145" t="s">
        <v>248</v>
      </c>
      <c r="S3145">
        <v>0</v>
      </c>
      <c r="T3145" s="1095">
        <v>0</v>
      </c>
    </row>
    <row r="3146" spans="16:20">
      <c r="P3146" s="1094">
        <v>2522</v>
      </c>
      <c r="Q3146" t="s">
        <v>4207</v>
      </c>
      <c r="R3146" t="s">
        <v>248</v>
      </c>
      <c r="S3146">
        <v>0</v>
      </c>
      <c r="T3146" s="1095">
        <v>0</v>
      </c>
    </row>
    <row r="3147" spans="16:20">
      <c r="P3147" s="1094">
        <v>2525</v>
      </c>
      <c r="Q3147" t="s">
        <v>4208</v>
      </c>
      <c r="R3147" t="s">
        <v>248</v>
      </c>
      <c r="S3147">
        <v>150.818904</v>
      </c>
      <c r="T3147" s="1095">
        <v>-34.437229000000002</v>
      </c>
    </row>
    <row r="3148" spans="16:20">
      <c r="P3148" s="1094">
        <v>2526</v>
      </c>
      <c r="Q3148" t="s">
        <v>4209</v>
      </c>
      <c r="R3148" t="s">
        <v>248</v>
      </c>
      <c r="S3148">
        <v>0</v>
      </c>
      <c r="T3148" s="1095">
        <v>0</v>
      </c>
    </row>
    <row r="3149" spans="16:20">
      <c r="P3149" s="1094">
        <v>2526</v>
      </c>
      <c r="Q3149" t="s">
        <v>4210</v>
      </c>
      <c r="R3149" t="s">
        <v>248</v>
      </c>
      <c r="S3149">
        <v>0</v>
      </c>
      <c r="T3149" s="1095">
        <v>0</v>
      </c>
    </row>
    <row r="3150" spans="16:20">
      <c r="P3150" s="1094">
        <v>2526</v>
      </c>
      <c r="Q3150" t="s">
        <v>4211</v>
      </c>
      <c r="R3150" t="s">
        <v>248</v>
      </c>
      <c r="S3150">
        <v>0</v>
      </c>
      <c r="T3150" s="1095">
        <v>0</v>
      </c>
    </row>
    <row r="3151" spans="16:20">
      <c r="P3151" s="1094">
        <v>2526</v>
      </c>
      <c r="Q3151" t="s">
        <v>4212</v>
      </c>
      <c r="R3151" t="s">
        <v>248</v>
      </c>
      <c r="S3151">
        <v>0</v>
      </c>
      <c r="T3151" s="1095">
        <v>0</v>
      </c>
    </row>
    <row r="3152" spans="16:20">
      <c r="P3152" s="1094">
        <v>2526</v>
      </c>
      <c r="Q3152" t="s">
        <v>4213</v>
      </c>
      <c r="R3152" t="s">
        <v>248</v>
      </c>
      <c r="S3152">
        <v>0</v>
      </c>
      <c r="T3152" s="1095">
        <v>0</v>
      </c>
    </row>
    <row r="3153" spans="16:20">
      <c r="P3153" s="1094">
        <v>2526</v>
      </c>
      <c r="Q3153" t="s">
        <v>4214</v>
      </c>
      <c r="R3153" t="s">
        <v>248</v>
      </c>
      <c r="S3153">
        <v>0</v>
      </c>
      <c r="T3153" s="1095">
        <v>0</v>
      </c>
    </row>
    <row r="3154" spans="16:20">
      <c r="P3154" s="1094">
        <v>2526</v>
      </c>
      <c r="Q3154" t="s">
        <v>4215</v>
      </c>
      <c r="R3154" t="s">
        <v>248</v>
      </c>
      <c r="S3154">
        <v>0</v>
      </c>
      <c r="T3154" s="1095">
        <v>0</v>
      </c>
    </row>
    <row r="3155" spans="16:20">
      <c r="P3155" s="1094">
        <v>2526</v>
      </c>
      <c r="Q3155" t="s">
        <v>4216</v>
      </c>
      <c r="R3155" t="s">
        <v>248</v>
      </c>
      <c r="S3155">
        <v>0</v>
      </c>
      <c r="T3155" s="1095">
        <v>0</v>
      </c>
    </row>
    <row r="3156" spans="16:20">
      <c r="P3156" s="1094">
        <v>2527</v>
      </c>
      <c r="Q3156" t="s">
        <v>4217</v>
      </c>
      <c r="R3156" t="s">
        <v>248</v>
      </c>
      <c r="S3156">
        <v>150.754592</v>
      </c>
      <c r="T3156" s="1095">
        <v>-34.583539000000002</v>
      </c>
    </row>
    <row r="3157" spans="16:20">
      <c r="P3157" s="1094">
        <v>2527</v>
      </c>
      <c r="Q3157" t="s">
        <v>4218</v>
      </c>
      <c r="R3157" t="s">
        <v>248</v>
      </c>
      <c r="S3157">
        <v>150.754592</v>
      </c>
      <c r="T3157" s="1095">
        <v>-34.583539000000002</v>
      </c>
    </row>
    <row r="3158" spans="16:20">
      <c r="P3158" s="1094">
        <v>2527</v>
      </c>
      <c r="Q3158" t="s">
        <v>4219</v>
      </c>
      <c r="R3158" t="s">
        <v>248</v>
      </c>
      <c r="S3158">
        <v>150.754592</v>
      </c>
      <c r="T3158" s="1095">
        <v>-34.583539000000002</v>
      </c>
    </row>
    <row r="3159" spans="16:20">
      <c r="P3159" s="1094">
        <v>2527</v>
      </c>
      <c r="Q3159" t="s">
        <v>4220</v>
      </c>
      <c r="R3159" t="s">
        <v>248</v>
      </c>
      <c r="S3159">
        <v>150.754592</v>
      </c>
      <c r="T3159" s="1095">
        <v>-34.583539000000002</v>
      </c>
    </row>
    <row r="3160" spans="16:20">
      <c r="P3160" s="1094">
        <v>2527</v>
      </c>
      <c r="Q3160" t="s">
        <v>4221</v>
      </c>
      <c r="R3160" t="s">
        <v>248</v>
      </c>
      <c r="S3160">
        <v>150.754592</v>
      </c>
      <c r="T3160" s="1095">
        <v>-34.583539000000002</v>
      </c>
    </row>
    <row r="3161" spans="16:20">
      <c r="P3161" s="1094">
        <v>2527</v>
      </c>
      <c r="Q3161" t="s">
        <v>4222</v>
      </c>
      <c r="R3161" t="s">
        <v>248</v>
      </c>
      <c r="S3161">
        <v>150.754592</v>
      </c>
      <c r="T3161" s="1095">
        <v>-34.583539000000002</v>
      </c>
    </row>
    <row r="3162" spans="16:20">
      <c r="P3162" s="1094">
        <v>2527</v>
      </c>
      <c r="Q3162" t="s">
        <v>4223</v>
      </c>
      <c r="R3162" t="s">
        <v>248</v>
      </c>
      <c r="S3162">
        <v>150.754592</v>
      </c>
      <c r="T3162" s="1095">
        <v>-34.583539000000002</v>
      </c>
    </row>
    <row r="3163" spans="16:20">
      <c r="P3163" s="1094">
        <v>2528</v>
      </c>
      <c r="Q3163" t="s">
        <v>4224</v>
      </c>
      <c r="R3163" t="s">
        <v>248</v>
      </c>
      <c r="S3163">
        <v>150.85513499999999</v>
      </c>
      <c r="T3163" s="1095">
        <v>-34.548721999999998</v>
      </c>
    </row>
    <row r="3164" spans="16:20">
      <c r="P3164" s="1094">
        <v>2528</v>
      </c>
      <c r="Q3164" t="s">
        <v>4225</v>
      </c>
      <c r="R3164" t="s">
        <v>248</v>
      </c>
      <c r="S3164">
        <v>150.85513499999999</v>
      </c>
      <c r="T3164" s="1095">
        <v>-34.548721999999998</v>
      </c>
    </row>
    <row r="3165" spans="16:20">
      <c r="P3165" s="1094">
        <v>2528</v>
      </c>
      <c r="Q3165" t="s">
        <v>4226</v>
      </c>
      <c r="R3165" t="s">
        <v>248</v>
      </c>
      <c r="S3165">
        <v>150.85513499999999</v>
      </c>
      <c r="T3165" s="1095">
        <v>-34.548721999999998</v>
      </c>
    </row>
    <row r="3166" spans="16:20">
      <c r="P3166" s="1094">
        <v>2528</v>
      </c>
      <c r="Q3166" t="s">
        <v>4227</v>
      </c>
      <c r="R3166" t="s">
        <v>248</v>
      </c>
      <c r="S3166">
        <v>150.85513499999999</v>
      </c>
      <c r="T3166" s="1095">
        <v>-34.548721999999998</v>
      </c>
    </row>
    <row r="3167" spans="16:20">
      <c r="P3167" s="1094">
        <v>2528</v>
      </c>
      <c r="Q3167" t="s">
        <v>4228</v>
      </c>
      <c r="R3167" t="s">
        <v>248</v>
      </c>
      <c r="S3167">
        <v>150.85513499999999</v>
      </c>
      <c r="T3167" s="1095">
        <v>-34.548721999999998</v>
      </c>
    </row>
    <row r="3168" spans="16:20">
      <c r="P3168" s="1094">
        <v>2528</v>
      </c>
      <c r="Q3168" t="s">
        <v>4229</v>
      </c>
      <c r="R3168" t="s">
        <v>248</v>
      </c>
      <c r="S3168">
        <v>150.85513499999999</v>
      </c>
      <c r="T3168" s="1095">
        <v>-34.548721999999998</v>
      </c>
    </row>
    <row r="3169" spans="16:20">
      <c r="P3169" s="1094">
        <v>2529</v>
      </c>
      <c r="Q3169" t="s">
        <v>4230</v>
      </c>
      <c r="R3169" t="s">
        <v>248</v>
      </c>
      <c r="S3169">
        <v>150.84584000000001</v>
      </c>
      <c r="T3169" s="1095">
        <v>-34.592433</v>
      </c>
    </row>
    <row r="3170" spans="16:20">
      <c r="P3170" s="1094">
        <v>2529</v>
      </c>
      <c r="Q3170" t="s">
        <v>4231</v>
      </c>
      <c r="R3170" t="s">
        <v>248</v>
      </c>
      <c r="S3170">
        <v>150.84584000000001</v>
      </c>
      <c r="T3170" s="1095">
        <v>-34.592433</v>
      </c>
    </row>
    <row r="3171" spans="16:20">
      <c r="P3171" s="1094">
        <v>2529</v>
      </c>
      <c r="Q3171" t="s">
        <v>4232</v>
      </c>
      <c r="R3171" t="s">
        <v>248</v>
      </c>
      <c r="S3171">
        <v>150.84584000000001</v>
      </c>
      <c r="T3171" s="1095">
        <v>-34.592433</v>
      </c>
    </row>
    <row r="3172" spans="16:20">
      <c r="P3172" s="1094">
        <v>2529</v>
      </c>
      <c r="Q3172" t="s">
        <v>4233</v>
      </c>
      <c r="R3172" t="s">
        <v>248</v>
      </c>
      <c r="S3172">
        <v>150.84584000000001</v>
      </c>
      <c r="T3172" s="1095">
        <v>-34.592433</v>
      </c>
    </row>
    <row r="3173" spans="16:20">
      <c r="P3173" s="1094">
        <v>2529</v>
      </c>
      <c r="Q3173" t="s">
        <v>4234</v>
      </c>
      <c r="R3173" t="s">
        <v>248</v>
      </c>
      <c r="S3173">
        <v>150.84584000000001</v>
      </c>
      <c r="T3173" s="1095">
        <v>-34.592433</v>
      </c>
    </row>
    <row r="3174" spans="16:20">
      <c r="P3174" s="1094">
        <v>2529</v>
      </c>
      <c r="Q3174" t="s">
        <v>4235</v>
      </c>
      <c r="R3174" t="s">
        <v>248</v>
      </c>
      <c r="S3174">
        <v>150.84584000000001</v>
      </c>
      <c r="T3174" s="1095">
        <v>-34.592433</v>
      </c>
    </row>
    <row r="3175" spans="16:20">
      <c r="P3175" s="1094">
        <v>2529</v>
      </c>
      <c r="Q3175" t="s">
        <v>4236</v>
      </c>
      <c r="R3175" t="s">
        <v>248</v>
      </c>
      <c r="S3175">
        <v>150.84584000000001</v>
      </c>
      <c r="T3175" s="1095">
        <v>-34.592433</v>
      </c>
    </row>
    <row r="3176" spans="16:20">
      <c r="P3176" s="1094">
        <v>2529</v>
      </c>
      <c r="Q3176" t="s">
        <v>4237</v>
      </c>
      <c r="R3176" t="s">
        <v>248</v>
      </c>
      <c r="S3176">
        <v>150.84584000000001</v>
      </c>
      <c r="T3176" s="1095">
        <v>-34.592433</v>
      </c>
    </row>
    <row r="3177" spans="16:20">
      <c r="P3177" s="1094">
        <v>2529</v>
      </c>
      <c r="Q3177" t="s">
        <v>4238</v>
      </c>
      <c r="R3177" t="s">
        <v>248</v>
      </c>
      <c r="S3177">
        <v>150.84584000000001</v>
      </c>
      <c r="T3177" s="1095">
        <v>-34.592433</v>
      </c>
    </row>
    <row r="3178" spans="16:20">
      <c r="P3178" s="1094">
        <v>2529</v>
      </c>
      <c r="Q3178" t="s">
        <v>4239</v>
      </c>
      <c r="R3178" t="s">
        <v>248</v>
      </c>
      <c r="S3178">
        <v>150.84584000000001</v>
      </c>
      <c r="T3178" s="1095">
        <v>-34.592433</v>
      </c>
    </row>
    <row r="3179" spans="16:20">
      <c r="P3179" s="1094">
        <v>2530</v>
      </c>
      <c r="Q3179" t="s">
        <v>4240</v>
      </c>
      <c r="R3179" t="s">
        <v>248</v>
      </c>
      <c r="S3179">
        <v>150.766132</v>
      </c>
      <c r="T3179" s="1095">
        <v>-34.505411000000002</v>
      </c>
    </row>
    <row r="3180" spans="16:20">
      <c r="P3180" s="1094">
        <v>2530</v>
      </c>
      <c r="Q3180" t="s">
        <v>4241</v>
      </c>
      <c r="R3180" t="s">
        <v>248</v>
      </c>
      <c r="S3180">
        <v>150.766132</v>
      </c>
      <c r="T3180" s="1095">
        <v>-34.505411000000002</v>
      </c>
    </row>
    <row r="3181" spans="16:20">
      <c r="P3181" s="1094">
        <v>2530</v>
      </c>
      <c r="Q3181" t="s">
        <v>4242</v>
      </c>
      <c r="R3181" t="s">
        <v>248</v>
      </c>
      <c r="S3181">
        <v>150.766132</v>
      </c>
      <c r="T3181" s="1095">
        <v>-34.505411000000002</v>
      </c>
    </row>
    <row r="3182" spans="16:20">
      <c r="P3182" s="1094">
        <v>2530</v>
      </c>
      <c r="Q3182" t="s">
        <v>4243</v>
      </c>
      <c r="R3182" t="s">
        <v>248</v>
      </c>
      <c r="S3182">
        <v>150.766132</v>
      </c>
      <c r="T3182" s="1095">
        <v>-34.505411000000002</v>
      </c>
    </row>
    <row r="3183" spans="16:20">
      <c r="P3183" s="1094">
        <v>2530</v>
      </c>
      <c r="Q3183" t="s">
        <v>4244</v>
      </c>
      <c r="R3183" t="s">
        <v>248</v>
      </c>
      <c r="S3183">
        <v>150.766132</v>
      </c>
      <c r="T3183" s="1095">
        <v>-34.505411000000002</v>
      </c>
    </row>
    <row r="3184" spans="16:20">
      <c r="P3184" s="1094">
        <v>2530</v>
      </c>
      <c r="Q3184" t="s">
        <v>4245</v>
      </c>
      <c r="R3184" t="s">
        <v>248</v>
      </c>
      <c r="S3184">
        <v>150.766132</v>
      </c>
      <c r="T3184" s="1095">
        <v>-34.505411000000002</v>
      </c>
    </row>
    <row r="3185" spans="16:20">
      <c r="P3185" s="1094">
        <v>2530</v>
      </c>
      <c r="Q3185" t="s">
        <v>4246</v>
      </c>
      <c r="R3185" t="s">
        <v>248</v>
      </c>
      <c r="S3185">
        <v>150.766132</v>
      </c>
      <c r="T3185" s="1095">
        <v>-34.505411000000002</v>
      </c>
    </row>
    <row r="3186" spans="16:20">
      <c r="P3186" s="1094">
        <v>2530</v>
      </c>
      <c r="Q3186" t="s">
        <v>4247</v>
      </c>
      <c r="R3186" t="s">
        <v>248</v>
      </c>
      <c r="S3186">
        <v>150.766132</v>
      </c>
      <c r="T3186" s="1095">
        <v>-34.505411000000002</v>
      </c>
    </row>
    <row r="3187" spans="16:20">
      <c r="P3187" s="1094">
        <v>2530</v>
      </c>
      <c r="Q3187" t="s">
        <v>4248</v>
      </c>
      <c r="R3187" t="s">
        <v>248</v>
      </c>
      <c r="S3187">
        <v>150.766132</v>
      </c>
      <c r="T3187" s="1095">
        <v>-34.505411000000002</v>
      </c>
    </row>
    <row r="3188" spans="16:20">
      <c r="P3188" s="1094">
        <v>2533</v>
      </c>
      <c r="Q3188" t="s">
        <v>4249</v>
      </c>
      <c r="R3188" t="s">
        <v>248</v>
      </c>
      <c r="S3188">
        <v>150.75688299999999</v>
      </c>
      <c r="T3188" s="1095">
        <v>-34.645377000000003</v>
      </c>
    </row>
    <row r="3189" spans="16:20">
      <c r="P3189" s="1094">
        <v>2533</v>
      </c>
      <c r="Q3189" t="s">
        <v>4250</v>
      </c>
      <c r="R3189" t="s">
        <v>248</v>
      </c>
      <c r="S3189">
        <v>150.75688299999999</v>
      </c>
      <c r="T3189" s="1095">
        <v>-34.645377000000003</v>
      </c>
    </row>
    <row r="3190" spans="16:20">
      <c r="P3190" s="1094">
        <v>2533</v>
      </c>
      <c r="Q3190" t="s">
        <v>4251</v>
      </c>
      <c r="R3190" t="s">
        <v>248</v>
      </c>
      <c r="S3190">
        <v>150.75688299999999</v>
      </c>
      <c r="T3190" s="1095">
        <v>-34.645377000000003</v>
      </c>
    </row>
    <row r="3191" spans="16:20">
      <c r="P3191" s="1094">
        <v>2533</v>
      </c>
      <c r="Q3191" t="s">
        <v>4252</v>
      </c>
      <c r="R3191" t="s">
        <v>248</v>
      </c>
      <c r="S3191">
        <v>150.75688299999999</v>
      </c>
      <c r="T3191" s="1095">
        <v>-34.645377000000003</v>
      </c>
    </row>
    <row r="3192" spans="16:20">
      <c r="P3192" s="1094">
        <v>2533</v>
      </c>
      <c r="Q3192" t="s">
        <v>4253</v>
      </c>
      <c r="R3192" t="s">
        <v>248</v>
      </c>
      <c r="S3192">
        <v>150.75688299999999</v>
      </c>
      <c r="T3192" s="1095">
        <v>-34.645377000000003</v>
      </c>
    </row>
    <row r="3193" spans="16:20">
      <c r="P3193" s="1094">
        <v>2533</v>
      </c>
      <c r="Q3193" t="s">
        <v>4254</v>
      </c>
      <c r="R3193" t="s">
        <v>248</v>
      </c>
      <c r="S3193">
        <v>150.75688299999999</v>
      </c>
      <c r="T3193" s="1095">
        <v>-34.645377000000003</v>
      </c>
    </row>
    <row r="3194" spans="16:20">
      <c r="P3194" s="1094">
        <v>2533</v>
      </c>
      <c r="Q3194" t="s">
        <v>4255</v>
      </c>
      <c r="R3194" t="s">
        <v>248</v>
      </c>
      <c r="S3194">
        <v>150.75688299999999</v>
      </c>
      <c r="T3194" s="1095">
        <v>-34.645377000000003</v>
      </c>
    </row>
    <row r="3195" spans="16:20">
      <c r="P3195" s="1094">
        <v>2533</v>
      </c>
      <c r="Q3195" t="s">
        <v>4256</v>
      </c>
      <c r="R3195" t="s">
        <v>248</v>
      </c>
      <c r="S3195">
        <v>150.75688299999999</v>
      </c>
      <c r="T3195" s="1095">
        <v>-34.645377000000003</v>
      </c>
    </row>
    <row r="3196" spans="16:20">
      <c r="P3196" s="1094">
        <v>2533</v>
      </c>
      <c r="Q3196" t="s">
        <v>4257</v>
      </c>
      <c r="R3196" t="s">
        <v>248</v>
      </c>
      <c r="S3196">
        <v>150.75688299999999</v>
      </c>
      <c r="T3196" s="1095">
        <v>-34.645377000000003</v>
      </c>
    </row>
    <row r="3197" spans="16:20">
      <c r="P3197" s="1094">
        <v>2534</v>
      </c>
      <c r="Q3197" t="s">
        <v>4258</v>
      </c>
      <c r="R3197" t="s">
        <v>248</v>
      </c>
      <c r="S3197">
        <v>150.80063699999999</v>
      </c>
      <c r="T3197" s="1095">
        <v>-34.739424999999997</v>
      </c>
    </row>
    <row r="3198" spans="16:20">
      <c r="P3198" s="1094">
        <v>2534</v>
      </c>
      <c r="Q3198" t="s">
        <v>4259</v>
      </c>
      <c r="R3198" t="s">
        <v>248</v>
      </c>
      <c r="S3198">
        <v>150.80063699999999</v>
      </c>
      <c r="T3198" s="1095">
        <v>-34.739424999999997</v>
      </c>
    </row>
    <row r="3199" spans="16:20">
      <c r="P3199" s="1094">
        <v>2534</v>
      </c>
      <c r="Q3199" t="s">
        <v>4260</v>
      </c>
      <c r="R3199" t="s">
        <v>248</v>
      </c>
      <c r="S3199">
        <v>150.80063699999999</v>
      </c>
      <c r="T3199" s="1095">
        <v>-34.739424999999997</v>
      </c>
    </row>
    <row r="3200" spans="16:20">
      <c r="P3200" s="1094">
        <v>2534</v>
      </c>
      <c r="Q3200" t="s">
        <v>4261</v>
      </c>
      <c r="R3200" t="s">
        <v>248</v>
      </c>
      <c r="S3200">
        <v>150.80063699999999</v>
      </c>
      <c r="T3200" s="1095">
        <v>-34.739424999999997</v>
      </c>
    </row>
    <row r="3201" spans="16:20">
      <c r="P3201" s="1094">
        <v>2534</v>
      </c>
      <c r="Q3201" t="s">
        <v>4262</v>
      </c>
      <c r="R3201" t="s">
        <v>248</v>
      </c>
      <c r="S3201">
        <v>150.80063699999999</v>
      </c>
      <c r="T3201" s="1095">
        <v>-34.739424999999997</v>
      </c>
    </row>
    <row r="3202" spans="16:20">
      <c r="P3202" s="1094">
        <v>2534</v>
      </c>
      <c r="Q3202" t="s">
        <v>4263</v>
      </c>
      <c r="R3202" t="s">
        <v>248</v>
      </c>
      <c r="S3202">
        <v>150.80063699999999</v>
      </c>
      <c r="T3202" s="1095">
        <v>-34.739424999999997</v>
      </c>
    </row>
    <row r="3203" spans="16:20">
      <c r="P3203" s="1094">
        <v>2534</v>
      </c>
      <c r="Q3203" t="s">
        <v>4264</v>
      </c>
      <c r="R3203" t="s">
        <v>248</v>
      </c>
      <c r="S3203">
        <v>150.80063699999999</v>
      </c>
      <c r="T3203" s="1095">
        <v>-34.739424999999997</v>
      </c>
    </row>
    <row r="3204" spans="16:20">
      <c r="P3204" s="1094">
        <v>2535</v>
      </c>
      <c r="Q3204" t="s">
        <v>4265</v>
      </c>
      <c r="R3204" t="s">
        <v>248</v>
      </c>
      <c r="S3204">
        <v>150.678303</v>
      </c>
      <c r="T3204" s="1095">
        <v>-34.762115999999999</v>
      </c>
    </row>
    <row r="3205" spans="16:20">
      <c r="P3205" s="1094">
        <v>2535</v>
      </c>
      <c r="Q3205" t="s">
        <v>4266</v>
      </c>
      <c r="R3205" t="s">
        <v>248</v>
      </c>
      <c r="S3205">
        <v>150.678303</v>
      </c>
      <c r="T3205" s="1095">
        <v>-34.762115999999999</v>
      </c>
    </row>
    <row r="3206" spans="16:20">
      <c r="P3206" s="1094">
        <v>2535</v>
      </c>
      <c r="Q3206" t="s">
        <v>4267</v>
      </c>
      <c r="R3206" t="s">
        <v>248</v>
      </c>
      <c r="S3206">
        <v>150.678303</v>
      </c>
      <c r="T3206" s="1095">
        <v>-34.762115999999999</v>
      </c>
    </row>
    <row r="3207" spans="16:20">
      <c r="P3207" s="1094">
        <v>2535</v>
      </c>
      <c r="Q3207" t="s">
        <v>4268</v>
      </c>
      <c r="R3207" t="s">
        <v>248</v>
      </c>
      <c r="S3207">
        <v>150.678303</v>
      </c>
      <c r="T3207" s="1095">
        <v>-34.762115999999999</v>
      </c>
    </row>
    <row r="3208" spans="16:20">
      <c r="P3208" s="1094">
        <v>2535</v>
      </c>
      <c r="Q3208" t="s">
        <v>4269</v>
      </c>
      <c r="R3208" t="s">
        <v>248</v>
      </c>
      <c r="S3208">
        <v>150.678303</v>
      </c>
      <c r="T3208" s="1095">
        <v>-34.762115999999999</v>
      </c>
    </row>
    <row r="3209" spans="16:20">
      <c r="P3209" s="1094">
        <v>2535</v>
      </c>
      <c r="Q3209" t="s">
        <v>4270</v>
      </c>
      <c r="R3209" t="s">
        <v>248</v>
      </c>
      <c r="S3209">
        <v>150.678303</v>
      </c>
      <c r="T3209" s="1095">
        <v>-34.762115999999999</v>
      </c>
    </row>
    <row r="3210" spans="16:20">
      <c r="P3210" s="1094">
        <v>2535</v>
      </c>
      <c r="Q3210" t="s">
        <v>4271</v>
      </c>
      <c r="R3210" t="s">
        <v>248</v>
      </c>
      <c r="S3210">
        <v>150.678303</v>
      </c>
      <c r="T3210" s="1095">
        <v>-34.762115999999999</v>
      </c>
    </row>
    <row r="3211" spans="16:20">
      <c r="P3211" s="1094">
        <v>2535</v>
      </c>
      <c r="Q3211" t="s">
        <v>4272</v>
      </c>
      <c r="R3211" t="s">
        <v>248</v>
      </c>
      <c r="S3211">
        <v>150.678303</v>
      </c>
      <c r="T3211" s="1095">
        <v>-34.762115999999999</v>
      </c>
    </row>
    <row r="3212" spans="16:20">
      <c r="P3212" s="1094">
        <v>2535</v>
      </c>
      <c r="Q3212" t="s">
        <v>4273</v>
      </c>
      <c r="R3212" t="s">
        <v>248</v>
      </c>
      <c r="S3212">
        <v>150.678303</v>
      </c>
      <c r="T3212" s="1095">
        <v>-34.762115999999999</v>
      </c>
    </row>
    <row r="3213" spans="16:20">
      <c r="P3213" s="1094">
        <v>2535</v>
      </c>
      <c r="Q3213" t="s">
        <v>4274</v>
      </c>
      <c r="R3213" t="s">
        <v>248</v>
      </c>
      <c r="S3213">
        <v>150.678303</v>
      </c>
      <c r="T3213" s="1095">
        <v>-34.762115999999999</v>
      </c>
    </row>
    <row r="3214" spans="16:20">
      <c r="P3214" s="1094">
        <v>2535</v>
      </c>
      <c r="Q3214" t="s">
        <v>4275</v>
      </c>
      <c r="R3214" t="s">
        <v>248</v>
      </c>
      <c r="S3214">
        <v>150.678303</v>
      </c>
      <c r="T3214" s="1095">
        <v>-34.762115999999999</v>
      </c>
    </row>
    <row r="3215" spans="16:20">
      <c r="P3215" s="1094">
        <v>2535</v>
      </c>
      <c r="Q3215" t="s">
        <v>4276</v>
      </c>
      <c r="R3215" t="s">
        <v>248</v>
      </c>
      <c r="S3215">
        <v>150.678303</v>
      </c>
      <c r="T3215" s="1095">
        <v>-34.762115999999999</v>
      </c>
    </row>
    <row r="3216" spans="16:20">
      <c r="P3216" s="1094">
        <v>2535</v>
      </c>
      <c r="Q3216" t="s">
        <v>4277</v>
      </c>
      <c r="R3216" t="s">
        <v>248</v>
      </c>
      <c r="S3216">
        <v>150.678303</v>
      </c>
      <c r="T3216" s="1095">
        <v>-34.762115999999999</v>
      </c>
    </row>
    <row r="3217" spans="16:20">
      <c r="P3217" s="1094">
        <v>2535</v>
      </c>
      <c r="Q3217" t="s">
        <v>4278</v>
      </c>
      <c r="R3217" t="s">
        <v>248</v>
      </c>
      <c r="S3217">
        <v>150.678303</v>
      </c>
      <c r="T3217" s="1095">
        <v>-34.762115999999999</v>
      </c>
    </row>
    <row r="3218" spans="16:20">
      <c r="P3218" s="1094">
        <v>2536</v>
      </c>
      <c r="Q3218" t="s">
        <v>4279</v>
      </c>
      <c r="R3218" t="s">
        <v>248</v>
      </c>
      <c r="S3218">
        <v>150.125945</v>
      </c>
      <c r="T3218" s="1095">
        <v>-35.671272000000002</v>
      </c>
    </row>
    <row r="3219" spans="16:20">
      <c r="P3219" s="1094">
        <v>2536</v>
      </c>
      <c r="Q3219" t="s">
        <v>4280</v>
      </c>
      <c r="R3219" t="s">
        <v>248</v>
      </c>
      <c r="S3219">
        <v>150.125945</v>
      </c>
      <c r="T3219" s="1095">
        <v>-35.671272000000002</v>
      </c>
    </row>
    <row r="3220" spans="16:20">
      <c r="P3220" s="1094">
        <v>2536</v>
      </c>
      <c r="Q3220" t="s">
        <v>4281</v>
      </c>
      <c r="R3220" t="s">
        <v>248</v>
      </c>
      <c r="S3220">
        <v>150.125945</v>
      </c>
      <c r="T3220" s="1095">
        <v>-35.671272000000002</v>
      </c>
    </row>
    <row r="3221" spans="16:20">
      <c r="P3221" s="1094">
        <v>2536</v>
      </c>
      <c r="Q3221" t="s">
        <v>4282</v>
      </c>
      <c r="R3221" t="s">
        <v>248</v>
      </c>
      <c r="S3221">
        <v>150.125945</v>
      </c>
      <c r="T3221" s="1095">
        <v>-35.671272000000002</v>
      </c>
    </row>
    <row r="3222" spans="16:20">
      <c r="P3222" s="1094">
        <v>2536</v>
      </c>
      <c r="Q3222" t="s">
        <v>4283</v>
      </c>
      <c r="R3222" t="s">
        <v>248</v>
      </c>
      <c r="S3222">
        <v>150.125945</v>
      </c>
      <c r="T3222" s="1095">
        <v>-35.671272000000002</v>
      </c>
    </row>
    <row r="3223" spans="16:20">
      <c r="P3223" s="1094">
        <v>2536</v>
      </c>
      <c r="Q3223" t="s">
        <v>4284</v>
      </c>
      <c r="R3223" t="s">
        <v>248</v>
      </c>
      <c r="S3223">
        <v>150.125945</v>
      </c>
      <c r="T3223" s="1095">
        <v>-35.671272000000002</v>
      </c>
    </row>
    <row r="3224" spans="16:20">
      <c r="P3224" s="1094">
        <v>2536</v>
      </c>
      <c r="Q3224" t="s">
        <v>4285</v>
      </c>
      <c r="R3224" t="s">
        <v>248</v>
      </c>
      <c r="S3224">
        <v>150.125945</v>
      </c>
      <c r="T3224" s="1095">
        <v>-35.671272000000002</v>
      </c>
    </row>
    <row r="3225" spans="16:20">
      <c r="P3225" s="1094">
        <v>2536</v>
      </c>
      <c r="Q3225" t="s">
        <v>4286</v>
      </c>
      <c r="R3225" t="s">
        <v>248</v>
      </c>
      <c r="S3225">
        <v>150.125945</v>
      </c>
      <c r="T3225" s="1095">
        <v>-35.671272000000002</v>
      </c>
    </row>
    <row r="3226" spans="16:20">
      <c r="P3226" s="1094">
        <v>2536</v>
      </c>
      <c r="Q3226" t="s">
        <v>4287</v>
      </c>
      <c r="R3226" t="s">
        <v>248</v>
      </c>
      <c r="S3226">
        <v>150.125945</v>
      </c>
      <c r="T3226" s="1095">
        <v>-35.671272000000002</v>
      </c>
    </row>
    <row r="3227" spans="16:20">
      <c r="P3227" s="1094">
        <v>2536</v>
      </c>
      <c r="Q3227" t="s">
        <v>4288</v>
      </c>
      <c r="R3227" t="s">
        <v>248</v>
      </c>
      <c r="S3227">
        <v>150.125945</v>
      </c>
      <c r="T3227" s="1095">
        <v>-35.671272000000002</v>
      </c>
    </row>
    <row r="3228" spans="16:20">
      <c r="P3228" s="1094">
        <v>2536</v>
      </c>
      <c r="Q3228" t="s">
        <v>4289</v>
      </c>
      <c r="R3228" t="s">
        <v>248</v>
      </c>
      <c r="S3228">
        <v>150.125945</v>
      </c>
      <c r="T3228" s="1095">
        <v>-35.671272000000002</v>
      </c>
    </row>
    <row r="3229" spans="16:20">
      <c r="P3229" s="1094">
        <v>2536</v>
      </c>
      <c r="Q3229" t="s">
        <v>4290</v>
      </c>
      <c r="R3229" t="s">
        <v>248</v>
      </c>
      <c r="S3229">
        <v>150.125945</v>
      </c>
      <c r="T3229" s="1095">
        <v>-35.671272000000002</v>
      </c>
    </row>
    <row r="3230" spans="16:20">
      <c r="P3230" s="1094">
        <v>2536</v>
      </c>
      <c r="Q3230" t="s">
        <v>2237</v>
      </c>
      <c r="R3230" t="s">
        <v>248</v>
      </c>
      <c r="S3230">
        <v>150.125945</v>
      </c>
      <c r="T3230" s="1095">
        <v>-35.671272000000002</v>
      </c>
    </row>
    <row r="3231" spans="16:20">
      <c r="P3231" s="1094">
        <v>2536</v>
      </c>
      <c r="Q3231" t="s">
        <v>4291</v>
      </c>
      <c r="R3231" t="s">
        <v>248</v>
      </c>
      <c r="S3231">
        <v>150.125945</v>
      </c>
      <c r="T3231" s="1095">
        <v>-35.671272000000002</v>
      </c>
    </row>
    <row r="3232" spans="16:20">
      <c r="P3232" s="1094">
        <v>2536</v>
      </c>
      <c r="Q3232" t="s">
        <v>4292</v>
      </c>
      <c r="R3232" t="s">
        <v>248</v>
      </c>
      <c r="S3232">
        <v>150.125945</v>
      </c>
      <c r="T3232" s="1095">
        <v>-35.671272000000002</v>
      </c>
    </row>
    <row r="3233" spans="16:20">
      <c r="P3233" s="1094">
        <v>2536</v>
      </c>
      <c r="Q3233" t="s">
        <v>4293</v>
      </c>
      <c r="R3233" t="s">
        <v>248</v>
      </c>
      <c r="S3233">
        <v>150.125945</v>
      </c>
      <c r="T3233" s="1095">
        <v>-35.671272000000002</v>
      </c>
    </row>
    <row r="3234" spans="16:20">
      <c r="P3234" s="1094">
        <v>2536</v>
      </c>
      <c r="Q3234" t="s">
        <v>4294</v>
      </c>
      <c r="R3234" t="s">
        <v>248</v>
      </c>
      <c r="S3234">
        <v>150.125945</v>
      </c>
      <c r="T3234" s="1095">
        <v>-35.671272000000002</v>
      </c>
    </row>
    <row r="3235" spans="16:20">
      <c r="P3235" s="1094">
        <v>2536</v>
      </c>
      <c r="Q3235" t="s">
        <v>4295</v>
      </c>
      <c r="R3235" t="s">
        <v>248</v>
      </c>
      <c r="S3235">
        <v>150.125945</v>
      </c>
      <c r="T3235" s="1095">
        <v>-35.671272000000002</v>
      </c>
    </row>
    <row r="3236" spans="16:20">
      <c r="P3236" s="1094">
        <v>2536</v>
      </c>
      <c r="Q3236" t="s">
        <v>4296</v>
      </c>
      <c r="R3236" t="s">
        <v>248</v>
      </c>
      <c r="S3236">
        <v>150.125945</v>
      </c>
      <c r="T3236" s="1095">
        <v>-35.671272000000002</v>
      </c>
    </row>
    <row r="3237" spans="16:20">
      <c r="P3237" s="1094">
        <v>2536</v>
      </c>
      <c r="Q3237" t="s">
        <v>4297</v>
      </c>
      <c r="R3237" t="s">
        <v>248</v>
      </c>
      <c r="S3237">
        <v>150.125945</v>
      </c>
      <c r="T3237" s="1095">
        <v>-35.671272000000002</v>
      </c>
    </row>
    <row r="3238" spans="16:20">
      <c r="P3238" s="1094">
        <v>2536</v>
      </c>
      <c r="Q3238" t="s">
        <v>4298</v>
      </c>
      <c r="R3238" t="s">
        <v>248</v>
      </c>
      <c r="S3238">
        <v>150.125945</v>
      </c>
      <c r="T3238" s="1095">
        <v>-35.671272000000002</v>
      </c>
    </row>
    <row r="3239" spans="16:20">
      <c r="P3239" s="1094">
        <v>2536</v>
      </c>
      <c r="Q3239" t="s">
        <v>4299</v>
      </c>
      <c r="R3239" t="s">
        <v>248</v>
      </c>
      <c r="S3239">
        <v>150.125945</v>
      </c>
      <c r="T3239" s="1095">
        <v>-35.671272000000002</v>
      </c>
    </row>
    <row r="3240" spans="16:20">
      <c r="P3240" s="1094">
        <v>2536</v>
      </c>
      <c r="Q3240" t="s">
        <v>4300</v>
      </c>
      <c r="R3240" t="s">
        <v>248</v>
      </c>
      <c r="S3240">
        <v>150.125945</v>
      </c>
      <c r="T3240" s="1095">
        <v>-35.671272000000002</v>
      </c>
    </row>
    <row r="3241" spans="16:20">
      <c r="P3241" s="1094">
        <v>2536</v>
      </c>
      <c r="Q3241" t="s">
        <v>4301</v>
      </c>
      <c r="R3241" t="s">
        <v>248</v>
      </c>
      <c r="S3241">
        <v>150.125945</v>
      </c>
      <c r="T3241" s="1095">
        <v>-35.671272000000002</v>
      </c>
    </row>
    <row r="3242" spans="16:20">
      <c r="P3242" s="1094">
        <v>2536</v>
      </c>
      <c r="Q3242" t="s">
        <v>4302</v>
      </c>
      <c r="R3242" t="s">
        <v>248</v>
      </c>
      <c r="S3242">
        <v>150.125945</v>
      </c>
      <c r="T3242" s="1095">
        <v>-35.671272000000002</v>
      </c>
    </row>
    <row r="3243" spans="16:20">
      <c r="P3243" s="1094">
        <v>2536</v>
      </c>
      <c r="Q3243" t="s">
        <v>4303</v>
      </c>
      <c r="R3243" t="s">
        <v>248</v>
      </c>
      <c r="S3243">
        <v>150.125945</v>
      </c>
      <c r="T3243" s="1095">
        <v>-35.671272000000002</v>
      </c>
    </row>
    <row r="3244" spans="16:20">
      <c r="P3244" s="1094">
        <v>2536</v>
      </c>
      <c r="Q3244" t="s">
        <v>4304</v>
      </c>
      <c r="R3244" t="s">
        <v>248</v>
      </c>
      <c r="S3244">
        <v>150.125945</v>
      </c>
      <c r="T3244" s="1095">
        <v>-35.671272000000002</v>
      </c>
    </row>
    <row r="3245" spans="16:20">
      <c r="P3245" s="1094">
        <v>2536</v>
      </c>
      <c r="Q3245" t="s">
        <v>4305</v>
      </c>
      <c r="R3245" t="s">
        <v>248</v>
      </c>
      <c r="S3245">
        <v>150.125945</v>
      </c>
      <c r="T3245" s="1095">
        <v>-35.671272000000002</v>
      </c>
    </row>
    <row r="3246" spans="16:20">
      <c r="P3246" s="1094">
        <v>2537</v>
      </c>
      <c r="Q3246" t="s">
        <v>4306</v>
      </c>
      <c r="R3246" t="s">
        <v>248</v>
      </c>
      <c r="S3246">
        <v>149.91219899999999</v>
      </c>
      <c r="T3246" s="1095">
        <v>-35.939649000000003</v>
      </c>
    </row>
    <row r="3247" spans="16:20">
      <c r="P3247" s="1094">
        <v>2537</v>
      </c>
      <c r="Q3247" t="s">
        <v>4307</v>
      </c>
      <c r="R3247" t="s">
        <v>248</v>
      </c>
      <c r="S3247">
        <v>149.91219899999999</v>
      </c>
      <c r="T3247" s="1095">
        <v>-35.939649000000003</v>
      </c>
    </row>
    <row r="3248" spans="16:20">
      <c r="P3248" s="1094">
        <v>2537</v>
      </c>
      <c r="Q3248" t="s">
        <v>4308</v>
      </c>
      <c r="R3248" t="s">
        <v>248</v>
      </c>
      <c r="S3248">
        <v>149.91219899999999</v>
      </c>
      <c r="T3248" s="1095">
        <v>-35.939649000000003</v>
      </c>
    </row>
    <row r="3249" spans="16:20">
      <c r="P3249" s="1094">
        <v>2537</v>
      </c>
      <c r="Q3249" t="s">
        <v>4309</v>
      </c>
      <c r="R3249" t="s">
        <v>248</v>
      </c>
      <c r="S3249">
        <v>149.91219899999999</v>
      </c>
      <c r="T3249" s="1095">
        <v>-35.939649000000003</v>
      </c>
    </row>
    <row r="3250" spans="16:20">
      <c r="P3250" s="1094">
        <v>2537</v>
      </c>
      <c r="Q3250" t="s">
        <v>4310</v>
      </c>
      <c r="R3250" t="s">
        <v>248</v>
      </c>
      <c r="S3250">
        <v>149.91219899999999</v>
      </c>
      <c r="T3250" s="1095">
        <v>-35.939649000000003</v>
      </c>
    </row>
    <row r="3251" spans="16:20">
      <c r="P3251" s="1094">
        <v>2537</v>
      </c>
      <c r="Q3251" t="s">
        <v>4311</v>
      </c>
      <c r="R3251" t="s">
        <v>248</v>
      </c>
      <c r="S3251">
        <v>149.91219899999999</v>
      </c>
      <c r="T3251" s="1095">
        <v>-35.939649000000003</v>
      </c>
    </row>
    <row r="3252" spans="16:20">
      <c r="P3252" s="1094">
        <v>2537</v>
      </c>
      <c r="Q3252" t="s">
        <v>4312</v>
      </c>
      <c r="R3252" t="s">
        <v>248</v>
      </c>
      <c r="S3252">
        <v>149.91219899999999</v>
      </c>
      <c r="T3252" s="1095">
        <v>-35.939649000000003</v>
      </c>
    </row>
    <row r="3253" spans="16:20">
      <c r="P3253" s="1094">
        <v>2537</v>
      </c>
      <c r="Q3253" t="s">
        <v>4313</v>
      </c>
      <c r="R3253" t="s">
        <v>248</v>
      </c>
      <c r="S3253">
        <v>149.91219899999999</v>
      </c>
      <c r="T3253" s="1095">
        <v>-35.939649000000003</v>
      </c>
    </row>
    <row r="3254" spans="16:20">
      <c r="P3254" s="1094">
        <v>2537</v>
      </c>
      <c r="Q3254" t="s">
        <v>4314</v>
      </c>
      <c r="R3254" t="s">
        <v>248</v>
      </c>
      <c r="S3254">
        <v>149.91219899999999</v>
      </c>
      <c r="T3254" s="1095">
        <v>-35.939649000000003</v>
      </c>
    </row>
    <row r="3255" spans="16:20">
      <c r="P3255" s="1094">
        <v>2537</v>
      </c>
      <c r="Q3255" t="s">
        <v>4315</v>
      </c>
      <c r="R3255" t="s">
        <v>248</v>
      </c>
      <c r="S3255">
        <v>149.91219899999999</v>
      </c>
      <c r="T3255" s="1095">
        <v>-35.939649000000003</v>
      </c>
    </row>
    <row r="3256" spans="16:20">
      <c r="P3256" s="1094">
        <v>2537</v>
      </c>
      <c r="Q3256" t="s">
        <v>4316</v>
      </c>
      <c r="R3256" t="s">
        <v>248</v>
      </c>
      <c r="S3256">
        <v>149.91219899999999</v>
      </c>
      <c r="T3256" s="1095">
        <v>-35.939649000000003</v>
      </c>
    </row>
    <row r="3257" spans="16:20">
      <c r="P3257" s="1094">
        <v>2537</v>
      </c>
      <c r="Q3257" t="s">
        <v>4317</v>
      </c>
      <c r="R3257" t="s">
        <v>248</v>
      </c>
      <c r="S3257">
        <v>149.91219899999999</v>
      </c>
      <c r="T3257" s="1095">
        <v>-35.939649000000003</v>
      </c>
    </row>
    <row r="3258" spans="16:20">
      <c r="P3258" s="1094">
        <v>2537</v>
      </c>
      <c r="Q3258" t="s">
        <v>4318</v>
      </c>
      <c r="R3258" t="s">
        <v>248</v>
      </c>
      <c r="S3258">
        <v>149.91219899999999</v>
      </c>
      <c r="T3258" s="1095">
        <v>-35.939649000000003</v>
      </c>
    </row>
    <row r="3259" spans="16:20">
      <c r="P3259" s="1094">
        <v>2537</v>
      </c>
      <c r="Q3259" t="s">
        <v>4319</v>
      </c>
      <c r="R3259" t="s">
        <v>248</v>
      </c>
      <c r="S3259">
        <v>149.91219899999999</v>
      </c>
      <c r="T3259" s="1095">
        <v>-35.939649000000003</v>
      </c>
    </row>
    <row r="3260" spans="16:20">
      <c r="P3260" s="1094">
        <v>2537</v>
      </c>
      <c r="Q3260" t="s">
        <v>4320</v>
      </c>
      <c r="R3260" t="s">
        <v>248</v>
      </c>
      <c r="S3260">
        <v>149.91219899999999</v>
      </c>
      <c r="T3260" s="1095">
        <v>-35.939649000000003</v>
      </c>
    </row>
    <row r="3261" spans="16:20">
      <c r="P3261" s="1094">
        <v>2537</v>
      </c>
      <c r="Q3261" t="s">
        <v>4321</v>
      </c>
      <c r="R3261" t="s">
        <v>248</v>
      </c>
      <c r="S3261">
        <v>149.91219899999999</v>
      </c>
      <c r="T3261" s="1095">
        <v>-35.939649000000003</v>
      </c>
    </row>
    <row r="3262" spans="16:20">
      <c r="P3262" s="1094">
        <v>2537</v>
      </c>
      <c r="Q3262" t="s">
        <v>4322</v>
      </c>
      <c r="R3262" t="s">
        <v>248</v>
      </c>
      <c r="S3262">
        <v>149.91219899999999</v>
      </c>
      <c r="T3262" s="1095">
        <v>-35.939649000000003</v>
      </c>
    </row>
    <row r="3263" spans="16:20">
      <c r="P3263" s="1094">
        <v>2538</v>
      </c>
      <c r="Q3263" t="s">
        <v>4323</v>
      </c>
      <c r="R3263" t="s">
        <v>248</v>
      </c>
      <c r="S3263">
        <v>150.32050699999999</v>
      </c>
      <c r="T3263" s="1095">
        <v>-35.366160999999998</v>
      </c>
    </row>
    <row r="3264" spans="16:20">
      <c r="P3264" s="1094">
        <v>2538</v>
      </c>
      <c r="Q3264" t="s">
        <v>4324</v>
      </c>
      <c r="R3264" t="s">
        <v>248</v>
      </c>
      <c r="S3264">
        <v>150.32050699999999</v>
      </c>
      <c r="T3264" s="1095">
        <v>-35.366160999999998</v>
      </c>
    </row>
    <row r="3265" spans="16:20">
      <c r="P3265" s="1094">
        <v>2538</v>
      </c>
      <c r="Q3265" t="s">
        <v>4325</v>
      </c>
      <c r="R3265" t="s">
        <v>248</v>
      </c>
      <c r="S3265">
        <v>150.32050699999999</v>
      </c>
      <c r="T3265" s="1095">
        <v>-35.366160999999998</v>
      </c>
    </row>
    <row r="3266" spans="16:20">
      <c r="P3266" s="1094">
        <v>2538</v>
      </c>
      <c r="Q3266" t="s">
        <v>4326</v>
      </c>
      <c r="R3266" t="s">
        <v>248</v>
      </c>
      <c r="S3266">
        <v>150.32050699999999</v>
      </c>
      <c r="T3266" s="1095">
        <v>-35.366160999999998</v>
      </c>
    </row>
    <row r="3267" spans="16:20">
      <c r="P3267" s="1094">
        <v>2538</v>
      </c>
      <c r="Q3267" t="s">
        <v>3890</v>
      </c>
      <c r="R3267" t="s">
        <v>248</v>
      </c>
      <c r="S3267">
        <v>150.32050699999999</v>
      </c>
      <c r="T3267" s="1095">
        <v>-35.366160999999998</v>
      </c>
    </row>
    <row r="3268" spans="16:20">
      <c r="P3268" s="1094">
        <v>2538</v>
      </c>
      <c r="Q3268" t="s">
        <v>4327</v>
      </c>
      <c r="R3268" t="s">
        <v>248</v>
      </c>
      <c r="S3268">
        <v>150.32050699999999</v>
      </c>
      <c r="T3268" s="1095">
        <v>-35.366160999999998</v>
      </c>
    </row>
    <row r="3269" spans="16:20">
      <c r="P3269" s="1094">
        <v>2539</v>
      </c>
      <c r="Q3269" t="s">
        <v>4328</v>
      </c>
      <c r="R3269" t="s">
        <v>248</v>
      </c>
      <c r="S3269">
        <v>0</v>
      </c>
      <c r="T3269" s="1095">
        <v>0</v>
      </c>
    </row>
    <row r="3270" spans="16:20">
      <c r="P3270" s="1094">
        <v>2539</v>
      </c>
      <c r="Q3270" t="s">
        <v>4329</v>
      </c>
      <c r="R3270" t="s">
        <v>248</v>
      </c>
      <c r="S3270">
        <v>0</v>
      </c>
      <c r="T3270" s="1095">
        <v>0</v>
      </c>
    </row>
    <row r="3271" spans="16:20">
      <c r="P3271" s="1094">
        <v>2539</v>
      </c>
      <c r="Q3271" t="s">
        <v>4330</v>
      </c>
      <c r="R3271" t="s">
        <v>248</v>
      </c>
      <c r="S3271">
        <v>0</v>
      </c>
      <c r="T3271" s="1095">
        <v>0</v>
      </c>
    </row>
    <row r="3272" spans="16:20">
      <c r="P3272" s="1094">
        <v>2539</v>
      </c>
      <c r="Q3272" t="s">
        <v>4331</v>
      </c>
      <c r="R3272" t="s">
        <v>248</v>
      </c>
      <c r="S3272">
        <v>0</v>
      </c>
      <c r="T3272" s="1095">
        <v>0</v>
      </c>
    </row>
    <row r="3273" spans="16:20">
      <c r="P3273" s="1094">
        <v>2539</v>
      </c>
      <c r="Q3273" t="s">
        <v>4332</v>
      </c>
      <c r="R3273" t="s">
        <v>248</v>
      </c>
      <c r="S3273">
        <v>0</v>
      </c>
      <c r="T3273" s="1095">
        <v>0</v>
      </c>
    </row>
    <row r="3274" spans="16:20">
      <c r="P3274" s="1094">
        <v>2539</v>
      </c>
      <c r="Q3274" t="s">
        <v>4333</v>
      </c>
      <c r="R3274" t="s">
        <v>248</v>
      </c>
      <c r="S3274">
        <v>0</v>
      </c>
      <c r="T3274" s="1095">
        <v>0</v>
      </c>
    </row>
    <row r="3275" spans="16:20">
      <c r="P3275" s="1094">
        <v>2539</v>
      </c>
      <c r="Q3275" t="s">
        <v>4334</v>
      </c>
      <c r="R3275" t="s">
        <v>248</v>
      </c>
      <c r="S3275">
        <v>0</v>
      </c>
      <c r="T3275" s="1095">
        <v>0</v>
      </c>
    </row>
    <row r="3276" spans="16:20">
      <c r="P3276" s="1094">
        <v>2539</v>
      </c>
      <c r="Q3276" t="s">
        <v>4335</v>
      </c>
      <c r="R3276" t="s">
        <v>248</v>
      </c>
      <c r="S3276">
        <v>0</v>
      </c>
      <c r="T3276" s="1095">
        <v>0</v>
      </c>
    </row>
    <row r="3277" spans="16:20">
      <c r="P3277" s="1094">
        <v>2539</v>
      </c>
      <c r="Q3277" t="s">
        <v>4336</v>
      </c>
      <c r="R3277" t="s">
        <v>248</v>
      </c>
      <c r="S3277">
        <v>0</v>
      </c>
      <c r="T3277" s="1095">
        <v>0</v>
      </c>
    </row>
    <row r="3278" spans="16:20">
      <c r="P3278" s="1094">
        <v>2539</v>
      </c>
      <c r="Q3278" t="s">
        <v>4337</v>
      </c>
      <c r="R3278" t="s">
        <v>248</v>
      </c>
      <c r="S3278">
        <v>0</v>
      </c>
      <c r="T3278" s="1095">
        <v>0</v>
      </c>
    </row>
    <row r="3279" spans="16:20">
      <c r="P3279" s="1094">
        <v>2539</v>
      </c>
      <c r="Q3279" t="s">
        <v>4338</v>
      </c>
      <c r="R3279" t="s">
        <v>248</v>
      </c>
      <c r="S3279">
        <v>0</v>
      </c>
      <c r="T3279" s="1095">
        <v>0</v>
      </c>
    </row>
    <row r="3280" spans="16:20">
      <c r="P3280" s="1094">
        <v>2539</v>
      </c>
      <c r="Q3280" t="s">
        <v>4339</v>
      </c>
      <c r="R3280" t="s">
        <v>248</v>
      </c>
      <c r="S3280">
        <v>0</v>
      </c>
      <c r="T3280" s="1095">
        <v>0</v>
      </c>
    </row>
    <row r="3281" spans="16:20">
      <c r="P3281" s="1094">
        <v>2539</v>
      </c>
      <c r="Q3281" t="s">
        <v>4340</v>
      </c>
      <c r="R3281" t="s">
        <v>248</v>
      </c>
      <c r="S3281">
        <v>0</v>
      </c>
      <c r="T3281" s="1095">
        <v>0</v>
      </c>
    </row>
    <row r="3282" spans="16:20">
      <c r="P3282" s="1094">
        <v>2539</v>
      </c>
      <c r="Q3282" t="s">
        <v>4341</v>
      </c>
      <c r="R3282" t="s">
        <v>248</v>
      </c>
      <c r="S3282">
        <v>0</v>
      </c>
      <c r="T3282" s="1095">
        <v>0</v>
      </c>
    </row>
    <row r="3283" spans="16:20">
      <c r="P3283" s="1094">
        <v>2539</v>
      </c>
      <c r="Q3283" t="s">
        <v>4342</v>
      </c>
      <c r="R3283" t="s">
        <v>248</v>
      </c>
      <c r="S3283">
        <v>0</v>
      </c>
      <c r="T3283" s="1095">
        <v>0</v>
      </c>
    </row>
    <row r="3284" spans="16:20">
      <c r="P3284" s="1094">
        <v>2539</v>
      </c>
      <c r="Q3284" t="s">
        <v>4343</v>
      </c>
      <c r="R3284" t="s">
        <v>248</v>
      </c>
      <c r="S3284">
        <v>0</v>
      </c>
      <c r="T3284" s="1095">
        <v>0</v>
      </c>
    </row>
    <row r="3285" spans="16:20">
      <c r="P3285" s="1094">
        <v>2539</v>
      </c>
      <c r="Q3285" t="s">
        <v>4344</v>
      </c>
      <c r="R3285" t="s">
        <v>248</v>
      </c>
      <c r="S3285">
        <v>0</v>
      </c>
      <c r="T3285" s="1095">
        <v>0</v>
      </c>
    </row>
    <row r="3286" spans="16:20">
      <c r="P3286" s="1094">
        <v>2539</v>
      </c>
      <c r="Q3286" t="s">
        <v>4345</v>
      </c>
      <c r="R3286" t="s">
        <v>248</v>
      </c>
      <c r="S3286">
        <v>0</v>
      </c>
      <c r="T3286" s="1095">
        <v>0</v>
      </c>
    </row>
    <row r="3287" spans="16:20">
      <c r="P3287" s="1094">
        <v>2539</v>
      </c>
      <c r="Q3287" t="s">
        <v>4346</v>
      </c>
      <c r="R3287" t="s">
        <v>248</v>
      </c>
      <c r="S3287">
        <v>0</v>
      </c>
      <c r="T3287" s="1095">
        <v>0</v>
      </c>
    </row>
    <row r="3288" spans="16:20">
      <c r="P3288" s="1094">
        <v>2540</v>
      </c>
      <c r="Q3288" t="s">
        <v>4347</v>
      </c>
      <c r="R3288" t="s">
        <v>248</v>
      </c>
      <c r="S3288">
        <v>150.61644000000001</v>
      </c>
      <c r="T3288" s="1095">
        <v>-34.863483000000002</v>
      </c>
    </row>
    <row r="3289" spans="16:20">
      <c r="P3289" s="1094">
        <v>2540</v>
      </c>
      <c r="Q3289" t="s">
        <v>4348</v>
      </c>
      <c r="R3289" t="s">
        <v>248</v>
      </c>
      <c r="S3289">
        <v>150.61644000000001</v>
      </c>
      <c r="T3289" s="1095">
        <v>-34.863483000000002</v>
      </c>
    </row>
    <row r="3290" spans="16:20">
      <c r="P3290" s="1094">
        <v>2540</v>
      </c>
      <c r="Q3290" t="s">
        <v>4349</v>
      </c>
      <c r="R3290" t="s">
        <v>248</v>
      </c>
      <c r="S3290">
        <v>150.61644000000001</v>
      </c>
      <c r="T3290" s="1095">
        <v>-34.863483000000002</v>
      </c>
    </row>
    <row r="3291" spans="16:20">
      <c r="P3291" s="1094">
        <v>2540</v>
      </c>
      <c r="Q3291" t="s">
        <v>4350</v>
      </c>
      <c r="R3291" t="s">
        <v>248</v>
      </c>
      <c r="S3291">
        <v>150.61644000000001</v>
      </c>
      <c r="T3291" s="1095">
        <v>-34.863483000000002</v>
      </c>
    </row>
    <row r="3292" spans="16:20">
      <c r="P3292" s="1094">
        <v>2540</v>
      </c>
      <c r="Q3292" t="s">
        <v>4351</v>
      </c>
      <c r="R3292" t="s">
        <v>248</v>
      </c>
      <c r="S3292">
        <v>150.61644000000001</v>
      </c>
      <c r="T3292" s="1095">
        <v>-34.863483000000002</v>
      </c>
    </row>
    <row r="3293" spans="16:20">
      <c r="P3293" s="1094">
        <v>2540</v>
      </c>
      <c r="Q3293" t="s">
        <v>4352</v>
      </c>
      <c r="R3293" t="s">
        <v>248</v>
      </c>
      <c r="S3293">
        <v>150.61644000000001</v>
      </c>
      <c r="T3293" s="1095">
        <v>-34.863483000000002</v>
      </c>
    </row>
    <row r="3294" spans="16:20">
      <c r="P3294" s="1094">
        <v>2540</v>
      </c>
      <c r="Q3294" t="s">
        <v>4353</v>
      </c>
      <c r="R3294" t="s">
        <v>248</v>
      </c>
      <c r="S3294">
        <v>150.61644000000001</v>
      </c>
      <c r="T3294" s="1095">
        <v>-34.863483000000002</v>
      </c>
    </row>
    <row r="3295" spans="16:20">
      <c r="P3295" s="1094">
        <v>2540</v>
      </c>
      <c r="Q3295" t="s">
        <v>4354</v>
      </c>
      <c r="R3295" t="s">
        <v>248</v>
      </c>
      <c r="S3295">
        <v>150.61644000000001</v>
      </c>
      <c r="T3295" s="1095">
        <v>-34.863483000000002</v>
      </c>
    </row>
    <row r="3296" spans="16:20">
      <c r="P3296" s="1094">
        <v>2540</v>
      </c>
      <c r="Q3296" t="s">
        <v>4355</v>
      </c>
      <c r="R3296" t="s">
        <v>248</v>
      </c>
      <c r="S3296">
        <v>150.61644000000001</v>
      </c>
      <c r="T3296" s="1095">
        <v>-34.863483000000002</v>
      </c>
    </row>
    <row r="3297" spans="16:20">
      <c r="P3297" s="1094">
        <v>2540</v>
      </c>
      <c r="Q3297" t="s">
        <v>4356</v>
      </c>
      <c r="R3297" t="s">
        <v>248</v>
      </c>
      <c r="S3297">
        <v>150.61644000000001</v>
      </c>
      <c r="T3297" s="1095">
        <v>-34.863483000000002</v>
      </c>
    </row>
    <row r="3298" spans="16:20">
      <c r="P3298" s="1094">
        <v>2540</v>
      </c>
      <c r="Q3298" t="s">
        <v>4357</v>
      </c>
      <c r="R3298" t="s">
        <v>248</v>
      </c>
      <c r="S3298">
        <v>150.61644000000001</v>
      </c>
      <c r="T3298" s="1095">
        <v>-34.863483000000002</v>
      </c>
    </row>
    <row r="3299" spans="16:20">
      <c r="P3299" s="1094">
        <v>2540</v>
      </c>
      <c r="Q3299" t="s">
        <v>4358</v>
      </c>
      <c r="R3299" t="s">
        <v>248</v>
      </c>
      <c r="S3299">
        <v>150.61644000000001</v>
      </c>
      <c r="T3299" s="1095">
        <v>-34.863483000000002</v>
      </c>
    </row>
    <row r="3300" spans="16:20">
      <c r="P3300" s="1094">
        <v>2540</v>
      </c>
      <c r="Q3300" t="s">
        <v>4359</v>
      </c>
      <c r="R3300" t="s">
        <v>248</v>
      </c>
      <c r="S3300">
        <v>150.61644000000001</v>
      </c>
      <c r="T3300" s="1095">
        <v>-34.863483000000002</v>
      </c>
    </row>
    <row r="3301" spans="16:20">
      <c r="P3301" s="1094">
        <v>2540</v>
      </c>
      <c r="Q3301" t="s">
        <v>4360</v>
      </c>
      <c r="R3301" t="s">
        <v>248</v>
      </c>
      <c r="S3301">
        <v>150.61644000000001</v>
      </c>
      <c r="T3301" s="1095">
        <v>-34.863483000000002</v>
      </c>
    </row>
    <row r="3302" spans="16:20">
      <c r="P3302" s="1094">
        <v>2540</v>
      </c>
      <c r="Q3302" t="s">
        <v>4361</v>
      </c>
      <c r="R3302" t="s">
        <v>248</v>
      </c>
      <c r="S3302">
        <v>150.61644000000001</v>
      </c>
      <c r="T3302" s="1095">
        <v>-34.863483000000002</v>
      </c>
    </row>
    <row r="3303" spans="16:20">
      <c r="P3303" s="1094">
        <v>2540</v>
      </c>
      <c r="Q3303" t="s">
        <v>4362</v>
      </c>
      <c r="R3303" t="s">
        <v>248</v>
      </c>
      <c r="S3303">
        <v>150.61644000000001</v>
      </c>
      <c r="T3303" s="1095">
        <v>-34.863483000000002</v>
      </c>
    </row>
    <row r="3304" spans="16:20">
      <c r="P3304" s="1094">
        <v>2540</v>
      </c>
      <c r="Q3304" t="s">
        <v>4363</v>
      </c>
      <c r="R3304" t="s">
        <v>248</v>
      </c>
      <c r="S3304">
        <v>150.61644000000001</v>
      </c>
      <c r="T3304" s="1095">
        <v>-34.863483000000002</v>
      </c>
    </row>
    <row r="3305" spans="16:20">
      <c r="P3305" s="1094">
        <v>2540</v>
      </c>
      <c r="Q3305" t="s">
        <v>4364</v>
      </c>
      <c r="R3305" t="s">
        <v>248</v>
      </c>
      <c r="S3305">
        <v>150.61644000000001</v>
      </c>
      <c r="T3305" s="1095">
        <v>-34.863483000000002</v>
      </c>
    </row>
    <row r="3306" spans="16:20">
      <c r="P3306" s="1094">
        <v>2540</v>
      </c>
      <c r="Q3306" t="s">
        <v>4365</v>
      </c>
      <c r="R3306" t="s">
        <v>248</v>
      </c>
      <c r="S3306">
        <v>150.61644000000001</v>
      </c>
      <c r="T3306" s="1095">
        <v>-34.863483000000002</v>
      </c>
    </row>
    <row r="3307" spans="16:20">
      <c r="P3307" s="1094">
        <v>2540</v>
      </c>
      <c r="Q3307" t="s">
        <v>4366</v>
      </c>
      <c r="R3307" t="s">
        <v>617</v>
      </c>
      <c r="S3307">
        <v>150.61644000000001</v>
      </c>
      <c r="T3307" s="1095">
        <v>-34.863483000000002</v>
      </c>
    </row>
    <row r="3308" spans="16:20">
      <c r="P3308" s="1094">
        <v>2540</v>
      </c>
      <c r="Q3308" t="s">
        <v>4367</v>
      </c>
      <c r="R3308" t="s">
        <v>248</v>
      </c>
      <c r="S3308">
        <v>150.61644000000001</v>
      </c>
      <c r="T3308" s="1095">
        <v>-34.863483000000002</v>
      </c>
    </row>
    <row r="3309" spans="16:20">
      <c r="P3309" s="1094">
        <v>2540</v>
      </c>
      <c r="Q3309" t="s">
        <v>4368</v>
      </c>
      <c r="R3309" t="s">
        <v>248</v>
      </c>
      <c r="S3309">
        <v>150.61644000000001</v>
      </c>
      <c r="T3309" s="1095">
        <v>-34.863483000000002</v>
      </c>
    </row>
    <row r="3310" spans="16:20">
      <c r="P3310" s="1094">
        <v>2540</v>
      </c>
      <c r="Q3310" t="s">
        <v>4369</v>
      </c>
      <c r="R3310" t="s">
        <v>248</v>
      </c>
      <c r="S3310">
        <v>150.61644000000001</v>
      </c>
      <c r="T3310" s="1095">
        <v>-34.863483000000002</v>
      </c>
    </row>
    <row r="3311" spans="16:20">
      <c r="P3311" s="1094">
        <v>2540</v>
      </c>
      <c r="Q3311" t="s">
        <v>4370</v>
      </c>
      <c r="R3311" t="s">
        <v>617</v>
      </c>
      <c r="S3311">
        <v>150.61644000000001</v>
      </c>
      <c r="T3311" s="1095">
        <v>-34.863483000000002</v>
      </c>
    </row>
    <row r="3312" spans="16:20">
      <c r="P3312" s="1094">
        <v>2540</v>
      </c>
      <c r="Q3312" t="s">
        <v>4371</v>
      </c>
      <c r="R3312" t="s">
        <v>248</v>
      </c>
      <c r="S3312">
        <v>150.61644000000001</v>
      </c>
      <c r="T3312" s="1095">
        <v>-34.863483000000002</v>
      </c>
    </row>
    <row r="3313" spans="16:20">
      <c r="P3313" s="1094">
        <v>2540</v>
      </c>
      <c r="Q3313" t="s">
        <v>4372</v>
      </c>
      <c r="R3313" t="s">
        <v>248</v>
      </c>
      <c r="S3313">
        <v>150.61644000000001</v>
      </c>
      <c r="T3313" s="1095">
        <v>-34.863483000000002</v>
      </c>
    </row>
    <row r="3314" spans="16:20">
      <c r="P3314" s="1094">
        <v>2540</v>
      </c>
      <c r="Q3314" t="s">
        <v>4373</v>
      </c>
      <c r="R3314" t="s">
        <v>248</v>
      </c>
      <c r="S3314">
        <v>150.61644000000001</v>
      </c>
      <c r="T3314" s="1095">
        <v>-34.863483000000002</v>
      </c>
    </row>
    <row r="3315" spans="16:20">
      <c r="P3315" s="1094">
        <v>2540</v>
      </c>
      <c r="Q3315" t="s">
        <v>4374</v>
      </c>
      <c r="R3315" t="s">
        <v>248</v>
      </c>
      <c r="S3315">
        <v>150.61644000000001</v>
      </c>
      <c r="T3315" s="1095">
        <v>-34.863483000000002</v>
      </c>
    </row>
    <row r="3316" spans="16:20">
      <c r="P3316" s="1094">
        <v>2540</v>
      </c>
      <c r="Q3316" t="s">
        <v>4375</v>
      </c>
      <c r="R3316" t="s">
        <v>248</v>
      </c>
      <c r="S3316">
        <v>150.61644000000001</v>
      </c>
      <c r="T3316" s="1095">
        <v>-34.863483000000002</v>
      </c>
    </row>
    <row r="3317" spans="16:20">
      <c r="P3317" s="1094">
        <v>2540</v>
      </c>
      <c r="Q3317" t="s">
        <v>4376</v>
      </c>
      <c r="R3317" t="s">
        <v>248</v>
      </c>
      <c r="S3317">
        <v>150.61644000000001</v>
      </c>
      <c r="T3317" s="1095">
        <v>-34.863483000000002</v>
      </c>
    </row>
    <row r="3318" spans="16:20">
      <c r="P3318" s="1094">
        <v>2540</v>
      </c>
      <c r="Q3318" t="s">
        <v>4377</v>
      </c>
      <c r="R3318" t="s">
        <v>248</v>
      </c>
      <c r="S3318">
        <v>150.61644000000001</v>
      </c>
      <c r="T3318" s="1095">
        <v>-34.863483000000002</v>
      </c>
    </row>
    <row r="3319" spans="16:20">
      <c r="P3319" s="1094">
        <v>2540</v>
      </c>
      <c r="Q3319" t="s">
        <v>4378</v>
      </c>
      <c r="R3319" t="s">
        <v>248</v>
      </c>
      <c r="S3319">
        <v>150.61644000000001</v>
      </c>
      <c r="T3319" s="1095">
        <v>-34.863483000000002</v>
      </c>
    </row>
    <row r="3320" spans="16:20">
      <c r="P3320" s="1094">
        <v>2540</v>
      </c>
      <c r="Q3320" t="s">
        <v>4379</v>
      </c>
      <c r="R3320" t="s">
        <v>248</v>
      </c>
      <c r="S3320">
        <v>150.61644000000001</v>
      </c>
      <c r="T3320" s="1095">
        <v>-34.863483000000002</v>
      </c>
    </row>
    <row r="3321" spans="16:20">
      <c r="P3321" s="1094">
        <v>2540</v>
      </c>
      <c r="Q3321" t="s">
        <v>4380</v>
      </c>
      <c r="R3321" t="s">
        <v>248</v>
      </c>
      <c r="S3321">
        <v>150.61644000000001</v>
      </c>
      <c r="T3321" s="1095">
        <v>-34.863483000000002</v>
      </c>
    </row>
    <row r="3322" spans="16:20">
      <c r="P3322" s="1094">
        <v>2540</v>
      </c>
      <c r="Q3322" t="s">
        <v>4381</v>
      </c>
      <c r="R3322" t="s">
        <v>248</v>
      </c>
      <c r="S3322">
        <v>150.61644000000001</v>
      </c>
      <c r="T3322" s="1095">
        <v>-34.863483000000002</v>
      </c>
    </row>
    <row r="3323" spans="16:20">
      <c r="P3323" s="1094">
        <v>2540</v>
      </c>
      <c r="Q3323" t="s">
        <v>4382</v>
      </c>
      <c r="R3323" t="s">
        <v>248</v>
      </c>
      <c r="S3323">
        <v>150.61644000000001</v>
      </c>
      <c r="T3323" s="1095">
        <v>-34.863483000000002</v>
      </c>
    </row>
    <row r="3324" spans="16:20">
      <c r="P3324" s="1094">
        <v>2540</v>
      </c>
      <c r="Q3324" t="s">
        <v>4383</v>
      </c>
      <c r="R3324" t="s">
        <v>248</v>
      </c>
      <c r="S3324">
        <v>150.61644000000001</v>
      </c>
      <c r="T3324" s="1095">
        <v>-34.863483000000002</v>
      </c>
    </row>
    <row r="3325" spans="16:20">
      <c r="P3325" s="1094">
        <v>2540</v>
      </c>
      <c r="Q3325" t="s">
        <v>4384</v>
      </c>
      <c r="R3325" t="s">
        <v>248</v>
      </c>
      <c r="S3325">
        <v>150.61644000000001</v>
      </c>
      <c r="T3325" s="1095">
        <v>-34.863483000000002</v>
      </c>
    </row>
    <row r="3326" spans="16:20">
      <c r="P3326" s="1094">
        <v>2540</v>
      </c>
      <c r="Q3326" t="s">
        <v>4385</v>
      </c>
      <c r="R3326" t="s">
        <v>248</v>
      </c>
      <c r="S3326">
        <v>150.61644000000001</v>
      </c>
      <c r="T3326" s="1095">
        <v>-34.863483000000002</v>
      </c>
    </row>
    <row r="3327" spans="16:20">
      <c r="P3327" s="1094">
        <v>2540</v>
      </c>
      <c r="Q3327" t="s">
        <v>4386</v>
      </c>
      <c r="R3327" t="s">
        <v>248</v>
      </c>
      <c r="S3327">
        <v>150.61644000000001</v>
      </c>
      <c r="T3327" s="1095">
        <v>-34.863483000000002</v>
      </c>
    </row>
    <row r="3328" spans="16:20">
      <c r="P3328" s="1094">
        <v>2540</v>
      </c>
      <c r="Q3328" t="s">
        <v>4387</v>
      </c>
      <c r="R3328" t="s">
        <v>248</v>
      </c>
      <c r="S3328">
        <v>150.61644000000001</v>
      </c>
      <c r="T3328" s="1095">
        <v>-34.863483000000002</v>
      </c>
    </row>
    <row r="3329" spans="16:20">
      <c r="P3329" s="1094">
        <v>2540</v>
      </c>
      <c r="Q3329" t="s">
        <v>4388</v>
      </c>
      <c r="R3329" t="s">
        <v>248</v>
      </c>
      <c r="S3329">
        <v>150.61644000000001</v>
      </c>
      <c r="T3329" s="1095">
        <v>-34.863483000000002</v>
      </c>
    </row>
    <row r="3330" spans="16:20">
      <c r="P3330" s="1094">
        <v>2540</v>
      </c>
      <c r="Q3330" t="s">
        <v>4389</v>
      </c>
      <c r="R3330" t="s">
        <v>248</v>
      </c>
      <c r="S3330">
        <v>150.61644000000001</v>
      </c>
      <c r="T3330" s="1095">
        <v>-34.863483000000002</v>
      </c>
    </row>
    <row r="3331" spans="16:20">
      <c r="P3331" s="1094">
        <v>2540</v>
      </c>
      <c r="Q3331" t="s">
        <v>4390</v>
      </c>
      <c r="R3331" t="s">
        <v>248</v>
      </c>
      <c r="S3331">
        <v>150.61644000000001</v>
      </c>
      <c r="T3331" s="1095">
        <v>-34.863483000000002</v>
      </c>
    </row>
    <row r="3332" spans="16:20">
      <c r="P3332" s="1094">
        <v>2540</v>
      </c>
      <c r="Q3332" t="s">
        <v>4391</v>
      </c>
      <c r="R3332" t="s">
        <v>248</v>
      </c>
      <c r="S3332">
        <v>150.61644000000001</v>
      </c>
      <c r="T3332" s="1095">
        <v>-34.863483000000002</v>
      </c>
    </row>
    <row r="3333" spans="16:20">
      <c r="P3333" s="1094">
        <v>2540</v>
      </c>
      <c r="Q3333" t="s">
        <v>4392</v>
      </c>
      <c r="R3333" t="s">
        <v>248</v>
      </c>
      <c r="S3333">
        <v>150.61644000000001</v>
      </c>
      <c r="T3333" s="1095">
        <v>-34.863483000000002</v>
      </c>
    </row>
    <row r="3334" spans="16:20">
      <c r="P3334" s="1094">
        <v>2540</v>
      </c>
      <c r="Q3334" t="s">
        <v>4393</v>
      </c>
      <c r="R3334" t="s">
        <v>248</v>
      </c>
      <c r="S3334">
        <v>150.61644000000001</v>
      </c>
      <c r="T3334" s="1095">
        <v>-34.863483000000002</v>
      </c>
    </row>
    <row r="3335" spans="16:20">
      <c r="P3335" s="1094">
        <v>2540</v>
      </c>
      <c r="Q3335" t="s">
        <v>4394</v>
      </c>
      <c r="R3335" t="s">
        <v>248</v>
      </c>
      <c r="S3335">
        <v>150.61644000000001</v>
      </c>
      <c r="T3335" s="1095">
        <v>-34.863483000000002</v>
      </c>
    </row>
    <row r="3336" spans="16:20">
      <c r="P3336" s="1094">
        <v>2540</v>
      </c>
      <c r="Q3336" t="s">
        <v>4395</v>
      </c>
      <c r="R3336" t="s">
        <v>248</v>
      </c>
      <c r="S3336">
        <v>150.61644000000001</v>
      </c>
      <c r="T3336" s="1095">
        <v>-34.863483000000002</v>
      </c>
    </row>
    <row r="3337" spans="16:20">
      <c r="P3337" s="1094">
        <v>2541</v>
      </c>
      <c r="Q3337" t="s">
        <v>4396</v>
      </c>
      <c r="R3337" t="s">
        <v>248</v>
      </c>
      <c r="S3337">
        <v>150.45099400000001</v>
      </c>
      <c r="T3337" s="1095">
        <v>-34.990591999999999</v>
      </c>
    </row>
    <row r="3338" spans="16:20">
      <c r="P3338" s="1094">
        <v>2541</v>
      </c>
      <c r="Q3338" t="s">
        <v>4397</v>
      </c>
      <c r="R3338" t="s">
        <v>248</v>
      </c>
      <c r="S3338">
        <v>150.45099400000001</v>
      </c>
      <c r="T3338" s="1095">
        <v>-34.990591999999999</v>
      </c>
    </row>
    <row r="3339" spans="16:20">
      <c r="P3339" s="1094">
        <v>2541</v>
      </c>
      <c r="Q3339" t="s">
        <v>4398</v>
      </c>
      <c r="R3339" t="s">
        <v>248</v>
      </c>
      <c r="S3339">
        <v>150.45099400000001</v>
      </c>
      <c r="T3339" s="1095">
        <v>-34.990591999999999</v>
      </c>
    </row>
    <row r="3340" spans="16:20">
      <c r="P3340" s="1094">
        <v>2541</v>
      </c>
      <c r="Q3340" t="s">
        <v>4399</v>
      </c>
      <c r="R3340" t="s">
        <v>248</v>
      </c>
      <c r="S3340">
        <v>150.45099400000001</v>
      </c>
      <c r="T3340" s="1095">
        <v>-34.990591999999999</v>
      </c>
    </row>
    <row r="3341" spans="16:20">
      <c r="P3341" s="1094">
        <v>2541</v>
      </c>
      <c r="Q3341" t="s">
        <v>4400</v>
      </c>
      <c r="R3341" t="s">
        <v>248</v>
      </c>
      <c r="S3341">
        <v>150.45099400000001</v>
      </c>
      <c r="T3341" s="1095">
        <v>-34.990591999999999</v>
      </c>
    </row>
    <row r="3342" spans="16:20">
      <c r="P3342" s="1094">
        <v>2541</v>
      </c>
      <c r="Q3342" t="s">
        <v>4401</v>
      </c>
      <c r="R3342" t="s">
        <v>248</v>
      </c>
      <c r="S3342">
        <v>150.45099400000001</v>
      </c>
      <c r="T3342" s="1095">
        <v>-34.990591999999999</v>
      </c>
    </row>
    <row r="3343" spans="16:20">
      <c r="P3343" s="1094">
        <v>2541</v>
      </c>
      <c r="Q3343" t="s">
        <v>4402</v>
      </c>
      <c r="R3343" t="s">
        <v>248</v>
      </c>
      <c r="S3343">
        <v>150.45099400000001</v>
      </c>
      <c r="T3343" s="1095">
        <v>-34.990591999999999</v>
      </c>
    </row>
    <row r="3344" spans="16:20">
      <c r="P3344" s="1094">
        <v>2545</v>
      </c>
      <c r="Q3344" t="s">
        <v>4403</v>
      </c>
      <c r="R3344" t="s">
        <v>248</v>
      </c>
      <c r="S3344">
        <v>149.792292</v>
      </c>
      <c r="T3344" s="1095">
        <v>-36.127662999999998</v>
      </c>
    </row>
    <row r="3345" spans="16:20">
      <c r="P3345" s="1094">
        <v>2545</v>
      </c>
      <c r="Q3345" t="s">
        <v>4404</v>
      </c>
      <c r="R3345" t="s">
        <v>248</v>
      </c>
      <c r="S3345">
        <v>149.792292</v>
      </c>
      <c r="T3345" s="1095">
        <v>-36.127662999999998</v>
      </c>
    </row>
    <row r="3346" spans="16:20">
      <c r="P3346" s="1094">
        <v>2545</v>
      </c>
      <c r="Q3346" t="s">
        <v>4405</v>
      </c>
      <c r="R3346" t="s">
        <v>248</v>
      </c>
      <c r="S3346">
        <v>149.792292</v>
      </c>
      <c r="T3346" s="1095">
        <v>-36.127662999999998</v>
      </c>
    </row>
    <row r="3347" spans="16:20">
      <c r="P3347" s="1094">
        <v>2545</v>
      </c>
      <c r="Q3347" t="s">
        <v>4406</v>
      </c>
      <c r="R3347" t="s">
        <v>248</v>
      </c>
      <c r="S3347">
        <v>149.792292</v>
      </c>
      <c r="T3347" s="1095">
        <v>-36.127662999999998</v>
      </c>
    </row>
    <row r="3348" spans="16:20">
      <c r="P3348" s="1094">
        <v>2545</v>
      </c>
      <c r="Q3348" t="s">
        <v>4407</v>
      </c>
      <c r="R3348" t="s">
        <v>248</v>
      </c>
      <c r="S3348">
        <v>149.792292</v>
      </c>
      <c r="T3348" s="1095">
        <v>-36.127662999999998</v>
      </c>
    </row>
    <row r="3349" spans="16:20">
      <c r="P3349" s="1094">
        <v>2545</v>
      </c>
      <c r="Q3349" t="s">
        <v>4408</v>
      </c>
      <c r="R3349" t="s">
        <v>248</v>
      </c>
      <c r="S3349">
        <v>149.792292</v>
      </c>
      <c r="T3349" s="1095">
        <v>-36.127662999999998</v>
      </c>
    </row>
    <row r="3350" spans="16:20">
      <c r="P3350" s="1094">
        <v>2545</v>
      </c>
      <c r="Q3350" t="s">
        <v>4409</v>
      </c>
      <c r="R3350" t="s">
        <v>248</v>
      </c>
      <c r="S3350">
        <v>149.792292</v>
      </c>
      <c r="T3350" s="1095">
        <v>-36.127662999999998</v>
      </c>
    </row>
    <row r="3351" spans="16:20">
      <c r="P3351" s="1094">
        <v>2546</v>
      </c>
      <c r="Q3351" t="s">
        <v>4410</v>
      </c>
      <c r="R3351" t="s">
        <v>248</v>
      </c>
      <c r="S3351">
        <v>150.22537199999999</v>
      </c>
      <c r="T3351" s="1095">
        <v>-36.254860000000001</v>
      </c>
    </row>
    <row r="3352" spans="16:20">
      <c r="P3352" s="1094">
        <v>2546</v>
      </c>
      <c r="Q3352" t="s">
        <v>4411</v>
      </c>
      <c r="R3352" t="s">
        <v>248</v>
      </c>
      <c r="S3352">
        <v>150.22537199999999</v>
      </c>
      <c r="T3352" s="1095">
        <v>-36.254860000000001</v>
      </c>
    </row>
    <row r="3353" spans="16:20">
      <c r="P3353" s="1094">
        <v>2546</v>
      </c>
      <c r="Q3353" t="s">
        <v>4412</v>
      </c>
      <c r="R3353" t="s">
        <v>248</v>
      </c>
      <c r="S3353">
        <v>150.22537199999999</v>
      </c>
      <c r="T3353" s="1095">
        <v>-36.254860000000001</v>
      </c>
    </row>
    <row r="3354" spans="16:20">
      <c r="P3354" s="1094">
        <v>2546</v>
      </c>
      <c r="Q3354" t="s">
        <v>4413</v>
      </c>
      <c r="R3354" t="s">
        <v>248</v>
      </c>
      <c r="S3354">
        <v>150.22537199999999</v>
      </c>
      <c r="T3354" s="1095">
        <v>-36.254860000000001</v>
      </c>
    </row>
    <row r="3355" spans="16:20">
      <c r="P3355" s="1094">
        <v>2546</v>
      </c>
      <c r="Q3355" t="s">
        <v>4414</v>
      </c>
      <c r="R3355" t="s">
        <v>248</v>
      </c>
      <c r="S3355">
        <v>150.22537199999999</v>
      </c>
      <c r="T3355" s="1095">
        <v>-36.254860000000001</v>
      </c>
    </row>
    <row r="3356" spans="16:20">
      <c r="P3356" s="1094">
        <v>2546</v>
      </c>
      <c r="Q3356" t="s">
        <v>4415</v>
      </c>
      <c r="R3356" t="s">
        <v>248</v>
      </c>
      <c r="S3356">
        <v>150.22537199999999</v>
      </c>
      <c r="T3356" s="1095">
        <v>-36.254860000000001</v>
      </c>
    </row>
    <row r="3357" spans="16:20">
      <c r="P3357" s="1094">
        <v>2546</v>
      </c>
      <c r="Q3357" t="s">
        <v>4416</v>
      </c>
      <c r="R3357" t="s">
        <v>248</v>
      </c>
      <c r="S3357">
        <v>150.22537199999999</v>
      </c>
      <c r="T3357" s="1095">
        <v>-36.254860000000001</v>
      </c>
    </row>
    <row r="3358" spans="16:20">
      <c r="P3358" s="1094">
        <v>2546</v>
      </c>
      <c r="Q3358" t="s">
        <v>4417</v>
      </c>
      <c r="R3358" t="s">
        <v>248</v>
      </c>
      <c r="S3358">
        <v>150.22537199999999</v>
      </c>
      <c r="T3358" s="1095">
        <v>-36.254860000000001</v>
      </c>
    </row>
    <row r="3359" spans="16:20">
      <c r="P3359" s="1094">
        <v>2546</v>
      </c>
      <c r="Q3359" t="s">
        <v>4418</v>
      </c>
      <c r="R3359" t="s">
        <v>248</v>
      </c>
      <c r="S3359">
        <v>150.22537199999999</v>
      </c>
      <c r="T3359" s="1095">
        <v>-36.254860000000001</v>
      </c>
    </row>
    <row r="3360" spans="16:20">
      <c r="P3360" s="1094">
        <v>2546</v>
      </c>
      <c r="Q3360" t="s">
        <v>4419</v>
      </c>
      <c r="R3360" t="s">
        <v>248</v>
      </c>
      <c r="S3360">
        <v>150.22537199999999</v>
      </c>
      <c r="T3360" s="1095">
        <v>-36.254860000000001</v>
      </c>
    </row>
    <row r="3361" spans="16:20">
      <c r="P3361" s="1094">
        <v>2546</v>
      </c>
      <c r="Q3361" t="s">
        <v>4420</v>
      </c>
      <c r="R3361" t="s">
        <v>248</v>
      </c>
      <c r="S3361">
        <v>150.22537199999999</v>
      </c>
      <c r="T3361" s="1095">
        <v>-36.254860000000001</v>
      </c>
    </row>
    <row r="3362" spans="16:20">
      <c r="P3362" s="1094">
        <v>2546</v>
      </c>
      <c r="Q3362" t="s">
        <v>4421</v>
      </c>
      <c r="R3362" t="s">
        <v>248</v>
      </c>
      <c r="S3362">
        <v>150.22537199999999</v>
      </c>
      <c r="T3362" s="1095">
        <v>-36.254860000000001</v>
      </c>
    </row>
    <row r="3363" spans="16:20">
      <c r="P3363" s="1094">
        <v>2546</v>
      </c>
      <c r="Q3363" t="s">
        <v>4422</v>
      </c>
      <c r="R3363" t="s">
        <v>248</v>
      </c>
      <c r="S3363">
        <v>150.22537199999999</v>
      </c>
      <c r="T3363" s="1095">
        <v>-36.254860000000001</v>
      </c>
    </row>
    <row r="3364" spans="16:20">
      <c r="P3364" s="1094">
        <v>2546</v>
      </c>
      <c r="Q3364" t="s">
        <v>4423</v>
      </c>
      <c r="R3364" t="s">
        <v>248</v>
      </c>
      <c r="S3364">
        <v>150.22537199999999</v>
      </c>
      <c r="T3364" s="1095">
        <v>-36.254860000000001</v>
      </c>
    </row>
    <row r="3365" spans="16:20">
      <c r="P3365" s="1094">
        <v>2546</v>
      </c>
      <c r="Q3365" t="s">
        <v>4424</v>
      </c>
      <c r="R3365" t="s">
        <v>248</v>
      </c>
      <c r="S3365">
        <v>150.22537199999999</v>
      </c>
      <c r="T3365" s="1095">
        <v>-36.254860000000001</v>
      </c>
    </row>
    <row r="3366" spans="16:20">
      <c r="P3366" s="1094">
        <v>2546</v>
      </c>
      <c r="Q3366" t="s">
        <v>4425</v>
      </c>
      <c r="R3366" t="s">
        <v>248</v>
      </c>
      <c r="S3366">
        <v>150.22537199999999</v>
      </c>
      <c r="T3366" s="1095">
        <v>-36.254860000000001</v>
      </c>
    </row>
    <row r="3367" spans="16:20">
      <c r="P3367" s="1094">
        <v>2546</v>
      </c>
      <c r="Q3367" t="s">
        <v>4426</v>
      </c>
      <c r="R3367" t="s">
        <v>248</v>
      </c>
      <c r="S3367">
        <v>150.22537199999999</v>
      </c>
      <c r="T3367" s="1095">
        <v>-36.254860000000001</v>
      </c>
    </row>
    <row r="3368" spans="16:20">
      <c r="P3368" s="1094">
        <v>2546</v>
      </c>
      <c r="Q3368" t="s">
        <v>4427</v>
      </c>
      <c r="R3368" t="s">
        <v>248</v>
      </c>
      <c r="S3368">
        <v>150.22537199999999</v>
      </c>
      <c r="T3368" s="1095">
        <v>-36.254860000000001</v>
      </c>
    </row>
    <row r="3369" spans="16:20">
      <c r="P3369" s="1094">
        <v>2546</v>
      </c>
      <c r="Q3369" t="s">
        <v>4428</v>
      </c>
      <c r="R3369" t="s">
        <v>248</v>
      </c>
      <c r="S3369">
        <v>150.22537199999999</v>
      </c>
      <c r="T3369" s="1095">
        <v>-36.254860000000001</v>
      </c>
    </row>
    <row r="3370" spans="16:20">
      <c r="P3370" s="1094">
        <v>2546</v>
      </c>
      <c r="Q3370" t="s">
        <v>4429</v>
      </c>
      <c r="R3370" t="s">
        <v>248</v>
      </c>
      <c r="S3370">
        <v>150.22537199999999</v>
      </c>
      <c r="T3370" s="1095">
        <v>-36.254860000000001</v>
      </c>
    </row>
    <row r="3371" spans="16:20">
      <c r="P3371" s="1094">
        <v>2548</v>
      </c>
      <c r="Q3371" t="s">
        <v>4430</v>
      </c>
      <c r="R3371" t="s">
        <v>248</v>
      </c>
      <c r="S3371">
        <v>149.894825</v>
      </c>
      <c r="T3371" s="1095">
        <v>-36.860723</v>
      </c>
    </row>
    <row r="3372" spans="16:20">
      <c r="P3372" s="1094">
        <v>2548</v>
      </c>
      <c r="Q3372" t="s">
        <v>4431</v>
      </c>
      <c r="R3372" t="s">
        <v>248</v>
      </c>
      <c r="S3372">
        <v>149.894825</v>
      </c>
      <c r="T3372" s="1095">
        <v>-36.860723</v>
      </c>
    </row>
    <row r="3373" spans="16:20">
      <c r="P3373" s="1094">
        <v>2548</v>
      </c>
      <c r="Q3373" t="s">
        <v>4432</v>
      </c>
      <c r="R3373" t="s">
        <v>248</v>
      </c>
      <c r="S3373">
        <v>149.894825</v>
      </c>
      <c r="T3373" s="1095">
        <v>-36.860723</v>
      </c>
    </row>
    <row r="3374" spans="16:20">
      <c r="P3374" s="1094">
        <v>2548</v>
      </c>
      <c r="Q3374" t="s">
        <v>4433</v>
      </c>
      <c r="R3374" t="s">
        <v>248</v>
      </c>
      <c r="S3374">
        <v>149.894825</v>
      </c>
      <c r="T3374" s="1095">
        <v>-36.860723</v>
      </c>
    </row>
    <row r="3375" spans="16:20">
      <c r="P3375" s="1094">
        <v>2549</v>
      </c>
      <c r="Q3375" t="s">
        <v>4434</v>
      </c>
      <c r="R3375" t="s">
        <v>248</v>
      </c>
      <c r="S3375">
        <v>149.85169400000001</v>
      </c>
      <c r="T3375" s="1095">
        <v>-36.953195999999998</v>
      </c>
    </row>
    <row r="3376" spans="16:20">
      <c r="P3376" s="1094">
        <v>2549</v>
      </c>
      <c r="Q3376" t="s">
        <v>3884</v>
      </c>
      <c r="R3376" t="s">
        <v>248</v>
      </c>
      <c r="S3376">
        <v>149.85169400000001</v>
      </c>
      <c r="T3376" s="1095">
        <v>-36.953195999999998</v>
      </c>
    </row>
    <row r="3377" spans="16:20">
      <c r="P3377" s="1094">
        <v>2549</v>
      </c>
      <c r="Q3377" t="s">
        <v>4435</v>
      </c>
      <c r="R3377" t="s">
        <v>248</v>
      </c>
      <c r="S3377">
        <v>149.85169400000001</v>
      </c>
      <c r="T3377" s="1095">
        <v>-36.953195999999998</v>
      </c>
    </row>
    <row r="3378" spans="16:20">
      <c r="P3378" s="1094">
        <v>2549</v>
      </c>
      <c r="Q3378" t="s">
        <v>4436</v>
      </c>
      <c r="R3378" t="s">
        <v>248</v>
      </c>
      <c r="S3378">
        <v>149.85169400000001</v>
      </c>
      <c r="T3378" s="1095">
        <v>-36.953195999999998</v>
      </c>
    </row>
    <row r="3379" spans="16:20">
      <c r="P3379" s="1094">
        <v>2549</v>
      </c>
      <c r="Q3379" t="s">
        <v>4437</v>
      </c>
      <c r="R3379" t="s">
        <v>248</v>
      </c>
      <c r="S3379">
        <v>149.85169400000001</v>
      </c>
      <c r="T3379" s="1095">
        <v>-36.953195999999998</v>
      </c>
    </row>
    <row r="3380" spans="16:20">
      <c r="P3380" s="1094">
        <v>2549</v>
      </c>
      <c r="Q3380" t="s">
        <v>4438</v>
      </c>
      <c r="R3380" t="s">
        <v>248</v>
      </c>
      <c r="S3380">
        <v>149.85169400000001</v>
      </c>
      <c r="T3380" s="1095">
        <v>-36.953195999999998</v>
      </c>
    </row>
    <row r="3381" spans="16:20">
      <c r="P3381" s="1094">
        <v>2549</v>
      </c>
      <c r="Q3381" t="s">
        <v>4439</v>
      </c>
      <c r="R3381" t="s">
        <v>248</v>
      </c>
      <c r="S3381">
        <v>149.85169400000001</v>
      </c>
      <c r="T3381" s="1095">
        <v>-36.953195999999998</v>
      </c>
    </row>
    <row r="3382" spans="16:20">
      <c r="P3382" s="1094">
        <v>2549</v>
      </c>
      <c r="Q3382" t="s">
        <v>4440</v>
      </c>
      <c r="R3382" t="s">
        <v>248</v>
      </c>
      <c r="S3382">
        <v>149.85169400000001</v>
      </c>
      <c r="T3382" s="1095">
        <v>-36.953195999999998</v>
      </c>
    </row>
    <row r="3383" spans="16:20">
      <c r="P3383" s="1094">
        <v>2549</v>
      </c>
      <c r="Q3383" t="s">
        <v>4441</v>
      </c>
      <c r="R3383" t="s">
        <v>248</v>
      </c>
      <c r="S3383">
        <v>149.85169400000001</v>
      </c>
      <c r="T3383" s="1095">
        <v>-36.953195999999998</v>
      </c>
    </row>
    <row r="3384" spans="16:20">
      <c r="P3384" s="1094">
        <v>2550</v>
      </c>
      <c r="Q3384" t="s">
        <v>4442</v>
      </c>
      <c r="R3384" t="s">
        <v>248</v>
      </c>
      <c r="S3384">
        <v>149.69922199999999</v>
      </c>
      <c r="T3384" s="1095">
        <v>-36.737757999999999</v>
      </c>
    </row>
    <row r="3385" spans="16:20">
      <c r="P3385" s="1094">
        <v>2550</v>
      </c>
      <c r="Q3385" t="s">
        <v>4443</v>
      </c>
      <c r="R3385" t="s">
        <v>248</v>
      </c>
      <c r="S3385">
        <v>149.69922199999999</v>
      </c>
      <c r="T3385" s="1095">
        <v>-36.737757999999999</v>
      </c>
    </row>
    <row r="3386" spans="16:20">
      <c r="P3386" s="1094">
        <v>2550</v>
      </c>
      <c r="Q3386" t="s">
        <v>4444</v>
      </c>
      <c r="R3386" t="s">
        <v>248</v>
      </c>
      <c r="S3386">
        <v>149.69922199999999</v>
      </c>
      <c r="T3386" s="1095">
        <v>-36.737757999999999</v>
      </c>
    </row>
    <row r="3387" spans="16:20">
      <c r="P3387" s="1094">
        <v>2550</v>
      </c>
      <c r="Q3387" t="s">
        <v>4445</v>
      </c>
      <c r="R3387" t="s">
        <v>248</v>
      </c>
      <c r="S3387">
        <v>149.69922199999999</v>
      </c>
      <c r="T3387" s="1095">
        <v>-36.737757999999999</v>
      </c>
    </row>
    <row r="3388" spans="16:20">
      <c r="P3388" s="1094">
        <v>2550</v>
      </c>
      <c r="Q3388" t="s">
        <v>4446</v>
      </c>
      <c r="R3388" t="s">
        <v>248</v>
      </c>
      <c r="S3388">
        <v>149.69922199999999</v>
      </c>
      <c r="T3388" s="1095">
        <v>-36.737757999999999</v>
      </c>
    </row>
    <row r="3389" spans="16:20">
      <c r="P3389" s="1094">
        <v>2550</v>
      </c>
      <c r="Q3389" t="s">
        <v>4447</v>
      </c>
      <c r="R3389" t="s">
        <v>248</v>
      </c>
      <c r="S3389">
        <v>149.69922199999999</v>
      </c>
      <c r="T3389" s="1095">
        <v>-36.737757999999999</v>
      </c>
    </row>
    <row r="3390" spans="16:20">
      <c r="P3390" s="1094">
        <v>2550</v>
      </c>
      <c r="Q3390" t="s">
        <v>4448</v>
      </c>
      <c r="R3390" t="s">
        <v>248</v>
      </c>
      <c r="S3390">
        <v>149.69922199999999</v>
      </c>
      <c r="T3390" s="1095">
        <v>-36.737757999999999</v>
      </c>
    </row>
    <row r="3391" spans="16:20">
      <c r="P3391" s="1094">
        <v>2550</v>
      </c>
      <c r="Q3391" t="s">
        <v>4449</v>
      </c>
      <c r="R3391" t="s">
        <v>248</v>
      </c>
      <c r="S3391">
        <v>149.69922199999999</v>
      </c>
      <c r="T3391" s="1095">
        <v>-36.737757999999999</v>
      </c>
    </row>
    <row r="3392" spans="16:20">
      <c r="P3392" s="1094">
        <v>2550</v>
      </c>
      <c r="Q3392" t="s">
        <v>4450</v>
      </c>
      <c r="R3392" t="s">
        <v>248</v>
      </c>
      <c r="S3392">
        <v>149.69922199999999</v>
      </c>
      <c r="T3392" s="1095">
        <v>-36.737757999999999</v>
      </c>
    </row>
    <row r="3393" spans="16:20">
      <c r="P3393" s="1094">
        <v>2550</v>
      </c>
      <c r="Q3393" t="s">
        <v>4451</v>
      </c>
      <c r="R3393" t="s">
        <v>248</v>
      </c>
      <c r="S3393">
        <v>149.69922199999999</v>
      </c>
      <c r="T3393" s="1095">
        <v>-36.737757999999999</v>
      </c>
    </row>
    <row r="3394" spans="16:20">
      <c r="P3394" s="1094">
        <v>2550</v>
      </c>
      <c r="Q3394" t="s">
        <v>4452</v>
      </c>
      <c r="R3394" t="s">
        <v>248</v>
      </c>
      <c r="S3394">
        <v>149.69922199999999</v>
      </c>
      <c r="T3394" s="1095">
        <v>-36.737757999999999</v>
      </c>
    </row>
    <row r="3395" spans="16:20">
      <c r="P3395" s="1094">
        <v>2550</v>
      </c>
      <c r="Q3395" t="s">
        <v>4453</v>
      </c>
      <c r="R3395" t="s">
        <v>248</v>
      </c>
      <c r="S3395">
        <v>149.69922199999999</v>
      </c>
      <c r="T3395" s="1095">
        <v>-36.737757999999999</v>
      </c>
    </row>
    <row r="3396" spans="16:20">
      <c r="P3396" s="1094">
        <v>2550</v>
      </c>
      <c r="Q3396" t="s">
        <v>4454</v>
      </c>
      <c r="R3396" t="s">
        <v>248</v>
      </c>
      <c r="S3396">
        <v>149.69922199999999</v>
      </c>
      <c r="T3396" s="1095">
        <v>-36.737757999999999</v>
      </c>
    </row>
    <row r="3397" spans="16:20">
      <c r="P3397" s="1094">
        <v>2550</v>
      </c>
      <c r="Q3397" t="s">
        <v>4455</v>
      </c>
      <c r="R3397" t="s">
        <v>248</v>
      </c>
      <c r="S3397">
        <v>149.69922199999999</v>
      </c>
      <c r="T3397" s="1095">
        <v>-36.737757999999999</v>
      </c>
    </row>
    <row r="3398" spans="16:20">
      <c r="P3398" s="1094">
        <v>2550</v>
      </c>
      <c r="Q3398" t="s">
        <v>4456</v>
      </c>
      <c r="R3398" t="s">
        <v>248</v>
      </c>
      <c r="S3398">
        <v>149.69922199999999</v>
      </c>
      <c r="T3398" s="1095">
        <v>-36.737757999999999</v>
      </c>
    </row>
    <row r="3399" spans="16:20">
      <c r="P3399" s="1094">
        <v>2550</v>
      </c>
      <c r="Q3399" t="s">
        <v>4457</v>
      </c>
      <c r="R3399" t="s">
        <v>248</v>
      </c>
      <c r="S3399">
        <v>149.69922199999999</v>
      </c>
      <c r="T3399" s="1095">
        <v>-36.737757999999999</v>
      </c>
    </row>
    <row r="3400" spans="16:20">
      <c r="P3400" s="1094">
        <v>2550</v>
      </c>
      <c r="Q3400" t="s">
        <v>4458</v>
      </c>
      <c r="R3400" t="s">
        <v>248</v>
      </c>
      <c r="S3400">
        <v>149.69922199999999</v>
      </c>
      <c r="T3400" s="1095">
        <v>-36.737757999999999</v>
      </c>
    </row>
    <row r="3401" spans="16:20">
      <c r="P3401" s="1094">
        <v>2550</v>
      </c>
      <c r="Q3401" t="s">
        <v>4459</v>
      </c>
      <c r="R3401" t="s">
        <v>248</v>
      </c>
      <c r="S3401">
        <v>149.69922199999999</v>
      </c>
      <c r="T3401" s="1095">
        <v>-36.737757999999999</v>
      </c>
    </row>
    <row r="3402" spans="16:20">
      <c r="P3402" s="1094">
        <v>2550</v>
      </c>
      <c r="Q3402" t="s">
        <v>4460</v>
      </c>
      <c r="R3402" t="s">
        <v>248</v>
      </c>
      <c r="S3402">
        <v>149.69922199999999</v>
      </c>
      <c r="T3402" s="1095">
        <v>-36.737757999999999</v>
      </c>
    </row>
    <row r="3403" spans="16:20">
      <c r="P3403" s="1094">
        <v>2550</v>
      </c>
      <c r="Q3403" t="s">
        <v>4461</v>
      </c>
      <c r="R3403" t="s">
        <v>248</v>
      </c>
      <c r="S3403">
        <v>149.69922199999999</v>
      </c>
      <c r="T3403" s="1095">
        <v>-36.737757999999999</v>
      </c>
    </row>
    <row r="3404" spans="16:20">
      <c r="P3404" s="1094">
        <v>2550</v>
      </c>
      <c r="Q3404" t="s">
        <v>4462</v>
      </c>
      <c r="R3404" t="s">
        <v>248</v>
      </c>
      <c r="S3404">
        <v>149.69922199999999</v>
      </c>
      <c r="T3404" s="1095">
        <v>-36.737757999999999</v>
      </c>
    </row>
    <row r="3405" spans="16:20">
      <c r="P3405" s="1094">
        <v>2550</v>
      </c>
      <c r="Q3405" t="s">
        <v>4463</v>
      </c>
      <c r="R3405" t="s">
        <v>248</v>
      </c>
      <c r="S3405">
        <v>149.69922199999999</v>
      </c>
      <c r="T3405" s="1095">
        <v>-36.737757999999999</v>
      </c>
    </row>
    <row r="3406" spans="16:20">
      <c r="P3406" s="1094">
        <v>2550</v>
      </c>
      <c r="Q3406" t="s">
        <v>2884</v>
      </c>
      <c r="R3406" t="s">
        <v>248</v>
      </c>
      <c r="S3406">
        <v>149.69922199999999</v>
      </c>
      <c r="T3406" s="1095">
        <v>-36.737757999999999</v>
      </c>
    </row>
    <row r="3407" spans="16:20">
      <c r="P3407" s="1094">
        <v>2550</v>
      </c>
      <c r="Q3407" t="s">
        <v>4464</v>
      </c>
      <c r="R3407" t="s">
        <v>248</v>
      </c>
      <c r="S3407">
        <v>149.69922199999999</v>
      </c>
      <c r="T3407" s="1095">
        <v>-36.737757999999999</v>
      </c>
    </row>
    <row r="3408" spans="16:20">
      <c r="P3408" s="1094">
        <v>2550</v>
      </c>
      <c r="Q3408" t="s">
        <v>4465</v>
      </c>
      <c r="R3408" t="s">
        <v>248</v>
      </c>
      <c r="S3408">
        <v>149.69922199999999</v>
      </c>
      <c r="T3408" s="1095">
        <v>-36.737757999999999</v>
      </c>
    </row>
    <row r="3409" spans="16:20">
      <c r="P3409" s="1094">
        <v>2550</v>
      </c>
      <c r="Q3409" t="s">
        <v>4466</v>
      </c>
      <c r="R3409" t="s">
        <v>248</v>
      </c>
      <c r="S3409">
        <v>149.69922199999999</v>
      </c>
      <c r="T3409" s="1095">
        <v>-36.737757999999999</v>
      </c>
    </row>
    <row r="3410" spans="16:20">
      <c r="P3410" s="1094">
        <v>2550</v>
      </c>
      <c r="Q3410" t="s">
        <v>4467</v>
      </c>
      <c r="R3410" t="s">
        <v>248</v>
      </c>
      <c r="S3410">
        <v>149.69922199999999</v>
      </c>
      <c r="T3410" s="1095">
        <v>-36.737757999999999</v>
      </c>
    </row>
    <row r="3411" spans="16:20">
      <c r="P3411" s="1094">
        <v>2550</v>
      </c>
      <c r="Q3411" t="s">
        <v>4468</v>
      </c>
      <c r="R3411" t="s">
        <v>248</v>
      </c>
      <c r="S3411">
        <v>149.69922199999999</v>
      </c>
      <c r="T3411" s="1095">
        <v>-36.737757999999999</v>
      </c>
    </row>
    <row r="3412" spans="16:20">
      <c r="P3412" s="1094">
        <v>2550</v>
      </c>
      <c r="Q3412" t="s">
        <v>4469</v>
      </c>
      <c r="R3412" t="s">
        <v>248</v>
      </c>
      <c r="S3412">
        <v>149.69922199999999</v>
      </c>
      <c r="T3412" s="1095">
        <v>-36.737757999999999</v>
      </c>
    </row>
    <row r="3413" spans="16:20">
      <c r="P3413" s="1094">
        <v>2550</v>
      </c>
      <c r="Q3413" t="s">
        <v>4470</v>
      </c>
      <c r="R3413" t="s">
        <v>248</v>
      </c>
      <c r="S3413">
        <v>149.69922199999999</v>
      </c>
      <c r="T3413" s="1095">
        <v>-36.737757999999999</v>
      </c>
    </row>
    <row r="3414" spans="16:20">
      <c r="P3414" s="1094">
        <v>2550</v>
      </c>
      <c r="Q3414" t="s">
        <v>4471</v>
      </c>
      <c r="R3414" t="s">
        <v>248</v>
      </c>
      <c r="S3414">
        <v>149.69922199999999</v>
      </c>
      <c r="T3414" s="1095">
        <v>-36.737757999999999</v>
      </c>
    </row>
    <row r="3415" spans="16:20">
      <c r="P3415" s="1094">
        <v>2550</v>
      </c>
      <c r="Q3415" t="s">
        <v>4472</v>
      </c>
      <c r="R3415" t="s">
        <v>248</v>
      </c>
      <c r="S3415">
        <v>149.69922199999999</v>
      </c>
      <c r="T3415" s="1095">
        <v>-36.737757999999999</v>
      </c>
    </row>
    <row r="3416" spans="16:20">
      <c r="P3416" s="1094">
        <v>2550</v>
      </c>
      <c r="Q3416" t="s">
        <v>4473</v>
      </c>
      <c r="R3416" t="s">
        <v>248</v>
      </c>
      <c r="S3416">
        <v>149.69922199999999</v>
      </c>
      <c r="T3416" s="1095">
        <v>-36.737757999999999</v>
      </c>
    </row>
    <row r="3417" spans="16:20">
      <c r="P3417" s="1094">
        <v>2550</v>
      </c>
      <c r="Q3417" t="s">
        <v>4474</v>
      </c>
      <c r="R3417" t="s">
        <v>248</v>
      </c>
      <c r="S3417">
        <v>149.69922199999999</v>
      </c>
      <c r="T3417" s="1095">
        <v>-36.737757999999999</v>
      </c>
    </row>
    <row r="3418" spans="16:20">
      <c r="P3418" s="1094">
        <v>2550</v>
      </c>
      <c r="Q3418" t="s">
        <v>4475</v>
      </c>
      <c r="R3418" t="s">
        <v>248</v>
      </c>
      <c r="S3418">
        <v>149.69922199999999</v>
      </c>
      <c r="T3418" s="1095">
        <v>-36.737757999999999</v>
      </c>
    </row>
    <row r="3419" spans="16:20">
      <c r="P3419" s="1094">
        <v>2550</v>
      </c>
      <c r="Q3419" t="s">
        <v>4476</v>
      </c>
      <c r="R3419" t="s">
        <v>248</v>
      </c>
      <c r="S3419">
        <v>149.69922199999999</v>
      </c>
      <c r="T3419" s="1095">
        <v>-36.737757999999999</v>
      </c>
    </row>
    <row r="3420" spans="16:20">
      <c r="P3420" s="1094">
        <v>2550</v>
      </c>
      <c r="Q3420" t="s">
        <v>4477</v>
      </c>
      <c r="R3420" t="s">
        <v>248</v>
      </c>
      <c r="S3420">
        <v>149.69922199999999</v>
      </c>
      <c r="T3420" s="1095">
        <v>-36.737757999999999</v>
      </c>
    </row>
    <row r="3421" spans="16:20">
      <c r="P3421" s="1094">
        <v>2550</v>
      </c>
      <c r="Q3421" t="s">
        <v>4478</v>
      </c>
      <c r="R3421" t="s">
        <v>248</v>
      </c>
      <c r="S3421">
        <v>149.69922199999999</v>
      </c>
      <c r="T3421" s="1095">
        <v>-36.737757999999999</v>
      </c>
    </row>
    <row r="3422" spans="16:20">
      <c r="P3422" s="1094">
        <v>2550</v>
      </c>
      <c r="Q3422" t="s">
        <v>4479</v>
      </c>
      <c r="R3422" t="s">
        <v>248</v>
      </c>
      <c r="S3422">
        <v>149.69922199999999</v>
      </c>
      <c r="T3422" s="1095">
        <v>-36.737757999999999</v>
      </c>
    </row>
    <row r="3423" spans="16:20">
      <c r="P3423" s="1094">
        <v>2550</v>
      </c>
      <c r="Q3423" t="s">
        <v>4480</v>
      </c>
      <c r="R3423" t="s">
        <v>248</v>
      </c>
      <c r="S3423">
        <v>149.69922199999999</v>
      </c>
      <c r="T3423" s="1095">
        <v>-36.737757999999999</v>
      </c>
    </row>
    <row r="3424" spans="16:20">
      <c r="P3424" s="1094">
        <v>2550</v>
      </c>
      <c r="Q3424" t="s">
        <v>4481</v>
      </c>
      <c r="R3424" t="s">
        <v>248</v>
      </c>
      <c r="S3424">
        <v>149.69922199999999</v>
      </c>
      <c r="T3424" s="1095">
        <v>-36.737757999999999</v>
      </c>
    </row>
    <row r="3425" spans="16:20">
      <c r="P3425" s="1094">
        <v>2550</v>
      </c>
      <c r="Q3425" t="s">
        <v>4482</v>
      </c>
      <c r="R3425" t="s">
        <v>248</v>
      </c>
      <c r="S3425">
        <v>149.69922199999999</v>
      </c>
      <c r="T3425" s="1095">
        <v>-36.737757999999999</v>
      </c>
    </row>
    <row r="3426" spans="16:20">
      <c r="P3426" s="1094">
        <v>2550</v>
      </c>
      <c r="Q3426" t="s">
        <v>4483</v>
      </c>
      <c r="R3426" t="s">
        <v>248</v>
      </c>
      <c r="S3426">
        <v>149.69922199999999</v>
      </c>
      <c r="T3426" s="1095">
        <v>-36.737757999999999</v>
      </c>
    </row>
    <row r="3427" spans="16:20">
      <c r="P3427" s="1094">
        <v>2550</v>
      </c>
      <c r="Q3427" t="s">
        <v>4484</v>
      </c>
      <c r="R3427" t="s">
        <v>248</v>
      </c>
      <c r="S3427">
        <v>149.69922199999999</v>
      </c>
      <c r="T3427" s="1095">
        <v>-36.737757999999999</v>
      </c>
    </row>
    <row r="3428" spans="16:20">
      <c r="P3428" s="1094">
        <v>2550</v>
      </c>
      <c r="Q3428" t="s">
        <v>4485</v>
      </c>
      <c r="R3428" t="s">
        <v>248</v>
      </c>
      <c r="S3428">
        <v>149.69922199999999</v>
      </c>
      <c r="T3428" s="1095">
        <v>-36.737757999999999</v>
      </c>
    </row>
    <row r="3429" spans="16:20">
      <c r="P3429" s="1094">
        <v>2550</v>
      </c>
      <c r="Q3429" t="s">
        <v>4486</v>
      </c>
      <c r="R3429" t="s">
        <v>248</v>
      </c>
      <c r="S3429">
        <v>149.69922199999999</v>
      </c>
      <c r="T3429" s="1095">
        <v>-36.737757999999999</v>
      </c>
    </row>
    <row r="3430" spans="16:20">
      <c r="P3430" s="1094">
        <v>2550</v>
      </c>
      <c r="Q3430" t="s">
        <v>4487</v>
      </c>
      <c r="R3430" t="s">
        <v>248</v>
      </c>
      <c r="S3430">
        <v>149.69922199999999</v>
      </c>
      <c r="T3430" s="1095">
        <v>-36.737757999999999</v>
      </c>
    </row>
    <row r="3431" spans="16:20">
      <c r="P3431" s="1094">
        <v>2550</v>
      </c>
      <c r="Q3431" t="s">
        <v>4488</v>
      </c>
      <c r="R3431" t="s">
        <v>248</v>
      </c>
      <c r="S3431">
        <v>149.69922199999999</v>
      </c>
      <c r="T3431" s="1095">
        <v>-36.737757999999999</v>
      </c>
    </row>
    <row r="3432" spans="16:20">
      <c r="P3432" s="1094">
        <v>2550</v>
      </c>
      <c r="Q3432" t="s">
        <v>4489</v>
      </c>
      <c r="R3432" t="s">
        <v>248</v>
      </c>
      <c r="S3432">
        <v>149.69922199999999</v>
      </c>
      <c r="T3432" s="1095">
        <v>-36.737757999999999</v>
      </c>
    </row>
    <row r="3433" spans="16:20">
      <c r="P3433" s="1094">
        <v>2550</v>
      </c>
      <c r="Q3433" t="s">
        <v>4490</v>
      </c>
      <c r="R3433" t="s">
        <v>248</v>
      </c>
      <c r="S3433">
        <v>149.69922199999999</v>
      </c>
      <c r="T3433" s="1095">
        <v>-36.737757999999999</v>
      </c>
    </row>
    <row r="3434" spans="16:20">
      <c r="P3434" s="1094">
        <v>2550</v>
      </c>
      <c r="Q3434" t="s">
        <v>4491</v>
      </c>
      <c r="R3434" t="s">
        <v>248</v>
      </c>
      <c r="S3434">
        <v>149.69922199999999</v>
      </c>
      <c r="T3434" s="1095">
        <v>-36.737757999999999</v>
      </c>
    </row>
    <row r="3435" spans="16:20">
      <c r="P3435" s="1094">
        <v>2550</v>
      </c>
      <c r="Q3435" t="s">
        <v>4492</v>
      </c>
      <c r="R3435" t="s">
        <v>248</v>
      </c>
      <c r="S3435">
        <v>149.69922199999999</v>
      </c>
      <c r="T3435" s="1095">
        <v>-36.737757999999999</v>
      </c>
    </row>
    <row r="3436" spans="16:20">
      <c r="P3436" s="1094">
        <v>2551</v>
      </c>
      <c r="Q3436" t="s">
        <v>4493</v>
      </c>
      <c r="R3436" t="s">
        <v>248</v>
      </c>
      <c r="S3436">
        <v>149.79236399999999</v>
      </c>
      <c r="T3436" s="1095">
        <v>-37.267687000000002</v>
      </c>
    </row>
    <row r="3437" spans="16:20">
      <c r="P3437" s="1094">
        <v>2551</v>
      </c>
      <c r="Q3437" t="s">
        <v>4494</v>
      </c>
      <c r="R3437" t="s">
        <v>248</v>
      </c>
      <c r="S3437">
        <v>149.79236399999999</v>
      </c>
      <c r="T3437" s="1095">
        <v>-37.267687000000002</v>
      </c>
    </row>
    <row r="3438" spans="16:20">
      <c r="P3438" s="1094">
        <v>2551</v>
      </c>
      <c r="Q3438" t="s">
        <v>4495</v>
      </c>
      <c r="R3438" t="s">
        <v>248</v>
      </c>
      <c r="S3438">
        <v>149.79236399999999</v>
      </c>
      <c r="T3438" s="1095">
        <v>-37.267687000000002</v>
      </c>
    </row>
    <row r="3439" spans="16:20">
      <c r="P3439" s="1094">
        <v>2551</v>
      </c>
      <c r="Q3439" t="s">
        <v>4496</v>
      </c>
      <c r="R3439" t="s">
        <v>248</v>
      </c>
      <c r="S3439">
        <v>149.79236399999999</v>
      </c>
      <c r="T3439" s="1095">
        <v>-37.267687000000002</v>
      </c>
    </row>
    <row r="3440" spans="16:20">
      <c r="P3440" s="1094">
        <v>2551</v>
      </c>
      <c r="Q3440" t="s">
        <v>4497</v>
      </c>
      <c r="R3440" t="s">
        <v>248</v>
      </c>
      <c r="S3440">
        <v>149.79236399999999</v>
      </c>
      <c r="T3440" s="1095">
        <v>-37.267687000000002</v>
      </c>
    </row>
    <row r="3441" spans="16:20">
      <c r="P3441" s="1094">
        <v>2551</v>
      </c>
      <c r="Q3441" t="s">
        <v>4498</v>
      </c>
      <c r="R3441" t="s">
        <v>248</v>
      </c>
      <c r="S3441">
        <v>149.79236399999999</v>
      </c>
      <c r="T3441" s="1095">
        <v>-37.267687000000002</v>
      </c>
    </row>
    <row r="3442" spans="16:20">
      <c r="P3442" s="1094">
        <v>2551</v>
      </c>
      <c r="Q3442" t="s">
        <v>4499</v>
      </c>
      <c r="R3442" t="s">
        <v>248</v>
      </c>
      <c r="S3442">
        <v>149.79236399999999</v>
      </c>
      <c r="T3442" s="1095">
        <v>-37.267687000000002</v>
      </c>
    </row>
    <row r="3443" spans="16:20">
      <c r="P3443" s="1094">
        <v>2551</v>
      </c>
      <c r="Q3443" t="s">
        <v>4500</v>
      </c>
      <c r="R3443" t="s">
        <v>248</v>
      </c>
      <c r="S3443">
        <v>149.79236399999999</v>
      </c>
      <c r="T3443" s="1095">
        <v>-37.267687000000002</v>
      </c>
    </row>
    <row r="3444" spans="16:20">
      <c r="P3444" s="1094">
        <v>2551</v>
      </c>
      <c r="Q3444" t="s">
        <v>4501</v>
      </c>
      <c r="R3444" t="s">
        <v>248</v>
      </c>
      <c r="S3444">
        <v>149.79236399999999</v>
      </c>
      <c r="T3444" s="1095">
        <v>-37.267687000000002</v>
      </c>
    </row>
    <row r="3445" spans="16:20">
      <c r="P3445" s="1094">
        <v>2551</v>
      </c>
      <c r="Q3445" t="s">
        <v>4502</v>
      </c>
      <c r="R3445" t="s">
        <v>248</v>
      </c>
      <c r="S3445">
        <v>149.79236399999999</v>
      </c>
      <c r="T3445" s="1095">
        <v>-37.267687000000002</v>
      </c>
    </row>
    <row r="3446" spans="16:20">
      <c r="P3446" s="1094">
        <v>2551</v>
      </c>
      <c r="Q3446" t="s">
        <v>4503</v>
      </c>
      <c r="R3446" t="s">
        <v>248</v>
      </c>
      <c r="S3446">
        <v>149.79236399999999</v>
      </c>
      <c r="T3446" s="1095">
        <v>-37.267687000000002</v>
      </c>
    </row>
    <row r="3447" spans="16:20">
      <c r="P3447" s="1094">
        <v>2555</v>
      </c>
      <c r="Q3447" t="s">
        <v>4504</v>
      </c>
      <c r="R3447" t="s">
        <v>248</v>
      </c>
      <c r="S3447">
        <v>0</v>
      </c>
      <c r="T3447" s="1095">
        <v>0</v>
      </c>
    </row>
    <row r="3448" spans="16:20">
      <c r="P3448" s="1094">
        <v>2556</v>
      </c>
      <c r="Q3448" t="s">
        <v>4505</v>
      </c>
      <c r="R3448" t="s">
        <v>248</v>
      </c>
      <c r="S3448">
        <v>0</v>
      </c>
      <c r="T3448" s="1095">
        <v>0</v>
      </c>
    </row>
    <row r="3449" spans="16:20">
      <c r="P3449" s="1094">
        <v>2557</v>
      </c>
      <c r="Q3449" t="s">
        <v>4506</v>
      </c>
      <c r="R3449" t="s">
        <v>248</v>
      </c>
      <c r="S3449">
        <v>0</v>
      </c>
      <c r="T3449" s="1095">
        <v>0</v>
      </c>
    </row>
    <row r="3450" spans="16:20">
      <c r="P3450" s="1094">
        <v>2557</v>
      </c>
      <c r="Q3450" t="s">
        <v>4507</v>
      </c>
      <c r="R3450" t="s">
        <v>248</v>
      </c>
      <c r="S3450">
        <v>0</v>
      </c>
      <c r="T3450" s="1095">
        <v>0</v>
      </c>
    </row>
    <row r="3451" spans="16:20">
      <c r="P3451" s="1094">
        <v>2558</v>
      </c>
      <c r="Q3451" t="s">
        <v>4508</v>
      </c>
      <c r="R3451" t="s">
        <v>248</v>
      </c>
      <c r="S3451">
        <v>150.79948300000001</v>
      </c>
      <c r="T3451" s="1095">
        <v>-34.031601999999999</v>
      </c>
    </row>
    <row r="3452" spans="16:20">
      <c r="P3452" s="1094">
        <v>2558</v>
      </c>
      <c r="Q3452" t="s">
        <v>4509</v>
      </c>
      <c r="R3452" t="s">
        <v>248</v>
      </c>
      <c r="S3452">
        <v>150.79948300000001</v>
      </c>
      <c r="T3452" s="1095">
        <v>-34.031601999999999</v>
      </c>
    </row>
    <row r="3453" spans="16:20">
      <c r="P3453" s="1094">
        <v>2558</v>
      </c>
      <c r="Q3453" t="s">
        <v>4510</v>
      </c>
      <c r="R3453" t="s">
        <v>248</v>
      </c>
      <c r="S3453">
        <v>150.79948300000001</v>
      </c>
      <c r="T3453" s="1095">
        <v>-34.031601999999999</v>
      </c>
    </row>
    <row r="3454" spans="16:20">
      <c r="P3454" s="1094">
        <v>2559</v>
      </c>
      <c r="Q3454" t="s">
        <v>4511</v>
      </c>
      <c r="R3454" t="s">
        <v>248</v>
      </c>
      <c r="S3454">
        <v>150.79361399999999</v>
      </c>
      <c r="T3454" s="1095">
        <v>-34.051273999999999</v>
      </c>
    </row>
    <row r="3455" spans="16:20">
      <c r="P3455" s="1094">
        <v>2559</v>
      </c>
      <c r="Q3455" t="s">
        <v>4512</v>
      </c>
      <c r="R3455" t="s">
        <v>248</v>
      </c>
      <c r="S3455">
        <v>150.79361399999999</v>
      </c>
      <c r="T3455" s="1095">
        <v>-34.051273999999999</v>
      </c>
    </row>
    <row r="3456" spans="16:20">
      <c r="P3456" s="1094">
        <v>2560</v>
      </c>
      <c r="Q3456" t="s">
        <v>4513</v>
      </c>
      <c r="R3456" t="s">
        <v>248</v>
      </c>
      <c r="S3456">
        <v>150.76840799999999</v>
      </c>
      <c r="T3456" s="1095">
        <v>-34.194215999999997</v>
      </c>
    </row>
    <row r="3457" spans="16:20">
      <c r="P3457" s="1094">
        <v>2560</v>
      </c>
      <c r="Q3457" t="s">
        <v>4514</v>
      </c>
      <c r="R3457" t="s">
        <v>248</v>
      </c>
      <c r="S3457">
        <v>150.76840799999999</v>
      </c>
      <c r="T3457" s="1095">
        <v>-34.194215999999997</v>
      </c>
    </row>
    <row r="3458" spans="16:20">
      <c r="P3458" s="1094">
        <v>2560</v>
      </c>
      <c r="Q3458" t="s">
        <v>4515</v>
      </c>
      <c r="R3458" t="s">
        <v>248</v>
      </c>
      <c r="S3458">
        <v>150.76840799999999</v>
      </c>
      <c r="T3458" s="1095">
        <v>-34.194215999999997</v>
      </c>
    </row>
    <row r="3459" spans="16:20">
      <c r="P3459" s="1094">
        <v>2560</v>
      </c>
      <c r="Q3459" t="s">
        <v>4516</v>
      </c>
      <c r="R3459" t="s">
        <v>248</v>
      </c>
      <c r="S3459">
        <v>150.76840799999999</v>
      </c>
      <c r="T3459" s="1095">
        <v>-34.194215999999997</v>
      </c>
    </row>
    <row r="3460" spans="16:20">
      <c r="P3460" s="1094">
        <v>2560</v>
      </c>
      <c r="Q3460" t="s">
        <v>4517</v>
      </c>
      <c r="R3460" t="s">
        <v>248</v>
      </c>
      <c r="S3460">
        <v>150.76840799999999</v>
      </c>
      <c r="T3460" s="1095">
        <v>-34.194215999999997</v>
      </c>
    </row>
    <row r="3461" spans="16:20">
      <c r="P3461" s="1094">
        <v>2560</v>
      </c>
      <c r="Q3461" t="s">
        <v>4518</v>
      </c>
      <c r="R3461" t="s">
        <v>248</v>
      </c>
      <c r="S3461">
        <v>150.76840799999999</v>
      </c>
      <c r="T3461" s="1095">
        <v>-34.194215999999997</v>
      </c>
    </row>
    <row r="3462" spans="16:20">
      <c r="P3462" s="1094">
        <v>2560</v>
      </c>
      <c r="Q3462" t="s">
        <v>4519</v>
      </c>
      <c r="R3462" t="s">
        <v>248</v>
      </c>
      <c r="S3462">
        <v>150.76840799999999</v>
      </c>
      <c r="T3462" s="1095">
        <v>-34.194215999999997</v>
      </c>
    </row>
    <row r="3463" spans="16:20">
      <c r="P3463" s="1094">
        <v>2560</v>
      </c>
      <c r="Q3463" t="s">
        <v>4520</v>
      </c>
      <c r="R3463" t="s">
        <v>248</v>
      </c>
      <c r="S3463">
        <v>150.76840799999999</v>
      </c>
      <c r="T3463" s="1095">
        <v>-34.194215999999997</v>
      </c>
    </row>
    <row r="3464" spans="16:20">
      <c r="P3464" s="1094">
        <v>2560</v>
      </c>
      <c r="Q3464" t="s">
        <v>4521</v>
      </c>
      <c r="R3464" t="s">
        <v>248</v>
      </c>
      <c r="S3464">
        <v>150.76840799999999</v>
      </c>
      <c r="T3464" s="1095">
        <v>-34.194215999999997</v>
      </c>
    </row>
    <row r="3465" spans="16:20">
      <c r="P3465" s="1094">
        <v>2560</v>
      </c>
      <c r="Q3465" t="s">
        <v>4522</v>
      </c>
      <c r="R3465" t="s">
        <v>248</v>
      </c>
      <c r="S3465">
        <v>150.76840799999999</v>
      </c>
      <c r="T3465" s="1095">
        <v>-34.194215999999997</v>
      </c>
    </row>
    <row r="3466" spans="16:20">
      <c r="P3466" s="1094">
        <v>2560</v>
      </c>
      <c r="Q3466" t="s">
        <v>4523</v>
      </c>
      <c r="R3466" t="s">
        <v>248</v>
      </c>
      <c r="S3466">
        <v>150.76840799999999</v>
      </c>
      <c r="T3466" s="1095">
        <v>-34.194215999999997</v>
      </c>
    </row>
    <row r="3467" spans="16:20">
      <c r="P3467" s="1094">
        <v>2560</v>
      </c>
      <c r="Q3467" t="s">
        <v>4524</v>
      </c>
      <c r="R3467" t="s">
        <v>248</v>
      </c>
      <c r="S3467">
        <v>150.76840799999999</v>
      </c>
      <c r="T3467" s="1095">
        <v>-34.194215999999997</v>
      </c>
    </row>
    <row r="3468" spans="16:20">
      <c r="P3468" s="1094">
        <v>2560</v>
      </c>
      <c r="Q3468" t="s">
        <v>4525</v>
      </c>
      <c r="R3468" t="s">
        <v>248</v>
      </c>
      <c r="S3468">
        <v>150.76840799999999</v>
      </c>
      <c r="T3468" s="1095">
        <v>-34.194215999999997</v>
      </c>
    </row>
    <row r="3469" spans="16:20">
      <c r="P3469" s="1094">
        <v>2560</v>
      </c>
      <c r="Q3469" t="s">
        <v>4526</v>
      </c>
      <c r="R3469" t="s">
        <v>248</v>
      </c>
      <c r="S3469">
        <v>150.76840799999999</v>
      </c>
      <c r="T3469" s="1095">
        <v>-34.194215999999997</v>
      </c>
    </row>
    <row r="3470" spans="16:20">
      <c r="P3470" s="1094">
        <v>2560</v>
      </c>
      <c r="Q3470" t="s">
        <v>4527</v>
      </c>
      <c r="R3470" t="s">
        <v>248</v>
      </c>
      <c r="S3470">
        <v>150.76840799999999</v>
      </c>
      <c r="T3470" s="1095">
        <v>-34.194215999999997</v>
      </c>
    </row>
    <row r="3471" spans="16:20">
      <c r="P3471" s="1094">
        <v>2560</v>
      </c>
      <c r="Q3471" t="s">
        <v>4528</v>
      </c>
      <c r="R3471" t="s">
        <v>248</v>
      </c>
      <c r="S3471">
        <v>150.76840799999999</v>
      </c>
      <c r="T3471" s="1095">
        <v>-34.194215999999997</v>
      </c>
    </row>
    <row r="3472" spans="16:20">
      <c r="P3472" s="1094">
        <v>2560</v>
      </c>
      <c r="Q3472" t="s">
        <v>4529</v>
      </c>
      <c r="R3472" t="s">
        <v>248</v>
      </c>
      <c r="S3472">
        <v>150.76840799999999</v>
      </c>
      <c r="T3472" s="1095">
        <v>-34.194215999999997</v>
      </c>
    </row>
    <row r="3473" spans="16:20">
      <c r="P3473" s="1094">
        <v>2560</v>
      </c>
      <c r="Q3473" t="s">
        <v>4530</v>
      </c>
      <c r="R3473" t="s">
        <v>248</v>
      </c>
      <c r="S3473">
        <v>150.76840799999999</v>
      </c>
      <c r="T3473" s="1095">
        <v>-34.194215999999997</v>
      </c>
    </row>
    <row r="3474" spans="16:20">
      <c r="P3474" s="1094">
        <v>2563</v>
      </c>
      <c r="Q3474" t="s">
        <v>4531</v>
      </c>
      <c r="R3474" t="s">
        <v>248</v>
      </c>
      <c r="S3474">
        <v>150.74984699999999</v>
      </c>
      <c r="T3474" s="1095">
        <v>-34.102735000000003</v>
      </c>
    </row>
    <row r="3475" spans="16:20">
      <c r="P3475" s="1094">
        <v>2564</v>
      </c>
      <c r="Q3475" t="s">
        <v>4532</v>
      </c>
      <c r="R3475" t="s">
        <v>248</v>
      </c>
      <c r="S3475">
        <v>150.89491599999999</v>
      </c>
      <c r="T3475" s="1095">
        <v>-33.998362</v>
      </c>
    </row>
    <row r="3476" spans="16:20">
      <c r="P3476" s="1094">
        <v>2564</v>
      </c>
      <c r="Q3476" t="s">
        <v>2764</v>
      </c>
      <c r="R3476" t="s">
        <v>248</v>
      </c>
      <c r="S3476">
        <v>150.89491599999999</v>
      </c>
      <c r="T3476" s="1095">
        <v>-33.998362</v>
      </c>
    </row>
    <row r="3477" spans="16:20">
      <c r="P3477" s="1094">
        <v>2564</v>
      </c>
      <c r="Q3477" t="s">
        <v>4533</v>
      </c>
      <c r="R3477" t="s">
        <v>248</v>
      </c>
      <c r="S3477">
        <v>150.89491599999999</v>
      </c>
      <c r="T3477" s="1095">
        <v>-33.998362</v>
      </c>
    </row>
    <row r="3478" spans="16:20">
      <c r="P3478" s="1094">
        <v>2565</v>
      </c>
      <c r="Q3478" t="s">
        <v>4534</v>
      </c>
      <c r="R3478" t="s">
        <v>248</v>
      </c>
      <c r="S3478">
        <v>150.843761</v>
      </c>
      <c r="T3478" s="1095">
        <v>-33.996062999999999</v>
      </c>
    </row>
    <row r="3479" spans="16:20">
      <c r="P3479" s="1094">
        <v>2565</v>
      </c>
      <c r="Q3479" t="s">
        <v>1720</v>
      </c>
      <c r="R3479" t="s">
        <v>248</v>
      </c>
      <c r="S3479">
        <v>150.843761</v>
      </c>
      <c r="T3479" s="1095">
        <v>-33.996062999999999</v>
      </c>
    </row>
    <row r="3480" spans="16:20">
      <c r="P3480" s="1094">
        <v>2565</v>
      </c>
      <c r="Q3480" t="s">
        <v>4535</v>
      </c>
      <c r="R3480" t="s">
        <v>248</v>
      </c>
      <c r="S3480">
        <v>150.843761</v>
      </c>
      <c r="T3480" s="1095">
        <v>-33.996062999999999</v>
      </c>
    </row>
    <row r="3481" spans="16:20">
      <c r="P3481" s="1094">
        <v>2566</v>
      </c>
      <c r="Q3481" t="s">
        <v>4536</v>
      </c>
      <c r="R3481" t="s">
        <v>248</v>
      </c>
      <c r="S3481">
        <v>150.84225799999999</v>
      </c>
      <c r="T3481" s="1095">
        <v>-34.027282999999997</v>
      </c>
    </row>
    <row r="3482" spans="16:20">
      <c r="P3482" s="1094">
        <v>2566</v>
      </c>
      <c r="Q3482" t="s">
        <v>4537</v>
      </c>
      <c r="R3482" t="s">
        <v>248</v>
      </c>
      <c r="S3482">
        <v>150.84225799999999</v>
      </c>
      <c r="T3482" s="1095">
        <v>-34.027282999999997</v>
      </c>
    </row>
    <row r="3483" spans="16:20">
      <c r="P3483" s="1094">
        <v>2566</v>
      </c>
      <c r="Q3483" t="s">
        <v>4538</v>
      </c>
      <c r="R3483" t="s">
        <v>248</v>
      </c>
      <c r="S3483">
        <v>150.84225799999999</v>
      </c>
      <c r="T3483" s="1095">
        <v>-34.027282999999997</v>
      </c>
    </row>
    <row r="3484" spans="16:20">
      <c r="P3484" s="1094">
        <v>2566</v>
      </c>
      <c r="Q3484" t="s">
        <v>4539</v>
      </c>
      <c r="R3484" t="s">
        <v>248</v>
      </c>
      <c r="S3484">
        <v>150.84225799999999</v>
      </c>
      <c r="T3484" s="1095">
        <v>-34.027282999999997</v>
      </c>
    </row>
    <row r="3485" spans="16:20">
      <c r="P3485" s="1094">
        <v>2566</v>
      </c>
      <c r="Q3485" t="s">
        <v>4540</v>
      </c>
      <c r="R3485" t="s">
        <v>248</v>
      </c>
      <c r="S3485">
        <v>150.84225799999999</v>
      </c>
      <c r="T3485" s="1095">
        <v>-34.027282999999997</v>
      </c>
    </row>
    <row r="3486" spans="16:20">
      <c r="P3486" s="1094">
        <v>2566</v>
      </c>
      <c r="Q3486" t="s">
        <v>4541</v>
      </c>
      <c r="R3486" t="s">
        <v>248</v>
      </c>
      <c r="S3486">
        <v>150.84225799999999</v>
      </c>
      <c r="T3486" s="1095">
        <v>-34.027282999999997</v>
      </c>
    </row>
    <row r="3487" spans="16:20">
      <c r="P3487" s="1094">
        <v>2566</v>
      </c>
      <c r="Q3487" t="s">
        <v>4542</v>
      </c>
      <c r="R3487" t="s">
        <v>248</v>
      </c>
      <c r="S3487">
        <v>150.84225799999999</v>
      </c>
      <c r="T3487" s="1095">
        <v>-34.027282999999997</v>
      </c>
    </row>
    <row r="3488" spans="16:20">
      <c r="P3488" s="1094">
        <v>2567</v>
      </c>
      <c r="Q3488" t="s">
        <v>4543</v>
      </c>
      <c r="R3488" t="s">
        <v>248</v>
      </c>
      <c r="S3488">
        <v>150.75649300000001</v>
      </c>
      <c r="T3488" s="1095">
        <v>-34.055154999999999</v>
      </c>
    </row>
    <row r="3489" spans="16:20">
      <c r="P3489" s="1094">
        <v>2567</v>
      </c>
      <c r="Q3489" t="s">
        <v>4544</v>
      </c>
      <c r="R3489" t="s">
        <v>248</v>
      </c>
      <c r="S3489">
        <v>150.75649300000001</v>
      </c>
      <c r="T3489" s="1095">
        <v>-34.055154999999999</v>
      </c>
    </row>
    <row r="3490" spans="16:20">
      <c r="P3490" s="1094">
        <v>2567</v>
      </c>
      <c r="Q3490" t="s">
        <v>4545</v>
      </c>
      <c r="R3490" t="s">
        <v>248</v>
      </c>
      <c r="S3490">
        <v>150.75649300000001</v>
      </c>
      <c r="T3490" s="1095">
        <v>-34.055154999999999</v>
      </c>
    </row>
    <row r="3491" spans="16:20">
      <c r="P3491" s="1094">
        <v>2567</v>
      </c>
      <c r="Q3491" t="s">
        <v>4546</v>
      </c>
      <c r="R3491" t="s">
        <v>248</v>
      </c>
      <c r="S3491">
        <v>150.75649300000001</v>
      </c>
      <c r="T3491" s="1095">
        <v>-34.055154999999999</v>
      </c>
    </row>
    <row r="3492" spans="16:20">
      <c r="P3492" s="1094">
        <v>2567</v>
      </c>
      <c r="Q3492" t="s">
        <v>4547</v>
      </c>
      <c r="R3492" t="s">
        <v>248</v>
      </c>
      <c r="S3492">
        <v>150.75649300000001</v>
      </c>
      <c r="T3492" s="1095">
        <v>-34.055154999999999</v>
      </c>
    </row>
    <row r="3493" spans="16:20">
      <c r="P3493" s="1094">
        <v>2567</v>
      </c>
      <c r="Q3493" t="s">
        <v>4548</v>
      </c>
      <c r="R3493" t="s">
        <v>248</v>
      </c>
      <c r="S3493">
        <v>150.75649300000001</v>
      </c>
      <c r="T3493" s="1095">
        <v>-34.055154999999999</v>
      </c>
    </row>
    <row r="3494" spans="16:20">
      <c r="P3494" s="1094">
        <v>2567</v>
      </c>
      <c r="Q3494" t="s">
        <v>4549</v>
      </c>
      <c r="R3494" t="s">
        <v>248</v>
      </c>
      <c r="S3494">
        <v>150.75649300000001</v>
      </c>
      <c r="T3494" s="1095">
        <v>-34.055154999999999</v>
      </c>
    </row>
    <row r="3495" spans="16:20">
      <c r="P3495" s="1094">
        <v>2568</v>
      </c>
      <c r="Q3495" t="s">
        <v>4550</v>
      </c>
      <c r="R3495" t="s">
        <v>248</v>
      </c>
      <c r="S3495">
        <v>150.718007</v>
      </c>
      <c r="T3495" s="1095">
        <v>-34.147379000000001</v>
      </c>
    </row>
    <row r="3496" spans="16:20">
      <c r="P3496" s="1094">
        <v>2569</v>
      </c>
      <c r="Q3496" t="s">
        <v>4551</v>
      </c>
      <c r="R3496" t="s">
        <v>248</v>
      </c>
      <c r="S3496">
        <v>150.70887500000001</v>
      </c>
      <c r="T3496" s="1095">
        <v>-34.196004000000002</v>
      </c>
    </row>
    <row r="3497" spans="16:20">
      <c r="P3497" s="1094">
        <v>2570</v>
      </c>
      <c r="Q3497" t="s">
        <v>4552</v>
      </c>
      <c r="R3497" t="s">
        <v>248</v>
      </c>
      <c r="S3497">
        <v>150.52529200000001</v>
      </c>
      <c r="T3497" s="1095">
        <v>-34.042912999999999</v>
      </c>
    </row>
    <row r="3498" spans="16:20">
      <c r="P3498" s="1094">
        <v>2570</v>
      </c>
      <c r="Q3498" t="s">
        <v>4553</v>
      </c>
      <c r="R3498" t="s">
        <v>248</v>
      </c>
      <c r="S3498">
        <v>150.52529200000001</v>
      </c>
      <c r="T3498" s="1095">
        <v>-34.042912999999999</v>
      </c>
    </row>
    <row r="3499" spans="16:20">
      <c r="P3499" s="1094">
        <v>2570</v>
      </c>
      <c r="Q3499" t="s">
        <v>4554</v>
      </c>
      <c r="R3499" t="s">
        <v>248</v>
      </c>
      <c r="S3499">
        <v>150.52529200000001</v>
      </c>
      <c r="T3499" s="1095">
        <v>-34.042912999999999</v>
      </c>
    </row>
    <row r="3500" spans="16:20">
      <c r="P3500" s="1094">
        <v>2570</v>
      </c>
      <c r="Q3500" t="s">
        <v>4555</v>
      </c>
      <c r="R3500" t="s">
        <v>248</v>
      </c>
      <c r="S3500">
        <v>150.52529200000001</v>
      </c>
      <c r="T3500" s="1095">
        <v>-34.042912999999999</v>
      </c>
    </row>
    <row r="3501" spans="16:20">
      <c r="P3501" s="1094">
        <v>2570</v>
      </c>
      <c r="Q3501" t="s">
        <v>4556</v>
      </c>
      <c r="R3501" t="s">
        <v>248</v>
      </c>
      <c r="S3501">
        <v>150.52529200000001</v>
      </c>
      <c r="T3501" s="1095">
        <v>-34.042912999999999</v>
      </c>
    </row>
    <row r="3502" spans="16:20">
      <c r="P3502" s="1094">
        <v>2570</v>
      </c>
      <c r="Q3502" t="s">
        <v>4557</v>
      </c>
      <c r="R3502" t="s">
        <v>248</v>
      </c>
      <c r="S3502">
        <v>150.52529200000001</v>
      </c>
      <c r="T3502" s="1095">
        <v>-34.042912999999999</v>
      </c>
    </row>
    <row r="3503" spans="16:20">
      <c r="P3503" s="1094">
        <v>2570</v>
      </c>
      <c r="Q3503" t="s">
        <v>4558</v>
      </c>
      <c r="R3503" t="s">
        <v>248</v>
      </c>
      <c r="S3503">
        <v>150.52529200000001</v>
      </c>
      <c r="T3503" s="1095">
        <v>-34.042912999999999</v>
      </c>
    </row>
    <row r="3504" spans="16:20">
      <c r="P3504" s="1094">
        <v>2570</v>
      </c>
      <c r="Q3504" t="s">
        <v>4559</v>
      </c>
      <c r="R3504" t="s">
        <v>248</v>
      </c>
      <c r="S3504">
        <v>150.52529200000001</v>
      </c>
      <c r="T3504" s="1095">
        <v>-34.042912999999999</v>
      </c>
    </row>
    <row r="3505" spans="16:20">
      <c r="P3505" s="1094">
        <v>2570</v>
      </c>
      <c r="Q3505" t="s">
        <v>2811</v>
      </c>
      <c r="R3505" t="s">
        <v>248</v>
      </c>
      <c r="S3505">
        <v>150.52529200000001</v>
      </c>
      <c r="T3505" s="1095">
        <v>-34.042912999999999</v>
      </c>
    </row>
    <row r="3506" spans="16:20">
      <c r="P3506" s="1094">
        <v>2570</v>
      </c>
      <c r="Q3506" t="s">
        <v>4560</v>
      </c>
      <c r="R3506" t="s">
        <v>248</v>
      </c>
      <c r="S3506">
        <v>150.52529200000001</v>
      </c>
      <c r="T3506" s="1095">
        <v>-34.042912999999999</v>
      </c>
    </row>
    <row r="3507" spans="16:20">
      <c r="P3507" s="1094">
        <v>2570</v>
      </c>
      <c r="Q3507" t="s">
        <v>4561</v>
      </c>
      <c r="R3507" t="s">
        <v>248</v>
      </c>
      <c r="S3507">
        <v>150.52529200000001</v>
      </c>
      <c r="T3507" s="1095">
        <v>-34.042912999999999</v>
      </c>
    </row>
    <row r="3508" spans="16:20">
      <c r="P3508" s="1094">
        <v>2570</v>
      </c>
      <c r="Q3508" t="s">
        <v>4562</v>
      </c>
      <c r="R3508" t="s">
        <v>248</v>
      </c>
      <c r="S3508">
        <v>150.52529200000001</v>
      </c>
      <c r="T3508" s="1095">
        <v>-34.042912999999999</v>
      </c>
    </row>
    <row r="3509" spans="16:20">
      <c r="P3509" s="1094">
        <v>2570</v>
      </c>
      <c r="Q3509" t="s">
        <v>4563</v>
      </c>
      <c r="R3509" t="s">
        <v>248</v>
      </c>
      <c r="S3509">
        <v>150.52529200000001</v>
      </c>
      <c r="T3509" s="1095">
        <v>-34.042912999999999</v>
      </c>
    </row>
    <row r="3510" spans="16:20">
      <c r="P3510" s="1094">
        <v>2570</v>
      </c>
      <c r="Q3510" t="s">
        <v>4564</v>
      </c>
      <c r="R3510" t="s">
        <v>248</v>
      </c>
      <c r="S3510">
        <v>150.52529200000001</v>
      </c>
      <c r="T3510" s="1095">
        <v>-34.042912999999999</v>
      </c>
    </row>
    <row r="3511" spans="16:20">
      <c r="P3511" s="1094">
        <v>2570</v>
      </c>
      <c r="Q3511" t="s">
        <v>4565</v>
      </c>
      <c r="R3511" t="s">
        <v>248</v>
      </c>
      <c r="S3511">
        <v>150.52529200000001</v>
      </c>
      <c r="T3511" s="1095">
        <v>-34.042912999999999</v>
      </c>
    </row>
    <row r="3512" spans="16:20">
      <c r="P3512" s="1094">
        <v>2570</v>
      </c>
      <c r="Q3512" t="s">
        <v>4566</v>
      </c>
      <c r="R3512" t="s">
        <v>248</v>
      </c>
      <c r="S3512">
        <v>150.52529200000001</v>
      </c>
      <c r="T3512" s="1095">
        <v>-34.042912999999999</v>
      </c>
    </row>
    <row r="3513" spans="16:20">
      <c r="P3513" s="1094">
        <v>2570</v>
      </c>
      <c r="Q3513" t="s">
        <v>4567</v>
      </c>
      <c r="R3513" t="s">
        <v>248</v>
      </c>
      <c r="S3513">
        <v>150.52529200000001</v>
      </c>
      <c r="T3513" s="1095">
        <v>-34.042912999999999</v>
      </c>
    </row>
    <row r="3514" spans="16:20">
      <c r="P3514" s="1094">
        <v>2570</v>
      </c>
      <c r="Q3514" t="s">
        <v>4568</v>
      </c>
      <c r="R3514" t="s">
        <v>248</v>
      </c>
      <c r="S3514">
        <v>150.52529200000001</v>
      </c>
      <c r="T3514" s="1095">
        <v>-34.042912999999999</v>
      </c>
    </row>
    <row r="3515" spans="16:20">
      <c r="P3515" s="1094">
        <v>2570</v>
      </c>
      <c r="Q3515" t="s">
        <v>4569</v>
      </c>
      <c r="R3515" t="s">
        <v>248</v>
      </c>
      <c r="S3515">
        <v>150.52529200000001</v>
      </c>
      <c r="T3515" s="1095">
        <v>-34.042912999999999</v>
      </c>
    </row>
    <row r="3516" spans="16:20">
      <c r="P3516" s="1094">
        <v>2570</v>
      </c>
      <c r="Q3516" t="s">
        <v>4570</v>
      </c>
      <c r="R3516" t="s">
        <v>248</v>
      </c>
      <c r="S3516">
        <v>150.52529200000001</v>
      </c>
      <c r="T3516" s="1095">
        <v>-34.042912999999999</v>
      </c>
    </row>
    <row r="3517" spans="16:20">
      <c r="P3517" s="1094">
        <v>2570</v>
      </c>
      <c r="Q3517" t="s">
        <v>4571</v>
      </c>
      <c r="R3517" t="s">
        <v>248</v>
      </c>
      <c r="S3517">
        <v>150.52529200000001</v>
      </c>
      <c r="T3517" s="1095">
        <v>-34.042912999999999</v>
      </c>
    </row>
    <row r="3518" spans="16:20">
      <c r="P3518" s="1094">
        <v>2570</v>
      </c>
      <c r="Q3518" t="s">
        <v>4572</v>
      </c>
      <c r="R3518" t="s">
        <v>248</v>
      </c>
      <c r="S3518">
        <v>150.52529200000001</v>
      </c>
      <c r="T3518" s="1095">
        <v>-34.042912999999999</v>
      </c>
    </row>
    <row r="3519" spans="16:20">
      <c r="P3519" s="1094">
        <v>2570</v>
      </c>
      <c r="Q3519" t="s">
        <v>4573</v>
      </c>
      <c r="R3519" t="s">
        <v>248</v>
      </c>
      <c r="S3519">
        <v>150.52529200000001</v>
      </c>
      <c r="T3519" s="1095">
        <v>-34.042912999999999</v>
      </c>
    </row>
    <row r="3520" spans="16:20">
      <c r="P3520" s="1094">
        <v>2571</v>
      </c>
      <c r="Q3520" t="s">
        <v>4574</v>
      </c>
      <c r="R3520" t="s">
        <v>248</v>
      </c>
      <c r="S3520">
        <v>150.62249299999999</v>
      </c>
      <c r="T3520" s="1095">
        <v>-34.167149999999999</v>
      </c>
    </row>
    <row r="3521" spans="16:20">
      <c r="P3521" s="1094">
        <v>2571</v>
      </c>
      <c r="Q3521" t="s">
        <v>4575</v>
      </c>
      <c r="R3521" t="s">
        <v>248</v>
      </c>
      <c r="S3521">
        <v>150.62249299999999</v>
      </c>
      <c r="T3521" s="1095">
        <v>-34.167149999999999</v>
      </c>
    </row>
    <row r="3522" spans="16:20">
      <c r="P3522" s="1094">
        <v>2571</v>
      </c>
      <c r="Q3522" t="s">
        <v>4576</v>
      </c>
      <c r="R3522" t="s">
        <v>248</v>
      </c>
      <c r="S3522">
        <v>150.62249299999999</v>
      </c>
      <c r="T3522" s="1095">
        <v>-34.167149999999999</v>
      </c>
    </row>
    <row r="3523" spans="16:20">
      <c r="P3523" s="1094">
        <v>2571</v>
      </c>
      <c r="Q3523" t="s">
        <v>4577</v>
      </c>
      <c r="R3523" t="s">
        <v>248</v>
      </c>
      <c r="S3523">
        <v>150.62249299999999</v>
      </c>
      <c r="T3523" s="1095">
        <v>-34.167149999999999</v>
      </c>
    </row>
    <row r="3524" spans="16:20">
      <c r="P3524" s="1094">
        <v>2571</v>
      </c>
      <c r="Q3524" t="s">
        <v>4578</v>
      </c>
      <c r="R3524" t="s">
        <v>248</v>
      </c>
      <c r="S3524">
        <v>150.62249299999999</v>
      </c>
      <c r="T3524" s="1095">
        <v>-34.167149999999999</v>
      </c>
    </row>
    <row r="3525" spans="16:20">
      <c r="P3525" s="1094">
        <v>2571</v>
      </c>
      <c r="Q3525" t="s">
        <v>4579</v>
      </c>
      <c r="R3525" t="s">
        <v>248</v>
      </c>
      <c r="S3525">
        <v>150.62249299999999</v>
      </c>
      <c r="T3525" s="1095">
        <v>-34.167149999999999</v>
      </c>
    </row>
    <row r="3526" spans="16:20">
      <c r="P3526" s="1094">
        <v>2571</v>
      </c>
      <c r="Q3526" t="s">
        <v>4580</v>
      </c>
      <c r="R3526" t="s">
        <v>248</v>
      </c>
      <c r="S3526">
        <v>150.62249299999999</v>
      </c>
      <c r="T3526" s="1095">
        <v>-34.167149999999999</v>
      </c>
    </row>
    <row r="3527" spans="16:20">
      <c r="P3527" s="1094">
        <v>2571</v>
      </c>
      <c r="Q3527" t="s">
        <v>4581</v>
      </c>
      <c r="R3527" t="s">
        <v>248</v>
      </c>
      <c r="S3527">
        <v>150.62249299999999</v>
      </c>
      <c r="T3527" s="1095">
        <v>-34.167149999999999</v>
      </c>
    </row>
    <row r="3528" spans="16:20">
      <c r="P3528" s="1094">
        <v>2572</v>
      </c>
      <c r="Q3528" t="s">
        <v>4582</v>
      </c>
      <c r="R3528" t="s">
        <v>248</v>
      </c>
      <c r="S3528">
        <v>150.55918600000001</v>
      </c>
      <c r="T3528" s="1095">
        <v>-34.193052000000002</v>
      </c>
    </row>
    <row r="3529" spans="16:20">
      <c r="P3529" s="1094">
        <v>2572</v>
      </c>
      <c r="Q3529" t="s">
        <v>4583</v>
      </c>
      <c r="R3529" t="s">
        <v>248</v>
      </c>
      <c r="S3529">
        <v>150.55918600000001</v>
      </c>
      <c r="T3529" s="1095">
        <v>-34.193052000000002</v>
      </c>
    </row>
    <row r="3530" spans="16:20">
      <c r="P3530" s="1094">
        <v>2573</v>
      </c>
      <c r="Q3530" t="s">
        <v>4584</v>
      </c>
      <c r="R3530" t="s">
        <v>248</v>
      </c>
      <c r="S3530">
        <v>150.58463399999999</v>
      </c>
      <c r="T3530" s="1095">
        <v>-34.218438999999996</v>
      </c>
    </row>
    <row r="3531" spans="16:20">
      <c r="P3531" s="1094">
        <v>2574</v>
      </c>
      <c r="Q3531" t="s">
        <v>4585</v>
      </c>
      <c r="R3531" t="s">
        <v>248</v>
      </c>
      <c r="S3531">
        <v>150.57523800000001</v>
      </c>
      <c r="T3531" s="1095">
        <v>-34.295634</v>
      </c>
    </row>
    <row r="3532" spans="16:20">
      <c r="P3532" s="1094">
        <v>2574</v>
      </c>
      <c r="Q3532" t="s">
        <v>4586</v>
      </c>
      <c r="R3532" t="s">
        <v>248</v>
      </c>
      <c r="S3532">
        <v>150.57523800000001</v>
      </c>
      <c r="T3532" s="1095">
        <v>-34.295634</v>
      </c>
    </row>
    <row r="3533" spans="16:20">
      <c r="P3533" s="1094">
        <v>2574</v>
      </c>
      <c r="Q3533" t="s">
        <v>4587</v>
      </c>
      <c r="R3533" t="s">
        <v>248</v>
      </c>
      <c r="S3533">
        <v>150.57523800000001</v>
      </c>
      <c r="T3533" s="1095">
        <v>-34.295634</v>
      </c>
    </row>
    <row r="3534" spans="16:20">
      <c r="P3534" s="1094">
        <v>2575</v>
      </c>
      <c r="Q3534" t="s">
        <v>4588</v>
      </c>
      <c r="R3534" t="s">
        <v>248</v>
      </c>
      <c r="S3534">
        <v>150.34221400000001</v>
      </c>
      <c r="T3534" s="1095">
        <v>-34.347194999999999</v>
      </c>
    </row>
    <row r="3535" spans="16:20">
      <c r="P3535" s="1094">
        <v>2575</v>
      </c>
      <c r="Q3535" t="s">
        <v>4589</v>
      </c>
      <c r="R3535" t="s">
        <v>248</v>
      </c>
      <c r="S3535">
        <v>150.34221400000001</v>
      </c>
      <c r="T3535" s="1095">
        <v>-34.347194999999999</v>
      </c>
    </row>
    <row r="3536" spans="16:20">
      <c r="P3536" s="1094">
        <v>2575</v>
      </c>
      <c r="Q3536" t="s">
        <v>4590</v>
      </c>
      <c r="R3536" t="s">
        <v>248</v>
      </c>
      <c r="S3536">
        <v>150.34221400000001</v>
      </c>
      <c r="T3536" s="1095">
        <v>-34.347194999999999</v>
      </c>
    </row>
    <row r="3537" spans="16:20">
      <c r="P3537" s="1094">
        <v>2575</v>
      </c>
      <c r="Q3537" t="s">
        <v>4591</v>
      </c>
      <c r="R3537" t="s">
        <v>248</v>
      </c>
      <c r="S3537">
        <v>150.34221400000001</v>
      </c>
      <c r="T3537" s="1095">
        <v>-34.347194999999999</v>
      </c>
    </row>
    <row r="3538" spans="16:20">
      <c r="P3538" s="1094">
        <v>2575</v>
      </c>
      <c r="Q3538" t="s">
        <v>4592</v>
      </c>
      <c r="R3538" t="s">
        <v>248</v>
      </c>
      <c r="S3538">
        <v>150.34221400000001</v>
      </c>
      <c r="T3538" s="1095">
        <v>-34.347194999999999</v>
      </c>
    </row>
    <row r="3539" spans="16:20">
      <c r="P3539" s="1094">
        <v>2575</v>
      </c>
      <c r="Q3539" t="s">
        <v>4593</v>
      </c>
      <c r="R3539" t="s">
        <v>248</v>
      </c>
      <c r="S3539">
        <v>150.34221400000001</v>
      </c>
      <c r="T3539" s="1095">
        <v>-34.347194999999999</v>
      </c>
    </row>
    <row r="3540" spans="16:20">
      <c r="P3540" s="1094">
        <v>2575</v>
      </c>
      <c r="Q3540" t="s">
        <v>4594</v>
      </c>
      <c r="R3540" t="s">
        <v>248</v>
      </c>
      <c r="S3540">
        <v>150.34221400000001</v>
      </c>
      <c r="T3540" s="1095">
        <v>-34.347194999999999</v>
      </c>
    </row>
    <row r="3541" spans="16:20">
      <c r="P3541" s="1094">
        <v>2575</v>
      </c>
      <c r="Q3541" t="s">
        <v>4595</v>
      </c>
      <c r="R3541" t="s">
        <v>248</v>
      </c>
      <c r="S3541">
        <v>150.34221400000001</v>
      </c>
      <c r="T3541" s="1095">
        <v>-34.347194999999999</v>
      </c>
    </row>
    <row r="3542" spans="16:20">
      <c r="P3542" s="1094">
        <v>2575</v>
      </c>
      <c r="Q3542" t="s">
        <v>4596</v>
      </c>
      <c r="R3542" t="s">
        <v>248</v>
      </c>
      <c r="S3542">
        <v>150.34221400000001</v>
      </c>
      <c r="T3542" s="1095">
        <v>-34.347194999999999</v>
      </c>
    </row>
    <row r="3543" spans="16:20">
      <c r="P3543" s="1094">
        <v>2575</v>
      </c>
      <c r="Q3543" t="s">
        <v>4597</v>
      </c>
      <c r="R3543" t="s">
        <v>248</v>
      </c>
      <c r="S3543">
        <v>150.34221400000001</v>
      </c>
      <c r="T3543" s="1095">
        <v>-34.347194999999999</v>
      </c>
    </row>
    <row r="3544" spans="16:20">
      <c r="P3544" s="1094">
        <v>2575</v>
      </c>
      <c r="Q3544" t="s">
        <v>4598</v>
      </c>
      <c r="R3544" t="s">
        <v>248</v>
      </c>
      <c r="S3544">
        <v>150.34221400000001</v>
      </c>
      <c r="T3544" s="1095">
        <v>-34.347194999999999</v>
      </c>
    </row>
    <row r="3545" spans="16:20">
      <c r="P3545" s="1094">
        <v>2575</v>
      </c>
      <c r="Q3545" t="s">
        <v>4599</v>
      </c>
      <c r="R3545" t="s">
        <v>248</v>
      </c>
      <c r="S3545">
        <v>150.34221400000001</v>
      </c>
      <c r="T3545" s="1095">
        <v>-34.347194999999999</v>
      </c>
    </row>
    <row r="3546" spans="16:20">
      <c r="P3546" s="1094">
        <v>2575</v>
      </c>
      <c r="Q3546" t="s">
        <v>4264</v>
      </c>
      <c r="R3546" t="s">
        <v>248</v>
      </c>
      <c r="S3546">
        <v>150.34221400000001</v>
      </c>
      <c r="T3546" s="1095">
        <v>-34.347194999999999</v>
      </c>
    </row>
    <row r="3547" spans="16:20">
      <c r="P3547" s="1094">
        <v>2575</v>
      </c>
      <c r="Q3547" t="s">
        <v>4600</v>
      </c>
      <c r="R3547" t="s">
        <v>248</v>
      </c>
      <c r="S3547">
        <v>150.34221400000001</v>
      </c>
      <c r="T3547" s="1095">
        <v>-34.347194999999999</v>
      </c>
    </row>
    <row r="3548" spans="16:20">
      <c r="P3548" s="1094">
        <v>2576</v>
      </c>
      <c r="Q3548" t="s">
        <v>4601</v>
      </c>
      <c r="R3548" t="s">
        <v>248</v>
      </c>
      <c r="S3548">
        <v>150.503502</v>
      </c>
      <c r="T3548" s="1095">
        <v>-34.525612000000002</v>
      </c>
    </row>
    <row r="3549" spans="16:20">
      <c r="P3549" s="1094">
        <v>2576</v>
      </c>
      <c r="Q3549" t="s">
        <v>4602</v>
      </c>
      <c r="R3549" t="s">
        <v>248</v>
      </c>
      <c r="S3549">
        <v>150.503502</v>
      </c>
      <c r="T3549" s="1095">
        <v>-34.525612000000002</v>
      </c>
    </row>
    <row r="3550" spans="16:20">
      <c r="P3550" s="1094">
        <v>2576</v>
      </c>
      <c r="Q3550" t="s">
        <v>4603</v>
      </c>
      <c r="R3550" t="s">
        <v>248</v>
      </c>
      <c r="S3550">
        <v>150.503502</v>
      </c>
      <c r="T3550" s="1095">
        <v>-34.525612000000002</v>
      </c>
    </row>
    <row r="3551" spans="16:20">
      <c r="P3551" s="1094">
        <v>2576</v>
      </c>
      <c r="Q3551" t="s">
        <v>4604</v>
      </c>
      <c r="R3551" t="s">
        <v>248</v>
      </c>
      <c r="S3551">
        <v>150.503502</v>
      </c>
      <c r="T3551" s="1095">
        <v>-34.525612000000002</v>
      </c>
    </row>
    <row r="3552" spans="16:20">
      <c r="P3552" s="1094">
        <v>2576</v>
      </c>
      <c r="Q3552" t="s">
        <v>4605</v>
      </c>
      <c r="R3552" t="s">
        <v>248</v>
      </c>
      <c r="S3552">
        <v>150.503502</v>
      </c>
      <c r="T3552" s="1095">
        <v>-34.525612000000002</v>
      </c>
    </row>
    <row r="3553" spans="16:20">
      <c r="P3553" s="1094">
        <v>2576</v>
      </c>
      <c r="Q3553" t="s">
        <v>4606</v>
      </c>
      <c r="R3553" t="s">
        <v>248</v>
      </c>
      <c r="S3553">
        <v>150.503502</v>
      </c>
      <c r="T3553" s="1095">
        <v>-34.525612000000002</v>
      </c>
    </row>
    <row r="3554" spans="16:20">
      <c r="P3554" s="1094">
        <v>2576</v>
      </c>
      <c r="Q3554" t="s">
        <v>4607</v>
      </c>
      <c r="R3554" t="s">
        <v>248</v>
      </c>
      <c r="S3554">
        <v>150.503502</v>
      </c>
      <c r="T3554" s="1095">
        <v>-34.525612000000002</v>
      </c>
    </row>
    <row r="3555" spans="16:20">
      <c r="P3555" s="1094">
        <v>2577</v>
      </c>
      <c r="Q3555" t="s">
        <v>4608</v>
      </c>
      <c r="R3555" t="s">
        <v>248</v>
      </c>
      <c r="S3555">
        <v>150.410978</v>
      </c>
      <c r="T3555" s="1095">
        <v>-34.595027000000002</v>
      </c>
    </row>
    <row r="3556" spans="16:20">
      <c r="P3556" s="1094">
        <v>2577</v>
      </c>
      <c r="Q3556" t="s">
        <v>4609</v>
      </c>
      <c r="R3556" t="s">
        <v>248</v>
      </c>
      <c r="S3556">
        <v>150.410978</v>
      </c>
      <c r="T3556" s="1095">
        <v>-34.595027000000002</v>
      </c>
    </row>
    <row r="3557" spans="16:20">
      <c r="P3557" s="1094">
        <v>2577</v>
      </c>
      <c r="Q3557" t="s">
        <v>4610</v>
      </c>
      <c r="R3557" t="s">
        <v>248</v>
      </c>
      <c r="S3557">
        <v>150.410978</v>
      </c>
      <c r="T3557" s="1095">
        <v>-34.595027000000002</v>
      </c>
    </row>
    <row r="3558" spans="16:20">
      <c r="P3558" s="1094">
        <v>2577</v>
      </c>
      <c r="Q3558" t="s">
        <v>4611</v>
      </c>
      <c r="R3558" t="s">
        <v>248</v>
      </c>
      <c r="S3558">
        <v>150.410978</v>
      </c>
      <c r="T3558" s="1095">
        <v>-34.595027000000002</v>
      </c>
    </row>
    <row r="3559" spans="16:20">
      <c r="P3559" s="1094">
        <v>2577</v>
      </c>
      <c r="Q3559" t="s">
        <v>4612</v>
      </c>
      <c r="R3559" t="s">
        <v>248</v>
      </c>
      <c r="S3559">
        <v>150.410978</v>
      </c>
      <c r="T3559" s="1095">
        <v>-34.595027000000002</v>
      </c>
    </row>
    <row r="3560" spans="16:20">
      <c r="P3560" s="1094">
        <v>2577</v>
      </c>
      <c r="Q3560" t="s">
        <v>4613</v>
      </c>
      <c r="R3560" t="s">
        <v>248</v>
      </c>
      <c r="S3560">
        <v>150.410978</v>
      </c>
      <c r="T3560" s="1095">
        <v>-34.595027000000002</v>
      </c>
    </row>
    <row r="3561" spans="16:20">
      <c r="P3561" s="1094">
        <v>2577</v>
      </c>
      <c r="Q3561" t="s">
        <v>4614</v>
      </c>
      <c r="R3561" t="s">
        <v>248</v>
      </c>
      <c r="S3561">
        <v>150.410978</v>
      </c>
      <c r="T3561" s="1095">
        <v>-34.595027000000002</v>
      </c>
    </row>
    <row r="3562" spans="16:20">
      <c r="P3562" s="1094">
        <v>2577</v>
      </c>
      <c r="Q3562" t="s">
        <v>4615</v>
      </c>
      <c r="R3562" t="s">
        <v>248</v>
      </c>
      <c r="S3562">
        <v>150.410978</v>
      </c>
      <c r="T3562" s="1095">
        <v>-34.595027000000002</v>
      </c>
    </row>
    <row r="3563" spans="16:20">
      <c r="P3563" s="1094">
        <v>2577</v>
      </c>
      <c r="Q3563" t="s">
        <v>4616</v>
      </c>
      <c r="R3563" t="s">
        <v>248</v>
      </c>
      <c r="S3563">
        <v>150.410978</v>
      </c>
      <c r="T3563" s="1095">
        <v>-34.595027000000002</v>
      </c>
    </row>
    <row r="3564" spans="16:20">
      <c r="P3564" s="1094">
        <v>2577</v>
      </c>
      <c r="Q3564" t="s">
        <v>4617</v>
      </c>
      <c r="R3564" t="s">
        <v>248</v>
      </c>
      <c r="S3564">
        <v>150.410978</v>
      </c>
      <c r="T3564" s="1095">
        <v>-34.595027000000002</v>
      </c>
    </row>
    <row r="3565" spans="16:20">
      <c r="P3565" s="1094">
        <v>2577</v>
      </c>
      <c r="Q3565" t="s">
        <v>4618</v>
      </c>
      <c r="R3565" t="s">
        <v>248</v>
      </c>
      <c r="S3565">
        <v>150.410978</v>
      </c>
      <c r="T3565" s="1095">
        <v>-34.595027000000002</v>
      </c>
    </row>
    <row r="3566" spans="16:20">
      <c r="P3566" s="1094">
        <v>2577</v>
      </c>
      <c r="Q3566" t="s">
        <v>4619</v>
      </c>
      <c r="R3566" t="s">
        <v>248</v>
      </c>
      <c r="S3566">
        <v>150.410978</v>
      </c>
      <c r="T3566" s="1095">
        <v>-34.595027000000002</v>
      </c>
    </row>
    <row r="3567" spans="16:20">
      <c r="P3567" s="1094">
        <v>2577</v>
      </c>
      <c r="Q3567" t="s">
        <v>4620</v>
      </c>
      <c r="R3567" t="s">
        <v>248</v>
      </c>
      <c r="S3567">
        <v>150.410978</v>
      </c>
      <c r="T3567" s="1095">
        <v>-34.595027000000002</v>
      </c>
    </row>
    <row r="3568" spans="16:20">
      <c r="P3568" s="1094">
        <v>2577</v>
      </c>
      <c r="Q3568" t="s">
        <v>4621</v>
      </c>
      <c r="R3568" t="s">
        <v>248</v>
      </c>
      <c r="S3568">
        <v>150.410978</v>
      </c>
      <c r="T3568" s="1095">
        <v>-34.595027000000002</v>
      </c>
    </row>
    <row r="3569" spans="16:20">
      <c r="P3569" s="1094">
        <v>2577</v>
      </c>
      <c r="Q3569" t="s">
        <v>4622</v>
      </c>
      <c r="R3569" t="s">
        <v>248</v>
      </c>
      <c r="S3569">
        <v>150.410978</v>
      </c>
      <c r="T3569" s="1095">
        <v>-34.595027000000002</v>
      </c>
    </row>
    <row r="3570" spans="16:20">
      <c r="P3570" s="1094">
        <v>2577</v>
      </c>
      <c r="Q3570" t="s">
        <v>4623</v>
      </c>
      <c r="R3570" t="s">
        <v>248</v>
      </c>
      <c r="S3570">
        <v>150.410978</v>
      </c>
      <c r="T3570" s="1095">
        <v>-34.595027000000002</v>
      </c>
    </row>
    <row r="3571" spans="16:20">
      <c r="P3571" s="1094">
        <v>2577</v>
      </c>
      <c r="Q3571" t="s">
        <v>4624</v>
      </c>
      <c r="R3571" t="s">
        <v>248</v>
      </c>
      <c r="S3571">
        <v>150.410978</v>
      </c>
      <c r="T3571" s="1095">
        <v>-34.595027000000002</v>
      </c>
    </row>
    <row r="3572" spans="16:20">
      <c r="P3572" s="1094">
        <v>2577</v>
      </c>
      <c r="Q3572" t="s">
        <v>4625</v>
      </c>
      <c r="R3572" t="s">
        <v>248</v>
      </c>
      <c r="S3572">
        <v>150.410978</v>
      </c>
      <c r="T3572" s="1095">
        <v>-34.595027000000002</v>
      </c>
    </row>
    <row r="3573" spans="16:20">
      <c r="P3573" s="1094">
        <v>2577</v>
      </c>
      <c r="Q3573" t="s">
        <v>4626</v>
      </c>
      <c r="R3573" t="s">
        <v>248</v>
      </c>
      <c r="S3573">
        <v>150.410978</v>
      </c>
      <c r="T3573" s="1095">
        <v>-34.595027000000002</v>
      </c>
    </row>
    <row r="3574" spans="16:20">
      <c r="P3574" s="1094">
        <v>2577</v>
      </c>
      <c r="Q3574" t="s">
        <v>4627</v>
      </c>
      <c r="R3574" t="s">
        <v>248</v>
      </c>
      <c r="S3574">
        <v>150.410978</v>
      </c>
      <c r="T3574" s="1095">
        <v>-34.595027000000002</v>
      </c>
    </row>
    <row r="3575" spans="16:20">
      <c r="P3575" s="1094">
        <v>2577</v>
      </c>
      <c r="Q3575" t="s">
        <v>4628</v>
      </c>
      <c r="R3575" t="s">
        <v>248</v>
      </c>
      <c r="S3575">
        <v>150.410978</v>
      </c>
      <c r="T3575" s="1095">
        <v>-34.595027000000002</v>
      </c>
    </row>
    <row r="3576" spans="16:20">
      <c r="P3576" s="1094">
        <v>2577</v>
      </c>
      <c r="Q3576" t="s">
        <v>4629</v>
      </c>
      <c r="R3576" t="s">
        <v>248</v>
      </c>
      <c r="S3576">
        <v>150.410978</v>
      </c>
      <c r="T3576" s="1095">
        <v>-34.595027000000002</v>
      </c>
    </row>
    <row r="3577" spans="16:20">
      <c r="P3577" s="1094">
        <v>2577</v>
      </c>
      <c r="Q3577" t="s">
        <v>4630</v>
      </c>
      <c r="R3577" t="s">
        <v>248</v>
      </c>
      <c r="S3577">
        <v>150.410978</v>
      </c>
      <c r="T3577" s="1095">
        <v>-34.595027000000002</v>
      </c>
    </row>
    <row r="3578" spans="16:20">
      <c r="P3578" s="1094">
        <v>2577</v>
      </c>
      <c r="Q3578" t="s">
        <v>4631</v>
      </c>
      <c r="R3578" t="s">
        <v>248</v>
      </c>
      <c r="S3578">
        <v>150.410978</v>
      </c>
      <c r="T3578" s="1095">
        <v>-34.595027000000002</v>
      </c>
    </row>
    <row r="3579" spans="16:20">
      <c r="P3579" s="1094">
        <v>2577</v>
      </c>
      <c r="Q3579" t="s">
        <v>4632</v>
      </c>
      <c r="R3579" t="s">
        <v>248</v>
      </c>
      <c r="S3579">
        <v>150.410978</v>
      </c>
      <c r="T3579" s="1095">
        <v>-34.595027000000002</v>
      </c>
    </row>
    <row r="3580" spans="16:20">
      <c r="P3580" s="1094">
        <v>2577</v>
      </c>
      <c r="Q3580" t="s">
        <v>4633</v>
      </c>
      <c r="R3580" t="s">
        <v>248</v>
      </c>
      <c r="S3580">
        <v>150.410978</v>
      </c>
      <c r="T3580" s="1095">
        <v>-34.595027000000002</v>
      </c>
    </row>
    <row r="3581" spans="16:20">
      <c r="P3581" s="1094">
        <v>2577</v>
      </c>
      <c r="Q3581" t="s">
        <v>4634</v>
      </c>
      <c r="R3581" t="s">
        <v>248</v>
      </c>
      <c r="S3581">
        <v>150.410978</v>
      </c>
      <c r="T3581" s="1095">
        <v>-34.595027000000002</v>
      </c>
    </row>
    <row r="3582" spans="16:20">
      <c r="P3582" s="1094">
        <v>2577</v>
      </c>
      <c r="Q3582" t="s">
        <v>4635</v>
      </c>
      <c r="R3582" t="s">
        <v>248</v>
      </c>
      <c r="S3582">
        <v>150.410978</v>
      </c>
      <c r="T3582" s="1095">
        <v>-34.595027000000002</v>
      </c>
    </row>
    <row r="3583" spans="16:20">
      <c r="P3583" s="1094">
        <v>2578</v>
      </c>
      <c r="Q3583" t="s">
        <v>4636</v>
      </c>
      <c r="R3583" t="s">
        <v>248</v>
      </c>
      <c r="S3583">
        <v>150.293226</v>
      </c>
      <c r="T3583" s="1095">
        <v>-34.715578999999998</v>
      </c>
    </row>
    <row r="3584" spans="16:20">
      <c r="P3584" s="1094">
        <v>2579</v>
      </c>
      <c r="Q3584" t="s">
        <v>4637</v>
      </c>
      <c r="R3584" t="s">
        <v>248</v>
      </c>
      <c r="S3584">
        <v>150.13032999999999</v>
      </c>
      <c r="T3584" s="1095">
        <v>-34.711848000000003</v>
      </c>
    </row>
    <row r="3585" spans="16:20">
      <c r="P3585" s="1094">
        <v>2579</v>
      </c>
      <c r="Q3585" t="s">
        <v>4638</v>
      </c>
      <c r="R3585" t="s">
        <v>248</v>
      </c>
      <c r="S3585">
        <v>150.13032999999999</v>
      </c>
      <c r="T3585" s="1095">
        <v>-34.711848000000003</v>
      </c>
    </row>
    <row r="3586" spans="16:20">
      <c r="P3586" s="1094">
        <v>2579</v>
      </c>
      <c r="Q3586" t="s">
        <v>4639</v>
      </c>
      <c r="R3586" t="s">
        <v>248</v>
      </c>
      <c r="S3586">
        <v>150.13032999999999</v>
      </c>
      <c r="T3586" s="1095">
        <v>-34.711848000000003</v>
      </c>
    </row>
    <row r="3587" spans="16:20">
      <c r="P3587" s="1094">
        <v>2579</v>
      </c>
      <c r="Q3587" t="s">
        <v>4640</v>
      </c>
      <c r="R3587" t="s">
        <v>248</v>
      </c>
      <c r="S3587">
        <v>150.13032999999999</v>
      </c>
      <c r="T3587" s="1095">
        <v>-34.711848000000003</v>
      </c>
    </row>
    <row r="3588" spans="16:20">
      <c r="P3588" s="1094">
        <v>2579</v>
      </c>
      <c r="Q3588" t="s">
        <v>4641</v>
      </c>
      <c r="R3588" t="s">
        <v>248</v>
      </c>
      <c r="S3588">
        <v>150.13032999999999</v>
      </c>
      <c r="T3588" s="1095">
        <v>-34.711848000000003</v>
      </c>
    </row>
    <row r="3589" spans="16:20">
      <c r="P3589" s="1094">
        <v>2579</v>
      </c>
      <c r="Q3589" t="s">
        <v>4642</v>
      </c>
      <c r="R3589" t="s">
        <v>248</v>
      </c>
      <c r="S3589">
        <v>150.13032999999999</v>
      </c>
      <c r="T3589" s="1095">
        <v>-34.711848000000003</v>
      </c>
    </row>
    <row r="3590" spans="16:20">
      <c r="P3590" s="1094">
        <v>2579</v>
      </c>
      <c r="Q3590" t="s">
        <v>4643</v>
      </c>
      <c r="R3590" t="s">
        <v>248</v>
      </c>
      <c r="S3590">
        <v>150.13032999999999</v>
      </c>
      <c r="T3590" s="1095">
        <v>-34.711848000000003</v>
      </c>
    </row>
    <row r="3591" spans="16:20">
      <c r="P3591" s="1094">
        <v>2579</v>
      </c>
      <c r="Q3591" t="s">
        <v>4644</v>
      </c>
      <c r="R3591" t="s">
        <v>248</v>
      </c>
      <c r="S3591">
        <v>150.13032999999999</v>
      </c>
      <c r="T3591" s="1095">
        <v>-34.711848000000003</v>
      </c>
    </row>
    <row r="3592" spans="16:20">
      <c r="P3592" s="1094">
        <v>2580</v>
      </c>
      <c r="Q3592" t="s">
        <v>4645</v>
      </c>
      <c r="R3592" t="s">
        <v>248</v>
      </c>
      <c r="S3592">
        <v>149.72921500000001</v>
      </c>
      <c r="T3592" s="1095">
        <v>-34.726283000000002</v>
      </c>
    </row>
    <row r="3593" spans="16:20">
      <c r="P3593" s="1094">
        <v>2580</v>
      </c>
      <c r="Q3593" t="s">
        <v>4646</v>
      </c>
      <c r="R3593" t="s">
        <v>248</v>
      </c>
      <c r="S3593">
        <v>149.72921500000001</v>
      </c>
      <c r="T3593" s="1095">
        <v>-34.726283000000002</v>
      </c>
    </row>
    <row r="3594" spans="16:20">
      <c r="P3594" s="1094">
        <v>2580</v>
      </c>
      <c r="Q3594" t="s">
        <v>4647</v>
      </c>
      <c r="R3594" t="s">
        <v>248</v>
      </c>
      <c r="S3594">
        <v>149.72921500000001</v>
      </c>
      <c r="T3594" s="1095">
        <v>-34.726283000000002</v>
      </c>
    </row>
    <row r="3595" spans="16:20">
      <c r="P3595" s="1094">
        <v>2580</v>
      </c>
      <c r="Q3595" t="s">
        <v>4648</v>
      </c>
      <c r="R3595" t="s">
        <v>248</v>
      </c>
      <c r="S3595">
        <v>149.72921500000001</v>
      </c>
      <c r="T3595" s="1095">
        <v>-34.726283000000002</v>
      </c>
    </row>
    <row r="3596" spans="16:20">
      <c r="P3596" s="1094">
        <v>2580</v>
      </c>
      <c r="Q3596" t="s">
        <v>4649</v>
      </c>
      <c r="R3596" t="s">
        <v>248</v>
      </c>
      <c r="S3596">
        <v>149.72921500000001</v>
      </c>
      <c r="T3596" s="1095">
        <v>-34.726283000000002</v>
      </c>
    </row>
    <row r="3597" spans="16:20">
      <c r="P3597" s="1094">
        <v>2580</v>
      </c>
      <c r="Q3597" t="s">
        <v>4650</v>
      </c>
      <c r="R3597" t="s">
        <v>248</v>
      </c>
      <c r="S3597">
        <v>149.72921500000001</v>
      </c>
      <c r="T3597" s="1095">
        <v>-34.726283000000002</v>
      </c>
    </row>
    <row r="3598" spans="16:20">
      <c r="P3598" s="1094">
        <v>2580</v>
      </c>
      <c r="Q3598" t="s">
        <v>4651</v>
      </c>
      <c r="R3598" t="s">
        <v>248</v>
      </c>
      <c r="S3598">
        <v>149.72921500000001</v>
      </c>
      <c r="T3598" s="1095">
        <v>-34.726283000000002</v>
      </c>
    </row>
    <row r="3599" spans="16:20">
      <c r="P3599" s="1094">
        <v>2580</v>
      </c>
      <c r="Q3599" t="s">
        <v>4652</v>
      </c>
      <c r="R3599" t="s">
        <v>248</v>
      </c>
      <c r="S3599">
        <v>149.72921500000001</v>
      </c>
      <c r="T3599" s="1095">
        <v>-34.726283000000002</v>
      </c>
    </row>
    <row r="3600" spans="16:20">
      <c r="P3600" s="1094">
        <v>2580</v>
      </c>
      <c r="Q3600" t="s">
        <v>4653</v>
      </c>
      <c r="R3600" t="s">
        <v>248</v>
      </c>
      <c r="S3600">
        <v>149.72921500000001</v>
      </c>
      <c r="T3600" s="1095">
        <v>-34.726283000000002</v>
      </c>
    </row>
    <row r="3601" spans="16:20">
      <c r="P3601" s="1094">
        <v>2580</v>
      </c>
      <c r="Q3601" t="s">
        <v>4654</v>
      </c>
      <c r="R3601" t="s">
        <v>248</v>
      </c>
      <c r="S3601">
        <v>149.72921500000001</v>
      </c>
      <c r="T3601" s="1095">
        <v>-34.726283000000002</v>
      </c>
    </row>
    <row r="3602" spans="16:20">
      <c r="P3602" s="1094">
        <v>2580</v>
      </c>
      <c r="Q3602" t="s">
        <v>4655</v>
      </c>
      <c r="R3602" t="s">
        <v>248</v>
      </c>
      <c r="S3602">
        <v>149.72921500000001</v>
      </c>
      <c r="T3602" s="1095">
        <v>-34.726283000000002</v>
      </c>
    </row>
    <row r="3603" spans="16:20">
      <c r="P3603" s="1094">
        <v>2580</v>
      </c>
      <c r="Q3603" t="s">
        <v>4656</v>
      </c>
      <c r="R3603" t="s">
        <v>248</v>
      </c>
      <c r="S3603">
        <v>149.72921500000001</v>
      </c>
      <c r="T3603" s="1095">
        <v>-34.726283000000002</v>
      </c>
    </row>
    <row r="3604" spans="16:20">
      <c r="P3604" s="1094">
        <v>2580</v>
      </c>
      <c r="Q3604" t="s">
        <v>4657</v>
      </c>
      <c r="R3604" t="s">
        <v>248</v>
      </c>
      <c r="S3604">
        <v>149.72921500000001</v>
      </c>
      <c r="T3604" s="1095">
        <v>-34.726283000000002</v>
      </c>
    </row>
    <row r="3605" spans="16:20">
      <c r="P3605" s="1094">
        <v>2580</v>
      </c>
      <c r="Q3605" t="s">
        <v>4658</v>
      </c>
      <c r="R3605" t="s">
        <v>248</v>
      </c>
      <c r="S3605">
        <v>149.72921500000001</v>
      </c>
      <c r="T3605" s="1095">
        <v>-34.726283000000002</v>
      </c>
    </row>
    <row r="3606" spans="16:20">
      <c r="P3606" s="1094">
        <v>2580</v>
      </c>
      <c r="Q3606" t="s">
        <v>4659</v>
      </c>
      <c r="R3606" t="s">
        <v>248</v>
      </c>
      <c r="S3606">
        <v>149.72921500000001</v>
      </c>
      <c r="T3606" s="1095">
        <v>-34.726283000000002</v>
      </c>
    </row>
    <row r="3607" spans="16:20">
      <c r="P3607" s="1094">
        <v>2580</v>
      </c>
      <c r="Q3607" t="s">
        <v>4660</v>
      </c>
      <c r="R3607" t="s">
        <v>248</v>
      </c>
      <c r="S3607">
        <v>149.72921500000001</v>
      </c>
      <c r="T3607" s="1095">
        <v>-34.726283000000002</v>
      </c>
    </row>
    <row r="3608" spans="16:20">
      <c r="P3608" s="1094">
        <v>2580</v>
      </c>
      <c r="Q3608" t="s">
        <v>4661</v>
      </c>
      <c r="R3608" t="s">
        <v>248</v>
      </c>
      <c r="S3608">
        <v>149.72921500000001</v>
      </c>
      <c r="T3608" s="1095">
        <v>-34.726283000000002</v>
      </c>
    </row>
    <row r="3609" spans="16:20">
      <c r="P3609" s="1094">
        <v>2580</v>
      </c>
      <c r="Q3609" t="s">
        <v>2535</v>
      </c>
      <c r="R3609" t="s">
        <v>248</v>
      </c>
      <c r="S3609">
        <v>149.72921500000001</v>
      </c>
      <c r="T3609" s="1095">
        <v>-34.726283000000002</v>
      </c>
    </row>
    <row r="3610" spans="16:20">
      <c r="P3610" s="1094">
        <v>2580</v>
      </c>
      <c r="Q3610" t="s">
        <v>4662</v>
      </c>
      <c r="R3610" t="s">
        <v>248</v>
      </c>
      <c r="S3610">
        <v>149.72921500000001</v>
      </c>
      <c r="T3610" s="1095">
        <v>-34.726283000000002</v>
      </c>
    </row>
    <row r="3611" spans="16:20">
      <c r="P3611" s="1094">
        <v>2580</v>
      </c>
      <c r="Q3611" t="s">
        <v>4663</v>
      </c>
      <c r="R3611" t="s">
        <v>248</v>
      </c>
      <c r="S3611">
        <v>149.72921500000001</v>
      </c>
      <c r="T3611" s="1095">
        <v>-34.726283000000002</v>
      </c>
    </row>
    <row r="3612" spans="16:20">
      <c r="P3612" s="1094">
        <v>2580</v>
      </c>
      <c r="Q3612" t="s">
        <v>4664</v>
      </c>
      <c r="R3612" t="s">
        <v>248</v>
      </c>
      <c r="S3612">
        <v>149.72921500000001</v>
      </c>
      <c r="T3612" s="1095">
        <v>-34.726283000000002</v>
      </c>
    </row>
    <row r="3613" spans="16:20">
      <c r="P3613" s="1094">
        <v>2580</v>
      </c>
      <c r="Q3613" t="s">
        <v>4665</v>
      </c>
      <c r="R3613" t="s">
        <v>248</v>
      </c>
      <c r="S3613">
        <v>149.72921500000001</v>
      </c>
      <c r="T3613" s="1095">
        <v>-34.726283000000002</v>
      </c>
    </row>
    <row r="3614" spans="16:20">
      <c r="P3614" s="1094">
        <v>2580</v>
      </c>
      <c r="Q3614" t="s">
        <v>4666</v>
      </c>
      <c r="R3614" t="s">
        <v>248</v>
      </c>
      <c r="S3614">
        <v>149.72921500000001</v>
      </c>
      <c r="T3614" s="1095">
        <v>-34.726283000000002</v>
      </c>
    </row>
    <row r="3615" spans="16:20">
      <c r="P3615" s="1094">
        <v>2580</v>
      </c>
      <c r="Q3615" t="s">
        <v>4667</v>
      </c>
      <c r="R3615" t="s">
        <v>248</v>
      </c>
      <c r="S3615">
        <v>149.72921500000001</v>
      </c>
      <c r="T3615" s="1095">
        <v>-34.726283000000002</v>
      </c>
    </row>
    <row r="3616" spans="16:20">
      <c r="P3616" s="1094">
        <v>2580</v>
      </c>
      <c r="Q3616" t="s">
        <v>4668</v>
      </c>
      <c r="R3616" t="s">
        <v>248</v>
      </c>
      <c r="S3616">
        <v>149.72921500000001</v>
      </c>
      <c r="T3616" s="1095">
        <v>-34.726283000000002</v>
      </c>
    </row>
    <row r="3617" spans="16:20">
      <c r="P3617" s="1094">
        <v>2580</v>
      </c>
      <c r="Q3617" t="s">
        <v>4669</v>
      </c>
      <c r="R3617" t="s">
        <v>248</v>
      </c>
      <c r="S3617">
        <v>149.72921500000001</v>
      </c>
      <c r="T3617" s="1095">
        <v>-34.726283000000002</v>
      </c>
    </row>
    <row r="3618" spans="16:20">
      <c r="P3618" s="1094">
        <v>2580</v>
      </c>
      <c r="Q3618" t="s">
        <v>4670</v>
      </c>
      <c r="R3618" t="s">
        <v>248</v>
      </c>
      <c r="S3618">
        <v>149.72921500000001</v>
      </c>
      <c r="T3618" s="1095">
        <v>-34.726283000000002</v>
      </c>
    </row>
    <row r="3619" spans="16:20">
      <c r="P3619" s="1094">
        <v>2580</v>
      </c>
      <c r="Q3619" t="s">
        <v>4671</v>
      </c>
      <c r="R3619" t="s">
        <v>248</v>
      </c>
      <c r="S3619">
        <v>149.72921500000001</v>
      </c>
      <c r="T3619" s="1095">
        <v>-34.726283000000002</v>
      </c>
    </row>
    <row r="3620" spans="16:20">
      <c r="P3620" s="1094">
        <v>2580</v>
      </c>
      <c r="Q3620" t="s">
        <v>4672</v>
      </c>
      <c r="R3620" t="s">
        <v>248</v>
      </c>
      <c r="S3620">
        <v>149.72921500000001</v>
      </c>
      <c r="T3620" s="1095">
        <v>-34.726283000000002</v>
      </c>
    </row>
    <row r="3621" spans="16:20">
      <c r="P3621" s="1094">
        <v>2580</v>
      </c>
      <c r="Q3621" t="s">
        <v>4673</v>
      </c>
      <c r="R3621" t="s">
        <v>248</v>
      </c>
      <c r="S3621">
        <v>149.72921500000001</v>
      </c>
      <c r="T3621" s="1095">
        <v>-34.726283000000002</v>
      </c>
    </row>
    <row r="3622" spans="16:20">
      <c r="P3622" s="1094">
        <v>2580</v>
      </c>
      <c r="Q3622" t="s">
        <v>4674</v>
      </c>
      <c r="R3622" t="s">
        <v>248</v>
      </c>
      <c r="S3622">
        <v>149.72921500000001</v>
      </c>
      <c r="T3622" s="1095">
        <v>-34.726283000000002</v>
      </c>
    </row>
    <row r="3623" spans="16:20">
      <c r="P3623" s="1094">
        <v>2580</v>
      </c>
      <c r="Q3623" t="s">
        <v>4675</v>
      </c>
      <c r="R3623" t="s">
        <v>248</v>
      </c>
      <c r="S3623">
        <v>149.72921500000001</v>
      </c>
      <c r="T3623" s="1095">
        <v>-34.726283000000002</v>
      </c>
    </row>
    <row r="3624" spans="16:20">
      <c r="P3624" s="1094">
        <v>2580</v>
      </c>
      <c r="Q3624" t="s">
        <v>4676</v>
      </c>
      <c r="R3624" t="s">
        <v>248</v>
      </c>
      <c r="S3624">
        <v>149.72921500000001</v>
      </c>
      <c r="T3624" s="1095">
        <v>-34.726283000000002</v>
      </c>
    </row>
    <row r="3625" spans="16:20">
      <c r="P3625" s="1094">
        <v>2580</v>
      </c>
      <c r="Q3625" t="s">
        <v>4677</v>
      </c>
      <c r="R3625" t="s">
        <v>248</v>
      </c>
      <c r="S3625">
        <v>149.72921500000001</v>
      </c>
      <c r="T3625" s="1095">
        <v>-34.726283000000002</v>
      </c>
    </row>
    <row r="3626" spans="16:20">
      <c r="P3626" s="1094">
        <v>2580</v>
      </c>
      <c r="Q3626" t="s">
        <v>4678</v>
      </c>
      <c r="R3626" t="s">
        <v>248</v>
      </c>
      <c r="S3626">
        <v>149.72921500000001</v>
      </c>
      <c r="T3626" s="1095">
        <v>-34.726283000000002</v>
      </c>
    </row>
    <row r="3627" spans="16:20">
      <c r="P3627" s="1094">
        <v>2580</v>
      </c>
      <c r="Q3627" t="s">
        <v>4679</v>
      </c>
      <c r="R3627" t="s">
        <v>248</v>
      </c>
      <c r="S3627">
        <v>149.72921500000001</v>
      </c>
      <c r="T3627" s="1095">
        <v>-34.726283000000002</v>
      </c>
    </row>
    <row r="3628" spans="16:20">
      <c r="P3628" s="1094">
        <v>2580</v>
      </c>
      <c r="Q3628" t="s">
        <v>4680</v>
      </c>
      <c r="R3628" t="s">
        <v>248</v>
      </c>
      <c r="S3628">
        <v>149.72921500000001</v>
      </c>
      <c r="T3628" s="1095">
        <v>-34.726283000000002</v>
      </c>
    </row>
    <row r="3629" spans="16:20">
      <c r="P3629" s="1094">
        <v>2580</v>
      </c>
      <c r="Q3629" t="s">
        <v>4681</v>
      </c>
      <c r="R3629" t="s">
        <v>248</v>
      </c>
      <c r="S3629">
        <v>149.72921500000001</v>
      </c>
      <c r="T3629" s="1095">
        <v>-34.726283000000002</v>
      </c>
    </row>
    <row r="3630" spans="16:20">
      <c r="P3630" s="1094">
        <v>2580</v>
      </c>
      <c r="Q3630" t="s">
        <v>4682</v>
      </c>
      <c r="R3630" t="s">
        <v>248</v>
      </c>
      <c r="S3630">
        <v>149.72921500000001</v>
      </c>
      <c r="T3630" s="1095">
        <v>-34.726283000000002</v>
      </c>
    </row>
    <row r="3631" spans="16:20">
      <c r="P3631" s="1094">
        <v>2580</v>
      </c>
      <c r="Q3631" t="s">
        <v>4683</v>
      </c>
      <c r="R3631" t="s">
        <v>248</v>
      </c>
      <c r="S3631">
        <v>149.72921500000001</v>
      </c>
      <c r="T3631" s="1095">
        <v>-34.726283000000002</v>
      </c>
    </row>
    <row r="3632" spans="16:20">
      <c r="P3632" s="1094">
        <v>2580</v>
      </c>
      <c r="Q3632" t="s">
        <v>4684</v>
      </c>
      <c r="R3632" t="s">
        <v>248</v>
      </c>
      <c r="S3632">
        <v>149.72921500000001</v>
      </c>
      <c r="T3632" s="1095">
        <v>-34.726283000000002</v>
      </c>
    </row>
    <row r="3633" spans="16:20">
      <c r="P3633" s="1094">
        <v>2580</v>
      </c>
      <c r="Q3633" t="s">
        <v>4685</v>
      </c>
      <c r="R3633" t="s">
        <v>248</v>
      </c>
      <c r="S3633">
        <v>149.72921500000001</v>
      </c>
      <c r="T3633" s="1095">
        <v>-34.726283000000002</v>
      </c>
    </row>
    <row r="3634" spans="16:20">
      <c r="P3634" s="1094">
        <v>2580</v>
      </c>
      <c r="Q3634" t="s">
        <v>4686</v>
      </c>
      <c r="R3634" t="s">
        <v>248</v>
      </c>
      <c r="S3634">
        <v>149.72921500000001</v>
      </c>
      <c r="T3634" s="1095">
        <v>-34.726283000000002</v>
      </c>
    </row>
    <row r="3635" spans="16:20">
      <c r="P3635" s="1094">
        <v>2581</v>
      </c>
      <c r="Q3635" t="s">
        <v>4687</v>
      </c>
      <c r="R3635" t="s">
        <v>248</v>
      </c>
      <c r="S3635">
        <v>149.286631</v>
      </c>
      <c r="T3635" s="1095">
        <v>-34.764484000000003</v>
      </c>
    </row>
    <row r="3636" spans="16:20">
      <c r="P3636" s="1094">
        <v>2581</v>
      </c>
      <c r="Q3636" t="s">
        <v>4688</v>
      </c>
      <c r="R3636" t="s">
        <v>248</v>
      </c>
      <c r="S3636">
        <v>149.286631</v>
      </c>
      <c r="T3636" s="1095">
        <v>-34.764484000000003</v>
      </c>
    </row>
    <row r="3637" spans="16:20">
      <c r="P3637" s="1094">
        <v>2581</v>
      </c>
      <c r="Q3637" t="s">
        <v>4689</v>
      </c>
      <c r="R3637" t="s">
        <v>248</v>
      </c>
      <c r="S3637">
        <v>149.286631</v>
      </c>
      <c r="T3637" s="1095">
        <v>-34.764484000000003</v>
      </c>
    </row>
    <row r="3638" spans="16:20">
      <c r="P3638" s="1094">
        <v>2581</v>
      </c>
      <c r="Q3638" t="s">
        <v>4690</v>
      </c>
      <c r="R3638" t="s">
        <v>248</v>
      </c>
      <c r="S3638">
        <v>149.286631</v>
      </c>
      <c r="T3638" s="1095">
        <v>-34.764484000000003</v>
      </c>
    </row>
    <row r="3639" spans="16:20">
      <c r="P3639" s="1094">
        <v>2581</v>
      </c>
      <c r="Q3639" t="s">
        <v>4691</v>
      </c>
      <c r="R3639" t="s">
        <v>248</v>
      </c>
      <c r="S3639">
        <v>149.286631</v>
      </c>
      <c r="T3639" s="1095">
        <v>-34.764484000000003</v>
      </c>
    </row>
    <row r="3640" spans="16:20">
      <c r="P3640" s="1094">
        <v>2581</v>
      </c>
      <c r="Q3640" t="s">
        <v>1656</v>
      </c>
      <c r="R3640" t="s">
        <v>248</v>
      </c>
      <c r="S3640">
        <v>149.286631</v>
      </c>
      <c r="T3640" s="1095">
        <v>-34.764484000000003</v>
      </c>
    </row>
    <row r="3641" spans="16:20">
      <c r="P3641" s="1094">
        <v>2581</v>
      </c>
      <c r="Q3641" t="s">
        <v>4692</v>
      </c>
      <c r="R3641" t="s">
        <v>248</v>
      </c>
      <c r="S3641">
        <v>149.286631</v>
      </c>
      <c r="T3641" s="1095">
        <v>-34.764484000000003</v>
      </c>
    </row>
    <row r="3642" spans="16:20">
      <c r="P3642" s="1094">
        <v>2581</v>
      </c>
      <c r="Q3642" t="s">
        <v>4693</v>
      </c>
      <c r="R3642" t="s">
        <v>248</v>
      </c>
      <c r="S3642">
        <v>149.286631</v>
      </c>
      <c r="T3642" s="1095">
        <v>-34.764484000000003</v>
      </c>
    </row>
    <row r="3643" spans="16:20">
      <c r="P3643" s="1094">
        <v>2581</v>
      </c>
      <c r="Q3643" t="s">
        <v>4694</v>
      </c>
      <c r="R3643" t="s">
        <v>248</v>
      </c>
      <c r="S3643">
        <v>149.286631</v>
      </c>
      <c r="T3643" s="1095">
        <v>-34.764484000000003</v>
      </c>
    </row>
    <row r="3644" spans="16:20">
      <c r="P3644" s="1094">
        <v>2581</v>
      </c>
      <c r="Q3644" t="s">
        <v>4695</v>
      </c>
      <c r="R3644" t="s">
        <v>248</v>
      </c>
      <c r="S3644">
        <v>149.286631</v>
      </c>
      <c r="T3644" s="1095">
        <v>-34.764484000000003</v>
      </c>
    </row>
    <row r="3645" spans="16:20">
      <c r="P3645" s="1094">
        <v>2581</v>
      </c>
      <c r="Q3645" t="s">
        <v>4696</v>
      </c>
      <c r="R3645" t="s">
        <v>248</v>
      </c>
      <c r="S3645">
        <v>149.286631</v>
      </c>
      <c r="T3645" s="1095">
        <v>-34.764484000000003</v>
      </c>
    </row>
    <row r="3646" spans="16:20">
      <c r="P3646" s="1094">
        <v>2581</v>
      </c>
      <c r="Q3646" t="s">
        <v>4697</v>
      </c>
      <c r="R3646" t="s">
        <v>248</v>
      </c>
      <c r="S3646">
        <v>149.286631</v>
      </c>
      <c r="T3646" s="1095">
        <v>-34.764484000000003</v>
      </c>
    </row>
    <row r="3647" spans="16:20">
      <c r="P3647" s="1094">
        <v>2581</v>
      </c>
      <c r="Q3647" t="s">
        <v>4698</v>
      </c>
      <c r="R3647" t="s">
        <v>248</v>
      </c>
      <c r="S3647">
        <v>149.286631</v>
      </c>
      <c r="T3647" s="1095">
        <v>-34.764484000000003</v>
      </c>
    </row>
    <row r="3648" spans="16:20">
      <c r="P3648" s="1094">
        <v>2581</v>
      </c>
      <c r="Q3648" t="s">
        <v>4699</v>
      </c>
      <c r="R3648" t="s">
        <v>248</v>
      </c>
      <c r="S3648">
        <v>149.286631</v>
      </c>
      <c r="T3648" s="1095">
        <v>-34.764484000000003</v>
      </c>
    </row>
    <row r="3649" spans="16:20">
      <c r="P3649" s="1094">
        <v>2581</v>
      </c>
      <c r="Q3649" t="s">
        <v>4700</v>
      </c>
      <c r="R3649" t="s">
        <v>248</v>
      </c>
      <c r="S3649">
        <v>149.286631</v>
      </c>
      <c r="T3649" s="1095">
        <v>-34.764484000000003</v>
      </c>
    </row>
    <row r="3650" spans="16:20">
      <c r="P3650" s="1094">
        <v>2581</v>
      </c>
      <c r="Q3650" t="s">
        <v>4701</v>
      </c>
      <c r="R3650" t="s">
        <v>248</v>
      </c>
      <c r="S3650">
        <v>149.286631</v>
      </c>
      <c r="T3650" s="1095">
        <v>-34.764484000000003</v>
      </c>
    </row>
    <row r="3651" spans="16:20">
      <c r="P3651" s="1094">
        <v>2581</v>
      </c>
      <c r="Q3651" t="s">
        <v>4702</v>
      </c>
      <c r="R3651" t="s">
        <v>248</v>
      </c>
      <c r="S3651">
        <v>149.286631</v>
      </c>
      <c r="T3651" s="1095">
        <v>-34.764484000000003</v>
      </c>
    </row>
    <row r="3652" spans="16:20">
      <c r="P3652" s="1094">
        <v>2581</v>
      </c>
      <c r="Q3652" t="s">
        <v>4703</v>
      </c>
      <c r="R3652" t="s">
        <v>248</v>
      </c>
      <c r="S3652">
        <v>149.286631</v>
      </c>
      <c r="T3652" s="1095">
        <v>-34.764484000000003</v>
      </c>
    </row>
    <row r="3653" spans="16:20">
      <c r="P3653" s="1094">
        <v>2582</v>
      </c>
      <c r="Q3653" t="s">
        <v>4704</v>
      </c>
      <c r="R3653" t="s">
        <v>248</v>
      </c>
      <c r="S3653">
        <v>148.79647700000001</v>
      </c>
      <c r="T3653" s="1095">
        <v>-34.862037999999998</v>
      </c>
    </row>
    <row r="3654" spans="16:20">
      <c r="P3654" s="1094">
        <v>2582</v>
      </c>
      <c r="Q3654" t="s">
        <v>4705</v>
      </c>
      <c r="R3654" t="s">
        <v>248</v>
      </c>
      <c r="S3654">
        <v>148.79647700000001</v>
      </c>
      <c r="T3654" s="1095">
        <v>-34.862037999999998</v>
      </c>
    </row>
    <row r="3655" spans="16:20">
      <c r="P3655" s="1094">
        <v>2582</v>
      </c>
      <c r="Q3655" t="s">
        <v>4706</v>
      </c>
      <c r="R3655" t="s">
        <v>248</v>
      </c>
      <c r="S3655">
        <v>148.79647700000001</v>
      </c>
      <c r="T3655" s="1095">
        <v>-34.862037999999998</v>
      </c>
    </row>
    <row r="3656" spans="16:20">
      <c r="P3656" s="1094">
        <v>2582</v>
      </c>
      <c r="Q3656" t="s">
        <v>4707</v>
      </c>
      <c r="R3656" t="s">
        <v>248</v>
      </c>
      <c r="S3656">
        <v>148.79647700000001</v>
      </c>
      <c r="T3656" s="1095">
        <v>-34.862037999999998</v>
      </c>
    </row>
    <row r="3657" spans="16:20">
      <c r="P3657" s="1094">
        <v>2582</v>
      </c>
      <c r="Q3657" t="s">
        <v>4708</v>
      </c>
      <c r="R3657" t="s">
        <v>248</v>
      </c>
      <c r="S3657">
        <v>148.79647700000001</v>
      </c>
      <c r="T3657" s="1095">
        <v>-34.862037999999998</v>
      </c>
    </row>
    <row r="3658" spans="16:20">
      <c r="P3658" s="1094">
        <v>2582</v>
      </c>
      <c r="Q3658" t="s">
        <v>4709</v>
      </c>
      <c r="R3658" t="s">
        <v>248</v>
      </c>
      <c r="S3658">
        <v>148.79647700000001</v>
      </c>
      <c r="T3658" s="1095">
        <v>-34.862037999999998</v>
      </c>
    </row>
    <row r="3659" spans="16:20">
      <c r="P3659" s="1094">
        <v>2582</v>
      </c>
      <c r="Q3659" t="s">
        <v>4710</v>
      </c>
      <c r="R3659" t="s">
        <v>248</v>
      </c>
      <c r="S3659">
        <v>148.79647700000001</v>
      </c>
      <c r="T3659" s="1095">
        <v>-34.862037999999998</v>
      </c>
    </row>
    <row r="3660" spans="16:20">
      <c r="P3660" s="1094">
        <v>2582</v>
      </c>
      <c r="Q3660" t="s">
        <v>4711</v>
      </c>
      <c r="R3660" t="s">
        <v>248</v>
      </c>
      <c r="S3660">
        <v>148.79647700000001</v>
      </c>
      <c r="T3660" s="1095">
        <v>-34.862037999999998</v>
      </c>
    </row>
    <row r="3661" spans="16:20">
      <c r="P3661" s="1094">
        <v>2582</v>
      </c>
      <c r="Q3661" t="s">
        <v>4712</v>
      </c>
      <c r="R3661" t="s">
        <v>248</v>
      </c>
      <c r="S3661">
        <v>148.79647700000001</v>
      </c>
      <c r="T3661" s="1095">
        <v>-34.862037999999998</v>
      </c>
    </row>
    <row r="3662" spans="16:20">
      <c r="P3662" s="1094">
        <v>2582</v>
      </c>
      <c r="Q3662" t="s">
        <v>4713</v>
      </c>
      <c r="R3662" t="s">
        <v>248</v>
      </c>
      <c r="S3662">
        <v>148.79647700000001</v>
      </c>
      <c r="T3662" s="1095">
        <v>-34.862037999999998</v>
      </c>
    </row>
    <row r="3663" spans="16:20">
      <c r="P3663" s="1094">
        <v>2582</v>
      </c>
      <c r="Q3663" t="s">
        <v>1535</v>
      </c>
      <c r="R3663" t="s">
        <v>248</v>
      </c>
      <c r="S3663">
        <v>148.79647700000001</v>
      </c>
      <c r="T3663" s="1095">
        <v>-34.862037999999998</v>
      </c>
    </row>
    <row r="3664" spans="16:20">
      <c r="P3664" s="1094">
        <v>2582</v>
      </c>
      <c r="Q3664" t="s">
        <v>4714</v>
      </c>
      <c r="R3664" t="s">
        <v>248</v>
      </c>
      <c r="S3664">
        <v>148.79647700000001</v>
      </c>
      <c r="T3664" s="1095">
        <v>-34.862037999999998</v>
      </c>
    </row>
    <row r="3665" spans="16:20">
      <c r="P3665" s="1094">
        <v>2582</v>
      </c>
      <c r="Q3665" t="s">
        <v>4715</v>
      </c>
      <c r="R3665" t="s">
        <v>248</v>
      </c>
      <c r="S3665">
        <v>148.79647700000001</v>
      </c>
      <c r="T3665" s="1095">
        <v>-34.862037999999998</v>
      </c>
    </row>
    <row r="3666" spans="16:20">
      <c r="P3666" s="1094">
        <v>2582</v>
      </c>
      <c r="Q3666" t="s">
        <v>4716</v>
      </c>
      <c r="R3666" t="s">
        <v>248</v>
      </c>
      <c r="S3666">
        <v>148.79647700000001</v>
      </c>
      <c r="T3666" s="1095">
        <v>-34.862037999999998</v>
      </c>
    </row>
    <row r="3667" spans="16:20">
      <c r="P3667" s="1094">
        <v>2582</v>
      </c>
      <c r="Q3667" t="s">
        <v>4717</v>
      </c>
      <c r="R3667" t="s">
        <v>248</v>
      </c>
      <c r="S3667">
        <v>148.79647700000001</v>
      </c>
      <c r="T3667" s="1095">
        <v>-34.862037999999998</v>
      </c>
    </row>
    <row r="3668" spans="16:20">
      <c r="P3668" s="1094">
        <v>2582</v>
      </c>
      <c r="Q3668" t="s">
        <v>4718</v>
      </c>
      <c r="R3668" t="s">
        <v>248</v>
      </c>
      <c r="S3668">
        <v>148.79647700000001</v>
      </c>
      <c r="T3668" s="1095">
        <v>-34.862037999999998</v>
      </c>
    </row>
    <row r="3669" spans="16:20">
      <c r="P3669" s="1094">
        <v>2582</v>
      </c>
      <c r="Q3669" t="s">
        <v>4719</v>
      </c>
      <c r="R3669" t="s">
        <v>248</v>
      </c>
      <c r="S3669">
        <v>148.79647700000001</v>
      </c>
      <c r="T3669" s="1095">
        <v>-34.862037999999998</v>
      </c>
    </row>
    <row r="3670" spans="16:20">
      <c r="P3670" s="1094">
        <v>2583</v>
      </c>
      <c r="Q3670" t="s">
        <v>4720</v>
      </c>
      <c r="R3670" t="s">
        <v>248</v>
      </c>
      <c r="S3670">
        <v>149.25416300000001</v>
      </c>
      <c r="T3670" s="1095">
        <v>-34.196525999999999</v>
      </c>
    </row>
    <row r="3671" spans="16:20">
      <c r="P3671" s="1094">
        <v>2583</v>
      </c>
      <c r="Q3671" t="s">
        <v>4721</v>
      </c>
      <c r="R3671" t="s">
        <v>248</v>
      </c>
      <c r="S3671">
        <v>149.25416300000001</v>
      </c>
      <c r="T3671" s="1095">
        <v>-34.196525999999999</v>
      </c>
    </row>
    <row r="3672" spans="16:20">
      <c r="P3672" s="1094">
        <v>2583</v>
      </c>
      <c r="Q3672" t="s">
        <v>4722</v>
      </c>
      <c r="R3672" t="s">
        <v>248</v>
      </c>
      <c r="S3672">
        <v>149.25416300000001</v>
      </c>
      <c r="T3672" s="1095">
        <v>-34.196525999999999</v>
      </c>
    </row>
    <row r="3673" spans="16:20">
      <c r="P3673" s="1094">
        <v>2583</v>
      </c>
      <c r="Q3673" t="s">
        <v>4723</v>
      </c>
      <c r="R3673" t="s">
        <v>248</v>
      </c>
      <c r="S3673">
        <v>149.25416300000001</v>
      </c>
      <c r="T3673" s="1095">
        <v>-34.196525999999999</v>
      </c>
    </row>
    <row r="3674" spans="16:20">
      <c r="P3674" s="1094">
        <v>2583</v>
      </c>
      <c r="Q3674" t="s">
        <v>4724</v>
      </c>
      <c r="R3674" t="s">
        <v>248</v>
      </c>
      <c r="S3674">
        <v>149.25416300000001</v>
      </c>
      <c r="T3674" s="1095">
        <v>-34.196525999999999</v>
      </c>
    </row>
    <row r="3675" spans="16:20">
      <c r="P3675" s="1094">
        <v>2583</v>
      </c>
      <c r="Q3675" t="s">
        <v>4725</v>
      </c>
      <c r="R3675" t="s">
        <v>248</v>
      </c>
      <c r="S3675">
        <v>149.25416300000001</v>
      </c>
      <c r="T3675" s="1095">
        <v>-34.196525999999999</v>
      </c>
    </row>
    <row r="3676" spans="16:20">
      <c r="P3676" s="1094">
        <v>2583</v>
      </c>
      <c r="Q3676" t="s">
        <v>4726</v>
      </c>
      <c r="R3676" t="s">
        <v>248</v>
      </c>
      <c r="S3676">
        <v>149.25416300000001</v>
      </c>
      <c r="T3676" s="1095">
        <v>-34.196525999999999</v>
      </c>
    </row>
    <row r="3677" spans="16:20">
      <c r="P3677" s="1094">
        <v>2583</v>
      </c>
      <c r="Q3677" t="s">
        <v>4727</v>
      </c>
      <c r="R3677" t="s">
        <v>248</v>
      </c>
      <c r="S3677">
        <v>149.25416300000001</v>
      </c>
      <c r="T3677" s="1095">
        <v>-34.196525999999999</v>
      </c>
    </row>
    <row r="3678" spans="16:20">
      <c r="P3678" s="1094">
        <v>2583</v>
      </c>
      <c r="Q3678" t="s">
        <v>4728</v>
      </c>
      <c r="R3678" t="s">
        <v>248</v>
      </c>
      <c r="S3678">
        <v>149.25416300000001</v>
      </c>
      <c r="T3678" s="1095">
        <v>-34.196525999999999</v>
      </c>
    </row>
    <row r="3679" spans="16:20">
      <c r="P3679" s="1094">
        <v>2583</v>
      </c>
      <c r="Q3679" t="s">
        <v>4729</v>
      </c>
      <c r="R3679" t="s">
        <v>248</v>
      </c>
      <c r="S3679">
        <v>149.25416300000001</v>
      </c>
      <c r="T3679" s="1095">
        <v>-34.196525999999999</v>
      </c>
    </row>
    <row r="3680" spans="16:20">
      <c r="P3680" s="1094">
        <v>2583</v>
      </c>
      <c r="Q3680" t="s">
        <v>4730</v>
      </c>
      <c r="R3680" t="s">
        <v>248</v>
      </c>
      <c r="S3680">
        <v>149.25416300000001</v>
      </c>
      <c r="T3680" s="1095">
        <v>-34.196525999999999</v>
      </c>
    </row>
    <row r="3681" spans="16:20">
      <c r="P3681" s="1094">
        <v>2583</v>
      </c>
      <c r="Q3681" t="s">
        <v>4731</v>
      </c>
      <c r="R3681" t="s">
        <v>248</v>
      </c>
      <c r="S3681">
        <v>149.25416300000001</v>
      </c>
      <c r="T3681" s="1095">
        <v>-34.196525999999999</v>
      </c>
    </row>
    <row r="3682" spans="16:20">
      <c r="P3682" s="1094">
        <v>2583</v>
      </c>
      <c r="Q3682" t="s">
        <v>4732</v>
      </c>
      <c r="R3682" t="s">
        <v>248</v>
      </c>
      <c r="S3682">
        <v>149.25416300000001</v>
      </c>
      <c r="T3682" s="1095">
        <v>-34.196525999999999</v>
      </c>
    </row>
    <row r="3683" spans="16:20">
      <c r="P3683" s="1094">
        <v>2583</v>
      </c>
      <c r="Q3683" t="s">
        <v>4733</v>
      </c>
      <c r="R3683" t="s">
        <v>248</v>
      </c>
      <c r="S3683">
        <v>149.25416300000001</v>
      </c>
      <c r="T3683" s="1095">
        <v>-34.196525999999999</v>
      </c>
    </row>
    <row r="3684" spans="16:20">
      <c r="P3684" s="1094">
        <v>2583</v>
      </c>
      <c r="Q3684" t="s">
        <v>4734</v>
      </c>
      <c r="R3684" t="s">
        <v>248</v>
      </c>
      <c r="S3684">
        <v>149.25416300000001</v>
      </c>
      <c r="T3684" s="1095">
        <v>-34.196525999999999</v>
      </c>
    </row>
    <row r="3685" spans="16:20">
      <c r="P3685" s="1094">
        <v>2583</v>
      </c>
      <c r="Q3685" t="s">
        <v>4735</v>
      </c>
      <c r="R3685" t="s">
        <v>248</v>
      </c>
      <c r="S3685">
        <v>149.25416300000001</v>
      </c>
      <c r="T3685" s="1095">
        <v>-34.196525999999999</v>
      </c>
    </row>
    <row r="3686" spans="16:20">
      <c r="P3686" s="1094">
        <v>2583</v>
      </c>
      <c r="Q3686" t="s">
        <v>4736</v>
      </c>
      <c r="R3686" t="s">
        <v>248</v>
      </c>
      <c r="S3686">
        <v>149.25416300000001</v>
      </c>
      <c r="T3686" s="1095">
        <v>-34.196525999999999</v>
      </c>
    </row>
    <row r="3687" spans="16:20">
      <c r="P3687" s="1094">
        <v>2583</v>
      </c>
      <c r="Q3687" t="s">
        <v>4737</v>
      </c>
      <c r="R3687" t="s">
        <v>248</v>
      </c>
      <c r="S3687">
        <v>149.25416300000001</v>
      </c>
      <c r="T3687" s="1095">
        <v>-34.196525999999999</v>
      </c>
    </row>
    <row r="3688" spans="16:20">
      <c r="P3688" s="1094">
        <v>2583</v>
      </c>
      <c r="Q3688" t="s">
        <v>4738</v>
      </c>
      <c r="R3688" t="s">
        <v>248</v>
      </c>
      <c r="S3688">
        <v>149.25416300000001</v>
      </c>
      <c r="T3688" s="1095">
        <v>-34.196525999999999</v>
      </c>
    </row>
    <row r="3689" spans="16:20">
      <c r="P3689" s="1094">
        <v>2583</v>
      </c>
      <c r="Q3689" t="s">
        <v>4739</v>
      </c>
      <c r="R3689" t="s">
        <v>248</v>
      </c>
      <c r="S3689">
        <v>149.25416300000001</v>
      </c>
      <c r="T3689" s="1095">
        <v>-34.196525999999999</v>
      </c>
    </row>
    <row r="3690" spans="16:20">
      <c r="P3690" s="1094">
        <v>2583</v>
      </c>
      <c r="Q3690" t="s">
        <v>4740</v>
      </c>
      <c r="R3690" t="s">
        <v>248</v>
      </c>
      <c r="S3690">
        <v>149.25416300000001</v>
      </c>
      <c r="T3690" s="1095">
        <v>-34.196525999999999</v>
      </c>
    </row>
    <row r="3691" spans="16:20">
      <c r="P3691" s="1094">
        <v>2583</v>
      </c>
      <c r="Q3691" t="s">
        <v>3190</v>
      </c>
      <c r="R3691" t="s">
        <v>248</v>
      </c>
      <c r="S3691">
        <v>149.25416300000001</v>
      </c>
      <c r="T3691" s="1095">
        <v>-34.196525999999999</v>
      </c>
    </row>
    <row r="3692" spans="16:20">
      <c r="P3692" s="1094">
        <v>2583</v>
      </c>
      <c r="Q3692" t="s">
        <v>4741</v>
      </c>
      <c r="R3692" t="s">
        <v>248</v>
      </c>
      <c r="S3692">
        <v>149.25416300000001</v>
      </c>
      <c r="T3692" s="1095">
        <v>-34.196525999999999</v>
      </c>
    </row>
    <row r="3693" spans="16:20">
      <c r="P3693" s="1094">
        <v>2583</v>
      </c>
      <c r="Q3693" t="s">
        <v>4742</v>
      </c>
      <c r="R3693" t="s">
        <v>248</v>
      </c>
      <c r="S3693">
        <v>149.25416300000001</v>
      </c>
      <c r="T3693" s="1095">
        <v>-34.196525999999999</v>
      </c>
    </row>
    <row r="3694" spans="16:20">
      <c r="P3694" s="1094">
        <v>2583</v>
      </c>
      <c r="Q3694" t="s">
        <v>4743</v>
      </c>
      <c r="R3694" t="s">
        <v>248</v>
      </c>
      <c r="S3694">
        <v>149.25416300000001</v>
      </c>
      <c r="T3694" s="1095">
        <v>-34.196525999999999</v>
      </c>
    </row>
    <row r="3695" spans="16:20">
      <c r="P3695" s="1094">
        <v>2584</v>
      </c>
      <c r="Q3695" t="s">
        <v>4744</v>
      </c>
      <c r="R3695" t="s">
        <v>248</v>
      </c>
      <c r="S3695">
        <v>148.55524299999999</v>
      </c>
      <c r="T3695" s="1095">
        <v>-34.711018000000003</v>
      </c>
    </row>
    <row r="3696" spans="16:20">
      <c r="P3696" s="1094">
        <v>2584</v>
      </c>
      <c r="Q3696" t="s">
        <v>4745</v>
      </c>
      <c r="R3696" t="s">
        <v>248</v>
      </c>
      <c r="S3696">
        <v>148.55524299999999</v>
      </c>
      <c r="T3696" s="1095">
        <v>-34.711018000000003</v>
      </c>
    </row>
    <row r="3697" spans="16:20">
      <c r="P3697" s="1094">
        <v>2585</v>
      </c>
      <c r="Q3697" t="s">
        <v>4746</v>
      </c>
      <c r="R3697" t="s">
        <v>248</v>
      </c>
      <c r="S3697">
        <v>148.498501</v>
      </c>
      <c r="T3697" s="1095">
        <v>-34.572329000000003</v>
      </c>
    </row>
    <row r="3698" spans="16:20">
      <c r="P3698" s="1094">
        <v>2586</v>
      </c>
      <c r="Q3698" t="s">
        <v>4747</v>
      </c>
      <c r="R3698" t="s">
        <v>248</v>
      </c>
      <c r="S3698">
        <v>148.79726400000001</v>
      </c>
      <c r="T3698" s="1095">
        <v>-34.378630999999999</v>
      </c>
    </row>
    <row r="3699" spans="16:20">
      <c r="P3699" s="1094">
        <v>2586</v>
      </c>
      <c r="Q3699" t="s">
        <v>4748</v>
      </c>
      <c r="R3699" t="s">
        <v>248</v>
      </c>
      <c r="S3699">
        <v>148.79726400000001</v>
      </c>
      <c r="T3699" s="1095">
        <v>-34.378630999999999</v>
      </c>
    </row>
    <row r="3700" spans="16:20">
      <c r="P3700" s="1094">
        <v>2586</v>
      </c>
      <c r="Q3700" t="s">
        <v>4749</v>
      </c>
      <c r="R3700" t="s">
        <v>248</v>
      </c>
      <c r="S3700">
        <v>148.79726400000001</v>
      </c>
      <c r="T3700" s="1095">
        <v>-34.378630999999999</v>
      </c>
    </row>
    <row r="3701" spans="16:20">
      <c r="P3701" s="1094">
        <v>2586</v>
      </c>
      <c r="Q3701" t="s">
        <v>4750</v>
      </c>
      <c r="R3701" t="s">
        <v>248</v>
      </c>
      <c r="S3701">
        <v>148.79726400000001</v>
      </c>
      <c r="T3701" s="1095">
        <v>-34.378630999999999</v>
      </c>
    </row>
    <row r="3702" spans="16:20">
      <c r="P3702" s="1094">
        <v>2586</v>
      </c>
      <c r="Q3702" t="s">
        <v>4751</v>
      </c>
      <c r="R3702" t="s">
        <v>248</v>
      </c>
      <c r="S3702">
        <v>148.79726400000001</v>
      </c>
      <c r="T3702" s="1095">
        <v>-34.378630999999999</v>
      </c>
    </row>
    <row r="3703" spans="16:20">
      <c r="P3703" s="1094">
        <v>2586</v>
      </c>
      <c r="Q3703" t="s">
        <v>4752</v>
      </c>
      <c r="R3703" t="s">
        <v>248</v>
      </c>
      <c r="S3703">
        <v>148.79726400000001</v>
      </c>
      <c r="T3703" s="1095">
        <v>-34.378630999999999</v>
      </c>
    </row>
    <row r="3704" spans="16:20">
      <c r="P3704" s="1094">
        <v>2586</v>
      </c>
      <c r="Q3704" t="s">
        <v>4753</v>
      </c>
      <c r="R3704" t="s">
        <v>248</v>
      </c>
      <c r="S3704">
        <v>148.79726400000001</v>
      </c>
      <c r="T3704" s="1095">
        <v>-34.378630999999999</v>
      </c>
    </row>
    <row r="3705" spans="16:20">
      <c r="P3705" s="1094">
        <v>2586</v>
      </c>
      <c r="Q3705" t="s">
        <v>4754</v>
      </c>
      <c r="R3705" t="s">
        <v>248</v>
      </c>
      <c r="S3705">
        <v>148.79726400000001</v>
      </c>
      <c r="T3705" s="1095">
        <v>-34.378630999999999</v>
      </c>
    </row>
    <row r="3706" spans="16:20">
      <c r="P3706" s="1094">
        <v>2586</v>
      </c>
      <c r="Q3706" t="s">
        <v>4755</v>
      </c>
      <c r="R3706" t="s">
        <v>248</v>
      </c>
      <c r="S3706">
        <v>148.79726400000001</v>
      </c>
      <c r="T3706" s="1095">
        <v>-34.378630999999999</v>
      </c>
    </row>
    <row r="3707" spans="16:20">
      <c r="P3707" s="1094">
        <v>2587</v>
      </c>
      <c r="Q3707" t="s">
        <v>4756</v>
      </c>
      <c r="R3707" t="s">
        <v>248</v>
      </c>
      <c r="S3707">
        <v>148.36097100000001</v>
      </c>
      <c r="T3707" s="1095">
        <v>-34.505797000000001</v>
      </c>
    </row>
    <row r="3708" spans="16:20">
      <c r="P3708" s="1094">
        <v>2587</v>
      </c>
      <c r="Q3708" t="s">
        <v>4757</v>
      </c>
      <c r="R3708" t="s">
        <v>248</v>
      </c>
      <c r="S3708">
        <v>148.36097100000001</v>
      </c>
      <c r="T3708" s="1095">
        <v>-34.505797000000001</v>
      </c>
    </row>
    <row r="3709" spans="16:20">
      <c r="P3709" s="1094">
        <v>2587</v>
      </c>
      <c r="Q3709" t="s">
        <v>4758</v>
      </c>
      <c r="R3709" t="s">
        <v>248</v>
      </c>
      <c r="S3709">
        <v>148.36097100000001</v>
      </c>
      <c r="T3709" s="1095">
        <v>-34.505797000000001</v>
      </c>
    </row>
    <row r="3710" spans="16:20">
      <c r="P3710" s="1094">
        <v>2587</v>
      </c>
      <c r="Q3710" t="s">
        <v>4759</v>
      </c>
      <c r="R3710" t="s">
        <v>248</v>
      </c>
      <c r="S3710">
        <v>148.36097100000001</v>
      </c>
      <c r="T3710" s="1095">
        <v>-34.505797000000001</v>
      </c>
    </row>
    <row r="3711" spans="16:20">
      <c r="P3711" s="1094">
        <v>2587</v>
      </c>
      <c r="Q3711" t="s">
        <v>4760</v>
      </c>
      <c r="R3711" t="s">
        <v>248</v>
      </c>
      <c r="S3711">
        <v>148.36097100000001</v>
      </c>
      <c r="T3711" s="1095">
        <v>-34.505797000000001</v>
      </c>
    </row>
    <row r="3712" spans="16:20">
      <c r="P3712" s="1094">
        <v>2587</v>
      </c>
      <c r="Q3712" t="s">
        <v>4761</v>
      </c>
      <c r="R3712" t="s">
        <v>248</v>
      </c>
      <c r="S3712">
        <v>148.36097100000001</v>
      </c>
      <c r="T3712" s="1095">
        <v>-34.505797000000001</v>
      </c>
    </row>
    <row r="3713" spans="16:20">
      <c r="P3713" s="1094">
        <v>2587</v>
      </c>
      <c r="Q3713" t="s">
        <v>4762</v>
      </c>
      <c r="R3713" t="s">
        <v>248</v>
      </c>
      <c r="S3713">
        <v>148.36097100000001</v>
      </c>
      <c r="T3713" s="1095">
        <v>-34.505797000000001</v>
      </c>
    </row>
    <row r="3714" spans="16:20">
      <c r="P3714" s="1094">
        <v>2587</v>
      </c>
      <c r="Q3714" t="s">
        <v>4763</v>
      </c>
      <c r="R3714" t="s">
        <v>248</v>
      </c>
      <c r="S3714">
        <v>148.36097100000001</v>
      </c>
      <c r="T3714" s="1095">
        <v>-34.505797000000001</v>
      </c>
    </row>
    <row r="3715" spans="16:20">
      <c r="P3715" s="1094">
        <v>2587</v>
      </c>
      <c r="Q3715" t="s">
        <v>4764</v>
      </c>
      <c r="R3715" t="s">
        <v>248</v>
      </c>
      <c r="S3715">
        <v>148.36097100000001</v>
      </c>
      <c r="T3715" s="1095">
        <v>-34.505797000000001</v>
      </c>
    </row>
    <row r="3716" spans="16:20">
      <c r="P3716" s="1094">
        <v>2587</v>
      </c>
      <c r="Q3716" t="s">
        <v>4765</v>
      </c>
      <c r="R3716" t="s">
        <v>248</v>
      </c>
      <c r="S3716">
        <v>148.36097100000001</v>
      </c>
      <c r="T3716" s="1095">
        <v>-34.505797000000001</v>
      </c>
    </row>
    <row r="3717" spans="16:20">
      <c r="P3717" s="1094">
        <v>2588</v>
      </c>
      <c r="Q3717" t="s">
        <v>4766</v>
      </c>
      <c r="R3717" t="s">
        <v>248</v>
      </c>
      <c r="S3717">
        <v>148.25560100000001</v>
      </c>
      <c r="T3717" s="1095">
        <v>-34.599488000000001</v>
      </c>
    </row>
    <row r="3718" spans="16:20">
      <c r="P3718" s="1094">
        <v>2588</v>
      </c>
      <c r="Q3718" t="s">
        <v>4767</v>
      </c>
      <c r="R3718" t="s">
        <v>248</v>
      </c>
      <c r="S3718">
        <v>148.25560100000001</v>
      </c>
      <c r="T3718" s="1095">
        <v>-34.599488000000001</v>
      </c>
    </row>
    <row r="3719" spans="16:20">
      <c r="P3719" s="1094">
        <v>2590</v>
      </c>
      <c r="Q3719" t="s">
        <v>4768</v>
      </c>
      <c r="R3719" t="s">
        <v>248</v>
      </c>
      <c r="S3719">
        <v>147.89691099999999</v>
      </c>
      <c r="T3719" s="1095">
        <v>-34.714514999999999</v>
      </c>
    </row>
    <row r="3720" spans="16:20">
      <c r="P3720" s="1094">
        <v>2590</v>
      </c>
      <c r="Q3720" t="s">
        <v>4769</v>
      </c>
      <c r="R3720" t="s">
        <v>248</v>
      </c>
      <c r="S3720">
        <v>147.89691099999999</v>
      </c>
      <c r="T3720" s="1095">
        <v>-34.714514999999999</v>
      </c>
    </row>
    <row r="3721" spans="16:20">
      <c r="P3721" s="1094">
        <v>2590</v>
      </c>
      <c r="Q3721" t="s">
        <v>4770</v>
      </c>
      <c r="R3721" t="s">
        <v>248</v>
      </c>
      <c r="S3721">
        <v>147.89691099999999</v>
      </c>
      <c r="T3721" s="1095">
        <v>-34.714514999999999</v>
      </c>
    </row>
    <row r="3722" spans="16:20">
      <c r="P3722" s="1094">
        <v>2594</v>
      </c>
      <c r="Q3722" t="s">
        <v>4771</v>
      </c>
      <c r="R3722" t="s">
        <v>248</v>
      </c>
      <c r="S3722">
        <v>148.10731999999999</v>
      </c>
      <c r="T3722" s="1095">
        <v>-34.231082999999998</v>
      </c>
    </row>
    <row r="3723" spans="16:20">
      <c r="P3723" s="1094">
        <v>2594</v>
      </c>
      <c r="Q3723" t="s">
        <v>4772</v>
      </c>
      <c r="R3723" t="s">
        <v>248</v>
      </c>
      <c r="S3723">
        <v>148.10731999999999</v>
      </c>
      <c r="T3723" s="1095">
        <v>-34.231082999999998</v>
      </c>
    </row>
    <row r="3724" spans="16:20">
      <c r="P3724" s="1094">
        <v>2594</v>
      </c>
      <c r="Q3724" t="s">
        <v>4773</v>
      </c>
      <c r="R3724" t="s">
        <v>248</v>
      </c>
      <c r="S3724">
        <v>148.10731999999999</v>
      </c>
      <c r="T3724" s="1095">
        <v>-34.231082999999998</v>
      </c>
    </row>
    <row r="3725" spans="16:20">
      <c r="P3725" s="1094">
        <v>2594</v>
      </c>
      <c r="Q3725" t="s">
        <v>4774</v>
      </c>
      <c r="R3725" t="s">
        <v>248</v>
      </c>
      <c r="S3725">
        <v>148.10731999999999</v>
      </c>
      <c r="T3725" s="1095">
        <v>-34.231082999999998</v>
      </c>
    </row>
    <row r="3726" spans="16:20">
      <c r="P3726" s="1094">
        <v>2594</v>
      </c>
      <c r="Q3726" t="s">
        <v>4775</v>
      </c>
      <c r="R3726" t="s">
        <v>248</v>
      </c>
      <c r="S3726">
        <v>148.10731999999999</v>
      </c>
      <c r="T3726" s="1095">
        <v>-34.231082999999998</v>
      </c>
    </row>
    <row r="3727" spans="16:20">
      <c r="P3727" s="1094">
        <v>2594</v>
      </c>
      <c r="Q3727" t="s">
        <v>4776</v>
      </c>
      <c r="R3727" t="s">
        <v>248</v>
      </c>
      <c r="S3727">
        <v>148.10731999999999</v>
      </c>
      <c r="T3727" s="1095">
        <v>-34.231082999999998</v>
      </c>
    </row>
    <row r="3728" spans="16:20">
      <c r="P3728" s="1094">
        <v>2594</v>
      </c>
      <c r="Q3728" t="s">
        <v>4777</v>
      </c>
      <c r="R3728" t="s">
        <v>248</v>
      </c>
      <c r="S3728">
        <v>148.10731999999999</v>
      </c>
      <c r="T3728" s="1095">
        <v>-34.231082999999998</v>
      </c>
    </row>
    <row r="3729" spans="16:20">
      <c r="P3729" s="1094">
        <v>2594</v>
      </c>
      <c r="Q3729" t="s">
        <v>4778</v>
      </c>
      <c r="R3729" t="s">
        <v>248</v>
      </c>
      <c r="S3729">
        <v>148.10731999999999</v>
      </c>
      <c r="T3729" s="1095">
        <v>-34.231082999999998</v>
      </c>
    </row>
    <row r="3730" spans="16:20">
      <c r="P3730" s="1094">
        <v>2594</v>
      </c>
      <c r="Q3730" t="s">
        <v>4779</v>
      </c>
      <c r="R3730" t="s">
        <v>248</v>
      </c>
      <c r="S3730">
        <v>148.10731999999999</v>
      </c>
      <c r="T3730" s="1095">
        <v>-34.231082999999998</v>
      </c>
    </row>
    <row r="3731" spans="16:20">
      <c r="P3731" s="1094">
        <v>2594</v>
      </c>
      <c r="Q3731" t="s">
        <v>4780</v>
      </c>
      <c r="R3731" t="s">
        <v>248</v>
      </c>
      <c r="S3731">
        <v>148.10731999999999</v>
      </c>
      <c r="T3731" s="1095">
        <v>-34.231082999999998</v>
      </c>
    </row>
    <row r="3732" spans="16:20">
      <c r="P3732" s="1094">
        <v>2594</v>
      </c>
      <c r="Q3732" t="s">
        <v>4781</v>
      </c>
      <c r="R3732" t="s">
        <v>248</v>
      </c>
      <c r="S3732">
        <v>148.10731999999999</v>
      </c>
      <c r="T3732" s="1095">
        <v>-34.231082999999998</v>
      </c>
    </row>
    <row r="3733" spans="16:20">
      <c r="P3733" s="1094">
        <v>2594</v>
      </c>
      <c r="Q3733" t="s">
        <v>4782</v>
      </c>
      <c r="R3733" t="s">
        <v>248</v>
      </c>
      <c r="S3733">
        <v>148.10731999999999</v>
      </c>
      <c r="T3733" s="1095">
        <v>-34.231082999999998</v>
      </c>
    </row>
    <row r="3734" spans="16:20">
      <c r="P3734" s="1094">
        <v>2594</v>
      </c>
      <c r="Q3734" t="s">
        <v>4783</v>
      </c>
      <c r="R3734" t="s">
        <v>248</v>
      </c>
      <c r="S3734">
        <v>148.10731999999999</v>
      </c>
      <c r="T3734" s="1095">
        <v>-34.231082999999998</v>
      </c>
    </row>
    <row r="3735" spans="16:20">
      <c r="P3735" s="1094">
        <v>2594</v>
      </c>
      <c r="Q3735" t="s">
        <v>4784</v>
      </c>
      <c r="R3735" t="s">
        <v>248</v>
      </c>
      <c r="S3735">
        <v>148.10731999999999</v>
      </c>
      <c r="T3735" s="1095">
        <v>-34.231082999999998</v>
      </c>
    </row>
    <row r="3736" spans="16:20">
      <c r="P3736" s="1094">
        <v>2594</v>
      </c>
      <c r="Q3736" t="s">
        <v>4785</v>
      </c>
      <c r="R3736" t="s">
        <v>248</v>
      </c>
      <c r="S3736">
        <v>148.10731999999999</v>
      </c>
      <c r="T3736" s="1095">
        <v>-34.231082999999998</v>
      </c>
    </row>
    <row r="3737" spans="16:20">
      <c r="P3737" s="1094">
        <v>2600</v>
      </c>
      <c r="Q3737" t="s">
        <v>1346</v>
      </c>
      <c r="R3737" t="s">
        <v>617</v>
      </c>
      <c r="S3737">
        <v>149.20107200000001</v>
      </c>
      <c r="T3737" s="1095">
        <v>-35.302911000000002</v>
      </c>
    </row>
    <row r="3738" spans="16:20">
      <c r="P3738" s="1094">
        <v>2600</v>
      </c>
      <c r="Q3738" t="s">
        <v>4786</v>
      </c>
      <c r="R3738" t="s">
        <v>617</v>
      </c>
      <c r="S3738">
        <v>149.20107200000001</v>
      </c>
      <c r="T3738" s="1095">
        <v>-35.302911000000002</v>
      </c>
    </row>
    <row r="3739" spans="16:20">
      <c r="P3739" s="1094">
        <v>2600</v>
      </c>
      <c r="Q3739" t="s">
        <v>4787</v>
      </c>
      <c r="R3739" t="s">
        <v>617</v>
      </c>
      <c r="S3739">
        <v>149.20107200000001</v>
      </c>
      <c r="T3739" s="1095">
        <v>-35.302911000000002</v>
      </c>
    </row>
    <row r="3740" spans="16:20">
      <c r="P3740" s="1094">
        <v>2600</v>
      </c>
      <c r="Q3740" t="s">
        <v>4788</v>
      </c>
      <c r="R3740" t="s">
        <v>617</v>
      </c>
      <c r="S3740">
        <v>149.20107200000001</v>
      </c>
      <c r="T3740" s="1095">
        <v>-35.302911000000002</v>
      </c>
    </row>
    <row r="3741" spans="16:20">
      <c r="P3741" s="1094">
        <v>2600</v>
      </c>
      <c r="Q3741" t="s">
        <v>4789</v>
      </c>
      <c r="R3741" t="s">
        <v>617</v>
      </c>
      <c r="S3741">
        <v>149.20107200000001</v>
      </c>
      <c r="T3741" s="1095">
        <v>-35.302911000000002</v>
      </c>
    </row>
    <row r="3742" spans="16:20">
      <c r="P3742" s="1094">
        <v>2600</v>
      </c>
      <c r="Q3742" t="s">
        <v>4790</v>
      </c>
      <c r="R3742" t="s">
        <v>617</v>
      </c>
      <c r="S3742">
        <v>149.20107200000001</v>
      </c>
      <c r="T3742" s="1095">
        <v>-35.302911000000002</v>
      </c>
    </row>
    <row r="3743" spans="16:20">
      <c r="P3743" s="1094">
        <v>2600</v>
      </c>
      <c r="Q3743" t="s">
        <v>4791</v>
      </c>
      <c r="R3743" t="s">
        <v>617</v>
      </c>
      <c r="S3743">
        <v>149.20107200000001</v>
      </c>
      <c r="T3743" s="1095">
        <v>-35.302911000000002</v>
      </c>
    </row>
    <row r="3744" spans="16:20">
      <c r="P3744" s="1094">
        <v>2600</v>
      </c>
      <c r="Q3744" t="s">
        <v>4792</v>
      </c>
      <c r="R3744" t="s">
        <v>617</v>
      </c>
      <c r="S3744">
        <v>149.20107200000001</v>
      </c>
      <c r="T3744" s="1095">
        <v>-35.302911000000002</v>
      </c>
    </row>
    <row r="3745" spans="16:20">
      <c r="P3745" s="1094">
        <v>2600</v>
      </c>
      <c r="Q3745" t="s">
        <v>4793</v>
      </c>
      <c r="R3745" t="s">
        <v>617</v>
      </c>
      <c r="S3745">
        <v>149.20107200000001</v>
      </c>
      <c r="T3745" s="1095">
        <v>-35.302911000000002</v>
      </c>
    </row>
    <row r="3746" spans="16:20">
      <c r="P3746" s="1094">
        <v>2600</v>
      </c>
      <c r="Q3746" t="s">
        <v>4794</v>
      </c>
      <c r="R3746" t="s">
        <v>617</v>
      </c>
      <c r="S3746">
        <v>149.20107200000001</v>
      </c>
      <c r="T3746" s="1095">
        <v>-35.302911000000002</v>
      </c>
    </row>
    <row r="3747" spans="16:20">
      <c r="P3747" s="1094">
        <v>2600</v>
      </c>
      <c r="Q3747" t="s">
        <v>1727</v>
      </c>
      <c r="R3747" t="s">
        <v>617</v>
      </c>
      <c r="S3747">
        <v>149.20107200000001</v>
      </c>
      <c r="T3747" s="1095">
        <v>-35.302911000000002</v>
      </c>
    </row>
    <row r="3748" spans="16:20">
      <c r="P3748" s="1094">
        <v>2600</v>
      </c>
      <c r="Q3748" t="s">
        <v>4795</v>
      </c>
      <c r="R3748" t="s">
        <v>617</v>
      </c>
      <c r="S3748">
        <v>149.20107200000001</v>
      </c>
      <c r="T3748" s="1095">
        <v>-35.302911000000002</v>
      </c>
    </row>
    <row r="3749" spans="16:20">
      <c r="P3749" s="1094">
        <v>2600</v>
      </c>
      <c r="Q3749" t="s">
        <v>4796</v>
      </c>
      <c r="R3749" t="s">
        <v>617</v>
      </c>
      <c r="S3749">
        <v>149.20107200000001</v>
      </c>
      <c r="T3749" s="1095">
        <v>-35.302911000000002</v>
      </c>
    </row>
    <row r="3750" spans="16:20">
      <c r="P3750" s="1094">
        <v>2600</v>
      </c>
      <c r="Q3750" t="s">
        <v>4797</v>
      </c>
      <c r="R3750" t="s">
        <v>617</v>
      </c>
      <c r="S3750">
        <v>149.20107200000001</v>
      </c>
      <c r="T3750" s="1095">
        <v>-35.302911000000002</v>
      </c>
    </row>
    <row r="3751" spans="16:20">
      <c r="P3751" s="1094">
        <v>2601</v>
      </c>
      <c r="Q3751" t="s">
        <v>4798</v>
      </c>
      <c r="R3751" t="s">
        <v>617</v>
      </c>
      <c r="S3751">
        <v>149.11379600000001</v>
      </c>
      <c r="T3751" s="1095">
        <v>-35.275863000000001</v>
      </c>
    </row>
    <row r="3752" spans="16:20">
      <c r="P3752" s="1094">
        <v>2601</v>
      </c>
      <c r="Q3752" t="s">
        <v>3053</v>
      </c>
      <c r="R3752" t="s">
        <v>617</v>
      </c>
      <c r="S3752">
        <v>149.11379600000001</v>
      </c>
      <c r="T3752" s="1095">
        <v>-35.275863000000001</v>
      </c>
    </row>
    <row r="3753" spans="16:20">
      <c r="P3753" s="1094">
        <v>2601</v>
      </c>
      <c r="Q3753" t="s">
        <v>4786</v>
      </c>
      <c r="R3753" t="s">
        <v>617</v>
      </c>
      <c r="S3753">
        <v>149.11379600000001</v>
      </c>
      <c r="T3753" s="1095">
        <v>-35.275863000000001</v>
      </c>
    </row>
    <row r="3754" spans="16:20">
      <c r="P3754" s="1094">
        <v>2601</v>
      </c>
      <c r="Q3754" t="s">
        <v>4799</v>
      </c>
      <c r="R3754" t="s">
        <v>617</v>
      </c>
      <c r="S3754">
        <v>149.11379600000001</v>
      </c>
      <c r="T3754" s="1095">
        <v>-35.275863000000001</v>
      </c>
    </row>
    <row r="3755" spans="16:20">
      <c r="P3755" s="1094">
        <v>2602</v>
      </c>
      <c r="Q3755" t="s">
        <v>4800</v>
      </c>
      <c r="R3755" t="s">
        <v>617</v>
      </c>
      <c r="S3755">
        <v>149.14814699999999</v>
      </c>
      <c r="T3755" s="1095">
        <v>-35.248071000000003</v>
      </c>
    </row>
    <row r="3756" spans="16:20">
      <c r="P3756" s="1094">
        <v>2602</v>
      </c>
      <c r="Q3756" t="s">
        <v>4801</v>
      </c>
      <c r="R3756" t="s">
        <v>617</v>
      </c>
      <c r="S3756">
        <v>149.14814699999999</v>
      </c>
      <c r="T3756" s="1095">
        <v>-35.248071000000003</v>
      </c>
    </row>
    <row r="3757" spans="16:20">
      <c r="P3757" s="1094">
        <v>2602</v>
      </c>
      <c r="Q3757" t="s">
        <v>4802</v>
      </c>
      <c r="R3757" t="s">
        <v>617</v>
      </c>
      <c r="S3757">
        <v>149.14814699999999</v>
      </c>
      <c r="T3757" s="1095">
        <v>-35.248071000000003</v>
      </c>
    </row>
    <row r="3758" spans="16:20">
      <c r="P3758" s="1094">
        <v>2602</v>
      </c>
      <c r="Q3758" t="s">
        <v>4803</v>
      </c>
      <c r="R3758" t="s">
        <v>617</v>
      </c>
      <c r="S3758">
        <v>149.14814699999999</v>
      </c>
      <c r="T3758" s="1095">
        <v>-35.248071000000003</v>
      </c>
    </row>
    <row r="3759" spans="16:20">
      <c r="P3759" s="1094">
        <v>2602</v>
      </c>
      <c r="Q3759" t="s">
        <v>4804</v>
      </c>
      <c r="R3759" t="s">
        <v>617</v>
      </c>
      <c r="S3759">
        <v>149.14814699999999</v>
      </c>
      <c r="T3759" s="1095">
        <v>-35.248071000000003</v>
      </c>
    </row>
    <row r="3760" spans="16:20">
      <c r="P3760" s="1094">
        <v>2602</v>
      </c>
      <c r="Q3760" t="s">
        <v>4805</v>
      </c>
      <c r="R3760" t="s">
        <v>617</v>
      </c>
      <c r="S3760">
        <v>149.14814699999999</v>
      </c>
      <c r="T3760" s="1095">
        <v>-35.248071000000003</v>
      </c>
    </row>
    <row r="3761" spans="16:20">
      <c r="P3761" s="1094">
        <v>2602</v>
      </c>
      <c r="Q3761" t="s">
        <v>4806</v>
      </c>
      <c r="R3761" t="s">
        <v>617</v>
      </c>
      <c r="S3761">
        <v>149.14814699999999</v>
      </c>
      <c r="T3761" s="1095">
        <v>-35.248071000000003</v>
      </c>
    </row>
    <row r="3762" spans="16:20">
      <c r="P3762" s="1094">
        <v>2603</v>
      </c>
      <c r="Q3762" t="s">
        <v>4807</v>
      </c>
      <c r="R3762" t="s">
        <v>617</v>
      </c>
      <c r="S3762">
        <v>149.12573900000001</v>
      </c>
      <c r="T3762" s="1095">
        <v>-35.330382</v>
      </c>
    </row>
    <row r="3763" spans="16:20">
      <c r="P3763" s="1094">
        <v>2603</v>
      </c>
      <c r="Q3763" t="s">
        <v>4808</v>
      </c>
      <c r="R3763" t="s">
        <v>617</v>
      </c>
      <c r="S3763">
        <v>149.12573900000001</v>
      </c>
      <c r="T3763" s="1095">
        <v>-35.330382</v>
      </c>
    </row>
    <row r="3764" spans="16:20">
      <c r="P3764" s="1094">
        <v>2603</v>
      </c>
      <c r="Q3764" t="s">
        <v>4809</v>
      </c>
      <c r="R3764" t="s">
        <v>617</v>
      </c>
      <c r="S3764">
        <v>149.12573900000001</v>
      </c>
      <c r="T3764" s="1095">
        <v>-35.330382</v>
      </c>
    </row>
    <row r="3765" spans="16:20">
      <c r="P3765" s="1094">
        <v>2603</v>
      </c>
      <c r="Q3765" t="s">
        <v>2939</v>
      </c>
      <c r="R3765" t="s">
        <v>617</v>
      </c>
      <c r="S3765">
        <v>149.12573900000001</v>
      </c>
      <c r="T3765" s="1095">
        <v>-35.330382</v>
      </c>
    </row>
    <row r="3766" spans="16:20">
      <c r="P3766" s="1094">
        <v>2604</v>
      </c>
      <c r="Q3766" t="s">
        <v>4810</v>
      </c>
      <c r="R3766" t="s">
        <v>617</v>
      </c>
      <c r="S3766">
        <v>149.147614</v>
      </c>
      <c r="T3766" s="1095">
        <v>-35.336413</v>
      </c>
    </row>
    <row r="3767" spans="16:20">
      <c r="P3767" s="1094">
        <v>2604</v>
      </c>
      <c r="Q3767" t="s">
        <v>4811</v>
      </c>
      <c r="R3767" t="s">
        <v>617</v>
      </c>
      <c r="S3767">
        <v>149.147614</v>
      </c>
      <c r="T3767" s="1095">
        <v>-35.336413</v>
      </c>
    </row>
    <row r="3768" spans="16:20">
      <c r="P3768" s="1094">
        <v>2604</v>
      </c>
      <c r="Q3768" t="s">
        <v>4812</v>
      </c>
      <c r="R3768" t="s">
        <v>617</v>
      </c>
      <c r="S3768">
        <v>149.147614</v>
      </c>
      <c r="T3768" s="1095">
        <v>-35.336413</v>
      </c>
    </row>
    <row r="3769" spans="16:20">
      <c r="P3769" s="1094">
        <v>2605</v>
      </c>
      <c r="Q3769" t="s">
        <v>4813</v>
      </c>
      <c r="R3769" t="s">
        <v>617</v>
      </c>
      <c r="S3769">
        <v>149.09345500000001</v>
      </c>
      <c r="T3769" s="1095">
        <v>-35.335821000000003</v>
      </c>
    </row>
    <row r="3770" spans="16:20">
      <c r="P3770" s="1094">
        <v>2605</v>
      </c>
      <c r="Q3770" t="s">
        <v>4814</v>
      </c>
      <c r="R3770" t="s">
        <v>617</v>
      </c>
      <c r="S3770">
        <v>149.09345500000001</v>
      </c>
      <c r="T3770" s="1095">
        <v>-35.335821000000003</v>
      </c>
    </row>
    <row r="3771" spans="16:20">
      <c r="P3771" s="1094">
        <v>2605</v>
      </c>
      <c r="Q3771" t="s">
        <v>4815</v>
      </c>
      <c r="R3771" t="s">
        <v>617</v>
      </c>
      <c r="S3771">
        <v>149.09345500000001</v>
      </c>
      <c r="T3771" s="1095">
        <v>-35.335821000000003</v>
      </c>
    </row>
    <row r="3772" spans="16:20">
      <c r="P3772" s="1094">
        <v>2606</v>
      </c>
      <c r="Q3772" t="s">
        <v>1786</v>
      </c>
      <c r="R3772" t="s">
        <v>617</v>
      </c>
      <c r="S3772">
        <v>149.092601</v>
      </c>
      <c r="T3772" s="1095">
        <v>-35.351692999999997</v>
      </c>
    </row>
    <row r="3773" spans="16:20">
      <c r="P3773" s="1094">
        <v>2606</v>
      </c>
      <c r="Q3773" t="s">
        <v>4816</v>
      </c>
      <c r="R3773" t="s">
        <v>617</v>
      </c>
      <c r="S3773">
        <v>149.092601</v>
      </c>
      <c r="T3773" s="1095">
        <v>-35.351692999999997</v>
      </c>
    </row>
    <row r="3774" spans="16:20">
      <c r="P3774" s="1094">
        <v>2606</v>
      </c>
      <c r="Q3774" t="s">
        <v>4817</v>
      </c>
      <c r="R3774" t="s">
        <v>617</v>
      </c>
      <c r="S3774">
        <v>149.092601</v>
      </c>
      <c r="T3774" s="1095">
        <v>-35.351692999999997</v>
      </c>
    </row>
    <row r="3775" spans="16:20">
      <c r="P3775" s="1094">
        <v>2606</v>
      </c>
      <c r="Q3775" t="s">
        <v>4818</v>
      </c>
      <c r="R3775" t="s">
        <v>617</v>
      </c>
      <c r="S3775">
        <v>149.092601</v>
      </c>
      <c r="T3775" s="1095">
        <v>-35.351692999999997</v>
      </c>
    </row>
    <row r="3776" spans="16:20">
      <c r="P3776" s="1094">
        <v>2606</v>
      </c>
      <c r="Q3776" t="s">
        <v>4819</v>
      </c>
      <c r="R3776" t="s">
        <v>617</v>
      </c>
      <c r="S3776">
        <v>149.092601</v>
      </c>
      <c r="T3776" s="1095">
        <v>-35.351692999999997</v>
      </c>
    </row>
    <row r="3777" spans="16:20">
      <c r="P3777" s="1094">
        <v>2606</v>
      </c>
      <c r="Q3777" t="s">
        <v>4820</v>
      </c>
      <c r="R3777" t="s">
        <v>617</v>
      </c>
      <c r="S3777">
        <v>149.092601</v>
      </c>
      <c r="T3777" s="1095">
        <v>-35.351692999999997</v>
      </c>
    </row>
    <row r="3778" spans="16:20">
      <c r="P3778" s="1094">
        <v>2606</v>
      </c>
      <c r="Q3778" t="s">
        <v>4821</v>
      </c>
      <c r="R3778" t="s">
        <v>617</v>
      </c>
      <c r="S3778">
        <v>149.092601</v>
      </c>
      <c r="T3778" s="1095">
        <v>-35.351692999999997</v>
      </c>
    </row>
    <row r="3779" spans="16:20">
      <c r="P3779" s="1094">
        <v>2607</v>
      </c>
      <c r="Q3779" t="s">
        <v>4822</v>
      </c>
      <c r="R3779" t="s">
        <v>617</v>
      </c>
      <c r="S3779">
        <v>149.094831</v>
      </c>
      <c r="T3779" s="1095">
        <v>-35.369990999999999</v>
      </c>
    </row>
    <row r="3780" spans="16:20">
      <c r="P3780" s="1094">
        <v>2607</v>
      </c>
      <c r="Q3780" t="s">
        <v>4823</v>
      </c>
      <c r="R3780" t="s">
        <v>617</v>
      </c>
      <c r="S3780">
        <v>149.094831</v>
      </c>
      <c r="T3780" s="1095">
        <v>-35.369990999999999</v>
      </c>
    </row>
    <row r="3781" spans="16:20">
      <c r="P3781" s="1094">
        <v>2607</v>
      </c>
      <c r="Q3781" t="s">
        <v>4824</v>
      </c>
      <c r="R3781" t="s">
        <v>617</v>
      </c>
      <c r="S3781">
        <v>149.094831</v>
      </c>
      <c r="T3781" s="1095">
        <v>-35.369990999999999</v>
      </c>
    </row>
    <row r="3782" spans="16:20">
      <c r="P3782" s="1094">
        <v>2607</v>
      </c>
      <c r="Q3782" t="s">
        <v>4825</v>
      </c>
      <c r="R3782" t="s">
        <v>617</v>
      </c>
      <c r="S3782">
        <v>149.094831</v>
      </c>
      <c r="T3782" s="1095">
        <v>-35.369990999999999</v>
      </c>
    </row>
    <row r="3783" spans="16:20">
      <c r="P3783" s="1094">
        <v>2607</v>
      </c>
      <c r="Q3783" t="s">
        <v>4826</v>
      </c>
      <c r="R3783" t="s">
        <v>617</v>
      </c>
      <c r="S3783">
        <v>149.094831</v>
      </c>
      <c r="T3783" s="1095">
        <v>-35.369990999999999</v>
      </c>
    </row>
    <row r="3784" spans="16:20">
      <c r="P3784" s="1094">
        <v>2608</v>
      </c>
      <c r="Q3784" t="s">
        <v>4827</v>
      </c>
      <c r="R3784" t="s">
        <v>617</v>
      </c>
      <c r="S3784">
        <v>0</v>
      </c>
      <c r="T3784" s="1095">
        <v>0</v>
      </c>
    </row>
    <row r="3785" spans="16:20">
      <c r="P3785" s="1094">
        <v>2609</v>
      </c>
      <c r="Q3785" t="s">
        <v>4828</v>
      </c>
      <c r="R3785" t="s">
        <v>617</v>
      </c>
      <c r="S3785">
        <v>149.17002299999999</v>
      </c>
      <c r="T3785" s="1095">
        <v>-35.315370000000001</v>
      </c>
    </row>
    <row r="3786" spans="16:20">
      <c r="P3786" s="1094">
        <v>2609</v>
      </c>
      <c r="Q3786" t="s">
        <v>4829</v>
      </c>
      <c r="R3786" t="s">
        <v>617</v>
      </c>
      <c r="S3786">
        <v>149.17002299999999</v>
      </c>
      <c r="T3786" s="1095">
        <v>-35.315370000000001</v>
      </c>
    </row>
    <row r="3787" spans="16:20">
      <c r="P3787" s="1094">
        <v>2609</v>
      </c>
      <c r="Q3787" t="s">
        <v>4830</v>
      </c>
      <c r="R3787" t="s">
        <v>617</v>
      </c>
      <c r="S3787">
        <v>149.17002299999999</v>
      </c>
      <c r="T3787" s="1095">
        <v>-35.315370000000001</v>
      </c>
    </row>
    <row r="3788" spans="16:20">
      <c r="P3788" s="1094">
        <v>2609</v>
      </c>
      <c r="Q3788" t="s">
        <v>4831</v>
      </c>
      <c r="R3788" t="s">
        <v>617</v>
      </c>
      <c r="S3788">
        <v>149.17002299999999</v>
      </c>
      <c r="T3788" s="1095">
        <v>-35.315370000000001</v>
      </c>
    </row>
    <row r="3789" spans="16:20">
      <c r="P3789" s="1094">
        <v>2610</v>
      </c>
      <c r="Q3789" t="s">
        <v>4832</v>
      </c>
      <c r="R3789" t="s">
        <v>617</v>
      </c>
      <c r="S3789">
        <v>0</v>
      </c>
      <c r="T3789" s="1095">
        <v>0</v>
      </c>
    </row>
    <row r="3790" spans="16:20">
      <c r="P3790" s="1094">
        <v>2610</v>
      </c>
      <c r="Q3790" t="s">
        <v>4833</v>
      </c>
      <c r="R3790" t="s">
        <v>617</v>
      </c>
      <c r="S3790">
        <v>0</v>
      </c>
      <c r="T3790" s="1095">
        <v>0</v>
      </c>
    </row>
    <row r="3791" spans="16:20">
      <c r="P3791" s="1094">
        <v>2611</v>
      </c>
      <c r="Q3791" t="s">
        <v>4834</v>
      </c>
      <c r="R3791" t="s">
        <v>248</v>
      </c>
      <c r="S3791">
        <v>148.784415</v>
      </c>
      <c r="T3791" s="1095">
        <v>-35.322291</v>
      </c>
    </row>
    <row r="3792" spans="16:20">
      <c r="P3792" s="1094">
        <v>2611</v>
      </c>
      <c r="Q3792" t="s">
        <v>4835</v>
      </c>
      <c r="R3792" t="s">
        <v>617</v>
      </c>
      <c r="S3792">
        <v>148.784415</v>
      </c>
      <c r="T3792" s="1095">
        <v>-35.322291</v>
      </c>
    </row>
    <row r="3793" spans="16:20">
      <c r="P3793" s="1094">
        <v>2611</v>
      </c>
      <c r="Q3793" t="s">
        <v>4836</v>
      </c>
      <c r="R3793" t="s">
        <v>617</v>
      </c>
      <c r="S3793">
        <v>148.784415</v>
      </c>
      <c r="T3793" s="1095">
        <v>-35.322291</v>
      </c>
    </row>
    <row r="3794" spans="16:20">
      <c r="P3794" s="1094">
        <v>2611</v>
      </c>
      <c r="Q3794" t="s">
        <v>4837</v>
      </c>
      <c r="R3794" t="s">
        <v>617</v>
      </c>
      <c r="S3794">
        <v>148.784415</v>
      </c>
      <c r="T3794" s="1095">
        <v>-35.322291</v>
      </c>
    </row>
    <row r="3795" spans="16:20">
      <c r="P3795" s="1094">
        <v>2611</v>
      </c>
      <c r="Q3795" t="s">
        <v>4838</v>
      </c>
      <c r="R3795" t="s">
        <v>617</v>
      </c>
      <c r="S3795">
        <v>148.784415</v>
      </c>
      <c r="T3795" s="1095">
        <v>-35.322291</v>
      </c>
    </row>
    <row r="3796" spans="16:20">
      <c r="P3796" s="1094">
        <v>2611</v>
      </c>
      <c r="Q3796" t="s">
        <v>4839</v>
      </c>
      <c r="R3796" t="s">
        <v>617</v>
      </c>
      <c r="S3796">
        <v>148.784415</v>
      </c>
      <c r="T3796" s="1095">
        <v>-35.322291</v>
      </c>
    </row>
    <row r="3797" spans="16:20">
      <c r="P3797" s="1094">
        <v>2611</v>
      </c>
      <c r="Q3797" t="s">
        <v>4840</v>
      </c>
      <c r="R3797" t="s">
        <v>617</v>
      </c>
      <c r="S3797">
        <v>148.784415</v>
      </c>
      <c r="T3797" s="1095">
        <v>-35.322291</v>
      </c>
    </row>
    <row r="3798" spans="16:20">
      <c r="P3798" s="1094">
        <v>2611</v>
      </c>
      <c r="Q3798" t="s">
        <v>4841</v>
      </c>
      <c r="R3798" t="s">
        <v>617</v>
      </c>
      <c r="S3798">
        <v>148.784415</v>
      </c>
      <c r="T3798" s="1095">
        <v>-35.322291</v>
      </c>
    </row>
    <row r="3799" spans="16:20">
      <c r="P3799" s="1094">
        <v>2611</v>
      </c>
      <c r="Q3799" t="s">
        <v>4842</v>
      </c>
      <c r="R3799" t="s">
        <v>617</v>
      </c>
      <c r="S3799">
        <v>148.784415</v>
      </c>
      <c r="T3799" s="1095">
        <v>-35.322291</v>
      </c>
    </row>
    <row r="3800" spans="16:20">
      <c r="P3800" s="1094">
        <v>2611</v>
      </c>
      <c r="Q3800" t="s">
        <v>4843</v>
      </c>
      <c r="R3800" t="s">
        <v>617</v>
      </c>
      <c r="S3800">
        <v>148.784415</v>
      </c>
      <c r="T3800" s="1095">
        <v>-35.322291</v>
      </c>
    </row>
    <row r="3801" spans="16:20">
      <c r="P3801" s="1094">
        <v>2611</v>
      </c>
      <c r="Q3801" t="s">
        <v>4843</v>
      </c>
      <c r="R3801" t="s">
        <v>248</v>
      </c>
      <c r="S3801">
        <v>148.784415</v>
      </c>
      <c r="T3801" s="1095">
        <v>-35.322291</v>
      </c>
    </row>
    <row r="3802" spans="16:20">
      <c r="P3802" s="1094">
        <v>2611</v>
      </c>
      <c r="Q3802" t="s">
        <v>4844</v>
      </c>
      <c r="R3802" t="s">
        <v>617</v>
      </c>
      <c r="S3802">
        <v>148.784415</v>
      </c>
      <c r="T3802" s="1095">
        <v>-35.322291</v>
      </c>
    </row>
    <row r="3803" spans="16:20">
      <c r="P3803" s="1094">
        <v>2611</v>
      </c>
      <c r="Q3803" t="s">
        <v>4845</v>
      </c>
      <c r="R3803" t="s">
        <v>617</v>
      </c>
      <c r="S3803">
        <v>148.784415</v>
      </c>
      <c r="T3803" s="1095">
        <v>-35.322291</v>
      </c>
    </row>
    <row r="3804" spans="16:20">
      <c r="P3804" s="1094">
        <v>2611</v>
      </c>
      <c r="Q3804" t="s">
        <v>2714</v>
      </c>
      <c r="R3804" t="s">
        <v>617</v>
      </c>
      <c r="S3804">
        <v>148.784415</v>
      </c>
      <c r="T3804" s="1095">
        <v>-35.322291</v>
      </c>
    </row>
    <row r="3805" spans="16:20">
      <c r="P3805" s="1094">
        <v>2611</v>
      </c>
      <c r="Q3805" t="s">
        <v>4846</v>
      </c>
      <c r="R3805" t="s">
        <v>617</v>
      </c>
      <c r="S3805">
        <v>148.784415</v>
      </c>
      <c r="T3805" s="1095">
        <v>-35.322291</v>
      </c>
    </row>
    <row r="3806" spans="16:20">
      <c r="P3806" s="1094">
        <v>2612</v>
      </c>
      <c r="Q3806" t="s">
        <v>4847</v>
      </c>
      <c r="R3806" t="s">
        <v>617</v>
      </c>
      <c r="S3806">
        <v>0</v>
      </c>
      <c r="T3806" s="1095">
        <v>0</v>
      </c>
    </row>
    <row r="3807" spans="16:20">
      <c r="P3807" s="1094">
        <v>2612</v>
      </c>
      <c r="Q3807" t="s">
        <v>4848</v>
      </c>
      <c r="R3807" t="s">
        <v>617</v>
      </c>
      <c r="S3807">
        <v>0</v>
      </c>
      <c r="T3807" s="1095">
        <v>0</v>
      </c>
    </row>
    <row r="3808" spans="16:20">
      <c r="P3808" s="1094">
        <v>2612</v>
      </c>
      <c r="Q3808" t="s">
        <v>4849</v>
      </c>
      <c r="R3808" t="s">
        <v>617</v>
      </c>
      <c r="S3808">
        <v>0</v>
      </c>
      <c r="T3808" s="1095">
        <v>0</v>
      </c>
    </row>
    <row r="3809" spans="16:20">
      <c r="P3809" s="1094">
        <v>2612</v>
      </c>
      <c r="Q3809" t="s">
        <v>4850</v>
      </c>
      <c r="R3809" t="s">
        <v>617</v>
      </c>
      <c r="S3809">
        <v>0</v>
      </c>
      <c r="T3809" s="1095">
        <v>0</v>
      </c>
    </row>
    <row r="3810" spans="16:20">
      <c r="P3810" s="1094">
        <v>2614</v>
      </c>
      <c r="Q3810" t="s">
        <v>4851</v>
      </c>
      <c r="R3810" t="s">
        <v>617</v>
      </c>
      <c r="S3810">
        <v>149.04979599999999</v>
      </c>
      <c r="T3810" s="1095">
        <v>-35.257314999999998</v>
      </c>
    </row>
    <row r="3811" spans="16:20">
      <c r="P3811" s="1094">
        <v>2614</v>
      </c>
      <c r="Q3811" t="s">
        <v>4852</v>
      </c>
      <c r="R3811" t="s">
        <v>617</v>
      </c>
      <c r="S3811">
        <v>149.04979599999999</v>
      </c>
      <c r="T3811" s="1095">
        <v>-35.257314999999998</v>
      </c>
    </row>
    <row r="3812" spans="16:20">
      <c r="P3812" s="1094">
        <v>2614</v>
      </c>
      <c r="Q3812" t="s">
        <v>4853</v>
      </c>
      <c r="R3812" t="s">
        <v>617</v>
      </c>
      <c r="S3812">
        <v>149.04979599999999</v>
      </c>
      <c r="T3812" s="1095">
        <v>-35.257314999999998</v>
      </c>
    </row>
    <row r="3813" spans="16:20">
      <c r="P3813" s="1094">
        <v>2614</v>
      </c>
      <c r="Q3813" t="s">
        <v>4854</v>
      </c>
      <c r="R3813" t="s">
        <v>617</v>
      </c>
      <c r="S3813">
        <v>149.04979599999999</v>
      </c>
      <c r="T3813" s="1095">
        <v>-35.257314999999998</v>
      </c>
    </row>
    <row r="3814" spans="16:20">
      <c r="P3814" s="1094">
        <v>2614</v>
      </c>
      <c r="Q3814" t="s">
        <v>4855</v>
      </c>
      <c r="R3814" t="s">
        <v>617</v>
      </c>
      <c r="S3814">
        <v>149.04979599999999</v>
      </c>
      <c r="T3814" s="1095">
        <v>-35.257314999999998</v>
      </c>
    </row>
    <row r="3815" spans="16:20">
      <c r="P3815" s="1094">
        <v>2614</v>
      </c>
      <c r="Q3815" t="s">
        <v>4856</v>
      </c>
      <c r="R3815" t="s">
        <v>617</v>
      </c>
      <c r="S3815">
        <v>149.04979599999999</v>
      </c>
      <c r="T3815" s="1095">
        <v>-35.257314999999998</v>
      </c>
    </row>
    <row r="3816" spans="16:20">
      <c r="P3816" s="1094">
        <v>2614</v>
      </c>
      <c r="Q3816" t="s">
        <v>4857</v>
      </c>
      <c r="R3816" t="s">
        <v>617</v>
      </c>
      <c r="S3816">
        <v>149.04979599999999</v>
      </c>
      <c r="T3816" s="1095">
        <v>-35.257314999999998</v>
      </c>
    </row>
    <row r="3817" spans="16:20">
      <c r="P3817" s="1094">
        <v>2614</v>
      </c>
      <c r="Q3817" t="s">
        <v>4858</v>
      </c>
      <c r="R3817" t="s">
        <v>617</v>
      </c>
      <c r="S3817">
        <v>149.04979599999999</v>
      </c>
      <c r="T3817" s="1095">
        <v>-35.257314999999998</v>
      </c>
    </row>
    <row r="3818" spans="16:20">
      <c r="P3818" s="1094">
        <v>2615</v>
      </c>
      <c r="Q3818" t="s">
        <v>4859</v>
      </c>
      <c r="R3818" t="s">
        <v>617</v>
      </c>
      <c r="S3818">
        <v>149.02930799999999</v>
      </c>
      <c r="T3818" s="1095">
        <v>-35.215386000000002</v>
      </c>
    </row>
    <row r="3819" spans="16:20">
      <c r="P3819" s="1094">
        <v>2615</v>
      </c>
      <c r="Q3819" t="s">
        <v>4860</v>
      </c>
      <c r="R3819" t="s">
        <v>617</v>
      </c>
      <c r="S3819">
        <v>149.02930799999999</v>
      </c>
      <c r="T3819" s="1095">
        <v>-35.215386000000002</v>
      </c>
    </row>
    <row r="3820" spans="16:20">
      <c r="P3820" s="1094">
        <v>2615</v>
      </c>
      <c r="Q3820" t="s">
        <v>4861</v>
      </c>
      <c r="R3820" t="s">
        <v>617</v>
      </c>
      <c r="S3820">
        <v>149.02930799999999</v>
      </c>
      <c r="T3820" s="1095">
        <v>-35.215386000000002</v>
      </c>
    </row>
    <row r="3821" spans="16:20">
      <c r="P3821" s="1094">
        <v>2615</v>
      </c>
      <c r="Q3821" t="s">
        <v>4862</v>
      </c>
      <c r="R3821" t="s">
        <v>617</v>
      </c>
      <c r="S3821">
        <v>149.02930799999999</v>
      </c>
      <c r="T3821" s="1095">
        <v>-35.215386000000002</v>
      </c>
    </row>
    <row r="3822" spans="16:20">
      <c r="P3822" s="1094">
        <v>2615</v>
      </c>
      <c r="Q3822" t="s">
        <v>4863</v>
      </c>
      <c r="R3822" t="s">
        <v>617</v>
      </c>
      <c r="S3822">
        <v>149.02930799999999</v>
      </c>
      <c r="T3822" s="1095">
        <v>-35.215386000000002</v>
      </c>
    </row>
    <row r="3823" spans="16:20">
      <c r="P3823" s="1094">
        <v>2615</v>
      </c>
      <c r="Q3823" t="s">
        <v>4864</v>
      </c>
      <c r="R3823" t="s">
        <v>617</v>
      </c>
      <c r="S3823">
        <v>149.02930799999999</v>
      </c>
      <c r="T3823" s="1095">
        <v>-35.215386000000002</v>
      </c>
    </row>
    <row r="3824" spans="16:20">
      <c r="P3824" s="1094">
        <v>2615</v>
      </c>
      <c r="Q3824" t="s">
        <v>4865</v>
      </c>
      <c r="R3824" t="s">
        <v>617</v>
      </c>
      <c r="S3824">
        <v>149.02930799999999</v>
      </c>
      <c r="T3824" s="1095">
        <v>-35.215386000000002</v>
      </c>
    </row>
    <row r="3825" spans="16:20">
      <c r="P3825" s="1094">
        <v>2615</v>
      </c>
      <c r="Q3825" t="s">
        <v>4866</v>
      </c>
      <c r="R3825" t="s">
        <v>617</v>
      </c>
      <c r="S3825">
        <v>149.02930799999999</v>
      </c>
      <c r="T3825" s="1095">
        <v>-35.215386000000002</v>
      </c>
    </row>
    <row r="3826" spans="16:20">
      <c r="P3826" s="1094">
        <v>2615</v>
      </c>
      <c r="Q3826" t="s">
        <v>4867</v>
      </c>
      <c r="R3826" t="s">
        <v>617</v>
      </c>
      <c r="S3826">
        <v>149.02930799999999</v>
      </c>
      <c r="T3826" s="1095">
        <v>-35.215386000000002</v>
      </c>
    </row>
    <row r="3827" spans="16:20">
      <c r="P3827" s="1094">
        <v>2615</v>
      </c>
      <c r="Q3827" t="s">
        <v>4868</v>
      </c>
      <c r="R3827" t="s">
        <v>617</v>
      </c>
      <c r="S3827">
        <v>149.02930799999999</v>
      </c>
      <c r="T3827" s="1095">
        <v>-35.215386000000002</v>
      </c>
    </row>
    <row r="3828" spans="16:20">
      <c r="P3828" s="1094">
        <v>2615</v>
      </c>
      <c r="Q3828" t="s">
        <v>4869</v>
      </c>
      <c r="R3828" t="s">
        <v>617</v>
      </c>
      <c r="S3828">
        <v>149.02930799999999</v>
      </c>
      <c r="T3828" s="1095">
        <v>-35.215386000000002</v>
      </c>
    </row>
    <row r="3829" spans="16:20">
      <c r="P3829" s="1094">
        <v>2615</v>
      </c>
      <c r="Q3829" t="s">
        <v>4870</v>
      </c>
      <c r="R3829" t="s">
        <v>617</v>
      </c>
      <c r="S3829">
        <v>149.02930799999999</v>
      </c>
      <c r="T3829" s="1095">
        <v>-35.215386000000002</v>
      </c>
    </row>
    <row r="3830" spans="16:20">
      <c r="P3830" s="1094">
        <v>2615</v>
      </c>
      <c r="Q3830" t="s">
        <v>4871</v>
      </c>
      <c r="R3830" t="s">
        <v>617</v>
      </c>
      <c r="S3830">
        <v>149.02930799999999</v>
      </c>
      <c r="T3830" s="1095">
        <v>-35.215386000000002</v>
      </c>
    </row>
    <row r="3831" spans="16:20">
      <c r="P3831" s="1094">
        <v>2616</v>
      </c>
      <c r="Q3831" t="s">
        <v>4872</v>
      </c>
      <c r="R3831" t="s">
        <v>617</v>
      </c>
      <c r="S3831">
        <v>0</v>
      </c>
      <c r="T3831" s="1095">
        <v>0</v>
      </c>
    </row>
    <row r="3832" spans="16:20">
      <c r="P3832" s="1094">
        <v>2617</v>
      </c>
      <c r="Q3832" t="s">
        <v>4872</v>
      </c>
      <c r="R3832" t="s">
        <v>617</v>
      </c>
      <c r="S3832">
        <v>149.086682</v>
      </c>
      <c r="T3832" s="1095">
        <v>-35.231279000000001</v>
      </c>
    </row>
    <row r="3833" spans="16:20">
      <c r="P3833" s="1094">
        <v>2617</v>
      </c>
      <c r="Q3833" t="s">
        <v>4873</v>
      </c>
      <c r="R3833" t="s">
        <v>617</v>
      </c>
      <c r="S3833">
        <v>149.086682</v>
      </c>
      <c r="T3833" s="1095">
        <v>-35.231279000000001</v>
      </c>
    </row>
    <row r="3834" spans="16:20">
      <c r="P3834" s="1094">
        <v>2617</v>
      </c>
      <c r="Q3834" t="s">
        <v>4874</v>
      </c>
      <c r="R3834" t="s">
        <v>617</v>
      </c>
      <c r="S3834">
        <v>149.086682</v>
      </c>
      <c r="T3834" s="1095">
        <v>-35.231279000000001</v>
      </c>
    </row>
    <row r="3835" spans="16:20">
      <c r="P3835" s="1094">
        <v>2617</v>
      </c>
      <c r="Q3835" t="s">
        <v>4875</v>
      </c>
      <c r="R3835" t="s">
        <v>617</v>
      </c>
      <c r="S3835">
        <v>149.086682</v>
      </c>
      <c r="T3835" s="1095">
        <v>-35.231279000000001</v>
      </c>
    </row>
    <row r="3836" spans="16:20">
      <c r="P3836" s="1094">
        <v>2617</v>
      </c>
      <c r="Q3836" t="s">
        <v>4876</v>
      </c>
      <c r="R3836" t="s">
        <v>617</v>
      </c>
      <c r="S3836">
        <v>149.086682</v>
      </c>
      <c r="T3836" s="1095">
        <v>-35.231279000000001</v>
      </c>
    </row>
    <row r="3837" spans="16:20">
      <c r="P3837" s="1094">
        <v>2617</v>
      </c>
      <c r="Q3837" t="s">
        <v>4877</v>
      </c>
      <c r="R3837" t="s">
        <v>617</v>
      </c>
      <c r="S3837">
        <v>149.086682</v>
      </c>
      <c r="T3837" s="1095">
        <v>-35.231279000000001</v>
      </c>
    </row>
    <row r="3838" spans="16:20">
      <c r="P3838" s="1094">
        <v>2617</v>
      </c>
      <c r="Q3838" t="s">
        <v>4878</v>
      </c>
      <c r="R3838" t="s">
        <v>617</v>
      </c>
      <c r="S3838">
        <v>149.086682</v>
      </c>
      <c r="T3838" s="1095">
        <v>-35.231279000000001</v>
      </c>
    </row>
    <row r="3839" spans="16:20">
      <c r="P3839" s="1094">
        <v>2617</v>
      </c>
      <c r="Q3839" t="s">
        <v>4879</v>
      </c>
      <c r="R3839" t="s">
        <v>617</v>
      </c>
      <c r="S3839">
        <v>149.086682</v>
      </c>
      <c r="T3839" s="1095">
        <v>-35.231279000000001</v>
      </c>
    </row>
    <row r="3840" spans="16:20">
      <c r="P3840" s="1094">
        <v>2617</v>
      </c>
      <c r="Q3840" t="s">
        <v>4880</v>
      </c>
      <c r="R3840" t="s">
        <v>617</v>
      </c>
      <c r="S3840">
        <v>149.086682</v>
      </c>
      <c r="T3840" s="1095">
        <v>-35.231279000000001</v>
      </c>
    </row>
    <row r="3841" spans="16:20">
      <c r="P3841" s="1094">
        <v>2618</v>
      </c>
      <c r="Q3841" t="s">
        <v>4881</v>
      </c>
      <c r="R3841" t="s">
        <v>617</v>
      </c>
      <c r="S3841">
        <v>149.04327799999999</v>
      </c>
      <c r="T3841" s="1095">
        <v>-35.135587999999998</v>
      </c>
    </row>
    <row r="3842" spans="16:20">
      <c r="P3842" s="1094">
        <v>2618</v>
      </c>
      <c r="Q3842" t="s">
        <v>2681</v>
      </c>
      <c r="R3842" t="s">
        <v>248</v>
      </c>
      <c r="S3842">
        <v>149.04327799999999</v>
      </c>
      <c r="T3842" s="1095">
        <v>-35.135587999999998</v>
      </c>
    </row>
    <row r="3843" spans="16:20">
      <c r="P3843" s="1094">
        <v>2619</v>
      </c>
      <c r="Q3843" t="s">
        <v>4882</v>
      </c>
      <c r="R3843" t="s">
        <v>248</v>
      </c>
      <c r="S3843">
        <v>149.194535</v>
      </c>
      <c r="T3843" s="1095">
        <v>-35.378158999999997</v>
      </c>
    </row>
    <row r="3844" spans="16:20">
      <c r="P3844" s="1094">
        <v>2620</v>
      </c>
      <c r="Q3844" t="s">
        <v>4883</v>
      </c>
      <c r="R3844" t="s">
        <v>248</v>
      </c>
      <c r="S3844">
        <v>149.25710100000001</v>
      </c>
      <c r="T3844" s="1095">
        <v>-35.317402000000001</v>
      </c>
    </row>
    <row r="3845" spans="16:20">
      <c r="P3845" s="1094">
        <v>2620</v>
      </c>
      <c r="Q3845" t="s">
        <v>4884</v>
      </c>
      <c r="R3845" t="s">
        <v>248</v>
      </c>
      <c r="S3845">
        <v>149.25710100000001</v>
      </c>
      <c r="T3845" s="1095">
        <v>-35.317402000000001</v>
      </c>
    </row>
    <row r="3846" spans="16:20">
      <c r="P3846" s="1094">
        <v>2620</v>
      </c>
      <c r="Q3846" t="s">
        <v>4885</v>
      </c>
      <c r="R3846" t="s">
        <v>248</v>
      </c>
      <c r="S3846">
        <v>149.25710100000001</v>
      </c>
      <c r="T3846" s="1095">
        <v>-35.317402000000001</v>
      </c>
    </row>
    <row r="3847" spans="16:20">
      <c r="P3847" s="1094">
        <v>2620</v>
      </c>
      <c r="Q3847" t="s">
        <v>4886</v>
      </c>
      <c r="R3847" t="s">
        <v>248</v>
      </c>
      <c r="S3847">
        <v>149.25710100000001</v>
      </c>
      <c r="T3847" s="1095">
        <v>-35.317402000000001</v>
      </c>
    </row>
    <row r="3848" spans="16:20">
      <c r="P3848" s="1094">
        <v>2620</v>
      </c>
      <c r="Q3848" t="s">
        <v>4887</v>
      </c>
      <c r="R3848" t="s">
        <v>248</v>
      </c>
      <c r="S3848">
        <v>149.25710100000001</v>
      </c>
      <c r="T3848" s="1095">
        <v>-35.317402000000001</v>
      </c>
    </row>
    <row r="3849" spans="16:20">
      <c r="P3849" s="1094">
        <v>2620</v>
      </c>
      <c r="Q3849" t="s">
        <v>4888</v>
      </c>
      <c r="R3849" t="s">
        <v>248</v>
      </c>
      <c r="S3849">
        <v>149.25710100000001</v>
      </c>
      <c r="T3849" s="1095">
        <v>-35.317402000000001</v>
      </c>
    </row>
    <row r="3850" spans="16:20">
      <c r="P3850" s="1094">
        <v>2620</v>
      </c>
      <c r="Q3850" t="s">
        <v>4889</v>
      </c>
      <c r="R3850" t="s">
        <v>248</v>
      </c>
      <c r="S3850">
        <v>149.25710100000001</v>
      </c>
      <c r="T3850" s="1095">
        <v>-35.317402000000001</v>
      </c>
    </row>
    <row r="3851" spans="16:20">
      <c r="P3851" s="1094">
        <v>2620</v>
      </c>
      <c r="Q3851" t="s">
        <v>4890</v>
      </c>
      <c r="R3851" t="s">
        <v>248</v>
      </c>
      <c r="S3851">
        <v>149.25710100000001</v>
      </c>
      <c r="T3851" s="1095">
        <v>-35.317402000000001</v>
      </c>
    </row>
    <row r="3852" spans="16:20">
      <c r="P3852" s="1094">
        <v>2620</v>
      </c>
      <c r="Q3852" t="s">
        <v>4891</v>
      </c>
      <c r="R3852" t="s">
        <v>248</v>
      </c>
      <c r="S3852">
        <v>149.25710100000001</v>
      </c>
      <c r="T3852" s="1095">
        <v>-35.317402000000001</v>
      </c>
    </row>
    <row r="3853" spans="16:20">
      <c r="P3853" s="1094">
        <v>2620</v>
      </c>
      <c r="Q3853" t="s">
        <v>4892</v>
      </c>
      <c r="R3853" t="s">
        <v>617</v>
      </c>
      <c r="S3853">
        <v>149.25710100000001</v>
      </c>
      <c r="T3853" s="1095">
        <v>-35.317402000000001</v>
      </c>
    </row>
    <row r="3854" spans="16:20">
      <c r="P3854" s="1094">
        <v>2620</v>
      </c>
      <c r="Q3854" t="s">
        <v>4893</v>
      </c>
      <c r="R3854" t="s">
        <v>248</v>
      </c>
      <c r="S3854">
        <v>149.25710100000001</v>
      </c>
      <c r="T3854" s="1095">
        <v>-35.317402000000001</v>
      </c>
    </row>
    <row r="3855" spans="16:20">
      <c r="P3855" s="1094">
        <v>2620</v>
      </c>
      <c r="Q3855" t="s">
        <v>4894</v>
      </c>
      <c r="R3855" t="s">
        <v>617</v>
      </c>
      <c r="S3855">
        <v>149.25710100000001</v>
      </c>
      <c r="T3855" s="1095">
        <v>-35.317402000000001</v>
      </c>
    </row>
    <row r="3856" spans="16:20">
      <c r="P3856" s="1094">
        <v>2620</v>
      </c>
      <c r="Q3856" t="s">
        <v>4895</v>
      </c>
      <c r="R3856" t="s">
        <v>248</v>
      </c>
      <c r="S3856">
        <v>149.25710100000001</v>
      </c>
      <c r="T3856" s="1095">
        <v>-35.317402000000001</v>
      </c>
    </row>
    <row r="3857" spans="16:20">
      <c r="P3857" s="1094">
        <v>2620</v>
      </c>
      <c r="Q3857" t="s">
        <v>4896</v>
      </c>
      <c r="R3857" t="s">
        <v>248</v>
      </c>
      <c r="S3857">
        <v>149.25710100000001</v>
      </c>
      <c r="T3857" s="1095">
        <v>-35.317402000000001</v>
      </c>
    </row>
    <row r="3858" spans="16:20">
      <c r="P3858" s="1094">
        <v>2620</v>
      </c>
      <c r="Q3858" t="s">
        <v>4897</v>
      </c>
      <c r="R3858" t="s">
        <v>617</v>
      </c>
      <c r="S3858">
        <v>149.25710100000001</v>
      </c>
      <c r="T3858" s="1095">
        <v>-35.317402000000001</v>
      </c>
    </row>
    <row r="3859" spans="16:20">
      <c r="P3859" s="1094">
        <v>2620</v>
      </c>
      <c r="Q3859" t="s">
        <v>4898</v>
      </c>
      <c r="R3859" t="s">
        <v>248</v>
      </c>
      <c r="S3859">
        <v>149.25710100000001</v>
      </c>
      <c r="T3859" s="1095">
        <v>-35.317402000000001</v>
      </c>
    </row>
    <row r="3860" spans="16:20">
      <c r="P3860" s="1094">
        <v>2620</v>
      </c>
      <c r="Q3860" t="s">
        <v>4899</v>
      </c>
      <c r="R3860" t="s">
        <v>248</v>
      </c>
      <c r="S3860">
        <v>149.25710100000001</v>
      </c>
      <c r="T3860" s="1095">
        <v>-35.317402000000001</v>
      </c>
    </row>
    <row r="3861" spans="16:20">
      <c r="P3861" s="1094">
        <v>2620</v>
      </c>
      <c r="Q3861" t="s">
        <v>4900</v>
      </c>
      <c r="R3861" t="s">
        <v>248</v>
      </c>
      <c r="S3861">
        <v>149.25710100000001</v>
      </c>
      <c r="T3861" s="1095">
        <v>-35.317402000000001</v>
      </c>
    </row>
    <row r="3862" spans="16:20">
      <c r="P3862" s="1094">
        <v>2620</v>
      </c>
      <c r="Q3862" t="s">
        <v>4901</v>
      </c>
      <c r="R3862" t="s">
        <v>248</v>
      </c>
      <c r="S3862">
        <v>149.25710100000001</v>
      </c>
      <c r="T3862" s="1095">
        <v>-35.317402000000001</v>
      </c>
    </row>
    <row r="3863" spans="16:20">
      <c r="P3863" s="1094">
        <v>2620</v>
      </c>
      <c r="Q3863" t="s">
        <v>4902</v>
      </c>
      <c r="R3863" t="s">
        <v>248</v>
      </c>
      <c r="S3863">
        <v>149.25710100000001</v>
      </c>
      <c r="T3863" s="1095">
        <v>-35.317402000000001</v>
      </c>
    </row>
    <row r="3864" spans="16:20">
      <c r="P3864" s="1094">
        <v>2620</v>
      </c>
      <c r="Q3864" t="s">
        <v>4903</v>
      </c>
      <c r="R3864" t="s">
        <v>248</v>
      </c>
      <c r="S3864">
        <v>149.25710100000001</v>
      </c>
      <c r="T3864" s="1095">
        <v>-35.317402000000001</v>
      </c>
    </row>
    <row r="3865" spans="16:20">
      <c r="P3865" s="1094">
        <v>2620</v>
      </c>
      <c r="Q3865" t="s">
        <v>4904</v>
      </c>
      <c r="R3865" t="s">
        <v>617</v>
      </c>
      <c r="S3865">
        <v>149.25710100000001</v>
      </c>
      <c r="T3865" s="1095">
        <v>-35.317402000000001</v>
      </c>
    </row>
    <row r="3866" spans="16:20">
      <c r="P3866" s="1094">
        <v>2620</v>
      </c>
      <c r="Q3866" t="s">
        <v>4905</v>
      </c>
      <c r="R3866" t="s">
        <v>248</v>
      </c>
      <c r="S3866">
        <v>149.25710100000001</v>
      </c>
      <c r="T3866" s="1095">
        <v>-35.317402000000001</v>
      </c>
    </row>
    <row r="3867" spans="16:20">
      <c r="P3867" s="1094">
        <v>2620</v>
      </c>
      <c r="Q3867" t="s">
        <v>4906</v>
      </c>
      <c r="R3867" t="s">
        <v>248</v>
      </c>
      <c r="S3867">
        <v>149.25710100000001</v>
      </c>
      <c r="T3867" s="1095">
        <v>-35.317402000000001</v>
      </c>
    </row>
    <row r="3868" spans="16:20">
      <c r="P3868" s="1094">
        <v>2620</v>
      </c>
      <c r="Q3868" t="s">
        <v>4907</v>
      </c>
      <c r="R3868" t="s">
        <v>617</v>
      </c>
      <c r="S3868">
        <v>149.25710100000001</v>
      </c>
      <c r="T3868" s="1095">
        <v>-35.317402000000001</v>
      </c>
    </row>
    <row r="3869" spans="16:20">
      <c r="P3869" s="1094">
        <v>2620</v>
      </c>
      <c r="Q3869" t="s">
        <v>4908</v>
      </c>
      <c r="R3869" t="s">
        <v>248</v>
      </c>
      <c r="S3869">
        <v>149.25710100000001</v>
      </c>
      <c r="T3869" s="1095">
        <v>-35.317402000000001</v>
      </c>
    </row>
    <row r="3870" spans="16:20">
      <c r="P3870" s="1094">
        <v>2620</v>
      </c>
      <c r="Q3870" t="s">
        <v>4909</v>
      </c>
      <c r="R3870" t="s">
        <v>248</v>
      </c>
      <c r="S3870">
        <v>149.25710100000001</v>
      </c>
      <c r="T3870" s="1095">
        <v>-35.317402000000001</v>
      </c>
    </row>
    <row r="3871" spans="16:20">
      <c r="P3871" s="1094">
        <v>2620</v>
      </c>
      <c r="Q3871" t="s">
        <v>4910</v>
      </c>
      <c r="R3871" t="s">
        <v>248</v>
      </c>
      <c r="S3871">
        <v>149.25710100000001</v>
      </c>
      <c r="T3871" s="1095">
        <v>-35.317402000000001</v>
      </c>
    </row>
    <row r="3872" spans="16:20">
      <c r="P3872" s="1094">
        <v>2620</v>
      </c>
      <c r="Q3872" t="s">
        <v>4911</v>
      </c>
      <c r="R3872" t="s">
        <v>248</v>
      </c>
      <c r="S3872">
        <v>149.25710100000001</v>
      </c>
      <c r="T3872" s="1095">
        <v>-35.317402000000001</v>
      </c>
    </row>
    <row r="3873" spans="16:20">
      <c r="P3873" s="1094">
        <v>2620</v>
      </c>
      <c r="Q3873" t="s">
        <v>4912</v>
      </c>
      <c r="R3873" t="s">
        <v>248</v>
      </c>
      <c r="S3873">
        <v>149.25710100000001</v>
      </c>
      <c r="T3873" s="1095">
        <v>-35.317402000000001</v>
      </c>
    </row>
    <row r="3874" spans="16:20">
      <c r="P3874" s="1094">
        <v>2621</v>
      </c>
      <c r="Q3874" t="s">
        <v>4913</v>
      </c>
      <c r="R3874" t="s">
        <v>248</v>
      </c>
      <c r="S3874">
        <v>149.484038</v>
      </c>
      <c r="T3874" s="1095">
        <v>-35.469799999999999</v>
      </c>
    </row>
    <row r="3875" spans="16:20">
      <c r="P3875" s="1094">
        <v>2621</v>
      </c>
      <c r="Q3875" t="s">
        <v>4914</v>
      </c>
      <c r="R3875" t="s">
        <v>248</v>
      </c>
      <c r="S3875">
        <v>149.484038</v>
      </c>
      <c r="T3875" s="1095">
        <v>-35.469799999999999</v>
      </c>
    </row>
    <row r="3876" spans="16:20">
      <c r="P3876" s="1094">
        <v>2621</v>
      </c>
      <c r="Q3876" t="s">
        <v>4915</v>
      </c>
      <c r="R3876" t="s">
        <v>248</v>
      </c>
      <c r="S3876">
        <v>149.484038</v>
      </c>
      <c r="T3876" s="1095">
        <v>-35.469799999999999</v>
      </c>
    </row>
    <row r="3877" spans="16:20">
      <c r="P3877" s="1094">
        <v>2621</v>
      </c>
      <c r="Q3877" t="s">
        <v>4916</v>
      </c>
      <c r="R3877" t="s">
        <v>248</v>
      </c>
      <c r="S3877">
        <v>149.484038</v>
      </c>
      <c r="T3877" s="1095">
        <v>-35.469799999999999</v>
      </c>
    </row>
    <row r="3878" spans="16:20">
      <c r="P3878" s="1094">
        <v>2621</v>
      </c>
      <c r="Q3878" t="s">
        <v>4917</v>
      </c>
      <c r="R3878" t="s">
        <v>248</v>
      </c>
      <c r="S3878">
        <v>149.484038</v>
      </c>
      <c r="T3878" s="1095">
        <v>-35.469799999999999</v>
      </c>
    </row>
    <row r="3879" spans="16:20">
      <c r="P3879" s="1094">
        <v>2621</v>
      </c>
      <c r="Q3879" t="s">
        <v>4918</v>
      </c>
      <c r="R3879" t="s">
        <v>248</v>
      </c>
      <c r="S3879">
        <v>149.484038</v>
      </c>
      <c r="T3879" s="1095">
        <v>-35.469799999999999</v>
      </c>
    </row>
    <row r="3880" spans="16:20">
      <c r="P3880" s="1094">
        <v>2621</v>
      </c>
      <c r="Q3880" t="s">
        <v>4919</v>
      </c>
      <c r="R3880" t="s">
        <v>248</v>
      </c>
      <c r="S3880">
        <v>149.484038</v>
      </c>
      <c r="T3880" s="1095">
        <v>-35.469799999999999</v>
      </c>
    </row>
    <row r="3881" spans="16:20">
      <c r="P3881" s="1094">
        <v>2622</v>
      </c>
      <c r="Q3881" t="s">
        <v>4920</v>
      </c>
      <c r="R3881" t="s">
        <v>248</v>
      </c>
      <c r="S3881">
        <v>149.752107</v>
      </c>
      <c r="T3881" s="1095">
        <v>-35.628428</v>
      </c>
    </row>
    <row r="3882" spans="16:20">
      <c r="P3882" s="1094">
        <v>2622</v>
      </c>
      <c r="Q3882" t="s">
        <v>4921</v>
      </c>
      <c r="R3882" t="s">
        <v>248</v>
      </c>
      <c r="S3882">
        <v>149.752107</v>
      </c>
      <c r="T3882" s="1095">
        <v>-35.628428</v>
      </c>
    </row>
    <row r="3883" spans="16:20">
      <c r="P3883" s="1094">
        <v>2622</v>
      </c>
      <c r="Q3883" t="s">
        <v>3256</v>
      </c>
      <c r="R3883" t="s">
        <v>248</v>
      </c>
      <c r="S3883">
        <v>149.752107</v>
      </c>
      <c r="T3883" s="1095">
        <v>-35.628428</v>
      </c>
    </row>
    <row r="3884" spans="16:20">
      <c r="P3884" s="1094">
        <v>2622</v>
      </c>
      <c r="Q3884" t="s">
        <v>4922</v>
      </c>
      <c r="R3884" t="s">
        <v>248</v>
      </c>
      <c r="S3884">
        <v>149.752107</v>
      </c>
      <c r="T3884" s="1095">
        <v>-35.628428</v>
      </c>
    </row>
    <row r="3885" spans="16:20">
      <c r="P3885" s="1094">
        <v>2622</v>
      </c>
      <c r="Q3885" t="s">
        <v>4923</v>
      </c>
      <c r="R3885" t="s">
        <v>248</v>
      </c>
      <c r="S3885">
        <v>149.752107</v>
      </c>
      <c r="T3885" s="1095">
        <v>-35.628428</v>
      </c>
    </row>
    <row r="3886" spans="16:20">
      <c r="P3886" s="1094">
        <v>2622</v>
      </c>
      <c r="Q3886" t="s">
        <v>4924</v>
      </c>
      <c r="R3886" t="s">
        <v>248</v>
      </c>
      <c r="S3886">
        <v>149.752107</v>
      </c>
      <c r="T3886" s="1095">
        <v>-35.628428</v>
      </c>
    </row>
    <row r="3887" spans="16:20">
      <c r="P3887" s="1094">
        <v>2622</v>
      </c>
      <c r="Q3887" t="s">
        <v>4925</v>
      </c>
      <c r="R3887" t="s">
        <v>248</v>
      </c>
      <c r="S3887">
        <v>149.752107</v>
      </c>
      <c r="T3887" s="1095">
        <v>-35.628428</v>
      </c>
    </row>
    <row r="3888" spans="16:20">
      <c r="P3888" s="1094">
        <v>2622</v>
      </c>
      <c r="Q3888" t="s">
        <v>4926</v>
      </c>
      <c r="R3888" t="s">
        <v>248</v>
      </c>
      <c r="S3888">
        <v>149.752107</v>
      </c>
      <c r="T3888" s="1095">
        <v>-35.628428</v>
      </c>
    </row>
    <row r="3889" spans="16:20">
      <c r="P3889" s="1094">
        <v>2622</v>
      </c>
      <c r="Q3889" t="s">
        <v>4927</v>
      </c>
      <c r="R3889" t="s">
        <v>248</v>
      </c>
      <c r="S3889">
        <v>149.752107</v>
      </c>
      <c r="T3889" s="1095">
        <v>-35.628428</v>
      </c>
    </row>
    <row r="3890" spans="16:20">
      <c r="P3890" s="1094">
        <v>2622</v>
      </c>
      <c r="Q3890" t="s">
        <v>4928</v>
      </c>
      <c r="R3890" t="s">
        <v>248</v>
      </c>
      <c r="S3890">
        <v>149.752107</v>
      </c>
      <c r="T3890" s="1095">
        <v>-35.628428</v>
      </c>
    </row>
    <row r="3891" spans="16:20">
      <c r="P3891" s="1094">
        <v>2622</v>
      </c>
      <c r="Q3891" t="s">
        <v>4929</v>
      </c>
      <c r="R3891" t="s">
        <v>248</v>
      </c>
      <c r="S3891">
        <v>149.752107</v>
      </c>
      <c r="T3891" s="1095">
        <v>-35.628428</v>
      </c>
    </row>
    <row r="3892" spans="16:20">
      <c r="P3892" s="1094">
        <v>2622</v>
      </c>
      <c r="Q3892" t="s">
        <v>4930</v>
      </c>
      <c r="R3892" t="s">
        <v>248</v>
      </c>
      <c r="S3892">
        <v>149.752107</v>
      </c>
      <c r="T3892" s="1095">
        <v>-35.628428</v>
      </c>
    </row>
    <row r="3893" spans="16:20">
      <c r="P3893" s="1094">
        <v>2622</v>
      </c>
      <c r="Q3893" t="s">
        <v>4931</v>
      </c>
      <c r="R3893" t="s">
        <v>248</v>
      </c>
      <c r="S3893">
        <v>149.752107</v>
      </c>
      <c r="T3893" s="1095">
        <v>-35.628428</v>
      </c>
    </row>
    <row r="3894" spans="16:20">
      <c r="P3894" s="1094">
        <v>2622</v>
      </c>
      <c r="Q3894" t="s">
        <v>4932</v>
      </c>
      <c r="R3894" t="s">
        <v>248</v>
      </c>
      <c r="S3894">
        <v>149.752107</v>
      </c>
      <c r="T3894" s="1095">
        <v>-35.628428</v>
      </c>
    </row>
    <row r="3895" spans="16:20">
      <c r="P3895" s="1094">
        <v>2622</v>
      </c>
      <c r="Q3895" t="s">
        <v>4933</v>
      </c>
      <c r="R3895" t="s">
        <v>248</v>
      </c>
      <c r="S3895">
        <v>149.752107</v>
      </c>
      <c r="T3895" s="1095">
        <v>-35.628428</v>
      </c>
    </row>
    <row r="3896" spans="16:20">
      <c r="P3896" s="1094">
        <v>2622</v>
      </c>
      <c r="Q3896" t="s">
        <v>4934</v>
      </c>
      <c r="R3896" t="s">
        <v>248</v>
      </c>
      <c r="S3896">
        <v>149.752107</v>
      </c>
      <c r="T3896" s="1095">
        <v>-35.628428</v>
      </c>
    </row>
    <row r="3897" spans="16:20">
      <c r="P3897" s="1094">
        <v>2622</v>
      </c>
      <c r="Q3897" t="s">
        <v>4935</v>
      </c>
      <c r="R3897" t="s">
        <v>248</v>
      </c>
      <c r="S3897">
        <v>149.752107</v>
      </c>
      <c r="T3897" s="1095">
        <v>-35.628428</v>
      </c>
    </row>
    <row r="3898" spans="16:20">
      <c r="P3898" s="1094">
        <v>2622</v>
      </c>
      <c r="Q3898" t="s">
        <v>4936</v>
      </c>
      <c r="R3898" t="s">
        <v>248</v>
      </c>
      <c r="S3898">
        <v>149.752107</v>
      </c>
      <c r="T3898" s="1095">
        <v>-35.628428</v>
      </c>
    </row>
    <row r="3899" spans="16:20">
      <c r="P3899" s="1094">
        <v>2622</v>
      </c>
      <c r="Q3899" t="s">
        <v>4937</v>
      </c>
      <c r="R3899" t="s">
        <v>248</v>
      </c>
      <c r="S3899">
        <v>149.752107</v>
      </c>
      <c r="T3899" s="1095">
        <v>-35.628428</v>
      </c>
    </row>
    <row r="3900" spans="16:20">
      <c r="P3900" s="1094">
        <v>2622</v>
      </c>
      <c r="Q3900" t="s">
        <v>4938</v>
      </c>
      <c r="R3900" t="s">
        <v>248</v>
      </c>
      <c r="S3900">
        <v>149.752107</v>
      </c>
      <c r="T3900" s="1095">
        <v>-35.628428</v>
      </c>
    </row>
    <row r="3901" spans="16:20">
      <c r="P3901" s="1094">
        <v>2622</v>
      </c>
      <c r="Q3901" t="s">
        <v>4939</v>
      </c>
      <c r="R3901" t="s">
        <v>248</v>
      </c>
      <c r="S3901">
        <v>149.752107</v>
      </c>
      <c r="T3901" s="1095">
        <v>-35.628428</v>
      </c>
    </row>
    <row r="3902" spans="16:20">
      <c r="P3902" s="1094">
        <v>2622</v>
      </c>
      <c r="Q3902" t="s">
        <v>4940</v>
      </c>
      <c r="R3902" t="s">
        <v>248</v>
      </c>
      <c r="S3902">
        <v>149.752107</v>
      </c>
      <c r="T3902" s="1095">
        <v>-35.628428</v>
      </c>
    </row>
    <row r="3903" spans="16:20">
      <c r="P3903" s="1094">
        <v>2622</v>
      </c>
      <c r="Q3903" t="s">
        <v>4941</v>
      </c>
      <c r="R3903" t="s">
        <v>248</v>
      </c>
      <c r="S3903">
        <v>149.752107</v>
      </c>
      <c r="T3903" s="1095">
        <v>-35.628428</v>
      </c>
    </row>
    <row r="3904" spans="16:20">
      <c r="P3904" s="1094">
        <v>2622</v>
      </c>
      <c r="Q3904" t="s">
        <v>4942</v>
      </c>
      <c r="R3904" t="s">
        <v>248</v>
      </c>
      <c r="S3904">
        <v>149.752107</v>
      </c>
      <c r="T3904" s="1095">
        <v>-35.628428</v>
      </c>
    </row>
    <row r="3905" spans="16:20">
      <c r="P3905" s="1094">
        <v>2622</v>
      </c>
      <c r="Q3905" t="s">
        <v>4943</v>
      </c>
      <c r="R3905" t="s">
        <v>248</v>
      </c>
      <c r="S3905">
        <v>149.752107</v>
      </c>
      <c r="T3905" s="1095">
        <v>-35.628428</v>
      </c>
    </row>
    <row r="3906" spans="16:20">
      <c r="P3906" s="1094">
        <v>2622</v>
      </c>
      <c r="Q3906" t="s">
        <v>4944</v>
      </c>
      <c r="R3906" t="s">
        <v>248</v>
      </c>
      <c r="S3906">
        <v>149.752107</v>
      </c>
      <c r="T3906" s="1095">
        <v>-35.628428</v>
      </c>
    </row>
    <row r="3907" spans="16:20">
      <c r="P3907" s="1094">
        <v>2622</v>
      </c>
      <c r="Q3907" t="s">
        <v>4945</v>
      </c>
      <c r="R3907" t="s">
        <v>248</v>
      </c>
      <c r="S3907">
        <v>149.752107</v>
      </c>
      <c r="T3907" s="1095">
        <v>-35.628428</v>
      </c>
    </row>
    <row r="3908" spans="16:20">
      <c r="P3908" s="1094">
        <v>2622</v>
      </c>
      <c r="Q3908" t="s">
        <v>4946</v>
      </c>
      <c r="R3908" t="s">
        <v>248</v>
      </c>
      <c r="S3908">
        <v>149.752107</v>
      </c>
      <c r="T3908" s="1095">
        <v>-35.628428</v>
      </c>
    </row>
    <row r="3909" spans="16:20">
      <c r="P3909" s="1094">
        <v>2622</v>
      </c>
      <c r="Q3909" t="s">
        <v>2535</v>
      </c>
      <c r="R3909" t="s">
        <v>248</v>
      </c>
      <c r="S3909">
        <v>149.752107</v>
      </c>
      <c r="T3909" s="1095">
        <v>-35.628428</v>
      </c>
    </row>
    <row r="3910" spans="16:20">
      <c r="P3910" s="1094">
        <v>2622</v>
      </c>
      <c r="Q3910" t="s">
        <v>4947</v>
      </c>
      <c r="R3910" t="s">
        <v>248</v>
      </c>
      <c r="S3910">
        <v>149.752107</v>
      </c>
      <c r="T3910" s="1095">
        <v>-35.628428</v>
      </c>
    </row>
    <row r="3911" spans="16:20">
      <c r="P3911" s="1094">
        <v>2622</v>
      </c>
      <c r="Q3911" t="s">
        <v>4948</v>
      </c>
      <c r="R3911" t="s">
        <v>248</v>
      </c>
      <c r="S3911">
        <v>149.752107</v>
      </c>
      <c r="T3911" s="1095">
        <v>-35.628428</v>
      </c>
    </row>
    <row r="3912" spans="16:20">
      <c r="P3912" s="1094">
        <v>2622</v>
      </c>
      <c r="Q3912" t="s">
        <v>4949</v>
      </c>
      <c r="R3912" t="s">
        <v>248</v>
      </c>
      <c r="S3912">
        <v>149.752107</v>
      </c>
      <c r="T3912" s="1095">
        <v>-35.628428</v>
      </c>
    </row>
    <row r="3913" spans="16:20">
      <c r="P3913" s="1094">
        <v>2622</v>
      </c>
      <c r="Q3913" t="s">
        <v>4950</v>
      </c>
      <c r="R3913" t="s">
        <v>248</v>
      </c>
      <c r="S3913">
        <v>149.752107</v>
      </c>
      <c r="T3913" s="1095">
        <v>-35.628428</v>
      </c>
    </row>
    <row r="3914" spans="16:20">
      <c r="P3914" s="1094">
        <v>2622</v>
      </c>
      <c r="Q3914" t="s">
        <v>4951</v>
      </c>
      <c r="R3914" t="s">
        <v>248</v>
      </c>
      <c r="S3914">
        <v>149.752107</v>
      </c>
      <c r="T3914" s="1095">
        <v>-35.628428</v>
      </c>
    </row>
    <row r="3915" spans="16:20">
      <c r="P3915" s="1094">
        <v>2622</v>
      </c>
      <c r="Q3915" t="s">
        <v>4952</v>
      </c>
      <c r="R3915" t="s">
        <v>248</v>
      </c>
      <c r="S3915">
        <v>149.752107</v>
      </c>
      <c r="T3915" s="1095">
        <v>-35.628428</v>
      </c>
    </row>
    <row r="3916" spans="16:20">
      <c r="P3916" s="1094">
        <v>2622</v>
      </c>
      <c r="Q3916" t="s">
        <v>4953</v>
      </c>
      <c r="R3916" t="s">
        <v>248</v>
      </c>
      <c r="S3916">
        <v>149.752107</v>
      </c>
      <c r="T3916" s="1095">
        <v>-35.628428</v>
      </c>
    </row>
    <row r="3917" spans="16:20">
      <c r="P3917" s="1094">
        <v>2622</v>
      </c>
      <c r="Q3917" t="s">
        <v>4954</v>
      </c>
      <c r="R3917" t="s">
        <v>248</v>
      </c>
      <c r="S3917">
        <v>149.752107</v>
      </c>
      <c r="T3917" s="1095">
        <v>-35.628428</v>
      </c>
    </row>
    <row r="3918" spans="16:20">
      <c r="P3918" s="1094">
        <v>2622</v>
      </c>
      <c r="Q3918" t="s">
        <v>4955</v>
      </c>
      <c r="R3918" t="s">
        <v>248</v>
      </c>
      <c r="S3918">
        <v>149.752107</v>
      </c>
      <c r="T3918" s="1095">
        <v>-35.628428</v>
      </c>
    </row>
    <row r="3919" spans="16:20">
      <c r="P3919" s="1094">
        <v>2622</v>
      </c>
      <c r="Q3919" t="s">
        <v>4956</v>
      </c>
      <c r="R3919" t="s">
        <v>248</v>
      </c>
      <c r="S3919">
        <v>149.752107</v>
      </c>
      <c r="T3919" s="1095">
        <v>-35.628428</v>
      </c>
    </row>
    <row r="3920" spans="16:20">
      <c r="P3920" s="1094">
        <v>2622</v>
      </c>
      <c r="Q3920" t="s">
        <v>4957</v>
      </c>
      <c r="R3920" t="s">
        <v>248</v>
      </c>
      <c r="S3920">
        <v>149.752107</v>
      </c>
      <c r="T3920" s="1095">
        <v>-35.628428</v>
      </c>
    </row>
    <row r="3921" spans="16:20">
      <c r="P3921" s="1094">
        <v>2622</v>
      </c>
      <c r="Q3921" t="s">
        <v>4958</v>
      </c>
      <c r="R3921" t="s">
        <v>248</v>
      </c>
      <c r="S3921">
        <v>149.752107</v>
      </c>
      <c r="T3921" s="1095">
        <v>-35.628428</v>
      </c>
    </row>
    <row r="3922" spans="16:20">
      <c r="P3922" s="1094">
        <v>2622</v>
      </c>
      <c r="Q3922" t="s">
        <v>4959</v>
      </c>
      <c r="R3922" t="s">
        <v>248</v>
      </c>
      <c r="S3922">
        <v>149.752107</v>
      </c>
      <c r="T3922" s="1095">
        <v>-35.628428</v>
      </c>
    </row>
    <row r="3923" spans="16:20">
      <c r="P3923" s="1094">
        <v>2622</v>
      </c>
      <c r="Q3923" t="s">
        <v>4960</v>
      </c>
      <c r="R3923" t="s">
        <v>248</v>
      </c>
      <c r="S3923">
        <v>149.752107</v>
      </c>
      <c r="T3923" s="1095">
        <v>-35.628428</v>
      </c>
    </row>
    <row r="3924" spans="16:20">
      <c r="P3924" s="1094">
        <v>2622</v>
      </c>
      <c r="Q3924" t="s">
        <v>4961</v>
      </c>
      <c r="R3924" t="s">
        <v>248</v>
      </c>
      <c r="S3924">
        <v>149.752107</v>
      </c>
      <c r="T3924" s="1095">
        <v>-35.628428</v>
      </c>
    </row>
    <row r="3925" spans="16:20">
      <c r="P3925" s="1094">
        <v>2622</v>
      </c>
      <c r="Q3925" t="s">
        <v>4962</v>
      </c>
      <c r="R3925" t="s">
        <v>248</v>
      </c>
      <c r="S3925">
        <v>149.752107</v>
      </c>
      <c r="T3925" s="1095">
        <v>-35.628428</v>
      </c>
    </row>
    <row r="3926" spans="16:20">
      <c r="P3926" s="1094">
        <v>2623</v>
      </c>
      <c r="Q3926" t="s">
        <v>4963</v>
      </c>
      <c r="R3926" t="s">
        <v>248</v>
      </c>
      <c r="S3926">
        <v>0</v>
      </c>
      <c r="T3926" s="1095">
        <v>0</v>
      </c>
    </row>
    <row r="3927" spans="16:20">
      <c r="P3927" s="1094">
        <v>2624</v>
      </c>
      <c r="Q3927" t="s">
        <v>4964</v>
      </c>
      <c r="R3927" t="s">
        <v>248</v>
      </c>
      <c r="S3927">
        <v>0</v>
      </c>
      <c r="T3927" s="1095">
        <v>0</v>
      </c>
    </row>
    <row r="3928" spans="16:20">
      <c r="P3928" s="1094">
        <v>2624</v>
      </c>
      <c r="Q3928" t="s">
        <v>4965</v>
      </c>
      <c r="R3928" t="s">
        <v>248</v>
      </c>
      <c r="S3928">
        <v>0</v>
      </c>
      <c r="T3928" s="1095">
        <v>0</v>
      </c>
    </row>
    <row r="3929" spans="16:20">
      <c r="P3929" s="1094">
        <v>2624</v>
      </c>
      <c r="Q3929" t="s">
        <v>4966</v>
      </c>
      <c r="R3929" t="s">
        <v>248</v>
      </c>
      <c r="S3929">
        <v>0</v>
      </c>
      <c r="T3929" s="1095">
        <v>0</v>
      </c>
    </row>
    <row r="3930" spans="16:20">
      <c r="P3930" s="1094">
        <v>2624</v>
      </c>
      <c r="Q3930" t="s">
        <v>4967</v>
      </c>
      <c r="R3930" t="s">
        <v>248</v>
      </c>
      <c r="S3930">
        <v>0</v>
      </c>
      <c r="T3930" s="1095">
        <v>0</v>
      </c>
    </row>
    <row r="3931" spans="16:20">
      <c r="P3931" s="1094">
        <v>2624</v>
      </c>
      <c r="Q3931" t="s">
        <v>4968</v>
      </c>
      <c r="R3931" t="s">
        <v>248</v>
      </c>
      <c r="S3931">
        <v>0</v>
      </c>
      <c r="T3931" s="1095">
        <v>0</v>
      </c>
    </row>
    <row r="3932" spans="16:20">
      <c r="P3932" s="1094">
        <v>2624</v>
      </c>
      <c r="Q3932" t="s">
        <v>4969</v>
      </c>
      <c r="R3932" t="s">
        <v>248</v>
      </c>
      <c r="S3932">
        <v>0</v>
      </c>
      <c r="T3932" s="1095">
        <v>0</v>
      </c>
    </row>
    <row r="3933" spans="16:20">
      <c r="P3933" s="1094">
        <v>2625</v>
      </c>
      <c r="Q3933" t="s">
        <v>4970</v>
      </c>
      <c r="R3933" t="s">
        <v>248</v>
      </c>
      <c r="S3933">
        <v>0</v>
      </c>
      <c r="T3933" s="1095">
        <v>0</v>
      </c>
    </row>
    <row r="3934" spans="16:20">
      <c r="P3934" s="1094">
        <v>2625</v>
      </c>
      <c r="Q3934" t="s">
        <v>4971</v>
      </c>
      <c r="R3934" t="s">
        <v>248</v>
      </c>
      <c r="S3934">
        <v>0</v>
      </c>
      <c r="T3934" s="1095">
        <v>0</v>
      </c>
    </row>
    <row r="3935" spans="16:20">
      <c r="P3935" s="1094">
        <v>2626</v>
      </c>
      <c r="Q3935" t="s">
        <v>4972</v>
      </c>
      <c r="R3935" t="s">
        <v>248</v>
      </c>
      <c r="S3935">
        <v>149.168553</v>
      </c>
      <c r="T3935" s="1095">
        <v>-35.941228000000002</v>
      </c>
    </row>
    <row r="3936" spans="16:20">
      <c r="P3936" s="1094">
        <v>2626</v>
      </c>
      <c r="Q3936" t="s">
        <v>4973</v>
      </c>
      <c r="R3936" t="s">
        <v>248</v>
      </c>
      <c r="S3936">
        <v>149.168553</v>
      </c>
      <c r="T3936" s="1095">
        <v>-35.941228000000002</v>
      </c>
    </row>
    <row r="3937" spans="16:20">
      <c r="P3937" s="1094">
        <v>2626</v>
      </c>
      <c r="Q3937" t="s">
        <v>4974</v>
      </c>
      <c r="R3937" t="s">
        <v>248</v>
      </c>
      <c r="S3937">
        <v>149.168553</v>
      </c>
      <c r="T3937" s="1095">
        <v>-35.941228000000002</v>
      </c>
    </row>
    <row r="3938" spans="16:20">
      <c r="P3938" s="1094">
        <v>2627</v>
      </c>
      <c r="Q3938" t="s">
        <v>4975</v>
      </c>
      <c r="R3938" t="s">
        <v>248</v>
      </c>
      <c r="S3938">
        <v>148.23234099999999</v>
      </c>
      <c r="T3938" s="1095">
        <v>-36.409112999999998</v>
      </c>
    </row>
    <row r="3939" spans="16:20">
      <c r="P3939" s="1094">
        <v>2627</v>
      </c>
      <c r="Q3939" t="s">
        <v>4976</v>
      </c>
      <c r="R3939" t="s">
        <v>248</v>
      </c>
      <c r="S3939">
        <v>148.23234099999999</v>
      </c>
      <c r="T3939" s="1095">
        <v>-36.409112999999998</v>
      </c>
    </row>
    <row r="3940" spans="16:20">
      <c r="P3940" s="1094">
        <v>2627</v>
      </c>
      <c r="Q3940" t="s">
        <v>4977</v>
      </c>
      <c r="R3940" t="s">
        <v>248</v>
      </c>
      <c r="S3940">
        <v>148.23234099999999</v>
      </c>
      <c r="T3940" s="1095">
        <v>-36.409112999999998</v>
      </c>
    </row>
    <row r="3941" spans="16:20">
      <c r="P3941" s="1094">
        <v>2627</v>
      </c>
      <c r="Q3941" t="s">
        <v>4978</v>
      </c>
      <c r="R3941" t="s">
        <v>248</v>
      </c>
      <c r="S3941">
        <v>148.23234099999999</v>
      </c>
      <c r="T3941" s="1095">
        <v>-36.409112999999998</v>
      </c>
    </row>
    <row r="3942" spans="16:20">
      <c r="P3942" s="1094">
        <v>2627</v>
      </c>
      <c r="Q3942" t="s">
        <v>4979</v>
      </c>
      <c r="R3942" t="s">
        <v>248</v>
      </c>
      <c r="S3942">
        <v>148.23234099999999</v>
      </c>
      <c r="T3942" s="1095">
        <v>-36.409112999999998</v>
      </c>
    </row>
    <row r="3943" spans="16:20">
      <c r="P3943" s="1094">
        <v>2627</v>
      </c>
      <c r="Q3943" t="s">
        <v>4595</v>
      </c>
      <c r="R3943" t="s">
        <v>248</v>
      </c>
      <c r="S3943">
        <v>148.23234099999999</v>
      </c>
      <c r="T3943" s="1095">
        <v>-36.409112999999998</v>
      </c>
    </row>
    <row r="3944" spans="16:20">
      <c r="P3944" s="1094">
        <v>2627</v>
      </c>
      <c r="Q3944" t="s">
        <v>4980</v>
      </c>
      <c r="R3944" t="s">
        <v>248</v>
      </c>
      <c r="S3944">
        <v>148.23234099999999</v>
      </c>
      <c r="T3944" s="1095">
        <v>-36.409112999999998</v>
      </c>
    </row>
    <row r="3945" spans="16:20">
      <c r="P3945" s="1094">
        <v>2627</v>
      </c>
      <c r="Q3945" t="s">
        <v>4981</v>
      </c>
      <c r="R3945" t="s">
        <v>248</v>
      </c>
      <c r="S3945">
        <v>148.23234099999999</v>
      </c>
      <c r="T3945" s="1095">
        <v>-36.409112999999998</v>
      </c>
    </row>
    <row r="3946" spans="16:20">
      <c r="P3946" s="1094">
        <v>2627</v>
      </c>
      <c r="Q3946" t="s">
        <v>4982</v>
      </c>
      <c r="R3946" t="s">
        <v>248</v>
      </c>
      <c r="S3946">
        <v>148.23234099999999</v>
      </c>
      <c r="T3946" s="1095">
        <v>-36.409112999999998</v>
      </c>
    </row>
    <row r="3947" spans="16:20">
      <c r="P3947" s="1094">
        <v>2627</v>
      </c>
      <c r="Q3947" t="s">
        <v>4983</v>
      </c>
      <c r="R3947" t="s">
        <v>248</v>
      </c>
      <c r="S3947">
        <v>148.23234099999999</v>
      </c>
      <c r="T3947" s="1095">
        <v>-36.409112999999998</v>
      </c>
    </row>
    <row r="3948" spans="16:20">
      <c r="P3948" s="1094">
        <v>2627</v>
      </c>
      <c r="Q3948" t="s">
        <v>4984</v>
      </c>
      <c r="R3948" t="s">
        <v>248</v>
      </c>
      <c r="S3948">
        <v>148.23234099999999</v>
      </c>
      <c r="T3948" s="1095">
        <v>-36.409112999999998</v>
      </c>
    </row>
    <row r="3949" spans="16:20">
      <c r="P3949" s="1094">
        <v>2627</v>
      </c>
      <c r="Q3949" t="s">
        <v>4985</v>
      </c>
      <c r="R3949" t="s">
        <v>248</v>
      </c>
      <c r="S3949">
        <v>148.23234099999999</v>
      </c>
      <c r="T3949" s="1095">
        <v>-36.409112999999998</v>
      </c>
    </row>
    <row r="3950" spans="16:20">
      <c r="P3950" s="1094">
        <v>2627</v>
      </c>
      <c r="Q3950" t="s">
        <v>4986</v>
      </c>
      <c r="R3950" t="s">
        <v>248</v>
      </c>
      <c r="S3950">
        <v>148.23234099999999</v>
      </c>
      <c r="T3950" s="1095">
        <v>-36.409112999999998</v>
      </c>
    </row>
    <row r="3951" spans="16:20">
      <c r="P3951" s="1094">
        <v>2628</v>
      </c>
      <c r="Q3951" t="s">
        <v>4987</v>
      </c>
      <c r="R3951" t="s">
        <v>248</v>
      </c>
      <c r="S3951">
        <v>148.83351099999999</v>
      </c>
      <c r="T3951" s="1095">
        <v>-36.404324000000003</v>
      </c>
    </row>
    <row r="3952" spans="16:20">
      <c r="P3952" s="1094">
        <v>2628</v>
      </c>
      <c r="Q3952" t="s">
        <v>4988</v>
      </c>
      <c r="R3952" t="s">
        <v>248</v>
      </c>
      <c r="S3952">
        <v>148.83351099999999</v>
      </c>
      <c r="T3952" s="1095">
        <v>-36.404324000000003</v>
      </c>
    </row>
    <row r="3953" spans="16:20">
      <c r="P3953" s="1094">
        <v>2628</v>
      </c>
      <c r="Q3953" t="s">
        <v>4989</v>
      </c>
      <c r="R3953" t="s">
        <v>248</v>
      </c>
      <c r="S3953">
        <v>148.83351099999999</v>
      </c>
      <c r="T3953" s="1095">
        <v>-36.404324000000003</v>
      </c>
    </row>
    <row r="3954" spans="16:20">
      <c r="P3954" s="1094">
        <v>2628</v>
      </c>
      <c r="Q3954" t="s">
        <v>4990</v>
      </c>
      <c r="R3954" t="s">
        <v>248</v>
      </c>
      <c r="S3954">
        <v>148.83351099999999</v>
      </c>
      <c r="T3954" s="1095">
        <v>-36.404324000000003</v>
      </c>
    </row>
    <row r="3955" spans="16:20">
      <c r="P3955" s="1094">
        <v>2628</v>
      </c>
      <c r="Q3955" t="s">
        <v>4991</v>
      </c>
      <c r="R3955" t="s">
        <v>248</v>
      </c>
      <c r="S3955">
        <v>148.83351099999999</v>
      </c>
      <c r="T3955" s="1095">
        <v>-36.404324000000003</v>
      </c>
    </row>
    <row r="3956" spans="16:20">
      <c r="P3956" s="1094">
        <v>2628</v>
      </c>
      <c r="Q3956" t="s">
        <v>4992</v>
      </c>
      <c r="R3956" t="s">
        <v>248</v>
      </c>
      <c r="S3956">
        <v>148.83351099999999</v>
      </c>
      <c r="T3956" s="1095">
        <v>-36.404324000000003</v>
      </c>
    </row>
    <row r="3957" spans="16:20">
      <c r="P3957" s="1094">
        <v>2628</v>
      </c>
      <c r="Q3957" t="s">
        <v>4993</v>
      </c>
      <c r="R3957" t="s">
        <v>248</v>
      </c>
      <c r="S3957">
        <v>148.83351099999999</v>
      </c>
      <c r="T3957" s="1095">
        <v>-36.404324000000003</v>
      </c>
    </row>
    <row r="3958" spans="16:20">
      <c r="P3958" s="1094">
        <v>2628</v>
      </c>
      <c r="Q3958" t="s">
        <v>4994</v>
      </c>
      <c r="R3958" t="s">
        <v>248</v>
      </c>
      <c r="S3958">
        <v>148.83351099999999</v>
      </c>
      <c r="T3958" s="1095">
        <v>-36.404324000000003</v>
      </c>
    </row>
    <row r="3959" spans="16:20">
      <c r="P3959" s="1094">
        <v>2628</v>
      </c>
      <c r="Q3959" t="s">
        <v>4995</v>
      </c>
      <c r="R3959" t="s">
        <v>248</v>
      </c>
      <c r="S3959">
        <v>148.83351099999999</v>
      </c>
      <c r="T3959" s="1095">
        <v>-36.404324000000003</v>
      </c>
    </row>
    <row r="3960" spans="16:20">
      <c r="P3960" s="1094">
        <v>2628</v>
      </c>
      <c r="Q3960" t="s">
        <v>4996</v>
      </c>
      <c r="R3960" t="s">
        <v>248</v>
      </c>
      <c r="S3960">
        <v>148.83351099999999</v>
      </c>
      <c r="T3960" s="1095">
        <v>-36.404324000000003</v>
      </c>
    </row>
    <row r="3961" spans="16:20">
      <c r="P3961" s="1094">
        <v>2628</v>
      </c>
      <c r="Q3961" t="s">
        <v>4997</v>
      </c>
      <c r="R3961" t="s">
        <v>248</v>
      </c>
      <c r="S3961">
        <v>148.83351099999999</v>
      </c>
      <c r="T3961" s="1095">
        <v>-36.404324000000003</v>
      </c>
    </row>
    <row r="3962" spans="16:20">
      <c r="P3962" s="1094">
        <v>2628</v>
      </c>
      <c r="Q3962" t="s">
        <v>4998</v>
      </c>
      <c r="R3962" t="s">
        <v>248</v>
      </c>
      <c r="S3962">
        <v>148.83351099999999</v>
      </c>
      <c r="T3962" s="1095">
        <v>-36.404324000000003</v>
      </c>
    </row>
    <row r="3963" spans="16:20">
      <c r="P3963" s="1094">
        <v>2629</v>
      </c>
      <c r="Q3963" t="s">
        <v>4999</v>
      </c>
      <c r="R3963" t="s">
        <v>248</v>
      </c>
      <c r="S3963">
        <v>0</v>
      </c>
      <c r="T3963" s="1095">
        <v>0</v>
      </c>
    </row>
    <row r="3964" spans="16:20">
      <c r="P3964" s="1094">
        <v>2629</v>
      </c>
      <c r="Q3964" t="s">
        <v>5000</v>
      </c>
      <c r="R3964" t="s">
        <v>248</v>
      </c>
      <c r="S3964">
        <v>0</v>
      </c>
      <c r="T3964" s="1095">
        <v>0</v>
      </c>
    </row>
    <row r="3965" spans="16:20">
      <c r="P3965" s="1094">
        <v>2629</v>
      </c>
      <c r="Q3965" t="s">
        <v>5001</v>
      </c>
      <c r="R3965" t="s">
        <v>248</v>
      </c>
      <c r="S3965">
        <v>0</v>
      </c>
      <c r="T3965" s="1095">
        <v>0</v>
      </c>
    </row>
    <row r="3966" spans="16:20">
      <c r="P3966" s="1094">
        <v>2629</v>
      </c>
      <c r="Q3966" t="s">
        <v>5002</v>
      </c>
      <c r="R3966" t="s">
        <v>248</v>
      </c>
      <c r="S3966">
        <v>0</v>
      </c>
      <c r="T3966" s="1095">
        <v>0</v>
      </c>
    </row>
    <row r="3967" spans="16:20">
      <c r="P3967" s="1094">
        <v>2629</v>
      </c>
      <c r="Q3967" t="s">
        <v>5003</v>
      </c>
      <c r="R3967" t="s">
        <v>248</v>
      </c>
      <c r="S3967">
        <v>0</v>
      </c>
      <c r="T3967" s="1095">
        <v>0</v>
      </c>
    </row>
    <row r="3968" spans="16:20">
      <c r="P3968" s="1094">
        <v>2629</v>
      </c>
      <c r="Q3968" t="s">
        <v>5004</v>
      </c>
      <c r="R3968" t="s">
        <v>248</v>
      </c>
      <c r="S3968">
        <v>0</v>
      </c>
      <c r="T3968" s="1095">
        <v>0</v>
      </c>
    </row>
    <row r="3969" spans="16:20">
      <c r="P3969" s="1094">
        <v>2629</v>
      </c>
      <c r="Q3969" t="s">
        <v>5005</v>
      </c>
      <c r="R3969" t="s">
        <v>248</v>
      </c>
      <c r="S3969">
        <v>0</v>
      </c>
      <c r="T3969" s="1095">
        <v>0</v>
      </c>
    </row>
    <row r="3970" spans="16:20">
      <c r="P3970" s="1094">
        <v>2629</v>
      </c>
      <c r="Q3970" t="s">
        <v>5006</v>
      </c>
      <c r="R3970" t="s">
        <v>248</v>
      </c>
      <c r="S3970">
        <v>0</v>
      </c>
      <c r="T3970" s="1095">
        <v>0</v>
      </c>
    </row>
    <row r="3971" spans="16:20">
      <c r="P3971" s="1094">
        <v>2630</v>
      </c>
      <c r="Q3971" t="s">
        <v>5007</v>
      </c>
      <c r="R3971" t="s">
        <v>248</v>
      </c>
      <c r="S3971">
        <v>149.129166</v>
      </c>
      <c r="T3971" s="1095">
        <v>-36.177295999999998</v>
      </c>
    </row>
    <row r="3972" spans="16:20">
      <c r="P3972" s="1094">
        <v>2630</v>
      </c>
      <c r="Q3972" t="s">
        <v>5008</v>
      </c>
      <c r="R3972" t="s">
        <v>248</v>
      </c>
      <c r="S3972">
        <v>149.129166</v>
      </c>
      <c r="T3972" s="1095">
        <v>-36.177295999999998</v>
      </c>
    </row>
    <row r="3973" spans="16:20">
      <c r="P3973" s="1094">
        <v>2630</v>
      </c>
      <c r="Q3973" t="s">
        <v>5009</v>
      </c>
      <c r="R3973" t="s">
        <v>248</v>
      </c>
      <c r="S3973">
        <v>149.129166</v>
      </c>
      <c r="T3973" s="1095">
        <v>-36.177295999999998</v>
      </c>
    </row>
    <row r="3974" spans="16:20">
      <c r="P3974" s="1094">
        <v>2630</v>
      </c>
      <c r="Q3974" t="s">
        <v>5010</v>
      </c>
      <c r="R3974" t="s">
        <v>248</v>
      </c>
      <c r="S3974">
        <v>149.129166</v>
      </c>
      <c r="T3974" s="1095">
        <v>-36.177295999999998</v>
      </c>
    </row>
    <row r="3975" spans="16:20">
      <c r="P3975" s="1094">
        <v>2630</v>
      </c>
      <c r="Q3975" t="s">
        <v>5011</v>
      </c>
      <c r="R3975" t="s">
        <v>248</v>
      </c>
      <c r="S3975">
        <v>149.129166</v>
      </c>
      <c r="T3975" s="1095">
        <v>-36.177295999999998</v>
      </c>
    </row>
    <row r="3976" spans="16:20">
      <c r="P3976" s="1094">
        <v>2630</v>
      </c>
      <c r="Q3976" t="s">
        <v>5012</v>
      </c>
      <c r="R3976" t="s">
        <v>248</v>
      </c>
      <c r="S3976">
        <v>149.129166</v>
      </c>
      <c r="T3976" s="1095">
        <v>-36.177295999999998</v>
      </c>
    </row>
    <row r="3977" spans="16:20">
      <c r="P3977" s="1094">
        <v>2630</v>
      </c>
      <c r="Q3977" t="s">
        <v>5013</v>
      </c>
      <c r="R3977" t="s">
        <v>248</v>
      </c>
      <c r="S3977">
        <v>149.129166</v>
      </c>
      <c r="T3977" s="1095">
        <v>-36.177295999999998</v>
      </c>
    </row>
    <row r="3978" spans="16:20">
      <c r="P3978" s="1094">
        <v>2630</v>
      </c>
      <c r="Q3978" t="s">
        <v>5014</v>
      </c>
      <c r="R3978" t="s">
        <v>248</v>
      </c>
      <c r="S3978">
        <v>149.129166</v>
      </c>
      <c r="T3978" s="1095">
        <v>-36.177295999999998</v>
      </c>
    </row>
    <row r="3979" spans="16:20">
      <c r="P3979" s="1094">
        <v>2630</v>
      </c>
      <c r="Q3979" t="s">
        <v>5015</v>
      </c>
      <c r="R3979" t="s">
        <v>248</v>
      </c>
      <c r="S3979">
        <v>149.129166</v>
      </c>
      <c r="T3979" s="1095">
        <v>-36.177295999999998</v>
      </c>
    </row>
    <row r="3980" spans="16:20">
      <c r="P3980" s="1094">
        <v>2630</v>
      </c>
      <c r="Q3980" t="s">
        <v>5016</v>
      </c>
      <c r="R3980" t="s">
        <v>248</v>
      </c>
      <c r="S3980">
        <v>149.129166</v>
      </c>
      <c r="T3980" s="1095">
        <v>-36.177295999999998</v>
      </c>
    </row>
    <row r="3981" spans="16:20">
      <c r="P3981" s="1094">
        <v>2630</v>
      </c>
      <c r="Q3981" t="s">
        <v>5017</v>
      </c>
      <c r="R3981" t="s">
        <v>248</v>
      </c>
      <c r="S3981">
        <v>149.129166</v>
      </c>
      <c r="T3981" s="1095">
        <v>-36.177295999999998</v>
      </c>
    </row>
    <row r="3982" spans="16:20">
      <c r="P3982" s="1094">
        <v>2630</v>
      </c>
      <c r="Q3982" t="s">
        <v>5018</v>
      </c>
      <c r="R3982" t="s">
        <v>248</v>
      </c>
      <c r="S3982">
        <v>149.129166</v>
      </c>
      <c r="T3982" s="1095">
        <v>-36.177295999999998</v>
      </c>
    </row>
    <row r="3983" spans="16:20">
      <c r="P3983" s="1094">
        <v>2630</v>
      </c>
      <c r="Q3983" t="s">
        <v>5019</v>
      </c>
      <c r="R3983" t="s">
        <v>248</v>
      </c>
      <c r="S3983">
        <v>149.129166</v>
      </c>
      <c r="T3983" s="1095">
        <v>-36.177295999999998</v>
      </c>
    </row>
    <row r="3984" spans="16:20">
      <c r="P3984" s="1094">
        <v>2630</v>
      </c>
      <c r="Q3984" t="s">
        <v>5020</v>
      </c>
      <c r="R3984" t="s">
        <v>248</v>
      </c>
      <c r="S3984">
        <v>149.129166</v>
      </c>
      <c r="T3984" s="1095">
        <v>-36.177295999999998</v>
      </c>
    </row>
    <row r="3985" spans="16:20">
      <c r="P3985" s="1094">
        <v>2630</v>
      </c>
      <c r="Q3985" t="s">
        <v>5021</v>
      </c>
      <c r="R3985" t="s">
        <v>248</v>
      </c>
      <c r="S3985">
        <v>149.129166</v>
      </c>
      <c r="T3985" s="1095">
        <v>-36.177295999999998</v>
      </c>
    </row>
    <row r="3986" spans="16:20">
      <c r="P3986" s="1094">
        <v>2630</v>
      </c>
      <c r="Q3986" t="s">
        <v>5022</v>
      </c>
      <c r="R3986" t="s">
        <v>248</v>
      </c>
      <c r="S3986">
        <v>149.129166</v>
      </c>
      <c r="T3986" s="1095">
        <v>-36.177295999999998</v>
      </c>
    </row>
    <row r="3987" spans="16:20">
      <c r="P3987" s="1094">
        <v>2630</v>
      </c>
      <c r="Q3987" t="s">
        <v>5023</v>
      </c>
      <c r="R3987" t="s">
        <v>248</v>
      </c>
      <c r="S3987">
        <v>149.129166</v>
      </c>
      <c r="T3987" s="1095">
        <v>-36.177295999999998</v>
      </c>
    </row>
    <row r="3988" spans="16:20">
      <c r="P3988" s="1094">
        <v>2630</v>
      </c>
      <c r="Q3988" t="s">
        <v>5024</v>
      </c>
      <c r="R3988" t="s">
        <v>248</v>
      </c>
      <c r="S3988">
        <v>149.129166</v>
      </c>
      <c r="T3988" s="1095">
        <v>-36.177295999999998</v>
      </c>
    </row>
    <row r="3989" spans="16:20">
      <c r="P3989" s="1094">
        <v>2630</v>
      </c>
      <c r="Q3989" t="s">
        <v>5025</v>
      </c>
      <c r="R3989" t="s">
        <v>248</v>
      </c>
      <c r="S3989">
        <v>149.129166</v>
      </c>
      <c r="T3989" s="1095">
        <v>-36.177295999999998</v>
      </c>
    </row>
    <row r="3990" spans="16:20">
      <c r="P3990" s="1094">
        <v>2630</v>
      </c>
      <c r="Q3990" t="s">
        <v>5026</v>
      </c>
      <c r="R3990" t="s">
        <v>248</v>
      </c>
      <c r="S3990">
        <v>149.129166</v>
      </c>
      <c r="T3990" s="1095">
        <v>-36.177295999999998</v>
      </c>
    </row>
    <row r="3991" spans="16:20">
      <c r="P3991" s="1094">
        <v>2630</v>
      </c>
      <c r="Q3991" t="s">
        <v>5027</v>
      </c>
      <c r="R3991" t="s">
        <v>248</v>
      </c>
      <c r="S3991">
        <v>149.129166</v>
      </c>
      <c r="T3991" s="1095">
        <v>-36.177295999999998</v>
      </c>
    </row>
    <row r="3992" spans="16:20">
      <c r="P3992" s="1094">
        <v>2630</v>
      </c>
      <c r="Q3992" t="s">
        <v>5028</v>
      </c>
      <c r="R3992" t="s">
        <v>248</v>
      </c>
      <c r="S3992">
        <v>149.129166</v>
      </c>
      <c r="T3992" s="1095">
        <v>-36.177295999999998</v>
      </c>
    </row>
    <row r="3993" spans="16:20">
      <c r="P3993" s="1094">
        <v>2630</v>
      </c>
      <c r="Q3993" t="s">
        <v>5029</v>
      </c>
      <c r="R3993" t="s">
        <v>248</v>
      </c>
      <c r="S3993">
        <v>149.129166</v>
      </c>
      <c r="T3993" s="1095">
        <v>-36.177295999999998</v>
      </c>
    </row>
    <row r="3994" spans="16:20">
      <c r="P3994" s="1094">
        <v>2630</v>
      </c>
      <c r="Q3994" t="s">
        <v>5030</v>
      </c>
      <c r="R3994" t="s">
        <v>248</v>
      </c>
      <c r="S3994">
        <v>149.129166</v>
      </c>
      <c r="T3994" s="1095">
        <v>-36.177295999999998</v>
      </c>
    </row>
    <row r="3995" spans="16:20">
      <c r="P3995" s="1094">
        <v>2630</v>
      </c>
      <c r="Q3995" t="s">
        <v>3031</v>
      </c>
      <c r="R3995" t="s">
        <v>248</v>
      </c>
      <c r="S3995">
        <v>149.129166</v>
      </c>
      <c r="T3995" s="1095">
        <v>-36.177295999999998</v>
      </c>
    </row>
    <row r="3996" spans="16:20">
      <c r="P3996" s="1094">
        <v>2630</v>
      </c>
      <c r="Q3996" t="s">
        <v>5031</v>
      </c>
      <c r="R3996" t="s">
        <v>248</v>
      </c>
      <c r="S3996">
        <v>149.129166</v>
      </c>
      <c r="T3996" s="1095">
        <v>-36.177295999999998</v>
      </c>
    </row>
    <row r="3997" spans="16:20">
      <c r="P3997" s="1094">
        <v>2630</v>
      </c>
      <c r="Q3997" t="s">
        <v>5032</v>
      </c>
      <c r="R3997" t="s">
        <v>248</v>
      </c>
      <c r="S3997">
        <v>149.129166</v>
      </c>
      <c r="T3997" s="1095">
        <v>-36.177295999999998</v>
      </c>
    </row>
    <row r="3998" spans="16:20">
      <c r="P3998" s="1094">
        <v>2630</v>
      </c>
      <c r="Q3998" t="s">
        <v>5033</v>
      </c>
      <c r="R3998" t="s">
        <v>248</v>
      </c>
      <c r="S3998">
        <v>149.129166</v>
      </c>
      <c r="T3998" s="1095">
        <v>-36.177295999999998</v>
      </c>
    </row>
    <row r="3999" spans="16:20">
      <c r="P3999" s="1094">
        <v>2630</v>
      </c>
      <c r="Q3999" t="s">
        <v>5034</v>
      </c>
      <c r="R3999" t="s">
        <v>248</v>
      </c>
      <c r="S3999">
        <v>149.129166</v>
      </c>
      <c r="T3999" s="1095">
        <v>-36.177295999999998</v>
      </c>
    </row>
    <row r="4000" spans="16:20">
      <c r="P4000" s="1094">
        <v>2630</v>
      </c>
      <c r="Q4000" t="s">
        <v>5035</v>
      </c>
      <c r="R4000" t="s">
        <v>248</v>
      </c>
      <c r="S4000">
        <v>149.129166</v>
      </c>
      <c r="T4000" s="1095">
        <v>-36.177295999999998</v>
      </c>
    </row>
    <row r="4001" spans="16:20">
      <c r="P4001" s="1094">
        <v>2630</v>
      </c>
      <c r="Q4001" t="s">
        <v>5036</v>
      </c>
      <c r="R4001" t="s">
        <v>248</v>
      </c>
      <c r="S4001">
        <v>149.129166</v>
      </c>
      <c r="T4001" s="1095">
        <v>-36.177295999999998</v>
      </c>
    </row>
    <row r="4002" spans="16:20">
      <c r="P4002" s="1094">
        <v>2630</v>
      </c>
      <c r="Q4002" t="s">
        <v>5037</v>
      </c>
      <c r="R4002" t="s">
        <v>248</v>
      </c>
      <c r="S4002">
        <v>149.129166</v>
      </c>
      <c r="T4002" s="1095">
        <v>-36.177295999999998</v>
      </c>
    </row>
    <row r="4003" spans="16:20">
      <c r="P4003" s="1094">
        <v>2630</v>
      </c>
      <c r="Q4003" t="s">
        <v>5038</v>
      </c>
      <c r="R4003" t="s">
        <v>248</v>
      </c>
      <c r="S4003">
        <v>149.129166</v>
      </c>
      <c r="T4003" s="1095">
        <v>-36.177295999999998</v>
      </c>
    </row>
    <row r="4004" spans="16:20">
      <c r="P4004" s="1094">
        <v>2630</v>
      </c>
      <c r="Q4004" t="s">
        <v>5039</v>
      </c>
      <c r="R4004" t="s">
        <v>248</v>
      </c>
      <c r="S4004">
        <v>149.129166</v>
      </c>
      <c r="T4004" s="1095">
        <v>-36.177295999999998</v>
      </c>
    </row>
    <row r="4005" spans="16:20">
      <c r="P4005" s="1094">
        <v>2630</v>
      </c>
      <c r="Q4005" t="s">
        <v>5040</v>
      </c>
      <c r="R4005" t="s">
        <v>248</v>
      </c>
      <c r="S4005">
        <v>149.129166</v>
      </c>
      <c r="T4005" s="1095">
        <v>-36.177295999999998</v>
      </c>
    </row>
    <row r="4006" spans="16:20">
      <c r="P4006" s="1094">
        <v>2630</v>
      </c>
      <c r="Q4006" t="s">
        <v>5041</v>
      </c>
      <c r="R4006" t="s">
        <v>248</v>
      </c>
      <c r="S4006">
        <v>149.129166</v>
      </c>
      <c r="T4006" s="1095">
        <v>-36.177295999999998</v>
      </c>
    </row>
    <row r="4007" spans="16:20">
      <c r="P4007" s="1094">
        <v>2630</v>
      </c>
      <c r="Q4007" t="s">
        <v>5042</v>
      </c>
      <c r="R4007" t="s">
        <v>248</v>
      </c>
      <c r="S4007">
        <v>149.129166</v>
      </c>
      <c r="T4007" s="1095">
        <v>-36.177295999999998</v>
      </c>
    </row>
    <row r="4008" spans="16:20">
      <c r="P4008" s="1094">
        <v>2630</v>
      </c>
      <c r="Q4008" t="s">
        <v>4261</v>
      </c>
      <c r="R4008" t="s">
        <v>248</v>
      </c>
      <c r="S4008">
        <v>149.129166</v>
      </c>
      <c r="T4008" s="1095">
        <v>-36.177295999999998</v>
      </c>
    </row>
    <row r="4009" spans="16:20">
      <c r="P4009" s="1094">
        <v>2630</v>
      </c>
      <c r="Q4009" t="s">
        <v>5043</v>
      </c>
      <c r="R4009" t="s">
        <v>248</v>
      </c>
      <c r="S4009">
        <v>149.129166</v>
      </c>
      <c r="T4009" s="1095">
        <v>-36.177295999999998</v>
      </c>
    </row>
    <row r="4010" spans="16:20">
      <c r="P4010" s="1094">
        <v>2630</v>
      </c>
      <c r="Q4010" t="s">
        <v>5044</v>
      </c>
      <c r="R4010" t="s">
        <v>248</v>
      </c>
      <c r="S4010">
        <v>149.129166</v>
      </c>
      <c r="T4010" s="1095">
        <v>-36.177295999999998</v>
      </c>
    </row>
    <row r="4011" spans="16:20">
      <c r="P4011" s="1094">
        <v>2630</v>
      </c>
      <c r="Q4011" t="s">
        <v>5045</v>
      </c>
      <c r="R4011" t="s">
        <v>248</v>
      </c>
      <c r="S4011">
        <v>149.129166</v>
      </c>
      <c r="T4011" s="1095">
        <v>-36.177295999999998</v>
      </c>
    </row>
    <row r="4012" spans="16:20">
      <c r="P4012" s="1094">
        <v>2630</v>
      </c>
      <c r="Q4012" t="s">
        <v>5046</v>
      </c>
      <c r="R4012" t="s">
        <v>248</v>
      </c>
      <c r="S4012">
        <v>149.129166</v>
      </c>
      <c r="T4012" s="1095">
        <v>-36.177295999999998</v>
      </c>
    </row>
    <row r="4013" spans="16:20">
      <c r="P4013" s="1094">
        <v>2631</v>
      </c>
      <c r="Q4013" t="s">
        <v>5047</v>
      </c>
      <c r="R4013" t="s">
        <v>248</v>
      </c>
      <c r="S4013">
        <v>149.30672899999999</v>
      </c>
      <c r="T4013" s="1095">
        <v>-36.529386000000002</v>
      </c>
    </row>
    <row r="4014" spans="16:20">
      <c r="P4014" s="1094">
        <v>2631</v>
      </c>
      <c r="Q4014" t="s">
        <v>5048</v>
      </c>
      <c r="R4014" t="s">
        <v>248</v>
      </c>
      <c r="S4014">
        <v>149.30672899999999</v>
      </c>
      <c r="T4014" s="1095">
        <v>-36.529386000000002</v>
      </c>
    </row>
    <row r="4015" spans="16:20">
      <c r="P4015" s="1094">
        <v>2631</v>
      </c>
      <c r="Q4015" t="s">
        <v>5049</v>
      </c>
      <c r="R4015" t="s">
        <v>248</v>
      </c>
      <c r="S4015">
        <v>149.30672899999999</v>
      </c>
      <c r="T4015" s="1095">
        <v>-36.529386000000002</v>
      </c>
    </row>
    <row r="4016" spans="16:20">
      <c r="P4016" s="1094">
        <v>2631</v>
      </c>
      <c r="Q4016" t="s">
        <v>5050</v>
      </c>
      <c r="R4016" t="s">
        <v>248</v>
      </c>
      <c r="S4016">
        <v>149.30672899999999</v>
      </c>
      <c r="T4016" s="1095">
        <v>-36.529386000000002</v>
      </c>
    </row>
    <row r="4017" spans="16:20">
      <c r="P4017" s="1094">
        <v>2631</v>
      </c>
      <c r="Q4017" t="s">
        <v>2756</v>
      </c>
      <c r="R4017" t="s">
        <v>248</v>
      </c>
      <c r="S4017">
        <v>149.30672899999999</v>
      </c>
      <c r="T4017" s="1095">
        <v>-36.529386000000002</v>
      </c>
    </row>
    <row r="4018" spans="16:20">
      <c r="P4018" s="1094">
        <v>2631</v>
      </c>
      <c r="Q4018" t="s">
        <v>5051</v>
      </c>
      <c r="R4018" t="s">
        <v>248</v>
      </c>
      <c r="S4018">
        <v>149.30672899999999</v>
      </c>
      <c r="T4018" s="1095">
        <v>-36.529386000000002</v>
      </c>
    </row>
    <row r="4019" spans="16:20">
      <c r="P4019" s="1094">
        <v>2631</v>
      </c>
      <c r="Q4019" t="s">
        <v>5052</v>
      </c>
      <c r="R4019" t="s">
        <v>248</v>
      </c>
      <c r="S4019">
        <v>149.30672899999999</v>
      </c>
      <c r="T4019" s="1095">
        <v>-36.529386000000002</v>
      </c>
    </row>
    <row r="4020" spans="16:20">
      <c r="P4020" s="1094">
        <v>2631</v>
      </c>
      <c r="Q4020" t="s">
        <v>5053</v>
      </c>
      <c r="R4020" t="s">
        <v>248</v>
      </c>
      <c r="S4020">
        <v>149.30672899999999</v>
      </c>
      <c r="T4020" s="1095">
        <v>-36.529386000000002</v>
      </c>
    </row>
    <row r="4021" spans="16:20">
      <c r="P4021" s="1094">
        <v>2631</v>
      </c>
      <c r="Q4021" t="s">
        <v>5054</v>
      </c>
      <c r="R4021" t="s">
        <v>248</v>
      </c>
      <c r="S4021">
        <v>149.30672899999999</v>
      </c>
      <c r="T4021" s="1095">
        <v>-36.529386000000002</v>
      </c>
    </row>
    <row r="4022" spans="16:20">
      <c r="P4022" s="1094">
        <v>2631</v>
      </c>
      <c r="Q4022" t="s">
        <v>5055</v>
      </c>
      <c r="R4022" t="s">
        <v>248</v>
      </c>
      <c r="S4022">
        <v>149.30672899999999</v>
      </c>
      <c r="T4022" s="1095">
        <v>-36.529386000000002</v>
      </c>
    </row>
    <row r="4023" spans="16:20">
      <c r="P4023" s="1094">
        <v>2631</v>
      </c>
      <c r="Q4023" t="s">
        <v>5056</v>
      </c>
      <c r="R4023" t="s">
        <v>248</v>
      </c>
      <c r="S4023">
        <v>149.30672899999999</v>
      </c>
      <c r="T4023" s="1095">
        <v>-36.529386000000002</v>
      </c>
    </row>
    <row r="4024" spans="16:20">
      <c r="P4024" s="1094">
        <v>2631</v>
      </c>
      <c r="Q4024" t="s">
        <v>5057</v>
      </c>
      <c r="R4024" t="s">
        <v>248</v>
      </c>
      <c r="S4024">
        <v>149.30672899999999</v>
      </c>
      <c r="T4024" s="1095">
        <v>-36.529386000000002</v>
      </c>
    </row>
    <row r="4025" spans="16:20">
      <c r="P4025" s="1094">
        <v>2632</v>
      </c>
      <c r="Q4025" t="s">
        <v>5058</v>
      </c>
      <c r="R4025" t="s">
        <v>248</v>
      </c>
      <c r="S4025">
        <v>149.22045299999999</v>
      </c>
      <c r="T4025" s="1095">
        <v>-37.020122000000001</v>
      </c>
    </row>
    <row r="4026" spans="16:20">
      <c r="P4026" s="1094">
        <v>2632</v>
      </c>
      <c r="Q4026" t="s">
        <v>5059</v>
      </c>
      <c r="R4026" t="s">
        <v>248</v>
      </c>
      <c r="S4026">
        <v>149.22045299999999</v>
      </c>
      <c r="T4026" s="1095">
        <v>-37.020122000000001</v>
      </c>
    </row>
    <row r="4027" spans="16:20">
      <c r="P4027" s="1094">
        <v>2632</v>
      </c>
      <c r="Q4027" t="s">
        <v>5060</v>
      </c>
      <c r="R4027" t="s">
        <v>248</v>
      </c>
      <c r="S4027">
        <v>149.22045299999999</v>
      </c>
      <c r="T4027" s="1095">
        <v>-37.020122000000001</v>
      </c>
    </row>
    <row r="4028" spans="16:20">
      <c r="P4028" s="1094">
        <v>2632</v>
      </c>
      <c r="Q4028" t="s">
        <v>5061</v>
      </c>
      <c r="R4028" t="s">
        <v>248</v>
      </c>
      <c r="S4028">
        <v>149.22045299999999</v>
      </c>
      <c r="T4028" s="1095">
        <v>-37.020122000000001</v>
      </c>
    </row>
    <row r="4029" spans="16:20">
      <c r="P4029" s="1094">
        <v>2632</v>
      </c>
      <c r="Q4029" t="s">
        <v>5062</v>
      </c>
      <c r="R4029" t="s">
        <v>248</v>
      </c>
      <c r="S4029">
        <v>149.22045299999999</v>
      </c>
      <c r="T4029" s="1095">
        <v>-37.020122000000001</v>
      </c>
    </row>
    <row r="4030" spans="16:20">
      <c r="P4030" s="1094">
        <v>2632</v>
      </c>
      <c r="Q4030" t="s">
        <v>5063</v>
      </c>
      <c r="R4030" t="s">
        <v>248</v>
      </c>
      <c r="S4030">
        <v>149.22045299999999</v>
      </c>
      <c r="T4030" s="1095">
        <v>-37.020122000000001</v>
      </c>
    </row>
    <row r="4031" spans="16:20">
      <c r="P4031" s="1094">
        <v>2632</v>
      </c>
      <c r="Q4031" t="s">
        <v>5064</v>
      </c>
      <c r="R4031" t="s">
        <v>248</v>
      </c>
      <c r="S4031">
        <v>149.22045299999999</v>
      </c>
      <c r="T4031" s="1095">
        <v>-37.020122000000001</v>
      </c>
    </row>
    <row r="4032" spans="16:20">
      <c r="P4032" s="1094">
        <v>2632</v>
      </c>
      <c r="Q4032" t="s">
        <v>5065</v>
      </c>
      <c r="R4032" t="s">
        <v>248</v>
      </c>
      <c r="S4032">
        <v>149.22045299999999</v>
      </c>
      <c r="T4032" s="1095">
        <v>-37.020122000000001</v>
      </c>
    </row>
    <row r="4033" spans="16:20">
      <c r="P4033" s="1094">
        <v>2632</v>
      </c>
      <c r="Q4033" t="s">
        <v>5066</v>
      </c>
      <c r="R4033" t="s">
        <v>248</v>
      </c>
      <c r="S4033">
        <v>149.22045299999999</v>
      </c>
      <c r="T4033" s="1095">
        <v>-37.020122000000001</v>
      </c>
    </row>
    <row r="4034" spans="16:20">
      <c r="P4034" s="1094">
        <v>2632</v>
      </c>
      <c r="Q4034" t="s">
        <v>5067</v>
      </c>
      <c r="R4034" t="s">
        <v>248</v>
      </c>
      <c r="S4034">
        <v>149.22045299999999</v>
      </c>
      <c r="T4034" s="1095">
        <v>-37.020122000000001</v>
      </c>
    </row>
    <row r="4035" spans="16:20">
      <c r="P4035" s="1094">
        <v>2632</v>
      </c>
      <c r="Q4035" t="s">
        <v>5068</v>
      </c>
      <c r="R4035" t="s">
        <v>248</v>
      </c>
      <c r="S4035">
        <v>149.22045299999999</v>
      </c>
      <c r="T4035" s="1095">
        <v>-37.020122000000001</v>
      </c>
    </row>
    <row r="4036" spans="16:20">
      <c r="P4036" s="1094">
        <v>2632</v>
      </c>
      <c r="Q4036" t="s">
        <v>5069</v>
      </c>
      <c r="R4036" t="s">
        <v>248</v>
      </c>
      <c r="S4036">
        <v>149.22045299999999</v>
      </c>
      <c r="T4036" s="1095">
        <v>-37.020122000000001</v>
      </c>
    </row>
    <row r="4037" spans="16:20">
      <c r="P4037" s="1094">
        <v>2632</v>
      </c>
      <c r="Q4037" t="s">
        <v>5070</v>
      </c>
      <c r="R4037" t="s">
        <v>248</v>
      </c>
      <c r="S4037">
        <v>149.22045299999999</v>
      </c>
      <c r="T4037" s="1095">
        <v>-37.020122000000001</v>
      </c>
    </row>
    <row r="4038" spans="16:20">
      <c r="P4038" s="1094">
        <v>2632</v>
      </c>
      <c r="Q4038" t="s">
        <v>5071</v>
      </c>
      <c r="R4038" t="s">
        <v>248</v>
      </c>
      <c r="S4038">
        <v>149.22045299999999</v>
      </c>
      <c r="T4038" s="1095">
        <v>-37.020122000000001</v>
      </c>
    </row>
    <row r="4039" spans="16:20">
      <c r="P4039" s="1094">
        <v>2632</v>
      </c>
      <c r="Q4039" t="s">
        <v>3839</v>
      </c>
      <c r="R4039" t="s">
        <v>248</v>
      </c>
      <c r="S4039">
        <v>149.22045299999999</v>
      </c>
      <c r="T4039" s="1095">
        <v>-37.020122000000001</v>
      </c>
    </row>
    <row r="4040" spans="16:20">
      <c r="P4040" s="1094">
        <v>2632</v>
      </c>
      <c r="Q4040" t="s">
        <v>5072</v>
      </c>
      <c r="R4040" t="s">
        <v>248</v>
      </c>
      <c r="S4040">
        <v>149.22045299999999</v>
      </c>
      <c r="T4040" s="1095">
        <v>-37.020122000000001</v>
      </c>
    </row>
    <row r="4041" spans="16:20">
      <c r="P4041" s="1094">
        <v>2632</v>
      </c>
      <c r="Q4041" t="s">
        <v>5073</v>
      </c>
      <c r="R4041" t="s">
        <v>248</v>
      </c>
      <c r="S4041">
        <v>149.22045299999999</v>
      </c>
      <c r="T4041" s="1095">
        <v>-37.020122000000001</v>
      </c>
    </row>
    <row r="4042" spans="16:20">
      <c r="P4042" s="1094">
        <v>2632</v>
      </c>
      <c r="Q4042" t="s">
        <v>5074</v>
      </c>
      <c r="R4042" t="s">
        <v>248</v>
      </c>
      <c r="S4042">
        <v>149.22045299999999</v>
      </c>
      <c r="T4042" s="1095">
        <v>-37.020122000000001</v>
      </c>
    </row>
    <row r="4043" spans="16:20">
      <c r="P4043" s="1094">
        <v>2632</v>
      </c>
      <c r="Q4043" t="s">
        <v>5075</v>
      </c>
      <c r="R4043" t="s">
        <v>248</v>
      </c>
      <c r="S4043">
        <v>149.22045299999999</v>
      </c>
      <c r="T4043" s="1095">
        <v>-37.020122000000001</v>
      </c>
    </row>
    <row r="4044" spans="16:20">
      <c r="P4044" s="1094">
        <v>2633</v>
      </c>
      <c r="Q4044" t="s">
        <v>5076</v>
      </c>
      <c r="R4044" t="s">
        <v>248</v>
      </c>
      <c r="S4044">
        <v>148.70156399999999</v>
      </c>
      <c r="T4044" s="1095">
        <v>-36.865206000000001</v>
      </c>
    </row>
    <row r="4045" spans="16:20">
      <c r="P4045" s="1094">
        <v>2633</v>
      </c>
      <c r="Q4045" t="s">
        <v>5077</v>
      </c>
      <c r="R4045" t="s">
        <v>248</v>
      </c>
      <c r="S4045">
        <v>148.70156399999999</v>
      </c>
      <c r="T4045" s="1095">
        <v>-36.865206000000001</v>
      </c>
    </row>
    <row r="4046" spans="16:20">
      <c r="P4046" s="1094">
        <v>2633</v>
      </c>
      <c r="Q4046" t="s">
        <v>5078</v>
      </c>
      <c r="R4046" t="s">
        <v>248</v>
      </c>
      <c r="S4046">
        <v>148.70156399999999</v>
      </c>
      <c r="T4046" s="1095">
        <v>-36.865206000000001</v>
      </c>
    </row>
    <row r="4047" spans="16:20">
      <c r="P4047" s="1094">
        <v>2640</v>
      </c>
      <c r="Q4047" t="s">
        <v>5079</v>
      </c>
      <c r="R4047" t="s">
        <v>248</v>
      </c>
      <c r="S4047">
        <v>147.02654899999999</v>
      </c>
      <c r="T4047" s="1095">
        <v>-36.016196000000001</v>
      </c>
    </row>
    <row r="4048" spans="16:20">
      <c r="P4048" s="1094">
        <v>2640</v>
      </c>
      <c r="Q4048" t="s">
        <v>5080</v>
      </c>
      <c r="R4048" t="s">
        <v>248</v>
      </c>
      <c r="S4048">
        <v>147.02654899999999</v>
      </c>
      <c r="T4048" s="1095">
        <v>-36.016196000000001</v>
      </c>
    </row>
    <row r="4049" spans="16:20">
      <c r="P4049" s="1094">
        <v>2640</v>
      </c>
      <c r="Q4049" t="s">
        <v>5081</v>
      </c>
      <c r="R4049" t="s">
        <v>248</v>
      </c>
      <c r="S4049">
        <v>147.02654899999999</v>
      </c>
      <c r="T4049" s="1095">
        <v>-36.016196000000001</v>
      </c>
    </row>
    <row r="4050" spans="16:20">
      <c r="P4050" s="1094">
        <v>2640</v>
      </c>
      <c r="Q4050" t="s">
        <v>5082</v>
      </c>
      <c r="R4050" t="s">
        <v>248</v>
      </c>
      <c r="S4050">
        <v>147.02654899999999</v>
      </c>
      <c r="T4050" s="1095">
        <v>-36.016196000000001</v>
      </c>
    </row>
    <row r="4051" spans="16:20">
      <c r="P4051" s="1094">
        <v>2640</v>
      </c>
      <c r="Q4051" t="s">
        <v>5083</v>
      </c>
      <c r="R4051" t="s">
        <v>248</v>
      </c>
      <c r="S4051">
        <v>147.02654899999999</v>
      </c>
      <c r="T4051" s="1095">
        <v>-36.016196000000001</v>
      </c>
    </row>
    <row r="4052" spans="16:20">
      <c r="P4052" s="1094">
        <v>2640</v>
      </c>
      <c r="Q4052" t="s">
        <v>5084</v>
      </c>
      <c r="R4052" t="s">
        <v>248</v>
      </c>
      <c r="S4052">
        <v>147.02654899999999</v>
      </c>
      <c r="T4052" s="1095">
        <v>-36.016196000000001</v>
      </c>
    </row>
    <row r="4053" spans="16:20">
      <c r="P4053" s="1094">
        <v>2640</v>
      </c>
      <c r="Q4053" t="s">
        <v>5085</v>
      </c>
      <c r="R4053" t="s">
        <v>248</v>
      </c>
      <c r="S4053">
        <v>147.02654899999999</v>
      </c>
      <c r="T4053" s="1095">
        <v>-36.016196000000001</v>
      </c>
    </row>
    <row r="4054" spans="16:20">
      <c r="P4054" s="1094">
        <v>2640</v>
      </c>
      <c r="Q4054" t="s">
        <v>5086</v>
      </c>
      <c r="R4054" t="s">
        <v>248</v>
      </c>
      <c r="S4054">
        <v>147.02654899999999</v>
      </c>
      <c r="T4054" s="1095">
        <v>-36.016196000000001</v>
      </c>
    </row>
    <row r="4055" spans="16:20">
      <c r="P4055" s="1094">
        <v>2640</v>
      </c>
      <c r="Q4055" t="s">
        <v>5087</v>
      </c>
      <c r="R4055" t="s">
        <v>248</v>
      </c>
      <c r="S4055">
        <v>147.02654899999999</v>
      </c>
      <c r="T4055" s="1095">
        <v>-36.016196000000001</v>
      </c>
    </row>
    <row r="4056" spans="16:20">
      <c r="P4056" s="1094">
        <v>2640</v>
      </c>
      <c r="Q4056" t="s">
        <v>5088</v>
      </c>
      <c r="R4056" t="s">
        <v>248</v>
      </c>
      <c r="S4056">
        <v>147.02654899999999</v>
      </c>
      <c r="T4056" s="1095">
        <v>-36.016196000000001</v>
      </c>
    </row>
    <row r="4057" spans="16:20">
      <c r="P4057" s="1094">
        <v>2640</v>
      </c>
      <c r="Q4057" t="s">
        <v>5089</v>
      </c>
      <c r="R4057" t="s">
        <v>248</v>
      </c>
      <c r="S4057">
        <v>147.02654899999999</v>
      </c>
      <c r="T4057" s="1095">
        <v>-36.016196000000001</v>
      </c>
    </row>
    <row r="4058" spans="16:20">
      <c r="P4058" s="1094">
        <v>2640</v>
      </c>
      <c r="Q4058" t="s">
        <v>5090</v>
      </c>
      <c r="R4058" t="s">
        <v>248</v>
      </c>
      <c r="S4058">
        <v>147.02654899999999</v>
      </c>
      <c r="T4058" s="1095">
        <v>-36.016196000000001</v>
      </c>
    </row>
    <row r="4059" spans="16:20">
      <c r="P4059" s="1094">
        <v>2640</v>
      </c>
      <c r="Q4059" t="s">
        <v>5091</v>
      </c>
      <c r="R4059" t="s">
        <v>248</v>
      </c>
      <c r="S4059">
        <v>147.02654899999999</v>
      </c>
      <c r="T4059" s="1095">
        <v>-36.016196000000001</v>
      </c>
    </row>
    <row r="4060" spans="16:20">
      <c r="P4060" s="1094">
        <v>2640</v>
      </c>
      <c r="Q4060" t="s">
        <v>5092</v>
      </c>
      <c r="R4060" t="s">
        <v>248</v>
      </c>
      <c r="S4060">
        <v>147.02654899999999</v>
      </c>
      <c r="T4060" s="1095">
        <v>-36.016196000000001</v>
      </c>
    </row>
    <row r="4061" spans="16:20">
      <c r="P4061" s="1094">
        <v>2640</v>
      </c>
      <c r="Q4061" t="s">
        <v>5093</v>
      </c>
      <c r="R4061" t="s">
        <v>248</v>
      </c>
      <c r="S4061">
        <v>147.02654899999999</v>
      </c>
      <c r="T4061" s="1095">
        <v>-36.016196000000001</v>
      </c>
    </row>
    <row r="4062" spans="16:20">
      <c r="P4062" s="1094">
        <v>2640</v>
      </c>
      <c r="Q4062" t="s">
        <v>5094</v>
      </c>
      <c r="R4062" t="s">
        <v>248</v>
      </c>
      <c r="S4062">
        <v>147.02654899999999</v>
      </c>
      <c r="T4062" s="1095">
        <v>-36.016196000000001</v>
      </c>
    </row>
    <row r="4063" spans="16:20">
      <c r="P4063" s="1094">
        <v>2640</v>
      </c>
      <c r="Q4063" t="s">
        <v>5095</v>
      </c>
      <c r="R4063" t="s">
        <v>248</v>
      </c>
      <c r="S4063">
        <v>147.02654899999999</v>
      </c>
      <c r="T4063" s="1095">
        <v>-36.016196000000001</v>
      </c>
    </row>
    <row r="4064" spans="16:20">
      <c r="P4064" s="1094">
        <v>2641</v>
      </c>
      <c r="Q4064" t="s">
        <v>5096</v>
      </c>
      <c r="R4064" t="s">
        <v>248</v>
      </c>
      <c r="S4064">
        <v>146.93043599999999</v>
      </c>
      <c r="T4064" s="1095">
        <v>-36.038654999999999</v>
      </c>
    </row>
    <row r="4065" spans="16:20">
      <c r="P4065" s="1094">
        <v>2641</v>
      </c>
      <c r="Q4065" t="s">
        <v>5097</v>
      </c>
      <c r="R4065" t="s">
        <v>248</v>
      </c>
      <c r="S4065">
        <v>146.93043599999999</v>
      </c>
      <c r="T4065" s="1095">
        <v>-36.038654999999999</v>
      </c>
    </row>
    <row r="4066" spans="16:20">
      <c r="P4066" s="1094">
        <v>2641</v>
      </c>
      <c r="Q4066" t="s">
        <v>5098</v>
      </c>
      <c r="R4066" t="s">
        <v>248</v>
      </c>
      <c r="S4066">
        <v>146.93043599999999</v>
      </c>
      <c r="T4066" s="1095">
        <v>-36.038654999999999</v>
      </c>
    </row>
    <row r="4067" spans="16:20">
      <c r="P4067" s="1094">
        <v>2642</v>
      </c>
      <c r="Q4067" t="s">
        <v>5099</v>
      </c>
      <c r="R4067" t="s">
        <v>248</v>
      </c>
      <c r="S4067">
        <v>148.094043</v>
      </c>
      <c r="T4067" s="1095">
        <v>-36.044097000000001</v>
      </c>
    </row>
    <row r="4068" spans="16:20">
      <c r="P4068" s="1094">
        <v>2642</v>
      </c>
      <c r="Q4068" t="s">
        <v>5100</v>
      </c>
      <c r="R4068" t="s">
        <v>248</v>
      </c>
      <c r="S4068">
        <v>148.094043</v>
      </c>
      <c r="T4068" s="1095">
        <v>-36.044097000000001</v>
      </c>
    </row>
    <row r="4069" spans="16:20">
      <c r="P4069" s="1094">
        <v>2642</v>
      </c>
      <c r="Q4069" t="s">
        <v>5101</v>
      </c>
      <c r="R4069" t="s">
        <v>248</v>
      </c>
      <c r="S4069">
        <v>148.094043</v>
      </c>
      <c r="T4069" s="1095">
        <v>-36.044097000000001</v>
      </c>
    </row>
    <row r="4070" spans="16:20">
      <c r="P4070" s="1094">
        <v>2642</v>
      </c>
      <c r="Q4070" t="s">
        <v>5102</v>
      </c>
      <c r="R4070" t="s">
        <v>248</v>
      </c>
      <c r="S4070">
        <v>148.094043</v>
      </c>
      <c r="T4070" s="1095">
        <v>-36.044097000000001</v>
      </c>
    </row>
    <row r="4071" spans="16:20">
      <c r="P4071" s="1094">
        <v>2642</v>
      </c>
      <c r="Q4071" t="s">
        <v>5103</v>
      </c>
      <c r="R4071" t="s">
        <v>248</v>
      </c>
      <c r="S4071">
        <v>148.094043</v>
      </c>
      <c r="T4071" s="1095">
        <v>-36.044097000000001</v>
      </c>
    </row>
    <row r="4072" spans="16:20">
      <c r="P4072" s="1094">
        <v>2642</v>
      </c>
      <c r="Q4072" t="s">
        <v>5104</v>
      </c>
      <c r="R4072" t="s">
        <v>248</v>
      </c>
      <c r="S4072">
        <v>148.094043</v>
      </c>
      <c r="T4072" s="1095">
        <v>-36.044097000000001</v>
      </c>
    </row>
    <row r="4073" spans="16:20">
      <c r="P4073" s="1094">
        <v>2642</v>
      </c>
      <c r="Q4073" t="s">
        <v>5105</v>
      </c>
      <c r="R4073" t="s">
        <v>248</v>
      </c>
      <c r="S4073">
        <v>148.094043</v>
      </c>
      <c r="T4073" s="1095">
        <v>-36.044097000000001</v>
      </c>
    </row>
    <row r="4074" spans="16:20">
      <c r="P4074" s="1094">
        <v>2642</v>
      </c>
      <c r="Q4074" t="s">
        <v>5106</v>
      </c>
      <c r="R4074" t="s">
        <v>248</v>
      </c>
      <c r="S4074">
        <v>148.094043</v>
      </c>
      <c r="T4074" s="1095">
        <v>-36.044097000000001</v>
      </c>
    </row>
    <row r="4075" spans="16:20">
      <c r="P4075" s="1094">
        <v>2642</v>
      </c>
      <c r="Q4075" t="s">
        <v>5107</v>
      </c>
      <c r="R4075" t="s">
        <v>248</v>
      </c>
      <c r="S4075">
        <v>148.094043</v>
      </c>
      <c r="T4075" s="1095">
        <v>-36.044097000000001</v>
      </c>
    </row>
    <row r="4076" spans="16:20">
      <c r="P4076" s="1094">
        <v>2642</v>
      </c>
      <c r="Q4076" t="s">
        <v>5108</v>
      </c>
      <c r="R4076" t="s">
        <v>248</v>
      </c>
      <c r="S4076">
        <v>148.094043</v>
      </c>
      <c r="T4076" s="1095">
        <v>-36.044097000000001</v>
      </c>
    </row>
    <row r="4077" spans="16:20">
      <c r="P4077" s="1094">
        <v>2642</v>
      </c>
      <c r="Q4077" t="s">
        <v>5109</v>
      </c>
      <c r="R4077" t="s">
        <v>248</v>
      </c>
      <c r="S4077">
        <v>148.094043</v>
      </c>
      <c r="T4077" s="1095">
        <v>-36.044097000000001</v>
      </c>
    </row>
    <row r="4078" spans="16:20">
      <c r="P4078" s="1094">
        <v>2642</v>
      </c>
      <c r="Q4078" t="s">
        <v>5110</v>
      </c>
      <c r="R4078" t="s">
        <v>248</v>
      </c>
      <c r="S4078">
        <v>148.094043</v>
      </c>
      <c r="T4078" s="1095">
        <v>-36.044097000000001</v>
      </c>
    </row>
    <row r="4079" spans="16:20">
      <c r="P4079" s="1094">
        <v>2642</v>
      </c>
      <c r="Q4079" t="s">
        <v>5111</v>
      </c>
      <c r="R4079" t="s">
        <v>248</v>
      </c>
      <c r="S4079">
        <v>148.094043</v>
      </c>
      <c r="T4079" s="1095">
        <v>-36.044097000000001</v>
      </c>
    </row>
    <row r="4080" spans="16:20">
      <c r="P4080" s="1094">
        <v>2642</v>
      </c>
      <c r="Q4080" t="s">
        <v>5112</v>
      </c>
      <c r="R4080" t="s">
        <v>248</v>
      </c>
      <c r="S4080">
        <v>148.094043</v>
      </c>
      <c r="T4080" s="1095">
        <v>-36.044097000000001</v>
      </c>
    </row>
    <row r="4081" spans="16:20">
      <c r="P4081" s="1094">
        <v>2642</v>
      </c>
      <c r="Q4081" t="s">
        <v>5113</v>
      </c>
      <c r="R4081" t="s">
        <v>248</v>
      </c>
      <c r="S4081">
        <v>148.094043</v>
      </c>
      <c r="T4081" s="1095">
        <v>-36.044097000000001</v>
      </c>
    </row>
    <row r="4082" spans="16:20">
      <c r="P4082" s="1094">
        <v>2642</v>
      </c>
      <c r="Q4082" t="s">
        <v>5114</v>
      </c>
      <c r="R4082" t="s">
        <v>248</v>
      </c>
      <c r="S4082">
        <v>148.094043</v>
      </c>
      <c r="T4082" s="1095">
        <v>-36.044097000000001</v>
      </c>
    </row>
    <row r="4083" spans="16:20">
      <c r="P4083" s="1094">
        <v>2643</v>
      </c>
      <c r="Q4083" t="s">
        <v>5115</v>
      </c>
      <c r="R4083" t="s">
        <v>248</v>
      </c>
      <c r="S4083">
        <v>146.617535</v>
      </c>
      <c r="T4083" s="1095">
        <v>-35.936556000000003</v>
      </c>
    </row>
    <row r="4084" spans="16:20">
      <c r="P4084" s="1094">
        <v>2644</v>
      </c>
      <c r="Q4084" t="s">
        <v>5116</v>
      </c>
      <c r="R4084" t="s">
        <v>248</v>
      </c>
      <c r="S4084">
        <v>147.39127099999999</v>
      </c>
      <c r="T4084" s="1095">
        <v>-35.773246999999998</v>
      </c>
    </row>
    <row r="4085" spans="16:20">
      <c r="P4085" s="1094">
        <v>2644</v>
      </c>
      <c r="Q4085" t="s">
        <v>5117</v>
      </c>
      <c r="R4085" t="s">
        <v>248</v>
      </c>
      <c r="S4085">
        <v>147.39127099999999</v>
      </c>
      <c r="T4085" s="1095">
        <v>-35.773246999999998</v>
      </c>
    </row>
    <row r="4086" spans="16:20">
      <c r="P4086" s="1094">
        <v>2644</v>
      </c>
      <c r="Q4086" t="s">
        <v>5118</v>
      </c>
      <c r="R4086" t="s">
        <v>248</v>
      </c>
      <c r="S4086">
        <v>147.39127099999999</v>
      </c>
      <c r="T4086" s="1095">
        <v>-35.773246999999998</v>
      </c>
    </row>
    <row r="4087" spans="16:20">
      <c r="P4087" s="1094">
        <v>2644</v>
      </c>
      <c r="Q4087" t="s">
        <v>5119</v>
      </c>
      <c r="R4087" t="s">
        <v>248</v>
      </c>
      <c r="S4087">
        <v>147.39127099999999</v>
      </c>
      <c r="T4087" s="1095">
        <v>-35.773246999999998</v>
      </c>
    </row>
    <row r="4088" spans="16:20">
      <c r="P4088" s="1094">
        <v>2644</v>
      </c>
      <c r="Q4088" t="s">
        <v>5120</v>
      </c>
      <c r="R4088" t="s">
        <v>248</v>
      </c>
      <c r="S4088">
        <v>147.39127099999999</v>
      </c>
      <c r="T4088" s="1095">
        <v>-35.773246999999998</v>
      </c>
    </row>
    <row r="4089" spans="16:20">
      <c r="P4089" s="1094">
        <v>2644</v>
      </c>
      <c r="Q4089" t="s">
        <v>5121</v>
      </c>
      <c r="R4089" t="s">
        <v>248</v>
      </c>
      <c r="S4089">
        <v>147.39127099999999</v>
      </c>
      <c r="T4089" s="1095">
        <v>-35.773246999999998</v>
      </c>
    </row>
    <row r="4090" spans="16:20">
      <c r="P4090" s="1094">
        <v>2644</v>
      </c>
      <c r="Q4090" t="s">
        <v>5122</v>
      </c>
      <c r="R4090" t="s">
        <v>248</v>
      </c>
      <c r="S4090">
        <v>147.39127099999999</v>
      </c>
      <c r="T4090" s="1095">
        <v>-35.773246999999998</v>
      </c>
    </row>
    <row r="4091" spans="16:20">
      <c r="P4091" s="1094">
        <v>2644</v>
      </c>
      <c r="Q4091" t="s">
        <v>5123</v>
      </c>
      <c r="R4091" t="s">
        <v>248</v>
      </c>
      <c r="S4091">
        <v>147.39127099999999</v>
      </c>
      <c r="T4091" s="1095">
        <v>-35.773246999999998</v>
      </c>
    </row>
    <row r="4092" spans="16:20">
      <c r="P4092" s="1094">
        <v>2644</v>
      </c>
      <c r="Q4092" t="s">
        <v>5124</v>
      </c>
      <c r="R4092" t="s">
        <v>248</v>
      </c>
      <c r="S4092">
        <v>147.39127099999999</v>
      </c>
      <c r="T4092" s="1095">
        <v>-35.773246999999998</v>
      </c>
    </row>
    <row r="4093" spans="16:20">
      <c r="P4093" s="1094">
        <v>2645</v>
      </c>
      <c r="Q4093" t="s">
        <v>5125</v>
      </c>
      <c r="R4093" t="s">
        <v>248</v>
      </c>
      <c r="S4093">
        <v>146.33243100000001</v>
      </c>
      <c r="T4093" s="1095">
        <v>-35.333843000000002</v>
      </c>
    </row>
    <row r="4094" spans="16:20">
      <c r="P4094" s="1094">
        <v>2645</v>
      </c>
      <c r="Q4094" t="s">
        <v>5126</v>
      </c>
      <c r="R4094" t="s">
        <v>248</v>
      </c>
      <c r="S4094">
        <v>146.33243100000001</v>
      </c>
      <c r="T4094" s="1095">
        <v>-35.333843000000002</v>
      </c>
    </row>
    <row r="4095" spans="16:20">
      <c r="P4095" s="1094">
        <v>2645</v>
      </c>
      <c r="Q4095" t="s">
        <v>5127</v>
      </c>
      <c r="R4095" t="s">
        <v>248</v>
      </c>
      <c r="S4095">
        <v>146.33243100000001</v>
      </c>
      <c r="T4095" s="1095">
        <v>-35.333843000000002</v>
      </c>
    </row>
    <row r="4096" spans="16:20">
      <c r="P4096" s="1094">
        <v>2646</v>
      </c>
      <c r="Q4096" t="s">
        <v>5128</v>
      </c>
      <c r="R4096" t="s">
        <v>248</v>
      </c>
      <c r="S4096">
        <v>146.324523</v>
      </c>
      <c r="T4096" s="1095">
        <v>-35.757568999999997</v>
      </c>
    </row>
    <row r="4097" spans="16:20">
      <c r="P4097" s="1094">
        <v>2646</v>
      </c>
      <c r="Q4097" t="s">
        <v>5129</v>
      </c>
      <c r="R4097" t="s">
        <v>248</v>
      </c>
      <c r="S4097">
        <v>146.324523</v>
      </c>
      <c r="T4097" s="1095">
        <v>-35.757568999999997</v>
      </c>
    </row>
    <row r="4098" spans="16:20">
      <c r="P4098" s="1094">
        <v>2646</v>
      </c>
      <c r="Q4098" t="s">
        <v>5130</v>
      </c>
      <c r="R4098" t="s">
        <v>248</v>
      </c>
      <c r="S4098">
        <v>146.324523</v>
      </c>
      <c r="T4098" s="1095">
        <v>-35.757568999999997</v>
      </c>
    </row>
    <row r="4099" spans="16:20">
      <c r="P4099" s="1094">
        <v>2646</v>
      </c>
      <c r="Q4099" t="s">
        <v>5131</v>
      </c>
      <c r="R4099" t="s">
        <v>248</v>
      </c>
      <c r="S4099">
        <v>146.324523</v>
      </c>
      <c r="T4099" s="1095">
        <v>-35.757568999999997</v>
      </c>
    </row>
    <row r="4100" spans="16:20">
      <c r="P4100" s="1094">
        <v>2646</v>
      </c>
      <c r="Q4100" t="s">
        <v>5132</v>
      </c>
      <c r="R4100" t="s">
        <v>248</v>
      </c>
      <c r="S4100">
        <v>146.324523</v>
      </c>
      <c r="T4100" s="1095">
        <v>-35.757568999999997</v>
      </c>
    </row>
    <row r="4101" spans="16:20">
      <c r="P4101" s="1094">
        <v>2646</v>
      </c>
      <c r="Q4101" t="s">
        <v>5133</v>
      </c>
      <c r="R4101" t="s">
        <v>248</v>
      </c>
      <c r="S4101">
        <v>146.324523</v>
      </c>
      <c r="T4101" s="1095">
        <v>-35.757568999999997</v>
      </c>
    </row>
    <row r="4102" spans="16:20">
      <c r="P4102" s="1094">
        <v>2646</v>
      </c>
      <c r="Q4102" t="s">
        <v>5134</v>
      </c>
      <c r="R4102" t="s">
        <v>248</v>
      </c>
      <c r="S4102">
        <v>146.324523</v>
      </c>
      <c r="T4102" s="1095">
        <v>-35.757568999999997</v>
      </c>
    </row>
    <row r="4103" spans="16:20">
      <c r="P4103" s="1094">
        <v>2646</v>
      </c>
      <c r="Q4103" t="s">
        <v>5135</v>
      </c>
      <c r="R4103" t="s">
        <v>248</v>
      </c>
      <c r="S4103">
        <v>146.324523</v>
      </c>
      <c r="T4103" s="1095">
        <v>-35.757568999999997</v>
      </c>
    </row>
    <row r="4104" spans="16:20">
      <c r="P4104" s="1094">
        <v>2646</v>
      </c>
      <c r="Q4104" t="s">
        <v>5136</v>
      </c>
      <c r="R4104" t="s">
        <v>248</v>
      </c>
      <c r="S4104">
        <v>146.324523</v>
      </c>
      <c r="T4104" s="1095">
        <v>-35.757568999999997</v>
      </c>
    </row>
    <row r="4105" spans="16:20">
      <c r="P4105" s="1094">
        <v>2646</v>
      </c>
      <c r="Q4105" t="s">
        <v>5137</v>
      </c>
      <c r="R4105" t="s">
        <v>248</v>
      </c>
      <c r="S4105">
        <v>146.324523</v>
      </c>
      <c r="T4105" s="1095">
        <v>-35.757568999999997</v>
      </c>
    </row>
    <row r="4106" spans="16:20">
      <c r="P4106" s="1094">
        <v>2646</v>
      </c>
      <c r="Q4106" t="s">
        <v>5138</v>
      </c>
      <c r="R4106" t="s">
        <v>248</v>
      </c>
      <c r="S4106">
        <v>146.324523</v>
      </c>
      <c r="T4106" s="1095">
        <v>-35.757568999999997</v>
      </c>
    </row>
    <row r="4107" spans="16:20">
      <c r="P4107" s="1094">
        <v>2646</v>
      </c>
      <c r="Q4107" t="s">
        <v>5139</v>
      </c>
      <c r="R4107" t="s">
        <v>248</v>
      </c>
      <c r="S4107">
        <v>146.324523</v>
      </c>
      <c r="T4107" s="1095">
        <v>-35.757568999999997</v>
      </c>
    </row>
    <row r="4108" spans="16:20">
      <c r="P4108" s="1094">
        <v>2646</v>
      </c>
      <c r="Q4108" t="s">
        <v>5140</v>
      </c>
      <c r="R4108" t="s">
        <v>248</v>
      </c>
      <c r="S4108">
        <v>146.324523</v>
      </c>
      <c r="T4108" s="1095">
        <v>-35.757568999999997</v>
      </c>
    </row>
    <row r="4109" spans="16:20">
      <c r="P4109" s="1094">
        <v>2646</v>
      </c>
      <c r="Q4109" t="s">
        <v>5141</v>
      </c>
      <c r="R4109" t="s">
        <v>248</v>
      </c>
      <c r="S4109">
        <v>146.324523</v>
      </c>
      <c r="T4109" s="1095">
        <v>-35.757568999999997</v>
      </c>
    </row>
    <row r="4110" spans="16:20">
      <c r="P4110" s="1094">
        <v>2646</v>
      </c>
      <c r="Q4110" t="s">
        <v>5142</v>
      </c>
      <c r="R4110" t="s">
        <v>248</v>
      </c>
      <c r="S4110">
        <v>146.324523</v>
      </c>
      <c r="T4110" s="1095">
        <v>-35.757568999999997</v>
      </c>
    </row>
    <row r="4111" spans="16:20">
      <c r="P4111" s="1094">
        <v>2646</v>
      </c>
      <c r="Q4111" t="s">
        <v>5143</v>
      </c>
      <c r="R4111" t="s">
        <v>248</v>
      </c>
      <c r="S4111">
        <v>146.324523</v>
      </c>
      <c r="T4111" s="1095">
        <v>-35.757568999999997</v>
      </c>
    </row>
    <row r="4112" spans="16:20">
      <c r="P4112" s="1094">
        <v>2647</v>
      </c>
      <c r="Q4112" t="s">
        <v>5144</v>
      </c>
      <c r="R4112" t="s">
        <v>248</v>
      </c>
      <c r="S4112">
        <v>145.97613100000001</v>
      </c>
      <c r="T4112" s="1095">
        <v>-35.905462999999997</v>
      </c>
    </row>
    <row r="4113" spans="16:20">
      <c r="P4113" s="1094">
        <v>2648</v>
      </c>
      <c r="Q4113" t="s">
        <v>5145</v>
      </c>
      <c r="R4113" t="s">
        <v>248</v>
      </c>
      <c r="S4113">
        <v>141.90794</v>
      </c>
      <c r="T4113" s="1095">
        <v>-33.466819000000001</v>
      </c>
    </row>
    <row r="4114" spans="16:20">
      <c r="P4114" s="1094">
        <v>2648</v>
      </c>
      <c r="Q4114" t="s">
        <v>5146</v>
      </c>
      <c r="R4114" t="s">
        <v>248</v>
      </c>
      <c r="S4114">
        <v>141.90794</v>
      </c>
      <c r="T4114" s="1095">
        <v>-33.466819000000001</v>
      </c>
    </row>
    <row r="4115" spans="16:20">
      <c r="P4115" s="1094">
        <v>2648</v>
      </c>
      <c r="Q4115" t="s">
        <v>5147</v>
      </c>
      <c r="R4115" t="s">
        <v>248</v>
      </c>
      <c r="S4115">
        <v>141.90794</v>
      </c>
      <c r="T4115" s="1095">
        <v>-33.466819000000001</v>
      </c>
    </row>
    <row r="4116" spans="16:20">
      <c r="P4116" s="1094">
        <v>2648</v>
      </c>
      <c r="Q4116" t="s">
        <v>5148</v>
      </c>
      <c r="R4116" t="s">
        <v>248</v>
      </c>
      <c r="S4116">
        <v>141.90794</v>
      </c>
      <c r="T4116" s="1095">
        <v>-33.466819000000001</v>
      </c>
    </row>
    <row r="4117" spans="16:20">
      <c r="P4117" s="1094">
        <v>2648</v>
      </c>
      <c r="Q4117" t="s">
        <v>5149</v>
      </c>
      <c r="R4117" t="s">
        <v>248</v>
      </c>
      <c r="S4117">
        <v>141.90794</v>
      </c>
      <c r="T4117" s="1095">
        <v>-33.466819000000001</v>
      </c>
    </row>
    <row r="4118" spans="16:20">
      <c r="P4118" s="1094">
        <v>2648</v>
      </c>
      <c r="Q4118" t="s">
        <v>5150</v>
      </c>
      <c r="R4118" t="s">
        <v>248</v>
      </c>
      <c r="S4118">
        <v>141.90794</v>
      </c>
      <c r="T4118" s="1095">
        <v>-33.466819000000001</v>
      </c>
    </row>
    <row r="4119" spans="16:20">
      <c r="P4119" s="1094">
        <v>2648</v>
      </c>
      <c r="Q4119" t="s">
        <v>5151</v>
      </c>
      <c r="R4119" t="s">
        <v>248</v>
      </c>
      <c r="S4119">
        <v>141.90794</v>
      </c>
      <c r="T4119" s="1095">
        <v>-33.466819000000001</v>
      </c>
    </row>
    <row r="4120" spans="16:20">
      <c r="P4120" s="1094">
        <v>2648</v>
      </c>
      <c r="Q4120" t="s">
        <v>5152</v>
      </c>
      <c r="R4120" t="s">
        <v>248</v>
      </c>
      <c r="S4120">
        <v>141.90794</v>
      </c>
      <c r="T4120" s="1095">
        <v>-33.466819000000001</v>
      </c>
    </row>
    <row r="4121" spans="16:20">
      <c r="P4121" s="1094">
        <v>2648</v>
      </c>
      <c r="Q4121" t="s">
        <v>5153</v>
      </c>
      <c r="R4121" t="s">
        <v>248</v>
      </c>
      <c r="S4121">
        <v>141.90794</v>
      </c>
      <c r="T4121" s="1095">
        <v>-33.466819000000001</v>
      </c>
    </row>
    <row r="4122" spans="16:20">
      <c r="P4122" s="1094">
        <v>2649</v>
      </c>
      <c r="Q4122" t="s">
        <v>5154</v>
      </c>
      <c r="R4122" t="s">
        <v>248</v>
      </c>
      <c r="S4122">
        <v>148.09121099999999</v>
      </c>
      <c r="T4122" s="1095">
        <v>-35.608279000000003</v>
      </c>
    </row>
    <row r="4123" spans="16:20">
      <c r="P4123" s="1094">
        <v>2649</v>
      </c>
      <c r="Q4123" t="s">
        <v>5155</v>
      </c>
      <c r="R4123" t="s">
        <v>248</v>
      </c>
      <c r="S4123">
        <v>148.09121099999999</v>
      </c>
      <c r="T4123" s="1095">
        <v>-35.608279000000003</v>
      </c>
    </row>
    <row r="4124" spans="16:20">
      <c r="P4124" s="1094">
        <v>2650</v>
      </c>
      <c r="Q4124" t="s">
        <v>5156</v>
      </c>
      <c r="R4124" t="s">
        <v>248</v>
      </c>
      <c r="S4124">
        <v>147.37620200000001</v>
      </c>
      <c r="T4124" s="1095">
        <v>-35.074590000000001</v>
      </c>
    </row>
    <row r="4125" spans="16:20">
      <c r="P4125" s="1094">
        <v>2650</v>
      </c>
      <c r="Q4125" t="s">
        <v>5157</v>
      </c>
      <c r="R4125" t="s">
        <v>248</v>
      </c>
      <c r="S4125">
        <v>147.37620200000001</v>
      </c>
      <c r="T4125" s="1095">
        <v>-35.074590000000001</v>
      </c>
    </row>
    <row r="4126" spans="16:20">
      <c r="P4126" s="1094">
        <v>2650</v>
      </c>
      <c r="Q4126" t="s">
        <v>5158</v>
      </c>
      <c r="R4126" t="s">
        <v>248</v>
      </c>
      <c r="S4126">
        <v>147.37620200000001</v>
      </c>
      <c r="T4126" s="1095">
        <v>-35.074590000000001</v>
      </c>
    </row>
    <row r="4127" spans="16:20">
      <c r="P4127" s="1094">
        <v>2650</v>
      </c>
      <c r="Q4127" t="s">
        <v>5159</v>
      </c>
      <c r="R4127" t="s">
        <v>248</v>
      </c>
      <c r="S4127">
        <v>147.37620200000001</v>
      </c>
      <c r="T4127" s="1095">
        <v>-35.074590000000001</v>
      </c>
    </row>
    <row r="4128" spans="16:20">
      <c r="P4128" s="1094">
        <v>2650</v>
      </c>
      <c r="Q4128" t="s">
        <v>5160</v>
      </c>
      <c r="R4128" t="s">
        <v>248</v>
      </c>
      <c r="S4128">
        <v>147.37620200000001</v>
      </c>
      <c r="T4128" s="1095">
        <v>-35.074590000000001</v>
      </c>
    </row>
    <row r="4129" spans="16:20">
      <c r="P4129" s="1094">
        <v>2650</v>
      </c>
      <c r="Q4129" t="s">
        <v>5161</v>
      </c>
      <c r="R4129" t="s">
        <v>248</v>
      </c>
      <c r="S4129">
        <v>147.37620200000001</v>
      </c>
      <c r="T4129" s="1095">
        <v>-35.074590000000001</v>
      </c>
    </row>
    <row r="4130" spans="16:20">
      <c r="P4130" s="1094">
        <v>2650</v>
      </c>
      <c r="Q4130" t="s">
        <v>5162</v>
      </c>
      <c r="R4130" t="s">
        <v>248</v>
      </c>
      <c r="S4130">
        <v>147.37620200000001</v>
      </c>
      <c r="T4130" s="1095">
        <v>-35.074590000000001</v>
      </c>
    </row>
    <row r="4131" spans="16:20">
      <c r="P4131" s="1094">
        <v>2650</v>
      </c>
      <c r="Q4131" t="s">
        <v>5163</v>
      </c>
      <c r="R4131" t="s">
        <v>248</v>
      </c>
      <c r="S4131">
        <v>147.37620200000001</v>
      </c>
      <c r="T4131" s="1095">
        <v>-35.074590000000001</v>
      </c>
    </row>
    <row r="4132" spans="16:20">
      <c r="P4132" s="1094">
        <v>2650</v>
      </c>
      <c r="Q4132" t="s">
        <v>5164</v>
      </c>
      <c r="R4132" t="s">
        <v>248</v>
      </c>
      <c r="S4132">
        <v>147.37620200000001</v>
      </c>
      <c r="T4132" s="1095">
        <v>-35.074590000000001</v>
      </c>
    </row>
    <row r="4133" spans="16:20">
      <c r="P4133" s="1094">
        <v>2650</v>
      </c>
      <c r="Q4133" t="s">
        <v>5165</v>
      </c>
      <c r="R4133" t="s">
        <v>248</v>
      </c>
      <c r="S4133">
        <v>147.37620200000001</v>
      </c>
      <c r="T4133" s="1095">
        <v>-35.074590000000001</v>
      </c>
    </row>
    <row r="4134" spans="16:20">
      <c r="P4134" s="1094">
        <v>2650</v>
      </c>
      <c r="Q4134" t="s">
        <v>5166</v>
      </c>
      <c r="R4134" t="s">
        <v>248</v>
      </c>
      <c r="S4134">
        <v>147.37620200000001</v>
      </c>
      <c r="T4134" s="1095">
        <v>-35.074590000000001</v>
      </c>
    </row>
    <row r="4135" spans="16:20">
      <c r="P4135" s="1094">
        <v>2650</v>
      </c>
      <c r="Q4135" t="s">
        <v>5167</v>
      </c>
      <c r="R4135" t="s">
        <v>248</v>
      </c>
      <c r="S4135">
        <v>147.37620200000001</v>
      </c>
      <c r="T4135" s="1095">
        <v>-35.074590000000001</v>
      </c>
    </row>
    <row r="4136" spans="16:20">
      <c r="P4136" s="1094">
        <v>2650</v>
      </c>
      <c r="Q4136" t="s">
        <v>5168</v>
      </c>
      <c r="R4136" t="s">
        <v>248</v>
      </c>
      <c r="S4136">
        <v>147.37620200000001</v>
      </c>
      <c r="T4136" s="1095">
        <v>-35.074590000000001</v>
      </c>
    </row>
    <row r="4137" spans="16:20">
      <c r="P4137" s="1094">
        <v>2650</v>
      </c>
      <c r="Q4137" t="s">
        <v>5169</v>
      </c>
      <c r="R4137" t="s">
        <v>248</v>
      </c>
      <c r="S4137">
        <v>147.37620200000001</v>
      </c>
      <c r="T4137" s="1095">
        <v>-35.074590000000001</v>
      </c>
    </row>
    <row r="4138" spans="16:20">
      <c r="P4138" s="1094">
        <v>2650</v>
      </c>
      <c r="Q4138" t="s">
        <v>5170</v>
      </c>
      <c r="R4138" t="s">
        <v>248</v>
      </c>
      <c r="S4138">
        <v>147.37620200000001</v>
      </c>
      <c r="T4138" s="1095">
        <v>-35.074590000000001</v>
      </c>
    </row>
    <row r="4139" spans="16:20">
      <c r="P4139" s="1094">
        <v>2650</v>
      </c>
      <c r="Q4139" t="s">
        <v>5171</v>
      </c>
      <c r="R4139" t="s">
        <v>248</v>
      </c>
      <c r="S4139">
        <v>147.37620200000001</v>
      </c>
      <c r="T4139" s="1095">
        <v>-35.074590000000001</v>
      </c>
    </row>
    <row r="4140" spans="16:20">
      <c r="P4140" s="1094">
        <v>2650</v>
      </c>
      <c r="Q4140" t="s">
        <v>5172</v>
      </c>
      <c r="R4140" t="s">
        <v>248</v>
      </c>
      <c r="S4140">
        <v>147.37620200000001</v>
      </c>
      <c r="T4140" s="1095">
        <v>-35.074590000000001</v>
      </c>
    </row>
    <row r="4141" spans="16:20">
      <c r="P4141" s="1094">
        <v>2650</v>
      </c>
      <c r="Q4141" t="s">
        <v>5173</v>
      </c>
      <c r="R4141" t="s">
        <v>248</v>
      </c>
      <c r="S4141">
        <v>147.37620200000001</v>
      </c>
      <c r="T4141" s="1095">
        <v>-35.074590000000001</v>
      </c>
    </row>
    <row r="4142" spans="16:20">
      <c r="P4142" s="1094">
        <v>2650</v>
      </c>
      <c r="Q4142" t="s">
        <v>5174</v>
      </c>
      <c r="R4142" t="s">
        <v>248</v>
      </c>
      <c r="S4142">
        <v>147.37620200000001</v>
      </c>
      <c r="T4142" s="1095">
        <v>-35.074590000000001</v>
      </c>
    </row>
    <row r="4143" spans="16:20">
      <c r="P4143" s="1094">
        <v>2650</v>
      </c>
      <c r="Q4143" t="s">
        <v>5175</v>
      </c>
      <c r="R4143" t="s">
        <v>248</v>
      </c>
      <c r="S4143">
        <v>147.37620200000001</v>
      </c>
      <c r="T4143" s="1095">
        <v>-35.074590000000001</v>
      </c>
    </row>
    <row r="4144" spans="16:20">
      <c r="P4144" s="1094">
        <v>2650</v>
      </c>
      <c r="Q4144" t="s">
        <v>5176</v>
      </c>
      <c r="R4144" t="s">
        <v>248</v>
      </c>
      <c r="S4144">
        <v>147.37620200000001</v>
      </c>
      <c r="T4144" s="1095">
        <v>-35.074590000000001</v>
      </c>
    </row>
    <row r="4145" spans="16:20">
      <c r="P4145" s="1094">
        <v>2650</v>
      </c>
      <c r="Q4145" t="s">
        <v>5177</v>
      </c>
      <c r="R4145" t="s">
        <v>248</v>
      </c>
      <c r="S4145">
        <v>147.37620200000001</v>
      </c>
      <c r="T4145" s="1095">
        <v>-35.074590000000001</v>
      </c>
    </row>
    <row r="4146" spans="16:20">
      <c r="P4146" s="1094">
        <v>2650</v>
      </c>
      <c r="Q4146" t="s">
        <v>5178</v>
      </c>
      <c r="R4146" t="s">
        <v>248</v>
      </c>
      <c r="S4146">
        <v>147.37620200000001</v>
      </c>
      <c r="T4146" s="1095">
        <v>-35.074590000000001</v>
      </c>
    </row>
    <row r="4147" spans="16:20">
      <c r="P4147" s="1094">
        <v>2650</v>
      </c>
      <c r="Q4147" t="s">
        <v>5179</v>
      </c>
      <c r="R4147" t="s">
        <v>248</v>
      </c>
      <c r="S4147">
        <v>147.37620200000001</v>
      </c>
      <c r="T4147" s="1095">
        <v>-35.074590000000001</v>
      </c>
    </row>
    <row r="4148" spans="16:20">
      <c r="P4148" s="1094">
        <v>2650</v>
      </c>
      <c r="Q4148" t="s">
        <v>5180</v>
      </c>
      <c r="R4148" t="s">
        <v>248</v>
      </c>
      <c r="S4148">
        <v>147.37620200000001</v>
      </c>
      <c r="T4148" s="1095">
        <v>-35.074590000000001</v>
      </c>
    </row>
    <row r="4149" spans="16:20">
      <c r="P4149" s="1094">
        <v>2650</v>
      </c>
      <c r="Q4149" t="s">
        <v>5181</v>
      </c>
      <c r="R4149" t="s">
        <v>248</v>
      </c>
      <c r="S4149">
        <v>147.37620200000001</v>
      </c>
      <c r="T4149" s="1095">
        <v>-35.074590000000001</v>
      </c>
    </row>
    <row r="4150" spans="16:20">
      <c r="P4150" s="1094">
        <v>2650</v>
      </c>
      <c r="Q4150" t="s">
        <v>5182</v>
      </c>
      <c r="R4150" t="s">
        <v>248</v>
      </c>
      <c r="S4150">
        <v>147.37620200000001</v>
      </c>
      <c r="T4150" s="1095">
        <v>-35.074590000000001</v>
      </c>
    </row>
    <row r="4151" spans="16:20">
      <c r="P4151" s="1094">
        <v>2650</v>
      </c>
      <c r="Q4151" t="s">
        <v>5183</v>
      </c>
      <c r="R4151" t="s">
        <v>248</v>
      </c>
      <c r="S4151">
        <v>147.37620200000001</v>
      </c>
      <c r="T4151" s="1095">
        <v>-35.074590000000001</v>
      </c>
    </row>
    <row r="4152" spans="16:20">
      <c r="P4152" s="1094">
        <v>2650</v>
      </c>
      <c r="Q4152" t="s">
        <v>5184</v>
      </c>
      <c r="R4152" t="s">
        <v>248</v>
      </c>
      <c r="S4152">
        <v>147.37620200000001</v>
      </c>
      <c r="T4152" s="1095">
        <v>-35.074590000000001</v>
      </c>
    </row>
    <row r="4153" spans="16:20">
      <c r="P4153" s="1094">
        <v>2650</v>
      </c>
      <c r="Q4153" t="s">
        <v>5185</v>
      </c>
      <c r="R4153" t="s">
        <v>248</v>
      </c>
      <c r="S4153">
        <v>147.37620200000001</v>
      </c>
      <c r="T4153" s="1095">
        <v>-35.074590000000001</v>
      </c>
    </row>
    <row r="4154" spans="16:20">
      <c r="P4154" s="1094">
        <v>2650</v>
      </c>
      <c r="Q4154" t="s">
        <v>2958</v>
      </c>
      <c r="R4154" t="s">
        <v>248</v>
      </c>
      <c r="S4154">
        <v>147.37620200000001</v>
      </c>
      <c r="T4154" s="1095">
        <v>-35.074590000000001</v>
      </c>
    </row>
    <row r="4155" spans="16:20">
      <c r="P4155" s="1094">
        <v>2650</v>
      </c>
      <c r="Q4155" t="s">
        <v>5186</v>
      </c>
      <c r="R4155" t="s">
        <v>248</v>
      </c>
      <c r="S4155">
        <v>147.37620200000001</v>
      </c>
      <c r="T4155" s="1095">
        <v>-35.074590000000001</v>
      </c>
    </row>
    <row r="4156" spans="16:20">
      <c r="P4156" s="1094">
        <v>2650</v>
      </c>
      <c r="Q4156" t="s">
        <v>5187</v>
      </c>
      <c r="R4156" t="s">
        <v>248</v>
      </c>
      <c r="S4156">
        <v>147.37620200000001</v>
      </c>
      <c r="T4156" s="1095">
        <v>-35.074590000000001</v>
      </c>
    </row>
    <row r="4157" spans="16:20">
      <c r="P4157" s="1094">
        <v>2650</v>
      </c>
      <c r="Q4157" t="s">
        <v>5188</v>
      </c>
      <c r="R4157" t="s">
        <v>248</v>
      </c>
      <c r="S4157">
        <v>147.37620200000001</v>
      </c>
      <c r="T4157" s="1095">
        <v>-35.074590000000001</v>
      </c>
    </row>
    <row r="4158" spans="16:20">
      <c r="P4158" s="1094">
        <v>2650</v>
      </c>
      <c r="Q4158" t="s">
        <v>5189</v>
      </c>
      <c r="R4158" t="s">
        <v>248</v>
      </c>
      <c r="S4158">
        <v>147.37620200000001</v>
      </c>
      <c r="T4158" s="1095">
        <v>-35.074590000000001</v>
      </c>
    </row>
    <row r="4159" spans="16:20">
      <c r="P4159" s="1094">
        <v>2650</v>
      </c>
      <c r="Q4159" t="s">
        <v>5190</v>
      </c>
      <c r="R4159" t="s">
        <v>248</v>
      </c>
      <c r="S4159">
        <v>147.37620200000001</v>
      </c>
      <c r="T4159" s="1095">
        <v>-35.074590000000001</v>
      </c>
    </row>
    <row r="4160" spans="16:20">
      <c r="P4160" s="1094">
        <v>2650</v>
      </c>
      <c r="Q4160" t="s">
        <v>5191</v>
      </c>
      <c r="R4160" t="s">
        <v>248</v>
      </c>
      <c r="S4160">
        <v>147.37620200000001</v>
      </c>
      <c r="T4160" s="1095">
        <v>-35.074590000000001</v>
      </c>
    </row>
    <row r="4161" spans="16:20">
      <c r="P4161" s="1094">
        <v>2650</v>
      </c>
      <c r="Q4161" t="s">
        <v>5192</v>
      </c>
      <c r="R4161" t="s">
        <v>248</v>
      </c>
      <c r="S4161">
        <v>147.37620200000001</v>
      </c>
      <c r="T4161" s="1095">
        <v>-35.074590000000001</v>
      </c>
    </row>
    <row r="4162" spans="16:20">
      <c r="P4162" s="1094">
        <v>2650</v>
      </c>
      <c r="Q4162" t="s">
        <v>5193</v>
      </c>
      <c r="R4162" t="s">
        <v>248</v>
      </c>
      <c r="S4162">
        <v>147.37620200000001</v>
      </c>
      <c r="T4162" s="1095">
        <v>-35.074590000000001</v>
      </c>
    </row>
    <row r="4163" spans="16:20">
      <c r="P4163" s="1094">
        <v>2650</v>
      </c>
      <c r="Q4163" t="s">
        <v>5194</v>
      </c>
      <c r="R4163" t="s">
        <v>248</v>
      </c>
      <c r="S4163">
        <v>147.37620200000001</v>
      </c>
      <c r="T4163" s="1095">
        <v>-35.074590000000001</v>
      </c>
    </row>
    <row r="4164" spans="16:20">
      <c r="P4164" s="1094">
        <v>2650</v>
      </c>
      <c r="Q4164" t="s">
        <v>5195</v>
      </c>
      <c r="R4164" t="s">
        <v>248</v>
      </c>
      <c r="S4164">
        <v>147.37620200000001</v>
      </c>
      <c r="T4164" s="1095">
        <v>-35.074590000000001</v>
      </c>
    </row>
    <row r="4165" spans="16:20">
      <c r="P4165" s="1094">
        <v>2650</v>
      </c>
      <c r="Q4165" t="s">
        <v>5196</v>
      </c>
      <c r="R4165" t="s">
        <v>248</v>
      </c>
      <c r="S4165">
        <v>147.37620200000001</v>
      </c>
      <c r="T4165" s="1095">
        <v>-35.074590000000001</v>
      </c>
    </row>
    <row r="4166" spans="16:20">
      <c r="P4166" s="1094">
        <v>2650</v>
      </c>
      <c r="Q4166" t="s">
        <v>5197</v>
      </c>
      <c r="R4166" t="s">
        <v>248</v>
      </c>
      <c r="S4166">
        <v>147.37620200000001</v>
      </c>
      <c r="T4166" s="1095">
        <v>-35.074590000000001</v>
      </c>
    </row>
    <row r="4167" spans="16:20">
      <c r="P4167" s="1094">
        <v>2650</v>
      </c>
      <c r="Q4167" t="s">
        <v>5198</v>
      </c>
      <c r="R4167" t="s">
        <v>248</v>
      </c>
      <c r="S4167">
        <v>147.37620200000001</v>
      </c>
      <c r="T4167" s="1095">
        <v>-35.074590000000001</v>
      </c>
    </row>
    <row r="4168" spans="16:20">
      <c r="P4168" s="1094">
        <v>2650</v>
      </c>
      <c r="Q4168" t="s">
        <v>5199</v>
      </c>
      <c r="R4168" t="s">
        <v>248</v>
      </c>
      <c r="S4168">
        <v>147.37620200000001</v>
      </c>
      <c r="T4168" s="1095">
        <v>-35.074590000000001</v>
      </c>
    </row>
    <row r="4169" spans="16:20">
      <c r="P4169" s="1094">
        <v>2650</v>
      </c>
      <c r="Q4169" t="s">
        <v>5200</v>
      </c>
      <c r="R4169" t="s">
        <v>248</v>
      </c>
      <c r="S4169">
        <v>147.37620200000001</v>
      </c>
      <c r="T4169" s="1095">
        <v>-35.074590000000001</v>
      </c>
    </row>
    <row r="4170" spans="16:20">
      <c r="P4170" s="1094">
        <v>2650</v>
      </c>
      <c r="Q4170" t="s">
        <v>5201</v>
      </c>
      <c r="R4170" t="s">
        <v>248</v>
      </c>
      <c r="S4170">
        <v>147.37620200000001</v>
      </c>
      <c r="T4170" s="1095">
        <v>-35.074590000000001</v>
      </c>
    </row>
    <row r="4171" spans="16:20">
      <c r="P4171" s="1094">
        <v>2650</v>
      </c>
      <c r="Q4171" t="s">
        <v>5202</v>
      </c>
      <c r="R4171" t="s">
        <v>248</v>
      </c>
      <c r="S4171">
        <v>147.37620200000001</v>
      </c>
      <c r="T4171" s="1095">
        <v>-35.074590000000001</v>
      </c>
    </row>
    <row r="4172" spans="16:20">
      <c r="P4172" s="1094">
        <v>2650</v>
      </c>
      <c r="Q4172" t="s">
        <v>5203</v>
      </c>
      <c r="R4172" t="s">
        <v>248</v>
      </c>
      <c r="S4172">
        <v>147.37620200000001</v>
      </c>
      <c r="T4172" s="1095">
        <v>-35.074590000000001</v>
      </c>
    </row>
    <row r="4173" spans="16:20">
      <c r="P4173" s="1094">
        <v>2650</v>
      </c>
      <c r="Q4173" t="s">
        <v>5204</v>
      </c>
      <c r="R4173" t="s">
        <v>248</v>
      </c>
      <c r="S4173">
        <v>147.37620200000001</v>
      </c>
      <c r="T4173" s="1095">
        <v>-35.074590000000001</v>
      </c>
    </row>
    <row r="4174" spans="16:20">
      <c r="P4174" s="1094">
        <v>2650</v>
      </c>
      <c r="Q4174" t="s">
        <v>5205</v>
      </c>
      <c r="R4174" t="s">
        <v>248</v>
      </c>
      <c r="S4174">
        <v>147.37620200000001</v>
      </c>
      <c r="T4174" s="1095">
        <v>-35.074590000000001</v>
      </c>
    </row>
    <row r="4175" spans="16:20">
      <c r="P4175" s="1094">
        <v>2650</v>
      </c>
      <c r="Q4175" t="s">
        <v>5206</v>
      </c>
      <c r="R4175" t="s">
        <v>248</v>
      </c>
      <c r="S4175">
        <v>147.37620200000001</v>
      </c>
      <c r="T4175" s="1095">
        <v>-35.074590000000001</v>
      </c>
    </row>
    <row r="4176" spans="16:20">
      <c r="P4176" s="1094">
        <v>2650</v>
      </c>
      <c r="Q4176" t="s">
        <v>5207</v>
      </c>
      <c r="R4176" t="s">
        <v>248</v>
      </c>
      <c r="S4176">
        <v>147.37620200000001</v>
      </c>
      <c r="T4176" s="1095">
        <v>-35.074590000000001</v>
      </c>
    </row>
    <row r="4177" spans="16:20">
      <c r="P4177" s="1094">
        <v>2650</v>
      </c>
      <c r="Q4177" t="s">
        <v>5208</v>
      </c>
      <c r="R4177" t="s">
        <v>248</v>
      </c>
      <c r="S4177">
        <v>147.37620200000001</v>
      </c>
      <c r="T4177" s="1095">
        <v>-35.074590000000001</v>
      </c>
    </row>
    <row r="4178" spans="16:20">
      <c r="P4178" s="1094">
        <v>2650</v>
      </c>
      <c r="Q4178" t="s">
        <v>5209</v>
      </c>
      <c r="R4178" t="s">
        <v>248</v>
      </c>
      <c r="S4178">
        <v>147.37620200000001</v>
      </c>
      <c r="T4178" s="1095">
        <v>-35.074590000000001</v>
      </c>
    </row>
    <row r="4179" spans="16:20">
      <c r="P4179" s="1094">
        <v>2650</v>
      </c>
      <c r="Q4179" t="s">
        <v>2902</v>
      </c>
      <c r="R4179" t="s">
        <v>248</v>
      </c>
      <c r="S4179">
        <v>147.37620200000001</v>
      </c>
      <c r="T4179" s="1095">
        <v>-35.074590000000001</v>
      </c>
    </row>
    <row r="4180" spans="16:20">
      <c r="P4180" s="1094">
        <v>2650</v>
      </c>
      <c r="Q4180" t="s">
        <v>5210</v>
      </c>
      <c r="R4180" t="s">
        <v>248</v>
      </c>
      <c r="S4180">
        <v>147.37620200000001</v>
      </c>
      <c r="T4180" s="1095">
        <v>-35.074590000000001</v>
      </c>
    </row>
    <row r="4181" spans="16:20">
      <c r="P4181" s="1094">
        <v>2650</v>
      </c>
      <c r="Q4181" t="s">
        <v>5211</v>
      </c>
      <c r="R4181" t="s">
        <v>248</v>
      </c>
      <c r="S4181">
        <v>147.37620200000001</v>
      </c>
      <c r="T4181" s="1095">
        <v>-35.074590000000001</v>
      </c>
    </row>
    <row r="4182" spans="16:20">
      <c r="P4182" s="1094">
        <v>2651</v>
      </c>
      <c r="Q4182" t="s">
        <v>5212</v>
      </c>
      <c r="R4182" t="s">
        <v>248</v>
      </c>
      <c r="S4182">
        <v>147.46347700000001</v>
      </c>
      <c r="T4182" s="1095">
        <v>-35.162258999999999</v>
      </c>
    </row>
    <row r="4183" spans="16:20">
      <c r="P4183" s="1094">
        <v>2651</v>
      </c>
      <c r="Q4183" t="s">
        <v>5213</v>
      </c>
      <c r="R4183" t="s">
        <v>248</v>
      </c>
      <c r="S4183">
        <v>147.46347700000001</v>
      </c>
      <c r="T4183" s="1095">
        <v>-35.162258999999999</v>
      </c>
    </row>
    <row r="4184" spans="16:20">
      <c r="P4184" s="1094">
        <v>2652</v>
      </c>
      <c r="Q4184" t="s">
        <v>5214</v>
      </c>
      <c r="R4184" t="s">
        <v>248</v>
      </c>
      <c r="S4184">
        <v>147.64961</v>
      </c>
      <c r="T4184" s="1095">
        <v>-35.405064000000003</v>
      </c>
    </row>
    <row r="4185" spans="16:20">
      <c r="P4185" s="1094">
        <v>2652</v>
      </c>
      <c r="Q4185" t="s">
        <v>5215</v>
      </c>
      <c r="R4185" t="s">
        <v>248</v>
      </c>
      <c r="S4185">
        <v>147.64961</v>
      </c>
      <c r="T4185" s="1095">
        <v>-35.405064000000003</v>
      </c>
    </row>
    <row r="4186" spans="16:20">
      <c r="P4186" s="1094">
        <v>2652</v>
      </c>
      <c r="Q4186" t="s">
        <v>5216</v>
      </c>
      <c r="R4186" t="s">
        <v>248</v>
      </c>
      <c r="S4186">
        <v>147.64961</v>
      </c>
      <c r="T4186" s="1095">
        <v>-35.405064000000003</v>
      </c>
    </row>
    <row r="4187" spans="16:20">
      <c r="P4187" s="1094">
        <v>2652</v>
      </c>
      <c r="Q4187" t="s">
        <v>5217</v>
      </c>
      <c r="R4187" t="s">
        <v>248</v>
      </c>
      <c r="S4187">
        <v>147.64961</v>
      </c>
      <c r="T4187" s="1095">
        <v>-35.405064000000003</v>
      </c>
    </row>
    <row r="4188" spans="16:20">
      <c r="P4188" s="1094">
        <v>2652</v>
      </c>
      <c r="Q4188" t="s">
        <v>5218</v>
      </c>
      <c r="R4188" t="s">
        <v>248</v>
      </c>
      <c r="S4188">
        <v>147.64961</v>
      </c>
      <c r="T4188" s="1095">
        <v>-35.405064000000003</v>
      </c>
    </row>
    <row r="4189" spans="16:20">
      <c r="P4189" s="1094">
        <v>2652</v>
      </c>
      <c r="Q4189" t="s">
        <v>5219</v>
      </c>
      <c r="R4189" t="s">
        <v>248</v>
      </c>
      <c r="S4189">
        <v>147.64961</v>
      </c>
      <c r="T4189" s="1095">
        <v>-35.405064000000003</v>
      </c>
    </row>
    <row r="4190" spans="16:20">
      <c r="P4190" s="1094">
        <v>2652</v>
      </c>
      <c r="Q4190" t="s">
        <v>5220</v>
      </c>
      <c r="R4190" t="s">
        <v>248</v>
      </c>
      <c r="S4190">
        <v>147.64961</v>
      </c>
      <c r="T4190" s="1095">
        <v>-35.405064000000003</v>
      </c>
    </row>
    <row r="4191" spans="16:20">
      <c r="P4191" s="1094">
        <v>2652</v>
      </c>
      <c r="Q4191" t="s">
        <v>5221</v>
      </c>
      <c r="R4191" t="s">
        <v>248</v>
      </c>
      <c r="S4191">
        <v>147.64961</v>
      </c>
      <c r="T4191" s="1095">
        <v>-35.405064000000003</v>
      </c>
    </row>
    <row r="4192" spans="16:20">
      <c r="P4192" s="1094">
        <v>2652</v>
      </c>
      <c r="Q4192" t="s">
        <v>5222</v>
      </c>
      <c r="R4192" t="s">
        <v>248</v>
      </c>
      <c r="S4192">
        <v>147.64961</v>
      </c>
      <c r="T4192" s="1095">
        <v>-35.405064000000003</v>
      </c>
    </row>
    <row r="4193" spans="16:20">
      <c r="P4193" s="1094">
        <v>2652</v>
      </c>
      <c r="Q4193" t="s">
        <v>5223</v>
      </c>
      <c r="R4193" t="s">
        <v>248</v>
      </c>
      <c r="S4193">
        <v>147.64961</v>
      </c>
      <c r="T4193" s="1095">
        <v>-35.405064000000003</v>
      </c>
    </row>
    <row r="4194" spans="16:20">
      <c r="P4194" s="1094">
        <v>2652</v>
      </c>
      <c r="Q4194" t="s">
        <v>5224</v>
      </c>
      <c r="R4194" t="s">
        <v>248</v>
      </c>
      <c r="S4194">
        <v>147.64961</v>
      </c>
      <c r="T4194" s="1095">
        <v>-35.405064000000003</v>
      </c>
    </row>
    <row r="4195" spans="16:20">
      <c r="P4195" s="1094">
        <v>2652</v>
      </c>
      <c r="Q4195" t="s">
        <v>5225</v>
      </c>
      <c r="R4195" t="s">
        <v>248</v>
      </c>
      <c r="S4195">
        <v>147.64961</v>
      </c>
      <c r="T4195" s="1095">
        <v>-35.405064000000003</v>
      </c>
    </row>
    <row r="4196" spans="16:20">
      <c r="P4196" s="1094">
        <v>2652</v>
      </c>
      <c r="Q4196" t="s">
        <v>5226</v>
      </c>
      <c r="R4196" t="s">
        <v>248</v>
      </c>
      <c r="S4196">
        <v>147.64961</v>
      </c>
      <c r="T4196" s="1095">
        <v>-35.405064000000003</v>
      </c>
    </row>
    <row r="4197" spans="16:20">
      <c r="P4197" s="1094">
        <v>2652</v>
      </c>
      <c r="Q4197" t="s">
        <v>5227</v>
      </c>
      <c r="R4197" t="s">
        <v>248</v>
      </c>
      <c r="S4197">
        <v>147.64961</v>
      </c>
      <c r="T4197" s="1095">
        <v>-35.405064000000003</v>
      </c>
    </row>
    <row r="4198" spans="16:20">
      <c r="P4198" s="1094">
        <v>2652</v>
      </c>
      <c r="Q4198" t="s">
        <v>5228</v>
      </c>
      <c r="R4198" t="s">
        <v>248</v>
      </c>
      <c r="S4198">
        <v>147.64961</v>
      </c>
      <c r="T4198" s="1095">
        <v>-35.405064000000003</v>
      </c>
    </row>
    <row r="4199" spans="16:20">
      <c r="P4199" s="1094">
        <v>2652</v>
      </c>
      <c r="Q4199" t="s">
        <v>3575</v>
      </c>
      <c r="R4199" t="s">
        <v>248</v>
      </c>
      <c r="S4199">
        <v>147.64961</v>
      </c>
      <c r="T4199" s="1095">
        <v>-35.405064000000003</v>
      </c>
    </row>
    <row r="4200" spans="16:20">
      <c r="P4200" s="1094">
        <v>2652</v>
      </c>
      <c r="Q4200" t="s">
        <v>5229</v>
      </c>
      <c r="R4200" t="s">
        <v>248</v>
      </c>
      <c r="S4200">
        <v>147.64961</v>
      </c>
      <c r="T4200" s="1095">
        <v>-35.405064000000003</v>
      </c>
    </row>
    <row r="4201" spans="16:20">
      <c r="P4201" s="1094">
        <v>2652</v>
      </c>
      <c r="Q4201" t="s">
        <v>5230</v>
      </c>
      <c r="R4201" t="s">
        <v>248</v>
      </c>
      <c r="S4201">
        <v>147.64961</v>
      </c>
      <c r="T4201" s="1095">
        <v>-35.405064000000003</v>
      </c>
    </row>
    <row r="4202" spans="16:20">
      <c r="P4202" s="1094">
        <v>2652</v>
      </c>
      <c r="Q4202" t="s">
        <v>5231</v>
      </c>
      <c r="R4202" t="s">
        <v>248</v>
      </c>
      <c r="S4202">
        <v>147.64961</v>
      </c>
      <c r="T4202" s="1095">
        <v>-35.405064000000003</v>
      </c>
    </row>
    <row r="4203" spans="16:20">
      <c r="P4203" s="1094">
        <v>2653</v>
      </c>
      <c r="Q4203" t="s">
        <v>4884</v>
      </c>
      <c r="R4203" t="s">
        <v>248</v>
      </c>
      <c r="S4203">
        <v>148.04133899999999</v>
      </c>
      <c r="T4203" s="1095">
        <v>-35.776209000000001</v>
      </c>
    </row>
    <row r="4204" spans="16:20">
      <c r="P4204" s="1094">
        <v>2653</v>
      </c>
      <c r="Q4204" t="s">
        <v>5232</v>
      </c>
      <c r="R4204" t="s">
        <v>248</v>
      </c>
      <c r="S4204">
        <v>148.04133899999999</v>
      </c>
      <c r="T4204" s="1095">
        <v>-35.776209000000001</v>
      </c>
    </row>
    <row r="4205" spans="16:20">
      <c r="P4205" s="1094">
        <v>2653</v>
      </c>
      <c r="Q4205" t="s">
        <v>5083</v>
      </c>
      <c r="R4205" t="s">
        <v>248</v>
      </c>
      <c r="S4205">
        <v>148.04133899999999</v>
      </c>
      <c r="T4205" s="1095">
        <v>-35.776209000000001</v>
      </c>
    </row>
    <row r="4206" spans="16:20">
      <c r="P4206" s="1094">
        <v>2653</v>
      </c>
      <c r="Q4206" t="s">
        <v>5233</v>
      </c>
      <c r="R4206" t="s">
        <v>248</v>
      </c>
      <c r="S4206">
        <v>148.04133899999999</v>
      </c>
      <c r="T4206" s="1095">
        <v>-35.776209000000001</v>
      </c>
    </row>
    <row r="4207" spans="16:20">
      <c r="P4207" s="1094">
        <v>2653</v>
      </c>
      <c r="Q4207" t="s">
        <v>5234</v>
      </c>
      <c r="R4207" t="s">
        <v>248</v>
      </c>
      <c r="S4207">
        <v>148.04133899999999</v>
      </c>
      <c r="T4207" s="1095">
        <v>-35.776209000000001</v>
      </c>
    </row>
    <row r="4208" spans="16:20">
      <c r="P4208" s="1094">
        <v>2653</v>
      </c>
      <c r="Q4208" t="s">
        <v>5235</v>
      </c>
      <c r="R4208" t="s">
        <v>248</v>
      </c>
      <c r="S4208">
        <v>148.04133899999999</v>
      </c>
      <c r="T4208" s="1095">
        <v>-35.776209000000001</v>
      </c>
    </row>
    <row r="4209" spans="16:20">
      <c r="P4209" s="1094">
        <v>2653</v>
      </c>
      <c r="Q4209" t="s">
        <v>4628</v>
      </c>
      <c r="R4209" t="s">
        <v>248</v>
      </c>
      <c r="S4209">
        <v>148.04133899999999</v>
      </c>
      <c r="T4209" s="1095">
        <v>-35.776209000000001</v>
      </c>
    </row>
    <row r="4210" spans="16:20">
      <c r="P4210" s="1094">
        <v>2653</v>
      </c>
      <c r="Q4210" t="s">
        <v>5236</v>
      </c>
      <c r="R4210" t="s">
        <v>248</v>
      </c>
      <c r="S4210">
        <v>148.04133899999999</v>
      </c>
      <c r="T4210" s="1095">
        <v>-35.776209000000001</v>
      </c>
    </row>
    <row r="4211" spans="16:20">
      <c r="P4211" s="1094">
        <v>2653</v>
      </c>
      <c r="Q4211" t="s">
        <v>5237</v>
      </c>
      <c r="R4211" t="s">
        <v>248</v>
      </c>
      <c r="S4211">
        <v>148.04133899999999</v>
      </c>
      <c r="T4211" s="1095">
        <v>-35.776209000000001</v>
      </c>
    </row>
    <row r="4212" spans="16:20">
      <c r="P4212" s="1094">
        <v>2653</v>
      </c>
      <c r="Q4212" t="s">
        <v>5238</v>
      </c>
      <c r="R4212" t="s">
        <v>248</v>
      </c>
      <c r="S4212">
        <v>148.04133899999999</v>
      </c>
      <c r="T4212" s="1095">
        <v>-35.776209000000001</v>
      </c>
    </row>
    <row r="4213" spans="16:20">
      <c r="P4213" s="1094">
        <v>2655</v>
      </c>
      <c r="Q4213" t="s">
        <v>5239</v>
      </c>
      <c r="R4213" t="s">
        <v>248</v>
      </c>
      <c r="S4213">
        <v>147.04736600000001</v>
      </c>
      <c r="T4213" s="1095">
        <v>-35.225102</v>
      </c>
    </row>
    <row r="4214" spans="16:20">
      <c r="P4214" s="1094">
        <v>2655</v>
      </c>
      <c r="Q4214" t="s">
        <v>5240</v>
      </c>
      <c r="R4214" t="s">
        <v>248</v>
      </c>
      <c r="S4214">
        <v>147.04736600000001</v>
      </c>
      <c r="T4214" s="1095">
        <v>-35.225102</v>
      </c>
    </row>
    <row r="4215" spans="16:20">
      <c r="P4215" s="1094">
        <v>2655</v>
      </c>
      <c r="Q4215" t="s">
        <v>5241</v>
      </c>
      <c r="R4215" t="s">
        <v>248</v>
      </c>
      <c r="S4215">
        <v>147.04736600000001</v>
      </c>
      <c r="T4215" s="1095">
        <v>-35.225102</v>
      </c>
    </row>
    <row r="4216" spans="16:20">
      <c r="P4216" s="1094">
        <v>2655</v>
      </c>
      <c r="Q4216" t="s">
        <v>5242</v>
      </c>
      <c r="R4216" t="s">
        <v>248</v>
      </c>
      <c r="S4216">
        <v>147.04736600000001</v>
      </c>
      <c r="T4216" s="1095">
        <v>-35.225102</v>
      </c>
    </row>
    <row r="4217" spans="16:20">
      <c r="P4217" s="1094">
        <v>2655</v>
      </c>
      <c r="Q4217" t="s">
        <v>5243</v>
      </c>
      <c r="R4217" t="s">
        <v>248</v>
      </c>
      <c r="S4217">
        <v>147.04736600000001</v>
      </c>
      <c r="T4217" s="1095">
        <v>-35.225102</v>
      </c>
    </row>
    <row r="4218" spans="16:20">
      <c r="P4218" s="1094">
        <v>2656</v>
      </c>
      <c r="Q4218" t="s">
        <v>5244</v>
      </c>
      <c r="R4218" t="s">
        <v>248</v>
      </c>
      <c r="S4218">
        <v>146.767674</v>
      </c>
      <c r="T4218" s="1095">
        <v>-35.356020999999998</v>
      </c>
    </row>
    <row r="4219" spans="16:20">
      <c r="P4219" s="1094">
        <v>2656</v>
      </c>
      <c r="Q4219" t="s">
        <v>5245</v>
      </c>
      <c r="R4219" t="s">
        <v>248</v>
      </c>
      <c r="S4219">
        <v>146.767674</v>
      </c>
      <c r="T4219" s="1095">
        <v>-35.356020999999998</v>
      </c>
    </row>
    <row r="4220" spans="16:20">
      <c r="P4220" s="1094">
        <v>2656</v>
      </c>
      <c r="Q4220" t="s">
        <v>5246</v>
      </c>
      <c r="R4220" t="s">
        <v>248</v>
      </c>
      <c r="S4220">
        <v>146.767674</v>
      </c>
      <c r="T4220" s="1095">
        <v>-35.356020999999998</v>
      </c>
    </row>
    <row r="4221" spans="16:20">
      <c r="P4221" s="1094">
        <v>2656</v>
      </c>
      <c r="Q4221" t="s">
        <v>5247</v>
      </c>
      <c r="R4221" t="s">
        <v>248</v>
      </c>
      <c r="S4221">
        <v>146.767674</v>
      </c>
      <c r="T4221" s="1095">
        <v>-35.356020999999998</v>
      </c>
    </row>
    <row r="4222" spans="16:20">
      <c r="P4222" s="1094">
        <v>2656</v>
      </c>
      <c r="Q4222" t="s">
        <v>5248</v>
      </c>
      <c r="R4222" t="s">
        <v>248</v>
      </c>
      <c r="S4222">
        <v>146.767674</v>
      </c>
      <c r="T4222" s="1095">
        <v>-35.356020999999998</v>
      </c>
    </row>
    <row r="4223" spans="16:20">
      <c r="P4223" s="1094">
        <v>2656</v>
      </c>
      <c r="Q4223" t="s">
        <v>5249</v>
      </c>
      <c r="R4223" t="s">
        <v>248</v>
      </c>
      <c r="S4223">
        <v>146.767674</v>
      </c>
      <c r="T4223" s="1095">
        <v>-35.356020999999998</v>
      </c>
    </row>
    <row r="4224" spans="16:20">
      <c r="P4224" s="1094">
        <v>2658</v>
      </c>
      <c r="Q4224" t="s">
        <v>5250</v>
      </c>
      <c r="R4224" t="s">
        <v>248</v>
      </c>
      <c r="S4224">
        <v>146.97784899999999</v>
      </c>
      <c r="T4224" s="1095">
        <v>-35.535739</v>
      </c>
    </row>
    <row r="4225" spans="16:20">
      <c r="P4225" s="1094">
        <v>2658</v>
      </c>
      <c r="Q4225" t="s">
        <v>5251</v>
      </c>
      <c r="R4225" t="s">
        <v>248</v>
      </c>
      <c r="S4225">
        <v>146.97784899999999</v>
      </c>
      <c r="T4225" s="1095">
        <v>-35.535739</v>
      </c>
    </row>
    <row r="4226" spans="16:20">
      <c r="P4226" s="1094">
        <v>2658</v>
      </c>
      <c r="Q4226" t="s">
        <v>5252</v>
      </c>
      <c r="R4226" t="s">
        <v>248</v>
      </c>
      <c r="S4226">
        <v>146.97784899999999</v>
      </c>
      <c r="T4226" s="1095">
        <v>-35.535739</v>
      </c>
    </row>
    <row r="4227" spans="16:20">
      <c r="P4227" s="1094">
        <v>2658</v>
      </c>
      <c r="Q4227" t="s">
        <v>5253</v>
      </c>
      <c r="R4227" t="s">
        <v>248</v>
      </c>
      <c r="S4227">
        <v>146.97784899999999</v>
      </c>
      <c r="T4227" s="1095">
        <v>-35.535739</v>
      </c>
    </row>
    <row r="4228" spans="16:20">
      <c r="P4228" s="1094">
        <v>2658</v>
      </c>
      <c r="Q4228" t="s">
        <v>5254</v>
      </c>
      <c r="R4228" t="s">
        <v>248</v>
      </c>
      <c r="S4228">
        <v>146.97784899999999</v>
      </c>
      <c r="T4228" s="1095">
        <v>-35.535739</v>
      </c>
    </row>
    <row r="4229" spans="16:20">
      <c r="P4229" s="1094">
        <v>2659</v>
      </c>
      <c r="Q4229" t="s">
        <v>5255</v>
      </c>
      <c r="R4229" t="s">
        <v>248</v>
      </c>
      <c r="S4229">
        <v>146.76747700000001</v>
      </c>
      <c r="T4229" s="1095">
        <v>-35.610146999999998</v>
      </c>
    </row>
    <row r="4230" spans="16:20">
      <c r="P4230" s="1094">
        <v>2659</v>
      </c>
      <c r="Q4230" t="s">
        <v>5256</v>
      </c>
      <c r="R4230" t="s">
        <v>248</v>
      </c>
      <c r="S4230">
        <v>146.76747700000001</v>
      </c>
      <c r="T4230" s="1095">
        <v>-35.610146999999998</v>
      </c>
    </row>
    <row r="4231" spans="16:20">
      <c r="P4231" s="1094">
        <v>2660</v>
      </c>
      <c r="Q4231" t="s">
        <v>5257</v>
      </c>
      <c r="R4231" t="s">
        <v>248</v>
      </c>
      <c r="S4231">
        <v>147.07830999999999</v>
      </c>
      <c r="T4231" s="1095">
        <v>-35.699905999999999</v>
      </c>
    </row>
    <row r="4232" spans="16:20">
      <c r="P4232" s="1094">
        <v>2660</v>
      </c>
      <c r="Q4232" t="s">
        <v>5258</v>
      </c>
      <c r="R4232" t="s">
        <v>248</v>
      </c>
      <c r="S4232">
        <v>147.07830999999999</v>
      </c>
      <c r="T4232" s="1095">
        <v>-35.699905999999999</v>
      </c>
    </row>
    <row r="4233" spans="16:20">
      <c r="P4233" s="1094">
        <v>2660</v>
      </c>
      <c r="Q4233" t="s">
        <v>3088</v>
      </c>
      <c r="R4233" t="s">
        <v>248</v>
      </c>
      <c r="S4233">
        <v>147.07830999999999</v>
      </c>
      <c r="T4233" s="1095">
        <v>-35.699905999999999</v>
      </c>
    </row>
    <row r="4234" spans="16:20">
      <c r="P4234" s="1094">
        <v>2661</v>
      </c>
      <c r="Q4234" t="s">
        <v>5259</v>
      </c>
      <c r="R4234" t="s">
        <v>248</v>
      </c>
      <c r="S4234">
        <v>147.277559</v>
      </c>
      <c r="T4234" s="1095">
        <v>-35.157696999999999</v>
      </c>
    </row>
    <row r="4235" spans="16:20">
      <c r="P4235" s="1094">
        <v>2663</v>
      </c>
      <c r="Q4235" t="s">
        <v>5260</v>
      </c>
      <c r="R4235" t="s">
        <v>248</v>
      </c>
      <c r="S4235">
        <v>147.716767</v>
      </c>
      <c r="T4235" s="1095">
        <v>-34.933478000000001</v>
      </c>
    </row>
    <row r="4236" spans="16:20">
      <c r="P4236" s="1094">
        <v>2663</v>
      </c>
      <c r="Q4236" t="s">
        <v>5261</v>
      </c>
      <c r="R4236" t="s">
        <v>248</v>
      </c>
      <c r="S4236">
        <v>147.716767</v>
      </c>
      <c r="T4236" s="1095">
        <v>-34.933478000000001</v>
      </c>
    </row>
    <row r="4237" spans="16:20">
      <c r="P4237" s="1094">
        <v>2663</v>
      </c>
      <c r="Q4237" t="s">
        <v>5262</v>
      </c>
      <c r="R4237" t="s">
        <v>248</v>
      </c>
      <c r="S4237">
        <v>147.716767</v>
      </c>
      <c r="T4237" s="1095">
        <v>-34.933478000000001</v>
      </c>
    </row>
    <row r="4238" spans="16:20">
      <c r="P4238" s="1094">
        <v>2663</v>
      </c>
      <c r="Q4238" t="s">
        <v>5263</v>
      </c>
      <c r="R4238" t="s">
        <v>248</v>
      </c>
      <c r="S4238">
        <v>147.716767</v>
      </c>
      <c r="T4238" s="1095">
        <v>-34.933478000000001</v>
      </c>
    </row>
    <row r="4239" spans="16:20">
      <c r="P4239" s="1094">
        <v>2663</v>
      </c>
      <c r="Q4239" t="s">
        <v>5264</v>
      </c>
      <c r="R4239" t="s">
        <v>248</v>
      </c>
      <c r="S4239">
        <v>147.716767</v>
      </c>
      <c r="T4239" s="1095">
        <v>-34.933478000000001</v>
      </c>
    </row>
    <row r="4240" spans="16:20">
      <c r="P4240" s="1094">
        <v>2663</v>
      </c>
      <c r="Q4240" t="s">
        <v>5265</v>
      </c>
      <c r="R4240" t="s">
        <v>248</v>
      </c>
      <c r="S4240">
        <v>147.716767</v>
      </c>
      <c r="T4240" s="1095">
        <v>-34.933478000000001</v>
      </c>
    </row>
    <row r="4241" spans="16:20">
      <c r="P4241" s="1094">
        <v>2663</v>
      </c>
      <c r="Q4241" t="s">
        <v>5266</v>
      </c>
      <c r="R4241" t="s">
        <v>248</v>
      </c>
      <c r="S4241">
        <v>147.716767</v>
      </c>
      <c r="T4241" s="1095">
        <v>-34.933478000000001</v>
      </c>
    </row>
    <row r="4242" spans="16:20">
      <c r="P4242" s="1094">
        <v>2663</v>
      </c>
      <c r="Q4242" t="s">
        <v>5267</v>
      </c>
      <c r="R4242" t="s">
        <v>248</v>
      </c>
      <c r="S4242">
        <v>147.716767</v>
      </c>
      <c r="T4242" s="1095">
        <v>-34.933478000000001</v>
      </c>
    </row>
    <row r="4243" spans="16:20">
      <c r="P4243" s="1094">
        <v>2663</v>
      </c>
      <c r="Q4243" t="s">
        <v>5268</v>
      </c>
      <c r="R4243" t="s">
        <v>248</v>
      </c>
      <c r="S4243">
        <v>147.716767</v>
      </c>
      <c r="T4243" s="1095">
        <v>-34.933478000000001</v>
      </c>
    </row>
    <row r="4244" spans="16:20">
      <c r="P4244" s="1094">
        <v>2665</v>
      </c>
      <c r="Q4244" t="s">
        <v>5269</v>
      </c>
      <c r="R4244" t="s">
        <v>248</v>
      </c>
      <c r="S4244">
        <v>146.841533</v>
      </c>
      <c r="T4244" s="1095">
        <v>-34.313240999999998</v>
      </c>
    </row>
    <row r="4245" spans="16:20">
      <c r="P4245" s="1094">
        <v>2665</v>
      </c>
      <c r="Q4245" t="s">
        <v>5270</v>
      </c>
      <c r="R4245" t="s">
        <v>248</v>
      </c>
      <c r="S4245">
        <v>146.841533</v>
      </c>
      <c r="T4245" s="1095">
        <v>-34.313240999999998</v>
      </c>
    </row>
    <row r="4246" spans="16:20">
      <c r="P4246" s="1094">
        <v>2665</v>
      </c>
      <c r="Q4246" t="s">
        <v>5271</v>
      </c>
      <c r="R4246" t="s">
        <v>248</v>
      </c>
      <c r="S4246">
        <v>146.841533</v>
      </c>
      <c r="T4246" s="1095">
        <v>-34.313240999999998</v>
      </c>
    </row>
    <row r="4247" spans="16:20">
      <c r="P4247" s="1094">
        <v>2665</v>
      </c>
      <c r="Q4247" t="s">
        <v>5272</v>
      </c>
      <c r="R4247" t="s">
        <v>248</v>
      </c>
      <c r="S4247">
        <v>146.841533</v>
      </c>
      <c r="T4247" s="1095">
        <v>-34.313240999999998</v>
      </c>
    </row>
    <row r="4248" spans="16:20">
      <c r="P4248" s="1094">
        <v>2665</v>
      </c>
      <c r="Q4248" t="s">
        <v>5273</v>
      </c>
      <c r="R4248" t="s">
        <v>248</v>
      </c>
      <c r="S4248">
        <v>146.841533</v>
      </c>
      <c r="T4248" s="1095">
        <v>-34.313240999999998</v>
      </c>
    </row>
    <row r="4249" spans="16:20">
      <c r="P4249" s="1094">
        <v>2665</v>
      </c>
      <c r="Q4249" t="s">
        <v>5274</v>
      </c>
      <c r="R4249" t="s">
        <v>248</v>
      </c>
      <c r="S4249">
        <v>146.841533</v>
      </c>
      <c r="T4249" s="1095">
        <v>-34.313240999999998</v>
      </c>
    </row>
    <row r="4250" spans="16:20">
      <c r="P4250" s="1094">
        <v>2665</v>
      </c>
      <c r="Q4250" t="s">
        <v>5275</v>
      </c>
      <c r="R4250" t="s">
        <v>248</v>
      </c>
      <c r="S4250">
        <v>146.841533</v>
      </c>
      <c r="T4250" s="1095">
        <v>-34.313240999999998</v>
      </c>
    </row>
    <row r="4251" spans="16:20">
      <c r="P4251" s="1094">
        <v>2665</v>
      </c>
      <c r="Q4251" t="s">
        <v>5276</v>
      </c>
      <c r="R4251" t="s">
        <v>248</v>
      </c>
      <c r="S4251">
        <v>146.841533</v>
      </c>
      <c r="T4251" s="1095">
        <v>-34.313240999999998</v>
      </c>
    </row>
    <row r="4252" spans="16:20">
      <c r="P4252" s="1094">
        <v>2665</v>
      </c>
      <c r="Q4252" t="s">
        <v>5277</v>
      </c>
      <c r="R4252" t="s">
        <v>248</v>
      </c>
      <c r="S4252">
        <v>146.841533</v>
      </c>
      <c r="T4252" s="1095">
        <v>-34.313240999999998</v>
      </c>
    </row>
    <row r="4253" spans="16:20">
      <c r="P4253" s="1094">
        <v>2665</v>
      </c>
      <c r="Q4253" t="s">
        <v>5278</v>
      </c>
      <c r="R4253" t="s">
        <v>248</v>
      </c>
      <c r="S4253">
        <v>146.841533</v>
      </c>
      <c r="T4253" s="1095">
        <v>-34.313240999999998</v>
      </c>
    </row>
    <row r="4254" spans="16:20">
      <c r="P4254" s="1094">
        <v>2665</v>
      </c>
      <c r="Q4254" t="s">
        <v>5279</v>
      </c>
      <c r="R4254" t="s">
        <v>248</v>
      </c>
      <c r="S4254">
        <v>146.841533</v>
      </c>
      <c r="T4254" s="1095">
        <v>-34.313240999999998</v>
      </c>
    </row>
    <row r="4255" spans="16:20">
      <c r="P4255" s="1094">
        <v>2665</v>
      </c>
      <c r="Q4255" t="s">
        <v>5280</v>
      </c>
      <c r="R4255" t="s">
        <v>248</v>
      </c>
      <c r="S4255">
        <v>146.841533</v>
      </c>
      <c r="T4255" s="1095">
        <v>-34.313240999999998</v>
      </c>
    </row>
    <row r="4256" spans="16:20">
      <c r="P4256" s="1094">
        <v>2666</v>
      </c>
      <c r="Q4256" t="s">
        <v>5281</v>
      </c>
      <c r="R4256" t="s">
        <v>248</v>
      </c>
      <c r="S4256">
        <v>147.583811</v>
      </c>
      <c r="T4256" s="1095">
        <v>-34.487779000000003</v>
      </c>
    </row>
    <row r="4257" spans="16:20">
      <c r="P4257" s="1094">
        <v>2666</v>
      </c>
      <c r="Q4257" t="s">
        <v>5282</v>
      </c>
      <c r="R4257" t="s">
        <v>248</v>
      </c>
      <c r="S4257">
        <v>147.583811</v>
      </c>
      <c r="T4257" s="1095">
        <v>-34.487779000000003</v>
      </c>
    </row>
    <row r="4258" spans="16:20">
      <c r="P4258" s="1094">
        <v>2666</v>
      </c>
      <c r="Q4258" t="s">
        <v>5283</v>
      </c>
      <c r="R4258" t="s">
        <v>248</v>
      </c>
      <c r="S4258">
        <v>147.583811</v>
      </c>
      <c r="T4258" s="1095">
        <v>-34.487779000000003</v>
      </c>
    </row>
    <row r="4259" spans="16:20">
      <c r="P4259" s="1094">
        <v>2666</v>
      </c>
      <c r="Q4259" t="s">
        <v>5284</v>
      </c>
      <c r="R4259" t="s">
        <v>248</v>
      </c>
      <c r="S4259">
        <v>147.583811</v>
      </c>
      <c r="T4259" s="1095">
        <v>-34.487779000000003</v>
      </c>
    </row>
    <row r="4260" spans="16:20">
      <c r="P4260" s="1094">
        <v>2666</v>
      </c>
      <c r="Q4260" t="s">
        <v>5285</v>
      </c>
      <c r="R4260" t="s">
        <v>248</v>
      </c>
      <c r="S4260">
        <v>147.583811</v>
      </c>
      <c r="T4260" s="1095">
        <v>-34.487779000000003</v>
      </c>
    </row>
    <row r="4261" spans="16:20">
      <c r="P4261" s="1094">
        <v>2666</v>
      </c>
      <c r="Q4261" t="s">
        <v>5286</v>
      </c>
      <c r="R4261" t="s">
        <v>248</v>
      </c>
      <c r="S4261">
        <v>147.583811</v>
      </c>
      <c r="T4261" s="1095">
        <v>-34.487779000000003</v>
      </c>
    </row>
    <row r="4262" spans="16:20">
      <c r="P4262" s="1094">
        <v>2666</v>
      </c>
      <c r="Q4262" t="s">
        <v>5287</v>
      </c>
      <c r="R4262" t="s">
        <v>248</v>
      </c>
      <c r="S4262">
        <v>147.583811</v>
      </c>
      <c r="T4262" s="1095">
        <v>-34.487779000000003</v>
      </c>
    </row>
    <row r="4263" spans="16:20">
      <c r="P4263" s="1094">
        <v>2666</v>
      </c>
      <c r="Q4263" t="s">
        <v>5288</v>
      </c>
      <c r="R4263" t="s">
        <v>248</v>
      </c>
      <c r="S4263">
        <v>147.583811</v>
      </c>
      <c r="T4263" s="1095">
        <v>-34.487779000000003</v>
      </c>
    </row>
    <row r="4264" spans="16:20">
      <c r="P4264" s="1094">
        <v>2666</v>
      </c>
      <c r="Q4264" t="s">
        <v>5289</v>
      </c>
      <c r="R4264" t="s">
        <v>248</v>
      </c>
      <c r="S4264">
        <v>147.583811</v>
      </c>
      <c r="T4264" s="1095">
        <v>-34.487779000000003</v>
      </c>
    </row>
    <row r="4265" spans="16:20">
      <c r="P4265" s="1094">
        <v>2666</v>
      </c>
      <c r="Q4265" t="s">
        <v>5290</v>
      </c>
      <c r="R4265" t="s">
        <v>248</v>
      </c>
      <c r="S4265">
        <v>147.583811</v>
      </c>
      <c r="T4265" s="1095">
        <v>-34.487779000000003</v>
      </c>
    </row>
    <row r="4266" spans="16:20">
      <c r="P4266" s="1094">
        <v>2666</v>
      </c>
      <c r="Q4266" t="s">
        <v>5291</v>
      </c>
      <c r="R4266" t="s">
        <v>248</v>
      </c>
      <c r="S4266">
        <v>147.583811</v>
      </c>
      <c r="T4266" s="1095">
        <v>-34.487779000000003</v>
      </c>
    </row>
    <row r="4267" spans="16:20">
      <c r="P4267" s="1094">
        <v>2666</v>
      </c>
      <c r="Q4267" t="s">
        <v>5292</v>
      </c>
      <c r="R4267" t="s">
        <v>248</v>
      </c>
      <c r="S4267">
        <v>147.583811</v>
      </c>
      <c r="T4267" s="1095">
        <v>-34.487779000000003</v>
      </c>
    </row>
    <row r="4268" spans="16:20">
      <c r="P4268" s="1094">
        <v>2666</v>
      </c>
      <c r="Q4268" t="s">
        <v>5293</v>
      </c>
      <c r="R4268" t="s">
        <v>248</v>
      </c>
      <c r="S4268">
        <v>147.583811</v>
      </c>
      <c r="T4268" s="1095">
        <v>-34.487779000000003</v>
      </c>
    </row>
    <row r="4269" spans="16:20">
      <c r="P4269" s="1094">
        <v>2666</v>
      </c>
      <c r="Q4269" t="s">
        <v>5294</v>
      </c>
      <c r="R4269" t="s">
        <v>248</v>
      </c>
      <c r="S4269">
        <v>147.583811</v>
      </c>
      <c r="T4269" s="1095">
        <v>-34.487779000000003</v>
      </c>
    </row>
    <row r="4270" spans="16:20">
      <c r="P4270" s="1094">
        <v>2666</v>
      </c>
      <c r="Q4270" t="s">
        <v>5295</v>
      </c>
      <c r="R4270" t="s">
        <v>248</v>
      </c>
      <c r="S4270">
        <v>147.583811</v>
      </c>
      <c r="T4270" s="1095">
        <v>-34.487779000000003</v>
      </c>
    </row>
    <row r="4271" spans="16:20">
      <c r="P4271" s="1094">
        <v>2668</v>
      </c>
      <c r="Q4271" t="s">
        <v>5296</v>
      </c>
      <c r="R4271" t="s">
        <v>248</v>
      </c>
      <c r="S4271">
        <v>147.40543400000001</v>
      </c>
      <c r="T4271" s="1095">
        <v>-34.121499</v>
      </c>
    </row>
    <row r="4272" spans="16:20">
      <c r="P4272" s="1094">
        <v>2669</v>
      </c>
      <c r="Q4272" t="s">
        <v>5297</v>
      </c>
      <c r="R4272" t="s">
        <v>248</v>
      </c>
      <c r="S4272">
        <v>146.66747599999999</v>
      </c>
      <c r="T4272" s="1095">
        <v>-33.814886999999999</v>
      </c>
    </row>
    <row r="4273" spans="16:20">
      <c r="P4273" s="1094">
        <v>2669</v>
      </c>
      <c r="Q4273" t="s">
        <v>5298</v>
      </c>
      <c r="R4273" t="s">
        <v>248</v>
      </c>
      <c r="S4273">
        <v>146.66747599999999</v>
      </c>
      <c r="T4273" s="1095">
        <v>-33.814886999999999</v>
      </c>
    </row>
    <row r="4274" spans="16:20">
      <c r="P4274" s="1094">
        <v>2669</v>
      </c>
      <c r="Q4274" t="s">
        <v>5299</v>
      </c>
      <c r="R4274" t="s">
        <v>248</v>
      </c>
      <c r="S4274">
        <v>146.66747599999999</v>
      </c>
      <c r="T4274" s="1095">
        <v>-33.814886999999999</v>
      </c>
    </row>
    <row r="4275" spans="16:20">
      <c r="P4275" s="1094">
        <v>2669</v>
      </c>
      <c r="Q4275" t="s">
        <v>5300</v>
      </c>
      <c r="R4275" t="s">
        <v>248</v>
      </c>
      <c r="S4275">
        <v>146.66747599999999</v>
      </c>
      <c r="T4275" s="1095">
        <v>-33.814886999999999</v>
      </c>
    </row>
    <row r="4276" spans="16:20">
      <c r="P4276" s="1094">
        <v>2669</v>
      </c>
      <c r="Q4276" t="s">
        <v>5301</v>
      </c>
      <c r="R4276" t="s">
        <v>248</v>
      </c>
      <c r="S4276">
        <v>146.66747599999999</v>
      </c>
      <c r="T4276" s="1095">
        <v>-33.814886999999999</v>
      </c>
    </row>
    <row r="4277" spans="16:20">
      <c r="P4277" s="1094">
        <v>2669</v>
      </c>
      <c r="Q4277" t="s">
        <v>5302</v>
      </c>
      <c r="R4277" t="s">
        <v>248</v>
      </c>
      <c r="S4277">
        <v>146.66747599999999</v>
      </c>
      <c r="T4277" s="1095">
        <v>-33.814886999999999</v>
      </c>
    </row>
    <row r="4278" spans="16:20">
      <c r="P4278" s="1094">
        <v>2669</v>
      </c>
      <c r="Q4278" t="s">
        <v>5303</v>
      </c>
      <c r="R4278" t="s">
        <v>248</v>
      </c>
      <c r="S4278">
        <v>146.66747599999999</v>
      </c>
      <c r="T4278" s="1095">
        <v>-33.814886999999999</v>
      </c>
    </row>
    <row r="4279" spans="16:20">
      <c r="P4279" s="1094">
        <v>2669</v>
      </c>
      <c r="Q4279" t="s">
        <v>5304</v>
      </c>
      <c r="R4279" t="s">
        <v>248</v>
      </c>
      <c r="S4279">
        <v>146.66747599999999</v>
      </c>
      <c r="T4279" s="1095">
        <v>-33.814886999999999</v>
      </c>
    </row>
    <row r="4280" spans="16:20">
      <c r="P4280" s="1094">
        <v>2669</v>
      </c>
      <c r="Q4280" t="s">
        <v>5305</v>
      </c>
      <c r="R4280" t="s">
        <v>248</v>
      </c>
      <c r="S4280">
        <v>146.66747599999999</v>
      </c>
      <c r="T4280" s="1095">
        <v>-33.814886999999999</v>
      </c>
    </row>
    <row r="4281" spans="16:20">
      <c r="P4281" s="1094">
        <v>2669</v>
      </c>
      <c r="Q4281" t="s">
        <v>5306</v>
      </c>
      <c r="R4281" t="s">
        <v>248</v>
      </c>
      <c r="S4281">
        <v>146.66747599999999</v>
      </c>
      <c r="T4281" s="1095">
        <v>-33.814886999999999</v>
      </c>
    </row>
    <row r="4282" spans="16:20">
      <c r="P4282" s="1094">
        <v>2669</v>
      </c>
      <c r="Q4282" t="s">
        <v>5307</v>
      </c>
      <c r="R4282" t="s">
        <v>248</v>
      </c>
      <c r="S4282">
        <v>146.66747599999999</v>
      </c>
      <c r="T4282" s="1095">
        <v>-33.814886999999999</v>
      </c>
    </row>
    <row r="4283" spans="16:20">
      <c r="P4283" s="1094">
        <v>2669</v>
      </c>
      <c r="Q4283" t="s">
        <v>5308</v>
      </c>
      <c r="R4283" t="s">
        <v>248</v>
      </c>
      <c r="S4283">
        <v>146.66747599999999</v>
      </c>
      <c r="T4283" s="1095">
        <v>-33.814886999999999</v>
      </c>
    </row>
    <row r="4284" spans="16:20">
      <c r="P4284" s="1094">
        <v>2669</v>
      </c>
      <c r="Q4284" t="s">
        <v>5309</v>
      </c>
      <c r="R4284" t="s">
        <v>248</v>
      </c>
      <c r="S4284">
        <v>146.66747599999999</v>
      </c>
      <c r="T4284" s="1095">
        <v>-33.814886999999999</v>
      </c>
    </row>
    <row r="4285" spans="16:20">
      <c r="P4285" s="1094">
        <v>2669</v>
      </c>
      <c r="Q4285" t="s">
        <v>5310</v>
      </c>
      <c r="R4285" t="s">
        <v>248</v>
      </c>
      <c r="S4285">
        <v>146.66747599999999</v>
      </c>
      <c r="T4285" s="1095">
        <v>-33.814886999999999</v>
      </c>
    </row>
    <row r="4286" spans="16:20">
      <c r="P4286" s="1094">
        <v>2669</v>
      </c>
      <c r="Q4286" t="s">
        <v>5311</v>
      </c>
      <c r="R4286" t="s">
        <v>248</v>
      </c>
      <c r="S4286">
        <v>146.66747599999999</v>
      </c>
      <c r="T4286" s="1095">
        <v>-33.814886999999999</v>
      </c>
    </row>
    <row r="4287" spans="16:20">
      <c r="P4287" s="1094">
        <v>2671</v>
      </c>
      <c r="Q4287" t="s">
        <v>5312</v>
      </c>
      <c r="R4287" t="s">
        <v>248</v>
      </c>
      <c r="S4287">
        <v>147.30817200000001</v>
      </c>
      <c r="T4287" s="1095">
        <v>-33.839275000000001</v>
      </c>
    </row>
    <row r="4288" spans="16:20">
      <c r="P4288" s="1094">
        <v>2671</v>
      </c>
      <c r="Q4288" t="s">
        <v>5313</v>
      </c>
      <c r="R4288" t="s">
        <v>248</v>
      </c>
      <c r="S4288">
        <v>147.30817200000001</v>
      </c>
      <c r="T4288" s="1095">
        <v>-33.839275000000001</v>
      </c>
    </row>
    <row r="4289" spans="16:20">
      <c r="P4289" s="1094">
        <v>2671</v>
      </c>
      <c r="Q4289" t="s">
        <v>5314</v>
      </c>
      <c r="R4289" t="s">
        <v>248</v>
      </c>
      <c r="S4289">
        <v>147.30817200000001</v>
      </c>
      <c r="T4289" s="1095">
        <v>-33.839275000000001</v>
      </c>
    </row>
    <row r="4290" spans="16:20">
      <c r="P4290" s="1094">
        <v>2671</v>
      </c>
      <c r="Q4290" t="s">
        <v>5315</v>
      </c>
      <c r="R4290" t="s">
        <v>248</v>
      </c>
      <c r="S4290">
        <v>147.30817200000001</v>
      </c>
      <c r="T4290" s="1095">
        <v>-33.839275000000001</v>
      </c>
    </row>
    <row r="4291" spans="16:20">
      <c r="P4291" s="1094">
        <v>2671</v>
      </c>
      <c r="Q4291" t="s">
        <v>5316</v>
      </c>
      <c r="R4291" t="s">
        <v>248</v>
      </c>
      <c r="S4291">
        <v>147.30817200000001</v>
      </c>
      <c r="T4291" s="1095">
        <v>-33.839275000000001</v>
      </c>
    </row>
    <row r="4292" spans="16:20">
      <c r="P4292" s="1094">
        <v>2672</v>
      </c>
      <c r="Q4292" t="s">
        <v>5317</v>
      </c>
      <c r="R4292" t="s">
        <v>248</v>
      </c>
      <c r="S4292">
        <v>146.40002000000001</v>
      </c>
      <c r="T4292" s="1095">
        <v>-33.243580000000001</v>
      </c>
    </row>
    <row r="4293" spans="16:20">
      <c r="P4293" s="1094">
        <v>2672</v>
      </c>
      <c r="Q4293" t="s">
        <v>5318</v>
      </c>
      <c r="R4293" t="s">
        <v>248</v>
      </c>
      <c r="S4293">
        <v>146.40002000000001</v>
      </c>
      <c r="T4293" s="1095">
        <v>-33.243580000000001</v>
      </c>
    </row>
    <row r="4294" spans="16:20">
      <c r="P4294" s="1094">
        <v>2672</v>
      </c>
      <c r="Q4294" t="s">
        <v>5319</v>
      </c>
      <c r="R4294" t="s">
        <v>248</v>
      </c>
      <c r="S4294">
        <v>146.40002000000001</v>
      </c>
      <c r="T4294" s="1095">
        <v>-33.243580000000001</v>
      </c>
    </row>
    <row r="4295" spans="16:20">
      <c r="P4295" s="1094">
        <v>2672</v>
      </c>
      <c r="Q4295" t="s">
        <v>5320</v>
      </c>
      <c r="R4295" t="s">
        <v>248</v>
      </c>
      <c r="S4295">
        <v>146.40002000000001</v>
      </c>
      <c r="T4295" s="1095">
        <v>-33.243580000000001</v>
      </c>
    </row>
    <row r="4296" spans="16:20">
      <c r="P4296" s="1094">
        <v>2675</v>
      </c>
      <c r="Q4296" t="s">
        <v>5321</v>
      </c>
      <c r="R4296" t="s">
        <v>248</v>
      </c>
      <c r="S4296">
        <v>145.47924900000001</v>
      </c>
      <c r="T4296" s="1095">
        <v>-33.459192000000002</v>
      </c>
    </row>
    <row r="4297" spans="16:20">
      <c r="P4297" s="1094">
        <v>2675</v>
      </c>
      <c r="Q4297" t="s">
        <v>5322</v>
      </c>
      <c r="R4297" t="s">
        <v>248</v>
      </c>
      <c r="S4297">
        <v>145.47924900000001</v>
      </c>
      <c r="T4297" s="1095">
        <v>-33.459192000000002</v>
      </c>
    </row>
    <row r="4298" spans="16:20">
      <c r="P4298" s="1094">
        <v>2675</v>
      </c>
      <c r="Q4298" t="s">
        <v>5323</v>
      </c>
      <c r="R4298" t="s">
        <v>248</v>
      </c>
      <c r="S4298">
        <v>145.47924900000001</v>
      </c>
      <c r="T4298" s="1095">
        <v>-33.459192000000002</v>
      </c>
    </row>
    <row r="4299" spans="16:20">
      <c r="P4299" s="1094">
        <v>2675</v>
      </c>
      <c r="Q4299" t="s">
        <v>5324</v>
      </c>
      <c r="R4299" t="s">
        <v>248</v>
      </c>
      <c r="S4299">
        <v>145.47924900000001</v>
      </c>
      <c r="T4299" s="1095">
        <v>-33.459192000000002</v>
      </c>
    </row>
    <row r="4300" spans="16:20">
      <c r="P4300" s="1094">
        <v>2675</v>
      </c>
      <c r="Q4300" t="s">
        <v>5325</v>
      </c>
      <c r="R4300" t="s">
        <v>248</v>
      </c>
      <c r="S4300">
        <v>145.47924900000001</v>
      </c>
      <c r="T4300" s="1095">
        <v>-33.459192000000002</v>
      </c>
    </row>
    <row r="4301" spans="16:20">
      <c r="P4301" s="1094">
        <v>2675</v>
      </c>
      <c r="Q4301" t="s">
        <v>5326</v>
      </c>
      <c r="R4301" t="s">
        <v>248</v>
      </c>
      <c r="S4301">
        <v>145.47924900000001</v>
      </c>
      <c r="T4301" s="1095">
        <v>-33.459192000000002</v>
      </c>
    </row>
    <row r="4302" spans="16:20">
      <c r="P4302" s="1094">
        <v>2678</v>
      </c>
      <c r="Q4302" t="s">
        <v>5327</v>
      </c>
      <c r="R4302" t="s">
        <v>248</v>
      </c>
      <c r="S4302">
        <v>0</v>
      </c>
      <c r="T4302" s="1095">
        <v>0</v>
      </c>
    </row>
    <row r="4303" spans="16:20">
      <c r="P4303" s="1094">
        <v>2678</v>
      </c>
      <c r="Q4303" t="s">
        <v>5328</v>
      </c>
      <c r="R4303" t="s">
        <v>248</v>
      </c>
      <c r="S4303">
        <v>0</v>
      </c>
      <c r="T4303" s="1095">
        <v>0</v>
      </c>
    </row>
    <row r="4304" spans="16:20">
      <c r="P4304" s="1094">
        <v>2680</v>
      </c>
      <c r="Q4304" t="s">
        <v>5329</v>
      </c>
      <c r="R4304" t="s">
        <v>248</v>
      </c>
      <c r="S4304">
        <v>145.914625</v>
      </c>
      <c r="T4304" s="1095">
        <v>-34.321421999999998</v>
      </c>
    </row>
    <row r="4305" spans="16:20">
      <c r="P4305" s="1094">
        <v>2680</v>
      </c>
      <c r="Q4305" t="s">
        <v>5330</v>
      </c>
      <c r="R4305" t="s">
        <v>248</v>
      </c>
      <c r="S4305">
        <v>145.914625</v>
      </c>
      <c r="T4305" s="1095">
        <v>-34.321421999999998</v>
      </c>
    </row>
    <row r="4306" spans="16:20">
      <c r="P4306" s="1094">
        <v>2680</v>
      </c>
      <c r="Q4306" t="s">
        <v>5331</v>
      </c>
      <c r="R4306" t="s">
        <v>248</v>
      </c>
      <c r="S4306">
        <v>145.914625</v>
      </c>
      <c r="T4306" s="1095">
        <v>-34.321421999999998</v>
      </c>
    </row>
    <row r="4307" spans="16:20">
      <c r="P4307" s="1094">
        <v>2680</v>
      </c>
      <c r="Q4307" t="s">
        <v>4808</v>
      </c>
      <c r="R4307" t="s">
        <v>248</v>
      </c>
      <c r="S4307">
        <v>145.914625</v>
      </c>
      <c r="T4307" s="1095">
        <v>-34.321421999999998</v>
      </c>
    </row>
    <row r="4308" spans="16:20">
      <c r="P4308" s="1094">
        <v>2680</v>
      </c>
      <c r="Q4308" t="s">
        <v>5332</v>
      </c>
      <c r="R4308" t="s">
        <v>248</v>
      </c>
      <c r="S4308">
        <v>145.914625</v>
      </c>
      <c r="T4308" s="1095">
        <v>-34.321421999999998</v>
      </c>
    </row>
    <row r="4309" spans="16:20">
      <c r="P4309" s="1094">
        <v>2680</v>
      </c>
      <c r="Q4309" t="s">
        <v>5333</v>
      </c>
      <c r="R4309" t="s">
        <v>248</v>
      </c>
      <c r="S4309">
        <v>145.914625</v>
      </c>
      <c r="T4309" s="1095">
        <v>-34.321421999999998</v>
      </c>
    </row>
    <row r="4310" spans="16:20">
      <c r="P4310" s="1094">
        <v>2680</v>
      </c>
      <c r="Q4310" t="s">
        <v>5334</v>
      </c>
      <c r="R4310" t="s">
        <v>248</v>
      </c>
      <c r="S4310">
        <v>145.914625</v>
      </c>
      <c r="T4310" s="1095">
        <v>-34.321421999999998</v>
      </c>
    </row>
    <row r="4311" spans="16:20">
      <c r="P4311" s="1094">
        <v>2680</v>
      </c>
      <c r="Q4311" t="s">
        <v>5335</v>
      </c>
      <c r="R4311" t="s">
        <v>248</v>
      </c>
      <c r="S4311">
        <v>145.914625</v>
      </c>
      <c r="T4311" s="1095">
        <v>-34.321421999999998</v>
      </c>
    </row>
    <row r="4312" spans="16:20">
      <c r="P4312" s="1094">
        <v>2680</v>
      </c>
      <c r="Q4312" t="s">
        <v>5336</v>
      </c>
      <c r="R4312" t="s">
        <v>248</v>
      </c>
      <c r="S4312">
        <v>145.914625</v>
      </c>
      <c r="T4312" s="1095">
        <v>-34.321421999999998</v>
      </c>
    </row>
    <row r="4313" spans="16:20">
      <c r="P4313" s="1094">
        <v>2680</v>
      </c>
      <c r="Q4313" t="s">
        <v>5337</v>
      </c>
      <c r="R4313" t="s">
        <v>248</v>
      </c>
      <c r="S4313">
        <v>145.914625</v>
      </c>
      <c r="T4313" s="1095">
        <v>-34.321421999999998</v>
      </c>
    </row>
    <row r="4314" spans="16:20">
      <c r="P4314" s="1094">
        <v>2680</v>
      </c>
      <c r="Q4314" t="s">
        <v>5338</v>
      </c>
      <c r="R4314" t="s">
        <v>248</v>
      </c>
      <c r="S4314">
        <v>145.914625</v>
      </c>
      <c r="T4314" s="1095">
        <v>-34.321421999999998</v>
      </c>
    </row>
    <row r="4315" spans="16:20">
      <c r="P4315" s="1094">
        <v>2680</v>
      </c>
      <c r="Q4315" t="s">
        <v>5339</v>
      </c>
      <c r="R4315" t="s">
        <v>248</v>
      </c>
      <c r="S4315">
        <v>145.914625</v>
      </c>
      <c r="T4315" s="1095">
        <v>-34.321421999999998</v>
      </c>
    </row>
    <row r="4316" spans="16:20">
      <c r="P4316" s="1094">
        <v>2680</v>
      </c>
      <c r="Q4316" t="s">
        <v>5340</v>
      </c>
      <c r="R4316" t="s">
        <v>248</v>
      </c>
      <c r="S4316">
        <v>145.914625</v>
      </c>
      <c r="T4316" s="1095">
        <v>-34.321421999999998</v>
      </c>
    </row>
    <row r="4317" spans="16:20">
      <c r="P4317" s="1094">
        <v>2680</v>
      </c>
      <c r="Q4317" t="s">
        <v>5341</v>
      </c>
      <c r="R4317" t="s">
        <v>248</v>
      </c>
      <c r="S4317">
        <v>145.914625</v>
      </c>
      <c r="T4317" s="1095">
        <v>-34.321421999999998</v>
      </c>
    </row>
    <row r="4318" spans="16:20">
      <c r="P4318" s="1094">
        <v>2680</v>
      </c>
      <c r="Q4318" t="s">
        <v>5342</v>
      </c>
      <c r="R4318" t="s">
        <v>248</v>
      </c>
      <c r="S4318">
        <v>145.914625</v>
      </c>
      <c r="T4318" s="1095">
        <v>-34.321421999999998</v>
      </c>
    </row>
    <row r="4319" spans="16:20">
      <c r="P4319" s="1094">
        <v>2680</v>
      </c>
      <c r="Q4319" t="s">
        <v>5343</v>
      </c>
      <c r="R4319" t="s">
        <v>248</v>
      </c>
      <c r="S4319">
        <v>145.914625</v>
      </c>
      <c r="T4319" s="1095">
        <v>-34.321421999999998</v>
      </c>
    </row>
    <row r="4320" spans="16:20">
      <c r="P4320" s="1094">
        <v>2681</v>
      </c>
      <c r="Q4320" t="s">
        <v>5344</v>
      </c>
      <c r="R4320" t="s">
        <v>248</v>
      </c>
      <c r="S4320">
        <v>146.14673999999999</v>
      </c>
      <c r="T4320" s="1095">
        <v>-34.116714999999999</v>
      </c>
    </row>
    <row r="4321" spans="16:20">
      <c r="P4321" s="1094">
        <v>2681</v>
      </c>
      <c r="Q4321" t="s">
        <v>5345</v>
      </c>
      <c r="R4321" t="s">
        <v>248</v>
      </c>
      <c r="S4321">
        <v>146.14673999999999</v>
      </c>
      <c r="T4321" s="1095">
        <v>-34.116714999999999</v>
      </c>
    </row>
    <row r="4322" spans="16:20">
      <c r="P4322" s="1094">
        <v>2700</v>
      </c>
      <c r="Q4322" t="s">
        <v>5346</v>
      </c>
      <c r="R4322" t="s">
        <v>248</v>
      </c>
      <c r="S4322">
        <v>146.30359899999999</v>
      </c>
      <c r="T4322" s="1095">
        <v>-34.902107999999998</v>
      </c>
    </row>
    <row r="4323" spans="16:20">
      <c r="P4323" s="1094">
        <v>2700</v>
      </c>
      <c r="Q4323" t="s">
        <v>5347</v>
      </c>
      <c r="R4323" t="s">
        <v>248</v>
      </c>
      <c r="S4323">
        <v>146.30359899999999</v>
      </c>
      <c r="T4323" s="1095">
        <v>-34.902107999999998</v>
      </c>
    </row>
    <row r="4324" spans="16:20">
      <c r="P4324" s="1094">
        <v>2700</v>
      </c>
      <c r="Q4324" t="s">
        <v>5348</v>
      </c>
      <c r="R4324" t="s">
        <v>248</v>
      </c>
      <c r="S4324">
        <v>146.30359899999999</v>
      </c>
      <c r="T4324" s="1095">
        <v>-34.902107999999998</v>
      </c>
    </row>
    <row r="4325" spans="16:20">
      <c r="P4325" s="1094">
        <v>2700</v>
      </c>
      <c r="Q4325" t="s">
        <v>5349</v>
      </c>
      <c r="R4325" t="s">
        <v>248</v>
      </c>
      <c r="S4325">
        <v>146.30359899999999</v>
      </c>
      <c r="T4325" s="1095">
        <v>-34.902107999999998</v>
      </c>
    </row>
    <row r="4326" spans="16:20">
      <c r="P4326" s="1094">
        <v>2700</v>
      </c>
      <c r="Q4326" t="s">
        <v>5350</v>
      </c>
      <c r="R4326" t="s">
        <v>248</v>
      </c>
      <c r="S4326">
        <v>146.30359899999999</v>
      </c>
      <c r="T4326" s="1095">
        <v>-34.902107999999998</v>
      </c>
    </row>
    <row r="4327" spans="16:20">
      <c r="P4327" s="1094">
        <v>2700</v>
      </c>
      <c r="Q4327" t="s">
        <v>5351</v>
      </c>
      <c r="R4327" t="s">
        <v>248</v>
      </c>
      <c r="S4327">
        <v>146.30359899999999</v>
      </c>
      <c r="T4327" s="1095">
        <v>-34.902107999999998</v>
      </c>
    </row>
    <row r="4328" spans="16:20">
      <c r="P4328" s="1094">
        <v>2700</v>
      </c>
      <c r="Q4328" t="s">
        <v>5352</v>
      </c>
      <c r="R4328" t="s">
        <v>248</v>
      </c>
      <c r="S4328">
        <v>146.30359899999999</v>
      </c>
      <c r="T4328" s="1095">
        <v>-34.902107999999998</v>
      </c>
    </row>
    <row r="4329" spans="16:20">
      <c r="P4329" s="1094">
        <v>2700</v>
      </c>
      <c r="Q4329" t="s">
        <v>5353</v>
      </c>
      <c r="R4329" t="s">
        <v>248</v>
      </c>
      <c r="S4329">
        <v>146.30359899999999</v>
      </c>
      <c r="T4329" s="1095">
        <v>-34.902107999999998</v>
      </c>
    </row>
    <row r="4330" spans="16:20">
      <c r="P4330" s="1094">
        <v>2700</v>
      </c>
      <c r="Q4330" t="s">
        <v>5354</v>
      </c>
      <c r="R4330" t="s">
        <v>248</v>
      </c>
      <c r="S4330">
        <v>146.30359899999999</v>
      </c>
      <c r="T4330" s="1095">
        <v>-34.902107999999998</v>
      </c>
    </row>
    <row r="4331" spans="16:20">
      <c r="P4331" s="1094">
        <v>2700</v>
      </c>
      <c r="Q4331" t="s">
        <v>5355</v>
      </c>
      <c r="R4331" t="s">
        <v>248</v>
      </c>
      <c r="S4331">
        <v>146.30359899999999</v>
      </c>
      <c r="T4331" s="1095">
        <v>-34.902107999999998</v>
      </c>
    </row>
    <row r="4332" spans="16:20">
      <c r="P4332" s="1094">
        <v>2700</v>
      </c>
      <c r="Q4332" t="s">
        <v>5356</v>
      </c>
      <c r="R4332" t="s">
        <v>248</v>
      </c>
      <c r="S4332">
        <v>146.30359899999999</v>
      </c>
      <c r="T4332" s="1095">
        <v>-34.902107999999998</v>
      </c>
    </row>
    <row r="4333" spans="16:20">
      <c r="P4333" s="1094">
        <v>2700</v>
      </c>
      <c r="Q4333" t="s">
        <v>5357</v>
      </c>
      <c r="R4333" t="s">
        <v>248</v>
      </c>
      <c r="S4333">
        <v>146.30359899999999</v>
      </c>
      <c r="T4333" s="1095">
        <v>-34.902107999999998</v>
      </c>
    </row>
    <row r="4334" spans="16:20">
      <c r="P4334" s="1094">
        <v>2701</v>
      </c>
      <c r="Q4334" t="s">
        <v>5358</v>
      </c>
      <c r="R4334" t="s">
        <v>248</v>
      </c>
      <c r="S4334">
        <v>147.19308799999999</v>
      </c>
      <c r="T4334" s="1095">
        <v>-34.804991000000001</v>
      </c>
    </row>
    <row r="4335" spans="16:20">
      <c r="P4335" s="1094">
        <v>2701</v>
      </c>
      <c r="Q4335" t="s">
        <v>5359</v>
      </c>
      <c r="R4335" t="s">
        <v>248</v>
      </c>
      <c r="S4335">
        <v>147.19308799999999</v>
      </c>
      <c r="T4335" s="1095">
        <v>-34.804991000000001</v>
      </c>
    </row>
    <row r="4336" spans="16:20">
      <c r="P4336" s="1094">
        <v>2701</v>
      </c>
      <c r="Q4336" t="s">
        <v>5360</v>
      </c>
      <c r="R4336" t="s">
        <v>248</v>
      </c>
      <c r="S4336">
        <v>147.19308799999999</v>
      </c>
      <c r="T4336" s="1095">
        <v>-34.804991000000001</v>
      </c>
    </row>
    <row r="4337" spans="16:20">
      <c r="P4337" s="1094">
        <v>2701</v>
      </c>
      <c r="Q4337" t="s">
        <v>5361</v>
      </c>
      <c r="R4337" t="s">
        <v>248</v>
      </c>
      <c r="S4337">
        <v>147.19308799999999</v>
      </c>
      <c r="T4337" s="1095">
        <v>-34.804991000000001</v>
      </c>
    </row>
    <row r="4338" spans="16:20">
      <c r="P4338" s="1094">
        <v>2702</v>
      </c>
      <c r="Q4338" t="s">
        <v>5362</v>
      </c>
      <c r="R4338" t="s">
        <v>248</v>
      </c>
      <c r="S4338">
        <v>147.014242</v>
      </c>
      <c r="T4338" s="1095">
        <v>-34.866680000000002</v>
      </c>
    </row>
    <row r="4339" spans="16:20">
      <c r="P4339" s="1094">
        <v>2703</v>
      </c>
      <c r="Q4339" t="s">
        <v>5363</v>
      </c>
      <c r="R4339" t="s">
        <v>248</v>
      </c>
      <c r="S4339">
        <v>146.37082699999999</v>
      </c>
      <c r="T4339" s="1095">
        <v>-34.607942999999999</v>
      </c>
    </row>
    <row r="4340" spans="16:20">
      <c r="P4340" s="1094">
        <v>2705</v>
      </c>
      <c r="Q4340" t="s">
        <v>5364</v>
      </c>
      <c r="R4340" t="s">
        <v>248</v>
      </c>
      <c r="S4340">
        <v>146.373471</v>
      </c>
      <c r="T4340" s="1095">
        <v>-34.489866999999997</v>
      </c>
    </row>
    <row r="4341" spans="16:20">
      <c r="P4341" s="1094">
        <v>2705</v>
      </c>
      <c r="Q4341" t="s">
        <v>5365</v>
      </c>
      <c r="R4341" t="s">
        <v>248</v>
      </c>
      <c r="S4341">
        <v>146.373471</v>
      </c>
      <c r="T4341" s="1095">
        <v>-34.489866999999997</v>
      </c>
    </row>
    <row r="4342" spans="16:20">
      <c r="P4342" s="1094">
        <v>2705</v>
      </c>
      <c r="Q4342" t="s">
        <v>5366</v>
      </c>
      <c r="R4342" t="s">
        <v>248</v>
      </c>
      <c r="S4342">
        <v>146.373471</v>
      </c>
      <c r="T4342" s="1095">
        <v>-34.489866999999997</v>
      </c>
    </row>
    <row r="4343" spans="16:20">
      <c r="P4343" s="1094">
        <v>2705</v>
      </c>
      <c r="Q4343" t="s">
        <v>5367</v>
      </c>
      <c r="R4343" t="s">
        <v>248</v>
      </c>
      <c r="S4343">
        <v>146.373471</v>
      </c>
      <c r="T4343" s="1095">
        <v>-34.489866999999997</v>
      </c>
    </row>
    <row r="4344" spans="16:20">
      <c r="P4344" s="1094">
        <v>2705</v>
      </c>
      <c r="Q4344" t="s">
        <v>5368</v>
      </c>
      <c r="R4344" t="s">
        <v>248</v>
      </c>
      <c r="S4344">
        <v>146.373471</v>
      </c>
      <c r="T4344" s="1095">
        <v>-34.489866999999997</v>
      </c>
    </row>
    <row r="4345" spans="16:20">
      <c r="P4345" s="1094">
        <v>2705</v>
      </c>
      <c r="Q4345" t="s">
        <v>5369</v>
      </c>
      <c r="R4345" t="s">
        <v>248</v>
      </c>
      <c r="S4345">
        <v>146.373471</v>
      </c>
      <c r="T4345" s="1095">
        <v>-34.489866999999997</v>
      </c>
    </row>
    <row r="4346" spans="16:20">
      <c r="P4346" s="1094">
        <v>2705</v>
      </c>
      <c r="Q4346" t="s">
        <v>5370</v>
      </c>
      <c r="R4346" t="s">
        <v>248</v>
      </c>
      <c r="S4346">
        <v>146.373471</v>
      </c>
      <c r="T4346" s="1095">
        <v>-34.489866999999997</v>
      </c>
    </row>
    <row r="4347" spans="16:20">
      <c r="P4347" s="1094">
        <v>2705</v>
      </c>
      <c r="Q4347" t="s">
        <v>5371</v>
      </c>
      <c r="R4347" t="s">
        <v>248</v>
      </c>
      <c r="S4347">
        <v>146.373471</v>
      </c>
      <c r="T4347" s="1095">
        <v>-34.489866999999997</v>
      </c>
    </row>
    <row r="4348" spans="16:20">
      <c r="P4348" s="1094">
        <v>2705</v>
      </c>
      <c r="Q4348" t="s">
        <v>5372</v>
      </c>
      <c r="R4348" t="s">
        <v>248</v>
      </c>
      <c r="S4348">
        <v>146.373471</v>
      </c>
      <c r="T4348" s="1095">
        <v>-34.489866999999997</v>
      </c>
    </row>
    <row r="4349" spans="16:20">
      <c r="P4349" s="1094">
        <v>2705</v>
      </c>
      <c r="Q4349" t="s">
        <v>5373</v>
      </c>
      <c r="R4349" t="s">
        <v>248</v>
      </c>
      <c r="S4349">
        <v>146.373471</v>
      </c>
      <c r="T4349" s="1095">
        <v>-34.489866999999997</v>
      </c>
    </row>
    <row r="4350" spans="16:20">
      <c r="P4350" s="1094">
        <v>2706</v>
      </c>
      <c r="Q4350" t="s">
        <v>5374</v>
      </c>
      <c r="R4350" t="s">
        <v>248</v>
      </c>
      <c r="S4350">
        <v>145.937532</v>
      </c>
      <c r="T4350" s="1095">
        <v>-34.569464000000004</v>
      </c>
    </row>
    <row r="4351" spans="16:20">
      <c r="P4351" s="1094">
        <v>2707</v>
      </c>
      <c r="Q4351" t="s">
        <v>5375</v>
      </c>
      <c r="R4351" t="s">
        <v>248</v>
      </c>
      <c r="S4351">
        <v>145.80786599999999</v>
      </c>
      <c r="T4351" s="1095">
        <v>-34.768863000000003</v>
      </c>
    </row>
    <row r="4352" spans="16:20">
      <c r="P4352" s="1094">
        <v>2707</v>
      </c>
      <c r="Q4352" t="s">
        <v>5376</v>
      </c>
      <c r="R4352" t="s">
        <v>248</v>
      </c>
      <c r="S4352">
        <v>145.80786599999999</v>
      </c>
      <c r="T4352" s="1095">
        <v>-34.768863000000003</v>
      </c>
    </row>
    <row r="4353" spans="16:20">
      <c r="P4353" s="1094">
        <v>2708</v>
      </c>
      <c r="Q4353" t="s">
        <v>5377</v>
      </c>
      <c r="R4353" t="s">
        <v>248</v>
      </c>
      <c r="S4353">
        <v>0</v>
      </c>
      <c r="T4353" s="1095">
        <v>0</v>
      </c>
    </row>
    <row r="4354" spans="16:20">
      <c r="P4354" s="1094">
        <v>2708</v>
      </c>
      <c r="Q4354" t="s">
        <v>5378</v>
      </c>
      <c r="R4354" t="s">
        <v>248</v>
      </c>
      <c r="S4354">
        <v>0</v>
      </c>
      <c r="T4354" s="1095">
        <v>0</v>
      </c>
    </row>
    <row r="4355" spans="16:20">
      <c r="P4355" s="1094">
        <v>2710</v>
      </c>
      <c r="Q4355" t="s">
        <v>5379</v>
      </c>
      <c r="R4355" t="s">
        <v>248</v>
      </c>
      <c r="S4355">
        <v>144.98437799999999</v>
      </c>
      <c r="T4355" s="1095">
        <v>-35.357619</v>
      </c>
    </row>
    <row r="4356" spans="16:20">
      <c r="P4356" s="1094">
        <v>2710</v>
      </c>
      <c r="Q4356" t="s">
        <v>5380</v>
      </c>
      <c r="R4356" t="s">
        <v>248</v>
      </c>
      <c r="S4356">
        <v>144.98437799999999</v>
      </c>
      <c r="T4356" s="1095">
        <v>-35.357619</v>
      </c>
    </row>
    <row r="4357" spans="16:20">
      <c r="P4357" s="1094">
        <v>2710</v>
      </c>
      <c r="Q4357" t="s">
        <v>5381</v>
      </c>
      <c r="R4357" t="s">
        <v>248</v>
      </c>
      <c r="S4357">
        <v>144.98437799999999</v>
      </c>
      <c r="T4357" s="1095">
        <v>-35.357619</v>
      </c>
    </row>
    <row r="4358" spans="16:20">
      <c r="P4358" s="1094">
        <v>2710</v>
      </c>
      <c r="Q4358" t="s">
        <v>5382</v>
      </c>
      <c r="R4358" t="s">
        <v>248</v>
      </c>
      <c r="S4358">
        <v>144.98437799999999</v>
      </c>
      <c r="T4358" s="1095">
        <v>-35.357619</v>
      </c>
    </row>
    <row r="4359" spans="16:20">
      <c r="P4359" s="1094">
        <v>2710</v>
      </c>
      <c r="Q4359" t="s">
        <v>5383</v>
      </c>
      <c r="R4359" t="s">
        <v>248</v>
      </c>
      <c r="S4359">
        <v>144.98437799999999</v>
      </c>
      <c r="T4359" s="1095">
        <v>-35.357619</v>
      </c>
    </row>
    <row r="4360" spans="16:20">
      <c r="P4360" s="1094">
        <v>2710</v>
      </c>
      <c r="Q4360" t="s">
        <v>5384</v>
      </c>
      <c r="R4360" t="s">
        <v>248</v>
      </c>
      <c r="S4360">
        <v>144.98437799999999</v>
      </c>
      <c r="T4360" s="1095">
        <v>-35.357619</v>
      </c>
    </row>
    <row r="4361" spans="16:20">
      <c r="P4361" s="1094">
        <v>2710</v>
      </c>
      <c r="Q4361" t="s">
        <v>5385</v>
      </c>
      <c r="R4361" t="s">
        <v>248</v>
      </c>
      <c r="S4361">
        <v>144.98437799999999</v>
      </c>
      <c r="T4361" s="1095">
        <v>-35.357619</v>
      </c>
    </row>
    <row r="4362" spans="16:20">
      <c r="P4362" s="1094">
        <v>2710</v>
      </c>
      <c r="Q4362" t="s">
        <v>5386</v>
      </c>
      <c r="R4362" t="s">
        <v>248</v>
      </c>
      <c r="S4362">
        <v>144.98437799999999</v>
      </c>
      <c r="T4362" s="1095">
        <v>-35.357619</v>
      </c>
    </row>
    <row r="4363" spans="16:20">
      <c r="P4363" s="1094">
        <v>2710</v>
      </c>
      <c r="Q4363" t="s">
        <v>5387</v>
      </c>
      <c r="R4363" t="s">
        <v>248</v>
      </c>
      <c r="S4363">
        <v>144.98437799999999</v>
      </c>
      <c r="T4363" s="1095">
        <v>-35.357619</v>
      </c>
    </row>
    <row r="4364" spans="16:20">
      <c r="P4364" s="1094">
        <v>2710</v>
      </c>
      <c r="Q4364" t="s">
        <v>5388</v>
      </c>
      <c r="R4364" t="s">
        <v>248</v>
      </c>
      <c r="S4364">
        <v>144.98437799999999</v>
      </c>
      <c r="T4364" s="1095">
        <v>-35.357619</v>
      </c>
    </row>
    <row r="4365" spans="16:20">
      <c r="P4365" s="1094">
        <v>2710</v>
      </c>
      <c r="Q4365" t="s">
        <v>5389</v>
      </c>
      <c r="R4365" t="s">
        <v>248</v>
      </c>
      <c r="S4365">
        <v>144.98437799999999</v>
      </c>
      <c r="T4365" s="1095">
        <v>-35.357619</v>
      </c>
    </row>
    <row r="4366" spans="16:20">
      <c r="P4366" s="1094">
        <v>2710</v>
      </c>
      <c r="Q4366" t="s">
        <v>5390</v>
      </c>
      <c r="R4366" t="s">
        <v>248</v>
      </c>
      <c r="S4366">
        <v>144.98437799999999</v>
      </c>
      <c r="T4366" s="1095">
        <v>-35.357619</v>
      </c>
    </row>
    <row r="4367" spans="16:20">
      <c r="P4367" s="1094">
        <v>2710</v>
      </c>
      <c r="Q4367" t="s">
        <v>5391</v>
      </c>
      <c r="R4367" t="s">
        <v>248</v>
      </c>
      <c r="S4367">
        <v>144.98437799999999</v>
      </c>
      <c r="T4367" s="1095">
        <v>-35.357619</v>
      </c>
    </row>
    <row r="4368" spans="16:20">
      <c r="P4368" s="1094">
        <v>2710</v>
      </c>
      <c r="Q4368" t="s">
        <v>5392</v>
      </c>
      <c r="R4368" t="s">
        <v>248</v>
      </c>
      <c r="S4368">
        <v>144.98437799999999</v>
      </c>
      <c r="T4368" s="1095">
        <v>-35.357619</v>
      </c>
    </row>
    <row r="4369" spans="16:20">
      <c r="P4369" s="1094">
        <v>2710</v>
      </c>
      <c r="Q4369" t="s">
        <v>5393</v>
      </c>
      <c r="R4369" t="s">
        <v>248</v>
      </c>
      <c r="S4369">
        <v>144.98437799999999</v>
      </c>
      <c r="T4369" s="1095">
        <v>-35.357619</v>
      </c>
    </row>
    <row r="4370" spans="16:20">
      <c r="P4370" s="1094">
        <v>2710</v>
      </c>
      <c r="Q4370" t="s">
        <v>5394</v>
      </c>
      <c r="R4370" t="s">
        <v>248</v>
      </c>
      <c r="S4370">
        <v>144.98437799999999</v>
      </c>
      <c r="T4370" s="1095">
        <v>-35.357619</v>
      </c>
    </row>
    <row r="4371" spans="16:20">
      <c r="P4371" s="1094">
        <v>2710</v>
      </c>
      <c r="Q4371" t="s">
        <v>5395</v>
      </c>
      <c r="R4371" t="s">
        <v>248</v>
      </c>
      <c r="S4371">
        <v>144.98437799999999</v>
      </c>
      <c r="T4371" s="1095">
        <v>-35.357619</v>
      </c>
    </row>
    <row r="4372" spans="16:20">
      <c r="P4372" s="1094">
        <v>2710</v>
      </c>
      <c r="Q4372" t="s">
        <v>5396</v>
      </c>
      <c r="R4372" t="s">
        <v>248</v>
      </c>
      <c r="S4372">
        <v>144.98437799999999</v>
      </c>
      <c r="T4372" s="1095">
        <v>-35.357619</v>
      </c>
    </row>
    <row r="4373" spans="16:20">
      <c r="P4373" s="1094">
        <v>2710</v>
      </c>
      <c r="Q4373" t="s">
        <v>5397</v>
      </c>
      <c r="R4373" t="s">
        <v>248</v>
      </c>
      <c r="S4373">
        <v>144.98437799999999</v>
      </c>
      <c r="T4373" s="1095">
        <v>-35.357619</v>
      </c>
    </row>
    <row r="4374" spans="16:20">
      <c r="P4374" s="1094">
        <v>2710</v>
      </c>
      <c r="Q4374" t="s">
        <v>5398</v>
      </c>
      <c r="R4374" t="s">
        <v>248</v>
      </c>
      <c r="S4374">
        <v>144.98437799999999</v>
      </c>
      <c r="T4374" s="1095">
        <v>-35.357619</v>
      </c>
    </row>
    <row r="4375" spans="16:20">
      <c r="P4375" s="1094">
        <v>2710</v>
      </c>
      <c r="Q4375" t="s">
        <v>5399</v>
      </c>
      <c r="R4375" t="s">
        <v>248</v>
      </c>
      <c r="S4375">
        <v>144.98437799999999</v>
      </c>
      <c r="T4375" s="1095">
        <v>-35.357619</v>
      </c>
    </row>
    <row r="4376" spans="16:20">
      <c r="P4376" s="1094">
        <v>2710</v>
      </c>
      <c r="Q4376" t="s">
        <v>5400</v>
      </c>
      <c r="R4376" t="s">
        <v>248</v>
      </c>
      <c r="S4376">
        <v>144.98437799999999</v>
      </c>
      <c r="T4376" s="1095">
        <v>-35.357619</v>
      </c>
    </row>
    <row r="4377" spans="16:20">
      <c r="P4377" s="1094">
        <v>2710</v>
      </c>
      <c r="Q4377" t="s">
        <v>5401</v>
      </c>
      <c r="R4377" t="s">
        <v>248</v>
      </c>
      <c r="S4377">
        <v>144.98437799999999</v>
      </c>
      <c r="T4377" s="1095">
        <v>-35.357619</v>
      </c>
    </row>
    <row r="4378" spans="16:20">
      <c r="P4378" s="1094">
        <v>2710</v>
      </c>
      <c r="Q4378" t="s">
        <v>5402</v>
      </c>
      <c r="R4378" t="s">
        <v>248</v>
      </c>
      <c r="S4378">
        <v>144.98437799999999</v>
      </c>
      <c r="T4378" s="1095">
        <v>-35.357619</v>
      </c>
    </row>
    <row r="4379" spans="16:20">
      <c r="P4379" s="1094">
        <v>2710</v>
      </c>
      <c r="Q4379" t="s">
        <v>5403</v>
      </c>
      <c r="R4379" t="s">
        <v>248</v>
      </c>
      <c r="S4379">
        <v>144.98437799999999</v>
      </c>
      <c r="T4379" s="1095">
        <v>-35.357619</v>
      </c>
    </row>
    <row r="4380" spans="16:20">
      <c r="P4380" s="1094">
        <v>2710</v>
      </c>
      <c r="Q4380" t="s">
        <v>5404</v>
      </c>
      <c r="R4380" t="s">
        <v>248</v>
      </c>
      <c r="S4380">
        <v>144.98437799999999</v>
      </c>
      <c r="T4380" s="1095">
        <v>-35.357619</v>
      </c>
    </row>
    <row r="4381" spans="16:20">
      <c r="P4381" s="1094">
        <v>2710</v>
      </c>
      <c r="Q4381" t="s">
        <v>5405</v>
      </c>
      <c r="R4381" t="s">
        <v>248</v>
      </c>
      <c r="S4381">
        <v>144.98437799999999</v>
      </c>
      <c r="T4381" s="1095">
        <v>-35.357619</v>
      </c>
    </row>
    <row r="4382" spans="16:20">
      <c r="P4382" s="1094">
        <v>2710</v>
      </c>
      <c r="Q4382" t="s">
        <v>5406</v>
      </c>
      <c r="R4382" t="s">
        <v>248</v>
      </c>
      <c r="S4382">
        <v>144.98437799999999</v>
      </c>
      <c r="T4382" s="1095">
        <v>-35.357619</v>
      </c>
    </row>
    <row r="4383" spans="16:20">
      <c r="P4383" s="1094">
        <v>2710</v>
      </c>
      <c r="Q4383" t="s">
        <v>5407</v>
      </c>
      <c r="R4383" t="s">
        <v>248</v>
      </c>
      <c r="S4383">
        <v>144.98437799999999</v>
      </c>
      <c r="T4383" s="1095">
        <v>-35.357619</v>
      </c>
    </row>
    <row r="4384" spans="16:20">
      <c r="P4384" s="1094">
        <v>2710</v>
      </c>
      <c r="Q4384" t="s">
        <v>5408</v>
      </c>
      <c r="R4384" t="s">
        <v>248</v>
      </c>
      <c r="S4384">
        <v>144.98437799999999</v>
      </c>
      <c r="T4384" s="1095">
        <v>-35.357619</v>
      </c>
    </row>
    <row r="4385" spans="16:20">
      <c r="P4385" s="1094">
        <v>2710</v>
      </c>
      <c r="Q4385" t="s">
        <v>5409</v>
      </c>
      <c r="R4385" t="s">
        <v>248</v>
      </c>
      <c r="S4385">
        <v>144.98437799999999</v>
      </c>
      <c r="T4385" s="1095">
        <v>-35.357619</v>
      </c>
    </row>
    <row r="4386" spans="16:20">
      <c r="P4386" s="1094">
        <v>2711</v>
      </c>
      <c r="Q4386" t="s">
        <v>5410</v>
      </c>
      <c r="R4386" t="s">
        <v>248</v>
      </c>
      <c r="S4386">
        <v>144.695233</v>
      </c>
      <c r="T4386" s="1095">
        <v>-34.257669</v>
      </c>
    </row>
    <row r="4387" spans="16:20">
      <c r="P4387" s="1094">
        <v>2711</v>
      </c>
      <c r="Q4387" t="s">
        <v>5411</v>
      </c>
      <c r="R4387" t="s">
        <v>248</v>
      </c>
      <c r="S4387">
        <v>144.695233</v>
      </c>
      <c r="T4387" s="1095">
        <v>-34.257669</v>
      </c>
    </row>
    <row r="4388" spans="16:20">
      <c r="P4388" s="1094">
        <v>2711</v>
      </c>
      <c r="Q4388" t="s">
        <v>5412</v>
      </c>
      <c r="R4388" t="s">
        <v>248</v>
      </c>
      <c r="S4388">
        <v>144.695233</v>
      </c>
      <c r="T4388" s="1095">
        <v>-34.257669</v>
      </c>
    </row>
    <row r="4389" spans="16:20">
      <c r="P4389" s="1094">
        <v>2711</v>
      </c>
      <c r="Q4389" t="s">
        <v>5413</v>
      </c>
      <c r="R4389" t="s">
        <v>248</v>
      </c>
      <c r="S4389">
        <v>144.695233</v>
      </c>
      <c r="T4389" s="1095">
        <v>-34.257669</v>
      </c>
    </row>
    <row r="4390" spans="16:20">
      <c r="P4390" s="1094">
        <v>2711</v>
      </c>
      <c r="Q4390" t="s">
        <v>5414</v>
      </c>
      <c r="R4390" t="s">
        <v>248</v>
      </c>
      <c r="S4390">
        <v>144.695233</v>
      </c>
      <c r="T4390" s="1095">
        <v>-34.257669</v>
      </c>
    </row>
    <row r="4391" spans="16:20">
      <c r="P4391" s="1094">
        <v>2711</v>
      </c>
      <c r="Q4391" t="s">
        <v>5415</v>
      </c>
      <c r="R4391" t="s">
        <v>248</v>
      </c>
      <c r="S4391">
        <v>144.695233</v>
      </c>
      <c r="T4391" s="1095">
        <v>-34.257669</v>
      </c>
    </row>
    <row r="4392" spans="16:20">
      <c r="P4392" s="1094">
        <v>2711</v>
      </c>
      <c r="Q4392" t="s">
        <v>5416</v>
      </c>
      <c r="R4392" t="s">
        <v>248</v>
      </c>
      <c r="S4392">
        <v>144.695233</v>
      </c>
      <c r="T4392" s="1095">
        <v>-34.257669</v>
      </c>
    </row>
    <row r="4393" spans="16:20">
      <c r="P4393" s="1094">
        <v>2711</v>
      </c>
      <c r="Q4393" t="s">
        <v>5417</v>
      </c>
      <c r="R4393" t="s">
        <v>248</v>
      </c>
      <c r="S4393">
        <v>144.695233</v>
      </c>
      <c r="T4393" s="1095">
        <v>-34.257669</v>
      </c>
    </row>
    <row r="4394" spans="16:20">
      <c r="P4394" s="1094">
        <v>2712</v>
      </c>
      <c r="Q4394" t="s">
        <v>5418</v>
      </c>
      <c r="R4394" t="s">
        <v>248</v>
      </c>
      <c r="S4394">
        <v>145.87281400000001</v>
      </c>
      <c r="T4394" s="1095">
        <v>-35.754185</v>
      </c>
    </row>
    <row r="4395" spans="16:20">
      <c r="P4395" s="1094">
        <v>2712</v>
      </c>
      <c r="Q4395" t="s">
        <v>5419</v>
      </c>
      <c r="R4395" t="s">
        <v>248</v>
      </c>
      <c r="S4395">
        <v>145.87281400000001</v>
      </c>
      <c r="T4395" s="1095">
        <v>-35.754185</v>
      </c>
    </row>
    <row r="4396" spans="16:20">
      <c r="P4396" s="1094">
        <v>2713</v>
      </c>
      <c r="Q4396" t="s">
        <v>5420</v>
      </c>
      <c r="R4396" t="s">
        <v>248</v>
      </c>
      <c r="S4396">
        <v>145.52068</v>
      </c>
      <c r="T4396" s="1095">
        <v>-35.586342000000002</v>
      </c>
    </row>
    <row r="4397" spans="16:20">
      <c r="P4397" s="1094">
        <v>2713</v>
      </c>
      <c r="Q4397" t="s">
        <v>5421</v>
      </c>
      <c r="R4397" t="s">
        <v>248</v>
      </c>
      <c r="S4397">
        <v>145.52068</v>
      </c>
      <c r="T4397" s="1095">
        <v>-35.586342000000002</v>
      </c>
    </row>
    <row r="4398" spans="16:20">
      <c r="P4398" s="1094">
        <v>2713</v>
      </c>
      <c r="Q4398" t="s">
        <v>5422</v>
      </c>
      <c r="R4398" t="s">
        <v>248</v>
      </c>
      <c r="S4398">
        <v>145.52068</v>
      </c>
      <c r="T4398" s="1095">
        <v>-35.586342000000002</v>
      </c>
    </row>
    <row r="4399" spans="16:20">
      <c r="P4399" s="1094">
        <v>2713</v>
      </c>
      <c r="Q4399" t="s">
        <v>5423</v>
      </c>
      <c r="R4399" t="s">
        <v>248</v>
      </c>
      <c r="S4399">
        <v>145.52068</v>
      </c>
      <c r="T4399" s="1095">
        <v>-35.586342000000002</v>
      </c>
    </row>
    <row r="4400" spans="16:20">
      <c r="P4400" s="1094">
        <v>2713</v>
      </c>
      <c r="Q4400" t="s">
        <v>2997</v>
      </c>
      <c r="R4400" t="s">
        <v>248</v>
      </c>
      <c r="S4400">
        <v>145.52068</v>
      </c>
      <c r="T4400" s="1095">
        <v>-35.586342000000002</v>
      </c>
    </row>
    <row r="4401" spans="16:20">
      <c r="P4401" s="1094">
        <v>2714</v>
      </c>
      <c r="Q4401" t="s">
        <v>5424</v>
      </c>
      <c r="R4401" t="s">
        <v>248</v>
      </c>
      <c r="S4401">
        <v>145.43408400000001</v>
      </c>
      <c r="T4401" s="1095">
        <v>-35.76294</v>
      </c>
    </row>
    <row r="4402" spans="16:20">
      <c r="P4402" s="1094">
        <v>2714</v>
      </c>
      <c r="Q4402" t="s">
        <v>5425</v>
      </c>
      <c r="R4402" t="s">
        <v>248</v>
      </c>
      <c r="S4402">
        <v>145.43408400000001</v>
      </c>
      <c r="T4402" s="1095">
        <v>-35.76294</v>
      </c>
    </row>
    <row r="4403" spans="16:20">
      <c r="P4403" s="1094">
        <v>2714</v>
      </c>
      <c r="Q4403" t="s">
        <v>5426</v>
      </c>
      <c r="R4403" t="s">
        <v>248</v>
      </c>
      <c r="S4403">
        <v>145.43408400000001</v>
      </c>
      <c r="T4403" s="1095">
        <v>-35.76294</v>
      </c>
    </row>
    <row r="4404" spans="16:20">
      <c r="P4404" s="1094">
        <v>2715</v>
      </c>
      <c r="Q4404" t="s">
        <v>5427</v>
      </c>
      <c r="R4404" t="s">
        <v>248</v>
      </c>
      <c r="S4404">
        <v>143.49165600000001</v>
      </c>
      <c r="T4404" s="1095">
        <v>-34.329424000000003</v>
      </c>
    </row>
    <row r="4405" spans="16:20">
      <c r="P4405" s="1094">
        <v>2715</v>
      </c>
      <c r="Q4405" t="s">
        <v>5428</v>
      </c>
      <c r="R4405" t="s">
        <v>248</v>
      </c>
      <c r="S4405">
        <v>143.49165600000001</v>
      </c>
      <c r="T4405" s="1095">
        <v>-34.329424000000003</v>
      </c>
    </row>
    <row r="4406" spans="16:20">
      <c r="P4406" s="1094">
        <v>2715</v>
      </c>
      <c r="Q4406" t="s">
        <v>5429</v>
      </c>
      <c r="R4406" t="s">
        <v>248</v>
      </c>
      <c r="S4406">
        <v>143.49165600000001</v>
      </c>
      <c r="T4406" s="1095">
        <v>-34.329424000000003</v>
      </c>
    </row>
    <row r="4407" spans="16:20">
      <c r="P4407" s="1094">
        <v>2715</v>
      </c>
      <c r="Q4407" t="s">
        <v>5430</v>
      </c>
      <c r="R4407" t="s">
        <v>248</v>
      </c>
      <c r="S4407">
        <v>143.49165600000001</v>
      </c>
      <c r="T4407" s="1095">
        <v>-34.329424000000003</v>
      </c>
    </row>
    <row r="4408" spans="16:20">
      <c r="P4408" s="1094">
        <v>2716</v>
      </c>
      <c r="Q4408" t="s">
        <v>5431</v>
      </c>
      <c r="R4408" t="s">
        <v>248</v>
      </c>
      <c r="S4408">
        <v>145.62712500000001</v>
      </c>
      <c r="T4408" s="1095">
        <v>-35.24588</v>
      </c>
    </row>
    <row r="4409" spans="16:20">
      <c r="P4409" s="1094">
        <v>2716</v>
      </c>
      <c r="Q4409" t="s">
        <v>5432</v>
      </c>
      <c r="R4409" t="s">
        <v>248</v>
      </c>
      <c r="S4409">
        <v>145.62712500000001</v>
      </c>
      <c r="T4409" s="1095">
        <v>-35.24588</v>
      </c>
    </row>
    <row r="4410" spans="16:20">
      <c r="P4410" s="1094">
        <v>2716</v>
      </c>
      <c r="Q4410" t="s">
        <v>5433</v>
      </c>
      <c r="R4410" t="s">
        <v>248</v>
      </c>
      <c r="S4410">
        <v>145.62712500000001</v>
      </c>
      <c r="T4410" s="1095">
        <v>-35.24588</v>
      </c>
    </row>
    <row r="4411" spans="16:20">
      <c r="P4411" s="1094">
        <v>2716</v>
      </c>
      <c r="Q4411" t="s">
        <v>5434</v>
      </c>
      <c r="R4411" t="s">
        <v>248</v>
      </c>
      <c r="S4411">
        <v>145.62712500000001</v>
      </c>
      <c r="T4411" s="1095">
        <v>-35.24588</v>
      </c>
    </row>
    <row r="4412" spans="16:20">
      <c r="P4412" s="1094">
        <v>2717</v>
      </c>
      <c r="Q4412" t="s">
        <v>5435</v>
      </c>
      <c r="R4412" t="s">
        <v>248</v>
      </c>
      <c r="S4412">
        <v>142.065808</v>
      </c>
      <c r="T4412" s="1095">
        <v>-34.090426000000001</v>
      </c>
    </row>
    <row r="4413" spans="16:20">
      <c r="P4413" s="1094">
        <v>2720</v>
      </c>
      <c r="Q4413" t="s">
        <v>5436</v>
      </c>
      <c r="R4413" t="s">
        <v>248</v>
      </c>
      <c r="S4413">
        <v>148.38361900000001</v>
      </c>
      <c r="T4413" s="1095">
        <v>-35.379935000000003</v>
      </c>
    </row>
    <row r="4414" spans="16:20">
      <c r="P4414" s="1094">
        <v>2720</v>
      </c>
      <c r="Q4414" t="s">
        <v>5437</v>
      </c>
      <c r="R4414" t="s">
        <v>248</v>
      </c>
      <c r="S4414">
        <v>148.38361900000001</v>
      </c>
      <c r="T4414" s="1095">
        <v>-35.379935000000003</v>
      </c>
    </row>
    <row r="4415" spans="16:20">
      <c r="P4415" s="1094">
        <v>2720</v>
      </c>
      <c r="Q4415" t="s">
        <v>5438</v>
      </c>
      <c r="R4415" t="s">
        <v>248</v>
      </c>
      <c r="S4415">
        <v>148.38361900000001</v>
      </c>
      <c r="T4415" s="1095">
        <v>-35.379935000000003</v>
      </c>
    </row>
    <row r="4416" spans="16:20">
      <c r="P4416" s="1094">
        <v>2720</v>
      </c>
      <c r="Q4416" t="s">
        <v>5439</v>
      </c>
      <c r="R4416" t="s">
        <v>248</v>
      </c>
      <c r="S4416">
        <v>148.38361900000001</v>
      </c>
      <c r="T4416" s="1095">
        <v>-35.379935000000003</v>
      </c>
    </row>
    <row r="4417" spans="16:20">
      <c r="P4417" s="1094">
        <v>2720</v>
      </c>
      <c r="Q4417" t="s">
        <v>5440</v>
      </c>
      <c r="R4417" t="s">
        <v>248</v>
      </c>
      <c r="S4417">
        <v>148.38361900000001</v>
      </c>
      <c r="T4417" s="1095">
        <v>-35.379935000000003</v>
      </c>
    </row>
    <row r="4418" spans="16:20">
      <c r="P4418" s="1094">
        <v>2720</v>
      </c>
      <c r="Q4418" t="s">
        <v>5441</v>
      </c>
      <c r="R4418" t="s">
        <v>248</v>
      </c>
      <c r="S4418">
        <v>148.38361900000001</v>
      </c>
      <c r="T4418" s="1095">
        <v>-35.379935000000003</v>
      </c>
    </row>
    <row r="4419" spans="16:20">
      <c r="P4419" s="1094">
        <v>2720</v>
      </c>
      <c r="Q4419" t="s">
        <v>5442</v>
      </c>
      <c r="R4419" t="s">
        <v>248</v>
      </c>
      <c r="S4419">
        <v>148.38361900000001</v>
      </c>
      <c r="T4419" s="1095">
        <v>-35.379935000000003</v>
      </c>
    </row>
    <row r="4420" spans="16:20">
      <c r="P4420" s="1094">
        <v>2720</v>
      </c>
      <c r="Q4420" t="s">
        <v>5443</v>
      </c>
      <c r="R4420" t="s">
        <v>248</v>
      </c>
      <c r="S4420">
        <v>148.38361900000001</v>
      </c>
      <c r="T4420" s="1095">
        <v>-35.379935000000003</v>
      </c>
    </row>
    <row r="4421" spans="16:20">
      <c r="P4421" s="1094">
        <v>2720</v>
      </c>
      <c r="Q4421" t="s">
        <v>5444</v>
      </c>
      <c r="R4421" t="s">
        <v>248</v>
      </c>
      <c r="S4421">
        <v>148.38361900000001</v>
      </c>
      <c r="T4421" s="1095">
        <v>-35.379935000000003</v>
      </c>
    </row>
    <row r="4422" spans="16:20">
      <c r="P4422" s="1094">
        <v>2720</v>
      </c>
      <c r="Q4422" t="s">
        <v>5445</v>
      </c>
      <c r="R4422" t="s">
        <v>248</v>
      </c>
      <c r="S4422">
        <v>148.38361900000001</v>
      </c>
      <c r="T4422" s="1095">
        <v>-35.379935000000003</v>
      </c>
    </row>
    <row r="4423" spans="16:20">
      <c r="P4423" s="1094">
        <v>2720</v>
      </c>
      <c r="Q4423" t="s">
        <v>5446</v>
      </c>
      <c r="R4423" t="s">
        <v>248</v>
      </c>
      <c r="S4423">
        <v>148.38361900000001</v>
      </c>
      <c r="T4423" s="1095">
        <v>-35.379935000000003</v>
      </c>
    </row>
    <row r="4424" spans="16:20">
      <c r="P4424" s="1094">
        <v>2720</v>
      </c>
      <c r="Q4424" t="s">
        <v>5447</v>
      </c>
      <c r="R4424" t="s">
        <v>248</v>
      </c>
      <c r="S4424">
        <v>148.38361900000001</v>
      </c>
      <c r="T4424" s="1095">
        <v>-35.379935000000003</v>
      </c>
    </row>
    <row r="4425" spans="16:20">
      <c r="P4425" s="1094">
        <v>2720</v>
      </c>
      <c r="Q4425" t="s">
        <v>5448</v>
      </c>
      <c r="R4425" t="s">
        <v>248</v>
      </c>
      <c r="S4425">
        <v>148.38361900000001</v>
      </c>
      <c r="T4425" s="1095">
        <v>-35.379935000000003</v>
      </c>
    </row>
    <row r="4426" spans="16:20">
      <c r="P4426" s="1094">
        <v>2720</v>
      </c>
      <c r="Q4426" t="s">
        <v>5449</v>
      </c>
      <c r="R4426" t="s">
        <v>248</v>
      </c>
      <c r="S4426">
        <v>148.38361900000001</v>
      </c>
      <c r="T4426" s="1095">
        <v>-35.379935000000003</v>
      </c>
    </row>
    <row r="4427" spans="16:20">
      <c r="P4427" s="1094">
        <v>2720</v>
      </c>
      <c r="Q4427" t="s">
        <v>5450</v>
      </c>
      <c r="R4427" t="s">
        <v>248</v>
      </c>
      <c r="S4427">
        <v>148.38361900000001</v>
      </c>
      <c r="T4427" s="1095">
        <v>-35.379935000000003</v>
      </c>
    </row>
    <row r="4428" spans="16:20">
      <c r="P4428" s="1094">
        <v>2720</v>
      </c>
      <c r="Q4428" t="s">
        <v>5451</v>
      </c>
      <c r="R4428" t="s">
        <v>248</v>
      </c>
      <c r="S4428">
        <v>148.38361900000001</v>
      </c>
      <c r="T4428" s="1095">
        <v>-35.379935000000003</v>
      </c>
    </row>
    <row r="4429" spans="16:20">
      <c r="P4429" s="1094">
        <v>2720</v>
      </c>
      <c r="Q4429" t="s">
        <v>5452</v>
      </c>
      <c r="R4429" t="s">
        <v>248</v>
      </c>
      <c r="S4429">
        <v>148.38361900000001</v>
      </c>
      <c r="T4429" s="1095">
        <v>-35.379935000000003</v>
      </c>
    </row>
    <row r="4430" spans="16:20">
      <c r="P4430" s="1094">
        <v>2720</v>
      </c>
      <c r="Q4430" t="s">
        <v>5453</v>
      </c>
      <c r="R4430" t="s">
        <v>248</v>
      </c>
      <c r="S4430">
        <v>148.38361900000001</v>
      </c>
      <c r="T4430" s="1095">
        <v>-35.379935000000003</v>
      </c>
    </row>
    <row r="4431" spans="16:20">
      <c r="P4431" s="1094">
        <v>2720</v>
      </c>
      <c r="Q4431" t="s">
        <v>5454</v>
      </c>
      <c r="R4431" t="s">
        <v>248</v>
      </c>
      <c r="S4431">
        <v>148.38361900000001</v>
      </c>
      <c r="T4431" s="1095">
        <v>-35.379935000000003</v>
      </c>
    </row>
    <row r="4432" spans="16:20">
      <c r="P4432" s="1094">
        <v>2720</v>
      </c>
      <c r="Q4432" t="s">
        <v>2939</v>
      </c>
      <c r="R4432" t="s">
        <v>248</v>
      </c>
      <c r="S4432">
        <v>148.38361900000001</v>
      </c>
      <c r="T4432" s="1095">
        <v>-35.379935000000003</v>
      </c>
    </row>
    <row r="4433" spans="16:20">
      <c r="P4433" s="1094">
        <v>2720</v>
      </c>
      <c r="Q4433" t="s">
        <v>5455</v>
      </c>
      <c r="R4433" t="s">
        <v>248</v>
      </c>
      <c r="S4433">
        <v>148.38361900000001</v>
      </c>
      <c r="T4433" s="1095">
        <v>-35.379935000000003</v>
      </c>
    </row>
    <row r="4434" spans="16:20">
      <c r="P4434" s="1094">
        <v>2720</v>
      </c>
      <c r="Q4434" t="s">
        <v>5456</v>
      </c>
      <c r="R4434" t="s">
        <v>248</v>
      </c>
      <c r="S4434">
        <v>148.38361900000001</v>
      </c>
      <c r="T4434" s="1095">
        <v>-35.379935000000003</v>
      </c>
    </row>
    <row r="4435" spans="16:20">
      <c r="P4435" s="1094">
        <v>2720</v>
      </c>
      <c r="Q4435" t="s">
        <v>5457</v>
      </c>
      <c r="R4435" t="s">
        <v>248</v>
      </c>
      <c r="S4435">
        <v>148.38361900000001</v>
      </c>
      <c r="T4435" s="1095">
        <v>-35.379935000000003</v>
      </c>
    </row>
    <row r="4436" spans="16:20">
      <c r="P4436" s="1094">
        <v>2720</v>
      </c>
      <c r="Q4436" t="s">
        <v>5458</v>
      </c>
      <c r="R4436" t="s">
        <v>248</v>
      </c>
      <c r="S4436">
        <v>148.38361900000001</v>
      </c>
      <c r="T4436" s="1095">
        <v>-35.379935000000003</v>
      </c>
    </row>
    <row r="4437" spans="16:20">
      <c r="P4437" s="1094">
        <v>2720</v>
      </c>
      <c r="Q4437" t="s">
        <v>5459</v>
      </c>
      <c r="R4437" t="s">
        <v>248</v>
      </c>
      <c r="S4437">
        <v>148.38361900000001</v>
      </c>
      <c r="T4437" s="1095">
        <v>-35.379935000000003</v>
      </c>
    </row>
    <row r="4438" spans="16:20">
      <c r="P4438" s="1094">
        <v>2720</v>
      </c>
      <c r="Q4438" t="s">
        <v>5460</v>
      </c>
      <c r="R4438" t="s">
        <v>248</v>
      </c>
      <c r="S4438">
        <v>148.38361900000001</v>
      </c>
      <c r="T4438" s="1095">
        <v>-35.379935000000003</v>
      </c>
    </row>
    <row r="4439" spans="16:20">
      <c r="P4439" s="1094">
        <v>2720</v>
      </c>
      <c r="Q4439" t="s">
        <v>5461</v>
      </c>
      <c r="R4439" t="s">
        <v>248</v>
      </c>
      <c r="S4439">
        <v>148.38361900000001</v>
      </c>
      <c r="T4439" s="1095">
        <v>-35.379935000000003</v>
      </c>
    </row>
    <row r="4440" spans="16:20">
      <c r="P4440" s="1094">
        <v>2720</v>
      </c>
      <c r="Q4440" t="s">
        <v>5462</v>
      </c>
      <c r="R4440" t="s">
        <v>248</v>
      </c>
      <c r="S4440">
        <v>148.38361900000001</v>
      </c>
      <c r="T4440" s="1095">
        <v>-35.379935000000003</v>
      </c>
    </row>
    <row r="4441" spans="16:20">
      <c r="P4441" s="1094">
        <v>2720</v>
      </c>
      <c r="Q4441" t="s">
        <v>5463</v>
      </c>
      <c r="R4441" t="s">
        <v>248</v>
      </c>
      <c r="S4441">
        <v>148.38361900000001</v>
      </c>
      <c r="T4441" s="1095">
        <v>-35.379935000000003</v>
      </c>
    </row>
    <row r="4442" spans="16:20">
      <c r="P4442" s="1094">
        <v>2721</v>
      </c>
      <c r="Q4442" t="s">
        <v>5464</v>
      </c>
      <c r="R4442" t="s">
        <v>248</v>
      </c>
      <c r="S4442">
        <v>147.712064</v>
      </c>
      <c r="T4442" s="1095">
        <v>-34.049480000000003</v>
      </c>
    </row>
    <row r="4443" spans="16:20">
      <c r="P4443" s="1094">
        <v>2721</v>
      </c>
      <c r="Q4443" t="s">
        <v>5465</v>
      </c>
      <c r="R4443" t="s">
        <v>248</v>
      </c>
      <c r="S4443">
        <v>147.712064</v>
      </c>
      <c r="T4443" s="1095">
        <v>-34.049480000000003</v>
      </c>
    </row>
    <row r="4444" spans="16:20">
      <c r="P4444" s="1094">
        <v>2722</v>
      </c>
      <c r="Q4444" t="s">
        <v>5466</v>
      </c>
      <c r="R4444" t="s">
        <v>248</v>
      </c>
      <c r="S4444">
        <v>148.10286600000001</v>
      </c>
      <c r="T4444" s="1095">
        <v>-35.053522999999998</v>
      </c>
    </row>
    <row r="4445" spans="16:20">
      <c r="P4445" s="1094">
        <v>2722</v>
      </c>
      <c r="Q4445" t="s">
        <v>5467</v>
      </c>
      <c r="R4445" t="s">
        <v>248</v>
      </c>
      <c r="S4445">
        <v>148.10286600000001</v>
      </c>
      <c r="T4445" s="1095">
        <v>-35.053522999999998</v>
      </c>
    </row>
    <row r="4446" spans="16:20">
      <c r="P4446" s="1094">
        <v>2722</v>
      </c>
      <c r="Q4446" t="s">
        <v>5468</v>
      </c>
      <c r="R4446" t="s">
        <v>248</v>
      </c>
      <c r="S4446">
        <v>148.10286600000001</v>
      </c>
      <c r="T4446" s="1095">
        <v>-35.053522999999998</v>
      </c>
    </row>
    <row r="4447" spans="16:20">
      <c r="P4447" s="1094">
        <v>2722</v>
      </c>
      <c r="Q4447" t="s">
        <v>5469</v>
      </c>
      <c r="R4447" t="s">
        <v>248</v>
      </c>
      <c r="S4447">
        <v>148.10286600000001</v>
      </c>
      <c r="T4447" s="1095">
        <v>-35.053522999999998</v>
      </c>
    </row>
    <row r="4448" spans="16:20">
      <c r="P4448" s="1094">
        <v>2722</v>
      </c>
      <c r="Q4448" t="s">
        <v>4884</v>
      </c>
      <c r="R4448" t="s">
        <v>248</v>
      </c>
      <c r="S4448">
        <v>148.10286600000001</v>
      </c>
      <c r="T4448" s="1095">
        <v>-35.053522999999998</v>
      </c>
    </row>
    <row r="4449" spans="16:20">
      <c r="P4449" s="1094">
        <v>2722</v>
      </c>
      <c r="Q4449" t="s">
        <v>5470</v>
      </c>
      <c r="R4449" t="s">
        <v>248</v>
      </c>
      <c r="S4449">
        <v>148.10286600000001</v>
      </c>
      <c r="T4449" s="1095">
        <v>-35.053522999999998</v>
      </c>
    </row>
    <row r="4450" spans="16:20">
      <c r="P4450" s="1094">
        <v>2722</v>
      </c>
      <c r="Q4450" t="s">
        <v>5471</v>
      </c>
      <c r="R4450" t="s">
        <v>248</v>
      </c>
      <c r="S4450">
        <v>148.10286600000001</v>
      </c>
      <c r="T4450" s="1095">
        <v>-35.053522999999998</v>
      </c>
    </row>
    <row r="4451" spans="16:20">
      <c r="P4451" s="1094">
        <v>2722</v>
      </c>
      <c r="Q4451" t="s">
        <v>5472</v>
      </c>
      <c r="R4451" t="s">
        <v>248</v>
      </c>
      <c r="S4451">
        <v>148.10286600000001</v>
      </c>
      <c r="T4451" s="1095">
        <v>-35.053522999999998</v>
      </c>
    </row>
    <row r="4452" spans="16:20">
      <c r="P4452" s="1094">
        <v>2722</v>
      </c>
      <c r="Q4452" t="s">
        <v>5473</v>
      </c>
      <c r="R4452" t="s">
        <v>248</v>
      </c>
      <c r="S4452">
        <v>148.10286600000001</v>
      </c>
      <c r="T4452" s="1095">
        <v>-35.053522999999998</v>
      </c>
    </row>
    <row r="4453" spans="16:20">
      <c r="P4453" s="1094">
        <v>2722</v>
      </c>
      <c r="Q4453" t="s">
        <v>5474</v>
      </c>
      <c r="R4453" t="s">
        <v>248</v>
      </c>
      <c r="S4453">
        <v>148.10286600000001</v>
      </c>
      <c r="T4453" s="1095">
        <v>-35.053522999999998</v>
      </c>
    </row>
    <row r="4454" spans="16:20">
      <c r="P4454" s="1094">
        <v>2722</v>
      </c>
      <c r="Q4454" t="s">
        <v>5475</v>
      </c>
      <c r="R4454" t="s">
        <v>248</v>
      </c>
      <c r="S4454">
        <v>148.10286600000001</v>
      </c>
      <c r="T4454" s="1095">
        <v>-35.053522999999998</v>
      </c>
    </row>
    <row r="4455" spans="16:20">
      <c r="P4455" s="1094">
        <v>2722</v>
      </c>
      <c r="Q4455" t="s">
        <v>5476</v>
      </c>
      <c r="R4455" t="s">
        <v>248</v>
      </c>
      <c r="S4455">
        <v>148.10286600000001</v>
      </c>
      <c r="T4455" s="1095">
        <v>-35.053522999999998</v>
      </c>
    </row>
    <row r="4456" spans="16:20">
      <c r="P4456" s="1094">
        <v>2722</v>
      </c>
      <c r="Q4456" t="s">
        <v>5477</v>
      </c>
      <c r="R4456" t="s">
        <v>248</v>
      </c>
      <c r="S4456">
        <v>148.10286600000001</v>
      </c>
      <c r="T4456" s="1095">
        <v>-35.053522999999998</v>
      </c>
    </row>
    <row r="4457" spans="16:20">
      <c r="P4457" s="1094">
        <v>2722</v>
      </c>
      <c r="Q4457" t="s">
        <v>5478</v>
      </c>
      <c r="R4457" t="s">
        <v>248</v>
      </c>
      <c r="S4457">
        <v>148.10286600000001</v>
      </c>
      <c r="T4457" s="1095">
        <v>-35.053522999999998</v>
      </c>
    </row>
    <row r="4458" spans="16:20">
      <c r="P4458" s="1094">
        <v>2722</v>
      </c>
      <c r="Q4458" t="s">
        <v>5479</v>
      </c>
      <c r="R4458" t="s">
        <v>248</v>
      </c>
      <c r="S4458">
        <v>148.10286600000001</v>
      </c>
      <c r="T4458" s="1095">
        <v>-35.053522999999998</v>
      </c>
    </row>
    <row r="4459" spans="16:20">
      <c r="P4459" s="1094">
        <v>2722</v>
      </c>
      <c r="Q4459" t="s">
        <v>5480</v>
      </c>
      <c r="R4459" t="s">
        <v>248</v>
      </c>
      <c r="S4459">
        <v>148.10286600000001</v>
      </c>
      <c r="T4459" s="1095">
        <v>-35.053522999999998</v>
      </c>
    </row>
    <row r="4460" spans="16:20">
      <c r="P4460" s="1094">
        <v>2722</v>
      </c>
      <c r="Q4460" t="s">
        <v>5481</v>
      </c>
      <c r="R4460" t="s">
        <v>248</v>
      </c>
      <c r="S4460">
        <v>148.10286600000001</v>
      </c>
      <c r="T4460" s="1095">
        <v>-35.053522999999998</v>
      </c>
    </row>
    <row r="4461" spans="16:20">
      <c r="P4461" s="1094">
        <v>2725</v>
      </c>
      <c r="Q4461" t="s">
        <v>5482</v>
      </c>
      <c r="R4461" t="s">
        <v>248</v>
      </c>
      <c r="S4461">
        <v>147.81580600000001</v>
      </c>
      <c r="T4461" s="1095">
        <v>-34.448169999999998</v>
      </c>
    </row>
    <row r="4462" spans="16:20">
      <c r="P4462" s="1094">
        <v>2726</v>
      </c>
      <c r="Q4462" t="s">
        <v>5483</v>
      </c>
      <c r="R4462" t="s">
        <v>248</v>
      </c>
      <c r="S4462">
        <v>148.32667499999999</v>
      </c>
      <c r="T4462" s="1095">
        <v>-34.78436</v>
      </c>
    </row>
    <row r="4463" spans="16:20">
      <c r="P4463" s="1094">
        <v>2726</v>
      </c>
      <c r="Q4463" t="s">
        <v>5484</v>
      </c>
      <c r="R4463" t="s">
        <v>248</v>
      </c>
      <c r="S4463">
        <v>148.32667499999999</v>
      </c>
      <c r="T4463" s="1095">
        <v>-34.78436</v>
      </c>
    </row>
    <row r="4464" spans="16:20">
      <c r="P4464" s="1094">
        <v>2727</v>
      </c>
      <c r="Q4464" t="s">
        <v>5485</v>
      </c>
      <c r="R4464" t="s">
        <v>248</v>
      </c>
      <c r="S4464">
        <v>148.39037200000001</v>
      </c>
      <c r="T4464" s="1095">
        <v>-34.983539</v>
      </c>
    </row>
    <row r="4465" spans="16:20">
      <c r="P4465" s="1094">
        <v>2727</v>
      </c>
      <c r="Q4465" t="s">
        <v>5486</v>
      </c>
      <c r="R4465" t="s">
        <v>248</v>
      </c>
      <c r="S4465">
        <v>148.39037200000001</v>
      </c>
      <c r="T4465" s="1095">
        <v>-34.983539</v>
      </c>
    </row>
    <row r="4466" spans="16:20">
      <c r="P4466" s="1094">
        <v>2727</v>
      </c>
      <c r="Q4466" t="s">
        <v>5487</v>
      </c>
      <c r="R4466" t="s">
        <v>248</v>
      </c>
      <c r="S4466">
        <v>148.39037200000001</v>
      </c>
      <c r="T4466" s="1095">
        <v>-34.983539</v>
      </c>
    </row>
    <row r="4467" spans="16:20">
      <c r="P4467" s="1094">
        <v>2729</v>
      </c>
      <c r="Q4467" t="s">
        <v>5488</v>
      </c>
      <c r="R4467" t="s">
        <v>248</v>
      </c>
      <c r="S4467">
        <v>147.92379700000001</v>
      </c>
      <c r="T4467" s="1095">
        <v>-35.227753</v>
      </c>
    </row>
    <row r="4468" spans="16:20">
      <c r="P4468" s="1094">
        <v>2729</v>
      </c>
      <c r="Q4468" t="s">
        <v>3256</v>
      </c>
      <c r="R4468" t="s">
        <v>248</v>
      </c>
      <c r="S4468">
        <v>147.92379700000001</v>
      </c>
      <c r="T4468" s="1095">
        <v>-35.227753</v>
      </c>
    </row>
    <row r="4469" spans="16:20">
      <c r="P4469" s="1094">
        <v>2729</v>
      </c>
      <c r="Q4469" t="s">
        <v>5489</v>
      </c>
      <c r="R4469" t="s">
        <v>248</v>
      </c>
      <c r="S4469">
        <v>147.92379700000001</v>
      </c>
      <c r="T4469" s="1095">
        <v>-35.227753</v>
      </c>
    </row>
    <row r="4470" spans="16:20">
      <c r="P4470" s="1094">
        <v>2729</v>
      </c>
      <c r="Q4470" t="s">
        <v>3434</v>
      </c>
      <c r="R4470" t="s">
        <v>248</v>
      </c>
      <c r="S4470">
        <v>147.92379700000001</v>
      </c>
      <c r="T4470" s="1095">
        <v>-35.227753</v>
      </c>
    </row>
    <row r="4471" spans="16:20">
      <c r="P4471" s="1094">
        <v>2729</v>
      </c>
      <c r="Q4471" t="s">
        <v>5490</v>
      </c>
      <c r="R4471" t="s">
        <v>248</v>
      </c>
      <c r="S4471">
        <v>147.92379700000001</v>
      </c>
      <c r="T4471" s="1095">
        <v>-35.227753</v>
      </c>
    </row>
    <row r="4472" spans="16:20">
      <c r="P4472" s="1094">
        <v>2729</v>
      </c>
      <c r="Q4472" t="s">
        <v>5491</v>
      </c>
      <c r="R4472" t="s">
        <v>248</v>
      </c>
      <c r="S4472">
        <v>147.92379700000001</v>
      </c>
      <c r="T4472" s="1095">
        <v>-35.227753</v>
      </c>
    </row>
    <row r="4473" spans="16:20">
      <c r="P4473" s="1094">
        <v>2729</v>
      </c>
      <c r="Q4473" t="s">
        <v>5492</v>
      </c>
      <c r="R4473" t="s">
        <v>248</v>
      </c>
      <c r="S4473">
        <v>147.92379700000001</v>
      </c>
      <c r="T4473" s="1095">
        <v>-35.227753</v>
      </c>
    </row>
    <row r="4474" spans="16:20">
      <c r="P4474" s="1094">
        <v>2729</v>
      </c>
      <c r="Q4474" t="s">
        <v>5493</v>
      </c>
      <c r="R4474" t="s">
        <v>248</v>
      </c>
      <c r="S4474">
        <v>147.92379700000001</v>
      </c>
      <c r="T4474" s="1095">
        <v>-35.227753</v>
      </c>
    </row>
    <row r="4475" spans="16:20">
      <c r="P4475" s="1094">
        <v>2729</v>
      </c>
      <c r="Q4475" t="s">
        <v>5494</v>
      </c>
      <c r="R4475" t="s">
        <v>248</v>
      </c>
      <c r="S4475">
        <v>147.92379700000001</v>
      </c>
      <c r="T4475" s="1095">
        <v>-35.227753</v>
      </c>
    </row>
    <row r="4476" spans="16:20">
      <c r="P4476" s="1094">
        <v>2729</v>
      </c>
      <c r="Q4476" t="s">
        <v>5495</v>
      </c>
      <c r="R4476" t="s">
        <v>248</v>
      </c>
      <c r="S4476">
        <v>147.92379700000001</v>
      </c>
      <c r="T4476" s="1095">
        <v>-35.227753</v>
      </c>
    </row>
    <row r="4477" spans="16:20">
      <c r="P4477" s="1094">
        <v>2729</v>
      </c>
      <c r="Q4477" t="s">
        <v>5496</v>
      </c>
      <c r="R4477" t="s">
        <v>248</v>
      </c>
      <c r="S4477">
        <v>147.92379700000001</v>
      </c>
      <c r="T4477" s="1095">
        <v>-35.227753</v>
      </c>
    </row>
    <row r="4478" spans="16:20">
      <c r="P4478" s="1094">
        <v>2729</v>
      </c>
      <c r="Q4478" t="s">
        <v>5497</v>
      </c>
      <c r="R4478" t="s">
        <v>248</v>
      </c>
      <c r="S4478">
        <v>147.92379700000001</v>
      </c>
      <c r="T4478" s="1095">
        <v>-35.227753</v>
      </c>
    </row>
    <row r="4479" spans="16:20">
      <c r="P4479" s="1094">
        <v>2729</v>
      </c>
      <c r="Q4479" t="s">
        <v>5498</v>
      </c>
      <c r="R4479" t="s">
        <v>248</v>
      </c>
      <c r="S4479">
        <v>147.92379700000001</v>
      </c>
      <c r="T4479" s="1095">
        <v>-35.227753</v>
      </c>
    </row>
    <row r="4480" spans="16:20">
      <c r="P4480" s="1094">
        <v>2729</v>
      </c>
      <c r="Q4480" t="s">
        <v>5499</v>
      </c>
      <c r="R4480" t="s">
        <v>248</v>
      </c>
      <c r="S4480">
        <v>147.92379700000001</v>
      </c>
      <c r="T4480" s="1095">
        <v>-35.227753</v>
      </c>
    </row>
    <row r="4481" spans="16:20">
      <c r="P4481" s="1094">
        <v>2729</v>
      </c>
      <c r="Q4481" t="s">
        <v>5500</v>
      </c>
      <c r="R4481" t="s">
        <v>248</v>
      </c>
      <c r="S4481">
        <v>147.92379700000001</v>
      </c>
      <c r="T4481" s="1095">
        <v>-35.227753</v>
      </c>
    </row>
    <row r="4482" spans="16:20">
      <c r="P4482" s="1094">
        <v>2729</v>
      </c>
      <c r="Q4482" t="s">
        <v>5501</v>
      </c>
      <c r="R4482" t="s">
        <v>248</v>
      </c>
      <c r="S4482">
        <v>147.92379700000001</v>
      </c>
      <c r="T4482" s="1095">
        <v>-35.227753</v>
      </c>
    </row>
    <row r="4483" spans="16:20">
      <c r="P4483" s="1094">
        <v>2729</v>
      </c>
      <c r="Q4483" t="s">
        <v>5502</v>
      </c>
      <c r="R4483" t="s">
        <v>248</v>
      </c>
      <c r="S4483">
        <v>147.92379700000001</v>
      </c>
      <c r="T4483" s="1095">
        <v>-35.227753</v>
      </c>
    </row>
    <row r="4484" spans="16:20">
      <c r="P4484" s="1094">
        <v>2729</v>
      </c>
      <c r="Q4484" t="s">
        <v>5503</v>
      </c>
      <c r="R4484" t="s">
        <v>248</v>
      </c>
      <c r="S4484">
        <v>147.92379700000001</v>
      </c>
      <c r="T4484" s="1095">
        <v>-35.227753</v>
      </c>
    </row>
    <row r="4485" spans="16:20">
      <c r="P4485" s="1094">
        <v>2729</v>
      </c>
      <c r="Q4485" t="s">
        <v>5504</v>
      </c>
      <c r="R4485" t="s">
        <v>248</v>
      </c>
      <c r="S4485">
        <v>147.92379700000001</v>
      </c>
      <c r="T4485" s="1095">
        <v>-35.227753</v>
      </c>
    </row>
    <row r="4486" spans="16:20">
      <c r="P4486" s="1094">
        <v>2730</v>
      </c>
      <c r="Q4486" t="s">
        <v>5505</v>
      </c>
      <c r="R4486" t="s">
        <v>248</v>
      </c>
      <c r="S4486">
        <v>148.03401199999999</v>
      </c>
      <c r="T4486" s="1095">
        <v>-35.510038999999999</v>
      </c>
    </row>
    <row r="4487" spans="16:20">
      <c r="P4487" s="1094">
        <v>2730</v>
      </c>
      <c r="Q4487" t="s">
        <v>5506</v>
      </c>
      <c r="R4487" t="s">
        <v>248</v>
      </c>
      <c r="S4487">
        <v>148.03401199999999</v>
      </c>
      <c r="T4487" s="1095">
        <v>-35.510038999999999</v>
      </c>
    </row>
    <row r="4488" spans="16:20">
      <c r="P4488" s="1094">
        <v>2730</v>
      </c>
      <c r="Q4488" t="s">
        <v>3061</v>
      </c>
      <c r="R4488" t="s">
        <v>248</v>
      </c>
      <c r="S4488">
        <v>148.03401199999999</v>
      </c>
      <c r="T4488" s="1095">
        <v>-35.510038999999999</v>
      </c>
    </row>
    <row r="4489" spans="16:20">
      <c r="P4489" s="1094">
        <v>2730</v>
      </c>
      <c r="Q4489" t="s">
        <v>5507</v>
      </c>
      <c r="R4489" t="s">
        <v>248</v>
      </c>
      <c r="S4489">
        <v>148.03401199999999</v>
      </c>
      <c r="T4489" s="1095">
        <v>-35.510038999999999</v>
      </c>
    </row>
    <row r="4490" spans="16:20">
      <c r="P4490" s="1094">
        <v>2730</v>
      </c>
      <c r="Q4490" t="s">
        <v>5508</v>
      </c>
      <c r="R4490" t="s">
        <v>248</v>
      </c>
      <c r="S4490">
        <v>148.03401199999999</v>
      </c>
      <c r="T4490" s="1095">
        <v>-35.510038999999999</v>
      </c>
    </row>
    <row r="4491" spans="16:20">
      <c r="P4491" s="1094">
        <v>2731</v>
      </c>
      <c r="Q4491" t="s">
        <v>5509</v>
      </c>
      <c r="R4491" t="s">
        <v>248</v>
      </c>
      <c r="S4491">
        <v>144.641831</v>
      </c>
      <c r="T4491" s="1095">
        <v>-35.893394000000001</v>
      </c>
    </row>
    <row r="4492" spans="16:20">
      <c r="P4492" s="1094">
        <v>2731</v>
      </c>
      <c r="Q4492" t="s">
        <v>5510</v>
      </c>
      <c r="R4492" t="s">
        <v>248</v>
      </c>
      <c r="S4492">
        <v>144.641831</v>
      </c>
      <c r="T4492" s="1095">
        <v>-35.893394000000001</v>
      </c>
    </row>
    <row r="4493" spans="16:20">
      <c r="P4493" s="1094">
        <v>2731</v>
      </c>
      <c r="Q4493" t="s">
        <v>5511</v>
      </c>
      <c r="R4493" t="s">
        <v>248</v>
      </c>
      <c r="S4493">
        <v>144.641831</v>
      </c>
      <c r="T4493" s="1095">
        <v>-35.893394000000001</v>
      </c>
    </row>
    <row r="4494" spans="16:20">
      <c r="P4494" s="1094">
        <v>2731</v>
      </c>
      <c r="Q4494" t="s">
        <v>5512</v>
      </c>
      <c r="R4494" t="s">
        <v>248</v>
      </c>
      <c r="S4494">
        <v>144.641831</v>
      </c>
      <c r="T4494" s="1095">
        <v>-35.893394000000001</v>
      </c>
    </row>
    <row r="4495" spans="16:20">
      <c r="P4495" s="1094">
        <v>2732</v>
      </c>
      <c r="Q4495" t="s">
        <v>5513</v>
      </c>
      <c r="R4495" t="s">
        <v>248</v>
      </c>
      <c r="S4495">
        <v>144.23016799999999</v>
      </c>
      <c r="T4495" s="1095">
        <v>-35.542622000000001</v>
      </c>
    </row>
    <row r="4496" spans="16:20">
      <c r="P4496" s="1094">
        <v>2732</v>
      </c>
      <c r="Q4496" t="s">
        <v>5514</v>
      </c>
      <c r="R4496" t="s">
        <v>248</v>
      </c>
      <c r="S4496">
        <v>144.23016799999999</v>
      </c>
      <c r="T4496" s="1095">
        <v>-35.542622000000001</v>
      </c>
    </row>
    <row r="4497" spans="16:20">
      <c r="P4497" s="1094">
        <v>2732</v>
      </c>
      <c r="Q4497" t="s">
        <v>5515</v>
      </c>
      <c r="R4497" t="s">
        <v>248</v>
      </c>
      <c r="S4497">
        <v>144.23016799999999</v>
      </c>
      <c r="T4497" s="1095">
        <v>-35.542622000000001</v>
      </c>
    </row>
    <row r="4498" spans="16:20">
      <c r="P4498" s="1094">
        <v>2732</v>
      </c>
      <c r="Q4498" t="s">
        <v>5516</v>
      </c>
      <c r="R4498" t="s">
        <v>248</v>
      </c>
      <c r="S4498">
        <v>144.23016799999999</v>
      </c>
      <c r="T4498" s="1095">
        <v>-35.542622000000001</v>
      </c>
    </row>
    <row r="4499" spans="16:20">
      <c r="P4499" s="1094">
        <v>2732</v>
      </c>
      <c r="Q4499" t="s">
        <v>5517</v>
      </c>
      <c r="R4499" t="s">
        <v>248</v>
      </c>
      <c r="S4499">
        <v>144.23016799999999</v>
      </c>
      <c r="T4499" s="1095">
        <v>-35.542622000000001</v>
      </c>
    </row>
    <row r="4500" spans="16:20">
      <c r="P4500" s="1094">
        <v>2733</v>
      </c>
      <c r="Q4500" t="s">
        <v>5518</v>
      </c>
      <c r="R4500" t="s">
        <v>248</v>
      </c>
      <c r="S4500">
        <v>144.20613900000001</v>
      </c>
      <c r="T4500" s="1095">
        <v>-35.013711000000001</v>
      </c>
    </row>
    <row r="4501" spans="16:20">
      <c r="P4501" s="1094">
        <v>2733</v>
      </c>
      <c r="Q4501" t="s">
        <v>5519</v>
      </c>
      <c r="R4501" t="s">
        <v>248</v>
      </c>
      <c r="S4501">
        <v>144.20613900000001</v>
      </c>
      <c r="T4501" s="1095">
        <v>-35.013711000000001</v>
      </c>
    </row>
    <row r="4502" spans="16:20">
      <c r="P4502" s="1094">
        <v>2733</v>
      </c>
      <c r="Q4502" t="s">
        <v>5520</v>
      </c>
      <c r="R4502" t="s">
        <v>248</v>
      </c>
      <c r="S4502">
        <v>144.20613900000001</v>
      </c>
      <c r="T4502" s="1095">
        <v>-35.013711000000001</v>
      </c>
    </row>
    <row r="4503" spans="16:20">
      <c r="P4503" s="1094">
        <v>2733</v>
      </c>
      <c r="Q4503" t="s">
        <v>5521</v>
      </c>
      <c r="R4503" t="s">
        <v>248</v>
      </c>
      <c r="S4503">
        <v>144.20613900000001</v>
      </c>
      <c r="T4503" s="1095">
        <v>-35.013711000000001</v>
      </c>
    </row>
    <row r="4504" spans="16:20">
      <c r="P4504" s="1094">
        <v>2734</v>
      </c>
      <c r="Q4504" t="s">
        <v>5522</v>
      </c>
      <c r="R4504" t="s">
        <v>248</v>
      </c>
      <c r="S4504">
        <v>143.38700900000001</v>
      </c>
      <c r="T4504" s="1095">
        <v>-34.770930999999997</v>
      </c>
    </row>
    <row r="4505" spans="16:20">
      <c r="P4505" s="1094">
        <v>2734</v>
      </c>
      <c r="Q4505" t="s">
        <v>5523</v>
      </c>
      <c r="R4505" t="s">
        <v>248</v>
      </c>
      <c r="S4505">
        <v>143.38700900000001</v>
      </c>
      <c r="T4505" s="1095">
        <v>-34.770930999999997</v>
      </c>
    </row>
    <row r="4506" spans="16:20">
      <c r="P4506" s="1094">
        <v>2734</v>
      </c>
      <c r="Q4506" t="s">
        <v>5524</v>
      </c>
      <c r="R4506" t="s">
        <v>248</v>
      </c>
      <c r="S4506">
        <v>143.38700900000001</v>
      </c>
      <c r="T4506" s="1095">
        <v>-34.770930999999997</v>
      </c>
    </row>
    <row r="4507" spans="16:20">
      <c r="P4507" s="1094">
        <v>2734</v>
      </c>
      <c r="Q4507" t="s">
        <v>5525</v>
      </c>
      <c r="R4507" t="s">
        <v>248</v>
      </c>
      <c r="S4507">
        <v>143.38700900000001</v>
      </c>
      <c r="T4507" s="1095">
        <v>-34.770930999999997</v>
      </c>
    </row>
    <row r="4508" spans="16:20">
      <c r="P4508" s="1094">
        <v>2734</v>
      </c>
      <c r="Q4508" t="s">
        <v>5526</v>
      </c>
      <c r="R4508" t="s">
        <v>248</v>
      </c>
      <c r="S4508">
        <v>143.38700900000001</v>
      </c>
      <c r="T4508" s="1095">
        <v>-34.770930999999997</v>
      </c>
    </row>
    <row r="4509" spans="16:20">
      <c r="P4509" s="1094">
        <v>2734</v>
      </c>
      <c r="Q4509" t="s">
        <v>5527</v>
      </c>
      <c r="R4509" t="s">
        <v>248</v>
      </c>
      <c r="S4509">
        <v>143.38700900000001</v>
      </c>
      <c r="T4509" s="1095">
        <v>-34.770930999999997</v>
      </c>
    </row>
    <row r="4510" spans="16:20">
      <c r="P4510" s="1094">
        <v>2734</v>
      </c>
      <c r="Q4510" t="s">
        <v>5528</v>
      </c>
      <c r="R4510" t="s">
        <v>248</v>
      </c>
      <c r="S4510">
        <v>143.38700900000001</v>
      </c>
      <c r="T4510" s="1095">
        <v>-34.770930999999997</v>
      </c>
    </row>
    <row r="4511" spans="16:20">
      <c r="P4511" s="1094">
        <v>2734</v>
      </c>
      <c r="Q4511" t="s">
        <v>5529</v>
      </c>
      <c r="R4511" t="s">
        <v>248</v>
      </c>
      <c r="S4511">
        <v>143.38700900000001</v>
      </c>
      <c r="T4511" s="1095">
        <v>-34.770930999999997</v>
      </c>
    </row>
    <row r="4512" spans="16:20">
      <c r="P4512" s="1094">
        <v>2734</v>
      </c>
      <c r="Q4512" t="s">
        <v>5530</v>
      </c>
      <c r="R4512" t="s">
        <v>248</v>
      </c>
      <c r="S4512">
        <v>143.38700900000001</v>
      </c>
      <c r="T4512" s="1095">
        <v>-34.770930999999997</v>
      </c>
    </row>
    <row r="4513" spans="16:20">
      <c r="P4513" s="1094">
        <v>2734</v>
      </c>
      <c r="Q4513" t="s">
        <v>5531</v>
      </c>
      <c r="R4513" t="s">
        <v>248</v>
      </c>
      <c r="S4513">
        <v>143.38700900000001</v>
      </c>
      <c r="T4513" s="1095">
        <v>-34.770930999999997</v>
      </c>
    </row>
    <row r="4514" spans="16:20">
      <c r="P4514" s="1094">
        <v>2735</v>
      </c>
      <c r="Q4514" t="s">
        <v>5532</v>
      </c>
      <c r="R4514" t="s">
        <v>248</v>
      </c>
      <c r="S4514">
        <v>143.42674500000001</v>
      </c>
      <c r="T4514" s="1095">
        <v>-35.129137</v>
      </c>
    </row>
    <row r="4515" spans="16:20">
      <c r="P4515" s="1094">
        <v>2736</v>
      </c>
      <c r="Q4515" t="s">
        <v>5533</v>
      </c>
      <c r="R4515" t="s">
        <v>248</v>
      </c>
      <c r="S4515">
        <v>143.375822</v>
      </c>
      <c r="T4515" s="1095">
        <v>-34.965178000000002</v>
      </c>
    </row>
    <row r="4516" spans="16:20">
      <c r="P4516" s="1094">
        <v>2736</v>
      </c>
      <c r="Q4516" t="s">
        <v>5534</v>
      </c>
      <c r="R4516" t="s">
        <v>248</v>
      </c>
      <c r="S4516">
        <v>143.375822</v>
      </c>
      <c r="T4516" s="1095">
        <v>-34.965178000000002</v>
      </c>
    </row>
    <row r="4517" spans="16:20">
      <c r="P4517" s="1094">
        <v>2737</v>
      </c>
      <c r="Q4517" t="s">
        <v>5535</v>
      </c>
      <c r="R4517" t="s">
        <v>248</v>
      </c>
      <c r="S4517">
        <v>142.87380999999999</v>
      </c>
      <c r="T4517" s="1095">
        <v>-34.574112999999997</v>
      </c>
    </row>
    <row r="4518" spans="16:20">
      <c r="P4518" s="1094">
        <v>2737</v>
      </c>
      <c r="Q4518" t="s">
        <v>5536</v>
      </c>
      <c r="R4518" t="s">
        <v>248</v>
      </c>
      <c r="S4518">
        <v>142.87380999999999</v>
      </c>
      <c r="T4518" s="1095">
        <v>-34.574112999999997</v>
      </c>
    </row>
    <row r="4519" spans="16:20">
      <c r="P4519" s="1094">
        <v>2738</v>
      </c>
      <c r="Q4519" t="s">
        <v>5537</v>
      </c>
      <c r="R4519" t="s">
        <v>248</v>
      </c>
      <c r="S4519">
        <v>142.225122</v>
      </c>
      <c r="T4519" s="1095">
        <v>-34.164709000000002</v>
      </c>
    </row>
    <row r="4520" spans="16:20">
      <c r="P4520" s="1094">
        <v>2738</v>
      </c>
      <c r="Q4520" t="s">
        <v>5538</v>
      </c>
      <c r="R4520" t="s">
        <v>248</v>
      </c>
      <c r="S4520">
        <v>142.225122</v>
      </c>
      <c r="T4520" s="1095">
        <v>-34.164709000000002</v>
      </c>
    </row>
    <row r="4521" spans="16:20">
      <c r="P4521" s="1094">
        <v>2738</v>
      </c>
      <c r="Q4521" t="s">
        <v>5539</v>
      </c>
      <c r="R4521" t="s">
        <v>248</v>
      </c>
      <c r="S4521">
        <v>142.225122</v>
      </c>
      <c r="T4521" s="1095">
        <v>-34.164709000000002</v>
      </c>
    </row>
    <row r="4522" spans="16:20">
      <c r="P4522" s="1094">
        <v>2739</v>
      </c>
      <c r="Q4522" t="s">
        <v>5540</v>
      </c>
      <c r="R4522" t="s">
        <v>248</v>
      </c>
      <c r="S4522">
        <v>0</v>
      </c>
      <c r="T4522" s="1095">
        <v>0</v>
      </c>
    </row>
    <row r="4523" spans="16:20">
      <c r="P4523" s="1094">
        <v>2745</v>
      </c>
      <c r="Q4523" t="s">
        <v>5541</v>
      </c>
      <c r="R4523" t="s">
        <v>248</v>
      </c>
      <c r="S4523">
        <v>150.67148700000001</v>
      </c>
      <c r="T4523" s="1095">
        <v>-33.871341000000001</v>
      </c>
    </row>
    <row r="4524" spans="16:20">
      <c r="P4524" s="1094">
        <v>2745</v>
      </c>
      <c r="Q4524" t="s">
        <v>4420</v>
      </c>
      <c r="R4524" t="s">
        <v>248</v>
      </c>
      <c r="S4524">
        <v>150.67148700000001</v>
      </c>
      <c r="T4524" s="1095">
        <v>-33.871341000000001</v>
      </c>
    </row>
    <row r="4525" spans="16:20">
      <c r="P4525" s="1094">
        <v>2745</v>
      </c>
      <c r="Q4525" t="s">
        <v>5542</v>
      </c>
      <c r="R4525" t="s">
        <v>248</v>
      </c>
      <c r="S4525">
        <v>150.67148700000001</v>
      </c>
      <c r="T4525" s="1095">
        <v>-33.871341000000001</v>
      </c>
    </row>
    <row r="4526" spans="16:20">
      <c r="P4526" s="1094">
        <v>2745</v>
      </c>
      <c r="Q4526" t="s">
        <v>5543</v>
      </c>
      <c r="R4526" t="s">
        <v>248</v>
      </c>
      <c r="S4526">
        <v>150.67148700000001</v>
      </c>
      <c r="T4526" s="1095">
        <v>-33.871341000000001</v>
      </c>
    </row>
    <row r="4527" spans="16:20">
      <c r="P4527" s="1094">
        <v>2745</v>
      </c>
      <c r="Q4527" t="s">
        <v>5544</v>
      </c>
      <c r="R4527" t="s">
        <v>248</v>
      </c>
      <c r="S4527">
        <v>150.67148700000001</v>
      </c>
      <c r="T4527" s="1095">
        <v>-33.871341000000001</v>
      </c>
    </row>
    <row r="4528" spans="16:20">
      <c r="P4528" s="1094">
        <v>2745</v>
      </c>
      <c r="Q4528" t="s">
        <v>5545</v>
      </c>
      <c r="R4528" t="s">
        <v>248</v>
      </c>
      <c r="S4528">
        <v>150.67148700000001</v>
      </c>
      <c r="T4528" s="1095">
        <v>-33.871341000000001</v>
      </c>
    </row>
    <row r="4529" spans="16:20">
      <c r="P4529" s="1094">
        <v>2747</v>
      </c>
      <c r="Q4529" t="s">
        <v>5546</v>
      </c>
      <c r="R4529" t="s">
        <v>248</v>
      </c>
      <c r="S4529">
        <v>150.73939799999999</v>
      </c>
      <c r="T4529" s="1095">
        <v>-33.722323000000003</v>
      </c>
    </row>
    <row r="4530" spans="16:20">
      <c r="P4530" s="1094">
        <v>2747</v>
      </c>
      <c r="Q4530" t="s">
        <v>5547</v>
      </c>
      <c r="R4530" t="s">
        <v>248</v>
      </c>
      <c r="S4530">
        <v>150.73939799999999</v>
      </c>
      <c r="T4530" s="1095">
        <v>-33.722323000000003</v>
      </c>
    </row>
    <row r="4531" spans="16:20">
      <c r="P4531" s="1094">
        <v>2747</v>
      </c>
      <c r="Q4531" t="s">
        <v>5548</v>
      </c>
      <c r="R4531" t="s">
        <v>248</v>
      </c>
      <c r="S4531">
        <v>150.73939799999999</v>
      </c>
      <c r="T4531" s="1095">
        <v>-33.722323000000003</v>
      </c>
    </row>
    <row r="4532" spans="16:20">
      <c r="P4532" s="1094">
        <v>2747</v>
      </c>
      <c r="Q4532" t="s">
        <v>2884</v>
      </c>
      <c r="R4532" t="s">
        <v>248</v>
      </c>
      <c r="S4532">
        <v>150.73939799999999</v>
      </c>
      <c r="T4532" s="1095">
        <v>-33.722323000000003</v>
      </c>
    </row>
    <row r="4533" spans="16:20">
      <c r="P4533" s="1094">
        <v>2747</v>
      </c>
      <c r="Q4533" t="s">
        <v>5549</v>
      </c>
      <c r="R4533" t="s">
        <v>248</v>
      </c>
      <c r="S4533">
        <v>150.73939799999999</v>
      </c>
      <c r="T4533" s="1095">
        <v>-33.722323000000003</v>
      </c>
    </row>
    <row r="4534" spans="16:20">
      <c r="P4534" s="1094">
        <v>2747</v>
      </c>
      <c r="Q4534" t="s">
        <v>5550</v>
      </c>
      <c r="R4534" t="s">
        <v>248</v>
      </c>
      <c r="S4534">
        <v>150.73939799999999</v>
      </c>
      <c r="T4534" s="1095">
        <v>-33.722323000000003</v>
      </c>
    </row>
    <row r="4535" spans="16:20">
      <c r="P4535" s="1094">
        <v>2747</v>
      </c>
      <c r="Q4535" t="s">
        <v>5551</v>
      </c>
      <c r="R4535" t="s">
        <v>248</v>
      </c>
      <c r="S4535">
        <v>150.73939799999999</v>
      </c>
      <c r="T4535" s="1095">
        <v>-33.722323000000003</v>
      </c>
    </row>
    <row r="4536" spans="16:20">
      <c r="P4536" s="1094">
        <v>2747</v>
      </c>
      <c r="Q4536" t="s">
        <v>5552</v>
      </c>
      <c r="R4536" t="s">
        <v>248</v>
      </c>
      <c r="S4536">
        <v>150.73939799999999</v>
      </c>
      <c r="T4536" s="1095">
        <v>-33.722323000000003</v>
      </c>
    </row>
    <row r="4537" spans="16:20">
      <c r="P4537" s="1094">
        <v>2747</v>
      </c>
      <c r="Q4537" t="s">
        <v>5553</v>
      </c>
      <c r="R4537" t="s">
        <v>248</v>
      </c>
      <c r="S4537">
        <v>150.73939799999999</v>
      </c>
      <c r="T4537" s="1095">
        <v>-33.722323000000003</v>
      </c>
    </row>
    <row r="4538" spans="16:20">
      <c r="P4538" s="1094">
        <v>2748</v>
      </c>
      <c r="Q4538" t="s">
        <v>5554</v>
      </c>
      <c r="R4538" t="s">
        <v>248</v>
      </c>
      <c r="S4538">
        <v>150.72318999999999</v>
      </c>
      <c r="T4538" s="1095">
        <v>-33.811042</v>
      </c>
    </row>
    <row r="4539" spans="16:20">
      <c r="P4539" s="1094">
        <v>2749</v>
      </c>
      <c r="Q4539" t="s">
        <v>5555</v>
      </c>
      <c r="R4539" t="s">
        <v>248</v>
      </c>
      <c r="S4539">
        <v>150.68681599999999</v>
      </c>
      <c r="T4539" s="1095">
        <v>-33.702167000000003</v>
      </c>
    </row>
    <row r="4540" spans="16:20">
      <c r="P4540" s="1094">
        <v>2749</v>
      </c>
      <c r="Q4540" t="s">
        <v>5556</v>
      </c>
      <c r="R4540" t="s">
        <v>248</v>
      </c>
      <c r="S4540">
        <v>150.68681599999999</v>
      </c>
      <c r="T4540" s="1095">
        <v>-33.702167000000003</v>
      </c>
    </row>
    <row r="4541" spans="16:20">
      <c r="P4541" s="1094">
        <v>2750</v>
      </c>
      <c r="Q4541" t="s">
        <v>5557</v>
      </c>
      <c r="R4541" t="s">
        <v>248</v>
      </c>
      <c r="S4541">
        <v>150.678551</v>
      </c>
      <c r="T4541" s="1095">
        <v>-33.755476000000002</v>
      </c>
    </row>
    <row r="4542" spans="16:20">
      <c r="P4542" s="1094">
        <v>2750</v>
      </c>
      <c r="Q4542" t="s">
        <v>5558</v>
      </c>
      <c r="R4542" t="s">
        <v>248</v>
      </c>
      <c r="S4542">
        <v>150.678551</v>
      </c>
      <c r="T4542" s="1095">
        <v>-33.755476000000002</v>
      </c>
    </row>
    <row r="4543" spans="16:20">
      <c r="P4543" s="1094">
        <v>2750</v>
      </c>
      <c r="Q4543" t="s">
        <v>5559</v>
      </c>
      <c r="R4543" t="s">
        <v>248</v>
      </c>
      <c r="S4543">
        <v>150.678551</v>
      </c>
      <c r="T4543" s="1095">
        <v>-33.755476000000002</v>
      </c>
    </row>
    <row r="4544" spans="16:20">
      <c r="P4544" s="1094">
        <v>2750</v>
      </c>
      <c r="Q4544" t="s">
        <v>5560</v>
      </c>
      <c r="R4544" t="s">
        <v>248</v>
      </c>
      <c r="S4544">
        <v>150.678551</v>
      </c>
      <c r="T4544" s="1095">
        <v>-33.755476000000002</v>
      </c>
    </row>
    <row r="4545" spans="16:20">
      <c r="P4545" s="1094">
        <v>2750</v>
      </c>
      <c r="Q4545" t="s">
        <v>5561</v>
      </c>
      <c r="R4545" t="s">
        <v>248</v>
      </c>
      <c r="S4545">
        <v>150.678551</v>
      </c>
      <c r="T4545" s="1095">
        <v>-33.755476000000002</v>
      </c>
    </row>
    <row r="4546" spans="16:20">
      <c r="P4546" s="1094">
        <v>2750</v>
      </c>
      <c r="Q4546" t="s">
        <v>5562</v>
      </c>
      <c r="R4546" t="s">
        <v>248</v>
      </c>
      <c r="S4546">
        <v>150.678551</v>
      </c>
      <c r="T4546" s="1095">
        <v>-33.755476000000002</v>
      </c>
    </row>
    <row r="4547" spans="16:20">
      <c r="P4547" s="1094">
        <v>2750</v>
      </c>
      <c r="Q4547" t="s">
        <v>5563</v>
      </c>
      <c r="R4547" t="s">
        <v>248</v>
      </c>
      <c r="S4547">
        <v>150.678551</v>
      </c>
      <c r="T4547" s="1095">
        <v>-33.755476000000002</v>
      </c>
    </row>
    <row r="4548" spans="16:20">
      <c r="P4548" s="1094">
        <v>2750</v>
      </c>
      <c r="Q4548" t="s">
        <v>5564</v>
      </c>
      <c r="R4548" t="s">
        <v>248</v>
      </c>
      <c r="S4548">
        <v>150.678551</v>
      </c>
      <c r="T4548" s="1095">
        <v>-33.755476000000002</v>
      </c>
    </row>
    <row r="4549" spans="16:20">
      <c r="P4549" s="1094">
        <v>2751</v>
      </c>
      <c r="Q4549" t="s">
        <v>5561</v>
      </c>
      <c r="R4549" t="s">
        <v>248</v>
      </c>
      <c r="S4549">
        <v>0</v>
      </c>
      <c r="T4549" s="1095">
        <v>0</v>
      </c>
    </row>
    <row r="4550" spans="16:20">
      <c r="P4550" s="1094">
        <v>2752</v>
      </c>
      <c r="Q4550" t="s">
        <v>5565</v>
      </c>
      <c r="R4550" t="s">
        <v>248</v>
      </c>
      <c r="S4550">
        <v>150.585995</v>
      </c>
      <c r="T4550" s="1095">
        <v>-33.936534000000002</v>
      </c>
    </row>
    <row r="4551" spans="16:20">
      <c r="P4551" s="1094">
        <v>2752</v>
      </c>
      <c r="Q4551" t="s">
        <v>5566</v>
      </c>
      <c r="R4551" t="s">
        <v>248</v>
      </c>
      <c r="S4551">
        <v>150.585995</v>
      </c>
      <c r="T4551" s="1095">
        <v>-33.936534000000002</v>
      </c>
    </row>
    <row r="4552" spans="16:20">
      <c r="P4552" s="1094">
        <v>2753</v>
      </c>
      <c r="Q4552" t="s">
        <v>5567</v>
      </c>
      <c r="R4552" t="s">
        <v>248</v>
      </c>
      <c r="S4552">
        <v>150.64605299999999</v>
      </c>
      <c r="T4552" s="1095">
        <v>-33.604022000000001</v>
      </c>
    </row>
    <row r="4553" spans="16:20">
      <c r="P4553" s="1094">
        <v>2753</v>
      </c>
      <c r="Q4553" t="s">
        <v>5568</v>
      </c>
      <c r="R4553" t="s">
        <v>248</v>
      </c>
      <c r="S4553">
        <v>150.64605299999999</v>
      </c>
      <c r="T4553" s="1095">
        <v>-33.604022000000001</v>
      </c>
    </row>
    <row r="4554" spans="16:20">
      <c r="P4554" s="1094">
        <v>2753</v>
      </c>
      <c r="Q4554" t="s">
        <v>5569</v>
      </c>
      <c r="R4554" t="s">
        <v>248</v>
      </c>
      <c r="S4554">
        <v>150.64605299999999</v>
      </c>
      <c r="T4554" s="1095">
        <v>-33.604022000000001</v>
      </c>
    </row>
    <row r="4555" spans="16:20">
      <c r="P4555" s="1094">
        <v>2753</v>
      </c>
      <c r="Q4555" t="s">
        <v>5570</v>
      </c>
      <c r="R4555" t="s">
        <v>248</v>
      </c>
      <c r="S4555">
        <v>150.64605299999999</v>
      </c>
      <c r="T4555" s="1095">
        <v>-33.604022000000001</v>
      </c>
    </row>
    <row r="4556" spans="16:20">
      <c r="P4556" s="1094">
        <v>2753</v>
      </c>
      <c r="Q4556" t="s">
        <v>5571</v>
      </c>
      <c r="R4556" t="s">
        <v>248</v>
      </c>
      <c r="S4556">
        <v>150.64605299999999</v>
      </c>
      <c r="T4556" s="1095">
        <v>-33.604022000000001</v>
      </c>
    </row>
    <row r="4557" spans="16:20">
      <c r="P4557" s="1094">
        <v>2753</v>
      </c>
      <c r="Q4557" t="s">
        <v>5572</v>
      </c>
      <c r="R4557" t="s">
        <v>248</v>
      </c>
      <c r="S4557">
        <v>150.64605299999999</v>
      </c>
      <c r="T4557" s="1095">
        <v>-33.604022000000001</v>
      </c>
    </row>
    <row r="4558" spans="16:20">
      <c r="P4558" s="1094">
        <v>2753</v>
      </c>
      <c r="Q4558" t="s">
        <v>5573</v>
      </c>
      <c r="R4558" t="s">
        <v>248</v>
      </c>
      <c r="S4558">
        <v>150.64605299999999</v>
      </c>
      <c r="T4558" s="1095">
        <v>-33.604022000000001</v>
      </c>
    </row>
    <row r="4559" spans="16:20">
      <c r="P4559" s="1094">
        <v>2753</v>
      </c>
      <c r="Q4559" t="s">
        <v>5574</v>
      </c>
      <c r="R4559" t="s">
        <v>248</v>
      </c>
      <c r="S4559">
        <v>150.64605299999999</v>
      </c>
      <c r="T4559" s="1095">
        <v>-33.604022000000001</v>
      </c>
    </row>
    <row r="4560" spans="16:20">
      <c r="P4560" s="1094">
        <v>2754</v>
      </c>
      <c r="Q4560" t="s">
        <v>5575</v>
      </c>
      <c r="R4560" t="s">
        <v>248</v>
      </c>
      <c r="S4560">
        <v>150.72801999999999</v>
      </c>
      <c r="T4560" s="1095">
        <v>-33.557893</v>
      </c>
    </row>
    <row r="4561" spans="16:20">
      <c r="P4561" s="1094">
        <v>2754</v>
      </c>
      <c r="Q4561" t="s">
        <v>5576</v>
      </c>
      <c r="R4561" t="s">
        <v>248</v>
      </c>
      <c r="S4561">
        <v>150.72801999999999</v>
      </c>
      <c r="T4561" s="1095">
        <v>-33.557893</v>
      </c>
    </row>
    <row r="4562" spans="16:20">
      <c r="P4562" s="1094">
        <v>2754</v>
      </c>
      <c r="Q4562" t="s">
        <v>5577</v>
      </c>
      <c r="R4562" t="s">
        <v>248</v>
      </c>
      <c r="S4562">
        <v>150.72801999999999</v>
      </c>
      <c r="T4562" s="1095">
        <v>-33.557893</v>
      </c>
    </row>
    <row r="4563" spans="16:20">
      <c r="P4563" s="1094">
        <v>2755</v>
      </c>
      <c r="Q4563" t="s">
        <v>5573</v>
      </c>
      <c r="R4563" t="s">
        <v>248</v>
      </c>
      <c r="S4563">
        <v>150.78058899999999</v>
      </c>
      <c r="T4563" s="1095">
        <v>-33.603189999999998</v>
      </c>
    </row>
    <row r="4564" spans="16:20">
      <c r="P4564" s="1094">
        <v>2756</v>
      </c>
      <c r="Q4564" t="s">
        <v>5578</v>
      </c>
      <c r="R4564" t="s">
        <v>248</v>
      </c>
      <c r="S4564">
        <v>150.88744</v>
      </c>
      <c r="T4564" s="1095">
        <v>-33.466270999999999</v>
      </c>
    </row>
    <row r="4565" spans="16:20">
      <c r="P4565" s="1094">
        <v>2756</v>
      </c>
      <c r="Q4565" t="s">
        <v>5579</v>
      </c>
      <c r="R4565" t="s">
        <v>248</v>
      </c>
      <c r="S4565">
        <v>150.88744</v>
      </c>
      <c r="T4565" s="1095">
        <v>-33.466270999999999</v>
      </c>
    </row>
    <row r="4566" spans="16:20">
      <c r="P4566" s="1094">
        <v>2756</v>
      </c>
      <c r="Q4566" t="s">
        <v>5580</v>
      </c>
      <c r="R4566" t="s">
        <v>248</v>
      </c>
      <c r="S4566">
        <v>150.88744</v>
      </c>
      <c r="T4566" s="1095">
        <v>-33.466270999999999</v>
      </c>
    </row>
    <row r="4567" spans="16:20">
      <c r="P4567" s="1094">
        <v>2756</v>
      </c>
      <c r="Q4567" t="s">
        <v>5581</v>
      </c>
      <c r="R4567" t="s">
        <v>248</v>
      </c>
      <c r="S4567">
        <v>150.88744</v>
      </c>
      <c r="T4567" s="1095">
        <v>-33.466270999999999</v>
      </c>
    </row>
    <row r="4568" spans="16:20">
      <c r="P4568" s="1094">
        <v>2756</v>
      </c>
      <c r="Q4568" t="s">
        <v>5582</v>
      </c>
      <c r="R4568" t="s">
        <v>248</v>
      </c>
      <c r="S4568">
        <v>150.88744</v>
      </c>
      <c r="T4568" s="1095">
        <v>-33.466270999999999</v>
      </c>
    </row>
    <row r="4569" spans="16:20">
      <c r="P4569" s="1094">
        <v>2756</v>
      </c>
      <c r="Q4569" t="s">
        <v>5583</v>
      </c>
      <c r="R4569" t="s">
        <v>248</v>
      </c>
      <c r="S4569">
        <v>150.88744</v>
      </c>
      <c r="T4569" s="1095">
        <v>-33.466270999999999</v>
      </c>
    </row>
    <row r="4570" spans="16:20">
      <c r="P4570" s="1094">
        <v>2756</v>
      </c>
      <c r="Q4570" t="s">
        <v>5584</v>
      </c>
      <c r="R4570" t="s">
        <v>248</v>
      </c>
      <c r="S4570">
        <v>150.88744</v>
      </c>
      <c r="T4570" s="1095">
        <v>-33.466270999999999</v>
      </c>
    </row>
    <row r="4571" spans="16:20">
      <c r="P4571" s="1094">
        <v>2756</v>
      </c>
      <c r="Q4571" t="s">
        <v>5585</v>
      </c>
      <c r="R4571" t="s">
        <v>248</v>
      </c>
      <c r="S4571">
        <v>150.88744</v>
      </c>
      <c r="T4571" s="1095">
        <v>-33.466270999999999</v>
      </c>
    </row>
    <row r="4572" spans="16:20">
      <c r="P4572" s="1094">
        <v>2756</v>
      </c>
      <c r="Q4572" t="s">
        <v>5586</v>
      </c>
      <c r="R4572" t="s">
        <v>248</v>
      </c>
      <c r="S4572">
        <v>150.88744</v>
      </c>
      <c r="T4572" s="1095">
        <v>-33.466270999999999</v>
      </c>
    </row>
    <row r="4573" spans="16:20">
      <c r="P4573" s="1094">
        <v>2756</v>
      </c>
      <c r="Q4573" t="s">
        <v>5587</v>
      </c>
      <c r="R4573" t="s">
        <v>248</v>
      </c>
      <c r="S4573">
        <v>150.88744</v>
      </c>
      <c r="T4573" s="1095">
        <v>-33.466270999999999</v>
      </c>
    </row>
    <row r="4574" spans="16:20">
      <c r="P4574" s="1094">
        <v>2756</v>
      </c>
      <c r="Q4574" t="s">
        <v>5588</v>
      </c>
      <c r="R4574" t="s">
        <v>248</v>
      </c>
      <c r="S4574">
        <v>150.88744</v>
      </c>
      <c r="T4574" s="1095">
        <v>-33.466270999999999</v>
      </c>
    </row>
    <row r="4575" spans="16:20">
      <c r="P4575" s="1094">
        <v>2756</v>
      </c>
      <c r="Q4575" t="s">
        <v>5589</v>
      </c>
      <c r="R4575" t="s">
        <v>248</v>
      </c>
      <c r="S4575">
        <v>150.88744</v>
      </c>
      <c r="T4575" s="1095">
        <v>-33.466270999999999</v>
      </c>
    </row>
    <row r="4576" spans="16:20">
      <c r="P4576" s="1094">
        <v>2756</v>
      </c>
      <c r="Q4576" t="s">
        <v>5590</v>
      </c>
      <c r="R4576" t="s">
        <v>248</v>
      </c>
      <c r="S4576">
        <v>150.88744</v>
      </c>
      <c r="T4576" s="1095">
        <v>-33.466270999999999</v>
      </c>
    </row>
    <row r="4577" spans="16:20">
      <c r="P4577" s="1094">
        <v>2756</v>
      </c>
      <c r="Q4577" t="s">
        <v>5591</v>
      </c>
      <c r="R4577" t="s">
        <v>248</v>
      </c>
      <c r="S4577">
        <v>150.88744</v>
      </c>
      <c r="T4577" s="1095">
        <v>-33.466270999999999</v>
      </c>
    </row>
    <row r="4578" spans="16:20">
      <c r="P4578" s="1094">
        <v>2756</v>
      </c>
      <c r="Q4578" t="s">
        <v>5592</v>
      </c>
      <c r="R4578" t="s">
        <v>248</v>
      </c>
      <c r="S4578">
        <v>150.88744</v>
      </c>
      <c r="T4578" s="1095">
        <v>-33.466270999999999</v>
      </c>
    </row>
    <row r="4579" spans="16:20">
      <c r="P4579" s="1094">
        <v>2756</v>
      </c>
      <c r="Q4579" t="s">
        <v>5593</v>
      </c>
      <c r="R4579" t="s">
        <v>248</v>
      </c>
      <c r="S4579">
        <v>150.88744</v>
      </c>
      <c r="T4579" s="1095">
        <v>-33.466270999999999</v>
      </c>
    </row>
    <row r="4580" spans="16:20">
      <c r="P4580" s="1094">
        <v>2756</v>
      </c>
      <c r="Q4580" t="s">
        <v>5594</v>
      </c>
      <c r="R4580" t="s">
        <v>248</v>
      </c>
      <c r="S4580">
        <v>150.88744</v>
      </c>
      <c r="T4580" s="1095">
        <v>-33.466270999999999</v>
      </c>
    </row>
    <row r="4581" spans="16:20">
      <c r="P4581" s="1094">
        <v>2756</v>
      </c>
      <c r="Q4581" t="s">
        <v>5595</v>
      </c>
      <c r="R4581" t="s">
        <v>248</v>
      </c>
      <c r="S4581">
        <v>150.88744</v>
      </c>
      <c r="T4581" s="1095">
        <v>-33.466270999999999</v>
      </c>
    </row>
    <row r="4582" spans="16:20">
      <c r="P4582" s="1094">
        <v>2756</v>
      </c>
      <c r="Q4582" t="s">
        <v>5596</v>
      </c>
      <c r="R4582" t="s">
        <v>248</v>
      </c>
      <c r="S4582">
        <v>150.88744</v>
      </c>
      <c r="T4582" s="1095">
        <v>-33.466270999999999</v>
      </c>
    </row>
    <row r="4583" spans="16:20">
      <c r="P4583" s="1094">
        <v>2756</v>
      </c>
      <c r="Q4583" t="s">
        <v>5597</v>
      </c>
      <c r="R4583" t="s">
        <v>248</v>
      </c>
      <c r="S4583">
        <v>150.88744</v>
      </c>
      <c r="T4583" s="1095">
        <v>-33.466270999999999</v>
      </c>
    </row>
    <row r="4584" spans="16:20">
      <c r="P4584" s="1094">
        <v>2756</v>
      </c>
      <c r="Q4584" t="s">
        <v>5598</v>
      </c>
      <c r="R4584" t="s">
        <v>248</v>
      </c>
      <c r="S4584">
        <v>150.88744</v>
      </c>
      <c r="T4584" s="1095">
        <v>-33.466270999999999</v>
      </c>
    </row>
    <row r="4585" spans="16:20">
      <c r="P4585" s="1094">
        <v>2756</v>
      </c>
      <c r="Q4585" t="s">
        <v>5599</v>
      </c>
      <c r="R4585" t="s">
        <v>248</v>
      </c>
      <c r="S4585">
        <v>150.88744</v>
      </c>
      <c r="T4585" s="1095">
        <v>-33.466270999999999</v>
      </c>
    </row>
    <row r="4586" spans="16:20">
      <c r="P4586" s="1094">
        <v>2756</v>
      </c>
      <c r="Q4586" t="s">
        <v>5600</v>
      </c>
      <c r="R4586" t="s">
        <v>248</v>
      </c>
      <c r="S4586">
        <v>150.88744</v>
      </c>
      <c r="T4586" s="1095">
        <v>-33.466270999999999</v>
      </c>
    </row>
    <row r="4587" spans="16:20">
      <c r="P4587" s="1094">
        <v>2756</v>
      </c>
      <c r="Q4587" t="s">
        <v>5601</v>
      </c>
      <c r="R4587" t="s">
        <v>248</v>
      </c>
      <c r="S4587">
        <v>150.88744</v>
      </c>
      <c r="T4587" s="1095">
        <v>-33.466270999999999</v>
      </c>
    </row>
    <row r="4588" spans="16:20">
      <c r="P4588" s="1094">
        <v>2756</v>
      </c>
      <c r="Q4588" t="s">
        <v>5602</v>
      </c>
      <c r="R4588" t="s">
        <v>248</v>
      </c>
      <c r="S4588">
        <v>150.88744</v>
      </c>
      <c r="T4588" s="1095">
        <v>-33.466270999999999</v>
      </c>
    </row>
    <row r="4589" spans="16:20">
      <c r="P4589" s="1094">
        <v>2756</v>
      </c>
      <c r="Q4589" t="s">
        <v>5603</v>
      </c>
      <c r="R4589" t="s">
        <v>248</v>
      </c>
      <c r="S4589">
        <v>150.88744</v>
      </c>
      <c r="T4589" s="1095">
        <v>-33.466270999999999</v>
      </c>
    </row>
    <row r="4590" spans="16:20">
      <c r="P4590" s="1094">
        <v>2757</v>
      </c>
      <c r="Q4590" t="s">
        <v>5604</v>
      </c>
      <c r="R4590" t="s">
        <v>248</v>
      </c>
      <c r="S4590">
        <v>150.69208599999999</v>
      </c>
      <c r="T4590" s="1095">
        <v>-33.554839000000001</v>
      </c>
    </row>
    <row r="4591" spans="16:20">
      <c r="P4591" s="1094">
        <v>2758</v>
      </c>
      <c r="Q4591" t="s">
        <v>5605</v>
      </c>
      <c r="R4591" t="s">
        <v>248</v>
      </c>
      <c r="S4591">
        <v>150.60182399999999</v>
      </c>
      <c r="T4591" s="1095">
        <v>-33.483614000000003</v>
      </c>
    </row>
    <row r="4592" spans="16:20">
      <c r="P4592" s="1094">
        <v>2758</v>
      </c>
      <c r="Q4592" t="s">
        <v>5606</v>
      </c>
      <c r="R4592" t="s">
        <v>248</v>
      </c>
      <c r="S4592">
        <v>150.60182399999999</v>
      </c>
      <c r="T4592" s="1095">
        <v>-33.483614000000003</v>
      </c>
    </row>
    <row r="4593" spans="16:20">
      <c r="P4593" s="1094">
        <v>2758</v>
      </c>
      <c r="Q4593" t="s">
        <v>5607</v>
      </c>
      <c r="R4593" t="s">
        <v>248</v>
      </c>
      <c r="S4593">
        <v>150.60182399999999</v>
      </c>
      <c r="T4593" s="1095">
        <v>-33.483614000000003</v>
      </c>
    </row>
    <row r="4594" spans="16:20">
      <c r="P4594" s="1094">
        <v>2758</v>
      </c>
      <c r="Q4594" t="s">
        <v>5608</v>
      </c>
      <c r="R4594" t="s">
        <v>248</v>
      </c>
      <c r="S4594">
        <v>150.60182399999999</v>
      </c>
      <c r="T4594" s="1095">
        <v>-33.483614000000003</v>
      </c>
    </row>
    <row r="4595" spans="16:20">
      <c r="P4595" s="1094">
        <v>2758</v>
      </c>
      <c r="Q4595" t="s">
        <v>5609</v>
      </c>
      <c r="R4595" t="s">
        <v>248</v>
      </c>
      <c r="S4595">
        <v>150.60182399999999</v>
      </c>
      <c r="T4595" s="1095">
        <v>-33.483614000000003</v>
      </c>
    </row>
    <row r="4596" spans="16:20">
      <c r="P4596" s="1094">
        <v>2758</v>
      </c>
      <c r="Q4596" t="s">
        <v>5610</v>
      </c>
      <c r="R4596" t="s">
        <v>248</v>
      </c>
      <c r="S4596">
        <v>150.60182399999999</v>
      </c>
      <c r="T4596" s="1095">
        <v>-33.483614000000003</v>
      </c>
    </row>
    <row r="4597" spans="16:20">
      <c r="P4597" s="1094">
        <v>2758</v>
      </c>
      <c r="Q4597" t="s">
        <v>5611</v>
      </c>
      <c r="R4597" t="s">
        <v>248</v>
      </c>
      <c r="S4597">
        <v>150.60182399999999</v>
      </c>
      <c r="T4597" s="1095">
        <v>-33.483614000000003</v>
      </c>
    </row>
    <row r="4598" spans="16:20">
      <c r="P4598" s="1094">
        <v>2758</v>
      </c>
      <c r="Q4598" t="s">
        <v>5612</v>
      </c>
      <c r="R4598" t="s">
        <v>248</v>
      </c>
      <c r="S4598">
        <v>150.60182399999999</v>
      </c>
      <c r="T4598" s="1095">
        <v>-33.483614000000003</v>
      </c>
    </row>
    <row r="4599" spans="16:20">
      <c r="P4599" s="1094">
        <v>2758</v>
      </c>
      <c r="Q4599" t="s">
        <v>5613</v>
      </c>
      <c r="R4599" t="s">
        <v>248</v>
      </c>
      <c r="S4599">
        <v>150.60182399999999</v>
      </c>
      <c r="T4599" s="1095">
        <v>-33.483614000000003</v>
      </c>
    </row>
    <row r="4600" spans="16:20">
      <c r="P4600" s="1094">
        <v>2759</v>
      </c>
      <c r="Q4600" t="s">
        <v>5614</v>
      </c>
      <c r="R4600" t="s">
        <v>248</v>
      </c>
      <c r="S4600">
        <v>150.781767</v>
      </c>
      <c r="T4600" s="1095">
        <v>-33.822519999999997</v>
      </c>
    </row>
    <row r="4601" spans="16:20">
      <c r="P4601" s="1094">
        <v>2759</v>
      </c>
      <c r="Q4601" t="s">
        <v>2785</v>
      </c>
      <c r="R4601" t="s">
        <v>248</v>
      </c>
      <c r="S4601">
        <v>150.781767</v>
      </c>
      <c r="T4601" s="1095">
        <v>-33.822519999999997</v>
      </c>
    </row>
    <row r="4602" spans="16:20">
      <c r="P4602" s="1094">
        <v>2760</v>
      </c>
      <c r="Q4602" t="s">
        <v>5615</v>
      </c>
      <c r="R4602" t="s">
        <v>248</v>
      </c>
      <c r="S4602">
        <v>150.78007299999999</v>
      </c>
      <c r="T4602" s="1095">
        <v>-33.763976</v>
      </c>
    </row>
    <row r="4603" spans="16:20">
      <c r="P4603" s="1094">
        <v>2760</v>
      </c>
      <c r="Q4603" t="s">
        <v>5616</v>
      </c>
      <c r="R4603" t="s">
        <v>248</v>
      </c>
      <c r="S4603">
        <v>150.78007299999999</v>
      </c>
      <c r="T4603" s="1095">
        <v>-33.763976</v>
      </c>
    </row>
    <row r="4604" spans="16:20">
      <c r="P4604" s="1094">
        <v>2760</v>
      </c>
      <c r="Q4604" t="s">
        <v>5617</v>
      </c>
      <c r="R4604" t="s">
        <v>248</v>
      </c>
      <c r="S4604">
        <v>150.78007299999999</v>
      </c>
      <c r="T4604" s="1095">
        <v>-33.763976</v>
      </c>
    </row>
    <row r="4605" spans="16:20">
      <c r="P4605" s="1094">
        <v>2760</v>
      </c>
      <c r="Q4605" t="s">
        <v>1705</v>
      </c>
      <c r="R4605" t="s">
        <v>248</v>
      </c>
      <c r="S4605">
        <v>150.78007299999999</v>
      </c>
      <c r="T4605" s="1095">
        <v>-33.763976</v>
      </c>
    </row>
    <row r="4606" spans="16:20">
      <c r="P4606" s="1094">
        <v>2760</v>
      </c>
      <c r="Q4606" t="s">
        <v>5618</v>
      </c>
      <c r="R4606" t="s">
        <v>248</v>
      </c>
      <c r="S4606">
        <v>150.78007299999999</v>
      </c>
      <c r="T4606" s="1095">
        <v>-33.763976</v>
      </c>
    </row>
    <row r="4607" spans="16:20">
      <c r="P4607" s="1094">
        <v>2760</v>
      </c>
      <c r="Q4607" t="s">
        <v>5619</v>
      </c>
      <c r="R4607" t="s">
        <v>248</v>
      </c>
      <c r="S4607">
        <v>150.78007299999999</v>
      </c>
      <c r="T4607" s="1095">
        <v>-33.763976</v>
      </c>
    </row>
    <row r="4608" spans="16:20">
      <c r="P4608" s="1094">
        <v>2761</v>
      </c>
      <c r="Q4608" t="s">
        <v>5620</v>
      </c>
      <c r="R4608" t="s">
        <v>248</v>
      </c>
      <c r="S4608">
        <v>150.84746000000001</v>
      </c>
      <c r="T4608" s="1095">
        <v>-33.742006000000003</v>
      </c>
    </row>
    <row r="4609" spans="16:20">
      <c r="P4609" s="1094">
        <v>2761</v>
      </c>
      <c r="Q4609" t="s">
        <v>5621</v>
      </c>
      <c r="R4609" t="s">
        <v>248</v>
      </c>
      <c r="S4609">
        <v>150.84746000000001</v>
      </c>
      <c r="T4609" s="1095">
        <v>-33.742006000000003</v>
      </c>
    </row>
    <row r="4610" spans="16:20">
      <c r="P4610" s="1094">
        <v>2761</v>
      </c>
      <c r="Q4610" t="s">
        <v>5622</v>
      </c>
      <c r="R4610" t="s">
        <v>248</v>
      </c>
      <c r="S4610">
        <v>150.84746000000001</v>
      </c>
      <c r="T4610" s="1095">
        <v>-33.742006000000003</v>
      </c>
    </row>
    <row r="4611" spans="16:20">
      <c r="P4611" s="1094">
        <v>2761</v>
      </c>
      <c r="Q4611" t="s">
        <v>5623</v>
      </c>
      <c r="R4611" t="s">
        <v>248</v>
      </c>
      <c r="S4611">
        <v>150.84746000000001</v>
      </c>
      <c r="T4611" s="1095">
        <v>-33.742006000000003</v>
      </c>
    </row>
    <row r="4612" spans="16:20">
      <c r="P4612" s="1094">
        <v>2761</v>
      </c>
      <c r="Q4612" t="s">
        <v>5624</v>
      </c>
      <c r="R4612" t="s">
        <v>248</v>
      </c>
      <c r="S4612">
        <v>150.84746000000001</v>
      </c>
      <c r="T4612" s="1095">
        <v>-33.742006000000003</v>
      </c>
    </row>
    <row r="4613" spans="16:20">
      <c r="P4613" s="1094">
        <v>2761</v>
      </c>
      <c r="Q4613" t="s">
        <v>5625</v>
      </c>
      <c r="R4613" t="s">
        <v>248</v>
      </c>
      <c r="S4613">
        <v>150.84746000000001</v>
      </c>
      <c r="T4613" s="1095">
        <v>-33.742006000000003</v>
      </c>
    </row>
    <row r="4614" spans="16:20">
      <c r="P4614" s="1094">
        <v>2761</v>
      </c>
      <c r="Q4614" t="s">
        <v>5626</v>
      </c>
      <c r="R4614" t="s">
        <v>248</v>
      </c>
      <c r="S4614">
        <v>150.84746000000001</v>
      </c>
      <c r="T4614" s="1095">
        <v>-33.742006000000003</v>
      </c>
    </row>
    <row r="4615" spans="16:20">
      <c r="P4615" s="1094">
        <v>2762</v>
      </c>
      <c r="Q4615" t="s">
        <v>5627</v>
      </c>
      <c r="R4615" t="s">
        <v>248</v>
      </c>
      <c r="S4615">
        <v>150.88009700000001</v>
      </c>
      <c r="T4615" s="1095">
        <v>-33.700603000000001</v>
      </c>
    </row>
    <row r="4616" spans="16:20">
      <c r="P4616" s="1094">
        <v>2763</v>
      </c>
      <c r="Q4616" t="s">
        <v>5628</v>
      </c>
      <c r="R4616" t="s">
        <v>248</v>
      </c>
      <c r="S4616">
        <v>150.89546999999999</v>
      </c>
      <c r="T4616" s="1095">
        <v>-33.725619000000002</v>
      </c>
    </row>
    <row r="4617" spans="16:20">
      <c r="P4617" s="1094">
        <v>2763</v>
      </c>
      <c r="Q4617" t="s">
        <v>5629</v>
      </c>
      <c r="R4617" t="s">
        <v>248</v>
      </c>
      <c r="S4617">
        <v>150.89546999999999</v>
      </c>
      <c r="T4617" s="1095">
        <v>-33.725619000000002</v>
      </c>
    </row>
    <row r="4618" spans="16:20">
      <c r="P4618" s="1094">
        <v>2765</v>
      </c>
      <c r="Q4618" t="s">
        <v>5630</v>
      </c>
      <c r="R4618" t="s">
        <v>248</v>
      </c>
      <c r="S4618">
        <v>150.86025799999999</v>
      </c>
      <c r="T4618" s="1095">
        <v>-33.663001999999999</v>
      </c>
    </row>
    <row r="4619" spans="16:20">
      <c r="P4619" s="1094">
        <v>2765</v>
      </c>
      <c r="Q4619" t="s">
        <v>5631</v>
      </c>
      <c r="R4619" t="s">
        <v>248</v>
      </c>
      <c r="S4619">
        <v>150.86025799999999</v>
      </c>
      <c r="T4619" s="1095">
        <v>-33.663001999999999</v>
      </c>
    </row>
    <row r="4620" spans="16:20">
      <c r="P4620" s="1094">
        <v>2765</v>
      </c>
      <c r="Q4620" t="s">
        <v>5632</v>
      </c>
      <c r="R4620" t="s">
        <v>248</v>
      </c>
      <c r="S4620">
        <v>150.86025799999999</v>
      </c>
      <c r="T4620" s="1095">
        <v>-33.663001999999999</v>
      </c>
    </row>
    <row r="4621" spans="16:20">
      <c r="P4621" s="1094">
        <v>2765</v>
      </c>
      <c r="Q4621" t="s">
        <v>5633</v>
      </c>
      <c r="R4621" t="s">
        <v>248</v>
      </c>
      <c r="S4621">
        <v>150.86025799999999</v>
      </c>
      <c r="T4621" s="1095">
        <v>-33.663001999999999</v>
      </c>
    </row>
    <row r="4622" spans="16:20">
      <c r="P4622" s="1094">
        <v>2765</v>
      </c>
      <c r="Q4622" t="s">
        <v>4470</v>
      </c>
      <c r="R4622" t="s">
        <v>248</v>
      </c>
      <c r="S4622">
        <v>150.86025799999999</v>
      </c>
      <c r="T4622" s="1095">
        <v>-33.663001999999999</v>
      </c>
    </row>
    <row r="4623" spans="16:20">
      <c r="P4623" s="1094">
        <v>2765</v>
      </c>
      <c r="Q4623" t="s">
        <v>5634</v>
      </c>
      <c r="R4623" t="s">
        <v>248</v>
      </c>
      <c r="S4623">
        <v>150.86025799999999</v>
      </c>
      <c r="T4623" s="1095">
        <v>-33.663001999999999</v>
      </c>
    </row>
    <row r="4624" spans="16:20">
      <c r="P4624" s="1094">
        <v>2765</v>
      </c>
      <c r="Q4624" t="s">
        <v>5635</v>
      </c>
      <c r="R4624" t="s">
        <v>248</v>
      </c>
      <c r="S4624">
        <v>150.86025799999999</v>
      </c>
      <c r="T4624" s="1095">
        <v>-33.663001999999999</v>
      </c>
    </row>
    <row r="4625" spans="16:20">
      <c r="P4625" s="1094">
        <v>2765</v>
      </c>
      <c r="Q4625" t="s">
        <v>5636</v>
      </c>
      <c r="R4625" t="s">
        <v>248</v>
      </c>
      <c r="S4625">
        <v>150.86025799999999</v>
      </c>
      <c r="T4625" s="1095">
        <v>-33.663001999999999</v>
      </c>
    </row>
    <row r="4626" spans="16:20">
      <c r="P4626" s="1094">
        <v>2766</v>
      </c>
      <c r="Q4626" t="s">
        <v>5637</v>
      </c>
      <c r="R4626" t="s">
        <v>248</v>
      </c>
      <c r="S4626">
        <v>150.850764</v>
      </c>
      <c r="T4626" s="1095">
        <v>-33.810388000000003</v>
      </c>
    </row>
    <row r="4627" spans="16:20">
      <c r="P4627" s="1094">
        <v>2766</v>
      </c>
      <c r="Q4627" t="s">
        <v>5638</v>
      </c>
      <c r="R4627" t="s">
        <v>248</v>
      </c>
      <c r="S4627">
        <v>150.850764</v>
      </c>
      <c r="T4627" s="1095">
        <v>-33.810388000000003</v>
      </c>
    </row>
    <row r="4628" spans="16:20">
      <c r="P4628" s="1094">
        <v>2767</v>
      </c>
      <c r="Q4628" t="s">
        <v>5639</v>
      </c>
      <c r="R4628" t="s">
        <v>248</v>
      </c>
      <c r="S4628">
        <v>150.87113400000001</v>
      </c>
      <c r="T4628" s="1095">
        <v>-33.763843000000001</v>
      </c>
    </row>
    <row r="4629" spans="16:20">
      <c r="P4629" s="1094">
        <v>2767</v>
      </c>
      <c r="Q4629" t="s">
        <v>5640</v>
      </c>
      <c r="R4629" t="s">
        <v>248</v>
      </c>
      <c r="S4629">
        <v>150.87113400000001</v>
      </c>
      <c r="T4629" s="1095">
        <v>-33.763843000000001</v>
      </c>
    </row>
    <row r="4630" spans="16:20">
      <c r="P4630" s="1094">
        <v>2768</v>
      </c>
      <c r="Q4630" t="s">
        <v>5641</v>
      </c>
      <c r="R4630" t="s">
        <v>248</v>
      </c>
      <c r="S4630">
        <v>0</v>
      </c>
      <c r="T4630" s="1095">
        <v>0</v>
      </c>
    </row>
    <row r="4631" spans="16:20">
      <c r="P4631" s="1094">
        <v>2768</v>
      </c>
      <c r="Q4631" t="s">
        <v>5642</v>
      </c>
      <c r="R4631" t="s">
        <v>248</v>
      </c>
      <c r="S4631">
        <v>0</v>
      </c>
      <c r="T4631" s="1095">
        <v>0</v>
      </c>
    </row>
    <row r="4632" spans="16:20">
      <c r="P4632" s="1094">
        <v>2768</v>
      </c>
      <c r="Q4632" t="s">
        <v>5643</v>
      </c>
      <c r="R4632" t="s">
        <v>248</v>
      </c>
      <c r="S4632">
        <v>0</v>
      </c>
      <c r="T4632" s="1095">
        <v>0</v>
      </c>
    </row>
    <row r="4633" spans="16:20">
      <c r="P4633" s="1094">
        <v>2769</v>
      </c>
      <c r="Q4633" t="s">
        <v>5644</v>
      </c>
      <c r="R4633" t="s">
        <v>248</v>
      </c>
      <c r="S4633">
        <v>0</v>
      </c>
      <c r="T4633" s="1095">
        <v>0</v>
      </c>
    </row>
    <row r="4634" spans="16:20">
      <c r="P4634" s="1094">
        <v>2770</v>
      </c>
      <c r="Q4634" t="s">
        <v>5645</v>
      </c>
      <c r="R4634" t="s">
        <v>248</v>
      </c>
      <c r="S4634">
        <v>150.81024600000001</v>
      </c>
      <c r="T4634" s="1095">
        <v>-33.756442999999997</v>
      </c>
    </row>
    <row r="4635" spans="16:20">
      <c r="P4635" s="1094">
        <v>2770</v>
      </c>
      <c r="Q4635" t="s">
        <v>5646</v>
      </c>
      <c r="R4635" t="s">
        <v>248</v>
      </c>
      <c r="S4635">
        <v>150.81024600000001</v>
      </c>
      <c r="T4635" s="1095">
        <v>-33.756442999999997</v>
      </c>
    </row>
    <row r="4636" spans="16:20">
      <c r="P4636" s="1094">
        <v>2770</v>
      </c>
      <c r="Q4636" t="s">
        <v>5647</v>
      </c>
      <c r="R4636" t="s">
        <v>248</v>
      </c>
      <c r="S4636">
        <v>150.81024600000001</v>
      </c>
      <c r="T4636" s="1095">
        <v>-33.756442999999997</v>
      </c>
    </row>
    <row r="4637" spans="16:20">
      <c r="P4637" s="1094">
        <v>2770</v>
      </c>
      <c r="Q4637" t="s">
        <v>5648</v>
      </c>
      <c r="R4637" t="s">
        <v>248</v>
      </c>
      <c r="S4637">
        <v>150.81024600000001</v>
      </c>
      <c r="T4637" s="1095">
        <v>-33.756442999999997</v>
      </c>
    </row>
    <row r="4638" spans="16:20">
      <c r="P4638" s="1094">
        <v>2770</v>
      </c>
      <c r="Q4638" t="s">
        <v>5649</v>
      </c>
      <c r="R4638" t="s">
        <v>248</v>
      </c>
      <c r="S4638">
        <v>150.81024600000001</v>
      </c>
      <c r="T4638" s="1095">
        <v>-33.756442999999997</v>
      </c>
    </row>
    <row r="4639" spans="16:20">
      <c r="P4639" s="1094">
        <v>2770</v>
      </c>
      <c r="Q4639" t="s">
        <v>5650</v>
      </c>
      <c r="R4639" t="s">
        <v>248</v>
      </c>
      <c r="S4639">
        <v>150.81024600000001</v>
      </c>
      <c r="T4639" s="1095">
        <v>-33.756442999999997</v>
      </c>
    </row>
    <row r="4640" spans="16:20">
      <c r="P4640" s="1094">
        <v>2770</v>
      </c>
      <c r="Q4640" t="s">
        <v>5651</v>
      </c>
      <c r="R4640" t="s">
        <v>248</v>
      </c>
      <c r="S4640">
        <v>150.81024600000001</v>
      </c>
      <c r="T4640" s="1095">
        <v>-33.756442999999997</v>
      </c>
    </row>
    <row r="4641" spans="16:20">
      <c r="P4641" s="1094">
        <v>2770</v>
      </c>
      <c r="Q4641" t="s">
        <v>5652</v>
      </c>
      <c r="R4641" t="s">
        <v>248</v>
      </c>
      <c r="S4641">
        <v>150.81024600000001</v>
      </c>
      <c r="T4641" s="1095">
        <v>-33.756442999999997</v>
      </c>
    </row>
    <row r="4642" spans="16:20">
      <c r="P4642" s="1094">
        <v>2770</v>
      </c>
      <c r="Q4642" t="s">
        <v>5653</v>
      </c>
      <c r="R4642" t="s">
        <v>248</v>
      </c>
      <c r="S4642">
        <v>150.81024600000001</v>
      </c>
      <c r="T4642" s="1095">
        <v>-33.756442999999997</v>
      </c>
    </row>
    <row r="4643" spans="16:20">
      <c r="P4643" s="1094">
        <v>2770</v>
      </c>
      <c r="Q4643" t="s">
        <v>5654</v>
      </c>
      <c r="R4643" t="s">
        <v>248</v>
      </c>
      <c r="S4643">
        <v>150.81024600000001</v>
      </c>
      <c r="T4643" s="1095">
        <v>-33.756442999999997</v>
      </c>
    </row>
    <row r="4644" spans="16:20">
      <c r="P4644" s="1094">
        <v>2770</v>
      </c>
      <c r="Q4644" t="s">
        <v>5655</v>
      </c>
      <c r="R4644" t="s">
        <v>248</v>
      </c>
      <c r="S4644">
        <v>150.81024600000001</v>
      </c>
      <c r="T4644" s="1095">
        <v>-33.756442999999997</v>
      </c>
    </row>
    <row r="4645" spans="16:20">
      <c r="P4645" s="1094">
        <v>2770</v>
      </c>
      <c r="Q4645" t="s">
        <v>5656</v>
      </c>
      <c r="R4645" t="s">
        <v>248</v>
      </c>
      <c r="S4645">
        <v>150.81024600000001</v>
      </c>
      <c r="T4645" s="1095">
        <v>-33.756442999999997</v>
      </c>
    </row>
    <row r="4646" spans="16:20">
      <c r="P4646" s="1094">
        <v>2770</v>
      </c>
      <c r="Q4646" t="s">
        <v>5657</v>
      </c>
      <c r="R4646" t="s">
        <v>248</v>
      </c>
      <c r="S4646">
        <v>150.81024600000001</v>
      </c>
      <c r="T4646" s="1095">
        <v>-33.756442999999997</v>
      </c>
    </row>
    <row r="4647" spans="16:20">
      <c r="P4647" s="1094">
        <v>2773</v>
      </c>
      <c r="Q4647" t="s">
        <v>5658</v>
      </c>
      <c r="R4647" t="s">
        <v>248</v>
      </c>
      <c r="S4647">
        <v>150.626788</v>
      </c>
      <c r="T4647" s="1095">
        <v>-33.768836999999998</v>
      </c>
    </row>
    <row r="4648" spans="16:20">
      <c r="P4648" s="1094">
        <v>2773</v>
      </c>
      <c r="Q4648" t="s">
        <v>5659</v>
      </c>
      <c r="R4648" t="s">
        <v>248</v>
      </c>
      <c r="S4648">
        <v>150.626788</v>
      </c>
      <c r="T4648" s="1095">
        <v>-33.768836999999998</v>
      </c>
    </row>
    <row r="4649" spans="16:20">
      <c r="P4649" s="1094">
        <v>2774</v>
      </c>
      <c r="Q4649" t="s">
        <v>5660</v>
      </c>
      <c r="R4649" t="s">
        <v>248</v>
      </c>
      <c r="S4649">
        <v>150.62902</v>
      </c>
      <c r="T4649" s="1095">
        <v>-33.732671000000003</v>
      </c>
    </row>
    <row r="4650" spans="16:20">
      <c r="P4650" s="1094">
        <v>2774</v>
      </c>
      <c r="Q4650" t="s">
        <v>5661</v>
      </c>
      <c r="R4650" t="s">
        <v>248</v>
      </c>
      <c r="S4650">
        <v>150.62902</v>
      </c>
      <c r="T4650" s="1095">
        <v>-33.732671000000003</v>
      </c>
    </row>
    <row r="4651" spans="16:20">
      <c r="P4651" s="1094">
        <v>2774</v>
      </c>
      <c r="Q4651" t="s">
        <v>5662</v>
      </c>
      <c r="R4651" t="s">
        <v>248</v>
      </c>
      <c r="S4651">
        <v>150.62902</v>
      </c>
      <c r="T4651" s="1095">
        <v>-33.732671000000003</v>
      </c>
    </row>
    <row r="4652" spans="16:20">
      <c r="P4652" s="1094">
        <v>2774</v>
      </c>
      <c r="Q4652" t="s">
        <v>5663</v>
      </c>
      <c r="R4652" t="s">
        <v>248</v>
      </c>
      <c r="S4652">
        <v>150.62902</v>
      </c>
      <c r="T4652" s="1095">
        <v>-33.732671000000003</v>
      </c>
    </row>
    <row r="4653" spans="16:20">
      <c r="P4653" s="1094">
        <v>2775</v>
      </c>
      <c r="Q4653" t="s">
        <v>5664</v>
      </c>
      <c r="R4653" t="s">
        <v>248</v>
      </c>
      <c r="S4653">
        <v>150.91863900000001</v>
      </c>
      <c r="T4653" s="1095">
        <v>-33.305478000000001</v>
      </c>
    </row>
    <row r="4654" spans="16:20">
      <c r="P4654" s="1094">
        <v>2775</v>
      </c>
      <c r="Q4654" t="s">
        <v>5665</v>
      </c>
      <c r="R4654" t="s">
        <v>248</v>
      </c>
      <c r="S4654">
        <v>150.91863900000001</v>
      </c>
      <c r="T4654" s="1095">
        <v>-33.305478000000001</v>
      </c>
    </row>
    <row r="4655" spans="16:20">
      <c r="P4655" s="1094">
        <v>2775</v>
      </c>
      <c r="Q4655" t="s">
        <v>5666</v>
      </c>
      <c r="R4655" t="s">
        <v>248</v>
      </c>
      <c r="S4655">
        <v>150.91863900000001</v>
      </c>
      <c r="T4655" s="1095">
        <v>-33.305478000000001</v>
      </c>
    </row>
    <row r="4656" spans="16:20">
      <c r="P4656" s="1094">
        <v>2775</v>
      </c>
      <c r="Q4656" t="s">
        <v>5667</v>
      </c>
      <c r="R4656" t="s">
        <v>248</v>
      </c>
      <c r="S4656">
        <v>150.91863900000001</v>
      </c>
      <c r="T4656" s="1095">
        <v>-33.305478000000001</v>
      </c>
    </row>
    <row r="4657" spans="16:20">
      <c r="P4657" s="1094">
        <v>2775</v>
      </c>
      <c r="Q4657" t="s">
        <v>5668</v>
      </c>
      <c r="R4657" t="s">
        <v>248</v>
      </c>
      <c r="S4657">
        <v>150.91863900000001</v>
      </c>
      <c r="T4657" s="1095">
        <v>-33.305478000000001</v>
      </c>
    </row>
    <row r="4658" spans="16:20">
      <c r="P4658" s="1094">
        <v>2775</v>
      </c>
      <c r="Q4658" t="s">
        <v>5669</v>
      </c>
      <c r="R4658" t="s">
        <v>248</v>
      </c>
      <c r="S4658">
        <v>150.91863900000001</v>
      </c>
      <c r="T4658" s="1095">
        <v>-33.305478000000001</v>
      </c>
    </row>
    <row r="4659" spans="16:20">
      <c r="P4659" s="1094">
        <v>2775</v>
      </c>
      <c r="Q4659" t="s">
        <v>5670</v>
      </c>
      <c r="R4659" t="s">
        <v>248</v>
      </c>
      <c r="S4659">
        <v>150.91863900000001</v>
      </c>
      <c r="T4659" s="1095">
        <v>-33.305478000000001</v>
      </c>
    </row>
    <row r="4660" spans="16:20">
      <c r="P4660" s="1094">
        <v>2775</v>
      </c>
      <c r="Q4660" t="s">
        <v>5671</v>
      </c>
      <c r="R4660" t="s">
        <v>248</v>
      </c>
      <c r="S4660">
        <v>150.91863900000001</v>
      </c>
      <c r="T4660" s="1095">
        <v>-33.305478000000001</v>
      </c>
    </row>
    <row r="4661" spans="16:20">
      <c r="P4661" s="1094">
        <v>2775</v>
      </c>
      <c r="Q4661" t="s">
        <v>5672</v>
      </c>
      <c r="R4661" t="s">
        <v>248</v>
      </c>
      <c r="S4661">
        <v>150.91863900000001</v>
      </c>
      <c r="T4661" s="1095">
        <v>-33.305478000000001</v>
      </c>
    </row>
    <row r="4662" spans="16:20">
      <c r="P4662" s="1094">
        <v>2775</v>
      </c>
      <c r="Q4662" t="s">
        <v>5673</v>
      </c>
      <c r="R4662" t="s">
        <v>248</v>
      </c>
      <c r="S4662">
        <v>150.91863900000001</v>
      </c>
      <c r="T4662" s="1095">
        <v>-33.305478000000001</v>
      </c>
    </row>
    <row r="4663" spans="16:20">
      <c r="P4663" s="1094">
        <v>2775</v>
      </c>
      <c r="Q4663" t="s">
        <v>5674</v>
      </c>
      <c r="R4663" t="s">
        <v>248</v>
      </c>
      <c r="S4663">
        <v>150.91863900000001</v>
      </c>
      <c r="T4663" s="1095">
        <v>-33.305478000000001</v>
      </c>
    </row>
    <row r="4664" spans="16:20">
      <c r="P4664" s="1094">
        <v>2775</v>
      </c>
      <c r="Q4664" t="s">
        <v>5675</v>
      </c>
      <c r="R4664" t="s">
        <v>248</v>
      </c>
      <c r="S4664">
        <v>150.91863900000001</v>
      </c>
      <c r="T4664" s="1095">
        <v>-33.305478000000001</v>
      </c>
    </row>
    <row r="4665" spans="16:20">
      <c r="P4665" s="1094">
        <v>2775</v>
      </c>
      <c r="Q4665" t="s">
        <v>5676</v>
      </c>
      <c r="R4665" t="s">
        <v>248</v>
      </c>
      <c r="S4665">
        <v>150.91863900000001</v>
      </c>
      <c r="T4665" s="1095">
        <v>-33.305478000000001</v>
      </c>
    </row>
    <row r="4666" spans="16:20">
      <c r="P4666" s="1094">
        <v>2776</v>
      </c>
      <c r="Q4666" t="s">
        <v>5677</v>
      </c>
      <c r="R4666" t="s">
        <v>248</v>
      </c>
      <c r="S4666">
        <v>150.553111</v>
      </c>
      <c r="T4666" s="1095">
        <v>-33.666854999999998</v>
      </c>
    </row>
    <row r="4667" spans="16:20">
      <c r="P4667" s="1094">
        <v>2777</v>
      </c>
      <c r="Q4667" t="s">
        <v>5678</v>
      </c>
      <c r="R4667" t="s">
        <v>248</v>
      </c>
      <c r="S4667">
        <v>150.587962</v>
      </c>
      <c r="T4667" s="1095">
        <v>-33.692534000000002</v>
      </c>
    </row>
    <row r="4668" spans="16:20">
      <c r="P4668" s="1094">
        <v>2777</v>
      </c>
      <c r="Q4668" t="s">
        <v>5679</v>
      </c>
      <c r="R4668" t="s">
        <v>248</v>
      </c>
      <c r="S4668">
        <v>150.587962</v>
      </c>
      <c r="T4668" s="1095">
        <v>-33.692534000000002</v>
      </c>
    </row>
    <row r="4669" spans="16:20">
      <c r="P4669" s="1094">
        <v>2777</v>
      </c>
      <c r="Q4669" t="s">
        <v>5680</v>
      </c>
      <c r="R4669" t="s">
        <v>248</v>
      </c>
      <c r="S4669">
        <v>150.587962</v>
      </c>
      <c r="T4669" s="1095">
        <v>-33.692534000000002</v>
      </c>
    </row>
    <row r="4670" spans="16:20">
      <c r="P4670" s="1094">
        <v>2777</v>
      </c>
      <c r="Q4670" t="s">
        <v>5681</v>
      </c>
      <c r="R4670" t="s">
        <v>248</v>
      </c>
      <c r="S4670">
        <v>150.587962</v>
      </c>
      <c r="T4670" s="1095">
        <v>-33.692534000000002</v>
      </c>
    </row>
    <row r="4671" spans="16:20">
      <c r="P4671" s="1094">
        <v>2777</v>
      </c>
      <c r="Q4671" t="s">
        <v>5682</v>
      </c>
      <c r="R4671" t="s">
        <v>248</v>
      </c>
      <c r="S4671">
        <v>150.587962</v>
      </c>
      <c r="T4671" s="1095">
        <v>-33.692534000000002</v>
      </c>
    </row>
    <row r="4672" spans="16:20">
      <c r="P4672" s="1094">
        <v>2777</v>
      </c>
      <c r="Q4672" t="s">
        <v>4223</v>
      </c>
      <c r="R4672" t="s">
        <v>248</v>
      </c>
      <c r="S4672">
        <v>150.587962</v>
      </c>
      <c r="T4672" s="1095">
        <v>-33.692534000000002</v>
      </c>
    </row>
    <row r="4673" spans="16:20">
      <c r="P4673" s="1094">
        <v>2778</v>
      </c>
      <c r="Q4673" t="s">
        <v>5683</v>
      </c>
      <c r="R4673" t="s">
        <v>248</v>
      </c>
      <c r="S4673">
        <v>150.48454899999999</v>
      </c>
      <c r="T4673" s="1095">
        <v>-33.728544999999997</v>
      </c>
    </row>
    <row r="4674" spans="16:20">
      <c r="P4674" s="1094">
        <v>2778</v>
      </c>
      <c r="Q4674" t="s">
        <v>3797</v>
      </c>
      <c r="R4674" t="s">
        <v>248</v>
      </c>
      <c r="S4674">
        <v>150.48454899999999</v>
      </c>
      <c r="T4674" s="1095">
        <v>-33.728544999999997</v>
      </c>
    </row>
    <row r="4675" spans="16:20">
      <c r="P4675" s="1094">
        <v>2779</v>
      </c>
      <c r="Q4675" t="s">
        <v>5684</v>
      </c>
      <c r="R4675" t="s">
        <v>248</v>
      </c>
      <c r="S4675">
        <v>150.45932999999999</v>
      </c>
      <c r="T4675" s="1095">
        <v>-33.723700000000001</v>
      </c>
    </row>
    <row r="4676" spans="16:20">
      <c r="P4676" s="1094">
        <v>2780</v>
      </c>
      <c r="Q4676" t="s">
        <v>5685</v>
      </c>
      <c r="R4676" t="s">
        <v>248</v>
      </c>
      <c r="S4676">
        <v>150.43563900000001</v>
      </c>
      <c r="T4676" s="1095">
        <v>-33.832923000000001</v>
      </c>
    </row>
    <row r="4677" spans="16:20">
      <c r="P4677" s="1094">
        <v>2780</v>
      </c>
      <c r="Q4677" t="s">
        <v>5686</v>
      </c>
      <c r="R4677" t="s">
        <v>248</v>
      </c>
      <c r="S4677">
        <v>150.43563900000001</v>
      </c>
      <c r="T4677" s="1095">
        <v>-33.832923000000001</v>
      </c>
    </row>
    <row r="4678" spans="16:20">
      <c r="P4678" s="1094">
        <v>2780</v>
      </c>
      <c r="Q4678" t="s">
        <v>5687</v>
      </c>
      <c r="R4678" t="s">
        <v>248</v>
      </c>
      <c r="S4678">
        <v>150.43563900000001</v>
      </c>
      <c r="T4678" s="1095">
        <v>-33.832923000000001</v>
      </c>
    </row>
    <row r="4679" spans="16:20">
      <c r="P4679" s="1094">
        <v>2780</v>
      </c>
      <c r="Q4679" t="s">
        <v>5688</v>
      </c>
      <c r="R4679" t="s">
        <v>248</v>
      </c>
      <c r="S4679">
        <v>150.43563900000001</v>
      </c>
      <c r="T4679" s="1095">
        <v>-33.832923000000001</v>
      </c>
    </row>
    <row r="4680" spans="16:20">
      <c r="P4680" s="1094">
        <v>2780</v>
      </c>
      <c r="Q4680" t="s">
        <v>5689</v>
      </c>
      <c r="R4680" t="s">
        <v>248</v>
      </c>
      <c r="S4680">
        <v>150.43563900000001</v>
      </c>
      <c r="T4680" s="1095">
        <v>-33.832923000000001</v>
      </c>
    </row>
    <row r="4681" spans="16:20">
      <c r="P4681" s="1094">
        <v>2782</v>
      </c>
      <c r="Q4681" t="s">
        <v>5690</v>
      </c>
      <c r="R4681" t="s">
        <v>248</v>
      </c>
      <c r="S4681">
        <v>150.366015</v>
      </c>
      <c r="T4681" s="1095">
        <v>-33.704416000000002</v>
      </c>
    </row>
    <row r="4682" spans="16:20">
      <c r="P4682" s="1094">
        <v>2783</v>
      </c>
      <c r="Q4682" t="s">
        <v>4878</v>
      </c>
      <c r="R4682" t="s">
        <v>248</v>
      </c>
      <c r="S4682">
        <v>150.431839</v>
      </c>
      <c r="T4682" s="1095">
        <v>-33.725566000000001</v>
      </c>
    </row>
    <row r="4683" spans="16:20">
      <c r="P4683" s="1094">
        <v>2784</v>
      </c>
      <c r="Q4683" t="s">
        <v>5691</v>
      </c>
      <c r="R4683" t="s">
        <v>248</v>
      </c>
      <c r="S4683">
        <v>150.407048</v>
      </c>
      <c r="T4683" s="1095">
        <v>-33.729916000000003</v>
      </c>
    </row>
    <row r="4684" spans="16:20">
      <c r="P4684" s="1094">
        <v>2785</v>
      </c>
      <c r="Q4684" t="s">
        <v>5692</v>
      </c>
      <c r="R4684" t="s">
        <v>248</v>
      </c>
      <c r="S4684">
        <v>150.18151700000001</v>
      </c>
      <c r="T4684" s="1095">
        <v>-33.707725000000003</v>
      </c>
    </row>
    <row r="4685" spans="16:20">
      <c r="P4685" s="1094">
        <v>2785</v>
      </c>
      <c r="Q4685" t="s">
        <v>5693</v>
      </c>
      <c r="R4685" t="s">
        <v>248</v>
      </c>
      <c r="S4685">
        <v>150.18151700000001</v>
      </c>
      <c r="T4685" s="1095">
        <v>-33.707725000000003</v>
      </c>
    </row>
    <row r="4686" spans="16:20">
      <c r="P4686" s="1094">
        <v>2785</v>
      </c>
      <c r="Q4686" t="s">
        <v>5694</v>
      </c>
      <c r="R4686" t="s">
        <v>248</v>
      </c>
      <c r="S4686">
        <v>150.18151700000001</v>
      </c>
      <c r="T4686" s="1095">
        <v>-33.707725000000003</v>
      </c>
    </row>
    <row r="4687" spans="16:20">
      <c r="P4687" s="1094">
        <v>2786</v>
      </c>
      <c r="Q4687" t="s">
        <v>5695</v>
      </c>
      <c r="R4687" t="s">
        <v>248</v>
      </c>
      <c r="S4687">
        <v>150.31779499999999</v>
      </c>
      <c r="T4687" s="1095">
        <v>-33.533054999999997</v>
      </c>
    </row>
    <row r="4688" spans="16:20">
      <c r="P4688" s="1094">
        <v>2786</v>
      </c>
      <c r="Q4688" t="s">
        <v>5696</v>
      </c>
      <c r="R4688" t="s">
        <v>248</v>
      </c>
      <c r="S4688">
        <v>150.31779499999999</v>
      </c>
      <c r="T4688" s="1095">
        <v>-33.533054999999997</v>
      </c>
    </row>
    <row r="4689" spans="16:20">
      <c r="P4689" s="1094">
        <v>2786</v>
      </c>
      <c r="Q4689" t="s">
        <v>5697</v>
      </c>
      <c r="R4689" t="s">
        <v>248</v>
      </c>
      <c r="S4689">
        <v>150.31779499999999</v>
      </c>
      <c r="T4689" s="1095">
        <v>-33.533054999999997</v>
      </c>
    </row>
    <row r="4690" spans="16:20">
      <c r="P4690" s="1094">
        <v>2786</v>
      </c>
      <c r="Q4690" t="s">
        <v>5698</v>
      </c>
      <c r="R4690" t="s">
        <v>248</v>
      </c>
      <c r="S4690">
        <v>150.31779499999999</v>
      </c>
      <c r="T4690" s="1095">
        <v>-33.533054999999997</v>
      </c>
    </row>
    <row r="4691" spans="16:20">
      <c r="P4691" s="1094">
        <v>2786</v>
      </c>
      <c r="Q4691" t="s">
        <v>5699</v>
      </c>
      <c r="R4691" t="s">
        <v>248</v>
      </c>
      <c r="S4691">
        <v>150.31779499999999</v>
      </c>
      <c r="T4691" s="1095">
        <v>-33.533054999999997</v>
      </c>
    </row>
    <row r="4692" spans="16:20">
      <c r="P4692" s="1094">
        <v>2787</v>
      </c>
      <c r="Q4692" t="s">
        <v>5700</v>
      </c>
      <c r="R4692" t="s">
        <v>248</v>
      </c>
      <c r="S4692">
        <v>150.153221</v>
      </c>
      <c r="T4692" s="1095">
        <v>-34.06024</v>
      </c>
    </row>
    <row r="4693" spans="16:20">
      <c r="P4693" s="1094">
        <v>2787</v>
      </c>
      <c r="Q4693" t="s">
        <v>5701</v>
      </c>
      <c r="R4693" t="s">
        <v>248</v>
      </c>
      <c r="S4693">
        <v>150.153221</v>
      </c>
      <c r="T4693" s="1095">
        <v>-34.06024</v>
      </c>
    </row>
    <row r="4694" spans="16:20">
      <c r="P4694" s="1094">
        <v>2787</v>
      </c>
      <c r="Q4694" t="s">
        <v>5702</v>
      </c>
      <c r="R4694" t="s">
        <v>248</v>
      </c>
      <c r="S4694">
        <v>150.153221</v>
      </c>
      <c r="T4694" s="1095">
        <v>-34.06024</v>
      </c>
    </row>
    <row r="4695" spans="16:20">
      <c r="P4695" s="1094">
        <v>2787</v>
      </c>
      <c r="Q4695" t="s">
        <v>5703</v>
      </c>
      <c r="R4695" t="s">
        <v>248</v>
      </c>
      <c r="S4695">
        <v>150.153221</v>
      </c>
      <c r="T4695" s="1095">
        <v>-34.06024</v>
      </c>
    </row>
    <row r="4696" spans="16:20">
      <c r="P4696" s="1094">
        <v>2787</v>
      </c>
      <c r="Q4696" t="s">
        <v>5704</v>
      </c>
      <c r="R4696" t="s">
        <v>248</v>
      </c>
      <c r="S4696">
        <v>150.153221</v>
      </c>
      <c r="T4696" s="1095">
        <v>-34.06024</v>
      </c>
    </row>
    <row r="4697" spans="16:20">
      <c r="P4697" s="1094">
        <v>2787</v>
      </c>
      <c r="Q4697" t="s">
        <v>5705</v>
      </c>
      <c r="R4697" t="s">
        <v>248</v>
      </c>
      <c r="S4697">
        <v>150.153221</v>
      </c>
      <c r="T4697" s="1095">
        <v>-34.06024</v>
      </c>
    </row>
    <row r="4698" spans="16:20">
      <c r="P4698" s="1094">
        <v>2787</v>
      </c>
      <c r="Q4698" t="s">
        <v>5706</v>
      </c>
      <c r="R4698" t="s">
        <v>248</v>
      </c>
      <c r="S4698">
        <v>150.153221</v>
      </c>
      <c r="T4698" s="1095">
        <v>-34.06024</v>
      </c>
    </row>
    <row r="4699" spans="16:20">
      <c r="P4699" s="1094">
        <v>2787</v>
      </c>
      <c r="Q4699" t="s">
        <v>5707</v>
      </c>
      <c r="R4699" t="s">
        <v>248</v>
      </c>
      <c r="S4699">
        <v>150.153221</v>
      </c>
      <c r="T4699" s="1095">
        <v>-34.06024</v>
      </c>
    </row>
    <row r="4700" spans="16:20">
      <c r="P4700" s="1094">
        <v>2787</v>
      </c>
      <c r="Q4700" t="s">
        <v>5708</v>
      </c>
      <c r="R4700" t="s">
        <v>248</v>
      </c>
      <c r="S4700">
        <v>150.153221</v>
      </c>
      <c r="T4700" s="1095">
        <v>-34.06024</v>
      </c>
    </row>
    <row r="4701" spans="16:20">
      <c r="P4701" s="1094">
        <v>2787</v>
      </c>
      <c r="Q4701" t="s">
        <v>2535</v>
      </c>
      <c r="R4701" t="s">
        <v>248</v>
      </c>
      <c r="S4701">
        <v>150.153221</v>
      </c>
      <c r="T4701" s="1095">
        <v>-34.06024</v>
      </c>
    </row>
    <row r="4702" spans="16:20">
      <c r="P4702" s="1094">
        <v>2787</v>
      </c>
      <c r="Q4702" t="s">
        <v>2771</v>
      </c>
      <c r="R4702" t="s">
        <v>248</v>
      </c>
      <c r="S4702">
        <v>150.153221</v>
      </c>
      <c r="T4702" s="1095">
        <v>-34.06024</v>
      </c>
    </row>
    <row r="4703" spans="16:20">
      <c r="P4703" s="1094">
        <v>2787</v>
      </c>
      <c r="Q4703" t="s">
        <v>5709</v>
      </c>
      <c r="R4703" t="s">
        <v>248</v>
      </c>
      <c r="S4703">
        <v>150.153221</v>
      </c>
      <c r="T4703" s="1095">
        <v>-34.06024</v>
      </c>
    </row>
    <row r="4704" spans="16:20">
      <c r="P4704" s="1094">
        <v>2787</v>
      </c>
      <c r="Q4704" t="s">
        <v>5710</v>
      </c>
      <c r="R4704" t="s">
        <v>248</v>
      </c>
      <c r="S4704">
        <v>150.153221</v>
      </c>
      <c r="T4704" s="1095">
        <v>-34.06024</v>
      </c>
    </row>
    <row r="4705" spans="16:20">
      <c r="P4705" s="1094">
        <v>2787</v>
      </c>
      <c r="Q4705" t="s">
        <v>5711</v>
      </c>
      <c r="R4705" t="s">
        <v>248</v>
      </c>
      <c r="S4705">
        <v>150.153221</v>
      </c>
      <c r="T4705" s="1095">
        <v>-34.06024</v>
      </c>
    </row>
    <row r="4706" spans="16:20">
      <c r="P4706" s="1094">
        <v>2787</v>
      </c>
      <c r="Q4706" t="s">
        <v>5712</v>
      </c>
      <c r="R4706" t="s">
        <v>248</v>
      </c>
      <c r="S4706">
        <v>150.153221</v>
      </c>
      <c r="T4706" s="1095">
        <v>-34.06024</v>
      </c>
    </row>
    <row r="4707" spans="16:20">
      <c r="P4707" s="1094">
        <v>2787</v>
      </c>
      <c r="Q4707" t="s">
        <v>5713</v>
      </c>
      <c r="R4707" t="s">
        <v>248</v>
      </c>
      <c r="S4707">
        <v>150.153221</v>
      </c>
      <c r="T4707" s="1095">
        <v>-34.06024</v>
      </c>
    </row>
    <row r="4708" spans="16:20">
      <c r="P4708" s="1094">
        <v>2787</v>
      </c>
      <c r="Q4708" t="s">
        <v>5714</v>
      </c>
      <c r="R4708" t="s">
        <v>248</v>
      </c>
      <c r="S4708">
        <v>150.153221</v>
      </c>
      <c r="T4708" s="1095">
        <v>-34.06024</v>
      </c>
    </row>
    <row r="4709" spans="16:20">
      <c r="P4709" s="1094">
        <v>2787</v>
      </c>
      <c r="Q4709" t="s">
        <v>5715</v>
      </c>
      <c r="R4709" t="s">
        <v>248</v>
      </c>
      <c r="S4709">
        <v>150.153221</v>
      </c>
      <c r="T4709" s="1095">
        <v>-34.06024</v>
      </c>
    </row>
    <row r="4710" spans="16:20">
      <c r="P4710" s="1094">
        <v>2787</v>
      </c>
      <c r="Q4710" t="s">
        <v>5716</v>
      </c>
      <c r="R4710" t="s">
        <v>248</v>
      </c>
      <c r="S4710">
        <v>150.153221</v>
      </c>
      <c r="T4710" s="1095">
        <v>-34.06024</v>
      </c>
    </row>
    <row r="4711" spans="16:20">
      <c r="P4711" s="1094">
        <v>2787</v>
      </c>
      <c r="Q4711" t="s">
        <v>5717</v>
      </c>
      <c r="R4711" t="s">
        <v>248</v>
      </c>
      <c r="S4711">
        <v>150.153221</v>
      </c>
      <c r="T4711" s="1095">
        <v>-34.06024</v>
      </c>
    </row>
    <row r="4712" spans="16:20">
      <c r="P4712" s="1094">
        <v>2790</v>
      </c>
      <c r="Q4712" t="s">
        <v>5718</v>
      </c>
      <c r="R4712" t="s">
        <v>248</v>
      </c>
      <c r="S4712">
        <v>150.356874</v>
      </c>
      <c r="T4712" s="1095">
        <v>-33.310653000000002</v>
      </c>
    </row>
    <row r="4713" spans="16:20">
      <c r="P4713" s="1094">
        <v>2790</v>
      </c>
      <c r="Q4713" t="s">
        <v>5719</v>
      </c>
      <c r="R4713" t="s">
        <v>248</v>
      </c>
      <c r="S4713">
        <v>150.356874</v>
      </c>
      <c r="T4713" s="1095">
        <v>-33.310653000000002</v>
      </c>
    </row>
    <row r="4714" spans="16:20">
      <c r="P4714" s="1094">
        <v>2790</v>
      </c>
      <c r="Q4714" t="s">
        <v>5720</v>
      </c>
      <c r="R4714" t="s">
        <v>248</v>
      </c>
      <c r="S4714">
        <v>150.356874</v>
      </c>
      <c r="T4714" s="1095">
        <v>-33.310653000000002</v>
      </c>
    </row>
    <row r="4715" spans="16:20">
      <c r="P4715" s="1094">
        <v>2790</v>
      </c>
      <c r="Q4715" t="s">
        <v>5721</v>
      </c>
      <c r="R4715" t="s">
        <v>248</v>
      </c>
      <c r="S4715">
        <v>150.356874</v>
      </c>
      <c r="T4715" s="1095">
        <v>-33.310653000000002</v>
      </c>
    </row>
    <row r="4716" spans="16:20">
      <c r="P4716" s="1094">
        <v>2790</v>
      </c>
      <c r="Q4716" t="s">
        <v>5722</v>
      </c>
      <c r="R4716" t="s">
        <v>248</v>
      </c>
      <c r="S4716">
        <v>150.356874</v>
      </c>
      <c r="T4716" s="1095">
        <v>-33.310653000000002</v>
      </c>
    </row>
    <row r="4717" spans="16:20">
      <c r="P4717" s="1094">
        <v>2790</v>
      </c>
      <c r="Q4717" t="s">
        <v>5723</v>
      </c>
      <c r="R4717" t="s">
        <v>248</v>
      </c>
      <c r="S4717">
        <v>150.356874</v>
      </c>
      <c r="T4717" s="1095">
        <v>-33.310653000000002</v>
      </c>
    </row>
    <row r="4718" spans="16:20">
      <c r="P4718" s="1094">
        <v>2790</v>
      </c>
      <c r="Q4718" t="s">
        <v>5724</v>
      </c>
      <c r="R4718" t="s">
        <v>248</v>
      </c>
      <c r="S4718">
        <v>150.356874</v>
      </c>
      <c r="T4718" s="1095">
        <v>-33.310653000000002</v>
      </c>
    </row>
    <row r="4719" spans="16:20">
      <c r="P4719" s="1094">
        <v>2790</v>
      </c>
      <c r="Q4719" t="s">
        <v>5725</v>
      </c>
      <c r="R4719" t="s">
        <v>248</v>
      </c>
      <c r="S4719">
        <v>150.356874</v>
      </c>
      <c r="T4719" s="1095">
        <v>-33.310653000000002</v>
      </c>
    </row>
    <row r="4720" spans="16:20">
      <c r="P4720" s="1094">
        <v>2790</v>
      </c>
      <c r="Q4720" t="s">
        <v>5726</v>
      </c>
      <c r="R4720" t="s">
        <v>248</v>
      </c>
      <c r="S4720">
        <v>150.356874</v>
      </c>
      <c r="T4720" s="1095">
        <v>-33.310653000000002</v>
      </c>
    </row>
    <row r="4721" spans="16:20">
      <c r="P4721" s="1094">
        <v>2790</v>
      </c>
      <c r="Q4721" t="s">
        <v>5727</v>
      </c>
      <c r="R4721" t="s">
        <v>248</v>
      </c>
      <c r="S4721">
        <v>150.356874</v>
      </c>
      <c r="T4721" s="1095">
        <v>-33.310653000000002</v>
      </c>
    </row>
    <row r="4722" spans="16:20">
      <c r="P4722" s="1094">
        <v>2790</v>
      </c>
      <c r="Q4722" t="s">
        <v>5728</v>
      </c>
      <c r="R4722" t="s">
        <v>248</v>
      </c>
      <c r="S4722">
        <v>150.356874</v>
      </c>
      <c r="T4722" s="1095">
        <v>-33.310653000000002</v>
      </c>
    </row>
    <row r="4723" spans="16:20">
      <c r="P4723" s="1094">
        <v>2790</v>
      </c>
      <c r="Q4723" t="s">
        <v>5729</v>
      </c>
      <c r="R4723" t="s">
        <v>248</v>
      </c>
      <c r="S4723">
        <v>150.356874</v>
      </c>
      <c r="T4723" s="1095">
        <v>-33.310653000000002</v>
      </c>
    </row>
    <row r="4724" spans="16:20">
      <c r="P4724" s="1094">
        <v>2790</v>
      </c>
      <c r="Q4724" t="s">
        <v>5730</v>
      </c>
      <c r="R4724" t="s">
        <v>248</v>
      </c>
      <c r="S4724">
        <v>150.356874</v>
      </c>
      <c r="T4724" s="1095">
        <v>-33.310653000000002</v>
      </c>
    </row>
    <row r="4725" spans="16:20">
      <c r="P4725" s="1094">
        <v>2790</v>
      </c>
      <c r="Q4725" t="s">
        <v>5731</v>
      </c>
      <c r="R4725" t="s">
        <v>248</v>
      </c>
      <c r="S4725">
        <v>150.356874</v>
      </c>
      <c r="T4725" s="1095">
        <v>-33.310653000000002</v>
      </c>
    </row>
    <row r="4726" spans="16:20">
      <c r="P4726" s="1094">
        <v>2790</v>
      </c>
      <c r="Q4726" t="s">
        <v>5732</v>
      </c>
      <c r="R4726" t="s">
        <v>248</v>
      </c>
      <c r="S4726">
        <v>150.356874</v>
      </c>
      <c r="T4726" s="1095">
        <v>-33.310653000000002</v>
      </c>
    </row>
    <row r="4727" spans="16:20">
      <c r="P4727" s="1094">
        <v>2790</v>
      </c>
      <c r="Q4727" t="s">
        <v>5733</v>
      </c>
      <c r="R4727" t="s">
        <v>248</v>
      </c>
      <c r="S4727">
        <v>150.356874</v>
      </c>
      <c r="T4727" s="1095">
        <v>-33.310653000000002</v>
      </c>
    </row>
    <row r="4728" spans="16:20">
      <c r="P4728" s="1094">
        <v>2790</v>
      </c>
      <c r="Q4728" t="s">
        <v>5734</v>
      </c>
      <c r="R4728" t="s">
        <v>248</v>
      </c>
      <c r="S4728">
        <v>150.356874</v>
      </c>
      <c r="T4728" s="1095">
        <v>-33.310653000000002</v>
      </c>
    </row>
    <row r="4729" spans="16:20">
      <c r="P4729" s="1094">
        <v>2790</v>
      </c>
      <c r="Q4729" t="s">
        <v>5735</v>
      </c>
      <c r="R4729" t="s">
        <v>248</v>
      </c>
      <c r="S4729">
        <v>150.356874</v>
      </c>
      <c r="T4729" s="1095">
        <v>-33.310653000000002</v>
      </c>
    </row>
    <row r="4730" spans="16:20">
      <c r="P4730" s="1094">
        <v>2790</v>
      </c>
      <c r="Q4730" t="s">
        <v>5736</v>
      </c>
      <c r="R4730" t="s">
        <v>248</v>
      </c>
      <c r="S4730">
        <v>150.356874</v>
      </c>
      <c r="T4730" s="1095">
        <v>-33.310653000000002</v>
      </c>
    </row>
    <row r="4731" spans="16:20">
      <c r="P4731" s="1094">
        <v>2790</v>
      </c>
      <c r="Q4731" t="s">
        <v>5737</v>
      </c>
      <c r="R4731" t="s">
        <v>248</v>
      </c>
      <c r="S4731">
        <v>150.356874</v>
      </c>
      <c r="T4731" s="1095">
        <v>-33.310653000000002</v>
      </c>
    </row>
    <row r="4732" spans="16:20">
      <c r="P4732" s="1094">
        <v>2790</v>
      </c>
      <c r="Q4732" t="s">
        <v>5738</v>
      </c>
      <c r="R4732" t="s">
        <v>248</v>
      </c>
      <c r="S4732">
        <v>150.356874</v>
      </c>
      <c r="T4732" s="1095">
        <v>-33.310653000000002</v>
      </c>
    </row>
    <row r="4733" spans="16:20">
      <c r="P4733" s="1094">
        <v>2790</v>
      </c>
      <c r="Q4733" t="s">
        <v>5739</v>
      </c>
      <c r="R4733" t="s">
        <v>248</v>
      </c>
      <c r="S4733">
        <v>150.356874</v>
      </c>
      <c r="T4733" s="1095">
        <v>-33.310653000000002</v>
      </c>
    </row>
    <row r="4734" spans="16:20">
      <c r="P4734" s="1094">
        <v>2790</v>
      </c>
      <c r="Q4734" t="s">
        <v>5740</v>
      </c>
      <c r="R4734" t="s">
        <v>248</v>
      </c>
      <c r="S4734">
        <v>150.356874</v>
      </c>
      <c r="T4734" s="1095">
        <v>-33.310653000000002</v>
      </c>
    </row>
    <row r="4735" spans="16:20">
      <c r="P4735" s="1094">
        <v>2790</v>
      </c>
      <c r="Q4735" t="s">
        <v>5741</v>
      </c>
      <c r="R4735" t="s">
        <v>248</v>
      </c>
      <c r="S4735">
        <v>150.356874</v>
      </c>
      <c r="T4735" s="1095">
        <v>-33.310653000000002</v>
      </c>
    </row>
    <row r="4736" spans="16:20">
      <c r="P4736" s="1094">
        <v>2790</v>
      </c>
      <c r="Q4736" t="s">
        <v>5742</v>
      </c>
      <c r="R4736" t="s">
        <v>248</v>
      </c>
      <c r="S4736">
        <v>150.356874</v>
      </c>
      <c r="T4736" s="1095">
        <v>-33.310653000000002</v>
      </c>
    </row>
    <row r="4737" spans="16:20">
      <c r="P4737" s="1094">
        <v>2790</v>
      </c>
      <c r="Q4737" t="s">
        <v>5743</v>
      </c>
      <c r="R4737" t="s">
        <v>248</v>
      </c>
      <c r="S4737">
        <v>150.356874</v>
      </c>
      <c r="T4737" s="1095">
        <v>-33.310653000000002</v>
      </c>
    </row>
    <row r="4738" spans="16:20">
      <c r="P4738" s="1094">
        <v>2791</v>
      </c>
      <c r="Q4738" t="s">
        <v>5744</v>
      </c>
      <c r="R4738" t="s">
        <v>248</v>
      </c>
      <c r="S4738">
        <v>149.16447500000001</v>
      </c>
      <c r="T4738" s="1095">
        <v>-33.634940999999998</v>
      </c>
    </row>
    <row r="4739" spans="16:20">
      <c r="P4739" s="1094">
        <v>2791</v>
      </c>
      <c r="Q4739" t="s">
        <v>5745</v>
      </c>
      <c r="R4739" t="s">
        <v>248</v>
      </c>
      <c r="S4739">
        <v>149.16447500000001</v>
      </c>
      <c r="T4739" s="1095">
        <v>-33.634940999999998</v>
      </c>
    </row>
    <row r="4740" spans="16:20">
      <c r="P4740" s="1094">
        <v>2792</v>
      </c>
      <c r="Q4740" t="s">
        <v>5746</v>
      </c>
      <c r="R4740" t="s">
        <v>248</v>
      </c>
      <c r="S4740">
        <v>149.08632</v>
      </c>
      <c r="T4740" s="1095">
        <v>-33.626626999999999</v>
      </c>
    </row>
    <row r="4741" spans="16:20">
      <c r="P4741" s="1094">
        <v>2792</v>
      </c>
      <c r="Q4741" t="s">
        <v>5747</v>
      </c>
      <c r="R4741" t="s">
        <v>248</v>
      </c>
      <c r="S4741">
        <v>149.08632</v>
      </c>
      <c r="T4741" s="1095">
        <v>-33.626626999999999</v>
      </c>
    </row>
    <row r="4742" spans="16:20">
      <c r="P4742" s="1094">
        <v>2793</v>
      </c>
      <c r="Q4742" t="s">
        <v>5748</v>
      </c>
      <c r="R4742" t="s">
        <v>248</v>
      </c>
      <c r="S4742">
        <v>148.90872999999999</v>
      </c>
      <c r="T4742" s="1095">
        <v>-33.783954999999999</v>
      </c>
    </row>
    <row r="4743" spans="16:20">
      <c r="P4743" s="1094">
        <v>2793</v>
      </c>
      <c r="Q4743" t="s">
        <v>5749</v>
      </c>
      <c r="R4743" t="s">
        <v>248</v>
      </c>
      <c r="S4743">
        <v>148.90872999999999</v>
      </c>
      <c r="T4743" s="1095">
        <v>-33.783954999999999</v>
      </c>
    </row>
    <row r="4744" spans="16:20">
      <c r="P4744" s="1094">
        <v>2793</v>
      </c>
      <c r="Q4744" t="s">
        <v>4327</v>
      </c>
      <c r="R4744" t="s">
        <v>248</v>
      </c>
      <c r="S4744">
        <v>148.90872999999999</v>
      </c>
      <c r="T4744" s="1095">
        <v>-33.783954999999999</v>
      </c>
    </row>
    <row r="4745" spans="16:20">
      <c r="P4745" s="1094">
        <v>2794</v>
      </c>
      <c r="Q4745" t="s">
        <v>5750</v>
      </c>
      <c r="R4745" t="s">
        <v>248</v>
      </c>
      <c r="S4745">
        <v>148.664838</v>
      </c>
      <c r="T4745" s="1095">
        <v>-33.898505</v>
      </c>
    </row>
    <row r="4746" spans="16:20">
      <c r="P4746" s="1094">
        <v>2794</v>
      </c>
      <c r="Q4746" t="s">
        <v>5751</v>
      </c>
      <c r="R4746" t="s">
        <v>248</v>
      </c>
      <c r="S4746">
        <v>148.664838</v>
      </c>
      <c r="T4746" s="1095">
        <v>-33.898505</v>
      </c>
    </row>
    <row r="4747" spans="16:20">
      <c r="P4747" s="1094">
        <v>2794</v>
      </c>
      <c r="Q4747" t="s">
        <v>5752</v>
      </c>
      <c r="R4747" t="s">
        <v>248</v>
      </c>
      <c r="S4747">
        <v>148.664838</v>
      </c>
      <c r="T4747" s="1095">
        <v>-33.898505</v>
      </c>
    </row>
    <row r="4748" spans="16:20">
      <c r="P4748" s="1094">
        <v>2794</v>
      </c>
      <c r="Q4748" t="s">
        <v>5753</v>
      </c>
      <c r="R4748" t="s">
        <v>248</v>
      </c>
      <c r="S4748">
        <v>148.664838</v>
      </c>
      <c r="T4748" s="1095">
        <v>-33.898505</v>
      </c>
    </row>
    <row r="4749" spans="16:20">
      <c r="P4749" s="1094">
        <v>2794</v>
      </c>
      <c r="Q4749" t="s">
        <v>5754</v>
      </c>
      <c r="R4749" t="s">
        <v>248</v>
      </c>
      <c r="S4749">
        <v>148.664838</v>
      </c>
      <c r="T4749" s="1095">
        <v>-33.898505</v>
      </c>
    </row>
    <row r="4750" spans="16:20">
      <c r="P4750" s="1094">
        <v>2794</v>
      </c>
      <c r="Q4750" t="s">
        <v>5755</v>
      </c>
      <c r="R4750" t="s">
        <v>248</v>
      </c>
      <c r="S4750">
        <v>148.664838</v>
      </c>
      <c r="T4750" s="1095">
        <v>-33.898505</v>
      </c>
    </row>
    <row r="4751" spans="16:20">
      <c r="P4751" s="1094">
        <v>2794</v>
      </c>
      <c r="Q4751" t="s">
        <v>5756</v>
      </c>
      <c r="R4751" t="s">
        <v>248</v>
      </c>
      <c r="S4751">
        <v>148.664838</v>
      </c>
      <c r="T4751" s="1095">
        <v>-33.898505</v>
      </c>
    </row>
    <row r="4752" spans="16:20">
      <c r="P4752" s="1094">
        <v>2795</v>
      </c>
      <c r="Q4752" t="s">
        <v>5757</v>
      </c>
      <c r="R4752" t="s">
        <v>248</v>
      </c>
      <c r="S4752">
        <v>149.474401</v>
      </c>
      <c r="T4752" s="1095">
        <v>-33.820796999999999</v>
      </c>
    </row>
    <row r="4753" spans="16:20">
      <c r="P4753" s="1094">
        <v>2795</v>
      </c>
      <c r="Q4753" t="s">
        <v>5758</v>
      </c>
      <c r="R4753" t="s">
        <v>248</v>
      </c>
      <c r="S4753">
        <v>149.474401</v>
      </c>
      <c r="T4753" s="1095">
        <v>-33.820796999999999</v>
      </c>
    </row>
    <row r="4754" spans="16:20">
      <c r="P4754" s="1094">
        <v>2795</v>
      </c>
      <c r="Q4754" t="s">
        <v>5759</v>
      </c>
      <c r="R4754" t="s">
        <v>248</v>
      </c>
      <c r="S4754">
        <v>149.474401</v>
      </c>
      <c r="T4754" s="1095">
        <v>-33.820796999999999</v>
      </c>
    </row>
    <row r="4755" spans="16:20">
      <c r="P4755" s="1094">
        <v>2795</v>
      </c>
      <c r="Q4755" t="s">
        <v>5760</v>
      </c>
      <c r="R4755" t="s">
        <v>248</v>
      </c>
      <c r="S4755">
        <v>149.474401</v>
      </c>
      <c r="T4755" s="1095">
        <v>-33.820796999999999</v>
      </c>
    </row>
    <row r="4756" spans="16:20">
      <c r="P4756" s="1094">
        <v>2795</v>
      </c>
      <c r="Q4756" t="s">
        <v>5761</v>
      </c>
      <c r="R4756" t="s">
        <v>248</v>
      </c>
      <c r="S4756">
        <v>149.474401</v>
      </c>
      <c r="T4756" s="1095">
        <v>-33.820796999999999</v>
      </c>
    </row>
    <row r="4757" spans="16:20">
      <c r="P4757" s="1094">
        <v>2795</v>
      </c>
      <c r="Q4757" t="s">
        <v>5762</v>
      </c>
      <c r="R4757" t="s">
        <v>248</v>
      </c>
      <c r="S4757">
        <v>149.474401</v>
      </c>
      <c r="T4757" s="1095">
        <v>-33.820796999999999</v>
      </c>
    </row>
    <row r="4758" spans="16:20">
      <c r="P4758" s="1094">
        <v>2795</v>
      </c>
      <c r="Q4758" t="s">
        <v>5763</v>
      </c>
      <c r="R4758" t="s">
        <v>248</v>
      </c>
      <c r="S4758">
        <v>149.474401</v>
      </c>
      <c r="T4758" s="1095">
        <v>-33.820796999999999</v>
      </c>
    </row>
    <row r="4759" spans="16:20">
      <c r="P4759" s="1094">
        <v>2795</v>
      </c>
      <c r="Q4759" t="s">
        <v>5764</v>
      </c>
      <c r="R4759" t="s">
        <v>248</v>
      </c>
      <c r="S4759">
        <v>149.474401</v>
      </c>
      <c r="T4759" s="1095">
        <v>-33.820796999999999</v>
      </c>
    </row>
    <row r="4760" spans="16:20">
      <c r="P4760" s="1094">
        <v>2795</v>
      </c>
      <c r="Q4760" t="s">
        <v>5765</v>
      </c>
      <c r="R4760" t="s">
        <v>248</v>
      </c>
      <c r="S4760">
        <v>149.474401</v>
      </c>
      <c r="T4760" s="1095">
        <v>-33.820796999999999</v>
      </c>
    </row>
    <row r="4761" spans="16:20">
      <c r="P4761" s="1094">
        <v>2795</v>
      </c>
      <c r="Q4761" t="s">
        <v>5766</v>
      </c>
      <c r="R4761" t="s">
        <v>248</v>
      </c>
      <c r="S4761">
        <v>149.474401</v>
      </c>
      <c r="T4761" s="1095">
        <v>-33.820796999999999</v>
      </c>
    </row>
    <row r="4762" spans="16:20">
      <c r="P4762" s="1094">
        <v>2795</v>
      </c>
      <c r="Q4762" t="s">
        <v>5767</v>
      </c>
      <c r="R4762" t="s">
        <v>248</v>
      </c>
      <c r="S4762">
        <v>149.474401</v>
      </c>
      <c r="T4762" s="1095">
        <v>-33.820796999999999</v>
      </c>
    </row>
    <row r="4763" spans="16:20">
      <c r="P4763" s="1094">
        <v>2795</v>
      </c>
      <c r="Q4763" t="s">
        <v>5768</v>
      </c>
      <c r="R4763" t="s">
        <v>248</v>
      </c>
      <c r="S4763">
        <v>149.474401</v>
      </c>
      <c r="T4763" s="1095">
        <v>-33.820796999999999</v>
      </c>
    </row>
    <row r="4764" spans="16:20">
      <c r="P4764" s="1094">
        <v>2795</v>
      </c>
      <c r="Q4764" t="s">
        <v>5769</v>
      </c>
      <c r="R4764" t="s">
        <v>248</v>
      </c>
      <c r="S4764">
        <v>149.474401</v>
      </c>
      <c r="T4764" s="1095">
        <v>-33.820796999999999</v>
      </c>
    </row>
    <row r="4765" spans="16:20">
      <c r="P4765" s="1094">
        <v>2795</v>
      </c>
      <c r="Q4765" t="s">
        <v>5327</v>
      </c>
      <c r="R4765" t="s">
        <v>248</v>
      </c>
      <c r="S4765">
        <v>149.474401</v>
      </c>
      <c r="T4765" s="1095">
        <v>-33.820796999999999</v>
      </c>
    </row>
    <row r="4766" spans="16:20">
      <c r="P4766" s="1094">
        <v>2795</v>
      </c>
      <c r="Q4766" t="s">
        <v>5770</v>
      </c>
      <c r="R4766" t="s">
        <v>248</v>
      </c>
      <c r="S4766">
        <v>149.474401</v>
      </c>
      <c r="T4766" s="1095">
        <v>-33.820796999999999</v>
      </c>
    </row>
    <row r="4767" spans="16:20">
      <c r="P4767" s="1094">
        <v>2795</v>
      </c>
      <c r="Q4767" t="s">
        <v>5771</v>
      </c>
      <c r="R4767" t="s">
        <v>248</v>
      </c>
      <c r="S4767">
        <v>149.474401</v>
      </c>
      <c r="T4767" s="1095">
        <v>-33.820796999999999</v>
      </c>
    </row>
    <row r="4768" spans="16:20">
      <c r="P4768" s="1094">
        <v>2795</v>
      </c>
      <c r="Q4768" t="s">
        <v>5582</v>
      </c>
      <c r="R4768" t="s">
        <v>248</v>
      </c>
      <c r="S4768">
        <v>149.474401</v>
      </c>
      <c r="T4768" s="1095">
        <v>-33.820796999999999</v>
      </c>
    </row>
    <row r="4769" spans="16:20">
      <c r="P4769" s="1094">
        <v>2795</v>
      </c>
      <c r="Q4769" t="s">
        <v>5772</v>
      </c>
      <c r="R4769" t="s">
        <v>248</v>
      </c>
      <c r="S4769">
        <v>149.474401</v>
      </c>
      <c r="T4769" s="1095">
        <v>-33.820796999999999</v>
      </c>
    </row>
    <row r="4770" spans="16:20">
      <c r="P4770" s="1094">
        <v>2795</v>
      </c>
      <c r="Q4770" t="s">
        <v>5773</v>
      </c>
      <c r="R4770" t="s">
        <v>248</v>
      </c>
      <c r="S4770">
        <v>149.474401</v>
      </c>
      <c r="T4770" s="1095">
        <v>-33.820796999999999</v>
      </c>
    </row>
    <row r="4771" spans="16:20">
      <c r="P4771" s="1094">
        <v>2795</v>
      </c>
      <c r="Q4771" t="s">
        <v>5774</v>
      </c>
      <c r="R4771" t="s">
        <v>248</v>
      </c>
      <c r="S4771">
        <v>149.474401</v>
      </c>
      <c r="T4771" s="1095">
        <v>-33.820796999999999</v>
      </c>
    </row>
    <row r="4772" spans="16:20">
      <c r="P4772" s="1094">
        <v>2795</v>
      </c>
      <c r="Q4772" t="s">
        <v>5775</v>
      </c>
      <c r="R4772" t="s">
        <v>248</v>
      </c>
      <c r="S4772">
        <v>149.474401</v>
      </c>
      <c r="T4772" s="1095">
        <v>-33.820796999999999</v>
      </c>
    </row>
    <row r="4773" spans="16:20">
      <c r="P4773" s="1094">
        <v>2795</v>
      </c>
      <c r="Q4773" t="s">
        <v>5776</v>
      </c>
      <c r="R4773" t="s">
        <v>248</v>
      </c>
      <c r="S4773">
        <v>149.474401</v>
      </c>
      <c r="T4773" s="1095">
        <v>-33.820796999999999</v>
      </c>
    </row>
    <row r="4774" spans="16:20">
      <c r="P4774" s="1094">
        <v>2795</v>
      </c>
      <c r="Q4774" t="s">
        <v>5777</v>
      </c>
      <c r="R4774" t="s">
        <v>248</v>
      </c>
      <c r="S4774">
        <v>149.474401</v>
      </c>
      <c r="T4774" s="1095">
        <v>-33.820796999999999</v>
      </c>
    </row>
    <row r="4775" spans="16:20">
      <c r="P4775" s="1094">
        <v>2795</v>
      </c>
      <c r="Q4775" t="s">
        <v>5778</v>
      </c>
      <c r="R4775" t="s">
        <v>248</v>
      </c>
      <c r="S4775">
        <v>149.474401</v>
      </c>
      <c r="T4775" s="1095">
        <v>-33.820796999999999</v>
      </c>
    </row>
    <row r="4776" spans="16:20">
      <c r="P4776" s="1094">
        <v>2795</v>
      </c>
      <c r="Q4776" t="s">
        <v>5779</v>
      </c>
      <c r="R4776" t="s">
        <v>248</v>
      </c>
      <c r="S4776">
        <v>149.474401</v>
      </c>
      <c r="T4776" s="1095">
        <v>-33.820796999999999</v>
      </c>
    </row>
    <row r="4777" spans="16:20">
      <c r="P4777" s="1094">
        <v>2795</v>
      </c>
      <c r="Q4777" t="s">
        <v>5780</v>
      </c>
      <c r="R4777" t="s">
        <v>248</v>
      </c>
      <c r="S4777">
        <v>149.474401</v>
      </c>
      <c r="T4777" s="1095">
        <v>-33.820796999999999</v>
      </c>
    </row>
    <row r="4778" spans="16:20">
      <c r="P4778" s="1094">
        <v>2795</v>
      </c>
      <c r="Q4778" t="s">
        <v>5781</v>
      </c>
      <c r="R4778" t="s">
        <v>248</v>
      </c>
      <c r="S4778">
        <v>149.474401</v>
      </c>
      <c r="T4778" s="1095">
        <v>-33.820796999999999</v>
      </c>
    </row>
    <row r="4779" spans="16:20">
      <c r="P4779" s="1094">
        <v>2795</v>
      </c>
      <c r="Q4779" t="s">
        <v>5782</v>
      </c>
      <c r="R4779" t="s">
        <v>248</v>
      </c>
      <c r="S4779">
        <v>149.474401</v>
      </c>
      <c r="T4779" s="1095">
        <v>-33.820796999999999</v>
      </c>
    </row>
    <row r="4780" spans="16:20">
      <c r="P4780" s="1094">
        <v>2795</v>
      </c>
      <c r="Q4780" t="s">
        <v>5783</v>
      </c>
      <c r="R4780" t="s">
        <v>248</v>
      </c>
      <c r="S4780">
        <v>149.474401</v>
      </c>
      <c r="T4780" s="1095">
        <v>-33.820796999999999</v>
      </c>
    </row>
    <row r="4781" spans="16:20">
      <c r="P4781" s="1094">
        <v>2795</v>
      </c>
      <c r="Q4781" t="s">
        <v>5784</v>
      </c>
      <c r="R4781" t="s">
        <v>248</v>
      </c>
      <c r="S4781">
        <v>149.474401</v>
      </c>
      <c r="T4781" s="1095">
        <v>-33.820796999999999</v>
      </c>
    </row>
    <row r="4782" spans="16:20">
      <c r="P4782" s="1094">
        <v>2795</v>
      </c>
      <c r="Q4782" t="s">
        <v>5785</v>
      </c>
      <c r="R4782" t="s">
        <v>248</v>
      </c>
      <c r="S4782">
        <v>149.474401</v>
      </c>
      <c r="T4782" s="1095">
        <v>-33.820796999999999</v>
      </c>
    </row>
    <row r="4783" spans="16:20">
      <c r="P4783" s="1094">
        <v>2795</v>
      </c>
      <c r="Q4783" t="s">
        <v>5786</v>
      </c>
      <c r="R4783" t="s">
        <v>248</v>
      </c>
      <c r="S4783">
        <v>149.474401</v>
      </c>
      <c r="T4783" s="1095">
        <v>-33.820796999999999</v>
      </c>
    </row>
    <row r="4784" spans="16:20">
      <c r="P4784" s="1094">
        <v>2795</v>
      </c>
      <c r="Q4784" t="s">
        <v>2923</v>
      </c>
      <c r="R4784" t="s">
        <v>248</v>
      </c>
      <c r="S4784">
        <v>149.474401</v>
      </c>
      <c r="T4784" s="1095">
        <v>-33.820796999999999</v>
      </c>
    </row>
    <row r="4785" spans="16:20">
      <c r="P4785" s="1094">
        <v>2795</v>
      </c>
      <c r="Q4785" t="s">
        <v>5787</v>
      </c>
      <c r="R4785" t="s">
        <v>248</v>
      </c>
      <c r="S4785">
        <v>149.474401</v>
      </c>
      <c r="T4785" s="1095">
        <v>-33.820796999999999</v>
      </c>
    </row>
    <row r="4786" spans="16:20">
      <c r="P4786" s="1094">
        <v>2795</v>
      </c>
      <c r="Q4786" t="s">
        <v>5788</v>
      </c>
      <c r="R4786" t="s">
        <v>248</v>
      </c>
      <c r="S4786">
        <v>149.474401</v>
      </c>
      <c r="T4786" s="1095">
        <v>-33.820796999999999</v>
      </c>
    </row>
    <row r="4787" spans="16:20">
      <c r="P4787" s="1094">
        <v>2795</v>
      </c>
      <c r="Q4787" t="s">
        <v>5789</v>
      </c>
      <c r="R4787" t="s">
        <v>248</v>
      </c>
      <c r="S4787">
        <v>149.474401</v>
      </c>
      <c r="T4787" s="1095">
        <v>-33.820796999999999</v>
      </c>
    </row>
    <row r="4788" spans="16:20">
      <c r="P4788" s="1094">
        <v>2795</v>
      </c>
      <c r="Q4788" t="s">
        <v>5790</v>
      </c>
      <c r="R4788" t="s">
        <v>248</v>
      </c>
      <c r="S4788">
        <v>149.474401</v>
      </c>
      <c r="T4788" s="1095">
        <v>-33.820796999999999</v>
      </c>
    </row>
    <row r="4789" spans="16:20">
      <c r="P4789" s="1094">
        <v>2795</v>
      </c>
      <c r="Q4789" t="s">
        <v>5791</v>
      </c>
      <c r="R4789" t="s">
        <v>248</v>
      </c>
      <c r="S4789">
        <v>149.474401</v>
      </c>
      <c r="T4789" s="1095">
        <v>-33.820796999999999</v>
      </c>
    </row>
    <row r="4790" spans="16:20">
      <c r="P4790" s="1094">
        <v>2795</v>
      </c>
      <c r="Q4790" t="s">
        <v>5792</v>
      </c>
      <c r="R4790" t="s">
        <v>248</v>
      </c>
      <c r="S4790">
        <v>149.474401</v>
      </c>
      <c r="T4790" s="1095">
        <v>-33.820796999999999</v>
      </c>
    </row>
    <row r="4791" spans="16:20">
      <c r="P4791" s="1094">
        <v>2795</v>
      </c>
      <c r="Q4791" t="s">
        <v>5793</v>
      </c>
      <c r="R4791" t="s">
        <v>248</v>
      </c>
      <c r="S4791">
        <v>149.474401</v>
      </c>
      <c r="T4791" s="1095">
        <v>-33.820796999999999</v>
      </c>
    </row>
    <row r="4792" spans="16:20">
      <c r="P4792" s="1094">
        <v>2795</v>
      </c>
      <c r="Q4792" t="s">
        <v>5794</v>
      </c>
      <c r="R4792" t="s">
        <v>248</v>
      </c>
      <c r="S4792">
        <v>149.474401</v>
      </c>
      <c r="T4792" s="1095">
        <v>-33.820796999999999</v>
      </c>
    </row>
    <row r="4793" spans="16:20">
      <c r="P4793" s="1094">
        <v>2795</v>
      </c>
      <c r="Q4793" t="s">
        <v>5795</v>
      </c>
      <c r="R4793" t="s">
        <v>248</v>
      </c>
      <c r="S4793">
        <v>149.474401</v>
      </c>
      <c r="T4793" s="1095">
        <v>-33.820796999999999</v>
      </c>
    </row>
    <row r="4794" spans="16:20">
      <c r="P4794" s="1094">
        <v>2795</v>
      </c>
      <c r="Q4794" t="s">
        <v>5796</v>
      </c>
      <c r="R4794" t="s">
        <v>248</v>
      </c>
      <c r="S4794">
        <v>149.474401</v>
      </c>
      <c r="T4794" s="1095">
        <v>-33.820796999999999</v>
      </c>
    </row>
    <row r="4795" spans="16:20">
      <c r="P4795" s="1094">
        <v>2795</v>
      </c>
      <c r="Q4795" t="s">
        <v>5797</v>
      </c>
      <c r="R4795" t="s">
        <v>248</v>
      </c>
      <c r="S4795">
        <v>149.474401</v>
      </c>
      <c r="T4795" s="1095">
        <v>-33.820796999999999</v>
      </c>
    </row>
    <row r="4796" spans="16:20">
      <c r="P4796" s="1094">
        <v>2795</v>
      </c>
      <c r="Q4796" t="s">
        <v>5798</v>
      </c>
      <c r="R4796" t="s">
        <v>248</v>
      </c>
      <c r="S4796">
        <v>149.474401</v>
      </c>
      <c r="T4796" s="1095">
        <v>-33.820796999999999</v>
      </c>
    </row>
    <row r="4797" spans="16:20">
      <c r="P4797" s="1094">
        <v>2795</v>
      </c>
      <c r="Q4797" t="s">
        <v>5799</v>
      </c>
      <c r="R4797" t="s">
        <v>248</v>
      </c>
      <c r="S4797">
        <v>149.474401</v>
      </c>
      <c r="T4797" s="1095">
        <v>-33.820796999999999</v>
      </c>
    </row>
    <row r="4798" spans="16:20">
      <c r="P4798" s="1094">
        <v>2795</v>
      </c>
      <c r="Q4798" t="s">
        <v>5800</v>
      </c>
      <c r="R4798" t="s">
        <v>248</v>
      </c>
      <c r="S4798">
        <v>149.474401</v>
      </c>
      <c r="T4798" s="1095">
        <v>-33.820796999999999</v>
      </c>
    </row>
    <row r="4799" spans="16:20">
      <c r="P4799" s="1094">
        <v>2795</v>
      </c>
      <c r="Q4799" t="s">
        <v>5801</v>
      </c>
      <c r="R4799" t="s">
        <v>248</v>
      </c>
      <c r="S4799">
        <v>149.474401</v>
      </c>
      <c r="T4799" s="1095">
        <v>-33.820796999999999</v>
      </c>
    </row>
    <row r="4800" spans="16:20">
      <c r="P4800" s="1094">
        <v>2795</v>
      </c>
      <c r="Q4800" t="s">
        <v>5802</v>
      </c>
      <c r="R4800" t="s">
        <v>248</v>
      </c>
      <c r="S4800">
        <v>149.474401</v>
      </c>
      <c r="T4800" s="1095">
        <v>-33.820796999999999</v>
      </c>
    </row>
    <row r="4801" spans="16:20">
      <c r="P4801" s="1094">
        <v>2795</v>
      </c>
      <c r="Q4801" t="s">
        <v>5803</v>
      </c>
      <c r="R4801" t="s">
        <v>248</v>
      </c>
      <c r="S4801">
        <v>149.474401</v>
      </c>
      <c r="T4801" s="1095">
        <v>-33.820796999999999</v>
      </c>
    </row>
    <row r="4802" spans="16:20">
      <c r="P4802" s="1094">
        <v>2795</v>
      </c>
      <c r="Q4802" t="s">
        <v>5804</v>
      </c>
      <c r="R4802" t="s">
        <v>248</v>
      </c>
      <c r="S4802">
        <v>149.474401</v>
      </c>
      <c r="T4802" s="1095">
        <v>-33.820796999999999</v>
      </c>
    </row>
    <row r="4803" spans="16:20">
      <c r="P4803" s="1094">
        <v>2795</v>
      </c>
      <c r="Q4803" t="s">
        <v>5805</v>
      </c>
      <c r="R4803" t="s">
        <v>248</v>
      </c>
      <c r="S4803">
        <v>149.474401</v>
      </c>
      <c r="T4803" s="1095">
        <v>-33.820796999999999</v>
      </c>
    </row>
    <row r="4804" spans="16:20">
      <c r="P4804" s="1094">
        <v>2795</v>
      </c>
      <c r="Q4804" t="s">
        <v>5806</v>
      </c>
      <c r="R4804" t="s">
        <v>248</v>
      </c>
      <c r="S4804">
        <v>149.474401</v>
      </c>
      <c r="T4804" s="1095">
        <v>-33.820796999999999</v>
      </c>
    </row>
    <row r="4805" spans="16:20">
      <c r="P4805" s="1094">
        <v>2795</v>
      </c>
      <c r="Q4805" t="s">
        <v>1529</v>
      </c>
      <c r="R4805" t="s">
        <v>248</v>
      </c>
      <c r="S4805">
        <v>149.474401</v>
      </c>
      <c r="T4805" s="1095">
        <v>-33.820796999999999</v>
      </c>
    </row>
    <row r="4806" spans="16:20">
      <c r="P4806" s="1094">
        <v>2795</v>
      </c>
      <c r="Q4806" t="s">
        <v>5807</v>
      </c>
      <c r="R4806" t="s">
        <v>248</v>
      </c>
      <c r="S4806">
        <v>149.474401</v>
      </c>
      <c r="T4806" s="1095">
        <v>-33.820796999999999</v>
      </c>
    </row>
    <row r="4807" spans="16:20">
      <c r="P4807" s="1094">
        <v>2795</v>
      </c>
      <c r="Q4807" t="s">
        <v>5808</v>
      </c>
      <c r="R4807" t="s">
        <v>248</v>
      </c>
      <c r="S4807">
        <v>149.474401</v>
      </c>
      <c r="T4807" s="1095">
        <v>-33.820796999999999</v>
      </c>
    </row>
    <row r="4808" spans="16:20">
      <c r="P4808" s="1094">
        <v>2795</v>
      </c>
      <c r="Q4808" t="s">
        <v>5809</v>
      </c>
      <c r="R4808" t="s">
        <v>248</v>
      </c>
      <c r="S4808">
        <v>149.474401</v>
      </c>
      <c r="T4808" s="1095">
        <v>-33.820796999999999</v>
      </c>
    </row>
    <row r="4809" spans="16:20">
      <c r="P4809" s="1094">
        <v>2795</v>
      </c>
      <c r="Q4809" t="s">
        <v>5810</v>
      </c>
      <c r="R4809" t="s">
        <v>248</v>
      </c>
      <c r="S4809">
        <v>149.474401</v>
      </c>
      <c r="T4809" s="1095">
        <v>-33.820796999999999</v>
      </c>
    </row>
    <row r="4810" spans="16:20">
      <c r="P4810" s="1094">
        <v>2795</v>
      </c>
      <c r="Q4810" t="s">
        <v>5811</v>
      </c>
      <c r="R4810" t="s">
        <v>248</v>
      </c>
      <c r="S4810">
        <v>149.474401</v>
      </c>
      <c r="T4810" s="1095">
        <v>-33.820796999999999</v>
      </c>
    </row>
    <row r="4811" spans="16:20">
      <c r="P4811" s="1094">
        <v>2795</v>
      </c>
      <c r="Q4811" t="s">
        <v>5812</v>
      </c>
      <c r="R4811" t="s">
        <v>248</v>
      </c>
      <c r="S4811">
        <v>149.474401</v>
      </c>
      <c r="T4811" s="1095">
        <v>-33.820796999999999</v>
      </c>
    </row>
    <row r="4812" spans="16:20">
      <c r="P4812" s="1094">
        <v>2795</v>
      </c>
      <c r="Q4812" t="s">
        <v>5813</v>
      </c>
      <c r="R4812" t="s">
        <v>248</v>
      </c>
      <c r="S4812">
        <v>149.474401</v>
      </c>
      <c r="T4812" s="1095">
        <v>-33.820796999999999</v>
      </c>
    </row>
    <row r="4813" spans="16:20">
      <c r="P4813" s="1094">
        <v>2795</v>
      </c>
      <c r="Q4813" t="s">
        <v>5814</v>
      </c>
      <c r="R4813" t="s">
        <v>248</v>
      </c>
      <c r="S4813">
        <v>149.474401</v>
      </c>
      <c r="T4813" s="1095">
        <v>-33.820796999999999</v>
      </c>
    </row>
    <row r="4814" spans="16:20">
      <c r="P4814" s="1094">
        <v>2795</v>
      </c>
      <c r="Q4814" t="s">
        <v>5815</v>
      </c>
      <c r="R4814" t="s">
        <v>248</v>
      </c>
      <c r="S4814">
        <v>149.474401</v>
      </c>
      <c r="T4814" s="1095">
        <v>-33.820796999999999</v>
      </c>
    </row>
    <row r="4815" spans="16:20">
      <c r="P4815" s="1094">
        <v>2795</v>
      </c>
      <c r="Q4815" t="s">
        <v>5816</v>
      </c>
      <c r="R4815" t="s">
        <v>248</v>
      </c>
      <c r="S4815">
        <v>149.474401</v>
      </c>
      <c r="T4815" s="1095">
        <v>-33.820796999999999</v>
      </c>
    </row>
    <row r="4816" spans="16:20">
      <c r="P4816" s="1094">
        <v>2795</v>
      </c>
      <c r="Q4816" t="s">
        <v>5817</v>
      </c>
      <c r="R4816" t="s">
        <v>248</v>
      </c>
      <c r="S4816">
        <v>149.474401</v>
      </c>
      <c r="T4816" s="1095">
        <v>-33.820796999999999</v>
      </c>
    </row>
    <row r="4817" spans="16:20">
      <c r="P4817" s="1094">
        <v>2795</v>
      </c>
      <c r="Q4817" t="s">
        <v>5818</v>
      </c>
      <c r="R4817" t="s">
        <v>248</v>
      </c>
      <c r="S4817">
        <v>149.474401</v>
      </c>
      <c r="T4817" s="1095">
        <v>-33.820796999999999</v>
      </c>
    </row>
    <row r="4818" spans="16:20">
      <c r="P4818" s="1094">
        <v>2795</v>
      </c>
      <c r="Q4818" t="s">
        <v>5819</v>
      </c>
      <c r="R4818" t="s">
        <v>248</v>
      </c>
      <c r="S4818">
        <v>149.474401</v>
      </c>
      <c r="T4818" s="1095">
        <v>-33.820796999999999</v>
      </c>
    </row>
    <row r="4819" spans="16:20">
      <c r="P4819" s="1094">
        <v>2795</v>
      </c>
      <c r="Q4819" t="s">
        <v>5820</v>
      </c>
      <c r="R4819" t="s">
        <v>248</v>
      </c>
      <c r="S4819">
        <v>149.474401</v>
      </c>
      <c r="T4819" s="1095">
        <v>-33.820796999999999</v>
      </c>
    </row>
    <row r="4820" spans="16:20">
      <c r="P4820" s="1094">
        <v>2795</v>
      </c>
      <c r="Q4820" t="s">
        <v>5821</v>
      </c>
      <c r="R4820" t="s">
        <v>248</v>
      </c>
      <c r="S4820">
        <v>149.474401</v>
      </c>
      <c r="T4820" s="1095">
        <v>-33.820796999999999</v>
      </c>
    </row>
    <row r="4821" spans="16:20">
      <c r="P4821" s="1094">
        <v>2795</v>
      </c>
      <c r="Q4821" t="s">
        <v>5822</v>
      </c>
      <c r="R4821" t="s">
        <v>248</v>
      </c>
      <c r="S4821">
        <v>149.474401</v>
      </c>
      <c r="T4821" s="1095">
        <v>-33.820796999999999</v>
      </c>
    </row>
    <row r="4822" spans="16:20">
      <c r="P4822" s="1094">
        <v>2795</v>
      </c>
      <c r="Q4822" t="s">
        <v>5823</v>
      </c>
      <c r="R4822" t="s">
        <v>248</v>
      </c>
      <c r="S4822">
        <v>149.474401</v>
      </c>
      <c r="T4822" s="1095">
        <v>-33.820796999999999</v>
      </c>
    </row>
    <row r="4823" spans="16:20">
      <c r="P4823" s="1094">
        <v>2795</v>
      </c>
      <c r="Q4823" t="s">
        <v>5824</v>
      </c>
      <c r="R4823" t="s">
        <v>248</v>
      </c>
      <c r="S4823">
        <v>149.474401</v>
      </c>
      <c r="T4823" s="1095">
        <v>-33.820796999999999</v>
      </c>
    </row>
    <row r="4824" spans="16:20">
      <c r="P4824" s="1094">
        <v>2795</v>
      </c>
      <c r="Q4824" t="s">
        <v>5825</v>
      </c>
      <c r="R4824" t="s">
        <v>248</v>
      </c>
      <c r="S4824">
        <v>149.474401</v>
      </c>
      <c r="T4824" s="1095">
        <v>-33.820796999999999</v>
      </c>
    </row>
    <row r="4825" spans="16:20">
      <c r="P4825" s="1094">
        <v>2795</v>
      </c>
      <c r="Q4825" t="s">
        <v>5826</v>
      </c>
      <c r="R4825" t="s">
        <v>248</v>
      </c>
      <c r="S4825">
        <v>149.474401</v>
      </c>
      <c r="T4825" s="1095">
        <v>-33.820796999999999</v>
      </c>
    </row>
    <row r="4826" spans="16:20">
      <c r="P4826" s="1094">
        <v>2795</v>
      </c>
      <c r="Q4826" t="s">
        <v>5827</v>
      </c>
      <c r="R4826" t="s">
        <v>248</v>
      </c>
      <c r="S4826">
        <v>149.474401</v>
      </c>
      <c r="T4826" s="1095">
        <v>-33.820796999999999</v>
      </c>
    </row>
    <row r="4827" spans="16:20">
      <c r="P4827" s="1094">
        <v>2795</v>
      </c>
      <c r="Q4827" t="s">
        <v>3666</v>
      </c>
      <c r="R4827" t="s">
        <v>248</v>
      </c>
      <c r="S4827">
        <v>149.474401</v>
      </c>
      <c r="T4827" s="1095">
        <v>-33.820796999999999</v>
      </c>
    </row>
    <row r="4828" spans="16:20">
      <c r="P4828" s="1094">
        <v>2795</v>
      </c>
      <c r="Q4828" t="s">
        <v>5828</v>
      </c>
      <c r="R4828" t="s">
        <v>248</v>
      </c>
      <c r="S4828">
        <v>149.474401</v>
      </c>
      <c r="T4828" s="1095">
        <v>-33.820796999999999</v>
      </c>
    </row>
    <row r="4829" spans="16:20">
      <c r="P4829" s="1094">
        <v>2795</v>
      </c>
      <c r="Q4829" t="s">
        <v>5829</v>
      </c>
      <c r="R4829" t="s">
        <v>248</v>
      </c>
      <c r="S4829">
        <v>149.474401</v>
      </c>
      <c r="T4829" s="1095">
        <v>-33.820796999999999</v>
      </c>
    </row>
    <row r="4830" spans="16:20">
      <c r="P4830" s="1094">
        <v>2795</v>
      </c>
      <c r="Q4830" t="s">
        <v>1728</v>
      </c>
      <c r="R4830" t="s">
        <v>248</v>
      </c>
      <c r="S4830">
        <v>149.474401</v>
      </c>
      <c r="T4830" s="1095">
        <v>-33.820796999999999</v>
      </c>
    </row>
    <row r="4831" spans="16:20">
      <c r="P4831" s="1094">
        <v>2795</v>
      </c>
      <c r="Q4831" t="s">
        <v>5830</v>
      </c>
      <c r="R4831" t="s">
        <v>248</v>
      </c>
      <c r="S4831">
        <v>149.474401</v>
      </c>
      <c r="T4831" s="1095">
        <v>-33.820796999999999</v>
      </c>
    </row>
    <row r="4832" spans="16:20">
      <c r="P4832" s="1094">
        <v>2795</v>
      </c>
      <c r="Q4832" t="s">
        <v>5831</v>
      </c>
      <c r="R4832" t="s">
        <v>248</v>
      </c>
      <c r="S4832">
        <v>149.474401</v>
      </c>
      <c r="T4832" s="1095">
        <v>-33.820796999999999</v>
      </c>
    </row>
    <row r="4833" spans="16:20">
      <c r="P4833" s="1094">
        <v>2795</v>
      </c>
      <c r="Q4833" t="s">
        <v>5832</v>
      </c>
      <c r="R4833" t="s">
        <v>248</v>
      </c>
      <c r="S4833">
        <v>149.474401</v>
      </c>
      <c r="T4833" s="1095">
        <v>-33.820796999999999</v>
      </c>
    </row>
    <row r="4834" spans="16:20">
      <c r="P4834" s="1094">
        <v>2795</v>
      </c>
      <c r="Q4834" t="s">
        <v>5833</v>
      </c>
      <c r="R4834" t="s">
        <v>248</v>
      </c>
      <c r="S4834">
        <v>149.474401</v>
      </c>
      <c r="T4834" s="1095">
        <v>-33.820796999999999</v>
      </c>
    </row>
    <row r="4835" spans="16:20">
      <c r="P4835" s="1094">
        <v>2795</v>
      </c>
      <c r="Q4835" t="s">
        <v>5834</v>
      </c>
      <c r="R4835" t="s">
        <v>248</v>
      </c>
      <c r="S4835">
        <v>149.474401</v>
      </c>
      <c r="T4835" s="1095">
        <v>-33.820796999999999</v>
      </c>
    </row>
    <row r="4836" spans="16:20">
      <c r="P4836" s="1094">
        <v>2795</v>
      </c>
      <c r="Q4836" t="s">
        <v>5835</v>
      </c>
      <c r="R4836" t="s">
        <v>248</v>
      </c>
      <c r="S4836">
        <v>149.474401</v>
      </c>
      <c r="T4836" s="1095">
        <v>-33.820796999999999</v>
      </c>
    </row>
    <row r="4837" spans="16:20">
      <c r="P4837" s="1094">
        <v>2795</v>
      </c>
      <c r="Q4837" t="s">
        <v>5836</v>
      </c>
      <c r="R4837" t="s">
        <v>248</v>
      </c>
      <c r="S4837">
        <v>149.474401</v>
      </c>
      <c r="T4837" s="1095">
        <v>-33.820796999999999</v>
      </c>
    </row>
    <row r="4838" spans="16:20">
      <c r="P4838" s="1094">
        <v>2795</v>
      </c>
      <c r="Q4838" t="s">
        <v>5837</v>
      </c>
      <c r="R4838" t="s">
        <v>248</v>
      </c>
      <c r="S4838">
        <v>149.474401</v>
      </c>
      <c r="T4838" s="1095">
        <v>-33.820796999999999</v>
      </c>
    </row>
    <row r="4839" spans="16:20">
      <c r="P4839" s="1094">
        <v>2795</v>
      </c>
      <c r="Q4839" t="s">
        <v>5838</v>
      </c>
      <c r="R4839" t="s">
        <v>248</v>
      </c>
      <c r="S4839">
        <v>149.474401</v>
      </c>
      <c r="T4839" s="1095">
        <v>-33.820796999999999</v>
      </c>
    </row>
    <row r="4840" spans="16:20">
      <c r="P4840" s="1094">
        <v>2795</v>
      </c>
      <c r="Q4840" t="s">
        <v>5839</v>
      </c>
      <c r="R4840" t="s">
        <v>248</v>
      </c>
      <c r="S4840">
        <v>149.474401</v>
      </c>
      <c r="T4840" s="1095">
        <v>-33.820796999999999</v>
      </c>
    </row>
    <row r="4841" spans="16:20">
      <c r="P4841" s="1094">
        <v>2795</v>
      </c>
      <c r="Q4841" t="s">
        <v>5840</v>
      </c>
      <c r="R4841" t="s">
        <v>248</v>
      </c>
      <c r="S4841">
        <v>149.474401</v>
      </c>
      <c r="T4841" s="1095">
        <v>-33.820796999999999</v>
      </c>
    </row>
    <row r="4842" spans="16:20">
      <c r="P4842" s="1094">
        <v>2795</v>
      </c>
      <c r="Q4842" t="s">
        <v>5841</v>
      </c>
      <c r="R4842" t="s">
        <v>248</v>
      </c>
      <c r="S4842">
        <v>149.474401</v>
      </c>
      <c r="T4842" s="1095">
        <v>-33.820796999999999</v>
      </c>
    </row>
    <row r="4843" spans="16:20">
      <c r="P4843" s="1094">
        <v>2795</v>
      </c>
      <c r="Q4843" t="s">
        <v>5842</v>
      </c>
      <c r="R4843" t="s">
        <v>248</v>
      </c>
      <c r="S4843">
        <v>149.474401</v>
      </c>
      <c r="T4843" s="1095">
        <v>-33.820796999999999</v>
      </c>
    </row>
    <row r="4844" spans="16:20">
      <c r="P4844" s="1094">
        <v>2795</v>
      </c>
      <c r="Q4844" t="s">
        <v>5843</v>
      </c>
      <c r="R4844" t="s">
        <v>248</v>
      </c>
      <c r="S4844">
        <v>149.474401</v>
      </c>
      <c r="T4844" s="1095">
        <v>-33.820796999999999</v>
      </c>
    </row>
    <row r="4845" spans="16:20">
      <c r="P4845" s="1094">
        <v>2795</v>
      </c>
      <c r="Q4845" t="s">
        <v>5844</v>
      </c>
      <c r="R4845" t="s">
        <v>248</v>
      </c>
      <c r="S4845">
        <v>149.474401</v>
      </c>
      <c r="T4845" s="1095">
        <v>-33.820796999999999</v>
      </c>
    </row>
    <row r="4846" spans="16:20">
      <c r="P4846" s="1094">
        <v>2795</v>
      </c>
      <c r="Q4846" t="s">
        <v>5845</v>
      </c>
      <c r="R4846" t="s">
        <v>248</v>
      </c>
      <c r="S4846">
        <v>149.474401</v>
      </c>
      <c r="T4846" s="1095">
        <v>-33.820796999999999</v>
      </c>
    </row>
    <row r="4847" spans="16:20">
      <c r="P4847" s="1094">
        <v>2795</v>
      </c>
      <c r="Q4847" t="s">
        <v>3580</v>
      </c>
      <c r="R4847" t="s">
        <v>248</v>
      </c>
      <c r="S4847">
        <v>149.474401</v>
      </c>
      <c r="T4847" s="1095">
        <v>-33.820796999999999</v>
      </c>
    </row>
    <row r="4848" spans="16:20">
      <c r="P4848" s="1094">
        <v>2795</v>
      </c>
      <c r="Q4848" t="s">
        <v>5846</v>
      </c>
      <c r="R4848" t="s">
        <v>248</v>
      </c>
      <c r="S4848">
        <v>149.474401</v>
      </c>
      <c r="T4848" s="1095">
        <v>-33.820796999999999</v>
      </c>
    </row>
    <row r="4849" spans="16:20">
      <c r="P4849" s="1094">
        <v>2796</v>
      </c>
      <c r="Q4849" t="s">
        <v>5847</v>
      </c>
      <c r="R4849" t="s">
        <v>248</v>
      </c>
      <c r="S4849">
        <v>0</v>
      </c>
      <c r="T4849" s="1095">
        <v>0</v>
      </c>
    </row>
    <row r="4850" spans="16:20">
      <c r="P4850" s="1094">
        <v>2797</v>
      </c>
      <c r="Q4850" t="s">
        <v>5848</v>
      </c>
      <c r="R4850" t="s">
        <v>248</v>
      </c>
      <c r="S4850">
        <v>148.95252500000001</v>
      </c>
      <c r="T4850" s="1095">
        <v>-33.605124000000004</v>
      </c>
    </row>
    <row r="4851" spans="16:20">
      <c r="P4851" s="1094">
        <v>2797</v>
      </c>
      <c r="Q4851" t="s">
        <v>2962</v>
      </c>
      <c r="R4851" t="s">
        <v>248</v>
      </c>
      <c r="S4851">
        <v>148.95252500000001</v>
      </c>
      <c r="T4851" s="1095">
        <v>-33.605124000000004</v>
      </c>
    </row>
    <row r="4852" spans="16:20">
      <c r="P4852" s="1094">
        <v>2798</v>
      </c>
      <c r="Q4852" t="s">
        <v>5849</v>
      </c>
      <c r="R4852" t="s">
        <v>248</v>
      </c>
      <c r="S4852">
        <v>149.15875500000001</v>
      </c>
      <c r="T4852" s="1095">
        <v>-33.462192999999999</v>
      </c>
    </row>
    <row r="4853" spans="16:20">
      <c r="P4853" s="1094">
        <v>2798</v>
      </c>
      <c r="Q4853" t="s">
        <v>5850</v>
      </c>
      <c r="R4853" t="s">
        <v>248</v>
      </c>
      <c r="S4853">
        <v>149.15875500000001</v>
      </c>
      <c r="T4853" s="1095">
        <v>-33.462192999999999</v>
      </c>
    </row>
    <row r="4854" spans="16:20">
      <c r="P4854" s="1094">
        <v>2798</v>
      </c>
      <c r="Q4854" t="s">
        <v>5851</v>
      </c>
      <c r="R4854" t="s">
        <v>248</v>
      </c>
      <c r="S4854">
        <v>149.15875500000001</v>
      </c>
      <c r="T4854" s="1095">
        <v>-33.462192999999999</v>
      </c>
    </row>
    <row r="4855" spans="16:20">
      <c r="P4855" s="1094">
        <v>2798</v>
      </c>
      <c r="Q4855" t="s">
        <v>5852</v>
      </c>
      <c r="R4855" t="s">
        <v>248</v>
      </c>
      <c r="S4855">
        <v>149.15875500000001</v>
      </c>
      <c r="T4855" s="1095">
        <v>-33.462192999999999</v>
      </c>
    </row>
    <row r="4856" spans="16:20">
      <c r="P4856" s="1094">
        <v>2798</v>
      </c>
      <c r="Q4856" t="s">
        <v>5853</v>
      </c>
      <c r="R4856" t="s">
        <v>248</v>
      </c>
      <c r="S4856">
        <v>149.15875500000001</v>
      </c>
      <c r="T4856" s="1095">
        <v>-33.462192999999999</v>
      </c>
    </row>
    <row r="4857" spans="16:20">
      <c r="P4857" s="1094">
        <v>2798</v>
      </c>
      <c r="Q4857" t="s">
        <v>5854</v>
      </c>
      <c r="R4857" t="s">
        <v>248</v>
      </c>
      <c r="S4857">
        <v>149.15875500000001</v>
      </c>
      <c r="T4857" s="1095">
        <v>-33.462192999999999</v>
      </c>
    </row>
    <row r="4858" spans="16:20">
      <c r="P4858" s="1094">
        <v>2798</v>
      </c>
      <c r="Q4858" t="s">
        <v>5855</v>
      </c>
      <c r="R4858" t="s">
        <v>248</v>
      </c>
      <c r="S4858">
        <v>149.15875500000001</v>
      </c>
      <c r="T4858" s="1095">
        <v>-33.462192999999999</v>
      </c>
    </row>
    <row r="4859" spans="16:20">
      <c r="P4859" s="1094">
        <v>2798</v>
      </c>
      <c r="Q4859" t="s">
        <v>5856</v>
      </c>
      <c r="R4859" t="s">
        <v>248</v>
      </c>
      <c r="S4859">
        <v>149.15875500000001</v>
      </c>
      <c r="T4859" s="1095">
        <v>-33.462192999999999</v>
      </c>
    </row>
    <row r="4860" spans="16:20">
      <c r="P4860" s="1094">
        <v>2799</v>
      </c>
      <c r="Q4860" t="s">
        <v>5857</v>
      </c>
      <c r="R4860" t="s">
        <v>248</v>
      </c>
      <c r="S4860">
        <v>149.26766599999999</v>
      </c>
      <c r="T4860" s="1095">
        <v>-33.571334999999998</v>
      </c>
    </row>
    <row r="4861" spans="16:20">
      <c r="P4861" s="1094">
        <v>2799</v>
      </c>
      <c r="Q4861" t="s">
        <v>5858</v>
      </c>
      <c r="R4861" t="s">
        <v>248</v>
      </c>
      <c r="S4861">
        <v>149.26766599999999</v>
      </c>
      <c r="T4861" s="1095">
        <v>-33.571334999999998</v>
      </c>
    </row>
    <row r="4862" spans="16:20">
      <c r="P4862" s="1094">
        <v>2799</v>
      </c>
      <c r="Q4862" t="s">
        <v>5859</v>
      </c>
      <c r="R4862" t="s">
        <v>248</v>
      </c>
      <c r="S4862">
        <v>149.26766599999999</v>
      </c>
      <c r="T4862" s="1095">
        <v>-33.571334999999998</v>
      </c>
    </row>
    <row r="4863" spans="16:20">
      <c r="P4863" s="1094">
        <v>2799</v>
      </c>
      <c r="Q4863" t="s">
        <v>5860</v>
      </c>
      <c r="R4863" t="s">
        <v>248</v>
      </c>
      <c r="S4863">
        <v>149.26766599999999</v>
      </c>
      <c r="T4863" s="1095">
        <v>-33.571334999999998</v>
      </c>
    </row>
    <row r="4864" spans="16:20">
      <c r="P4864" s="1094">
        <v>2799</v>
      </c>
      <c r="Q4864" t="s">
        <v>3029</v>
      </c>
      <c r="R4864" t="s">
        <v>248</v>
      </c>
      <c r="S4864">
        <v>149.26766599999999</v>
      </c>
      <c r="T4864" s="1095">
        <v>-33.571334999999998</v>
      </c>
    </row>
    <row r="4865" spans="16:20">
      <c r="P4865" s="1094">
        <v>2799</v>
      </c>
      <c r="Q4865" t="s">
        <v>5861</v>
      </c>
      <c r="R4865" t="s">
        <v>248</v>
      </c>
      <c r="S4865">
        <v>149.26766599999999</v>
      </c>
      <c r="T4865" s="1095">
        <v>-33.571334999999998</v>
      </c>
    </row>
    <row r="4866" spans="16:20">
      <c r="P4866" s="1094">
        <v>2799</v>
      </c>
      <c r="Q4866" t="s">
        <v>5862</v>
      </c>
      <c r="R4866" t="s">
        <v>248</v>
      </c>
      <c r="S4866">
        <v>149.26766599999999</v>
      </c>
      <c r="T4866" s="1095">
        <v>-33.571334999999998</v>
      </c>
    </row>
    <row r="4867" spans="16:20">
      <c r="P4867" s="1094">
        <v>2800</v>
      </c>
      <c r="Q4867" t="s">
        <v>5863</v>
      </c>
      <c r="R4867" t="s">
        <v>248</v>
      </c>
      <c r="S4867">
        <v>149.116263</v>
      </c>
      <c r="T4867" s="1095">
        <v>-33.233929000000003</v>
      </c>
    </row>
    <row r="4868" spans="16:20">
      <c r="P4868" s="1094">
        <v>2800</v>
      </c>
      <c r="Q4868" t="s">
        <v>5864</v>
      </c>
      <c r="R4868" t="s">
        <v>248</v>
      </c>
      <c r="S4868">
        <v>149.116263</v>
      </c>
      <c r="T4868" s="1095">
        <v>-33.233929000000003</v>
      </c>
    </row>
    <row r="4869" spans="16:20">
      <c r="P4869" s="1094">
        <v>2800</v>
      </c>
      <c r="Q4869" t="s">
        <v>5865</v>
      </c>
      <c r="R4869" t="s">
        <v>248</v>
      </c>
      <c r="S4869">
        <v>149.116263</v>
      </c>
      <c r="T4869" s="1095">
        <v>-33.233929000000003</v>
      </c>
    </row>
    <row r="4870" spans="16:20">
      <c r="P4870" s="1094">
        <v>2800</v>
      </c>
      <c r="Q4870" t="s">
        <v>5866</v>
      </c>
      <c r="R4870" t="s">
        <v>248</v>
      </c>
      <c r="S4870">
        <v>149.116263</v>
      </c>
      <c r="T4870" s="1095">
        <v>-33.233929000000003</v>
      </c>
    </row>
    <row r="4871" spans="16:20">
      <c r="P4871" s="1094">
        <v>2800</v>
      </c>
      <c r="Q4871" t="s">
        <v>5867</v>
      </c>
      <c r="R4871" t="s">
        <v>248</v>
      </c>
      <c r="S4871">
        <v>149.116263</v>
      </c>
      <c r="T4871" s="1095">
        <v>-33.233929000000003</v>
      </c>
    </row>
    <row r="4872" spans="16:20">
      <c r="P4872" s="1094">
        <v>2800</v>
      </c>
      <c r="Q4872" t="s">
        <v>5868</v>
      </c>
      <c r="R4872" t="s">
        <v>248</v>
      </c>
      <c r="S4872">
        <v>149.116263</v>
      </c>
      <c r="T4872" s="1095">
        <v>-33.233929000000003</v>
      </c>
    </row>
    <row r="4873" spans="16:20">
      <c r="P4873" s="1094">
        <v>2800</v>
      </c>
      <c r="Q4873" t="s">
        <v>5869</v>
      </c>
      <c r="R4873" t="s">
        <v>248</v>
      </c>
      <c r="S4873">
        <v>149.116263</v>
      </c>
      <c r="T4873" s="1095">
        <v>-33.233929000000003</v>
      </c>
    </row>
    <row r="4874" spans="16:20">
      <c r="P4874" s="1094">
        <v>2800</v>
      </c>
      <c r="Q4874" t="s">
        <v>5870</v>
      </c>
      <c r="R4874" t="s">
        <v>248</v>
      </c>
      <c r="S4874">
        <v>149.116263</v>
      </c>
      <c r="T4874" s="1095">
        <v>-33.233929000000003</v>
      </c>
    </row>
    <row r="4875" spans="16:20">
      <c r="P4875" s="1094">
        <v>2800</v>
      </c>
      <c r="Q4875" t="s">
        <v>5871</v>
      </c>
      <c r="R4875" t="s">
        <v>248</v>
      </c>
      <c r="S4875">
        <v>149.116263</v>
      </c>
      <c r="T4875" s="1095">
        <v>-33.233929000000003</v>
      </c>
    </row>
    <row r="4876" spans="16:20">
      <c r="P4876" s="1094">
        <v>2800</v>
      </c>
      <c r="Q4876" t="s">
        <v>5872</v>
      </c>
      <c r="R4876" t="s">
        <v>248</v>
      </c>
      <c r="S4876">
        <v>149.116263</v>
      </c>
      <c r="T4876" s="1095">
        <v>-33.233929000000003</v>
      </c>
    </row>
    <row r="4877" spans="16:20">
      <c r="P4877" s="1094">
        <v>2800</v>
      </c>
      <c r="Q4877" t="s">
        <v>5873</v>
      </c>
      <c r="R4877" t="s">
        <v>248</v>
      </c>
      <c r="S4877">
        <v>149.116263</v>
      </c>
      <c r="T4877" s="1095">
        <v>-33.233929000000003</v>
      </c>
    </row>
    <row r="4878" spans="16:20">
      <c r="P4878" s="1094">
        <v>2800</v>
      </c>
      <c r="Q4878" t="s">
        <v>5874</v>
      </c>
      <c r="R4878" t="s">
        <v>248</v>
      </c>
      <c r="S4878">
        <v>149.116263</v>
      </c>
      <c r="T4878" s="1095">
        <v>-33.233929000000003</v>
      </c>
    </row>
    <row r="4879" spans="16:20">
      <c r="P4879" s="1094">
        <v>2800</v>
      </c>
      <c r="Q4879" t="s">
        <v>5875</v>
      </c>
      <c r="R4879" t="s">
        <v>248</v>
      </c>
      <c r="S4879">
        <v>149.116263</v>
      </c>
      <c r="T4879" s="1095">
        <v>-33.233929000000003</v>
      </c>
    </row>
    <row r="4880" spans="16:20">
      <c r="P4880" s="1094">
        <v>2800</v>
      </c>
      <c r="Q4880" t="s">
        <v>5876</v>
      </c>
      <c r="R4880" t="s">
        <v>248</v>
      </c>
      <c r="S4880">
        <v>149.116263</v>
      </c>
      <c r="T4880" s="1095">
        <v>-33.233929000000003</v>
      </c>
    </row>
    <row r="4881" spans="16:20">
      <c r="P4881" s="1094">
        <v>2800</v>
      </c>
      <c r="Q4881" t="s">
        <v>5877</v>
      </c>
      <c r="R4881" t="s">
        <v>248</v>
      </c>
      <c r="S4881">
        <v>149.116263</v>
      </c>
      <c r="T4881" s="1095">
        <v>-33.233929000000003</v>
      </c>
    </row>
    <row r="4882" spans="16:20">
      <c r="P4882" s="1094">
        <v>2800</v>
      </c>
      <c r="Q4882" t="s">
        <v>5878</v>
      </c>
      <c r="R4882" t="s">
        <v>248</v>
      </c>
      <c r="S4882">
        <v>149.116263</v>
      </c>
      <c r="T4882" s="1095">
        <v>-33.233929000000003</v>
      </c>
    </row>
    <row r="4883" spans="16:20">
      <c r="P4883" s="1094">
        <v>2800</v>
      </c>
      <c r="Q4883" t="s">
        <v>5879</v>
      </c>
      <c r="R4883" t="s">
        <v>248</v>
      </c>
      <c r="S4883">
        <v>149.116263</v>
      </c>
      <c r="T4883" s="1095">
        <v>-33.233929000000003</v>
      </c>
    </row>
    <row r="4884" spans="16:20">
      <c r="P4884" s="1094">
        <v>2800</v>
      </c>
      <c r="Q4884" t="s">
        <v>5880</v>
      </c>
      <c r="R4884" t="s">
        <v>248</v>
      </c>
      <c r="S4884">
        <v>149.116263</v>
      </c>
      <c r="T4884" s="1095">
        <v>-33.233929000000003</v>
      </c>
    </row>
    <row r="4885" spans="16:20">
      <c r="P4885" s="1094">
        <v>2800</v>
      </c>
      <c r="Q4885" t="s">
        <v>5881</v>
      </c>
      <c r="R4885" t="s">
        <v>248</v>
      </c>
      <c r="S4885">
        <v>149.116263</v>
      </c>
      <c r="T4885" s="1095">
        <v>-33.233929000000003</v>
      </c>
    </row>
    <row r="4886" spans="16:20">
      <c r="P4886" s="1094">
        <v>2800</v>
      </c>
      <c r="Q4886" t="s">
        <v>5882</v>
      </c>
      <c r="R4886" t="s">
        <v>248</v>
      </c>
      <c r="S4886">
        <v>149.116263</v>
      </c>
      <c r="T4886" s="1095">
        <v>-33.233929000000003</v>
      </c>
    </row>
    <row r="4887" spans="16:20">
      <c r="P4887" s="1094">
        <v>2800</v>
      </c>
      <c r="Q4887" t="s">
        <v>5883</v>
      </c>
      <c r="R4887" t="s">
        <v>248</v>
      </c>
      <c r="S4887">
        <v>149.116263</v>
      </c>
      <c r="T4887" s="1095">
        <v>-33.233929000000003</v>
      </c>
    </row>
    <row r="4888" spans="16:20">
      <c r="P4888" s="1094">
        <v>2800</v>
      </c>
      <c r="Q4888" t="s">
        <v>2764</v>
      </c>
      <c r="R4888" t="s">
        <v>248</v>
      </c>
      <c r="S4888">
        <v>149.116263</v>
      </c>
      <c r="T4888" s="1095">
        <v>-33.233929000000003</v>
      </c>
    </row>
    <row r="4889" spans="16:20">
      <c r="P4889" s="1094">
        <v>2800</v>
      </c>
      <c r="Q4889" t="s">
        <v>5884</v>
      </c>
      <c r="R4889" t="s">
        <v>248</v>
      </c>
      <c r="S4889">
        <v>149.116263</v>
      </c>
      <c r="T4889" s="1095">
        <v>-33.233929000000003</v>
      </c>
    </row>
    <row r="4890" spans="16:20">
      <c r="P4890" s="1094">
        <v>2800</v>
      </c>
      <c r="Q4890" t="s">
        <v>5885</v>
      </c>
      <c r="R4890" t="s">
        <v>248</v>
      </c>
      <c r="S4890">
        <v>149.116263</v>
      </c>
      <c r="T4890" s="1095">
        <v>-33.233929000000003</v>
      </c>
    </row>
    <row r="4891" spans="16:20">
      <c r="P4891" s="1094">
        <v>2800</v>
      </c>
      <c r="Q4891" t="s">
        <v>5886</v>
      </c>
      <c r="R4891" t="s">
        <v>248</v>
      </c>
      <c r="S4891">
        <v>149.116263</v>
      </c>
      <c r="T4891" s="1095">
        <v>-33.233929000000003</v>
      </c>
    </row>
    <row r="4892" spans="16:20">
      <c r="P4892" s="1094">
        <v>2800</v>
      </c>
      <c r="Q4892" t="s">
        <v>5887</v>
      </c>
      <c r="R4892" t="s">
        <v>248</v>
      </c>
      <c r="S4892">
        <v>149.116263</v>
      </c>
      <c r="T4892" s="1095">
        <v>-33.233929000000003</v>
      </c>
    </row>
    <row r="4893" spans="16:20">
      <c r="P4893" s="1094">
        <v>2800</v>
      </c>
      <c r="Q4893" t="s">
        <v>5888</v>
      </c>
      <c r="R4893" t="s">
        <v>248</v>
      </c>
      <c r="S4893">
        <v>149.116263</v>
      </c>
      <c r="T4893" s="1095">
        <v>-33.233929000000003</v>
      </c>
    </row>
    <row r="4894" spans="16:20">
      <c r="P4894" s="1094">
        <v>2800</v>
      </c>
      <c r="Q4894" t="s">
        <v>5889</v>
      </c>
      <c r="R4894" t="s">
        <v>248</v>
      </c>
      <c r="S4894">
        <v>149.116263</v>
      </c>
      <c r="T4894" s="1095">
        <v>-33.233929000000003</v>
      </c>
    </row>
    <row r="4895" spans="16:20">
      <c r="P4895" s="1094">
        <v>2800</v>
      </c>
      <c r="Q4895" t="s">
        <v>5890</v>
      </c>
      <c r="R4895" t="s">
        <v>248</v>
      </c>
      <c r="S4895">
        <v>149.116263</v>
      </c>
      <c r="T4895" s="1095">
        <v>-33.233929000000003</v>
      </c>
    </row>
    <row r="4896" spans="16:20">
      <c r="P4896" s="1094">
        <v>2800</v>
      </c>
      <c r="Q4896" t="s">
        <v>5891</v>
      </c>
      <c r="R4896" t="s">
        <v>248</v>
      </c>
      <c r="S4896">
        <v>149.116263</v>
      </c>
      <c r="T4896" s="1095">
        <v>-33.233929000000003</v>
      </c>
    </row>
    <row r="4897" spans="16:20">
      <c r="P4897" s="1094">
        <v>2800</v>
      </c>
      <c r="Q4897" t="s">
        <v>5892</v>
      </c>
      <c r="R4897" t="s">
        <v>248</v>
      </c>
      <c r="S4897">
        <v>149.116263</v>
      </c>
      <c r="T4897" s="1095">
        <v>-33.233929000000003</v>
      </c>
    </row>
    <row r="4898" spans="16:20">
      <c r="P4898" s="1094">
        <v>2800</v>
      </c>
      <c r="Q4898" t="s">
        <v>5893</v>
      </c>
      <c r="R4898" t="s">
        <v>248</v>
      </c>
      <c r="S4898">
        <v>149.116263</v>
      </c>
      <c r="T4898" s="1095">
        <v>-33.233929000000003</v>
      </c>
    </row>
    <row r="4899" spans="16:20">
      <c r="P4899" s="1094">
        <v>2800</v>
      </c>
      <c r="Q4899" t="s">
        <v>5894</v>
      </c>
      <c r="R4899" t="s">
        <v>248</v>
      </c>
      <c r="S4899">
        <v>149.116263</v>
      </c>
      <c r="T4899" s="1095">
        <v>-33.233929000000003</v>
      </c>
    </row>
    <row r="4900" spans="16:20">
      <c r="P4900" s="1094">
        <v>2800</v>
      </c>
      <c r="Q4900" t="s">
        <v>5895</v>
      </c>
      <c r="R4900" t="s">
        <v>248</v>
      </c>
      <c r="S4900">
        <v>149.116263</v>
      </c>
      <c r="T4900" s="1095">
        <v>-33.233929000000003</v>
      </c>
    </row>
    <row r="4901" spans="16:20">
      <c r="P4901" s="1094">
        <v>2800</v>
      </c>
      <c r="Q4901" t="s">
        <v>5896</v>
      </c>
      <c r="R4901" t="s">
        <v>248</v>
      </c>
      <c r="S4901">
        <v>149.116263</v>
      </c>
      <c r="T4901" s="1095">
        <v>-33.233929000000003</v>
      </c>
    </row>
    <row r="4902" spans="16:20">
      <c r="P4902" s="1094">
        <v>2800</v>
      </c>
      <c r="Q4902" t="s">
        <v>5897</v>
      </c>
      <c r="R4902" t="s">
        <v>248</v>
      </c>
      <c r="S4902">
        <v>149.116263</v>
      </c>
      <c r="T4902" s="1095">
        <v>-33.233929000000003</v>
      </c>
    </row>
    <row r="4903" spans="16:20">
      <c r="P4903" s="1094">
        <v>2800</v>
      </c>
      <c r="Q4903" t="s">
        <v>5898</v>
      </c>
      <c r="R4903" t="s">
        <v>248</v>
      </c>
      <c r="S4903">
        <v>149.116263</v>
      </c>
      <c r="T4903" s="1095">
        <v>-33.233929000000003</v>
      </c>
    </row>
    <row r="4904" spans="16:20">
      <c r="P4904" s="1094">
        <v>2800</v>
      </c>
      <c r="Q4904" t="s">
        <v>5899</v>
      </c>
      <c r="R4904" t="s">
        <v>248</v>
      </c>
      <c r="S4904">
        <v>149.116263</v>
      </c>
      <c r="T4904" s="1095">
        <v>-33.233929000000003</v>
      </c>
    </row>
    <row r="4905" spans="16:20">
      <c r="P4905" s="1094">
        <v>2800</v>
      </c>
      <c r="Q4905" t="s">
        <v>5900</v>
      </c>
      <c r="R4905" t="s">
        <v>248</v>
      </c>
      <c r="S4905">
        <v>149.116263</v>
      </c>
      <c r="T4905" s="1095">
        <v>-33.233929000000003</v>
      </c>
    </row>
    <row r="4906" spans="16:20">
      <c r="P4906" s="1094">
        <v>2800</v>
      </c>
      <c r="Q4906" t="s">
        <v>2005</v>
      </c>
      <c r="R4906" t="s">
        <v>248</v>
      </c>
      <c r="S4906">
        <v>149.116263</v>
      </c>
      <c r="T4906" s="1095">
        <v>-33.233929000000003</v>
      </c>
    </row>
    <row r="4907" spans="16:20">
      <c r="P4907" s="1094">
        <v>2800</v>
      </c>
      <c r="Q4907" t="s">
        <v>5901</v>
      </c>
      <c r="R4907" t="s">
        <v>248</v>
      </c>
      <c r="S4907">
        <v>149.116263</v>
      </c>
      <c r="T4907" s="1095">
        <v>-33.233929000000003</v>
      </c>
    </row>
    <row r="4908" spans="16:20">
      <c r="P4908" s="1094">
        <v>2800</v>
      </c>
      <c r="Q4908" t="s">
        <v>5902</v>
      </c>
      <c r="R4908" t="s">
        <v>248</v>
      </c>
      <c r="S4908">
        <v>149.116263</v>
      </c>
      <c r="T4908" s="1095">
        <v>-33.233929000000003</v>
      </c>
    </row>
    <row r="4909" spans="16:20">
      <c r="P4909" s="1094">
        <v>2803</v>
      </c>
      <c r="Q4909" t="s">
        <v>5903</v>
      </c>
      <c r="R4909" t="s">
        <v>248</v>
      </c>
      <c r="S4909">
        <v>148.52370400000001</v>
      </c>
      <c r="T4909" s="1095">
        <v>-34.176730999999997</v>
      </c>
    </row>
    <row r="4910" spans="16:20">
      <c r="P4910" s="1094">
        <v>2803</v>
      </c>
      <c r="Q4910" t="s">
        <v>5904</v>
      </c>
      <c r="R4910" t="s">
        <v>248</v>
      </c>
      <c r="S4910">
        <v>148.52370400000001</v>
      </c>
      <c r="T4910" s="1095">
        <v>-34.176730999999997</v>
      </c>
    </row>
    <row r="4911" spans="16:20">
      <c r="P4911" s="1094">
        <v>2803</v>
      </c>
      <c r="Q4911" t="s">
        <v>5905</v>
      </c>
      <c r="R4911" t="s">
        <v>248</v>
      </c>
      <c r="S4911">
        <v>148.52370400000001</v>
      </c>
      <c r="T4911" s="1095">
        <v>-34.176730999999997</v>
      </c>
    </row>
    <row r="4912" spans="16:20">
      <c r="P4912" s="1094">
        <v>2804</v>
      </c>
      <c r="Q4912" t="s">
        <v>5906</v>
      </c>
      <c r="R4912" t="s">
        <v>248</v>
      </c>
      <c r="S4912">
        <v>148.63399100000001</v>
      </c>
      <c r="T4912" s="1095">
        <v>-33.539563999999999</v>
      </c>
    </row>
    <row r="4913" spans="16:20">
      <c r="P4913" s="1094">
        <v>2804</v>
      </c>
      <c r="Q4913" t="s">
        <v>5907</v>
      </c>
      <c r="R4913" t="s">
        <v>248</v>
      </c>
      <c r="S4913">
        <v>148.63399100000001</v>
      </c>
      <c r="T4913" s="1095">
        <v>-33.539563999999999</v>
      </c>
    </row>
    <row r="4914" spans="16:20">
      <c r="P4914" s="1094">
        <v>2804</v>
      </c>
      <c r="Q4914" t="s">
        <v>5908</v>
      </c>
      <c r="R4914" t="s">
        <v>248</v>
      </c>
      <c r="S4914">
        <v>148.63399100000001</v>
      </c>
      <c r="T4914" s="1095">
        <v>-33.539563999999999</v>
      </c>
    </row>
    <row r="4915" spans="16:20">
      <c r="P4915" s="1094">
        <v>2804</v>
      </c>
      <c r="Q4915" t="s">
        <v>5909</v>
      </c>
      <c r="R4915" t="s">
        <v>248</v>
      </c>
      <c r="S4915">
        <v>148.63399100000001</v>
      </c>
      <c r="T4915" s="1095">
        <v>-33.539563999999999</v>
      </c>
    </row>
    <row r="4916" spans="16:20">
      <c r="P4916" s="1094">
        <v>2804</v>
      </c>
      <c r="Q4916" t="s">
        <v>5910</v>
      </c>
      <c r="R4916" t="s">
        <v>248</v>
      </c>
      <c r="S4916">
        <v>148.63399100000001</v>
      </c>
      <c r="T4916" s="1095">
        <v>-33.539563999999999</v>
      </c>
    </row>
    <row r="4917" spans="16:20">
      <c r="P4917" s="1094">
        <v>2805</v>
      </c>
      <c r="Q4917" t="s">
        <v>5911</v>
      </c>
      <c r="R4917" t="s">
        <v>248</v>
      </c>
      <c r="S4917">
        <v>148.42003099999999</v>
      </c>
      <c r="T4917" s="1095">
        <v>-33.649909999999998</v>
      </c>
    </row>
    <row r="4918" spans="16:20">
      <c r="P4918" s="1094">
        <v>2806</v>
      </c>
      <c r="Q4918" t="s">
        <v>5912</v>
      </c>
      <c r="R4918" t="s">
        <v>248</v>
      </c>
      <c r="S4918">
        <v>148.37557699999999</v>
      </c>
      <c r="T4918" s="1095">
        <v>-33.375562000000002</v>
      </c>
    </row>
    <row r="4919" spans="16:20">
      <c r="P4919" s="1094">
        <v>2806</v>
      </c>
      <c r="Q4919" t="s">
        <v>5913</v>
      </c>
      <c r="R4919" t="s">
        <v>248</v>
      </c>
      <c r="S4919">
        <v>148.37557699999999</v>
      </c>
      <c r="T4919" s="1095">
        <v>-33.375562000000002</v>
      </c>
    </row>
    <row r="4920" spans="16:20">
      <c r="P4920" s="1094">
        <v>2806</v>
      </c>
      <c r="Q4920" t="s">
        <v>5914</v>
      </c>
      <c r="R4920" t="s">
        <v>248</v>
      </c>
      <c r="S4920">
        <v>148.37557699999999</v>
      </c>
      <c r="T4920" s="1095">
        <v>-33.375562000000002</v>
      </c>
    </row>
    <row r="4921" spans="16:20">
      <c r="P4921" s="1094">
        <v>2807</v>
      </c>
      <c r="Q4921" t="s">
        <v>5915</v>
      </c>
      <c r="R4921" t="s">
        <v>248</v>
      </c>
      <c r="S4921">
        <v>148.56216499999999</v>
      </c>
      <c r="T4921" s="1095">
        <v>-34.036493999999998</v>
      </c>
    </row>
    <row r="4922" spans="16:20">
      <c r="P4922" s="1094">
        <v>2808</v>
      </c>
      <c r="Q4922" t="s">
        <v>5916</v>
      </c>
      <c r="R4922" t="s">
        <v>248</v>
      </c>
      <c r="S4922">
        <v>149.02316999999999</v>
      </c>
      <c r="T4922" s="1095">
        <v>-33.976987000000001</v>
      </c>
    </row>
    <row r="4923" spans="16:20">
      <c r="P4923" s="1094">
        <v>2809</v>
      </c>
      <c r="Q4923" t="s">
        <v>5917</v>
      </c>
      <c r="R4923" t="s">
        <v>248</v>
      </c>
      <c r="S4923">
        <v>148.43231599999999</v>
      </c>
      <c r="T4923" s="1095">
        <v>-33.972859</v>
      </c>
    </row>
    <row r="4924" spans="16:20">
      <c r="P4924" s="1094">
        <v>2810</v>
      </c>
      <c r="Q4924" t="s">
        <v>5918</v>
      </c>
      <c r="R4924" t="s">
        <v>248</v>
      </c>
      <c r="S4924">
        <v>148.054607</v>
      </c>
      <c r="T4924" s="1095">
        <v>-33.902869000000003</v>
      </c>
    </row>
    <row r="4925" spans="16:20">
      <c r="P4925" s="1094">
        <v>2810</v>
      </c>
      <c r="Q4925" t="s">
        <v>5919</v>
      </c>
      <c r="R4925" t="s">
        <v>248</v>
      </c>
      <c r="S4925">
        <v>148.054607</v>
      </c>
      <c r="T4925" s="1095">
        <v>-33.902869000000003</v>
      </c>
    </row>
    <row r="4926" spans="16:20">
      <c r="P4926" s="1094">
        <v>2810</v>
      </c>
      <c r="Q4926" t="s">
        <v>5920</v>
      </c>
      <c r="R4926" t="s">
        <v>248</v>
      </c>
      <c r="S4926">
        <v>148.054607</v>
      </c>
      <c r="T4926" s="1095">
        <v>-33.902869000000003</v>
      </c>
    </row>
    <row r="4927" spans="16:20">
      <c r="P4927" s="1094">
        <v>2810</v>
      </c>
      <c r="Q4927" t="s">
        <v>5921</v>
      </c>
      <c r="R4927" t="s">
        <v>248</v>
      </c>
      <c r="S4927">
        <v>148.054607</v>
      </c>
      <c r="T4927" s="1095">
        <v>-33.902869000000003</v>
      </c>
    </row>
    <row r="4928" spans="16:20">
      <c r="P4928" s="1094">
        <v>2810</v>
      </c>
      <c r="Q4928" t="s">
        <v>5922</v>
      </c>
      <c r="R4928" t="s">
        <v>248</v>
      </c>
      <c r="S4928">
        <v>148.054607</v>
      </c>
      <c r="T4928" s="1095">
        <v>-33.902869000000003</v>
      </c>
    </row>
    <row r="4929" spans="16:20">
      <c r="P4929" s="1094">
        <v>2810</v>
      </c>
      <c r="Q4929" t="s">
        <v>5895</v>
      </c>
      <c r="R4929" t="s">
        <v>248</v>
      </c>
      <c r="S4929">
        <v>148.054607</v>
      </c>
      <c r="T4929" s="1095">
        <v>-33.902869000000003</v>
      </c>
    </row>
    <row r="4930" spans="16:20">
      <c r="P4930" s="1094">
        <v>2810</v>
      </c>
      <c r="Q4930" t="s">
        <v>5923</v>
      </c>
      <c r="R4930" t="s">
        <v>248</v>
      </c>
      <c r="S4930">
        <v>148.054607</v>
      </c>
      <c r="T4930" s="1095">
        <v>-33.902869000000003</v>
      </c>
    </row>
    <row r="4931" spans="16:20">
      <c r="P4931" s="1094">
        <v>2810</v>
      </c>
      <c r="Q4931" t="s">
        <v>5924</v>
      </c>
      <c r="R4931" t="s">
        <v>248</v>
      </c>
      <c r="S4931">
        <v>148.054607</v>
      </c>
      <c r="T4931" s="1095">
        <v>-33.902869000000003</v>
      </c>
    </row>
    <row r="4932" spans="16:20">
      <c r="P4932" s="1094">
        <v>2820</v>
      </c>
      <c r="Q4932" t="s">
        <v>5925</v>
      </c>
      <c r="R4932" t="s">
        <v>248</v>
      </c>
      <c r="S4932">
        <v>148.989227</v>
      </c>
      <c r="T4932" s="1095">
        <v>-32.553282000000003</v>
      </c>
    </row>
    <row r="4933" spans="16:20">
      <c r="P4933" s="1094">
        <v>2820</v>
      </c>
      <c r="Q4933" t="s">
        <v>5926</v>
      </c>
      <c r="R4933" t="s">
        <v>248</v>
      </c>
      <c r="S4933">
        <v>148.989227</v>
      </c>
      <c r="T4933" s="1095">
        <v>-32.553282000000003</v>
      </c>
    </row>
    <row r="4934" spans="16:20">
      <c r="P4934" s="1094">
        <v>2820</v>
      </c>
      <c r="Q4934" t="s">
        <v>5927</v>
      </c>
      <c r="R4934" t="s">
        <v>248</v>
      </c>
      <c r="S4934">
        <v>148.989227</v>
      </c>
      <c r="T4934" s="1095">
        <v>-32.553282000000003</v>
      </c>
    </row>
    <row r="4935" spans="16:20">
      <c r="P4935" s="1094">
        <v>2820</v>
      </c>
      <c r="Q4935" t="s">
        <v>5928</v>
      </c>
      <c r="R4935" t="s">
        <v>248</v>
      </c>
      <c r="S4935">
        <v>148.989227</v>
      </c>
      <c r="T4935" s="1095">
        <v>-32.553282000000003</v>
      </c>
    </row>
    <row r="4936" spans="16:20">
      <c r="P4936" s="1094">
        <v>2820</v>
      </c>
      <c r="Q4936" t="s">
        <v>5929</v>
      </c>
      <c r="R4936" t="s">
        <v>248</v>
      </c>
      <c r="S4936">
        <v>148.989227</v>
      </c>
      <c r="T4936" s="1095">
        <v>-32.553282000000003</v>
      </c>
    </row>
    <row r="4937" spans="16:20">
      <c r="P4937" s="1094">
        <v>2820</v>
      </c>
      <c r="Q4937" t="s">
        <v>5930</v>
      </c>
      <c r="R4937" t="s">
        <v>248</v>
      </c>
      <c r="S4937">
        <v>148.989227</v>
      </c>
      <c r="T4937" s="1095">
        <v>-32.553282000000003</v>
      </c>
    </row>
    <row r="4938" spans="16:20">
      <c r="P4938" s="1094">
        <v>2820</v>
      </c>
      <c r="Q4938" t="s">
        <v>5931</v>
      </c>
      <c r="R4938" t="s">
        <v>248</v>
      </c>
      <c r="S4938">
        <v>148.989227</v>
      </c>
      <c r="T4938" s="1095">
        <v>-32.553282000000003</v>
      </c>
    </row>
    <row r="4939" spans="16:20">
      <c r="P4939" s="1094">
        <v>2820</v>
      </c>
      <c r="Q4939" t="s">
        <v>5932</v>
      </c>
      <c r="R4939" t="s">
        <v>248</v>
      </c>
      <c r="S4939">
        <v>148.989227</v>
      </c>
      <c r="T4939" s="1095">
        <v>-32.553282000000003</v>
      </c>
    </row>
    <row r="4940" spans="16:20">
      <c r="P4940" s="1094">
        <v>2820</v>
      </c>
      <c r="Q4940" t="s">
        <v>5933</v>
      </c>
      <c r="R4940" t="s">
        <v>248</v>
      </c>
      <c r="S4940">
        <v>148.989227</v>
      </c>
      <c r="T4940" s="1095">
        <v>-32.553282000000003</v>
      </c>
    </row>
    <row r="4941" spans="16:20">
      <c r="P4941" s="1094">
        <v>2820</v>
      </c>
      <c r="Q4941" t="s">
        <v>5934</v>
      </c>
      <c r="R4941" t="s">
        <v>248</v>
      </c>
      <c r="S4941">
        <v>148.989227</v>
      </c>
      <c r="T4941" s="1095">
        <v>-32.553282000000003</v>
      </c>
    </row>
    <row r="4942" spans="16:20">
      <c r="P4942" s="1094">
        <v>2820</v>
      </c>
      <c r="Q4942" t="s">
        <v>5935</v>
      </c>
      <c r="R4942" t="s">
        <v>248</v>
      </c>
      <c r="S4942">
        <v>148.989227</v>
      </c>
      <c r="T4942" s="1095">
        <v>-32.553282000000003</v>
      </c>
    </row>
    <row r="4943" spans="16:20">
      <c r="P4943" s="1094">
        <v>2820</v>
      </c>
      <c r="Q4943" t="s">
        <v>5936</v>
      </c>
      <c r="R4943" t="s">
        <v>248</v>
      </c>
      <c r="S4943">
        <v>148.989227</v>
      </c>
      <c r="T4943" s="1095">
        <v>-32.553282000000003</v>
      </c>
    </row>
    <row r="4944" spans="16:20">
      <c r="P4944" s="1094">
        <v>2820</v>
      </c>
      <c r="Q4944" t="s">
        <v>5937</v>
      </c>
      <c r="R4944" t="s">
        <v>248</v>
      </c>
      <c r="S4944">
        <v>148.989227</v>
      </c>
      <c r="T4944" s="1095">
        <v>-32.553282000000003</v>
      </c>
    </row>
    <row r="4945" spans="16:20">
      <c r="P4945" s="1094">
        <v>2820</v>
      </c>
      <c r="Q4945" t="s">
        <v>5938</v>
      </c>
      <c r="R4945" t="s">
        <v>248</v>
      </c>
      <c r="S4945">
        <v>148.989227</v>
      </c>
      <c r="T4945" s="1095">
        <v>-32.553282000000003</v>
      </c>
    </row>
    <row r="4946" spans="16:20">
      <c r="P4946" s="1094">
        <v>2820</v>
      </c>
      <c r="Q4946" t="s">
        <v>5939</v>
      </c>
      <c r="R4946" t="s">
        <v>248</v>
      </c>
      <c r="S4946">
        <v>148.989227</v>
      </c>
      <c r="T4946" s="1095">
        <v>-32.553282000000003</v>
      </c>
    </row>
    <row r="4947" spans="16:20">
      <c r="P4947" s="1094">
        <v>2820</v>
      </c>
      <c r="Q4947" t="s">
        <v>5940</v>
      </c>
      <c r="R4947" t="s">
        <v>248</v>
      </c>
      <c r="S4947">
        <v>148.989227</v>
      </c>
      <c r="T4947" s="1095">
        <v>-32.553282000000003</v>
      </c>
    </row>
    <row r="4948" spans="16:20">
      <c r="P4948" s="1094">
        <v>2820</v>
      </c>
      <c r="Q4948" t="s">
        <v>5941</v>
      </c>
      <c r="R4948" t="s">
        <v>248</v>
      </c>
      <c r="S4948">
        <v>148.989227</v>
      </c>
      <c r="T4948" s="1095">
        <v>-32.553282000000003</v>
      </c>
    </row>
    <row r="4949" spans="16:20">
      <c r="P4949" s="1094">
        <v>2820</v>
      </c>
      <c r="Q4949" t="s">
        <v>5942</v>
      </c>
      <c r="R4949" t="s">
        <v>248</v>
      </c>
      <c r="S4949">
        <v>148.989227</v>
      </c>
      <c r="T4949" s="1095">
        <v>-32.553282000000003</v>
      </c>
    </row>
    <row r="4950" spans="16:20">
      <c r="P4950" s="1094">
        <v>2820</v>
      </c>
      <c r="Q4950" t="s">
        <v>5943</v>
      </c>
      <c r="R4950" t="s">
        <v>248</v>
      </c>
      <c r="S4950">
        <v>148.989227</v>
      </c>
      <c r="T4950" s="1095">
        <v>-32.553282000000003</v>
      </c>
    </row>
    <row r="4951" spans="16:20">
      <c r="P4951" s="1094">
        <v>2820</v>
      </c>
      <c r="Q4951" t="s">
        <v>5944</v>
      </c>
      <c r="R4951" t="s">
        <v>248</v>
      </c>
      <c r="S4951">
        <v>148.989227</v>
      </c>
      <c r="T4951" s="1095">
        <v>-32.553282000000003</v>
      </c>
    </row>
    <row r="4952" spans="16:20">
      <c r="P4952" s="1094">
        <v>2820</v>
      </c>
      <c r="Q4952" t="s">
        <v>5945</v>
      </c>
      <c r="R4952" t="s">
        <v>248</v>
      </c>
      <c r="S4952">
        <v>148.989227</v>
      </c>
      <c r="T4952" s="1095">
        <v>-32.553282000000003</v>
      </c>
    </row>
    <row r="4953" spans="16:20">
      <c r="P4953" s="1094">
        <v>2820</v>
      </c>
      <c r="Q4953" t="s">
        <v>5946</v>
      </c>
      <c r="R4953" t="s">
        <v>248</v>
      </c>
      <c r="S4953">
        <v>148.989227</v>
      </c>
      <c r="T4953" s="1095">
        <v>-32.553282000000003</v>
      </c>
    </row>
    <row r="4954" spans="16:20">
      <c r="P4954" s="1094">
        <v>2820</v>
      </c>
      <c r="Q4954" t="s">
        <v>5947</v>
      </c>
      <c r="R4954" t="s">
        <v>248</v>
      </c>
      <c r="S4954">
        <v>148.989227</v>
      </c>
      <c r="T4954" s="1095">
        <v>-32.553282000000003</v>
      </c>
    </row>
    <row r="4955" spans="16:20">
      <c r="P4955" s="1094">
        <v>2820</v>
      </c>
      <c r="Q4955" t="s">
        <v>5948</v>
      </c>
      <c r="R4955" t="s">
        <v>248</v>
      </c>
      <c r="S4955">
        <v>148.989227</v>
      </c>
      <c r="T4955" s="1095">
        <v>-32.553282000000003</v>
      </c>
    </row>
    <row r="4956" spans="16:20">
      <c r="P4956" s="1094">
        <v>2820</v>
      </c>
      <c r="Q4956" t="s">
        <v>5949</v>
      </c>
      <c r="R4956" t="s">
        <v>248</v>
      </c>
      <c r="S4956">
        <v>148.989227</v>
      </c>
      <c r="T4956" s="1095">
        <v>-32.553282000000003</v>
      </c>
    </row>
    <row r="4957" spans="16:20">
      <c r="P4957" s="1094">
        <v>2820</v>
      </c>
      <c r="Q4957" t="s">
        <v>5950</v>
      </c>
      <c r="R4957" t="s">
        <v>248</v>
      </c>
      <c r="S4957">
        <v>148.989227</v>
      </c>
      <c r="T4957" s="1095">
        <v>-32.553282000000003</v>
      </c>
    </row>
    <row r="4958" spans="16:20">
      <c r="P4958" s="1094">
        <v>2821</v>
      </c>
      <c r="Q4958" t="s">
        <v>5951</v>
      </c>
      <c r="R4958" t="s">
        <v>248</v>
      </c>
      <c r="S4958">
        <v>148.11038500000001</v>
      </c>
      <c r="T4958" s="1095">
        <v>-32.255248999999999</v>
      </c>
    </row>
    <row r="4959" spans="16:20">
      <c r="P4959" s="1094">
        <v>2821</v>
      </c>
      <c r="Q4959" t="s">
        <v>5952</v>
      </c>
      <c r="R4959" t="s">
        <v>248</v>
      </c>
      <c r="S4959">
        <v>148.11038500000001</v>
      </c>
      <c r="T4959" s="1095">
        <v>-32.255248999999999</v>
      </c>
    </row>
    <row r="4960" spans="16:20">
      <c r="P4960" s="1094">
        <v>2821</v>
      </c>
      <c r="Q4960" t="s">
        <v>5953</v>
      </c>
      <c r="R4960" t="s">
        <v>248</v>
      </c>
      <c r="S4960">
        <v>148.11038500000001</v>
      </c>
      <c r="T4960" s="1095">
        <v>-32.255248999999999</v>
      </c>
    </row>
    <row r="4961" spans="16:20">
      <c r="P4961" s="1094">
        <v>2823</v>
      </c>
      <c r="Q4961" t="s">
        <v>5954</v>
      </c>
      <c r="R4961" t="s">
        <v>248</v>
      </c>
      <c r="S4961">
        <v>147.83849900000001</v>
      </c>
      <c r="T4961" s="1095">
        <v>-32.07687</v>
      </c>
    </row>
    <row r="4962" spans="16:20">
      <c r="P4962" s="1094">
        <v>2823</v>
      </c>
      <c r="Q4962" t="s">
        <v>5955</v>
      </c>
      <c r="R4962" t="s">
        <v>248</v>
      </c>
      <c r="S4962">
        <v>147.83849900000001</v>
      </c>
      <c r="T4962" s="1095">
        <v>-32.07687</v>
      </c>
    </row>
    <row r="4963" spans="16:20">
      <c r="P4963" s="1094">
        <v>2823</v>
      </c>
      <c r="Q4963" t="s">
        <v>5956</v>
      </c>
      <c r="R4963" t="s">
        <v>248</v>
      </c>
      <c r="S4963">
        <v>147.83849900000001</v>
      </c>
      <c r="T4963" s="1095">
        <v>-32.07687</v>
      </c>
    </row>
    <row r="4964" spans="16:20">
      <c r="P4964" s="1094">
        <v>2823</v>
      </c>
      <c r="Q4964" t="s">
        <v>5957</v>
      </c>
      <c r="R4964" t="s">
        <v>248</v>
      </c>
      <c r="S4964">
        <v>147.83849900000001</v>
      </c>
      <c r="T4964" s="1095">
        <v>-32.07687</v>
      </c>
    </row>
    <row r="4965" spans="16:20">
      <c r="P4965" s="1094">
        <v>2823</v>
      </c>
      <c r="Q4965" t="s">
        <v>5958</v>
      </c>
      <c r="R4965" t="s">
        <v>248</v>
      </c>
      <c r="S4965">
        <v>147.83849900000001</v>
      </c>
      <c r="T4965" s="1095">
        <v>-32.07687</v>
      </c>
    </row>
    <row r="4966" spans="16:20">
      <c r="P4966" s="1094">
        <v>2824</v>
      </c>
      <c r="Q4966" t="s">
        <v>5959</v>
      </c>
      <c r="R4966" t="s">
        <v>248</v>
      </c>
      <c r="S4966">
        <v>147.785831</v>
      </c>
      <c r="T4966" s="1095">
        <v>-31.373201000000002</v>
      </c>
    </row>
    <row r="4967" spans="16:20">
      <c r="P4967" s="1094">
        <v>2824</v>
      </c>
      <c r="Q4967" t="s">
        <v>5960</v>
      </c>
      <c r="R4967" t="s">
        <v>248</v>
      </c>
      <c r="S4967">
        <v>147.785831</v>
      </c>
      <c r="T4967" s="1095">
        <v>-31.373201000000002</v>
      </c>
    </row>
    <row r="4968" spans="16:20">
      <c r="P4968" s="1094">
        <v>2824</v>
      </c>
      <c r="Q4968" t="s">
        <v>5961</v>
      </c>
      <c r="R4968" t="s">
        <v>248</v>
      </c>
      <c r="S4968">
        <v>147.785831</v>
      </c>
      <c r="T4968" s="1095">
        <v>-31.373201000000002</v>
      </c>
    </row>
    <row r="4969" spans="16:20">
      <c r="P4969" s="1094">
        <v>2824</v>
      </c>
      <c r="Q4969" t="s">
        <v>5962</v>
      </c>
      <c r="R4969" t="s">
        <v>248</v>
      </c>
      <c r="S4969">
        <v>147.785831</v>
      </c>
      <c r="T4969" s="1095">
        <v>-31.373201000000002</v>
      </c>
    </row>
    <row r="4970" spans="16:20">
      <c r="P4970" s="1094">
        <v>2824</v>
      </c>
      <c r="Q4970" t="s">
        <v>5963</v>
      </c>
      <c r="R4970" t="s">
        <v>248</v>
      </c>
      <c r="S4970">
        <v>147.785831</v>
      </c>
      <c r="T4970" s="1095">
        <v>-31.373201000000002</v>
      </c>
    </row>
    <row r="4971" spans="16:20">
      <c r="P4971" s="1094">
        <v>2824</v>
      </c>
      <c r="Q4971" t="s">
        <v>5964</v>
      </c>
      <c r="R4971" t="s">
        <v>248</v>
      </c>
      <c r="S4971">
        <v>147.785831</v>
      </c>
      <c r="T4971" s="1095">
        <v>-31.373201000000002</v>
      </c>
    </row>
    <row r="4972" spans="16:20">
      <c r="P4972" s="1094">
        <v>2824</v>
      </c>
      <c r="Q4972" t="s">
        <v>5965</v>
      </c>
      <c r="R4972" t="s">
        <v>248</v>
      </c>
      <c r="S4972">
        <v>147.785831</v>
      </c>
      <c r="T4972" s="1095">
        <v>-31.373201000000002</v>
      </c>
    </row>
    <row r="4973" spans="16:20">
      <c r="P4973" s="1094">
        <v>2824</v>
      </c>
      <c r="Q4973" t="s">
        <v>5966</v>
      </c>
      <c r="R4973" t="s">
        <v>248</v>
      </c>
      <c r="S4973">
        <v>147.785831</v>
      </c>
      <c r="T4973" s="1095">
        <v>-31.373201000000002</v>
      </c>
    </row>
    <row r="4974" spans="16:20">
      <c r="P4974" s="1094">
        <v>2824</v>
      </c>
      <c r="Q4974" t="s">
        <v>5967</v>
      </c>
      <c r="R4974" t="s">
        <v>248</v>
      </c>
      <c r="S4974">
        <v>147.785831</v>
      </c>
      <c r="T4974" s="1095">
        <v>-31.373201000000002</v>
      </c>
    </row>
    <row r="4975" spans="16:20">
      <c r="P4975" s="1094">
        <v>2824</v>
      </c>
      <c r="Q4975" t="s">
        <v>5968</v>
      </c>
      <c r="R4975" t="s">
        <v>248</v>
      </c>
      <c r="S4975">
        <v>147.785831</v>
      </c>
      <c r="T4975" s="1095">
        <v>-31.373201000000002</v>
      </c>
    </row>
    <row r="4976" spans="16:20">
      <c r="P4976" s="1094">
        <v>2824</v>
      </c>
      <c r="Q4976" t="s">
        <v>5969</v>
      </c>
      <c r="R4976" t="s">
        <v>248</v>
      </c>
      <c r="S4976">
        <v>147.785831</v>
      </c>
      <c r="T4976" s="1095">
        <v>-31.373201000000002</v>
      </c>
    </row>
    <row r="4977" spans="16:20">
      <c r="P4977" s="1094">
        <v>2825</v>
      </c>
      <c r="Q4977" t="s">
        <v>5970</v>
      </c>
      <c r="R4977" t="s">
        <v>248</v>
      </c>
      <c r="S4977">
        <v>147.30573000000001</v>
      </c>
      <c r="T4977" s="1095">
        <v>-31.934882999999999</v>
      </c>
    </row>
    <row r="4978" spans="16:20">
      <c r="P4978" s="1094">
        <v>2825</v>
      </c>
      <c r="Q4978" t="s">
        <v>5971</v>
      </c>
      <c r="R4978" t="s">
        <v>248</v>
      </c>
      <c r="S4978">
        <v>147.30573000000001</v>
      </c>
      <c r="T4978" s="1095">
        <v>-31.934882999999999</v>
      </c>
    </row>
    <row r="4979" spans="16:20">
      <c r="P4979" s="1094">
        <v>2825</v>
      </c>
      <c r="Q4979" t="s">
        <v>5972</v>
      </c>
      <c r="R4979" t="s">
        <v>248</v>
      </c>
      <c r="S4979">
        <v>147.30573000000001</v>
      </c>
      <c r="T4979" s="1095">
        <v>-31.934882999999999</v>
      </c>
    </row>
    <row r="4980" spans="16:20">
      <c r="P4980" s="1094">
        <v>2825</v>
      </c>
      <c r="Q4980" t="s">
        <v>5973</v>
      </c>
      <c r="R4980" t="s">
        <v>248</v>
      </c>
      <c r="S4980">
        <v>147.30573000000001</v>
      </c>
      <c r="T4980" s="1095">
        <v>-31.934882999999999</v>
      </c>
    </row>
    <row r="4981" spans="16:20">
      <c r="P4981" s="1094">
        <v>2825</v>
      </c>
      <c r="Q4981" t="s">
        <v>5974</v>
      </c>
      <c r="R4981" t="s">
        <v>248</v>
      </c>
      <c r="S4981">
        <v>147.30573000000001</v>
      </c>
      <c r="T4981" s="1095">
        <v>-31.934882999999999</v>
      </c>
    </row>
    <row r="4982" spans="16:20">
      <c r="P4982" s="1094">
        <v>2825</v>
      </c>
      <c r="Q4982" t="s">
        <v>5975</v>
      </c>
      <c r="R4982" t="s">
        <v>248</v>
      </c>
      <c r="S4982">
        <v>147.30573000000001</v>
      </c>
      <c r="T4982" s="1095">
        <v>-31.934882999999999</v>
      </c>
    </row>
    <row r="4983" spans="16:20">
      <c r="P4983" s="1094">
        <v>2827</v>
      </c>
      <c r="Q4983" t="s">
        <v>5976</v>
      </c>
      <c r="R4983" t="s">
        <v>248</v>
      </c>
      <c r="S4983">
        <v>148.64835299999999</v>
      </c>
      <c r="T4983" s="1095">
        <v>-31.633150000000001</v>
      </c>
    </row>
    <row r="4984" spans="16:20">
      <c r="P4984" s="1094">
        <v>2827</v>
      </c>
      <c r="Q4984" t="s">
        <v>5977</v>
      </c>
      <c r="R4984" t="s">
        <v>248</v>
      </c>
      <c r="S4984">
        <v>148.64835299999999</v>
      </c>
      <c r="T4984" s="1095">
        <v>-31.633150000000001</v>
      </c>
    </row>
    <row r="4985" spans="16:20">
      <c r="P4985" s="1094">
        <v>2827</v>
      </c>
      <c r="Q4985" t="s">
        <v>5978</v>
      </c>
      <c r="R4985" t="s">
        <v>248</v>
      </c>
      <c r="S4985">
        <v>148.64835299999999</v>
      </c>
      <c r="T4985" s="1095">
        <v>-31.633150000000001</v>
      </c>
    </row>
    <row r="4986" spans="16:20">
      <c r="P4986" s="1094">
        <v>2827</v>
      </c>
      <c r="Q4986" t="s">
        <v>5979</v>
      </c>
      <c r="R4986" t="s">
        <v>248</v>
      </c>
      <c r="S4986">
        <v>148.64835299999999</v>
      </c>
      <c r="T4986" s="1095">
        <v>-31.633150000000001</v>
      </c>
    </row>
    <row r="4987" spans="16:20">
      <c r="P4987" s="1094">
        <v>2827</v>
      </c>
      <c r="Q4987" t="s">
        <v>5980</v>
      </c>
      <c r="R4987" t="s">
        <v>248</v>
      </c>
      <c r="S4987">
        <v>148.64835299999999</v>
      </c>
      <c r="T4987" s="1095">
        <v>-31.633150000000001</v>
      </c>
    </row>
    <row r="4988" spans="16:20">
      <c r="P4988" s="1094">
        <v>2827</v>
      </c>
      <c r="Q4988" t="s">
        <v>5981</v>
      </c>
      <c r="R4988" t="s">
        <v>248</v>
      </c>
      <c r="S4988">
        <v>148.64835299999999</v>
      </c>
      <c r="T4988" s="1095">
        <v>-31.633150000000001</v>
      </c>
    </row>
    <row r="4989" spans="16:20">
      <c r="P4989" s="1094">
        <v>2827</v>
      </c>
      <c r="Q4989" t="s">
        <v>5982</v>
      </c>
      <c r="R4989" t="s">
        <v>248</v>
      </c>
      <c r="S4989">
        <v>148.64835299999999</v>
      </c>
      <c r="T4989" s="1095">
        <v>-31.633150000000001</v>
      </c>
    </row>
    <row r="4990" spans="16:20">
      <c r="P4990" s="1094">
        <v>2828</v>
      </c>
      <c r="Q4990" t="s">
        <v>5983</v>
      </c>
      <c r="R4990" t="s">
        <v>248</v>
      </c>
      <c r="S4990">
        <v>148.581142</v>
      </c>
      <c r="T4990" s="1095">
        <v>-31.298962</v>
      </c>
    </row>
    <row r="4991" spans="16:20">
      <c r="P4991" s="1094">
        <v>2828</v>
      </c>
      <c r="Q4991" t="s">
        <v>5984</v>
      </c>
      <c r="R4991" t="s">
        <v>248</v>
      </c>
      <c r="S4991">
        <v>148.581142</v>
      </c>
      <c r="T4991" s="1095">
        <v>-31.298962</v>
      </c>
    </row>
    <row r="4992" spans="16:20">
      <c r="P4992" s="1094">
        <v>2828</v>
      </c>
      <c r="Q4992" t="s">
        <v>5985</v>
      </c>
      <c r="R4992" t="s">
        <v>248</v>
      </c>
      <c r="S4992">
        <v>148.581142</v>
      </c>
      <c r="T4992" s="1095">
        <v>-31.298962</v>
      </c>
    </row>
    <row r="4993" spans="16:20">
      <c r="P4993" s="1094">
        <v>2828</v>
      </c>
      <c r="Q4993" t="s">
        <v>5986</v>
      </c>
      <c r="R4993" t="s">
        <v>248</v>
      </c>
      <c r="S4993">
        <v>148.581142</v>
      </c>
      <c r="T4993" s="1095">
        <v>-31.298962</v>
      </c>
    </row>
    <row r="4994" spans="16:20">
      <c r="P4994" s="1094">
        <v>2828</v>
      </c>
      <c r="Q4994" t="s">
        <v>5987</v>
      </c>
      <c r="R4994" t="s">
        <v>248</v>
      </c>
      <c r="S4994">
        <v>148.581142</v>
      </c>
      <c r="T4994" s="1095">
        <v>-31.298962</v>
      </c>
    </row>
    <row r="4995" spans="16:20">
      <c r="P4995" s="1094">
        <v>2829</v>
      </c>
      <c r="Q4995" t="s">
        <v>5988</v>
      </c>
      <c r="R4995" t="s">
        <v>248</v>
      </c>
      <c r="S4995">
        <v>148.26126500000001</v>
      </c>
      <c r="T4995" s="1095">
        <v>-30.766245000000001</v>
      </c>
    </row>
    <row r="4996" spans="16:20">
      <c r="P4996" s="1094">
        <v>2829</v>
      </c>
      <c r="Q4996" t="s">
        <v>5989</v>
      </c>
      <c r="R4996" t="s">
        <v>248</v>
      </c>
      <c r="S4996">
        <v>148.26126500000001</v>
      </c>
      <c r="T4996" s="1095">
        <v>-30.766245000000001</v>
      </c>
    </row>
    <row r="4997" spans="16:20">
      <c r="P4997" s="1094">
        <v>2829</v>
      </c>
      <c r="Q4997" t="s">
        <v>5990</v>
      </c>
      <c r="R4997" t="s">
        <v>248</v>
      </c>
      <c r="S4997">
        <v>148.26126500000001</v>
      </c>
      <c r="T4997" s="1095">
        <v>-30.766245000000001</v>
      </c>
    </row>
    <row r="4998" spans="16:20">
      <c r="P4998" s="1094">
        <v>2829</v>
      </c>
      <c r="Q4998" t="s">
        <v>5991</v>
      </c>
      <c r="R4998" t="s">
        <v>248</v>
      </c>
      <c r="S4998">
        <v>148.26126500000001</v>
      </c>
      <c r="T4998" s="1095">
        <v>-30.766245000000001</v>
      </c>
    </row>
    <row r="4999" spans="16:20">
      <c r="P4999" s="1094">
        <v>2829</v>
      </c>
      <c r="Q4999" t="s">
        <v>5992</v>
      </c>
      <c r="R4999" t="s">
        <v>248</v>
      </c>
      <c r="S4999">
        <v>148.26126500000001</v>
      </c>
      <c r="T4999" s="1095">
        <v>-30.766245000000001</v>
      </c>
    </row>
    <row r="5000" spans="16:20">
      <c r="P5000" s="1094">
        <v>2829</v>
      </c>
      <c r="Q5000" t="s">
        <v>5993</v>
      </c>
      <c r="R5000" t="s">
        <v>248</v>
      </c>
      <c r="S5000">
        <v>148.26126500000001</v>
      </c>
      <c r="T5000" s="1095">
        <v>-30.766245000000001</v>
      </c>
    </row>
    <row r="5001" spans="16:20">
      <c r="P5001" s="1094">
        <v>2830</v>
      </c>
      <c r="Q5001" t="s">
        <v>5994</v>
      </c>
      <c r="R5001" t="s">
        <v>248</v>
      </c>
      <c r="S5001">
        <v>148.65728200000001</v>
      </c>
      <c r="T5001" s="1095">
        <v>-32.242240000000002</v>
      </c>
    </row>
    <row r="5002" spans="16:20">
      <c r="P5002" s="1094">
        <v>2830</v>
      </c>
      <c r="Q5002" t="s">
        <v>5995</v>
      </c>
      <c r="R5002" t="s">
        <v>248</v>
      </c>
      <c r="S5002">
        <v>148.65728200000001</v>
      </c>
      <c r="T5002" s="1095">
        <v>-32.242240000000002</v>
      </c>
    </row>
    <row r="5003" spans="16:20">
      <c r="P5003" s="1094">
        <v>2830</v>
      </c>
      <c r="Q5003" t="s">
        <v>5996</v>
      </c>
      <c r="R5003" t="s">
        <v>248</v>
      </c>
      <c r="S5003">
        <v>148.65728200000001</v>
      </c>
      <c r="T5003" s="1095">
        <v>-32.242240000000002</v>
      </c>
    </row>
    <row r="5004" spans="16:20">
      <c r="P5004" s="1094">
        <v>2830</v>
      </c>
      <c r="Q5004" t="s">
        <v>5997</v>
      </c>
      <c r="R5004" t="s">
        <v>248</v>
      </c>
      <c r="S5004">
        <v>148.65728200000001</v>
      </c>
      <c r="T5004" s="1095">
        <v>-32.242240000000002</v>
      </c>
    </row>
    <row r="5005" spans="16:20">
      <c r="P5005" s="1094">
        <v>2830</v>
      </c>
      <c r="Q5005" t="s">
        <v>5998</v>
      </c>
      <c r="R5005" t="s">
        <v>248</v>
      </c>
      <c r="S5005">
        <v>148.65728200000001</v>
      </c>
      <c r="T5005" s="1095">
        <v>-32.242240000000002</v>
      </c>
    </row>
    <row r="5006" spans="16:20">
      <c r="P5006" s="1094">
        <v>2830</v>
      </c>
      <c r="Q5006" t="s">
        <v>5999</v>
      </c>
      <c r="R5006" t="s">
        <v>248</v>
      </c>
      <c r="S5006">
        <v>148.65728200000001</v>
      </c>
      <c r="T5006" s="1095">
        <v>-32.242240000000002</v>
      </c>
    </row>
    <row r="5007" spans="16:20">
      <c r="P5007" s="1094">
        <v>2830</v>
      </c>
      <c r="Q5007" t="s">
        <v>6000</v>
      </c>
      <c r="R5007" t="s">
        <v>248</v>
      </c>
      <c r="S5007">
        <v>148.65728200000001</v>
      </c>
      <c r="T5007" s="1095">
        <v>-32.242240000000002</v>
      </c>
    </row>
    <row r="5008" spans="16:20">
      <c r="P5008" s="1094">
        <v>2830</v>
      </c>
      <c r="Q5008" t="s">
        <v>6001</v>
      </c>
      <c r="R5008" t="s">
        <v>248</v>
      </c>
      <c r="S5008">
        <v>148.65728200000001</v>
      </c>
      <c r="T5008" s="1095">
        <v>-32.242240000000002</v>
      </c>
    </row>
    <row r="5009" spans="16:20">
      <c r="P5009" s="1094">
        <v>2830</v>
      </c>
      <c r="Q5009" t="s">
        <v>6002</v>
      </c>
      <c r="R5009" t="s">
        <v>248</v>
      </c>
      <c r="S5009">
        <v>148.65728200000001</v>
      </c>
      <c r="T5009" s="1095">
        <v>-32.242240000000002</v>
      </c>
    </row>
    <row r="5010" spans="16:20">
      <c r="P5010" s="1094">
        <v>2830</v>
      </c>
      <c r="Q5010" t="s">
        <v>6003</v>
      </c>
      <c r="R5010" t="s">
        <v>248</v>
      </c>
      <c r="S5010">
        <v>148.65728200000001</v>
      </c>
      <c r="T5010" s="1095">
        <v>-32.242240000000002</v>
      </c>
    </row>
    <row r="5011" spans="16:20">
      <c r="P5011" s="1094">
        <v>2830</v>
      </c>
      <c r="Q5011" t="s">
        <v>6004</v>
      </c>
      <c r="R5011" t="s">
        <v>248</v>
      </c>
      <c r="S5011">
        <v>148.65728200000001</v>
      </c>
      <c r="T5011" s="1095">
        <v>-32.242240000000002</v>
      </c>
    </row>
    <row r="5012" spans="16:20">
      <c r="P5012" s="1094">
        <v>2830</v>
      </c>
      <c r="Q5012" t="s">
        <v>6005</v>
      </c>
      <c r="R5012" t="s">
        <v>248</v>
      </c>
      <c r="S5012">
        <v>148.65728200000001</v>
      </c>
      <c r="T5012" s="1095">
        <v>-32.242240000000002</v>
      </c>
    </row>
    <row r="5013" spans="16:20">
      <c r="P5013" s="1094">
        <v>2830</v>
      </c>
      <c r="Q5013" t="s">
        <v>6006</v>
      </c>
      <c r="R5013" t="s">
        <v>248</v>
      </c>
      <c r="S5013">
        <v>148.65728200000001</v>
      </c>
      <c r="T5013" s="1095">
        <v>-32.242240000000002</v>
      </c>
    </row>
    <row r="5014" spans="16:20">
      <c r="P5014" s="1094">
        <v>2830</v>
      </c>
      <c r="Q5014" t="s">
        <v>6007</v>
      </c>
      <c r="R5014" t="s">
        <v>248</v>
      </c>
      <c r="S5014">
        <v>148.65728200000001</v>
      </c>
      <c r="T5014" s="1095">
        <v>-32.242240000000002</v>
      </c>
    </row>
    <row r="5015" spans="16:20">
      <c r="P5015" s="1094">
        <v>2830</v>
      </c>
      <c r="Q5015" t="s">
        <v>6008</v>
      </c>
      <c r="R5015" t="s">
        <v>248</v>
      </c>
      <c r="S5015">
        <v>148.65728200000001</v>
      </c>
      <c r="T5015" s="1095">
        <v>-32.242240000000002</v>
      </c>
    </row>
    <row r="5016" spans="16:20">
      <c r="P5016" s="1094">
        <v>2830</v>
      </c>
      <c r="Q5016" t="s">
        <v>6009</v>
      </c>
      <c r="R5016" t="s">
        <v>248</v>
      </c>
      <c r="S5016">
        <v>148.65728200000001</v>
      </c>
      <c r="T5016" s="1095">
        <v>-32.242240000000002</v>
      </c>
    </row>
    <row r="5017" spans="16:20">
      <c r="P5017" s="1094">
        <v>2830</v>
      </c>
      <c r="Q5017" t="s">
        <v>6010</v>
      </c>
      <c r="R5017" t="s">
        <v>248</v>
      </c>
      <c r="S5017">
        <v>148.65728200000001</v>
      </c>
      <c r="T5017" s="1095">
        <v>-32.242240000000002</v>
      </c>
    </row>
    <row r="5018" spans="16:20">
      <c r="P5018" s="1094">
        <v>2830</v>
      </c>
      <c r="Q5018" t="s">
        <v>6011</v>
      </c>
      <c r="R5018" t="s">
        <v>248</v>
      </c>
      <c r="S5018">
        <v>148.65728200000001</v>
      </c>
      <c r="T5018" s="1095">
        <v>-32.242240000000002</v>
      </c>
    </row>
    <row r="5019" spans="16:20">
      <c r="P5019" s="1094">
        <v>2830</v>
      </c>
      <c r="Q5019" t="s">
        <v>6012</v>
      </c>
      <c r="R5019" t="s">
        <v>248</v>
      </c>
      <c r="S5019">
        <v>148.65728200000001</v>
      </c>
      <c r="T5019" s="1095">
        <v>-32.242240000000002</v>
      </c>
    </row>
    <row r="5020" spans="16:20">
      <c r="P5020" s="1094">
        <v>2830</v>
      </c>
      <c r="Q5020" t="s">
        <v>6013</v>
      </c>
      <c r="R5020" t="s">
        <v>248</v>
      </c>
      <c r="S5020">
        <v>148.65728200000001</v>
      </c>
      <c r="T5020" s="1095">
        <v>-32.242240000000002</v>
      </c>
    </row>
    <row r="5021" spans="16:20">
      <c r="P5021" s="1094">
        <v>2830</v>
      </c>
      <c r="Q5021" t="s">
        <v>6014</v>
      </c>
      <c r="R5021" t="s">
        <v>248</v>
      </c>
      <c r="S5021">
        <v>148.65728200000001</v>
      </c>
      <c r="T5021" s="1095">
        <v>-32.242240000000002</v>
      </c>
    </row>
    <row r="5022" spans="16:20">
      <c r="P5022" s="1094">
        <v>2830</v>
      </c>
      <c r="Q5022" t="s">
        <v>6015</v>
      </c>
      <c r="R5022" t="s">
        <v>248</v>
      </c>
      <c r="S5022">
        <v>148.65728200000001</v>
      </c>
      <c r="T5022" s="1095">
        <v>-32.242240000000002</v>
      </c>
    </row>
    <row r="5023" spans="16:20">
      <c r="P5023" s="1094">
        <v>2830</v>
      </c>
      <c r="Q5023" t="s">
        <v>6016</v>
      </c>
      <c r="R5023" t="s">
        <v>248</v>
      </c>
      <c r="S5023">
        <v>148.65728200000001</v>
      </c>
      <c r="T5023" s="1095">
        <v>-32.242240000000002</v>
      </c>
    </row>
    <row r="5024" spans="16:20">
      <c r="P5024" s="1094">
        <v>2830</v>
      </c>
      <c r="Q5024" t="s">
        <v>6017</v>
      </c>
      <c r="R5024" t="s">
        <v>248</v>
      </c>
      <c r="S5024">
        <v>148.65728200000001</v>
      </c>
      <c r="T5024" s="1095">
        <v>-32.242240000000002</v>
      </c>
    </row>
    <row r="5025" spans="16:20">
      <c r="P5025" s="1094">
        <v>2830</v>
      </c>
      <c r="Q5025" t="s">
        <v>6018</v>
      </c>
      <c r="R5025" t="s">
        <v>248</v>
      </c>
      <c r="S5025">
        <v>148.65728200000001</v>
      </c>
      <c r="T5025" s="1095">
        <v>-32.242240000000002</v>
      </c>
    </row>
    <row r="5026" spans="16:20">
      <c r="P5026" s="1094">
        <v>2830</v>
      </c>
      <c r="Q5026" t="s">
        <v>6019</v>
      </c>
      <c r="R5026" t="s">
        <v>248</v>
      </c>
      <c r="S5026">
        <v>148.65728200000001</v>
      </c>
      <c r="T5026" s="1095">
        <v>-32.242240000000002</v>
      </c>
    </row>
    <row r="5027" spans="16:20">
      <c r="P5027" s="1094">
        <v>2830</v>
      </c>
      <c r="Q5027" t="s">
        <v>6020</v>
      </c>
      <c r="R5027" t="s">
        <v>248</v>
      </c>
      <c r="S5027">
        <v>148.65728200000001</v>
      </c>
      <c r="T5027" s="1095">
        <v>-32.242240000000002</v>
      </c>
    </row>
    <row r="5028" spans="16:20">
      <c r="P5028" s="1094">
        <v>2831</v>
      </c>
      <c r="Q5028" t="s">
        <v>6021</v>
      </c>
      <c r="R5028" t="s">
        <v>248</v>
      </c>
      <c r="S5028">
        <v>146.615174</v>
      </c>
      <c r="T5028" s="1095">
        <v>-31.927892</v>
      </c>
    </row>
    <row r="5029" spans="16:20">
      <c r="P5029" s="1094">
        <v>2831</v>
      </c>
      <c r="Q5029" t="s">
        <v>6022</v>
      </c>
      <c r="R5029" t="s">
        <v>248</v>
      </c>
      <c r="S5029">
        <v>146.615174</v>
      </c>
      <c r="T5029" s="1095">
        <v>-31.927892</v>
      </c>
    </row>
    <row r="5030" spans="16:20">
      <c r="P5030" s="1094">
        <v>2831</v>
      </c>
      <c r="Q5030" t="s">
        <v>6023</v>
      </c>
      <c r="R5030" t="s">
        <v>248</v>
      </c>
      <c r="S5030">
        <v>146.615174</v>
      </c>
      <c r="T5030" s="1095">
        <v>-31.927892</v>
      </c>
    </row>
    <row r="5031" spans="16:20">
      <c r="P5031" s="1094">
        <v>2831</v>
      </c>
      <c r="Q5031" t="s">
        <v>6024</v>
      </c>
      <c r="R5031" t="s">
        <v>248</v>
      </c>
      <c r="S5031">
        <v>146.615174</v>
      </c>
      <c r="T5031" s="1095">
        <v>-31.927892</v>
      </c>
    </row>
    <row r="5032" spans="16:20">
      <c r="P5032" s="1094">
        <v>2831</v>
      </c>
      <c r="Q5032" t="s">
        <v>6025</v>
      </c>
      <c r="R5032" t="s">
        <v>248</v>
      </c>
      <c r="S5032">
        <v>146.615174</v>
      </c>
      <c r="T5032" s="1095">
        <v>-31.927892</v>
      </c>
    </row>
    <row r="5033" spans="16:20">
      <c r="P5033" s="1094">
        <v>2831</v>
      </c>
      <c r="Q5033" t="s">
        <v>6026</v>
      </c>
      <c r="R5033" t="s">
        <v>248</v>
      </c>
      <c r="S5033">
        <v>146.615174</v>
      </c>
      <c r="T5033" s="1095">
        <v>-31.927892</v>
      </c>
    </row>
    <row r="5034" spans="16:20">
      <c r="P5034" s="1094">
        <v>2831</v>
      </c>
      <c r="Q5034" t="s">
        <v>6027</v>
      </c>
      <c r="R5034" t="s">
        <v>248</v>
      </c>
      <c r="S5034">
        <v>146.615174</v>
      </c>
      <c r="T5034" s="1095">
        <v>-31.927892</v>
      </c>
    </row>
    <row r="5035" spans="16:20">
      <c r="P5035" s="1094">
        <v>2831</v>
      </c>
      <c r="Q5035" t="s">
        <v>6028</v>
      </c>
      <c r="R5035" t="s">
        <v>248</v>
      </c>
      <c r="S5035">
        <v>146.615174</v>
      </c>
      <c r="T5035" s="1095">
        <v>-31.927892</v>
      </c>
    </row>
    <row r="5036" spans="16:20">
      <c r="P5036" s="1094">
        <v>2831</v>
      </c>
      <c r="Q5036" t="s">
        <v>6029</v>
      </c>
      <c r="R5036" t="s">
        <v>248</v>
      </c>
      <c r="S5036">
        <v>146.615174</v>
      </c>
      <c r="T5036" s="1095">
        <v>-31.927892</v>
      </c>
    </row>
    <row r="5037" spans="16:20">
      <c r="P5037" s="1094">
        <v>2831</v>
      </c>
      <c r="Q5037" t="s">
        <v>6030</v>
      </c>
      <c r="R5037" t="s">
        <v>248</v>
      </c>
      <c r="S5037">
        <v>146.615174</v>
      </c>
      <c r="T5037" s="1095">
        <v>-31.927892</v>
      </c>
    </row>
    <row r="5038" spans="16:20">
      <c r="P5038" s="1094">
        <v>2831</v>
      </c>
      <c r="Q5038" t="s">
        <v>6031</v>
      </c>
      <c r="R5038" t="s">
        <v>248</v>
      </c>
      <c r="S5038">
        <v>146.615174</v>
      </c>
      <c r="T5038" s="1095">
        <v>-31.927892</v>
      </c>
    </row>
    <row r="5039" spans="16:20">
      <c r="P5039" s="1094">
        <v>2831</v>
      </c>
      <c r="Q5039" t="s">
        <v>6032</v>
      </c>
      <c r="R5039" t="s">
        <v>248</v>
      </c>
      <c r="S5039">
        <v>146.615174</v>
      </c>
      <c r="T5039" s="1095">
        <v>-31.927892</v>
      </c>
    </row>
    <row r="5040" spans="16:20">
      <c r="P5040" s="1094">
        <v>2831</v>
      </c>
      <c r="Q5040" t="s">
        <v>6033</v>
      </c>
      <c r="R5040" t="s">
        <v>248</v>
      </c>
      <c r="S5040">
        <v>146.615174</v>
      </c>
      <c r="T5040" s="1095">
        <v>-31.927892</v>
      </c>
    </row>
    <row r="5041" spans="16:20">
      <c r="P5041" s="1094">
        <v>2831</v>
      </c>
      <c r="Q5041" t="s">
        <v>6034</v>
      </c>
      <c r="R5041" t="s">
        <v>248</v>
      </c>
      <c r="S5041">
        <v>146.615174</v>
      </c>
      <c r="T5041" s="1095">
        <v>-31.927892</v>
      </c>
    </row>
    <row r="5042" spans="16:20">
      <c r="P5042" s="1094">
        <v>2831</v>
      </c>
      <c r="Q5042" t="s">
        <v>6035</v>
      </c>
      <c r="R5042" t="s">
        <v>248</v>
      </c>
      <c r="S5042">
        <v>146.615174</v>
      </c>
      <c r="T5042" s="1095">
        <v>-31.927892</v>
      </c>
    </row>
    <row r="5043" spans="16:20">
      <c r="P5043" s="1094">
        <v>2831</v>
      </c>
      <c r="Q5043" t="s">
        <v>6036</v>
      </c>
      <c r="R5043" t="s">
        <v>248</v>
      </c>
      <c r="S5043">
        <v>146.615174</v>
      </c>
      <c r="T5043" s="1095">
        <v>-31.927892</v>
      </c>
    </row>
    <row r="5044" spans="16:20">
      <c r="P5044" s="1094">
        <v>2831</v>
      </c>
      <c r="Q5044" t="s">
        <v>6037</v>
      </c>
      <c r="R5044" t="s">
        <v>248</v>
      </c>
      <c r="S5044">
        <v>146.615174</v>
      </c>
      <c r="T5044" s="1095">
        <v>-31.927892</v>
      </c>
    </row>
    <row r="5045" spans="16:20">
      <c r="P5045" s="1094">
        <v>2831</v>
      </c>
      <c r="Q5045" t="s">
        <v>6038</v>
      </c>
      <c r="R5045" t="s">
        <v>248</v>
      </c>
      <c r="S5045">
        <v>146.615174</v>
      </c>
      <c r="T5045" s="1095">
        <v>-31.927892</v>
      </c>
    </row>
    <row r="5046" spans="16:20">
      <c r="P5046" s="1094">
        <v>2831</v>
      </c>
      <c r="Q5046" t="s">
        <v>6039</v>
      </c>
      <c r="R5046" t="s">
        <v>248</v>
      </c>
      <c r="S5046">
        <v>146.615174</v>
      </c>
      <c r="T5046" s="1095">
        <v>-31.927892</v>
      </c>
    </row>
    <row r="5047" spans="16:20">
      <c r="P5047" s="1094">
        <v>2831</v>
      </c>
      <c r="Q5047" t="s">
        <v>6040</v>
      </c>
      <c r="R5047" t="s">
        <v>248</v>
      </c>
      <c r="S5047">
        <v>146.615174</v>
      </c>
      <c r="T5047" s="1095">
        <v>-31.927892</v>
      </c>
    </row>
    <row r="5048" spans="16:20">
      <c r="P5048" s="1094">
        <v>2831</v>
      </c>
      <c r="Q5048" t="s">
        <v>6041</v>
      </c>
      <c r="R5048" t="s">
        <v>248</v>
      </c>
      <c r="S5048">
        <v>146.615174</v>
      </c>
      <c r="T5048" s="1095">
        <v>-31.927892</v>
      </c>
    </row>
    <row r="5049" spans="16:20">
      <c r="P5049" s="1094">
        <v>2831</v>
      </c>
      <c r="Q5049" t="s">
        <v>6042</v>
      </c>
      <c r="R5049" t="s">
        <v>248</v>
      </c>
      <c r="S5049">
        <v>146.615174</v>
      </c>
      <c r="T5049" s="1095">
        <v>-31.927892</v>
      </c>
    </row>
    <row r="5050" spans="16:20">
      <c r="P5050" s="1094">
        <v>2831</v>
      </c>
      <c r="Q5050" t="s">
        <v>6043</v>
      </c>
      <c r="R5050" t="s">
        <v>248</v>
      </c>
      <c r="S5050">
        <v>146.615174</v>
      </c>
      <c r="T5050" s="1095">
        <v>-31.927892</v>
      </c>
    </row>
    <row r="5051" spans="16:20">
      <c r="P5051" s="1094">
        <v>2831</v>
      </c>
      <c r="Q5051" t="s">
        <v>6044</v>
      </c>
      <c r="R5051" t="s">
        <v>248</v>
      </c>
      <c r="S5051">
        <v>146.615174</v>
      </c>
      <c r="T5051" s="1095">
        <v>-31.927892</v>
      </c>
    </row>
    <row r="5052" spans="16:20">
      <c r="P5052" s="1094">
        <v>2831</v>
      </c>
      <c r="Q5052" t="s">
        <v>6045</v>
      </c>
      <c r="R5052" t="s">
        <v>248</v>
      </c>
      <c r="S5052">
        <v>146.615174</v>
      </c>
      <c r="T5052" s="1095">
        <v>-31.927892</v>
      </c>
    </row>
    <row r="5053" spans="16:20">
      <c r="P5053" s="1094">
        <v>2831</v>
      </c>
      <c r="Q5053" t="s">
        <v>6046</v>
      </c>
      <c r="R5053" t="s">
        <v>248</v>
      </c>
      <c r="S5053">
        <v>146.615174</v>
      </c>
      <c r="T5053" s="1095">
        <v>-31.927892</v>
      </c>
    </row>
    <row r="5054" spans="16:20">
      <c r="P5054" s="1094">
        <v>2831</v>
      </c>
      <c r="Q5054" t="s">
        <v>6047</v>
      </c>
      <c r="R5054" t="s">
        <v>248</v>
      </c>
      <c r="S5054">
        <v>146.615174</v>
      </c>
      <c r="T5054" s="1095">
        <v>-31.927892</v>
      </c>
    </row>
    <row r="5055" spans="16:20">
      <c r="P5055" s="1094">
        <v>2832</v>
      </c>
      <c r="Q5055" t="s">
        <v>6048</v>
      </c>
      <c r="R5055" t="s">
        <v>248</v>
      </c>
      <c r="S5055">
        <v>147.98303300000001</v>
      </c>
      <c r="T5055" s="1095">
        <v>-29.958521000000001</v>
      </c>
    </row>
    <row r="5056" spans="16:20">
      <c r="P5056" s="1094">
        <v>2832</v>
      </c>
      <c r="Q5056" t="s">
        <v>5163</v>
      </c>
      <c r="R5056" t="s">
        <v>248</v>
      </c>
      <c r="S5056">
        <v>147.98303300000001</v>
      </c>
      <c r="T5056" s="1095">
        <v>-29.958521000000001</v>
      </c>
    </row>
    <row r="5057" spans="16:20">
      <c r="P5057" s="1094">
        <v>2832</v>
      </c>
      <c r="Q5057" t="s">
        <v>6049</v>
      </c>
      <c r="R5057" t="s">
        <v>248</v>
      </c>
      <c r="S5057">
        <v>147.98303300000001</v>
      </c>
      <c r="T5057" s="1095">
        <v>-29.958521000000001</v>
      </c>
    </row>
    <row r="5058" spans="16:20">
      <c r="P5058" s="1094">
        <v>2832</v>
      </c>
      <c r="Q5058" t="s">
        <v>6050</v>
      </c>
      <c r="R5058" t="s">
        <v>248</v>
      </c>
      <c r="S5058">
        <v>147.98303300000001</v>
      </c>
      <c r="T5058" s="1095">
        <v>-29.958521000000001</v>
      </c>
    </row>
    <row r="5059" spans="16:20">
      <c r="P5059" s="1094">
        <v>2832</v>
      </c>
      <c r="Q5059" t="s">
        <v>6051</v>
      </c>
      <c r="R5059" t="s">
        <v>248</v>
      </c>
      <c r="S5059">
        <v>147.98303300000001</v>
      </c>
      <c r="T5059" s="1095">
        <v>-29.958521000000001</v>
      </c>
    </row>
    <row r="5060" spans="16:20">
      <c r="P5060" s="1094">
        <v>2832</v>
      </c>
      <c r="Q5060" t="s">
        <v>6052</v>
      </c>
      <c r="R5060" t="s">
        <v>248</v>
      </c>
      <c r="S5060">
        <v>147.98303300000001</v>
      </c>
      <c r="T5060" s="1095">
        <v>-29.958521000000001</v>
      </c>
    </row>
    <row r="5061" spans="16:20">
      <c r="P5061" s="1094">
        <v>2832</v>
      </c>
      <c r="Q5061" t="s">
        <v>6053</v>
      </c>
      <c r="R5061" t="s">
        <v>248</v>
      </c>
      <c r="S5061">
        <v>147.98303300000001</v>
      </c>
      <c r="T5061" s="1095">
        <v>-29.958521000000001</v>
      </c>
    </row>
    <row r="5062" spans="16:20">
      <c r="P5062" s="1094">
        <v>2833</v>
      </c>
      <c r="Q5062" t="s">
        <v>6054</v>
      </c>
      <c r="R5062" t="s">
        <v>248</v>
      </c>
      <c r="S5062">
        <v>148.378523</v>
      </c>
      <c r="T5062" s="1095">
        <v>-29.391492</v>
      </c>
    </row>
    <row r="5063" spans="16:20">
      <c r="P5063" s="1094">
        <v>2834</v>
      </c>
      <c r="Q5063" t="s">
        <v>6055</v>
      </c>
      <c r="R5063" t="s">
        <v>248</v>
      </c>
      <c r="S5063">
        <v>147.966635</v>
      </c>
      <c r="T5063" s="1095">
        <v>-29.445996999999998</v>
      </c>
    </row>
    <row r="5064" spans="16:20">
      <c r="P5064" s="1094">
        <v>2835</v>
      </c>
      <c r="Q5064" t="s">
        <v>6056</v>
      </c>
      <c r="R5064" t="s">
        <v>248</v>
      </c>
      <c r="S5064">
        <v>145.40657899999999</v>
      </c>
      <c r="T5064" s="1095">
        <v>-31.551822000000001</v>
      </c>
    </row>
    <row r="5065" spans="16:20">
      <c r="P5065" s="1094">
        <v>2835</v>
      </c>
      <c r="Q5065" t="s">
        <v>6057</v>
      </c>
      <c r="R5065" t="s">
        <v>248</v>
      </c>
      <c r="S5065">
        <v>145.40657899999999</v>
      </c>
      <c r="T5065" s="1095">
        <v>-31.551822000000001</v>
      </c>
    </row>
    <row r="5066" spans="16:20">
      <c r="P5066" s="1094">
        <v>2835</v>
      </c>
      <c r="Q5066" t="s">
        <v>6058</v>
      </c>
      <c r="R5066" t="s">
        <v>248</v>
      </c>
      <c r="S5066">
        <v>145.40657899999999</v>
      </c>
      <c r="T5066" s="1095">
        <v>-31.551822000000001</v>
      </c>
    </row>
    <row r="5067" spans="16:20">
      <c r="P5067" s="1094">
        <v>2835</v>
      </c>
      <c r="Q5067" t="s">
        <v>6059</v>
      </c>
      <c r="R5067" t="s">
        <v>248</v>
      </c>
      <c r="S5067">
        <v>145.40657899999999</v>
      </c>
      <c r="T5067" s="1095">
        <v>-31.551822000000001</v>
      </c>
    </row>
    <row r="5068" spans="16:20">
      <c r="P5068" s="1094">
        <v>2835</v>
      </c>
      <c r="Q5068" t="s">
        <v>6060</v>
      </c>
      <c r="R5068" t="s">
        <v>248</v>
      </c>
      <c r="S5068">
        <v>145.40657899999999</v>
      </c>
      <c r="T5068" s="1095">
        <v>-31.551822000000001</v>
      </c>
    </row>
    <row r="5069" spans="16:20">
      <c r="P5069" s="1094">
        <v>2835</v>
      </c>
      <c r="Q5069" t="s">
        <v>6061</v>
      </c>
      <c r="R5069" t="s">
        <v>248</v>
      </c>
      <c r="S5069">
        <v>145.40657899999999</v>
      </c>
      <c r="T5069" s="1095">
        <v>-31.551822000000001</v>
      </c>
    </row>
    <row r="5070" spans="16:20">
      <c r="P5070" s="1094">
        <v>2835</v>
      </c>
      <c r="Q5070" t="s">
        <v>6062</v>
      </c>
      <c r="R5070" t="s">
        <v>248</v>
      </c>
      <c r="S5070">
        <v>145.40657899999999</v>
      </c>
      <c r="T5070" s="1095">
        <v>-31.551822000000001</v>
      </c>
    </row>
    <row r="5071" spans="16:20">
      <c r="P5071" s="1094">
        <v>2835</v>
      </c>
      <c r="Q5071" t="s">
        <v>6063</v>
      </c>
      <c r="R5071" t="s">
        <v>248</v>
      </c>
      <c r="S5071">
        <v>145.40657899999999</v>
      </c>
      <c r="T5071" s="1095">
        <v>-31.551822000000001</v>
      </c>
    </row>
    <row r="5072" spans="16:20">
      <c r="P5072" s="1094">
        <v>2835</v>
      </c>
      <c r="Q5072" t="s">
        <v>4699</v>
      </c>
      <c r="R5072" t="s">
        <v>248</v>
      </c>
      <c r="S5072">
        <v>145.40657899999999</v>
      </c>
      <c r="T5072" s="1095">
        <v>-31.551822000000001</v>
      </c>
    </row>
    <row r="5073" spans="16:20">
      <c r="P5073" s="1094">
        <v>2835</v>
      </c>
      <c r="Q5073" t="s">
        <v>6064</v>
      </c>
      <c r="R5073" t="s">
        <v>248</v>
      </c>
      <c r="S5073">
        <v>145.40657899999999</v>
      </c>
      <c r="T5073" s="1095">
        <v>-31.551822000000001</v>
      </c>
    </row>
    <row r="5074" spans="16:20">
      <c r="P5074" s="1094">
        <v>2835</v>
      </c>
      <c r="Q5074" t="s">
        <v>2856</v>
      </c>
      <c r="R5074" t="s">
        <v>248</v>
      </c>
      <c r="S5074">
        <v>145.40657899999999</v>
      </c>
      <c r="T5074" s="1095">
        <v>-31.551822000000001</v>
      </c>
    </row>
    <row r="5075" spans="16:20">
      <c r="P5075" s="1094">
        <v>2835</v>
      </c>
      <c r="Q5075" t="s">
        <v>6065</v>
      </c>
      <c r="R5075" t="s">
        <v>248</v>
      </c>
      <c r="S5075">
        <v>145.40657899999999</v>
      </c>
      <c r="T5075" s="1095">
        <v>-31.551822000000001</v>
      </c>
    </row>
    <row r="5076" spans="16:20">
      <c r="P5076" s="1094">
        <v>2836</v>
      </c>
      <c r="Q5076" t="s">
        <v>6066</v>
      </c>
      <c r="R5076" t="s">
        <v>248</v>
      </c>
      <c r="S5076">
        <v>143.27056200000001</v>
      </c>
      <c r="T5076" s="1095">
        <v>-31.498123</v>
      </c>
    </row>
    <row r="5077" spans="16:20">
      <c r="P5077" s="1094">
        <v>2836</v>
      </c>
      <c r="Q5077" t="s">
        <v>6067</v>
      </c>
      <c r="R5077" t="s">
        <v>248</v>
      </c>
      <c r="S5077">
        <v>143.27056200000001</v>
      </c>
      <c r="T5077" s="1095">
        <v>-31.498123</v>
      </c>
    </row>
    <row r="5078" spans="16:20">
      <c r="P5078" s="1094">
        <v>2836</v>
      </c>
      <c r="Q5078" t="s">
        <v>6068</v>
      </c>
      <c r="R5078" t="s">
        <v>248</v>
      </c>
      <c r="S5078">
        <v>143.27056200000001</v>
      </c>
      <c r="T5078" s="1095">
        <v>-31.498123</v>
      </c>
    </row>
    <row r="5079" spans="16:20">
      <c r="P5079" s="1094">
        <v>2839</v>
      </c>
      <c r="Q5079" t="s">
        <v>6069</v>
      </c>
      <c r="R5079" t="s">
        <v>248</v>
      </c>
      <c r="S5079">
        <v>146.94474</v>
      </c>
      <c r="T5079" s="1095">
        <v>-29.831299999999999</v>
      </c>
    </row>
    <row r="5080" spans="16:20">
      <c r="P5080" s="1094">
        <v>2839</v>
      </c>
      <c r="Q5080" t="s">
        <v>6070</v>
      </c>
      <c r="R5080" t="s">
        <v>248</v>
      </c>
      <c r="S5080">
        <v>146.94474</v>
      </c>
      <c r="T5080" s="1095">
        <v>-29.831299999999999</v>
      </c>
    </row>
    <row r="5081" spans="16:20">
      <c r="P5081" s="1094">
        <v>2839</v>
      </c>
      <c r="Q5081" t="s">
        <v>6071</v>
      </c>
      <c r="R5081" t="s">
        <v>248</v>
      </c>
      <c r="S5081">
        <v>146.94474</v>
      </c>
      <c r="T5081" s="1095">
        <v>-29.831299999999999</v>
      </c>
    </row>
    <row r="5082" spans="16:20">
      <c r="P5082" s="1094">
        <v>2840</v>
      </c>
      <c r="Q5082" t="s">
        <v>6072</v>
      </c>
      <c r="R5082" t="s">
        <v>248</v>
      </c>
      <c r="S5082">
        <v>145.25137100000001</v>
      </c>
      <c r="T5082" s="1095">
        <v>-30.205908000000001</v>
      </c>
    </row>
    <row r="5083" spans="16:20">
      <c r="P5083" s="1094">
        <v>2840</v>
      </c>
      <c r="Q5083" t="s">
        <v>6073</v>
      </c>
      <c r="R5083" t="s">
        <v>248</v>
      </c>
      <c r="S5083">
        <v>145.25137100000001</v>
      </c>
      <c r="T5083" s="1095">
        <v>-30.205908000000001</v>
      </c>
    </row>
    <row r="5084" spans="16:20">
      <c r="P5084" s="1094">
        <v>2840</v>
      </c>
      <c r="Q5084" t="s">
        <v>6074</v>
      </c>
      <c r="R5084" t="s">
        <v>248</v>
      </c>
      <c r="S5084">
        <v>145.25137100000001</v>
      </c>
      <c r="T5084" s="1095">
        <v>-30.205908000000001</v>
      </c>
    </row>
    <row r="5085" spans="16:20">
      <c r="P5085" s="1094">
        <v>2840</v>
      </c>
      <c r="Q5085" t="s">
        <v>6075</v>
      </c>
      <c r="R5085" t="s">
        <v>248</v>
      </c>
      <c r="S5085">
        <v>145.25137100000001</v>
      </c>
      <c r="T5085" s="1095">
        <v>-30.205908000000001</v>
      </c>
    </row>
    <row r="5086" spans="16:20">
      <c r="P5086" s="1094">
        <v>2840</v>
      </c>
      <c r="Q5086" t="s">
        <v>6076</v>
      </c>
      <c r="R5086" t="s">
        <v>248</v>
      </c>
      <c r="S5086">
        <v>145.25137100000001</v>
      </c>
      <c r="T5086" s="1095">
        <v>-30.205908000000001</v>
      </c>
    </row>
    <row r="5087" spans="16:20">
      <c r="P5087" s="1094">
        <v>2840</v>
      </c>
      <c r="Q5087" t="s">
        <v>6077</v>
      </c>
      <c r="R5087" t="s">
        <v>248</v>
      </c>
      <c r="S5087">
        <v>145.25137100000001</v>
      </c>
      <c r="T5087" s="1095">
        <v>-30.205908000000001</v>
      </c>
    </row>
    <row r="5088" spans="16:20">
      <c r="P5088" s="1094">
        <v>2840</v>
      </c>
      <c r="Q5088" t="s">
        <v>6078</v>
      </c>
      <c r="R5088" t="s">
        <v>248</v>
      </c>
      <c r="S5088">
        <v>145.25137100000001</v>
      </c>
      <c r="T5088" s="1095">
        <v>-30.205908000000001</v>
      </c>
    </row>
    <row r="5089" spans="16:20">
      <c r="P5089" s="1094">
        <v>2840</v>
      </c>
      <c r="Q5089" t="s">
        <v>6079</v>
      </c>
      <c r="R5089" t="s">
        <v>248</v>
      </c>
      <c r="S5089">
        <v>145.25137100000001</v>
      </c>
      <c r="T5089" s="1095">
        <v>-30.205908000000001</v>
      </c>
    </row>
    <row r="5090" spans="16:20">
      <c r="P5090" s="1094">
        <v>2840</v>
      </c>
      <c r="Q5090" t="s">
        <v>6080</v>
      </c>
      <c r="R5090" t="s">
        <v>248</v>
      </c>
      <c r="S5090">
        <v>145.25137100000001</v>
      </c>
      <c r="T5090" s="1095">
        <v>-30.205908000000001</v>
      </c>
    </row>
    <row r="5091" spans="16:20">
      <c r="P5091" s="1094">
        <v>2840</v>
      </c>
      <c r="Q5091" t="s">
        <v>6081</v>
      </c>
      <c r="R5091" t="s">
        <v>248</v>
      </c>
      <c r="S5091">
        <v>145.25137100000001</v>
      </c>
      <c r="T5091" s="1095">
        <v>-30.205908000000001</v>
      </c>
    </row>
    <row r="5092" spans="16:20">
      <c r="P5092" s="1094">
        <v>2842</v>
      </c>
      <c r="Q5092" t="s">
        <v>6082</v>
      </c>
      <c r="R5092" t="s">
        <v>248</v>
      </c>
      <c r="S5092">
        <v>149.05195399999999</v>
      </c>
      <c r="T5092" s="1095">
        <v>-31.690852</v>
      </c>
    </row>
    <row r="5093" spans="16:20">
      <c r="P5093" s="1094">
        <v>2842</v>
      </c>
      <c r="Q5093" t="s">
        <v>6083</v>
      </c>
      <c r="R5093" t="s">
        <v>248</v>
      </c>
      <c r="S5093">
        <v>149.05195399999999</v>
      </c>
      <c r="T5093" s="1095">
        <v>-31.690852</v>
      </c>
    </row>
    <row r="5094" spans="16:20">
      <c r="P5094" s="1094">
        <v>2842</v>
      </c>
      <c r="Q5094" t="s">
        <v>6084</v>
      </c>
      <c r="R5094" t="s">
        <v>248</v>
      </c>
      <c r="S5094">
        <v>149.05195399999999</v>
      </c>
      <c r="T5094" s="1095">
        <v>-31.690852</v>
      </c>
    </row>
    <row r="5095" spans="16:20">
      <c r="P5095" s="1094">
        <v>2843</v>
      </c>
      <c r="Q5095" t="s">
        <v>6085</v>
      </c>
      <c r="R5095" t="s">
        <v>248</v>
      </c>
      <c r="S5095">
        <v>149.72779800000001</v>
      </c>
      <c r="T5095" s="1095">
        <v>-31.824339999999999</v>
      </c>
    </row>
    <row r="5096" spans="16:20">
      <c r="P5096" s="1094">
        <v>2844</v>
      </c>
      <c r="Q5096" t="s">
        <v>6086</v>
      </c>
      <c r="R5096" t="s">
        <v>248</v>
      </c>
      <c r="S5096">
        <v>149.31929500000001</v>
      </c>
      <c r="T5096" s="1095">
        <v>-31.924969000000001</v>
      </c>
    </row>
    <row r="5097" spans="16:20">
      <c r="P5097" s="1094">
        <v>2844</v>
      </c>
      <c r="Q5097" t="s">
        <v>6087</v>
      </c>
      <c r="R5097" t="s">
        <v>248</v>
      </c>
      <c r="S5097">
        <v>149.31929500000001</v>
      </c>
      <c r="T5097" s="1095">
        <v>-31.924969000000001</v>
      </c>
    </row>
    <row r="5098" spans="16:20">
      <c r="P5098" s="1094">
        <v>2844</v>
      </c>
      <c r="Q5098" t="s">
        <v>6088</v>
      </c>
      <c r="R5098" t="s">
        <v>248</v>
      </c>
      <c r="S5098">
        <v>149.31929500000001</v>
      </c>
      <c r="T5098" s="1095">
        <v>-31.924969000000001</v>
      </c>
    </row>
    <row r="5099" spans="16:20">
      <c r="P5099" s="1094">
        <v>2844</v>
      </c>
      <c r="Q5099" t="s">
        <v>6089</v>
      </c>
      <c r="R5099" t="s">
        <v>248</v>
      </c>
      <c r="S5099">
        <v>149.31929500000001</v>
      </c>
      <c r="T5099" s="1095">
        <v>-31.924969000000001</v>
      </c>
    </row>
    <row r="5100" spans="16:20">
      <c r="P5100" s="1094">
        <v>2845</v>
      </c>
      <c r="Q5100" t="s">
        <v>6090</v>
      </c>
      <c r="R5100" t="s">
        <v>248</v>
      </c>
      <c r="S5100">
        <v>150.04201</v>
      </c>
      <c r="T5100" s="1095">
        <v>-33.404961</v>
      </c>
    </row>
    <row r="5101" spans="16:20">
      <c r="P5101" s="1094">
        <v>2845</v>
      </c>
      <c r="Q5101" t="s">
        <v>6091</v>
      </c>
      <c r="R5101" t="s">
        <v>248</v>
      </c>
      <c r="S5101">
        <v>150.04201</v>
      </c>
      <c r="T5101" s="1095">
        <v>-33.404961</v>
      </c>
    </row>
    <row r="5102" spans="16:20">
      <c r="P5102" s="1094">
        <v>2846</v>
      </c>
      <c r="Q5102" t="s">
        <v>6092</v>
      </c>
      <c r="R5102" t="s">
        <v>248</v>
      </c>
      <c r="S5102">
        <v>150.11860899999999</v>
      </c>
      <c r="T5102" s="1095">
        <v>-33.071806000000002</v>
      </c>
    </row>
    <row r="5103" spans="16:20">
      <c r="P5103" s="1094">
        <v>2846</v>
      </c>
      <c r="Q5103" t="s">
        <v>6093</v>
      </c>
      <c r="R5103" t="s">
        <v>248</v>
      </c>
      <c r="S5103">
        <v>150.11860899999999</v>
      </c>
      <c r="T5103" s="1095">
        <v>-33.071806000000002</v>
      </c>
    </row>
    <row r="5104" spans="16:20">
      <c r="P5104" s="1094">
        <v>2846</v>
      </c>
      <c r="Q5104" t="s">
        <v>6094</v>
      </c>
      <c r="R5104" t="s">
        <v>248</v>
      </c>
      <c r="S5104">
        <v>150.11860899999999</v>
      </c>
      <c r="T5104" s="1095">
        <v>-33.071806000000002</v>
      </c>
    </row>
    <row r="5105" spans="16:20">
      <c r="P5105" s="1094">
        <v>2846</v>
      </c>
      <c r="Q5105" t="s">
        <v>6095</v>
      </c>
      <c r="R5105" t="s">
        <v>248</v>
      </c>
      <c r="S5105">
        <v>150.11860899999999</v>
      </c>
      <c r="T5105" s="1095">
        <v>-33.071806000000002</v>
      </c>
    </row>
    <row r="5106" spans="16:20">
      <c r="P5106" s="1094">
        <v>2846</v>
      </c>
      <c r="Q5106" t="s">
        <v>6096</v>
      </c>
      <c r="R5106" t="s">
        <v>248</v>
      </c>
      <c r="S5106">
        <v>150.11860899999999</v>
      </c>
      <c r="T5106" s="1095">
        <v>-33.071806000000002</v>
      </c>
    </row>
    <row r="5107" spans="16:20">
      <c r="P5107" s="1094">
        <v>2847</v>
      </c>
      <c r="Q5107" t="s">
        <v>6097</v>
      </c>
      <c r="R5107" t="s">
        <v>248</v>
      </c>
      <c r="S5107">
        <v>149.96979899999999</v>
      </c>
      <c r="T5107" s="1095">
        <v>-33.404462000000002</v>
      </c>
    </row>
    <row r="5108" spans="16:20">
      <c r="P5108" s="1094">
        <v>2847</v>
      </c>
      <c r="Q5108" t="s">
        <v>6098</v>
      </c>
      <c r="R5108" t="s">
        <v>248</v>
      </c>
      <c r="S5108">
        <v>149.96979899999999</v>
      </c>
      <c r="T5108" s="1095">
        <v>-33.404462000000002</v>
      </c>
    </row>
    <row r="5109" spans="16:20">
      <c r="P5109" s="1094">
        <v>2848</v>
      </c>
      <c r="Q5109" t="s">
        <v>6099</v>
      </c>
      <c r="R5109" t="s">
        <v>248</v>
      </c>
      <c r="S5109">
        <v>149.96413100000001</v>
      </c>
      <c r="T5109" s="1095">
        <v>-32.901412000000001</v>
      </c>
    </row>
    <row r="5110" spans="16:20">
      <c r="P5110" s="1094">
        <v>2848</v>
      </c>
      <c r="Q5110" t="s">
        <v>6100</v>
      </c>
      <c r="R5110" t="s">
        <v>248</v>
      </c>
      <c r="S5110">
        <v>149.96413100000001</v>
      </c>
      <c r="T5110" s="1095">
        <v>-32.901412000000001</v>
      </c>
    </row>
    <row r="5111" spans="16:20">
      <c r="P5111" s="1094">
        <v>2848</v>
      </c>
      <c r="Q5111" t="s">
        <v>6101</v>
      </c>
      <c r="R5111" t="s">
        <v>248</v>
      </c>
      <c r="S5111">
        <v>149.96413100000001</v>
      </c>
      <c r="T5111" s="1095">
        <v>-32.901412000000001</v>
      </c>
    </row>
    <row r="5112" spans="16:20">
      <c r="P5112" s="1094">
        <v>2848</v>
      </c>
      <c r="Q5112" t="s">
        <v>6102</v>
      </c>
      <c r="R5112" t="s">
        <v>248</v>
      </c>
      <c r="S5112">
        <v>149.96413100000001</v>
      </c>
      <c r="T5112" s="1095">
        <v>-32.901412000000001</v>
      </c>
    </row>
    <row r="5113" spans="16:20">
      <c r="P5113" s="1094">
        <v>2849</v>
      </c>
      <c r="Q5113" t="s">
        <v>6103</v>
      </c>
      <c r="R5113" t="s">
        <v>248</v>
      </c>
      <c r="S5113">
        <v>150.059088</v>
      </c>
      <c r="T5113" s="1095">
        <v>-32.708934999999997</v>
      </c>
    </row>
    <row r="5114" spans="16:20">
      <c r="P5114" s="1094">
        <v>2849</v>
      </c>
      <c r="Q5114" t="s">
        <v>6104</v>
      </c>
      <c r="R5114" t="s">
        <v>248</v>
      </c>
      <c r="S5114">
        <v>150.059088</v>
      </c>
      <c r="T5114" s="1095">
        <v>-32.708934999999997</v>
      </c>
    </row>
    <row r="5115" spans="16:20">
      <c r="P5115" s="1094">
        <v>2849</v>
      </c>
      <c r="Q5115" t="s">
        <v>6105</v>
      </c>
      <c r="R5115" t="s">
        <v>248</v>
      </c>
      <c r="S5115">
        <v>150.059088</v>
      </c>
      <c r="T5115" s="1095">
        <v>-32.708934999999997</v>
      </c>
    </row>
    <row r="5116" spans="16:20">
      <c r="P5116" s="1094">
        <v>2849</v>
      </c>
      <c r="Q5116" t="s">
        <v>6106</v>
      </c>
      <c r="R5116" t="s">
        <v>248</v>
      </c>
      <c r="S5116">
        <v>150.059088</v>
      </c>
      <c r="T5116" s="1095">
        <v>-32.708934999999997</v>
      </c>
    </row>
    <row r="5117" spans="16:20">
      <c r="P5117" s="1094">
        <v>2849</v>
      </c>
      <c r="Q5117" t="s">
        <v>6107</v>
      </c>
      <c r="R5117" t="s">
        <v>248</v>
      </c>
      <c r="S5117">
        <v>150.059088</v>
      </c>
      <c r="T5117" s="1095">
        <v>-32.708934999999997</v>
      </c>
    </row>
    <row r="5118" spans="16:20">
      <c r="P5118" s="1094">
        <v>2849</v>
      </c>
      <c r="Q5118" t="s">
        <v>6108</v>
      </c>
      <c r="R5118" t="s">
        <v>248</v>
      </c>
      <c r="S5118">
        <v>150.059088</v>
      </c>
      <c r="T5118" s="1095">
        <v>-32.708934999999997</v>
      </c>
    </row>
    <row r="5119" spans="16:20">
      <c r="P5119" s="1094">
        <v>2849</v>
      </c>
      <c r="Q5119" t="s">
        <v>6109</v>
      </c>
      <c r="R5119" t="s">
        <v>248</v>
      </c>
      <c r="S5119">
        <v>150.059088</v>
      </c>
      <c r="T5119" s="1095">
        <v>-32.708934999999997</v>
      </c>
    </row>
    <row r="5120" spans="16:20">
      <c r="P5120" s="1094">
        <v>2849</v>
      </c>
      <c r="Q5120" t="s">
        <v>6110</v>
      </c>
      <c r="R5120" t="s">
        <v>248</v>
      </c>
      <c r="S5120">
        <v>150.059088</v>
      </c>
      <c r="T5120" s="1095">
        <v>-32.708934999999997</v>
      </c>
    </row>
    <row r="5121" spans="16:20">
      <c r="P5121" s="1094">
        <v>2849</v>
      </c>
      <c r="Q5121" t="s">
        <v>6111</v>
      </c>
      <c r="R5121" t="s">
        <v>248</v>
      </c>
      <c r="S5121">
        <v>150.059088</v>
      </c>
      <c r="T5121" s="1095">
        <v>-32.708934999999997</v>
      </c>
    </row>
    <row r="5122" spans="16:20">
      <c r="P5122" s="1094">
        <v>2849</v>
      </c>
      <c r="Q5122" t="s">
        <v>6112</v>
      </c>
      <c r="R5122" t="s">
        <v>248</v>
      </c>
      <c r="S5122">
        <v>150.059088</v>
      </c>
      <c r="T5122" s="1095">
        <v>-32.708934999999997</v>
      </c>
    </row>
    <row r="5123" spans="16:20">
      <c r="P5123" s="1094">
        <v>2849</v>
      </c>
      <c r="Q5123" t="s">
        <v>6113</v>
      </c>
      <c r="R5123" t="s">
        <v>248</v>
      </c>
      <c r="S5123">
        <v>150.059088</v>
      </c>
      <c r="T5123" s="1095">
        <v>-32.708934999999997</v>
      </c>
    </row>
    <row r="5124" spans="16:20">
      <c r="P5124" s="1094">
        <v>2849</v>
      </c>
      <c r="Q5124" t="s">
        <v>6114</v>
      </c>
      <c r="R5124" t="s">
        <v>248</v>
      </c>
      <c r="S5124">
        <v>150.059088</v>
      </c>
      <c r="T5124" s="1095">
        <v>-32.708934999999997</v>
      </c>
    </row>
    <row r="5125" spans="16:20">
      <c r="P5125" s="1094">
        <v>2849</v>
      </c>
      <c r="Q5125" t="s">
        <v>6115</v>
      </c>
      <c r="R5125" t="s">
        <v>248</v>
      </c>
      <c r="S5125">
        <v>150.059088</v>
      </c>
      <c r="T5125" s="1095">
        <v>-32.708934999999997</v>
      </c>
    </row>
    <row r="5126" spans="16:20">
      <c r="P5126" s="1094">
        <v>2849</v>
      </c>
      <c r="Q5126" t="s">
        <v>6116</v>
      </c>
      <c r="R5126" t="s">
        <v>248</v>
      </c>
      <c r="S5126">
        <v>150.059088</v>
      </c>
      <c r="T5126" s="1095">
        <v>-32.708934999999997</v>
      </c>
    </row>
    <row r="5127" spans="16:20">
      <c r="P5127" s="1094">
        <v>2849</v>
      </c>
      <c r="Q5127" t="s">
        <v>6117</v>
      </c>
      <c r="R5127" t="s">
        <v>248</v>
      </c>
      <c r="S5127">
        <v>150.059088</v>
      </c>
      <c r="T5127" s="1095">
        <v>-32.708934999999997</v>
      </c>
    </row>
    <row r="5128" spans="16:20">
      <c r="P5128" s="1094">
        <v>2849</v>
      </c>
      <c r="Q5128" t="s">
        <v>6118</v>
      </c>
      <c r="R5128" t="s">
        <v>248</v>
      </c>
      <c r="S5128">
        <v>150.059088</v>
      </c>
      <c r="T5128" s="1095">
        <v>-32.708934999999997</v>
      </c>
    </row>
    <row r="5129" spans="16:20">
      <c r="P5129" s="1094">
        <v>2849</v>
      </c>
      <c r="Q5129" t="s">
        <v>6119</v>
      </c>
      <c r="R5129" t="s">
        <v>248</v>
      </c>
      <c r="S5129">
        <v>150.059088</v>
      </c>
      <c r="T5129" s="1095">
        <v>-32.708934999999997</v>
      </c>
    </row>
    <row r="5130" spans="16:20">
      <c r="P5130" s="1094">
        <v>2849</v>
      </c>
      <c r="Q5130" t="s">
        <v>6120</v>
      </c>
      <c r="R5130" t="s">
        <v>248</v>
      </c>
      <c r="S5130">
        <v>150.059088</v>
      </c>
      <c r="T5130" s="1095">
        <v>-32.708934999999997</v>
      </c>
    </row>
    <row r="5131" spans="16:20">
      <c r="P5131" s="1094">
        <v>2849</v>
      </c>
      <c r="Q5131" t="s">
        <v>6121</v>
      </c>
      <c r="R5131" t="s">
        <v>248</v>
      </c>
      <c r="S5131">
        <v>150.059088</v>
      </c>
      <c r="T5131" s="1095">
        <v>-32.708934999999997</v>
      </c>
    </row>
    <row r="5132" spans="16:20">
      <c r="P5132" s="1094">
        <v>2849</v>
      </c>
      <c r="Q5132" t="s">
        <v>6122</v>
      </c>
      <c r="R5132" t="s">
        <v>248</v>
      </c>
      <c r="S5132">
        <v>150.059088</v>
      </c>
      <c r="T5132" s="1095">
        <v>-32.708934999999997</v>
      </c>
    </row>
    <row r="5133" spans="16:20">
      <c r="P5133" s="1094">
        <v>2849</v>
      </c>
      <c r="Q5133" t="s">
        <v>6123</v>
      </c>
      <c r="R5133" t="s">
        <v>248</v>
      </c>
      <c r="S5133">
        <v>150.059088</v>
      </c>
      <c r="T5133" s="1095">
        <v>-32.708934999999997</v>
      </c>
    </row>
    <row r="5134" spans="16:20">
      <c r="P5134" s="1094">
        <v>2849</v>
      </c>
      <c r="Q5134" t="s">
        <v>6124</v>
      </c>
      <c r="R5134" t="s">
        <v>248</v>
      </c>
      <c r="S5134">
        <v>150.059088</v>
      </c>
      <c r="T5134" s="1095">
        <v>-32.708934999999997</v>
      </c>
    </row>
    <row r="5135" spans="16:20">
      <c r="P5135" s="1094">
        <v>2849</v>
      </c>
      <c r="Q5135" t="s">
        <v>6125</v>
      </c>
      <c r="R5135" t="s">
        <v>248</v>
      </c>
      <c r="S5135">
        <v>150.059088</v>
      </c>
      <c r="T5135" s="1095">
        <v>-32.708934999999997</v>
      </c>
    </row>
    <row r="5136" spans="16:20">
      <c r="P5136" s="1094">
        <v>2849</v>
      </c>
      <c r="Q5136" t="s">
        <v>2778</v>
      </c>
      <c r="R5136" t="s">
        <v>248</v>
      </c>
      <c r="S5136">
        <v>150.059088</v>
      </c>
      <c r="T5136" s="1095">
        <v>-32.708934999999997</v>
      </c>
    </row>
    <row r="5137" spans="16:20">
      <c r="P5137" s="1094">
        <v>2849</v>
      </c>
      <c r="Q5137" t="s">
        <v>6126</v>
      </c>
      <c r="R5137" t="s">
        <v>248</v>
      </c>
      <c r="S5137">
        <v>150.059088</v>
      </c>
      <c r="T5137" s="1095">
        <v>-32.708934999999997</v>
      </c>
    </row>
    <row r="5138" spans="16:20">
      <c r="P5138" s="1094">
        <v>2849</v>
      </c>
      <c r="Q5138" t="s">
        <v>6127</v>
      </c>
      <c r="R5138" t="s">
        <v>248</v>
      </c>
      <c r="S5138">
        <v>150.059088</v>
      </c>
      <c r="T5138" s="1095">
        <v>-32.708934999999997</v>
      </c>
    </row>
    <row r="5139" spans="16:20">
      <c r="P5139" s="1094">
        <v>2849</v>
      </c>
      <c r="Q5139" t="s">
        <v>6128</v>
      </c>
      <c r="R5139" t="s">
        <v>248</v>
      </c>
      <c r="S5139">
        <v>150.059088</v>
      </c>
      <c r="T5139" s="1095">
        <v>-32.708934999999997</v>
      </c>
    </row>
    <row r="5140" spans="16:20">
      <c r="P5140" s="1094">
        <v>2849</v>
      </c>
      <c r="Q5140" t="s">
        <v>6129</v>
      </c>
      <c r="R5140" t="s">
        <v>248</v>
      </c>
      <c r="S5140">
        <v>150.059088</v>
      </c>
      <c r="T5140" s="1095">
        <v>-32.708934999999997</v>
      </c>
    </row>
    <row r="5141" spans="16:20">
      <c r="P5141" s="1094">
        <v>2849</v>
      </c>
      <c r="Q5141" t="s">
        <v>6130</v>
      </c>
      <c r="R5141" t="s">
        <v>248</v>
      </c>
      <c r="S5141">
        <v>150.059088</v>
      </c>
      <c r="T5141" s="1095">
        <v>-32.708934999999997</v>
      </c>
    </row>
    <row r="5142" spans="16:20">
      <c r="P5142" s="1094">
        <v>2850</v>
      </c>
      <c r="Q5142" t="s">
        <v>6131</v>
      </c>
      <c r="R5142" t="s">
        <v>248</v>
      </c>
      <c r="S5142">
        <v>149.602925</v>
      </c>
      <c r="T5142" s="1095">
        <v>-32.685032999999997</v>
      </c>
    </row>
    <row r="5143" spans="16:20">
      <c r="P5143" s="1094">
        <v>2850</v>
      </c>
      <c r="Q5143" t="s">
        <v>6132</v>
      </c>
      <c r="R5143" t="s">
        <v>248</v>
      </c>
      <c r="S5143">
        <v>149.602925</v>
      </c>
      <c r="T5143" s="1095">
        <v>-32.685032999999997</v>
      </c>
    </row>
    <row r="5144" spans="16:20">
      <c r="P5144" s="1094">
        <v>2850</v>
      </c>
      <c r="Q5144" t="s">
        <v>6133</v>
      </c>
      <c r="R5144" t="s">
        <v>248</v>
      </c>
      <c r="S5144">
        <v>149.602925</v>
      </c>
      <c r="T5144" s="1095">
        <v>-32.685032999999997</v>
      </c>
    </row>
    <row r="5145" spans="16:20">
      <c r="P5145" s="1094">
        <v>2850</v>
      </c>
      <c r="Q5145" t="s">
        <v>6134</v>
      </c>
      <c r="R5145" t="s">
        <v>248</v>
      </c>
      <c r="S5145">
        <v>149.602925</v>
      </c>
      <c r="T5145" s="1095">
        <v>-32.685032999999997</v>
      </c>
    </row>
    <row r="5146" spans="16:20">
      <c r="P5146" s="1094">
        <v>2850</v>
      </c>
      <c r="Q5146" t="s">
        <v>6135</v>
      </c>
      <c r="R5146" t="s">
        <v>248</v>
      </c>
      <c r="S5146">
        <v>149.602925</v>
      </c>
      <c r="T5146" s="1095">
        <v>-32.685032999999997</v>
      </c>
    </row>
    <row r="5147" spans="16:20">
      <c r="P5147" s="1094">
        <v>2850</v>
      </c>
      <c r="Q5147" t="s">
        <v>6136</v>
      </c>
      <c r="R5147" t="s">
        <v>248</v>
      </c>
      <c r="S5147">
        <v>149.602925</v>
      </c>
      <c r="T5147" s="1095">
        <v>-32.685032999999997</v>
      </c>
    </row>
    <row r="5148" spans="16:20">
      <c r="P5148" s="1094">
        <v>2850</v>
      </c>
      <c r="Q5148" t="s">
        <v>6137</v>
      </c>
      <c r="R5148" t="s">
        <v>248</v>
      </c>
      <c r="S5148">
        <v>149.602925</v>
      </c>
      <c r="T5148" s="1095">
        <v>-32.685032999999997</v>
      </c>
    </row>
    <row r="5149" spans="16:20">
      <c r="P5149" s="1094">
        <v>2850</v>
      </c>
      <c r="Q5149" t="s">
        <v>6138</v>
      </c>
      <c r="R5149" t="s">
        <v>248</v>
      </c>
      <c r="S5149">
        <v>149.602925</v>
      </c>
      <c r="T5149" s="1095">
        <v>-32.685032999999997</v>
      </c>
    </row>
    <row r="5150" spans="16:20">
      <c r="P5150" s="1094">
        <v>2850</v>
      </c>
      <c r="Q5150" t="s">
        <v>6139</v>
      </c>
      <c r="R5150" t="s">
        <v>248</v>
      </c>
      <c r="S5150">
        <v>149.602925</v>
      </c>
      <c r="T5150" s="1095">
        <v>-32.685032999999997</v>
      </c>
    </row>
    <row r="5151" spans="16:20">
      <c r="P5151" s="1094">
        <v>2850</v>
      </c>
      <c r="Q5151" t="s">
        <v>6140</v>
      </c>
      <c r="R5151" t="s">
        <v>248</v>
      </c>
      <c r="S5151">
        <v>149.602925</v>
      </c>
      <c r="T5151" s="1095">
        <v>-32.685032999999997</v>
      </c>
    </row>
    <row r="5152" spans="16:20">
      <c r="P5152" s="1094">
        <v>2850</v>
      </c>
      <c r="Q5152" t="s">
        <v>6141</v>
      </c>
      <c r="R5152" t="s">
        <v>248</v>
      </c>
      <c r="S5152">
        <v>149.602925</v>
      </c>
      <c r="T5152" s="1095">
        <v>-32.685032999999997</v>
      </c>
    </row>
    <row r="5153" spans="16:20">
      <c r="P5153" s="1094">
        <v>2850</v>
      </c>
      <c r="Q5153" t="s">
        <v>6142</v>
      </c>
      <c r="R5153" t="s">
        <v>248</v>
      </c>
      <c r="S5153">
        <v>149.602925</v>
      </c>
      <c r="T5153" s="1095">
        <v>-32.685032999999997</v>
      </c>
    </row>
    <row r="5154" spans="16:20">
      <c r="P5154" s="1094">
        <v>2850</v>
      </c>
      <c r="Q5154" t="s">
        <v>6143</v>
      </c>
      <c r="R5154" t="s">
        <v>248</v>
      </c>
      <c r="S5154">
        <v>149.602925</v>
      </c>
      <c r="T5154" s="1095">
        <v>-32.685032999999997</v>
      </c>
    </row>
    <row r="5155" spans="16:20">
      <c r="P5155" s="1094">
        <v>2850</v>
      </c>
      <c r="Q5155" t="s">
        <v>6144</v>
      </c>
      <c r="R5155" t="s">
        <v>248</v>
      </c>
      <c r="S5155">
        <v>149.602925</v>
      </c>
      <c r="T5155" s="1095">
        <v>-32.685032999999997</v>
      </c>
    </row>
    <row r="5156" spans="16:20">
      <c r="P5156" s="1094">
        <v>2850</v>
      </c>
      <c r="Q5156" t="s">
        <v>6145</v>
      </c>
      <c r="R5156" t="s">
        <v>248</v>
      </c>
      <c r="S5156">
        <v>149.602925</v>
      </c>
      <c r="T5156" s="1095">
        <v>-32.685032999999997</v>
      </c>
    </row>
    <row r="5157" spans="16:20">
      <c r="P5157" s="1094">
        <v>2850</v>
      </c>
      <c r="Q5157" t="s">
        <v>6146</v>
      </c>
      <c r="R5157" t="s">
        <v>248</v>
      </c>
      <c r="S5157">
        <v>149.602925</v>
      </c>
      <c r="T5157" s="1095">
        <v>-32.685032999999997</v>
      </c>
    </row>
    <row r="5158" spans="16:20">
      <c r="P5158" s="1094">
        <v>2850</v>
      </c>
      <c r="Q5158" t="s">
        <v>6147</v>
      </c>
      <c r="R5158" t="s">
        <v>248</v>
      </c>
      <c r="S5158">
        <v>149.602925</v>
      </c>
      <c r="T5158" s="1095">
        <v>-32.685032999999997</v>
      </c>
    </row>
    <row r="5159" spans="16:20">
      <c r="P5159" s="1094">
        <v>2850</v>
      </c>
      <c r="Q5159" t="s">
        <v>6148</v>
      </c>
      <c r="R5159" t="s">
        <v>248</v>
      </c>
      <c r="S5159">
        <v>149.602925</v>
      </c>
      <c r="T5159" s="1095">
        <v>-32.685032999999997</v>
      </c>
    </row>
    <row r="5160" spans="16:20">
      <c r="P5160" s="1094">
        <v>2850</v>
      </c>
      <c r="Q5160" t="s">
        <v>6149</v>
      </c>
      <c r="R5160" t="s">
        <v>248</v>
      </c>
      <c r="S5160">
        <v>149.602925</v>
      </c>
      <c r="T5160" s="1095">
        <v>-32.685032999999997</v>
      </c>
    </row>
    <row r="5161" spans="16:20">
      <c r="P5161" s="1094">
        <v>2850</v>
      </c>
      <c r="Q5161" t="s">
        <v>6150</v>
      </c>
      <c r="R5161" t="s">
        <v>248</v>
      </c>
      <c r="S5161">
        <v>149.602925</v>
      </c>
      <c r="T5161" s="1095">
        <v>-32.685032999999997</v>
      </c>
    </row>
    <row r="5162" spans="16:20">
      <c r="P5162" s="1094">
        <v>2850</v>
      </c>
      <c r="Q5162" t="s">
        <v>6151</v>
      </c>
      <c r="R5162" t="s">
        <v>248</v>
      </c>
      <c r="S5162">
        <v>149.602925</v>
      </c>
      <c r="T5162" s="1095">
        <v>-32.685032999999997</v>
      </c>
    </row>
    <row r="5163" spans="16:20">
      <c r="P5163" s="1094">
        <v>2850</v>
      </c>
      <c r="Q5163" t="s">
        <v>6152</v>
      </c>
      <c r="R5163" t="s">
        <v>248</v>
      </c>
      <c r="S5163">
        <v>149.602925</v>
      </c>
      <c r="T5163" s="1095">
        <v>-32.685032999999997</v>
      </c>
    </row>
    <row r="5164" spans="16:20">
      <c r="P5164" s="1094">
        <v>2850</v>
      </c>
      <c r="Q5164" t="s">
        <v>6153</v>
      </c>
      <c r="R5164" t="s">
        <v>248</v>
      </c>
      <c r="S5164">
        <v>149.602925</v>
      </c>
      <c r="T5164" s="1095">
        <v>-32.685032999999997</v>
      </c>
    </row>
    <row r="5165" spans="16:20">
      <c r="P5165" s="1094">
        <v>2850</v>
      </c>
      <c r="Q5165" t="s">
        <v>6154</v>
      </c>
      <c r="R5165" t="s">
        <v>248</v>
      </c>
      <c r="S5165">
        <v>149.602925</v>
      </c>
      <c r="T5165" s="1095">
        <v>-32.685032999999997</v>
      </c>
    </row>
    <row r="5166" spans="16:20">
      <c r="P5166" s="1094">
        <v>2850</v>
      </c>
      <c r="Q5166" t="s">
        <v>6155</v>
      </c>
      <c r="R5166" t="s">
        <v>248</v>
      </c>
      <c r="S5166">
        <v>149.602925</v>
      </c>
      <c r="T5166" s="1095">
        <v>-32.685032999999997</v>
      </c>
    </row>
    <row r="5167" spans="16:20">
      <c r="P5167" s="1094">
        <v>2850</v>
      </c>
      <c r="Q5167" t="s">
        <v>6156</v>
      </c>
      <c r="R5167" t="s">
        <v>248</v>
      </c>
      <c r="S5167">
        <v>149.602925</v>
      </c>
      <c r="T5167" s="1095">
        <v>-32.685032999999997</v>
      </c>
    </row>
    <row r="5168" spans="16:20">
      <c r="P5168" s="1094">
        <v>2850</v>
      </c>
      <c r="Q5168" t="s">
        <v>6157</v>
      </c>
      <c r="R5168" t="s">
        <v>248</v>
      </c>
      <c r="S5168">
        <v>149.602925</v>
      </c>
      <c r="T5168" s="1095">
        <v>-32.685032999999997</v>
      </c>
    </row>
    <row r="5169" spans="16:20">
      <c r="P5169" s="1094">
        <v>2850</v>
      </c>
      <c r="Q5169" t="s">
        <v>6158</v>
      </c>
      <c r="R5169" t="s">
        <v>248</v>
      </c>
      <c r="S5169">
        <v>149.602925</v>
      </c>
      <c r="T5169" s="1095">
        <v>-32.685032999999997</v>
      </c>
    </row>
    <row r="5170" spans="16:20">
      <c r="P5170" s="1094">
        <v>2850</v>
      </c>
      <c r="Q5170" t="s">
        <v>6159</v>
      </c>
      <c r="R5170" t="s">
        <v>248</v>
      </c>
      <c r="S5170">
        <v>149.602925</v>
      </c>
      <c r="T5170" s="1095">
        <v>-32.685032999999997</v>
      </c>
    </row>
    <row r="5171" spans="16:20">
      <c r="P5171" s="1094">
        <v>2850</v>
      </c>
      <c r="Q5171" t="s">
        <v>6160</v>
      </c>
      <c r="R5171" t="s">
        <v>248</v>
      </c>
      <c r="S5171">
        <v>149.602925</v>
      </c>
      <c r="T5171" s="1095">
        <v>-32.685032999999997</v>
      </c>
    </row>
    <row r="5172" spans="16:20">
      <c r="P5172" s="1094">
        <v>2850</v>
      </c>
      <c r="Q5172" t="s">
        <v>6161</v>
      </c>
      <c r="R5172" t="s">
        <v>248</v>
      </c>
      <c r="S5172">
        <v>149.602925</v>
      </c>
      <c r="T5172" s="1095">
        <v>-32.685032999999997</v>
      </c>
    </row>
    <row r="5173" spans="16:20">
      <c r="P5173" s="1094">
        <v>2850</v>
      </c>
      <c r="Q5173" t="s">
        <v>6162</v>
      </c>
      <c r="R5173" t="s">
        <v>248</v>
      </c>
      <c r="S5173">
        <v>149.602925</v>
      </c>
      <c r="T5173" s="1095">
        <v>-32.685032999999997</v>
      </c>
    </row>
    <row r="5174" spans="16:20">
      <c r="P5174" s="1094">
        <v>2850</v>
      </c>
      <c r="Q5174" t="s">
        <v>6163</v>
      </c>
      <c r="R5174" t="s">
        <v>248</v>
      </c>
      <c r="S5174">
        <v>149.602925</v>
      </c>
      <c r="T5174" s="1095">
        <v>-32.685032999999997</v>
      </c>
    </row>
    <row r="5175" spans="16:20">
      <c r="P5175" s="1094">
        <v>2850</v>
      </c>
      <c r="Q5175" t="s">
        <v>6164</v>
      </c>
      <c r="R5175" t="s">
        <v>248</v>
      </c>
      <c r="S5175">
        <v>149.602925</v>
      </c>
      <c r="T5175" s="1095">
        <v>-32.685032999999997</v>
      </c>
    </row>
    <row r="5176" spans="16:20">
      <c r="P5176" s="1094">
        <v>2850</v>
      </c>
      <c r="Q5176" t="s">
        <v>6165</v>
      </c>
      <c r="R5176" t="s">
        <v>248</v>
      </c>
      <c r="S5176">
        <v>149.602925</v>
      </c>
      <c r="T5176" s="1095">
        <v>-32.685032999999997</v>
      </c>
    </row>
    <row r="5177" spans="16:20">
      <c r="P5177" s="1094">
        <v>2850</v>
      </c>
      <c r="Q5177" t="s">
        <v>6166</v>
      </c>
      <c r="R5177" t="s">
        <v>248</v>
      </c>
      <c r="S5177">
        <v>149.602925</v>
      </c>
      <c r="T5177" s="1095">
        <v>-32.685032999999997</v>
      </c>
    </row>
    <row r="5178" spans="16:20">
      <c r="P5178" s="1094">
        <v>2850</v>
      </c>
      <c r="Q5178" t="s">
        <v>6167</v>
      </c>
      <c r="R5178" t="s">
        <v>248</v>
      </c>
      <c r="S5178">
        <v>149.602925</v>
      </c>
      <c r="T5178" s="1095">
        <v>-32.685032999999997</v>
      </c>
    </row>
    <row r="5179" spans="16:20">
      <c r="P5179" s="1094">
        <v>2850</v>
      </c>
      <c r="Q5179" t="s">
        <v>6168</v>
      </c>
      <c r="R5179" t="s">
        <v>248</v>
      </c>
      <c r="S5179">
        <v>149.602925</v>
      </c>
      <c r="T5179" s="1095">
        <v>-32.685032999999997</v>
      </c>
    </row>
    <row r="5180" spans="16:20">
      <c r="P5180" s="1094">
        <v>2850</v>
      </c>
      <c r="Q5180" t="s">
        <v>6169</v>
      </c>
      <c r="R5180" t="s">
        <v>248</v>
      </c>
      <c r="S5180">
        <v>149.602925</v>
      </c>
      <c r="T5180" s="1095">
        <v>-32.685032999999997</v>
      </c>
    </row>
    <row r="5181" spans="16:20">
      <c r="P5181" s="1094">
        <v>2850</v>
      </c>
      <c r="Q5181" t="s">
        <v>6170</v>
      </c>
      <c r="R5181" t="s">
        <v>248</v>
      </c>
      <c r="S5181">
        <v>149.602925</v>
      </c>
      <c r="T5181" s="1095">
        <v>-32.685032999999997</v>
      </c>
    </row>
    <row r="5182" spans="16:20">
      <c r="P5182" s="1094">
        <v>2850</v>
      </c>
      <c r="Q5182" t="s">
        <v>6171</v>
      </c>
      <c r="R5182" t="s">
        <v>248</v>
      </c>
      <c r="S5182">
        <v>149.602925</v>
      </c>
      <c r="T5182" s="1095">
        <v>-32.685032999999997</v>
      </c>
    </row>
    <row r="5183" spans="16:20">
      <c r="P5183" s="1094">
        <v>2850</v>
      </c>
      <c r="Q5183" t="s">
        <v>6172</v>
      </c>
      <c r="R5183" t="s">
        <v>248</v>
      </c>
      <c r="S5183">
        <v>149.602925</v>
      </c>
      <c r="T5183" s="1095">
        <v>-32.685032999999997</v>
      </c>
    </row>
    <row r="5184" spans="16:20">
      <c r="P5184" s="1094">
        <v>2850</v>
      </c>
      <c r="Q5184" t="s">
        <v>6173</v>
      </c>
      <c r="R5184" t="s">
        <v>248</v>
      </c>
      <c r="S5184">
        <v>149.602925</v>
      </c>
      <c r="T5184" s="1095">
        <v>-32.685032999999997</v>
      </c>
    </row>
    <row r="5185" spans="16:20">
      <c r="P5185" s="1094">
        <v>2850</v>
      </c>
      <c r="Q5185" t="s">
        <v>6174</v>
      </c>
      <c r="R5185" t="s">
        <v>248</v>
      </c>
      <c r="S5185">
        <v>149.602925</v>
      </c>
      <c r="T5185" s="1095">
        <v>-32.685032999999997</v>
      </c>
    </row>
    <row r="5186" spans="16:20">
      <c r="P5186" s="1094">
        <v>2850</v>
      </c>
      <c r="Q5186" t="s">
        <v>3144</v>
      </c>
      <c r="R5186" t="s">
        <v>248</v>
      </c>
      <c r="S5186">
        <v>149.602925</v>
      </c>
      <c r="T5186" s="1095">
        <v>-32.685032999999997</v>
      </c>
    </row>
    <row r="5187" spans="16:20">
      <c r="P5187" s="1094">
        <v>2850</v>
      </c>
      <c r="Q5187" t="s">
        <v>4295</v>
      </c>
      <c r="R5187" t="s">
        <v>248</v>
      </c>
      <c r="S5187">
        <v>149.602925</v>
      </c>
      <c r="T5187" s="1095">
        <v>-32.685032999999997</v>
      </c>
    </row>
    <row r="5188" spans="16:20">
      <c r="P5188" s="1094">
        <v>2850</v>
      </c>
      <c r="Q5188" t="s">
        <v>6175</v>
      </c>
      <c r="R5188" t="s">
        <v>248</v>
      </c>
      <c r="S5188">
        <v>149.602925</v>
      </c>
      <c r="T5188" s="1095">
        <v>-32.685032999999997</v>
      </c>
    </row>
    <row r="5189" spans="16:20">
      <c r="P5189" s="1094">
        <v>2850</v>
      </c>
      <c r="Q5189" t="s">
        <v>6176</v>
      </c>
      <c r="R5189" t="s">
        <v>248</v>
      </c>
      <c r="S5189">
        <v>149.602925</v>
      </c>
      <c r="T5189" s="1095">
        <v>-32.685032999999997</v>
      </c>
    </row>
    <row r="5190" spans="16:20">
      <c r="P5190" s="1094">
        <v>2850</v>
      </c>
      <c r="Q5190" t="s">
        <v>6177</v>
      </c>
      <c r="R5190" t="s">
        <v>248</v>
      </c>
      <c r="S5190">
        <v>149.602925</v>
      </c>
      <c r="T5190" s="1095">
        <v>-32.685032999999997</v>
      </c>
    </row>
    <row r="5191" spans="16:20">
      <c r="P5191" s="1094">
        <v>2850</v>
      </c>
      <c r="Q5191" t="s">
        <v>6178</v>
      </c>
      <c r="R5191" t="s">
        <v>248</v>
      </c>
      <c r="S5191">
        <v>149.602925</v>
      </c>
      <c r="T5191" s="1095">
        <v>-32.685032999999997</v>
      </c>
    </row>
    <row r="5192" spans="16:20">
      <c r="P5192" s="1094">
        <v>2850</v>
      </c>
      <c r="Q5192" t="s">
        <v>6179</v>
      </c>
      <c r="R5192" t="s">
        <v>248</v>
      </c>
      <c r="S5192">
        <v>149.602925</v>
      </c>
      <c r="T5192" s="1095">
        <v>-32.685032999999997</v>
      </c>
    </row>
    <row r="5193" spans="16:20">
      <c r="P5193" s="1094">
        <v>2850</v>
      </c>
      <c r="Q5193" t="s">
        <v>6180</v>
      </c>
      <c r="R5193" t="s">
        <v>248</v>
      </c>
      <c r="S5193">
        <v>149.602925</v>
      </c>
      <c r="T5193" s="1095">
        <v>-32.685032999999997</v>
      </c>
    </row>
    <row r="5194" spans="16:20">
      <c r="P5194" s="1094">
        <v>2850</v>
      </c>
      <c r="Q5194" t="s">
        <v>6181</v>
      </c>
      <c r="R5194" t="s">
        <v>248</v>
      </c>
      <c r="S5194">
        <v>149.602925</v>
      </c>
      <c r="T5194" s="1095">
        <v>-32.685032999999997</v>
      </c>
    </row>
    <row r="5195" spans="16:20">
      <c r="P5195" s="1094">
        <v>2850</v>
      </c>
      <c r="Q5195" t="s">
        <v>6182</v>
      </c>
      <c r="R5195" t="s">
        <v>248</v>
      </c>
      <c r="S5195">
        <v>149.602925</v>
      </c>
      <c r="T5195" s="1095">
        <v>-32.685032999999997</v>
      </c>
    </row>
    <row r="5196" spans="16:20">
      <c r="P5196" s="1094">
        <v>2850</v>
      </c>
      <c r="Q5196" t="s">
        <v>6183</v>
      </c>
      <c r="R5196" t="s">
        <v>248</v>
      </c>
      <c r="S5196">
        <v>149.602925</v>
      </c>
      <c r="T5196" s="1095">
        <v>-32.685032999999997</v>
      </c>
    </row>
    <row r="5197" spans="16:20">
      <c r="P5197" s="1094">
        <v>2850</v>
      </c>
      <c r="Q5197" t="s">
        <v>6184</v>
      </c>
      <c r="R5197" t="s">
        <v>248</v>
      </c>
      <c r="S5197">
        <v>149.602925</v>
      </c>
      <c r="T5197" s="1095">
        <v>-32.685032999999997</v>
      </c>
    </row>
    <row r="5198" spans="16:20">
      <c r="P5198" s="1094">
        <v>2850</v>
      </c>
      <c r="Q5198" t="s">
        <v>6185</v>
      </c>
      <c r="R5198" t="s">
        <v>248</v>
      </c>
      <c r="S5198">
        <v>149.602925</v>
      </c>
      <c r="T5198" s="1095">
        <v>-32.685032999999997</v>
      </c>
    </row>
    <row r="5199" spans="16:20">
      <c r="P5199" s="1094">
        <v>2850</v>
      </c>
      <c r="Q5199" t="s">
        <v>6186</v>
      </c>
      <c r="R5199" t="s">
        <v>248</v>
      </c>
      <c r="S5199">
        <v>149.602925</v>
      </c>
      <c r="T5199" s="1095">
        <v>-32.685032999999997</v>
      </c>
    </row>
    <row r="5200" spans="16:20">
      <c r="P5200" s="1094">
        <v>2850</v>
      </c>
      <c r="Q5200" t="s">
        <v>4580</v>
      </c>
      <c r="R5200" t="s">
        <v>248</v>
      </c>
      <c r="S5200">
        <v>149.602925</v>
      </c>
      <c r="T5200" s="1095">
        <v>-32.685032999999997</v>
      </c>
    </row>
    <row r="5201" spans="16:20">
      <c r="P5201" s="1094">
        <v>2850</v>
      </c>
      <c r="Q5201" t="s">
        <v>6187</v>
      </c>
      <c r="R5201" t="s">
        <v>248</v>
      </c>
      <c r="S5201">
        <v>149.602925</v>
      </c>
      <c r="T5201" s="1095">
        <v>-32.685032999999997</v>
      </c>
    </row>
    <row r="5202" spans="16:20">
      <c r="P5202" s="1094">
        <v>2850</v>
      </c>
      <c r="Q5202" t="s">
        <v>6188</v>
      </c>
      <c r="R5202" t="s">
        <v>248</v>
      </c>
      <c r="S5202">
        <v>149.602925</v>
      </c>
      <c r="T5202" s="1095">
        <v>-32.685032999999997</v>
      </c>
    </row>
    <row r="5203" spans="16:20">
      <c r="P5203" s="1094">
        <v>2850</v>
      </c>
      <c r="Q5203" t="s">
        <v>6189</v>
      </c>
      <c r="R5203" t="s">
        <v>248</v>
      </c>
      <c r="S5203">
        <v>149.602925</v>
      </c>
      <c r="T5203" s="1095">
        <v>-32.685032999999997</v>
      </c>
    </row>
    <row r="5204" spans="16:20">
      <c r="P5204" s="1094">
        <v>2850</v>
      </c>
      <c r="Q5204" t="s">
        <v>6190</v>
      </c>
      <c r="R5204" t="s">
        <v>248</v>
      </c>
      <c r="S5204">
        <v>149.602925</v>
      </c>
      <c r="T5204" s="1095">
        <v>-32.685032999999997</v>
      </c>
    </row>
    <row r="5205" spans="16:20">
      <c r="P5205" s="1094">
        <v>2850</v>
      </c>
      <c r="Q5205" t="s">
        <v>6191</v>
      </c>
      <c r="R5205" t="s">
        <v>248</v>
      </c>
      <c r="S5205">
        <v>149.602925</v>
      </c>
      <c r="T5205" s="1095">
        <v>-32.685032999999997</v>
      </c>
    </row>
    <row r="5206" spans="16:20">
      <c r="P5206" s="1094">
        <v>2850</v>
      </c>
      <c r="Q5206" t="s">
        <v>4409</v>
      </c>
      <c r="R5206" t="s">
        <v>248</v>
      </c>
      <c r="S5206">
        <v>149.602925</v>
      </c>
      <c r="T5206" s="1095">
        <v>-32.685032999999997</v>
      </c>
    </row>
    <row r="5207" spans="16:20">
      <c r="P5207" s="1094">
        <v>2850</v>
      </c>
      <c r="Q5207" t="s">
        <v>5828</v>
      </c>
      <c r="R5207" t="s">
        <v>248</v>
      </c>
      <c r="S5207">
        <v>149.602925</v>
      </c>
      <c r="T5207" s="1095">
        <v>-32.685032999999997</v>
      </c>
    </row>
    <row r="5208" spans="16:20">
      <c r="P5208" s="1094">
        <v>2850</v>
      </c>
      <c r="Q5208" t="s">
        <v>6192</v>
      </c>
      <c r="R5208" t="s">
        <v>248</v>
      </c>
      <c r="S5208">
        <v>149.602925</v>
      </c>
      <c r="T5208" s="1095">
        <v>-32.685032999999997</v>
      </c>
    </row>
    <row r="5209" spans="16:20">
      <c r="P5209" s="1094">
        <v>2850</v>
      </c>
      <c r="Q5209" t="s">
        <v>6193</v>
      </c>
      <c r="R5209" t="s">
        <v>248</v>
      </c>
      <c r="S5209">
        <v>149.602925</v>
      </c>
      <c r="T5209" s="1095">
        <v>-32.685032999999997</v>
      </c>
    </row>
    <row r="5210" spans="16:20">
      <c r="P5210" s="1094">
        <v>2850</v>
      </c>
      <c r="Q5210" t="s">
        <v>6194</v>
      </c>
      <c r="R5210" t="s">
        <v>248</v>
      </c>
      <c r="S5210">
        <v>149.602925</v>
      </c>
      <c r="T5210" s="1095">
        <v>-32.685032999999997</v>
      </c>
    </row>
    <row r="5211" spans="16:20">
      <c r="P5211" s="1094">
        <v>2850</v>
      </c>
      <c r="Q5211" t="s">
        <v>6195</v>
      </c>
      <c r="R5211" t="s">
        <v>248</v>
      </c>
      <c r="S5211">
        <v>149.602925</v>
      </c>
      <c r="T5211" s="1095">
        <v>-32.685032999999997</v>
      </c>
    </row>
    <row r="5212" spans="16:20">
      <c r="P5212" s="1094">
        <v>2850</v>
      </c>
      <c r="Q5212" t="s">
        <v>6196</v>
      </c>
      <c r="R5212" t="s">
        <v>248</v>
      </c>
      <c r="S5212">
        <v>149.602925</v>
      </c>
      <c r="T5212" s="1095">
        <v>-32.685032999999997</v>
      </c>
    </row>
    <row r="5213" spans="16:20">
      <c r="P5213" s="1094">
        <v>2850</v>
      </c>
      <c r="Q5213" t="s">
        <v>6197</v>
      </c>
      <c r="R5213" t="s">
        <v>248</v>
      </c>
      <c r="S5213">
        <v>149.602925</v>
      </c>
      <c r="T5213" s="1095">
        <v>-32.685032999999997</v>
      </c>
    </row>
    <row r="5214" spans="16:20">
      <c r="P5214" s="1094">
        <v>2850</v>
      </c>
      <c r="Q5214" t="s">
        <v>6198</v>
      </c>
      <c r="R5214" t="s">
        <v>248</v>
      </c>
      <c r="S5214">
        <v>149.602925</v>
      </c>
      <c r="T5214" s="1095">
        <v>-32.685032999999997</v>
      </c>
    </row>
    <row r="5215" spans="16:20">
      <c r="P5215" s="1094">
        <v>2850</v>
      </c>
      <c r="Q5215" t="s">
        <v>6199</v>
      </c>
      <c r="R5215" t="s">
        <v>248</v>
      </c>
      <c r="S5215">
        <v>149.602925</v>
      </c>
      <c r="T5215" s="1095">
        <v>-32.685032999999997</v>
      </c>
    </row>
    <row r="5216" spans="16:20">
      <c r="P5216" s="1094">
        <v>2850</v>
      </c>
      <c r="Q5216" t="s">
        <v>6200</v>
      </c>
      <c r="R5216" t="s">
        <v>248</v>
      </c>
      <c r="S5216">
        <v>149.602925</v>
      </c>
      <c r="T5216" s="1095">
        <v>-32.685032999999997</v>
      </c>
    </row>
    <row r="5217" spans="16:20">
      <c r="P5217" s="1094">
        <v>2850</v>
      </c>
      <c r="Q5217" t="s">
        <v>6201</v>
      </c>
      <c r="R5217" t="s">
        <v>248</v>
      </c>
      <c r="S5217">
        <v>149.602925</v>
      </c>
      <c r="T5217" s="1095">
        <v>-32.685032999999997</v>
      </c>
    </row>
    <row r="5218" spans="16:20">
      <c r="P5218" s="1094">
        <v>2850</v>
      </c>
      <c r="Q5218" t="s">
        <v>6202</v>
      </c>
      <c r="R5218" t="s">
        <v>248</v>
      </c>
      <c r="S5218">
        <v>149.602925</v>
      </c>
      <c r="T5218" s="1095">
        <v>-32.685032999999997</v>
      </c>
    </row>
    <row r="5219" spans="16:20">
      <c r="P5219" s="1094">
        <v>2850</v>
      </c>
      <c r="Q5219" t="s">
        <v>6203</v>
      </c>
      <c r="R5219" t="s">
        <v>248</v>
      </c>
      <c r="S5219">
        <v>149.602925</v>
      </c>
      <c r="T5219" s="1095">
        <v>-32.685032999999997</v>
      </c>
    </row>
    <row r="5220" spans="16:20">
      <c r="P5220" s="1094">
        <v>2850</v>
      </c>
      <c r="Q5220" t="s">
        <v>6204</v>
      </c>
      <c r="R5220" t="s">
        <v>248</v>
      </c>
      <c r="S5220">
        <v>149.602925</v>
      </c>
      <c r="T5220" s="1095">
        <v>-32.685032999999997</v>
      </c>
    </row>
    <row r="5221" spans="16:20">
      <c r="P5221" s="1094">
        <v>2850</v>
      </c>
      <c r="Q5221" t="s">
        <v>1525</v>
      </c>
      <c r="R5221" t="s">
        <v>248</v>
      </c>
      <c r="S5221">
        <v>149.602925</v>
      </c>
      <c r="T5221" s="1095">
        <v>-32.685032999999997</v>
      </c>
    </row>
    <row r="5222" spans="16:20">
      <c r="P5222" s="1094">
        <v>2852</v>
      </c>
      <c r="Q5222" t="s">
        <v>6205</v>
      </c>
      <c r="R5222" t="s">
        <v>248</v>
      </c>
      <c r="S5222">
        <v>149.45909</v>
      </c>
      <c r="T5222" s="1095">
        <v>-32.280785000000002</v>
      </c>
    </row>
    <row r="5223" spans="16:20">
      <c r="P5223" s="1094">
        <v>2852</v>
      </c>
      <c r="Q5223" t="s">
        <v>6206</v>
      </c>
      <c r="R5223" t="s">
        <v>248</v>
      </c>
      <c r="S5223">
        <v>149.45909</v>
      </c>
      <c r="T5223" s="1095">
        <v>-32.280785000000002</v>
      </c>
    </row>
    <row r="5224" spans="16:20">
      <c r="P5224" s="1094">
        <v>2852</v>
      </c>
      <c r="Q5224" t="s">
        <v>6207</v>
      </c>
      <c r="R5224" t="s">
        <v>248</v>
      </c>
      <c r="S5224">
        <v>149.45909</v>
      </c>
      <c r="T5224" s="1095">
        <v>-32.280785000000002</v>
      </c>
    </row>
    <row r="5225" spans="16:20">
      <c r="P5225" s="1094">
        <v>2852</v>
      </c>
      <c r="Q5225" t="s">
        <v>6208</v>
      </c>
      <c r="R5225" t="s">
        <v>248</v>
      </c>
      <c r="S5225">
        <v>149.45909</v>
      </c>
      <c r="T5225" s="1095">
        <v>-32.280785000000002</v>
      </c>
    </row>
    <row r="5226" spans="16:20">
      <c r="P5226" s="1094">
        <v>2852</v>
      </c>
      <c r="Q5226" t="s">
        <v>6209</v>
      </c>
      <c r="R5226" t="s">
        <v>248</v>
      </c>
      <c r="S5226">
        <v>149.45909</v>
      </c>
      <c r="T5226" s="1095">
        <v>-32.280785000000002</v>
      </c>
    </row>
    <row r="5227" spans="16:20">
      <c r="P5227" s="1094">
        <v>2852</v>
      </c>
      <c r="Q5227" t="s">
        <v>6210</v>
      </c>
      <c r="R5227" t="s">
        <v>248</v>
      </c>
      <c r="S5227">
        <v>149.45909</v>
      </c>
      <c r="T5227" s="1095">
        <v>-32.280785000000002</v>
      </c>
    </row>
    <row r="5228" spans="16:20">
      <c r="P5228" s="1094">
        <v>2852</v>
      </c>
      <c r="Q5228" t="s">
        <v>6211</v>
      </c>
      <c r="R5228" t="s">
        <v>248</v>
      </c>
      <c r="S5228">
        <v>149.45909</v>
      </c>
      <c r="T5228" s="1095">
        <v>-32.280785000000002</v>
      </c>
    </row>
    <row r="5229" spans="16:20">
      <c r="P5229" s="1094">
        <v>2852</v>
      </c>
      <c r="Q5229" t="s">
        <v>6212</v>
      </c>
      <c r="R5229" t="s">
        <v>248</v>
      </c>
      <c r="S5229">
        <v>149.45909</v>
      </c>
      <c r="T5229" s="1095">
        <v>-32.280785000000002</v>
      </c>
    </row>
    <row r="5230" spans="16:20">
      <c r="P5230" s="1094">
        <v>2852</v>
      </c>
      <c r="Q5230" t="s">
        <v>6213</v>
      </c>
      <c r="R5230" t="s">
        <v>248</v>
      </c>
      <c r="S5230">
        <v>149.45909</v>
      </c>
      <c r="T5230" s="1095">
        <v>-32.280785000000002</v>
      </c>
    </row>
    <row r="5231" spans="16:20">
      <c r="P5231" s="1094">
        <v>2852</v>
      </c>
      <c r="Q5231" t="s">
        <v>6214</v>
      </c>
      <c r="R5231" t="s">
        <v>248</v>
      </c>
      <c r="S5231">
        <v>149.45909</v>
      </c>
      <c r="T5231" s="1095">
        <v>-32.280785000000002</v>
      </c>
    </row>
    <row r="5232" spans="16:20">
      <c r="P5232" s="1094">
        <v>2852</v>
      </c>
      <c r="Q5232" t="s">
        <v>6215</v>
      </c>
      <c r="R5232" t="s">
        <v>248</v>
      </c>
      <c r="S5232">
        <v>149.45909</v>
      </c>
      <c r="T5232" s="1095">
        <v>-32.280785000000002</v>
      </c>
    </row>
    <row r="5233" spans="16:20">
      <c r="P5233" s="1094">
        <v>2852</v>
      </c>
      <c r="Q5233" t="s">
        <v>6216</v>
      </c>
      <c r="R5233" t="s">
        <v>248</v>
      </c>
      <c r="S5233">
        <v>149.45909</v>
      </c>
      <c r="T5233" s="1095">
        <v>-32.280785000000002</v>
      </c>
    </row>
    <row r="5234" spans="16:20">
      <c r="P5234" s="1094">
        <v>2852</v>
      </c>
      <c r="Q5234" t="s">
        <v>6217</v>
      </c>
      <c r="R5234" t="s">
        <v>248</v>
      </c>
      <c r="S5234">
        <v>149.45909</v>
      </c>
      <c r="T5234" s="1095">
        <v>-32.280785000000002</v>
      </c>
    </row>
    <row r="5235" spans="16:20">
      <c r="P5235" s="1094">
        <v>2864</v>
      </c>
      <c r="Q5235" t="s">
        <v>2685</v>
      </c>
      <c r="R5235" t="s">
        <v>248</v>
      </c>
      <c r="S5235">
        <v>148.73181400000001</v>
      </c>
      <c r="T5235" s="1095">
        <v>-33.340268999999999</v>
      </c>
    </row>
    <row r="5236" spans="16:20">
      <c r="P5236" s="1094">
        <v>2864</v>
      </c>
      <c r="Q5236" t="s">
        <v>6218</v>
      </c>
      <c r="R5236" t="s">
        <v>248</v>
      </c>
      <c r="S5236">
        <v>148.73181400000001</v>
      </c>
      <c r="T5236" s="1095">
        <v>-33.340268999999999</v>
      </c>
    </row>
    <row r="5237" spans="16:20">
      <c r="P5237" s="1094">
        <v>2864</v>
      </c>
      <c r="Q5237" t="s">
        <v>6219</v>
      </c>
      <c r="R5237" t="s">
        <v>248</v>
      </c>
      <c r="S5237">
        <v>148.73181400000001</v>
      </c>
      <c r="T5237" s="1095">
        <v>-33.340268999999999</v>
      </c>
    </row>
    <row r="5238" spans="16:20">
      <c r="P5238" s="1094">
        <v>2864</v>
      </c>
      <c r="Q5238" t="s">
        <v>6220</v>
      </c>
      <c r="R5238" t="s">
        <v>248</v>
      </c>
      <c r="S5238">
        <v>148.73181400000001</v>
      </c>
      <c r="T5238" s="1095">
        <v>-33.340268999999999</v>
      </c>
    </row>
    <row r="5239" spans="16:20">
      <c r="P5239" s="1094">
        <v>2864</v>
      </c>
      <c r="Q5239" t="s">
        <v>6221</v>
      </c>
      <c r="R5239" t="s">
        <v>248</v>
      </c>
      <c r="S5239">
        <v>148.73181400000001</v>
      </c>
      <c r="T5239" s="1095">
        <v>-33.340268999999999</v>
      </c>
    </row>
    <row r="5240" spans="16:20">
      <c r="P5240" s="1094">
        <v>2865</v>
      </c>
      <c r="Q5240" t="s">
        <v>6222</v>
      </c>
      <c r="R5240" t="s">
        <v>248</v>
      </c>
      <c r="S5240">
        <v>148.68486200000001</v>
      </c>
      <c r="T5240" s="1095">
        <v>-33.213883000000003</v>
      </c>
    </row>
    <row r="5241" spans="16:20">
      <c r="P5241" s="1094">
        <v>2865</v>
      </c>
      <c r="Q5241" t="s">
        <v>6223</v>
      </c>
      <c r="R5241" t="s">
        <v>248</v>
      </c>
      <c r="S5241">
        <v>148.68486200000001</v>
      </c>
      <c r="T5241" s="1095">
        <v>-33.213883000000003</v>
      </c>
    </row>
    <row r="5242" spans="16:20">
      <c r="P5242" s="1094">
        <v>2866</v>
      </c>
      <c r="Q5242" t="s">
        <v>6224</v>
      </c>
      <c r="R5242" t="s">
        <v>248</v>
      </c>
      <c r="S5242">
        <v>148.90453099999999</v>
      </c>
      <c r="T5242" s="1095">
        <v>-33.007263999999999</v>
      </c>
    </row>
    <row r="5243" spans="16:20">
      <c r="P5243" s="1094">
        <v>2866</v>
      </c>
      <c r="Q5243" t="s">
        <v>6225</v>
      </c>
      <c r="R5243" t="s">
        <v>248</v>
      </c>
      <c r="S5243">
        <v>148.90453099999999</v>
      </c>
      <c r="T5243" s="1095">
        <v>-33.007263999999999</v>
      </c>
    </row>
    <row r="5244" spans="16:20">
      <c r="P5244" s="1094">
        <v>2866</v>
      </c>
      <c r="Q5244" t="s">
        <v>6226</v>
      </c>
      <c r="R5244" t="s">
        <v>248</v>
      </c>
      <c r="S5244">
        <v>148.90453099999999</v>
      </c>
      <c r="T5244" s="1095">
        <v>-33.007263999999999</v>
      </c>
    </row>
    <row r="5245" spans="16:20">
      <c r="P5245" s="1094">
        <v>2866</v>
      </c>
      <c r="Q5245" t="s">
        <v>6227</v>
      </c>
      <c r="R5245" t="s">
        <v>248</v>
      </c>
      <c r="S5245">
        <v>148.90453099999999</v>
      </c>
      <c r="T5245" s="1095">
        <v>-33.007263999999999</v>
      </c>
    </row>
    <row r="5246" spans="16:20">
      <c r="P5246" s="1094">
        <v>2866</v>
      </c>
      <c r="Q5246" t="s">
        <v>6228</v>
      </c>
      <c r="R5246" t="s">
        <v>248</v>
      </c>
      <c r="S5246">
        <v>148.90453099999999</v>
      </c>
      <c r="T5246" s="1095">
        <v>-33.007263999999999</v>
      </c>
    </row>
    <row r="5247" spans="16:20">
      <c r="P5247" s="1094">
        <v>2866</v>
      </c>
      <c r="Q5247" t="s">
        <v>6229</v>
      </c>
      <c r="R5247" t="s">
        <v>248</v>
      </c>
      <c r="S5247">
        <v>148.90453099999999</v>
      </c>
      <c r="T5247" s="1095">
        <v>-33.007263999999999</v>
      </c>
    </row>
    <row r="5248" spans="16:20">
      <c r="P5248" s="1094">
        <v>2866</v>
      </c>
      <c r="Q5248" t="s">
        <v>6230</v>
      </c>
      <c r="R5248" t="s">
        <v>248</v>
      </c>
      <c r="S5248">
        <v>148.90453099999999</v>
      </c>
      <c r="T5248" s="1095">
        <v>-33.007263999999999</v>
      </c>
    </row>
    <row r="5249" spans="16:20">
      <c r="P5249" s="1094">
        <v>2866</v>
      </c>
      <c r="Q5249" t="s">
        <v>6231</v>
      </c>
      <c r="R5249" t="s">
        <v>248</v>
      </c>
      <c r="S5249">
        <v>148.90453099999999</v>
      </c>
      <c r="T5249" s="1095">
        <v>-33.007263999999999</v>
      </c>
    </row>
    <row r="5250" spans="16:20">
      <c r="P5250" s="1094">
        <v>2866</v>
      </c>
      <c r="Q5250" t="s">
        <v>6232</v>
      </c>
      <c r="R5250" t="s">
        <v>248</v>
      </c>
      <c r="S5250">
        <v>148.90453099999999</v>
      </c>
      <c r="T5250" s="1095">
        <v>-33.007263999999999</v>
      </c>
    </row>
    <row r="5251" spans="16:20">
      <c r="P5251" s="1094">
        <v>2867</v>
      </c>
      <c r="Q5251" t="s">
        <v>6233</v>
      </c>
      <c r="R5251" t="s">
        <v>248</v>
      </c>
      <c r="S5251">
        <v>148.61123900000001</v>
      </c>
      <c r="T5251" s="1095">
        <v>-32.965876999999999</v>
      </c>
    </row>
    <row r="5252" spans="16:20">
      <c r="P5252" s="1094">
        <v>2867</v>
      </c>
      <c r="Q5252" t="s">
        <v>6234</v>
      </c>
      <c r="R5252" t="s">
        <v>248</v>
      </c>
      <c r="S5252">
        <v>148.61123900000001</v>
      </c>
      <c r="T5252" s="1095">
        <v>-32.965876999999999</v>
      </c>
    </row>
    <row r="5253" spans="16:20">
      <c r="P5253" s="1094">
        <v>2867</v>
      </c>
      <c r="Q5253" t="s">
        <v>6235</v>
      </c>
      <c r="R5253" t="s">
        <v>248</v>
      </c>
      <c r="S5253">
        <v>148.61123900000001</v>
      </c>
      <c r="T5253" s="1095">
        <v>-32.965876999999999</v>
      </c>
    </row>
    <row r="5254" spans="16:20">
      <c r="P5254" s="1094">
        <v>2867</v>
      </c>
      <c r="Q5254" t="s">
        <v>6236</v>
      </c>
      <c r="R5254" t="s">
        <v>248</v>
      </c>
      <c r="S5254">
        <v>148.61123900000001</v>
      </c>
      <c r="T5254" s="1095">
        <v>-32.965876999999999</v>
      </c>
    </row>
    <row r="5255" spans="16:20">
      <c r="P5255" s="1094">
        <v>2868</v>
      </c>
      <c r="Q5255" t="s">
        <v>6237</v>
      </c>
      <c r="R5255" t="s">
        <v>248</v>
      </c>
      <c r="S5255">
        <v>148.56150500000001</v>
      </c>
      <c r="T5255" s="1095">
        <v>-32.740876</v>
      </c>
    </row>
    <row r="5256" spans="16:20">
      <c r="P5256" s="1094">
        <v>2868</v>
      </c>
      <c r="Q5256" t="s">
        <v>6238</v>
      </c>
      <c r="R5256" t="s">
        <v>248</v>
      </c>
      <c r="S5256">
        <v>148.56150500000001</v>
      </c>
      <c r="T5256" s="1095">
        <v>-32.740876</v>
      </c>
    </row>
    <row r="5257" spans="16:20">
      <c r="P5257" s="1094">
        <v>2868</v>
      </c>
      <c r="Q5257" t="s">
        <v>6239</v>
      </c>
      <c r="R5257" t="s">
        <v>248</v>
      </c>
      <c r="S5257">
        <v>148.56150500000001</v>
      </c>
      <c r="T5257" s="1095">
        <v>-32.740876</v>
      </c>
    </row>
    <row r="5258" spans="16:20">
      <c r="P5258" s="1094">
        <v>2869</v>
      </c>
      <c r="Q5258" t="s">
        <v>6240</v>
      </c>
      <c r="R5258" t="s">
        <v>248</v>
      </c>
      <c r="S5258">
        <v>148.26665499999999</v>
      </c>
      <c r="T5258" s="1095">
        <v>-32.584028000000004</v>
      </c>
    </row>
    <row r="5259" spans="16:20">
      <c r="P5259" s="1094">
        <v>2869</v>
      </c>
      <c r="Q5259" t="s">
        <v>6241</v>
      </c>
      <c r="R5259" t="s">
        <v>248</v>
      </c>
      <c r="S5259">
        <v>148.26665499999999</v>
      </c>
      <c r="T5259" s="1095">
        <v>-32.584028000000004</v>
      </c>
    </row>
    <row r="5260" spans="16:20">
      <c r="P5260" s="1094">
        <v>2869</v>
      </c>
      <c r="Q5260" t="s">
        <v>6242</v>
      </c>
      <c r="R5260" t="s">
        <v>248</v>
      </c>
      <c r="S5260">
        <v>148.26665499999999</v>
      </c>
      <c r="T5260" s="1095">
        <v>-32.584028000000004</v>
      </c>
    </row>
    <row r="5261" spans="16:20">
      <c r="P5261" s="1094">
        <v>2869</v>
      </c>
      <c r="Q5261" t="s">
        <v>6243</v>
      </c>
      <c r="R5261" t="s">
        <v>248</v>
      </c>
      <c r="S5261">
        <v>148.26665499999999</v>
      </c>
      <c r="T5261" s="1095">
        <v>-32.584028000000004</v>
      </c>
    </row>
    <row r="5262" spans="16:20">
      <c r="P5262" s="1094">
        <v>2870</v>
      </c>
      <c r="Q5262" t="s">
        <v>6244</v>
      </c>
      <c r="R5262" t="s">
        <v>248</v>
      </c>
      <c r="S5262">
        <v>148.16819000000001</v>
      </c>
      <c r="T5262" s="1095">
        <v>-33.035496000000002</v>
      </c>
    </row>
    <row r="5263" spans="16:20">
      <c r="P5263" s="1094">
        <v>2870</v>
      </c>
      <c r="Q5263" t="s">
        <v>6245</v>
      </c>
      <c r="R5263" t="s">
        <v>248</v>
      </c>
      <c r="S5263">
        <v>148.16819000000001</v>
      </c>
      <c r="T5263" s="1095">
        <v>-33.035496000000002</v>
      </c>
    </row>
    <row r="5264" spans="16:20">
      <c r="P5264" s="1094">
        <v>2870</v>
      </c>
      <c r="Q5264" t="s">
        <v>6246</v>
      </c>
      <c r="R5264" t="s">
        <v>248</v>
      </c>
      <c r="S5264">
        <v>148.16819000000001</v>
      </c>
      <c r="T5264" s="1095">
        <v>-33.035496000000002</v>
      </c>
    </row>
    <row r="5265" spans="16:20">
      <c r="P5265" s="1094">
        <v>2870</v>
      </c>
      <c r="Q5265" t="s">
        <v>6247</v>
      </c>
      <c r="R5265" t="s">
        <v>248</v>
      </c>
      <c r="S5265">
        <v>148.16819000000001</v>
      </c>
      <c r="T5265" s="1095">
        <v>-33.035496000000002</v>
      </c>
    </row>
    <row r="5266" spans="16:20">
      <c r="P5266" s="1094">
        <v>2870</v>
      </c>
      <c r="Q5266" t="s">
        <v>6248</v>
      </c>
      <c r="R5266" t="s">
        <v>248</v>
      </c>
      <c r="S5266">
        <v>148.16819000000001</v>
      </c>
      <c r="T5266" s="1095">
        <v>-33.035496000000002</v>
      </c>
    </row>
    <row r="5267" spans="16:20">
      <c r="P5267" s="1094">
        <v>2870</v>
      </c>
      <c r="Q5267" t="s">
        <v>6249</v>
      </c>
      <c r="R5267" t="s">
        <v>248</v>
      </c>
      <c r="S5267">
        <v>148.16819000000001</v>
      </c>
      <c r="T5267" s="1095">
        <v>-33.035496000000002</v>
      </c>
    </row>
    <row r="5268" spans="16:20">
      <c r="P5268" s="1094">
        <v>2870</v>
      </c>
      <c r="Q5268" t="s">
        <v>6250</v>
      </c>
      <c r="R5268" t="s">
        <v>248</v>
      </c>
      <c r="S5268">
        <v>148.16819000000001</v>
      </c>
      <c r="T5268" s="1095">
        <v>-33.035496000000002</v>
      </c>
    </row>
    <row r="5269" spans="16:20">
      <c r="P5269" s="1094">
        <v>2870</v>
      </c>
      <c r="Q5269" t="s">
        <v>6251</v>
      </c>
      <c r="R5269" t="s">
        <v>248</v>
      </c>
      <c r="S5269">
        <v>148.16819000000001</v>
      </c>
      <c r="T5269" s="1095">
        <v>-33.035496000000002</v>
      </c>
    </row>
    <row r="5270" spans="16:20">
      <c r="P5270" s="1094">
        <v>2870</v>
      </c>
      <c r="Q5270" t="s">
        <v>6252</v>
      </c>
      <c r="R5270" t="s">
        <v>248</v>
      </c>
      <c r="S5270">
        <v>148.16819000000001</v>
      </c>
      <c r="T5270" s="1095">
        <v>-33.035496000000002</v>
      </c>
    </row>
    <row r="5271" spans="16:20">
      <c r="P5271" s="1094">
        <v>2870</v>
      </c>
      <c r="Q5271" t="s">
        <v>6253</v>
      </c>
      <c r="R5271" t="s">
        <v>248</v>
      </c>
      <c r="S5271">
        <v>148.16819000000001</v>
      </c>
      <c r="T5271" s="1095">
        <v>-33.035496000000002</v>
      </c>
    </row>
    <row r="5272" spans="16:20">
      <c r="P5272" s="1094">
        <v>2870</v>
      </c>
      <c r="Q5272" t="s">
        <v>6254</v>
      </c>
      <c r="R5272" t="s">
        <v>248</v>
      </c>
      <c r="S5272">
        <v>148.16819000000001</v>
      </c>
      <c r="T5272" s="1095">
        <v>-33.035496000000002</v>
      </c>
    </row>
    <row r="5273" spans="16:20">
      <c r="P5273" s="1094">
        <v>2870</v>
      </c>
      <c r="Q5273" t="s">
        <v>6255</v>
      </c>
      <c r="R5273" t="s">
        <v>248</v>
      </c>
      <c r="S5273">
        <v>148.16819000000001</v>
      </c>
      <c r="T5273" s="1095">
        <v>-33.035496000000002</v>
      </c>
    </row>
    <row r="5274" spans="16:20">
      <c r="P5274" s="1094">
        <v>2870</v>
      </c>
      <c r="Q5274" t="s">
        <v>6256</v>
      </c>
      <c r="R5274" t="s">
        <v>248</v>
      </c>
      <c r="S5274">
        <v>148.16819000000001</v>
      </c>
      <c r="T5274" s="1095">
        <v>-33.035496000000002</v>
      </c>
    </row>
    <row r="5275" spans="16:20">
      <c r="P5275" s="1094">
        <v>2870</v>
      </c>
      <c r="Q5275" t="s">
        <v>6257</v>
      </c>
      <c r="R5275" t="s">
        <v>248</v>
      </c>
      <c r="S5275">
        <v>148.16819000000001</v>
      </c>
      <c r="T5275" s="1095">
        <v>-33.035496000000002</v>
      </c>
    </row>
    <row r="5276" spans="16:20">
      <c r="P5276" s="1094">
        <v>2870</v>
      </c>
      <c r="Q5276" t="s">
        <v>6258</v>
      </c>
      <c r="R5276" t="s">
        <v>248</v>
      </c>
      <c r="S5276">
        <v>148.16819000000001</v>
      </c>
      <c r="T5276" s="1095">
        <v>-33.035496000000002</v>
      </c>
    </row>
    <row r="5277" spans="16:20">
      <c r="P5277" s="1094">
        <v>2870</v>
      </c>
      <c r="Q5277" t="s">
        <v>4794</v>
      </c>
      <c r="R5277" t="s">
        <v>248</v>
      </c>
      <c r="S5277">
        <v>148.16819000000001</v>
      </c>
      <c r="T5277" s="1095">
        <v>-33.035496000000002</v>
      </c>
    </row>
    <row r="5278" spans="16:20">
      <c r="P5278" s="1094">
        <v>2870</v>
      </c>
      <c r="Q5278" t="s">
        <v>6259</v>
      </c>
      <c r="R5278" t="s">
        <v>248</v>
      </c>
      <c r="S5278">
        <v>148.16819000000001</v>
      </c>
      <c r="T5278" s="1095">
        <v>-33.035496000000002</v>
      </c>
    </row>
    <row r="5279" spans="16:20">
      <c r="P5279" s="1094">
        <v>2870</v>
      </c>
      <c r="Q5279" t="s">
        <v>6260</v>
      </c>
      <c r="R5279" t="s">
        <v>248</v>
      </c>
      <c r="S5279">
        <v>148.16819000000001</v>
      </c>
      <c r="T5279" s="1095">
        <v>-33.035496000000002</v>
      </c>
    </row>
    <row r="5280" spans="16:20">
      <c r="P5280" s="1094">
        <v>2870</v>
      </c>
      <c r="Q5280" t="s">
        <v>6261</v>
      </c>
      <c r="R5280" t="s">
        <v>248</v>
      </c>
      <c r="S5280">
        <v>148.16819000000001</v>
      </c>
      <c r="T5280" s="1095">
        <v>-33.035496000000002</v>
      </c>
    </row>
    <row r="5281" spans="16:20">
      <c r="P5281" s="1094">
        <v>2871</v>
      </c>
      <c r="Q5281" t="s">
        <v>6262</v>
      </c>
      <c r="R5281" t="s">
        <v>248</v>
      </c>
      <c r="S5281">
        <v>147.811688</v>
      </c>
      <c r="T5281" s="1095">
        <v>-33.476768</v>
      </c>
    </row>
    <row r="5282" spans="16:20">
      <c r="P5282" s="1094">
        <v>2871</v>
      </c>
      <c r="Q5282" t="s">
        <v>6263</v>
      </c>
      <c r="R5282" t="s">
        <v>248</v>
      </c>
      <c r="S5282">
        <v>147.811688</v>
      </c>
      <c r="T5282" s="1095">
        <v>-33.476768</v>
      </c>
    </row>
    <row r="5283" spans="16:20">
      <c r="P5283" s="1094">
        <v>2871</v>
      </c>
      <c r="Q5283" t="s">
        <v>6264</v>
      </c>
      <c r="R5283" t="s">
        <v>248</v>
      </c>
      <c r="S5283">
        <v>147.811688</v>
      </c>
      <c r="T5283" s="1095">
        <v>-33.476768</v>
      </c>
    </row>
    <row r="5284" spans="16:20">
      <c r="P5284" s="1094">
        <v>2871</v>
      </c>
      <c r="Q5284" t="s">
        <v>6265</v>
      </c>
      <c r="R5284" t="s">
        <v>248</v>
      </c>
      <c r="S5284">
        <v>147.811688</v>
      </c>
      <c r="T5284" s="1095">
        <v>-33.476768</v>
      </c>
    </row>
    <row r="5285" spans="16:20">
      <c r="P5285" s="1094">
        <v>2871</v>
      </c>
      <c r="Q5285" t="s">
        <v>6266</v>
      </c>
      <c r="R5285" t="s">
        <v>248</v>
      </c>
      <c r="S5285">
        <v>147.811688</v>
      </c>
      <c r="T5285" s="1095">
        <v>-33.476768</v>
      </c>
    </row>
    <row r="5286" spans="16:20">
      <c r="P5286" s="1094">
        <v>2871</v>
      </c>
      <c r="Q5286" t="s">
        <v>6267</v>
      </c>
      <c r="R5286" t="s">
        <v>248</v>
      </c>
      <c r="S5286">
        <v>147.811688</v>
      </c>
      <c r="T5286" s="1095">
        <v>-33.476768</v>
      </c>
    </row>
    <row r="5287" spans="16:20">
      <c r="P5287" s="1094">
        <v>2871</v>
      </c>
      <c r="Q5287" t="s">
        <v>6268</v>
      </c>
      <c r="R5287" t="s">
        <v>248</v>
      </c>
      <c r="S5287">
        <v>147.811688</v>
      </c>
      <c r="T5287" s="1095">
        <v>-33.476768</v>
      </c>
    </row>
    <row r="5288" spans="16:20">
      <c r="P5288" s="1094">
        <v>2871</v>
      </c>
      <c r="Q5288" t="s">
        <v>6269</v>
      </c>
      <c r="R5288" t="s">
        <v>248</v>
      </c>
      <c r="S5288">
        <v>147.811688</v>
      </c>
      <c r="T5288" s="1095">
        <v>-33.476768</v>
      </c>
    </row>
    <row r="5289" spans="16:20">
      <c r="P5289" s="1094">
        <v>2871</v>
      </c>
      <c r="Q5289" t="s">
        <v>6270</v>
      </c>
      <c r="R5289" t="s">
        <v>248</v>
      </c>
      <c r="S5289">
        <v>147.811688</v>
      </c>
      <c r="T5289" s="1095">
        <v>-33.476768</v>
      </c>
    </row>
    <row r="5290" spans="16:20">
      <c r="P5290" s="1094">
        <v>2871</v>
      </c>
      <c r="Q5290" t="s">
        <v>6271</v>
      </c>
      <c r="R5290" t="s">
        <v>248</v>
      </c>
      <c r="S5290">
        <v>147.811688</v>
      </c>
      <c r="T5290" s="1095">
        <v>-33.476768</v>
      </c>
    </row>
    <row r="5291" spans="16:20">
      <c r="P5291" s="1094">
        <v>2871</v>
      </c>
      <c r="Q5291" t="s">
        <v>6272</v>
      </c>
      <c r="R5291" t="s">
        <v>248</v>
      </c>
      <c r="S5291">
        <v>147.811688</v>
      </c>
      <c r="T5291" s="1095">
        <v>-33.476768</v>
      </c>
    </row>
    <row r="5292" spans="16:20">
      <c r="P5292" s="1094">
        <v>2871</v>
      </c>
      <c r="Q5292" t="s">
        <v>6273</v>
      </c>
      <c r="R5292" t="s">
        <v>248</v>
      </c>
      <c r="S5292">
        <v>147.811688</v>
      </c>
      <c r="T5292" s="1095">
        <v>-33.476768</v>
      </c>
    </row>
    <row r="5293" spans="16:20">
      <c r="P5293" s="1094">
        <v>2871</v>
      </c>
      <c r="Q5293" t="s">
        <v>6274</v>
      </c>
      <c r="R5293" t="s">
        <v>248</v>
      </c>
      <c r="S5293">
        <v>147.811688</v>
      </c>
      <c r="T5293" s="1095">
        <v>-33.476768</v>
      </c>
    </row>
    <row r="5294" spans="16:20">
      <c r="P5294" s="1094">
        <v>2871</v>
      </c>
      <c r="Q5294" t="s">
        <v>6275</v>
      </c>
      <c r="R5294" t="s">
        <v>248</v>
      </c>
      <c r="S5294">
        <v>147.811688</v>
      </c>
      <c r="T5294" s="1095">
        <v>-33.476768</v>
      </c>
    </row>
    <row r="5295" spans="16:20">
      <c r="P5295" s="1094">
        <v>2871</v>
      </c>
      <c r="Q5295" t="s">
        <v>6276</v>
      </c>
      <c r="R5295" t="s">
        <v>248</v>
      </c>
      <c r="S5295">
        <v>147.811688</v>
      </c>
      <c r="T5295" s="1095">
        <v>-33.476768</v>
      </c>
    </row>
    <row r="5296" spans="16:20">
      <c r="P5296" s="1094">
        <v>2871</v>
      </c>
      <c r="Q5296" t="s">
        <v>6277</v>
      </c>
      <c r="R5296" t="s">
        <v>248</v>
      </c>
      <c r="S5296">
        <v>147.811688</v>
      </c>
      <c r="T5296" s="1095">
        <v>-33.476768</v>
      </c>
    </row>
    <row r="5297" spans="16:20">
      <c r="P5297" s="1094">
        <v>2871</v>
      </c>
      <c r="Q5297" t="s">
        <v>6278</v>
      </c>
      <c r="R5297" t="s">
        <v>248</v>
      </c>
      <c r="S5297">
        <v>147.811688</v>
      </c>
      <c r="T5297" s="1095">
        <v>-33.476768</v>
      </c>
    </row>
    <row r="5298" spans="16:20">
      <c r="P5298" s="1094">
        <v>2871</v>
      </c>
      <c r="Q5298" t="s">
        <v>6279</v>
      </c>
      <c r="R5298" t="s">
        <v>248</v>
      </c>
      <c r="S5298">
        <v>147.811688</v>
      </c>
      <c r="T5298" s="1095">
        <v>-33.476768</v>
      </c>
    </row>
    <row r="5299" spans="16:20">
      <c r="P5299" s="1094">
        <v>2871</v>
      </c>
      <c r="Q5299" t="s">
        <v>6280</v>
      </c>
      <c r="R5299" t="s">
        <v>248</v>
      </c>
      <c r="S5299">
        <v>147.811688</v>
      </c>
      <c r="T5299" s="1095">
        <v>-33.476768</v>
      </c>
    </row>
    <row r="5300" spans="16:20">
      <c r="P5300" s="1094">
        <v>2873</v>
      </c>
      <c r="Q5300" t="s">
        <v>6281</v>
      </c>
      <c r="R5300" t="s">
        <v>248</v>
      </c>
      <c r="S5300">
        <v>147.26041900000001</v>
      </c>
      <c r="T5300" s="1095">
        <v>-32.269413999999998</v>
      </c>
    </row>
    <row r="5301" spans="16:20">
      <c r="P5301" s="1094">
        <v>2873</v>
      </c>
      <c r="Q5301" t="s">
        <v>6282</v>
      </c>
      <c r="R5301" t="s">
        <v>248</v>
      </c>
      <c r="S5301">
        <v>147.26041900000001</v>
      </c>
      <c r="T5301" s="1095">
        <v>-32.269413999999998</v>
      </c>
    </row>
    <row r="5302" spans="16:20">
      <c r="P5302" s="1094">
        <v>2873</v>
      </c>
      <c r="Q5302" t="s">
        <v>6283</v>
      </c>
      <c r="R5302" t="s">
        <v>248</v>
      </c>
      <c r="S5302">
        <v>147.26041900000001</v>
      </c>
      <c r="T5302" s="1095">
        <v>-32.269413999999998</v>
      </c>
    </row>
    <row r="5303" spans="16:20">
      <c r="P5303" s="1094">
        <v>2874</v>
      </c>
      <c r="Q5303" t="s">
        <v>6284</v>
      </c>
      <c r="R5303" t="s">
        <v>248</v>
      </c>
      <c r="S5303">
        <v>147.53856500000001</v>
      </c>
      <c r="T5303" s="1095">
        <v>-32.619928999999999</v>
      </c>
    </row>
    <row r="5304" spans="16:20">
      <c r="P5304" s="1094">
        <v>2874</v>
      </c>
      <c r="Q5304" t="s">
        <v>6285</v>
      </c>
      <c r="R5304" t="s">
        <v>248</v>
      </c>
      <c r="S5304">
        <v>147.53856500000001</v>
      </c>
      <c r="T5304" s="1095">
        <v>-32.619928999999999</v>
      </c>
    </row>
    <row r="5305" spans="16:20">
      <c r="P5305" s="1094">
        <v>2875</v>
      </c>
      <c r="Q5305" t="s">
        <v>6286</v>
      </c>
      <c r="R5305" t="s">
        <v>248</v>
      </c>
      <c r="S5305">
        <v>147.603587</v>
      </c>
      <c r="T5305" s="1095">
        <v>-32.915604000000002</v>
      </c>
    </row>
    <row r="5306" spans="16:20">
      <c r="P5306" s="1094">
        <v>2875</v>
      </c>
      <c r="Q5306" t="s">
        <v>6287</v>
      </c>
      <c r="R5306" t="s">
        <v>248</v>
      </c>
      <c r="S5306">
        <v>147.603587</v>
      </c>
      <c r="T5306" s="1095">
        <v>-32.915604000000002</v>
      </c>
    </row>
    <row r="5307" spans="16:20">
      <c r="P5307" s="1094">
        <v>2875</v>
      </c>
      <c r="Q5307" t="s">
        <v>6288</v>
      </c>
      <c r="R5307" t="s">
        <v>248</v>
      </c>
      <c r="S5307">
        <v>147.603587</v>
      </c>
      <c r="T5307" s="1095">
        <v>-32.915604000000002</v>
      </c>
    </row>
    <row r="5308" spans="16:20">
      <c r="P5308" s="1094">
        <v>2875</v>
      </c>
      <c r="Q5308" t="s">
        <v>6289</v>
      </c>
      <c r="R5308" t="s">
        <v>248</v>
      </c>
      <c r="S5308">
        <v>147.603587</v>
      </c>
      <c r="T5308" s="1095">
        <v>-32.915604000000002</v>
      </c>
    </row>
    <row r="5309" spans="16:20">
      <c r="P5309" s="1094">
        <v>2875</v>
      </c>
      <c r="Q5309" t="s">
        <v>6290</v>
      </c>
      <c r="R5309" t="s">
        <v>248</v>
      </c>
      <c r="S5309">
        <v>147.603587</v>
      </c>
      <c r="T5309" s="1095">
        <v>-32.915604000000002</v>
      </c>
    </row>
    <row r="5310" spans="16:20">
      <c r="P5310" s="1094">
        <v>2876</v>
      </c>
      <c r="Q5310" t="s">
        <v>6291</v>
      </c>
      <c r="R5310" t="s">
        <v>248</v>
      </c>
      <c r="S5310">
        <v>147.77283399999999</v>
      </c>
      <c r="T5310" s="1095">
        <v>-33.159022999999998</v>
      </c>
    </row>
    <row r="5311" spans="16:20">
      <c r="P5311" s="1094">
        <v>2876</v>
      </c>
      <c r="Q5311" t="s">
        <v>6292</v>
      </c>
      <c r="R5311" t="s">
        <v>248</v>
      </c>
      <c r="S5311">
        <v>147.77283399999999</v>
      </c>
      <c r="T5311" s="1095">
        <v>-33.159022999999998</v>
      </c>
    </row>
    <row r="5312" spans="16:20">
      <c r="P5312" s="1094">
        <v>2876</v>
      </c>
      <c r="Q5312" t="s">
        <v>6293</v>
      </c>
      <c r="R5312" t="s">
        <v>248</v>
      </c>
      <c r="S5312">
        <v>147.77283399999999</v>
      </c>
      <c r="T5312" s="1095">
        <v>-33.159022999999998</v>
      </c>
    </row>
    <row r="5313" spans="16:20">
      <c r="P5313" s="1094">
        <v>2876</v>
      </c>
      <c r="Q5313" t="s">
        <v>6294</v>
      </c>
      <c r="R5313" t="s">
        <v>248</v>
      </c>
      <c r="S5313">
        <v>147.77283399999999</v>
      </c>
      <c r="T5313" s="1095">
        <v>-33.159022999999998</v>
      </c>
    </row>
    <row r="5314" spans="16:20">
      <c r="P5314" s="1094">
        <v>2877</v>
      </c>
      <c r="Q5314" t="s">
        <v>6295</v>
      </c>
      <c r="R5314" t="s">
        <v>248</v>
      </c>
      <c r="S5314">
        <v>146.085138</v>
      </c>
      <c r="T5314" s="1095">
        <v>-32.844997999999997</v>
      </c>
    </row>
    <row r="5315" spans="16:20">
      <c r="P5315" s="1094">
        <v>2877</v>
      </c>
      <c r="Q5315" t="s">
        <v>6296</v>
      </c>
      <c r="R5315" t="s">
        <v>248</v>
      </c>
      <c r="S5315">
        <v>146.085138</v>
      </c>
      <c r="T5315" s="1095">
        <v>-32.844997999999997</v>
      </c>
    </row>
    <row r="5316" spans="16:20">
      <c r="P5316" s="1094">
        <v>2877</v>
      </c>
      <c r="Q5316" t="s">
        <v>6297</v>
      </c>
      <c r="R5316" t="s">
        <v>248</v>
      </c>
      <c r="S5316">
        <v>146.085138</v>
      </c>
      <c r="T5316" s="1095">
        <v>-32.844997999999997</v>
      </c>
    </row>
    <row r="5317" spans="16:20">
      <c r="P5317" s="1094">
        <v>2877</v>
      </c>
      <c r="Q5317" t="s">
        <v>6298</v>
      </c>
      <c r="R5317" t="s">
        <v>248</v>
      </c>
      <c r="S5317">
        <v>146.085138</v>
      </c>
      <c r="T5317" s="1095">
        <v>-32.844997999999997</v>
      </c>
    </row>
    <row r="5318" spans="16:20">
      <c r="P5318" s="1094">
        <v>2877</v>
      </c>
      <c r="Q5318" t="s">
        <v>6299</v>
      </c>
      <c r="R5318" t="s">
        <v>248</v>
      </c>
      <c r="S5318">
        <v>146.085138</v>
      </c>
      <c r="T5318" s="1095">
        <v>-32.844997999999997</v>
      </c>
    </row>
    <row r="5319" spans="16:20">
      <c r="P5319" s="1094">
        <v>2877</v>
      </c>
      <c r="Q5319" t="s">
        <v>6300</v>
      </c>
      <c r="R5319" t="s">
        <v>248</v>
      </c>
      <c r="S5319">
        <v>146.085138</v>
      </c>
      <c r="T5319" s="1095">
        <v>-32.844997999999997</v>
      </c>
    </row>
    <row r="5320" spans="16:20">
      <c r="P5320" s="1094">
        <v>2877</v>
      </c>
      <c r="Q5320" t="s">
        <v>6301</v>
      </c>
      <c r="R5320" t="s">
        <v>248</v>
      </c>
      <c r="S5320">
        <v>146.085138</v>
      </c>
      <c r="T5320" s="1095">
        <v>-32.844997999999997</v>
      </c>
    </row>
    <row r="5321" spans="16:20">
      <c r="P5321" s="1094">
        <v>2877</v>
      </c>
      <c r="Q5321" t="s">
        <v>6302</v>
      </c>
      <c r="R5321" t="s">
        <v>248</v>
      </c>
      <c r="S5321">
        <v>146.085138</v>
      </c>
      <c r="T5321" s="1095">
        <v>-32.844997999999997</v>
      </c>
    </row>
    <row r="5322" spans="16:20">
      <c r="P5322" s="1094">
        <v>2877</v>
      </c>
      <c r="Q5322" t="s">
        <v>6303</v>
      </c>
      <c r="R5322" t="s">
        <v>248</v>
      </c>
      <c r="S5322">
        <v>146.085138</v>
      </c>
      <c r="T5322" s="1095">
        <v>-32.844997999999997</v>
      </c>
    </row>
    <row r="5323" spans="16:20">
      <c r="P5323" s="1094">
        <v>2878</v>
      </c>
      <c r="Q5323" t="s">
        <v>6304</v>
      </c>
      <c r="R5323" t="s">
        <v>248</v>
      </c>
      <c r="S5323">
        <v>144.49540099999999</v>
      </c>
      <c r="T5323" s="1095">
        <v>-32.823220999999997</v>
      </c>
    </row>
    <row r="5324" spans="16:20">
      <c r="P5324" s="1094">
        <v>2878</v>
      </c>
      <c r="Q5324" t="s">
        <v>6305</v>
      </c>
      <c r="R5324" t="s">
        <v>248</v>
      </c>
      <c r="S5324">
        <v>144.49540099999999</v>
      </c>
      <c r="T5324" s="1095">
        <v>-32.823220999999997</v>
      </c>
    </row>
    <row r="5325" spans="16:20">
      <c r="P5325" s="1094">
        <v>2878</v>
      </c>
      <c r="Q5325" t="s">
        <v>6306</v>
      </c>
      <c r="R5325" t="s">
        <v>248</v>
      </c>
      <c r="S5325">
        <v>144.49540099999999</v>
      </c>
      <c r="T5325" s="1095">
        <v>-32.823220999999997</v>
      </c>
    </row>
    <row r="5326" spans="16:20">
      <c r="P5326" s="1094">
        <v>2878</v>
      </c>
      <c r="Q5326" t="s">
        <v>6307</v>
      </c>
      <c r="R5326" t="s">
        <v>248</v>
      </c>
      <c r="S5326">
        <v>144.49540099999999</v>
      </c>
      <c r="T5326" s="1095">
        <v>-32.823220999999997</v>
      </c>
    </row>
    <row r="5327" spans="16:20">
      <c r="P5327" s="1094">
        <v>2878</v>
      </c>
      <c r="Q5327" t="s">
        <v>6308</v>
      </c>
      <c r="R5327" t="s">
        <v>248</v>
      </c>
      <c r="S5327">
        <v>144.49540099999999</v>
      </c>
      <c r="T5327" s="1095">
        <v>-32.823220999999997</v>
      </c>
    </row>
    <row r="5328" spans="16:20">
      <c r="P5328" s="1094">
        <v>2878</v>
      </c>
      <c r="Q5328" t="s">
        <v>6309</v>
      </c>
      <c r="R5328" t="s">
        <v>248</v>
      </c>
      <c r="S5328">
        <v>144.49540099999999</v>
      </c>
      <c r="T5328" s="1095">
        <v>-32.823220999999997</v>
      </c>
    </row>
    <row r="5329" spans="16:20">
      <c r="P5329" s="1094">
        <v>2879</v>
      </c>
      <c r="Q5329" t="s">
        <v>6310</v>
      </c>
      <c r="R5329" t="s">
        <v>248</v>
      </c>
      <c r="S5329">
        <v>142.666608</v>
      </c>
      <c r="T5329" s="1095">
        <v>-32.366157000000001</v>
      </c>
    </row>
    <row r="5330" spans="16:20">
      <c r="P5330" s="1094">
        <v>2879</v>
      </c>
      <c r="Q5330" t="s">
        <v>6311</v>
      </c>
      <c r="R5330" t="s">
        <v>248</v>
      </c>
      <c r="S5330">
        <v>142.666608</v>
      </c>
      <c r="T5330" s="1095">
        <v>-32.366157000000001</v>
      </c>
    </row>
    <row r="5331" spans="16:20">
      <c r="P5331" s="1094">
        <v>2880</v>
      </c>
      <c r="Q5331" t="s">
        <v>6312</v>
      </c>
      <c r="R5331" t="s">
        <v>248</v>
      </c>
      <c r="S5331">
        <v>142.20338100000001</v>
      </c>
      <c r="T5331" s="1095">
        <v>-30.170441</v>
      </c>
    </row>
    <row r="5332" spans="16:20">
      <c r="P5332" s="1094">
        <v>2880</v>
      </c>
      <c r="Q5332" t="s">
        <v>6313</v>
      </c>
      <c r="R5332" t="s">
        <v>248</v>
      </c>
      <c r="S5332">
        <v>142.20338100000001</v>
      </c>
      <c r="T5332" s="1095">
        <v>-30.170441</v>
      </c>
    </row>
    <row r="5333" spans="16:20">
      <c r="P5333" s="1094">
        <v>2880</v>
      </c>
      <c r="Q5333" t="s">
        <v>6314</v>
      </c>
      <c r="R5333" t="s">
        <v>248</v>
      </c>
      <c r="S5333">
        <v>142.20338100000001</v>
      </c>
      <c r="T5333" s="1095">
        <v>-30.170441</v>
      </c>
    </row>
    <row r="5334" spans="16:20">
      <c r="P5334" s="1094">
        <v>2880</v>
      </c>
      <c r="Q5334" t="s">
        <v>6315</v>
      </c>
      <c r="R5334" t="s">
        <v>248</v>
      </c>
      <c r="S5334">
        <v>142.20338100000001</v>
      </c>
      <c r="T5334" s="1095">
        <v>-30.170441</v>
      </c>
    </row>
    <row r="5335" spans="16:20">
      <c r="P5335" s="1094">
        <v>2880</v>
      </c>
      <c r="Q5335" t="s">
        <v>6316</v>
      </c>
      <c r="R5335" t="s">
        <v>248</v>
      </c>
      <c r="S5335">
        <v>142.20338100000001</v>
      </c>
      <c r="T5335" s="1095">
        <v>-30.170441</v>
      </c>
    </row>
    <row r="5336" spans="16:20">
      <c r="P5336" s="1094">
        <v>2880</v>
      </c>
      <c r="Q5336" t="s">
        <v>6317</v>
      </c>
      <c r="R5336" t="s">
        <v>248</v>
      </c>
      <c r="S5336">
        <v>142.20338100000001</v>
      </c>
      <c r="T5336" s="1095">
        <v>-30.170441</v>
      </c>
    </row>
    <row r="5337" spans="16:20">
      <c r="P5337" s="1094">
        <v>2880</v>
      </c>
      <c r="Q5337" t="s">
        <v>6318</v>
      </c>
      <c r="R5337" t="s">
        <v>248</v>
      </c>
      <c r="S5337">
        <v>142.20338100000001</v>
      </c>
      <c r="T5337" s="1095">
        <v>-30.170441</v>
      </c>
    </row>
    <row r="5338" spans="16:20">
      <c r="P5338" s="1094">
        <v>2880</v>
      </c>
      <c r="Q5338" t="s">
        <v>6319</v>
      </c>
      <c r="R5338" t="s">
        <v>248</v>
      </c>
      <c r="S5338">
        <v>142.20338100000001</v>
      </c>
      <c r="T5338" s="1095">
        <v>-30.170441</v>
      </c>
    </row>
    <row r="5339" spans="16:20">
      <c r="P5339" s="1094">
        <v>2880</v>
      </c>
      <c r="Q5339" t="s">
        <v>6320</v>
      </c>
      <c r="R5339" t="s">
        <v>248</v>
      </c>
      <c r="S5339">
        <v>142.20338100000001</v>
      </c>
      <c r="T5339" s="1095">
        <v>-30.170441</v>
      </c>
    </row>
    <row r="5340" spans="16:20">
      <c r="P5340" s="1094">
        <v>2880</v>
      </c>
      <c r="Q5340" t="s">
        <v>6321</v>
      </c>
      <c r="R5340" t="s">
        <v>248</v>
      </c>
      <c r="S5340">
        <v>142.20338100000001</v>
      </c>
      <c r="T5340" s="1095">
        <v>-30.170441</v>
      </c>
    </row>
    <row r="5341" spans="16:20">
      <c r="P5341" s="1094">
        <v>2880</v>
      </c>
      <c r="Q5341" t="s">
        <v>6322</v>
      </c>
      <c r="R5341" t="s">
        <v>248</v>
      </c>
      <c r="S5341">
        <v>142.20338100000001</v>
      </c>
      <c r="T5341" s="1095">
        <v>-30.170441</v>
      </c>
    </row>
    <row r="5342" spans="16:20">
      <c r="P5342" s="1094">
        <v>2880</v>
      </c>
      <c r="Q5342" t="s">
        <v>6323</v>
      </c>
      <c r="R5342" t="s">
        <v>248</v>
      </c>
      <c r="S5342">
        <v>142.20338100000001</v>
      </c>
      <c r="T5342" s="1095">
        <v>-30.170441</v>
      </c>
    </row>
    <row r="5343" spans="16:20">
      <c r="P5343" s="1094">
        <v>2880</v>
      </c>
      <c r="Q5343" t="s">
        <v>6324</v>
      </c>
      <c r="R5343" t="s">
        <v>248</v>
      </c>
      <c r="S5343">
        <v>142.20338100000001</v>
      </c>
      <c r="T5343" s="1095">
        <v>-30.170441</v>
      </c>
    </row>
    <row r="5344" spans="16:20">
      <c r="P5344" s="1094">
        <v>2890</v>
      </c>
      <c r="Q5344" t="s">
        <v>6325</v>
      </c>
      <c r="R5344" t="s">
        <v>248</v>
      </c>
      <c r="S5344">
        <v>0</v>
      </c>
      <c r="T5344" s="1095">
        <v>0</v>
      </c>
    </row>
    <row r="5345" spans="16:20">
      <c r="P5345" s="1094">
        <v>2891</v>
      </c>
      <c r="Q5345" t="s">
        <v>6326</v>
      </c>
      <c r="R5345" t="s">
        <v>248</v>
      </c>
      <c r="S5345">
        <v>0</v>
      </c>
      <c r="T5345" s="1095">
        <v>0</v>
      </c>
    </row>
    <row r="5346" spans="16:20">
      <c r="P5346" s="1094">
        <v>2898</v>
      </c>
      <c r="Q5346" t="s">
        <v>6327</v>
      </c>
      <c r="R5346" t="s">
        <v>248</v>
      </c>
      <c r="S5346">
        <v>0</v>
      </c>
      <c r="T5346" s="1095">
        <v>0</v>
      </c>
    </row>
    <row r="5347" spans="16:20">
      <c r="P5347" s="1094">
        <v>2899</v>
      </c>
      <c r="Q5347" t="s">
        <v>6328</v>
      </c>
      <c r="R5347" t="s">
        <v>248</v>
      </c>
      <c r="S5347">
        <v>0</v>
      </c>
      <c r="T5347" s="1095">
        <v>0</v>
      </c>
    </row>
    <row r="5348" spans="16:20">
      <c r="P5348" s="1094">
        <v>2900</v>
      </c>
      <c r="Q5348" t="s">
        <v>6329</v>
      </c>
      <c r="R5348" t="s">
        <v>617</v>
      </c>
      <c r="S5348">
        <v>149.063805</v>
      </c>
      <c r="T5348" s="1095">
        <v>-35.418909999999997</v>
      </c>
    </row>
    <row r="5349" spans="16:20">
      <c r="P5349" s="1094">
        <v>2900</v>
      </c>
      <c r="Q5349" t="s">
        <v>6330</v>
      </c>
      <c r="R5349" t="s">
        <v>617</v>
      </c>
      <c r="S5349">
        <v>149.063805</v>
      </c>
      <c r="T5349" s="1095">
        <v>-35.418909999999997</v>
      </c>
    </row>
    <row r="5350" spans="16:20">
      <c r="P5350" s="1094">
        <v>2901</v>
      </c>
      <c r="Q5350" t="s">
        <v>6331</v>
      </c>
      <c r="R5350" t="s">
        <v>617</v>
      </c>
      <c r="S5350">
        <v>0</v>
      </c>
      <c r="T5350" s="1095">
        <v>0</v>
      </c>
    </row>
    <row r="5351" spans="16:20">
      <c r="P5351" s="1094">
        <v>2902</v>
      </c>
      <c r="Q5351" t="s">
        <v>6332</v>
      </c>
      <c r="R5351" t="s">
        <v>617</v>
      </c>
      <c r="S5351">
        <v>149.04978500000001</v>
      </c>
      <c r="T5351" s="1095">
        <v>-35.389263</v>
      </c>
    </row>
    <row r="5352" spans="16:20">
      <c r="P5352" s="1094">
        <v>2903</v>
      </c>
      <c r="Q5352" t="s">
        <v>6333</v>
      </c>
      <c r="R5352" t="s">
        <v>617</v>
      </c>
      <c r="S5352">
        <v>149.08177599999999</v>
      </c>
      <c r="T5352" s="1095">
        <v>-35.402704999999997</v>
      </c>
    </row>
    <row r="5353" spans="16:20">
      <c r="P5353" s="1094">
        <v>2903</v>
      </c>
      <c r="Q5353" t="s">
        <v>5417</v>
      </c>
      <c r="R5353" t="s">
        <v>617</v>
      </c>
      <c r="S5353">
        <v>149.08177599999999</v>
      </c>
      <c r="T5353" s="1095">
        <v>-35.402704999999997</v>
      </c>
    </row>
    <row r="5354" spans="16:20">
      <c r="P5354" s="1094">
        <v>2903</v>
      </c>
      <c r="Q5354" t="s">
        <v>6334</v>
      </c>
      <c r="R5354" t="s">
        <v>617</v>
      </c>
      <c r="S5354">
        <v>149.08177599999999</v>
      </c>
      <c r="T5354" s="1095">
        <v>-35.402704999999997</v>
      </c>
    </row>
    <row r="5355" spans="16:20">
      <c r="P5355" s="1094">
        <v>2904</v>
      </c>
      <c r="Q5355" t="s">
        <v>6335</v>
      </c>
      <c r="R5355" t="s">
        <v>617</v>
      </c>
      <c r="S5355">
        <v>149.111402</v>
      </c>
      <c r="T5355" s="1095">
        <v>-35.410206000000002</v>
      </c>
    </row>
    <row r="5356" spans="16:20">
      <c r="P5356" s="1094">
        <v>2904</v>
      </c>
      <c r="Q5356" t="s">
        <v>2755</v>
      </c>
      <c r="R5356" t="s">
        <v>617</v>
      </c>
      <c r="S5356">
        <v>149.111402</v>
      </c>
      <c r="T5356" s="1095">
        <v>-35.410206000000002</v>
      </c>
    </row>
    <row r="5357" spans="16:20">
      <c r="P5357" s="1094">
        <v>2904</v>
      </c>
      <c r="Q5357" t="s">
        <v>6336</v>
      </c>
      <c r="R5357" t="s">
        <v>617</v>
      </c>
      <c r="S5357">
        <v>149.111402</v>
      </c>
      <c r="T5357" s="1095">
        <v>-35.410206000000002</v>
      </c>
    </row>
    <row r="5358" spans="16:20">
      <c r="P5358" s="1094">
        <v>2904</v>
      </c>
      <c r="Q5358" t="s">
        <v>6337</v>
      </c>
      <c r="R5358" t="s">
        <v>617</v>
      </c>
      <c r="S5358">
        <v>149.111402</v>
      </c>
      <c r="T5358" s="1095">
        <v>-35.410206000000002</v>
      </c>
    </row>
    <row r="5359" spans="16:20">
      <c r="P5359" s="1094">
        <v>2905</v>
      </c>
      <c r="Q5359" t="s">
        <v>6338</v>
      </c>
      <c r="R5359" t="s">
        <v>617</v>
      </c>
      <c r="S5359">
        <v>149.11002500000001</v>
      </c>
      <c r="T5359" s="1095">
        <v>-35.431010999999998</v>
      </c>
    </row>
    <row r="5360" spans="16:20">
      <c r="P5360" s="1094">
        <v>2905</v>
      </c>
      <c r="Q5360" t="s">
        <v>6339</v>
      </c>
      <c r="R5360" t="s">
        <v>617</v>
      </c>
      <c r="S5360">
        <v>149.11002500000001</v>
      </c>
      <c r="T5360" s="1095">
        <v>-35.431010999999998</v>
      </c>
    </row>
    <row r="5361" spans="16:20">
      <c r="P5361" s="1094">
        <v>2905</v>
      </c>
      <c r="Q5361" t="s">
        <v>6340</v>
      </c>
      <c r="R5361" t="s">
        <v>617</v>
      </c>
      <c r="S5361">
        <v>149.11002500000001</v>
      </c>
      <c r="T5361" s="1095">
        <v>-35.431010999999998</v>
      </c>
    </row>
    <row r="5362" spans="16:20">
      <c r="P5362" s="1094">
        <v>2905</v>
      </c>
      <c r="Q5362" t="s">
        <v>5444</v>
      </c>
      <c r="R5362" t="s">
        <v>617</v>
      </c>
      <c r="S5362">
        <v>149.11002500000001</v>
      </c>
      <c r="T5362" s="1095">
        <v>-35.431010999999998</v>
      </c>
    </row>
    <row r="5363" spans="16:20">
      <c r="P5363" s="1094">
        <v>2905</v>
      </c>
      <c r="Q5363" t="s">
        <v>6341</v>
      </c>
      <c r="R5363" t="s">
        <v>617</v>
      </c>
      <c r="S5363">
        <v>149.11002500000001</v>
      </c>
      <c r="T5363" s="1095">
        <v>-35.431010999999998</v>
      </c>
    </row>
    <row r="5364" spans="16:20">
      <c r="P5364" s="1094">
        <v>2905</v>
      </c>
      <c r="Q5364" t="s">
        <v>6342</v>
      </c>
      <c r="R5364" t="s">
        <v>617</v>
      </c>
      <c r="S5364">
        <v>149.11002500000001</v>
      </c>
      <c r="T5364" s="1095">
        <v>-35.431010999999998</v>
      </c>
    </row>
    <row r="5365" spans="16:20">
      <c r="P5365" s="1094">
        <v>2905</v>
      </c>
      <c r="Q5365" t="s">
        <v>6343</v>
      </c>
      <c r="R5365" t="s">
        <v>617</v>
      </c>
      <c r="S5365">
        <v>149.11002500000001</v>
      </c>
      <c r="T5365" s="1095">
        <v>-35.431010999999998</v>
      </c>
    </row>
    <row r="5366" spans="16:20">
      <c r="P5366" s="1094">
        <v>2906</v>
      </c>
      <c r="Q5366" t="s">
        <v>6344</v>
      </c>
      <c r="R5366" t="s">
        <v>617</v>
      </c>
      <c r="S5366">
        <v>149.08972</v>
      </c>
      <c r="T5366" s="1095">
        <v>-35.456760000000003</v>
      </c>
    </row>
    <row r="5367" spans="16:20">
      <c r="P5367" s="1094">
        <v>2906</v>
      </c>
      <c r="Q5367" t="s">
        <v>6345</v>
      </c>
      <c r="R5367" t="s">
        <v>617</v>
      </c>
      <c r="S5367">
        <v>149.08972</v>
      </c>
      <c r="T5367" s="1095">
        <v>-35.456760000000003</v>
      </c>
    </row>
    <row r="5368" spans="16:20">
      <c r="P5368" s="1094">
        <v>2906</v>
      </c>
      <c r="Q5368" t="s">
        <v>1858</v>
      </c>
      <c r="R5368" t="s">
        <v>617</v>
      </c>
      <c r="S5368">
        <v>149.08972</v>
      </c>
      <c r="T5368" s="1095">
        <v>-35.456760000000003</v>
      </c>
    </row>
    <row r="5369" spans="16:20">
      <c r="P5369" s="1094">
        <v>2911</v>
      </c>
      <c r="Q5369" t="s">
        <v>6346</v>
      </c>
      <c r="R5369" t="s">
        <v>617</v>
      </c>
      <c r="S5369">
        <v>149.13250500000001</v>
      </c>
      <c r="T5369" s="1095">
        <v>-35.218736999999997</v>
      </c>
    </row>
    <row r="5370" spans="16:20">
      <c r="P5370" s="1094">
        <v>2911</v>
      </c>
      <c r="Q5370" t="s">
        <v>1529</v>
      </c>
      <c r="R5370" t="s">
        <v>617</v>
      </c>
      <c r="S5370">
        <v>149.13250500000001</v>
      </c>
      <c r="T5370" s="1095">
        <v>-35.218736999999997</v>
      </c>
    </row>
    <row r="5371" spans="16:20">
      <c r="P5371" s="1094">
        <v>2912</v>
      </c>
      <c r="Q5371" t="s">
        <v>6347</v>
      </c>
      <c r="R5371" t="s">
        <v>617</v>
      </c>
      <c r="S5371">
        <v>149.12355199999999</v>
      </c>
      <c r="T5371" s="1095">
        <v>-35.172452999999997</v>
      </c>
    </row>
    <row r="5372" spans="16:20">
      <c r="P5372" s="1094">
        <v>2913</v>
      </c>
      <c r="Q5372" t="s">
        <v>6348</v>
      </c>
      <c r="R5372" t="s">
        <v>617</v>
      </c>
      <c r="S5372">
        <v>0</v>
      </c>
      <c r="T5372" s="1095">
        <v>0</v>
      </c>
    </row>
    <row r="5373" spans="16:20">
      <c r="P5373" s="1094">
        <v>2913</v>
      </c>
      <c r="Q5373" t="s">
        <v>6349</v>
      </c>
      <c r="R5373" t="s">
        <v>617</v>
      </c>
      <c r="S5373">
        <v>0</v>
      </c>
      <c r="T5373" s="1095">
        <v>0</v>
      </c>
    </row>
    <row r="5374" spans="16:20">
      <c r="P5374" s="1094">
        <v>2913</v>
      </c>
      <c r="Q5374" t="s">
        <v>6350</v>
      </c>
      <c r="R5374" t="s">
        <v>617</v>
      </c>
      <c r="S5374">
        <v>0</v>
      </c>
      <c r="T5374" s="1095">
        <v>0</v>
      </c>
    </row>
    <row r="5375" spans="16:20">
      <c r="P5375" s="1094">
        <v>2913</v>
      </c>
      <c r="Q5375" t="s">
        <v>6351</v>
      </c>
      <c r="R5375" t="s">
        <v>617</v>
      </c>
      <c r="S5375">
        <v>0</v>
      </c>
      <c r="T5375" s="1095">
        <v>0</v>
      </c>
    </row>
    <row r="5376" spans="16:20">
      <c r="P5376" s="1094">
        <v>2913</v>
      </c>
      <c r="Q5376" t="s">
        <v>1522</v>
      </c>
      <c r="R5376" t="s">
        <v>617</v>
      </c>
      <c r="S5376">
        <v>0</v>
      </c>
      <c r="T5376" s="1095">
        <v>0</v>
      </c>
    </row>
    <row r="5377" spans="16:20">
      <c r="P5377" s="1094">
        <v>2914</v>
      </c>
      <c r="Q5377" t="s">
        <v>6224</v>
      </c>
      <c r="R5377" t="s">
        <v>617</v>
      </c>
      <c r="S5377">
        <v>0</v>
      </c>
      <c r="T5377" s="1095">
        <v>0</v>
      </c>
    </row>
    <row r="5378" spans="16:20">
      <c r="P5378" s="1094">
        <v>2914</v>
      </c>
      <c r="Q5378" t="s">
        <v>6352</v>
      </c>
      <c r="R5378" t="s">
        <v>617</v>
      </c>
      <c r="S5378">
        <v>0</v>
      </c>
      <c r="T5378" s="1095">
        <v>0</v>
      </c>
    </row>
    <row r="5379" spans="16:20">
      <c r="P5379" s="1094">
        <v>2914</v>
      </c>
      <c r="Q5379" t="s">
        <v>6353</v>
      </c>
      <c r="R5379" t="s">
        <v>617</v>
      </c>
      <c r="S5379">
        <v>0</v>
      </c>
      <c r="T5379" s="1095">
        <v>0</v>
      </c>
    </row>
    <row r="5380" spans="16:20">
      <c r="P5380" s="1094">
        <v>2914</v>
      </c>
      <c r="Q5380" t="s">
        <v>6354</v>
      </c>
      <c r="R5380" t="s">
        <v>617</v>
      </c>
      <c r="S5380">
        <v>0</v>
      </c>
      <c r="T5380" s="1095">
        <v>0</v>
      </c>
    </row>
    <row r="5381" spans="16:20">
      <c r="P5381" s="1094">
        <v>3000</v>
      </c>
      <c r="Q5381" t="s">
        <v>6355</v>
      </c>
      <c r="R5381" t="s">
        <v>616</v>
      </c>
      <c r="S5381">
        <v>144.95677599999999</v>
      </c>
      <c r="T5381" s="1095">
        <v>-37.817402999999999</v>
      </c>
    </row>
    <row r="5382" spans="16:20">
      <c r="P5382" s="1094">
        <v>3001</v>
      </c>
      <c r="Q5382" t="s">
        <v>6355</v>
      </c>
      <c r="R5382" t="s">
        <v>616</v>
      </c>
      <c r="S5382">
        <v>0</v>
      </c>
      <c r="T5382" s="1095">
        <v>0</v>
      </c>
    </row>
    <row r="5383" spans="16:20">
      <c r="P5383" s="1094">
        <v>3002</v>
      </c>
      <c r="Q5383" t="s">
        <v>6356</v>
      </c>
      <c r="R5383" t="s">
        <v>616</v>
      </c>
      <c r="S5383">
        <v>144.98220699999999</v>
      </c>
      <c r="T5383" s="1095">
        <v>-37.818517</v>
      </c>
    </row>
    <row r="5384" spans="16:20">
      <c r="P5384" s="1094">
        <v>3003</v>
      </c>
      <c r="Q5384" t="s">
        <v>6357</v>
      </c>
      <c r="R5384" t="s">
        <v>616</v>
      </c>
      <c r="S5384">
        <v>144.949592</v>
      </c>
      <c r="T5384" s="1095">
        <v>-37.810870999999999</v>
      </c>
    </row>
    <row r="5385" spans="16:20">
      <c r="P5385" s="1094">
        <v>3004</v>
      </c>
      <c r="Q5385" t="s">
        <v>6355</v>
      </c>
      <c r="R5385" t="s">
        <v>616</v>
      </c>
      <c r="S5385">
        <v>144.97016099999999</v>
      </c>
      <c r="T5385" s="1095">
        <v>-37.844245999999998</v>
      </c>
    </row>
    <row r="5386" spans="16:20">
      <c r="P5386" s="1094">
        <v>3004</v>
      </c>
      <c r="Q5386" t="s">
        <v>6358</v>
      </c>
      <c r="R5386" t="s">
        <v>616</v>
      </c>
      <c r="S5386">
        <v>144.97016099999999</v>
      </c>
      <c r="T5386" s="1095">
        <v>-37.844245999999998</v>
      </c>
    </row>
    <row r="5387" spans="16:20">
      <c r="P5387" s="1094">
        <v>3005</v>
      </c>
      <c r="Q5387" t="s">
        <v>6359</v>
      </c>
      <c r="R5387" t="s">
        <v>616</v>
      </c>
      <c r="S5387">
        <v>144.95085800000001</v>
      </c>
      <c r="T5387" s="1095">
        <v>-37.824607999999998</v>
      </c>
    </row>
    <row r="5388" spans="16:20">
      <c r="P5388" s="1094">
        <v>3006</v>
      </c>
      <c r="Q5388" t="s">
        <v>6360</v>
      </c>
      <c r="R5388" t="s">
        <v>616</v>
      </c>
      <c r="S5388">
        <v>0</v>
      </c>
      <c r="T5388" s="1095">
        <v>0</v>
      </c>
    </row>
    <row r="5389" spans="16:20">
      <c r="P5389" s="1094">
        <v>3008</v>
      </c>
      <c r="Q5389" t="s">
        <v>6361</v>
      </c>
      <c r="R5389" t="s">
        <v>616</v>
      </c>
      <c r="S5389">
        <v>0</v>
      </c>
      <c r="T5389" s="1095">
        <v>0</v>
      </c>
    </row>
    <row r="5390" spans="16:20">
      <c r="P5390" s="1094">
        <v>3010</v>
      </c>
      <c r="Q5390" t="s">
        <v>6362</v>
      </c>
      <c r="R5390" t="s">
        <v>616</v>
      </c>
      <c r="S5390">
        <v>0</v>
      </c>
      <c r="T5390" s="1095">
        <v>0</v>
      </c>
    </row>
    <row r="5391" spans="16:20">
      <c r="P5391" s="1094">
        <v>3011</v>
      </c>
      <c r="Q5391" t="s">
        <v>6363</v>
      </c>
      <c r="R5391" t="s">
        <v>616</v>
      </c>
      <c r="S5391">
        <v>144.90795299999999</v>
      </c>
      <c r="T5391" s="1095">
        <v>-37.807101000000003</v>
      </c>
    </row>
    <row r="5392" spans="16:20">
      <c r="P5392" s="1094">
        <v>3011</v>
      </c>
      <c r="Q5392" t="s">
        <v>6364</v>
      </c>
      <c r="R5392" t="s">
        <v>616</v>
      </c>
      <c r="S5392">
        <v>144.90795299999999</v>
      </c>
      <c r="T5392" s="1095">
        <v>-37.807101000000003</v>
      </c>
    </row>
    <row r="5393" spans="16:20">
      <c r="P5393" s="1094">
        <v>3011</v>
      </c>
      <c r="Q5393" t="s">
        <v>6365</v>
      </c>
      <c r="R5393" t="s">
        <v>616</v>
      </c>
      <c r="S5393">
        <v>144.90795299999999</v>
      </c>
      <c r="T5393" s="1095">
        <v>-37.807101000000003</v>
      </c>
    </row>
    <row r="5394" spans="16:20">
      <c r="P5394" s="1094">
        <v>3012</v>
      </c>
      <c r="Q5394" t="s">
        <v>1881</v>
      </c>
      <c r="R5394" t="s">
        <v>616</v>
      </c>
      <c r="S5394">
        <v>144.86116200000001</v>
      </c>
      <c r="T5394" s="1095">
        <v>-37.807135000000002</v>
      </c>
    </row>
    <row r="5395" spans="16:20">
      <c r="P5395" s="1094">
        <v>3012</v>
      </c>
      <c r="Q5395" t="s">
        <v>6366</v>
      </c>
      <c r="R5395" t="s">
        <v>616</v>
      </c>
      <c r="S5395">
        <v>144.86116200000001</v>
      </c>
      <c r="T5395" s="1095">
        <v>-37.807135000000002</v>
      </c>
    </row>
    <row r="5396" spans="16:20">
      <c r="P5396" s="1094">
        <v>3012</v>
      </c>
      <c r="Q5396" t="s">
        <v>6367</v>
      </c>
      <c r="R5396" t="s">
        <v>616</v>
      </c>
      <c r="S5396">
        <v>144.86116200000001</v>
      </c>
      <c r="T5396" s="1095">
        <v>-37.807135000000002</v>
      </c>
    </row>
    <row r="5397" spans="16:20">
      <c r="P5397" s="1094">
        <v>3012</v>
      </c>
      <c r="Q5397" t="s">
        <v>6368</v>
      </c>
      <c r="R5397" t="s">
        <v>616</v>
      </c>
      <c r="S5397">
        <v>144.86116200000001</v>
      </c>
      <c r="T5397" s="1095">
        <v>-37.807135000000002</v>
      </c>
    </row>
    <row r="5398" spans="16:20">
      <c r="P5398" s="1094">
        <v>3012</v>
      </c>
      <c r="Q5398" t="s">
        <v>6283</v>
      </c>
      <c r="R5398" t="s">
        <v>616</v>
      </c>
      <c r="S5398">
        <v>144.86116200000001</v>
      </c>
      <c r="T5398" s="1095">
        <v>-37.807135000000002</v>
      </c>
    </row>
    <row r="5399" spans="16:20">
      <c r="P5399" s="1094">
        <v>3012</v>
      </c>
      <c r="Q5399" t="s">
        <v>6369</v>
      </c>
      <c r="R5399" t="s">
        <v>616</v>
      </c>
      <c r="S5399">
        <v>144.86116200000001</v>
      </c>
      <c r="T5399" s="1095">
        <v>-37.807135000000002</v>
      </c>
    </row>
    <row r="5400" spans="16:20">
      <c r="P5400" s="1094">
        <v>3013</v>
      </c>
      <c r="Q5400" t="s">
        <v>6370</v>
      </c>
      <c r="R5400" t="s">
        <v>616</v>
      </c>
      <c r="S5400">
        <v>144.88868600000001</v>
      </c>
      <c r="T5400" s="1095">
        <v>-37.814183</v>
      </c>
    </row>
    <row r="5401" spans="16:20">
      <c r="P5401" s="1094">
        <v>3013</v>
      </c>
      <c r="Q5401" t="s">
        <v>6371</v>
      </c>
      <c r="R5401" t="s">
        <v>616</v>
      </c>
      <c r="S5401">
        <v>144.88868600000001</v>
      </c>
      <c r="T5401" s="1095">
        <v>-37.814183</v>
      </c>
    </row>
    <row r="5402" spans="16:20">
      <c r="P5402" s="1094">
        <v>3015</v>
      </c>
      <c r="Q5402" t="s">
        <v>1945</v>
      </c>
      <c r="R5402" t="s">
        <v>616</v>
      </c>
      <c r="S5402">
        <v>144.88055600000001</v>
      </c>
      <c r="T5402" s="1095">
        <v>-37.838242000000001</v>
      </c>
    </row>
    <row r="5403" spans="16:20">
      <c r="P5403" s="1094">
        <v>3015</v>
      </c>
      <c r="Q5403" t="s">
        <v>6372</v>
      </c>
      <c r="R5403" t="s">
        <v>616</v>
      </c>
      <c r="S5403">
        <v>144.88055600000001</v>
      </c>
      <c r="T5403" s="1095">
        <v>-37.838242000000001</v>
      </c>
    </row>
    <row r="5404" spans="16:20">
      <c r="P5404" s="1094">
        <v>3015</v>
      </c>
      <c r="Q5404" t="s">
        <v>6373</v>
      </c>
      <c r="R5404" t="s">
        <v>616</v>
      </c>
      <c r="S5404">
        <v>144.88055600000001</v>
      </c>
      <c r="T5404" s="1095">
        <v>-37.838242000000001</v>
      </c>
    </row>
    <row r="5405" spans="16:20">
      <c r="P5405" s="1094">
        <v>3016</v>
      </c>
      <c r="Q5405" t="s">
        <v>6374</v>
      </c>
      <c r="R5405" t="s">
        <v>616</v>
      </c>
      <c r="S5405">
        <v>144.88846100000001</v>
      </c>
      <c r="T5405" s="1095">
        <v>-37.863742999999999</v>
      </c>
    </row>
    <row r="5406" spans="16:20">
      <c r="P5406" s="1094">
        <v>3016</v>
      </c>
      <c r="Q5406" t="s">
        <v>6375</v>
      </c>
      <c r="R5406" t="s">
        <v>616</v>
      </c>
      <c r="S5406">
        <v>144.88846100000001</v>
      </c>
      <c r="T5406" s="1095">
        <v>-37.863742999999999</v>
      </c>
    </row>
    <row r="5407" spans="16:20">
      <c r="P5407" s="1094">
        <v>3018</v>
      </c>
      <c r="Q5407" t="s">
        <v>6376</v>
      </c>
      <c r="R5407" t="s">
        <v>616</v>
      </c>
      <c r="S5407">
        <v>144.812736</v>
      </c>
      <c r="T5407" s="1095">
        <v>-37.861719999999998</v>
      </c>
    </row>
    <row r="5408" spans="16:20">
      <c r="P5408" s="1094">
        <v>3018</v>
      </c>
      <c r="Q5408" t="s">
        <v>6377</v>
      </c>
      <c r="R5408" t="s">
        <v>616</v>
      </c>
      <c r="S5408">
        <v>144.812736</v>
      </c>
      <c r="T5408" s="1095">
        <v>-37.861719999999998</v>
      </c>
    </row>
    <row r="5409" spans="16:20">
      <c r="P5409" s="1094">
        <v>3019</v>
      </c>
      <c r="Q5409" t="s">
        <v>6378</v>
      </c>
      <c r="R5409" t="s">
        <v>616</v>
      </c>
      <c r="S5409">
        <v>144.85401400000001</v>
      </c>
      <c r="T5409" s="1095">
        <v>-37.784683000000001</v>
      </c>
    </row>
    <row r="5410" spans="16:20">
      <c r="P5410" s="1094">
        <v>3019</v>
      </c>
      <c r="Q5410" t="s">
        <v>6379</v>
      </c>
      <c r="R5410" t="s">
        <v>616</v>
      </c>
      <c r="S5410">
        <v>144.85401400000001</v>
      </c>
      <c r="T5410" s="1095">
        <v>-37.784683000000001</v>
      </c>
    </row>
    <row r="5411" spans="16:20">
      <c r="P5411" s="1094">
        <v>3019</v>
      </c>
      <c r="Q5411" t="s">
        <v>6380</v>
      </c>
      <c r="R5411" t="s">
        <v>616</v>
      </c>
      <c r="S5411">
        <v>144.85401400000001</v>
      </c>
      <c r="T5411" s="1095">
        <v>-37.784683000000001</v>
      </c>
    </row>
    <row r="5412" spans="16:20">
      <c r="P5412" s="1094">
        <v>3020</v>
      </c>
      <c r="Q5412" t="s">
        <v>6381</v>
      </c>
      <c r="R5412" t="s">
        <v>616</v>
      </c>
      <c r="S5412">
        <v>144.82994500000001</v>
      </c>
      <c r="T5412" s="1095">
        <v>-37.777203999999998</v>
      </c>
    </row>
    <row r="5413" spans="16:20">
      <c r="P5413" s="1094">
        <v>3020</v>
      </c>
      <c r="Q5413" t="s">
        <v>6382</v>
      </c>
      <c r="R5413" t="s">
        <v>616</v>
      </c>
      <c r="S5413">
        <v>144.82994500000001</v>
      </c>
      <c r="T5413" s="1095">
        <v>-37.777203999999998</v>
      </c>
    </row>
    <row r="5414" spans="16:20">
      <c r="P5414" s="1094">
        <v>3020</v>
      </c>
      <c r="Q5414" t="s">
        <v>2420</v>
      </c>
      <c r="R5414" t="s">
        <v>616</v>
      </c>
      <c r="S5414">
        <v>144.82994500000001</v>
      </c>
      <c r="T5414" s="1095">
        <v>-37.777203999999998</v>
      </c>
    </row>
    <row r="5415" spans="16:20">
      <c r="P5415" s="1094">
        <v>3020</v>
      </c>
      <c r="Q5415" t="s">
        <v>6383</v>
      </c>
      <c r="R5415" t="s">
        <v>616</v>
      </c>
      <c r="S5415">
        <v>144.82994500000001</v>
      </c>
      <c r="T5415" s="1095">
        <v>-37.777203999999998</v>
      </c>
    </row>
    <row r="5416" spans="16:20">
      <c r="P5416" s="1094">
        <v>3020</v>
      </c>
      <c r="Q5416" t="s">
        <v>6384</v>
      </c>
      <c r="R5416" t="s">
        <v>616</v>
      </c>
      <c r="S5416">
        <v>144.82994500000001</v>
      </c>
      <c r="T5416" s="1095">
        <v>-37.777203999999998</v>
      </c>
    </row>
    <row r="5417" spans="16:20">
      <c r="P5417" s="1094">
        <v>3021</v>
      </c>
      <c r="Q5417" t="s">
        <v>6385</v>
      </c>
      <c r="R5417" t="s">
        <v>616</v>
      </c>
      <c r="S5417">
        <v>144.796693</v>
      </c>
      <c r="T5417" s="1095">
        <v>-37.743361</v>
      </c>
    </row>
    <row r="5418" spans="16:20">
      <c r="P5418" s="1094">
        <v>3021</v>
      </c>
      <c r="Q5418" t="s">
        <v>6386</v>
      </c>
      <c r="R5418" t="s">
        <v>616</v>
      </c>
      <c r="S5418">
        <v>144.796693</v>
      </c>
      <c r="T5418" s="1095">
        <v>-37.743361</v>
      </c>
    </row>
    <row r="5419" spans="16:20">
      <c r="P5419" s="1094">
        <v>3021</v>
      </c>
      <c r="Q5419" t="s">
        <v>2054</v>
      </c>
      <c r="R5419" t="s">
        <v>616</v>
      </c>
      <c r="S5419">
        <v>144.796693</v>
      </c>
      <c r="T5419" s="1095">
        <v>-37.743361</v>
      </c>
    </row>
    <row r="5420" spans="16:20">
      <c r="P5420" s="1094">
        <v>3021</v>
      </c>
      <c r="Q5420" t="s">
        <v>5673</v>
      </c>
      <c r="R5420" t="s">
        <v>616</v>
      </c>
      <c r="S5420">
        <v>144.796693</v>
      </c>
      <c r="T5420" s="1095">
        <v>-37.743361</v>
      </c>
    </row>
    <row r="5421" spans="16:20">
      <c r="P5421" s="1094">
        <v>3022</v>
      </c>
      <c r="Q5421" t="s">
        <v>6387</v>
      </c>
      <c r="R5421" t="s">
        <v>616</v>
      </c>
      <c r="S5421">
        <v>144.793961</v>
      </c>
      <c r="T5421" s="1095">
        <v>-37.795937000000002</v>
      </c>
    </row>
    <row r="5422" spans="16:20">
      <c r="P5422" s="1094">
        <v>3022</v>
      </c>
      <c r="Q5422" t="s">
        <v>6388</v>
      </c>
      <c r="R5422" t="s">
        <v>616</v>
      </c>
      <c r="S5422">
        <v>144.793961</v>
      </c>
      <c r="T5422" s="1095">
        <v>-37.795937000000002</v>
      </c>
    </row>
    <row r="5423" spans="16:20">
      <c r="P5423" s="1094">
        <v>3023</v>
      </c>
      <c r="Q5423" t="s">
        <v>6389</v>
      </c>
      <c r="R5423" t="s">
        <v>616</v>
      </c>
      <c r="S5423">
        <v>144.77064100000001</v>
      </c>
      <c r="T5423" s="1095">
        <v>-37.782719999999998</v>
      </c>
    </row>
    <row r="5424" spans="16:20">
      <c r="P5424" s="1094">
        <v>3023</v>
      </c>
      <c r="Q5424" t="s">
        <v>6390</v>
      </c>
      <c r="R5424" t="s">
        <v>616</v>
      </c>
      <c r="S5424">
        <v>144.77064100000001</v>
      </c>
      <c r="T5424" s="1095">
        <v>-37.782719999999998</v>
      </c>
    </row>
    <row r="5425" spans="16:20">
      <c r="P5425" s="1094">
        <v>3023</v>
      </c>
      <c r="Q5425" t="s">
        <v>6391</v>
      </c>
      <c r="R5425" t="s">
        <v>616</v>
      </c>
      <c r="S5425">
        <v>144.77064100000001</v>
      </c>
      <c r="T5425" s="1095">
        <v>-37.782719999999998</v>
      </c>
    </row>
    <row r="5426" spans="16:20">
      <c r="P5426" s="1094">
        <v>3023</v>
      </c>
      <c r="Q5426" t="s">
        <v>6392</v>
      </c>
      <c r="R5426" t="s">
        <v>616</v>
      </c>
      <c r="S5426">
        <v>144.77064100000001</v>
      </c>
      <c r="T5426" s="1095">
        <v>-37.782719999999998</v>
      </c>
    </row>
    <row r="5427" spans="16:20">
      <c r="P5427" s="1094">
        <v>3023</v>
      </c>
      <c r="Q5427" t="s">
        <v>6393</v>
      </c>
      <c r="R5427" t="s">
        <v>616</v>
      </c>
      <c r="S5427">
        <v>144.77064100000001</v>
      </c>
      <c r="T5427" s="1095">
        <v>-37.782719999999998</v>
      </c>
    </row>
    <row r="5428" spans="16:20">
      <c r="P5428" s="1094">
        <v>3023</v>
      </c>
      <c r="Q5428" t="s">
        <v>6394</v>
      </c>
      <c r="R5428" t="s">
        <v>616</v>
      </c>
      <c r="S5428">
        <v>144.77064100000001</v>
      </c>
      <c r="T5428" s="1095">
        <v>-37.782719999999998</v>
      </c>
    </row>
    <row r="5429" spans="16:20">
      <c r="P5429" s="1094">
        <v>3024</v>
      </c>
      <c r="Q5429" t="s">
        <v>6395</v>
      </c>
      <c r="R5429" t="s">
        <v>616</v>
      </c>
      <c r="S5429">
        <v>0</v>
      </c>
      <c r="T5429" s="1095">
        <v>0</v>
      </c>
    </row>
    <row r="5430" spans="16:20">
      <c r="P5430" s="1094">
        <v>3024</v>
      </c>
      <c r="Q5430" t="s">
        <v>6396</v>
      </c>
      <c r="R5430" t="s">
        <v>616</v>
      </c>
      <c r="S5430">
        <v>0</v>
      </c>
      <c r="T5430" s="1095">
        <v>0</v>
      </c>
    </row>
    <row r="5431" spans="16:20">
      <c r="P5431" s="1094">
        <v>3024</v>
      </c>
      <c r="Q5431" t="s">
        <v>6397</v>
      </c>
      <c r="R5431" t="s">
        <v>616</v>
      </c>
      <c r="S5431">
        <v>0</v>
      </c>
      <c r="T5431" s="1095">
        <v>0</v>
      </c>
    </row>
    <row r="5432" spans="16:20">
      <c r="P5432" s="1094">
        <v>3025</v>
      </c>
      <c r="Q5432" t="s">
        <v>6398</v>
      </c>
      <c r="R5432" t="s">
        <v>616</v>
      </c>
      <c r="S5432">
        <v>144.83970400000001</v>
      </c>
      <c r="T5432" s="1095">
        <v>-37.835562000000003</v>
      </c>
    </row>
    <row r="5433" spans="16:20">
      <c r="P5433" s="1094">
        <v>3025</v>
      </c>
      <c r="Q5433" t="s">
        <v>6399</v>
      </c>
      <c r="R5433" t="s">
        <v>616</v>
      </c>
      <c r="S5433">
        <v>144.83970400000001</v>
      </c>
      <c r="T5433" s="1095">
        <v>-37.835562000000003</v>
      </c>
    </row>
    <row r="5434" spans="16:20">
      <c r="P5434" s="1094">
        <v>3025</v>
      </c>
      <c r="Q5434" t="s">
        <v>6400</v>
      </c>
      <c r="R5434" t="s">
        <v>616</v>
      </c>
      <c r="S5434">
        <v>144.83970400000001</v>
      </c>
      <c r="T5434" s="1095">
        <v>-37.835562000000003</v>
      </c>
    </row>
    <row r="5435" spans="16:20">
      <c r="P5435" s="1094">
        <v>3026</v>
      </c>
      <c r="Q5435" t="s">
        <v>6401</v>
      </c>
      <c r="R5435" t="s">
        <v>616</v>
      </c>
      <c r="S5435">
        <v>144.77498600000001</v>
      </c>
      <c r="T5435" s="1095">
        <v>-37.829923000000001</v>
      </c>
    </row>
    <row r="5436" spans="16:20">
      <c r="P5436" s="1094">
        <v>3027</v>
      </c>
      <c r="Q5436" t="s">
        <v>6402</v>
      </c>
      <c r="R5436" t="s">
        <v>616</v>
      </c>
      <c r="S5436">
        <v>144.75414699999999</v>
      </c>
      <c r="T5436" s="1095">
        <v>-37.932419000000003</v>
      </c>
    </row>
    <row r="5437" spans="16:20">
      <c r="P5437" s="1094">
        <v>3027</v>
      </c>
      <c r="Q5437" t="s">
        <v>6403</v>
      </c>
      <c r="R5437" t="s">
        <v>616</v>
      </c>
      <c r="S5437">
        <v>144.75414699999999</v>
      </c>
      <c r="T5437" s="1095">
        <v>-37.932419000000003</v>
      </c>
    </row>
    <row r="5438" spans="16:20">
      <c r="P5438" s="1094">
        <v>3028</v>
      </c>
      <c r="Q5438" t="s">
        <v>6404</v>
      </c>
      <c r="R5438" t="s">
        <v>616</v>
      </c>
      <c r="S5438">
        <v>144.777165</v>
      </c>
      <c r="T5438" s="1095">
        <v>-37.875065999999997</v>
      </c>
    </row>
    <row r="5439" spans="16:20">
      <c r="P5439" s="1094">
        <v>3028</v>
      </c>
      <c r="Q5439" t="s">
        <v>6405</v>
      </c>
      <c r="R5439" t="s">
        <v>616</v>
      </c>
      <c r="S5439">
        <v>144.777165</v>
      </c>
      <c r="T5439" s="1095">
        <v>-37.875065999999997</v>
      </c>
    </row>
    <row r="5440" spans="16:20">
      <c r="P5440" s="1094">
        <v>3028</v>
      </c>
      <c r="Q5440" t="s">
        <v>6406</v>
      </c>
      <c r="R5440" t="s">
        <v>616</v>
      </c>
      <c r="S5440">
        <v>144.777165</v>
      </c>
      <c r="T5440" s="1095">
        <v>-37.875065999999997</v>
      </c>
    </row>
    <row r="5441" spans="16:20">
      <c r="P5441" s="1094">
        <v>3029</v>
      </c>
      <c r="Q5441" t="s">
        <v>6407</v>
      </c>
      <c r="R5441" t="s">
        <v>616</v>
      </c>
      <c r="S5441">
        <v>144.70583099999999</v>
      </c>
      <c r="T5441" s="1095">
        <v>-37.837164999999999</v>
      </c>
    </row>
    <row r="5442" spans="16:20">
      <c r="P5442" s="1094">
        <v>3029</v>
      </c>
      <c r="Q5442" t="s">
        <v>6408</v>
      </c>
      <c r="R5442" t="s">
        <v>616</v>
      </c>
      <c r="S5442">
        <v>144.70583099999999</v>
      </c>
      <c r="T5442" s="1095">
        <v>-37.837164999999999</v>
      </c>
    </row>
    <row r="5443" spans="16:20">
      <c r="P5443" s="1094">
        <v>3029</v>
      </c>
      <c r="Q5443" t="s">
        <v>6409</v>
      </c>
      <c r="R5443" t="s">
        <v>616</v>
      </c>
      <c r="S5443">
        <v>144.70583099999999</v>
      </c>
      <c r="T5443" s="1095">
        <v>-37.837164999999999</v>
      </c>
    </row>
    <row r="5444" spans="16:20">
      <c r="P5444" s="1094">
        <v>3030</v>
      </c>
      <c r="Q5444" t="s">
        <v>6410</v>
      </c>
      <c r="R5444" t="s">
        <v>616</v>
      </c>
      <c r="S5444">
        <v>144.64209</v>
      </c>
      <c r="T5444" s="1095">
        <v>-37.916240000000002</v>
      </c>
    </row>
    <row r="5445" spans="16:20">
      <c r="P5445" s="1094">
        <v>3030</v>
      </c>
      <c r="Q5445" t="s">
        <v>6411</v>
      </c>
      <c r="R5445" t="s">
        <v>616</v>
      </c>
      <c r="S5445">
        <v>144.64209</v>
      </c>
      <c r="T5445" s="1095">
        <v>-37.916240000000002</v>
      </c>
    </row>
    <row r="5446" spans="16:20">
      <c r="P5446" s="1094">
        <v>3030</v>
      </c>
      <c r="Q5446" t="s">
        <v>6412</v>
      </c>
      <c r="R5446" t="s">
        <v>616</v>
      </c>
      <c r="S5446">
        <v>144.64209</v>
      </c>
      <c r="T5446" s="1095">
        <v>-37.916240000000002</v>
      </c>
    </row>
    <row r="5447" spans="16:20">
      <c r="P5447" s="1094">
        <v>3030</v>
      </c>
      <c r="Q5447" t="s">
        <v>6413</v>
      </c>
      <c r="R5447" t="s">
        <v>616</v>
      </c>
      <c r="S5447">
        <v>144.64209</v>
      </c>
      <c r="T5447" s="1095">
        <v>-37.916240000000002</v>
      </c>
    </row>
    <row r="5448" spans="16:20">
      <c r="P5448" s="1094">
        <v>3030</v>
      </c>
      <c r="Q5448" t="s">
        <v>6414</v>
      </c>
      <c r="R5448" t="s">
        <v>616</v>
      </c>
      <c r="S5448">
        <v>144.64209</v>
      </c>
      <c r="T5448" s="1095">
        <v>-37.916240000000002</v>
      </c>
    </row>
    <row r="5449" spans="16:20">
      <c r="P5449" s="1094">
        <v>3030</v>
      </c>
      <c r="Q5449" t="s">
        <v>6415</v>
      </c>
      <c r="R5449" t="s">
        <v>616</v>
      </c>
      <c r="S5449">
        <v>144.64209</v>
      </c>
      <c r="T5449" s="1095">
        <v>-37.916240000000002</v>
      </c>
    </row>
    <row r="5450" spans="16:20">
      <c r="P5450" s="1094">
        <v>3030</v>
      </c>
      <c r="Q5450" t="s">
        <v>6416</v>
      </c>
      <c r="R5450" t="s">
        <v>616</v>
      </c>
      <c r="S5450">
        <v>144.64209</v>
      </c>
      <c r="T5450" s="1095">
        <v>-37.916240000000002</v>
      </c>
    </row>
    <row r="5451" spans="16:20">
      <c r="P5451" s="1094">
        <v>3031</v>
      </c>
      <c r="Q5451" t="s">
        <v>6417</v>
      </c>
      <c r="R5451" t="s">
        <v>616</v>
      </c>
      <c r="S5451">
        <v>144.92340300000001</v>
      </c>
      <c r="T5451" s="1095">
        <v>-37.79119</v>
      </c>
    </row>
    <row r="5452" spans="16:20">
      <c r="P5452" s="1094">
        <v>3031</v>
      </c>
      <c r="Q5452" t="s">
        <v>1665</v>
      </c>
      <c r="R5452" t="s">
        <v>616</v>
      </c>
      <c r="S5452">
        <v>144.92340300000001</v>
      </c>
      <c r="T5452" s="1095">
        <v>-37.79119</v>
      </c>
    </row>
    <row r="5453" spans="16:20">
      <c r="P5453" s="1094">
        <v>3032</v>
      </c>
      <c r="Q5453" t="s">
        <v>6418</v>
      </c>
      <c r="R5453" t="s">
        <v>616</v>
      </c>
      <c r="S5453">
        <v>144.897221</v>
      </c>
      <c r="T5453" s="1095">
        <v>-37.774486000000003</v>
      </c>
    </row>
    <row r="5454" spans="16:20">
      <c r="P5454" s="1094">
        <v>3032</v>
      </c>
      <c r="Q5454" t="s">
        <v>6419</v>
      </c>
      <c r="R5454" t="s">
        <v>616</v>
      </c>
      <c r="S5454">
        <v>144.897221</v>
      </c>
      <c r="T5454" s="1095">
        <v>-37.774486000000003</v>
      </c>
    </row>
    <row r="5455" spans="16:20">
      <c r="P5455" s="1094">
        <v>3032</v>
      </c>
      <c r="Q5455" t="s">
        <v>6420</v>
      </c>
      <c r="R5455" t="s">
        <v>616</v>
      </c>
      <c r="S5455">
        <v>144.897221</v>
      </c>
      <c r="T5455" s="1095">
        <v>-37.774486000000003</v>
      </c>
    </row>
    <row r="5456" spans="16:20">
      <c r="P5456" s="1094">
        <v>3032</v>
      </c>
      <c r="Q5456" t="s">
        <v>6421</v>
      </c>
      <c r="R5456" t="s">
        <v>616</v>
      </c>
      <c r="S5456">
        <v>144.897221</v>
      </c>
      <c r="T5456" s="1095">
        <v>-37.774486000000003</v>
      </c>
    </row>
    <row r="5457" spans="16:20">
      <c r="P5457" s="1094">
        <v>3033</v>
      </c>
      <c r="Q5457" t="s">
        <v>6422</v>
      </c>
      <c r="R5457" t="s">
        <v>616</v>
      </c>
      <c r="S5457">
        <v>144.85763800000001</v>
      </c>
      <c r="T5457" s="1095">
        <v>-37.741070000000001</v>
      </c>
    </row>
    <row r="5458" spans="16:20">
      <c r="P5458" s="1094">
        <v>3034</v>
      </c>
      <c r="Q5458" t="s">
        <v>6423</v>
      </c>
      <c r="R5458" t="s">
        <v>616</v>
      </c>
      <c r="S5458">
        <v>144.86194</v>
      </c>
      <c r="T5458" s="1095">
        <v>-37.761234999999999</v>
      </c>
    </row>
    <row r="5459" spans="16:20">
      <c r="P5459" s="1094">
        <v>3036</v>
      </c>
      <c r="Q5459" t="s">
        <v>6424</v>
      </c>
      <c r="R5459" t="s">
        <v>616</v>
      </c>
      <c r="S5459">
        <v>144.82246000000001</v>
      </c>
      <c r="T5459" s="1095">
        <v>-37.705323999999997</v>
      </c>
    </row>
    <row r="5460" spans="16:20">
      <c r="P5460" s="1094">
        <v>3036</v>
      </c>
      <c r="Q5460" t="s">
        <v>6425</v>
      </c>
      <c r="R5460" t="s">
        <v>616</v>
      </c>
      <c r="S5460">
        <v>144.82246000000001</v>
      </c>
      <c r="T5460" s="1095">
        <v>-37.705323999999997</v>
      </c>
    </row>
    <row r="5461" spans="16:20">
      <c r="P5461" s="1094">
        <v>3037</v>
      </c>
      <c r="Q5461" t="s">
        <v>6426</v>
      </c>
      <c r="R5461" t="s">
        <v>616</v>
      </c>
      <c r="S5461">
        <v>0</v>
      </c>
      <c r="T5461" s="1095">
        <v>0</v>
      </c>
    </row>
    <row r="5462" spans="16:20">
      <c r="P5462" s="1094">
        <v>3037</v>
      </c>
      <c r="Q5462" t="s">
        <v>6427</v>
      </c>
      <c r="R5462" t="s">
        <v>616</v>
      </c>
      <c r="S5462">
        <v>0</v>
      </c>
      <c r="T5462" s="1095">
        <v>0</v>
      </c>
    </row>
    <row r="5463" spans="16:20">
      <c r="P5463" s="1094">
        <v>3037</v>
      </c>
      <c r="Q5463" t="s">
        <v>2074</v>
      </c>
      <c r="R5463" t="s">
        <v>616</v>
      </c>
      <c r="S5463">
        <v>0</v>
      </c>
      <c r="T5463" s="1095">
        <v>0</v>
      </c>
    </row>
    <row r="5464" spans="16:20">
      <c r="P5464" s="1094">
        <v>3037</v>
      </c>
      <c r="Q5464" t="s">
        <v>5626</v>
      </c>
      <c r="R5464" t="s">
        <v>616</v>
      </c>
      <c r="S5464">
        <v>0</v>
      </c>
      <c r="T5464" s="1095">
        <v>0</v>
      </c>
    </row>
    <row r="5465" spans="16:20">
      <c r="P5465" s="1094">
        <v>3037</v>
      </c>
      <c r="Q5465" t="s">
        <v>1808</v>
      </c>
      <c r="R5465" t="s">
        <v>616</v>
      </c>
      <c r="S5465">
        <v>0</v>
      </c>
      <c r="T5465" s="1095">
        <v>0</v>
      </c>
    </row>
    <row r="5466" spans="16:20">
      <c r="P5466" s="1094">
        <v>3037</v>
      </c>
      <c r="Q5466" t="s">
        <v>6428</v>
      </c>
      <c r="R5466" t="s">
        <v>616</v>
      </c>
      <c r="S5466">
        <v>0</v>
      </c>
      <c r="T5466" s="1095">
        <v>0</v>
      </c>
    </row>
    <row r="5467" spans="16:20">
      <c r="P5467" s="1094">
        <v>3038</v>
      </c>
      <c r="Q5467" t="s">
        <v>6429</v>
      </c>
      <c r="R5467" t="s">
        <v>616</v>
      </c>
      <c r="S5467">
        <v>144.766873</v>
      </c>
      <c r="T5467" s="1095">
        <v>-37.700454000000001</v>
      </c>
    </row>
    <row r="5468" spans="16:20">
      <c r="P5468" s="1094">
        <v>3038</v>
      </c>
      <c r="Q5468" t="s">
        <v>6430</v>
      </c>
      <c r="R5468" t="s">
        <v>616</v>
      </c>
      <c r="S5468">
        <v>144.766873</v>
      </c>
      <c r="T5468" s="1095">
        <v>-37.700454000000001</v>
      </c>
    </row>
    <row r="5469" spans="16:20">
      <c r="P5469" s="1094">
        <v>3038</v>
      </c>
      <c r="Q5469" t="s">
        <v>6431</v>
      </c>
      <c r="R5469" t="s">
        <v>616</v>
      </c>
      <c r="S5469">
        <v>144.766873</v>
      </c>
      <c r="T5469" s="1095">
        <v>-37.700454000000001</v>
      </c>
    </row>
    <row r="5470" spans="16:20">
      <c r="P5470" s="1094">
        <v>3038</v>
      </c>
      <c r="Q5470" t="s">
        <v>6432</v>
      </c>
      <c r="R5470" t="s">
        <v>616</v>
      </c>
      <c r="S5470">
        <v>144.766873</v>
      </c>
      <c r="T5470" s="1095">
        <v>-37.700454000000001</v>
      </c>
    </row>
    <row r="5471" spans="16:20">
      <c r="P5471" s="1094">
        <v>3039</v>
      </c>
      <c r="Q5471" t="s">
        <v>6433</v>
      </c>
      <c r="R5471" t="s">
        <v>616</v>
      </c>
      <c r="S5471">
        <v>144.92299499999999</v>
      </c>
      <c r="T5471" s="1095">
        <v>-37.766184000000003</v>
      </c>
    </row>
    <row r="5472" spans="16:20">
      <c r="P5472" s="1094">
        <v>3040</v>
      </c>
      <c r="Q5472" t="s">
        <v>6434</v>
      </c>
      <c r="R5472" t="s">
        <v>616</v>
      </c>
      <c r="S5472">
        <v>144.902556</v>
      </c>
      <c r="T5472" s="1095">
        <v>-37.751845000000003</v>
      </c>
    </row>
    <row r="5473" spans="16:20">
      <c r="P5473" s="1094">
        <v>3040</v>
      </c>
      <c r="Q5473" t="s">
        <v>6435</v>
      </c>
      <c r="R5473" t="s">
        <v>616</v>
      </c>
      <c r="S5473">
        <v>144.902556</v>
      </c>
      <c r="T5473" s="1095">
        <v>-37.751845000000003</v>
      </c>
    </row>
    <row r="5474" spans="16:20">
      <c r="P5474" s="1094">
        <v>3040</v>
      </c>
      <c r="Q5474" t="s">
        <v>6436</v>
      </c>
      <c r="R5474" t="s">
        <v>616</v>
      </c>
      <c r="S5474">
        <v>144.902556</v>
      </c>
      <c r="T5474" s="1095">
        <v>-37.751845000000003</v>
      </c>
    </row>
    <row r="5475" spans="16:20">
      <c r="P5475" s="1094">
        <v>3041</v>
      </c>
      <c r="Q5475" t="s">
        <v>6437</v>
      </c>
      <c r="R5475" t="s">
        <v>616</v>
      </c>
      <c r="S5475">
        <v>144.90481500000001</v>
      </c>
      <c r="T5475" s="1095">
        <v>-37.731464000000003</v>
      </c>
    </row>
    <row r="5476" spans="16:20">
      <c r="P5476" s="1094">
        <v>3041</v>
      </c>
      <c r="Q5476" t="s">
        <v>6438</v>
      </c>
      <c r="R5476" t="s">
        <v>616</v>
      </c>
      <c r="S5476">
        <v>144.90481500000001</v>
      </c>
      <c r="T5476" s="1095">
        <v>-37.731464000000003</v>
      </c>
    </row>
    <row r="5477" spans="16:20">
      <c r="P5477" s="1094">
        <v>3041</v>
      </c>
      <c r="Q5477" t="s">
        <v>6439</v>
      </c>
      <c r="R5477" t="s">
        <v>616</v>
      </c>
      <c r="S5477">
        <v>144.90481500000001</v>
      </c>
      <c r="T5477" s="1095">
        <v>-37.731464000000003</v>
      </c>
    </row>
    <row r="5478" spans="16:20">
      <c r="P5478" s="1094">
        <v>3042</v>
      </c>
      <c r="Q5478" t="s">
        <v>6440</v>
      </c>
      <c r="R5478" t="s">
        <v>616</v>
      </c>
      <c r="S5478">
        <v>144.86630500000001</v>
      </c>
      <c r="T5478" s="1095">
        <v>-37.727528999999997</v>
      </c>
    </row>
    <row r="5479" spans="16:20">
      <c r="P5479" s="1094">
        <v>3042</v>
      </c>
      <c r="Q5479" t="s">
        <v>6441</v>
      </c>
      <c r="R5479" t="s">
        <v>616</v>
      </c>
      <c r="S5479">
        <v>144.86630500000001</v>
      </c>
      <c r="T5479" s="1095">
        <v>-37.727528999999997</v>
      </c>
    </row>
    <row r="5480" spans="16:20">
      <c r="P5480" s="1094">
        <v>3042</v>
      </c>
      <c r="Q5480" t="s">
        <v>6442</v>
      </c>
      <c r="R5480" t="s">
        <v>616</v>
      </c>
      <c r="S5480">
        <v>144.86630500000001</v>
      </c>
      <c r="T5480" s="1095">
        <v>-37.727528999999997</v>
      </c>
    </row>
    <row r="5481" spans="16:20">
      <c r="P5481" s="1094">
        <v>3043</v>
      </c>
      <c r="Q5481" t="s">
        <v>6443</v>
      </c>
      <c r="R5481" t="s">
        <v>616</v>
      </c>
      <c r="S5481">
        <v>144.88836800000001</v>
      </c>
      <c r="T5481" s="1095">
        <v>-37.691915999999999</v>
      </c>
    </row>
    <row r="5482" spans="16:20">
      <c r="P5482" s="1094">
        <v>3043</v>
      </c>
      <c r="Q5482" t="s">
        <v>6444</v>
      </c>
      <c r="R5482" t="s">
        <v>616</v>
      </c>
      <c r="S5482">
        <v>144.88836800000001</v>
      </c>
      <c r="T5482" s="1095">
        <v>-37.691915999999999</v>
      </c>
    </row>
    <row r="5483" spans="16:20">
      <c r="P5483" s="1094">
        <v>3043</v>
      </c>
      <c r="Q5483" t="s">
        <v>6445</v>
      </c>
      <c r="R5483" t="s">
        <v>616</v>
      </c>
      <c r="S5483">
        <v>144.88836800000001</v>
      </c>
      <c r="T5483" s="1095">
        <v>-37.691915999999999</v>
      </c>
    </row>
    <row r="5484" spans="16:20">
      <c r="P5484" s="1094">
        <v>3044</v>
      </c>
      <c r="Q5484" t="s">
        <v>6446</v>
      </c>
      <c r="R5484" t="s">
        <v>616</v>
      </c>
      <c r="S5484">
        <v>144.93635599999999</v>
      </c>
      <c r="T5484" s="1095">
        <v>-37.731138000000001</v>
      </c>
    </row>
    <row r="5485" spans="16:20">
      <c r="P5485" s="1094">
        <v>3044</v>
      </c>
      <c r="Q5485" t="s">
        <v>6447</v>
      </c>
      <c r="R5485" t="s">
        <v>616</v>
      </c>
      <c r="S5485">
        <v>144.93635599999999</v>
      </c>
      <c r="T5485" s="1095">
        <v>-37.731138000000001</v>
      </c>
    </row>
    <row r="5486" spans="16:20">
      <c r="P5486" s="1094">
        <v>3045</v>
      </c>
      <c r="Q5486" t="s">
        <v>6448</v>
      </c>
      <c r="R5486" t="s">
        <v>616</v>
      </c>
      <c r="S5486">
        <v>144.836195</v>
      </c>
      <c r="T5486" s="1095">
        <v>-37.674739000000002</v>
      </c>
    </row>
    <row r="5487" spans="16:20">
      <c r="P5487" s="1094">
        <v>3046</v>
      </c>
      <c r="Q5487" t="s">
        <v>5083</v>
      </c>
      <c r="R5487" t="s">
        <v>616</v>
      </c>
      <c r="S5487">
        <v>144.92796799999999</v>
      </c>
      <c r="T5487" s="1095">
        <v>-37.706578</v>
      </c>
    </row>
    <row r="5488" spans="16:20">
      <c r="P5488" s="1094">
        <v>3046</v>
      </c>
      <c r="Q5488" t="s">
        <v>6449</v>
      </c>
      <c r="R5488" t="s">
        <v>616</v>
      </c>
      <c r="S5488">
        <v>144.92796799999999</v>
      </c>
      <c r="T5488" s="1095">
        <v>-37.706578</v>
      </c>
    </row>
    <row r="5489" spans="16:20">
      <c r="P5489" s="1094">
        <v>3046</v>
      </c>
      <c r="Q5489" t="s">
        <v>6450</v>
      </c>
      <c r="R5489" t="s">
        <v>616</v>
      </c>
      <c r="S5489">
        <v>144.92796799999999</v>
      </c>
      <c r="T5489" s="1095">
        <v>-37.706578</v>
      </c>
    </row>
    <row r="5490" spans="16:20">
      <c r="P5490" s="1094">
        <v>3047</v>
      </c>
      <c r="Q5490" t="s">
        <v>6451</v>
      </c>
      <c r="R5490" t="s">
        <v>616</v>
      </c>
      <c r="S5490">
        <v>144.93024700000001</v>
      </c>
      <c r="T5490" s="1095">
        <v>-37.681105000000002</v>
      </c>
    </row>
    <row r="5491" spans="16:20">
      <c r="P5491" s="1094">
        <v>3047</v>
      </c>
      <c r="Q5491" t="s">
        <v>6452</v>
      </c>
      <c r="R5491" t="s">
        <v>616</v>
      </c>
      <c r="S5491">
        <v>144.93024700000001</v>
      </c>
      <c r="T5491" s="1095">
        <v>-37.681105000000002</v>
      </c>
    </row>
    <row r="5492" spans="16:20">
      <c r="P5492" s="1094">
        <v>3047</v>
      </c>
      <c r="Q5492" t="s">
        <v>6453</v>
      </c>
      <c r="R5492" t="s">
        <v>616</v>
      </c>
      <c r="S5492">
        <v>144.93024700000001</v>
      </c>
      <c r="T5492" s="1095">
        <v>-37.681105000000002</v>
      </c>
    </row>
    <row r="5493" spans="16:20">
      <c r="P5493" s="1094">
        <v>3048</v>
      </c>
      <c r="Q5493" t="s">
        <v>6454</v>
      </c>
      <c r="R5493" t="s">
        <v>616</v>
      </c>
      <c r="S5493">
        <v>144.923609</v>
      </c>
      <c r="T5493" s="1095">
        <v>-37.653917</v>
      </c>
    </row>
    <row r="5494" spans="16:20">
      <c r="P5494" s="1094">
        <v>3048</v>
      </c>
      <c r="Q5494" t="s">
        <v>6455</v>
      </c>
      <c r="R5494" t="s">
        <v>616</v>
      </c>
      <c r="S5494">
        <v>144.923609</v>
      </c>
      <c r="T5494" s="1095">
        <v>-37.653917</v>
      </c>
    </row>
    <row r="5495" spans="16:20">
      <c r="P5495" s="1094">
        <v>3049</v>
      </c>
      <c r="Q5495" t="s">
        <v>6456</v>
      </c>
      <c r="R5495" t="s">
        <v>616</v>
      </c>
      <c r="S5495">
        <v>144.88849200000001</v>
      </c>
      <c r="T5495" s="1095">
        <v>-37.673181999999997</v>
      </c>
    </row>
    <row r="5496" spans="16:20">
      <c r="P5496" s="1094">
        <v>3049</v>
      </c>
      <c r="Q5496" t="s">
        <v>6457</v>
      </c>
      <c r="R5496" t="s">
        <v>616</v>
      </c>
      <c r="S5496">
        <v>144.88849200000001</v>
      </c>
      <c r="T5496" s="1095">
        <v>-37.673181999999997</v>
      </c>
    </row>
    <row r="5497" spans="16:20">
      <c r="P5497" s="1094">
        <v>3050</v>
      </c>
      <c r="Q5497" t="s">
        <v>6458</v>
      </c>
      <c r="R5497" t="s">
        <v>616</v>
      </c>
      <c r="S5497">
        <v>144.95458099999999</v>
      </c>
      <c r="T5497" s="1095">
        <v>-37.800324000000003</v>
      </c>
    </row>
    <row r="5498" spans="16:20">
      <c r="P5498" s="1094">
        <v>3051</v>
      </c>
      <c r="Q5498" t="s">
        <v>6459</v>
      </c>
      <c r="R5498" t="s">
        <v>616</v>
      </c>
      <c r="S5498">
        <v>144.94355899999999</v>
      </c>
      <c r="T5498" s="1095">
        <v>-37.800600000000003</v>
      </c>
    </row>
    <row r="5499" spans="16:20">
      <c r="P5499" s="1094">
        <v>3051</v>
      </c>
      <c r="Q5499" t="s">
        <v>6460</v>
      </c>
      <c r="R5499" t="s">
        <v>616</v>
      </c>
      <c r="S5499">
        <v>144.94355899999999</v>
      </c>
      <c r="T5499" s="1095">
        <v>-37.800600000000003</v>
      </c>
    </row>
    <row r="5500" spans="16:20">
      <c r="P5500" s="1094">
        <v>3052</v>
      </c>
      <c r="Q5500" t="s">
        <v>6461</v>
      </c>
      <c r="R5500" t="s">
        <v>616</v>
      </c>
      <c r="S5500">
        <v>144.948903</v>
      </c>
      <c r="T5500" s="1095">
        <v>-37.788995999999997</v>
      </c>
    </row>
    <row r="5501" spans="16:20">
      <c r="P5501" s="1094">
        <v>3052</v>
      </c>
      <c r="Q5501" t="s">
        <v>2841</v>
      </c>
      <c r="R5501" t="s">
        <v>616</v>
      </c>
      <c r="S5501">
        <v>144.948903</v>
      </c>
      <c r="T5501" s="1095">
        <v>-37.788995999999997</v>
      </c>
    </row>
    <row r="5502" spans="16:20">
      <c r="P5502" s="1094">
        <v>3053</v>
      </c>
      <c r="Q5502" t="s">
        <v>2210</v>
      </c>
      <c r="R5502" t="s">
        <v>616</v>
      </c>
      <c r="S5502">
        <v>144.96611200000001</v>
      </c>
      <c r="T5502" s="1095">
        <v>-37.803569000000003</v>
      </c>
    </row>
    <row r="5503" spans="16:20">
      <c r="P5503" s="1094">
        <v>3053</v>
      </c>
      <c r="Q5503" t="s">
        <v>6462</v>
      </c>
      <c r="R5503" t="s">
        <v>616</v>
      </c>
      <c r="S5503">
        <v>144.96611200000001</v>
      </c>
      <c r="T5503" s="1095">
        <v>-37.803569000000003</v>
      </c>
    </row>
    <row r="5504" spans="16:20">
      <c r="P5504" s="1094">
        <v>3054</v>
      </c>
      <c r="Q5504" t="s">
        <v>6463</v>
      </c>
      <c r="R5504" t="s">
        <v>616</v>
      </c>
      <c r="S5504">
        <v>144.96724</v>
      </c>
      <c r="T5504" s="1095">
        <v>-37.786971000000001</v>
      </c>
    </row>
    <row r="5505" spans="16:20">
      <c r="P5505" s="1094">
        <v>3054</v>
      </c>
      <c r="Q5505" t="s">
        <v>6464</v>
      </c>
      <c r="R5505" t="s">
        <v>616</v>
      </c>
      <c r="S5505">
        <v>144.96724</v>
      </c>
      <c r="T5505" s="1095">
        <v>-37.786971000000001</v>
      </c>
    </row>
    <row r="5506" spans="16:20">
      <c r="P5506" s="1094">
        <v>3055</v>
      </c>
      <c r="Q5506" t="s">
        <v>6465</v>
      </c>
      <c r="R5506" t="s">
        <v>616</v>
      </c>
      <c r="S5506">
        <v>144.94222199999999</v>
      </c>
      <c r="T5506" s="1095">
        <v>-37.763584000000002</v>
      </c>
    </row>
    <row r="5507" spans="16:20">
      <c r="P5507" s="1094">
        <v>3055</v>
      </c>
      <c r="Q5507" t="s">
        <v>6466</v>
      </c>
      <c r="R5507" t="s">
        <v>616</v>
      </c>
      <c r="S5507">
        <v>144.94222199999999</v>
      </c>
      <c r="T5507" s="1095">
        <v>-37.763584000000002</v>
      </c>
    </row>
    <row r="5508" spans="16:20">
      <c r="P5508" s="1094">
        <v>3055</v>
      </c>
      <c r="Q5508" t="s">
        <v>6467</v>
      </c>
      <c r="R5508" t="s">
        <v>616</v>
      </c>
      <c r="S5508">
        <v>144.94222199999999</v>
      </c>
      <c r="T5508" s="1095">
        <v>-37.763584000000002</v>
      </c>
    </row>
    <row r="5509" spans="16:20">
      <c r="P5509" s="1094">
        <v>3055</v>
      </c>
      <c r="Q5509" t="s">
        <v>6468</v>
      </c>
      <c r="R5509" t="s">
        <v>616</v>
      </c>
      <c r="S5509">
        <v>144.94222199999999</v>
      </c>
      <c r="T5509" s="1095">
        <v>-37.763584000000002</v>
      </c>
    </row>
    <row r="5510" spans="16:20">
      <c r="P5510" s="1094">
        <v>3056</v>
      </c>
      <c r="Q5510" t="s">
        <v>6469</v>
      </c>
      <c r="R5510" t="s">
        <v>616</v>
      </c>
      <c r="S5510">
        <v>144.96010799999999</v>
      </c>
      <c r="T5510" s="1095">
        <v>-37.766292</v>
      </c>
    </row>
    <row r="5511" spans="16:20">
      <c r="P5511" s="1094">
        <v>3056</v>
      </c>
      <c r="Q5511" t="s">
        <v>6470</v>
      </c>
      <c r="R5511" t="s">
        <v>616</v>
      </c>
      <c r="S5511">
        <v>144.96010799999999</v>
      </c>
      <c r="T5511" s="1095">
        <v>-37.766292</v>
      </c>
    </row>
    <row r="5512" spans="16:20">
      <c r="P5512" s="1094">
        <v>3056</v>
      </c>
      <c r="Q5512" t="s">
        <v>6471</v>
      </c>
      <c r="R5512" t="s">
        <v>616</v>
      </c>
      <c r="S5512">
        <v>144.96010799999999</v>
      </c>
      <c r="T5512" s="1095">
        <v>-37.766292</v>
      </c>
    </row>
    <row r="5513" spans="16:20">
      <c r="P5513" s="1094">
        <v>3057</v>
      </c>
      <c r="Q5513" t="s">
        <v>6472</v>
      </c>
      <c r="R5513" t="s">
        <v>616</v>
      </c>
      <c r="S5513">
        <v>144.97728000000001</v>
      </c>
      <c r="T5513" s="1095">
        <v>-37.770012000000001</v>
      </c>
    </row>
    <row r="5514" spans="16:20">
      <c r="P5514" s="1094">
        <v>3057</v>
      </c>
      <c r="Q5514" t="s">
        <v>6473</v>
      </c>
      <c r="R5514" t="s">
        <v>616</v>
      </c>
      <c r="S5514">
        <v>144.97728000000001</v>
      </c>
      <c r="T5514" s="1095">
        <v>-37.770012000000001</v>
      </c>
    </row>
    <row r="5515" spans="16:20">
      <c r="P5515" s="1094">
        <v>3058</v>
      </c>
      <c r="Q5515" t="s">
        <v>6474</v>
      </c>
      <c r="R5515" t="s">
        <v>616</v>
      </c>
      <c r="S5515">
        <v>144.96452400000001</v>
      </c>
      <c r="T5515" s="1095">
        <v>-37.739901000000003</v>
      </c>
    </row>
    <row r="5516" spans="16:20">
      <c r="P5516" s="1094">
        <v>3058</v>
      </c>
      <c r="Q5516" t="s">
        <v>6475</v>
      </c>
      <c r="R5516" t="s">
        <v>616</v>
      </c>
      <c r="S5516">
        <v>144.96452400000001</v>
      </c>
      <c r="T5516" s="1095">
        <v>-37.739901000000003</v>
      </c>
    </row>
    <row r="5517" spans="16:20">
      <c r="P5517" s="1094">
        <v>3058</v>
      </c>
      <c r="Q5517" t="s">
        <v>6476</v>
      </c>
      <c r="R5517" t="s">
        <v>616</v>
      </c>
      <c r="S5517">
        <v>144.96452400000001</v>
      </c>
      <c r="T5517" s="1095">
        <v>-37.739901000000003</v>
      </c>
    </row>
    <row r="5518" spans="16:20">
      <c r="P5518" s="1094">
        <v>3058</v>
      </c>
      <c r="Q5518" t="s">
        <v>6477</v>
      </c>
      <c r="R5518" t="s">
        <v>616</v>
      </c>
      <c r="S5518">
        <v>144.96452400000001</v>
      </c>
      <c r="T5518" s="1095">
        <v>-37.739901000000003</v>
      </c>
    </row>
    <row r="5519" spans="16:20">
      <c r="P5519" s="1094">
        <v>3058</v>
      </c>
      <c r="Q5519" t="s">
        <v>6478</v>
      </c>
      <c r="R5519" t="s">
        <v>616</v>
      </c>
      <c r="S5519">
        <v>144.96452400000001</v>
      </c>
      <c r="T5519" s="1095">
        <v>-37.739901000000003</v>
      </c>
    </row>
    <row r="5520" spans="16:20">
      <c r="P5520" s="1094">
        <v>3059</v>
      </c>
      <c r="Q5520" t="s">
        <v>6479</v>
      </c>
      <c r="R5520" t="s">
        <v>616</v>
      </c>
      <c r="S5520">
        <v>144.879626</v>
      </c>
      <c r="T5520" s="1095">
        <v>-37.639887000000002</v>
      </c>
    </row>
    <row r="5521" spans="16:20">
      <c r="P5521" s="1094">
        <v>3060</v>
      </c>
      <c r="Q5521" t="s">
        <v>6480</v>
      </c>
      <c r="R5521" t="s">
        <v>616</v>
      </c>
      <c r="S5521">
        <v>144.96787399999999</v>
      </c>
      <c r="T5521" s="1095">
        <v>-37.707326000000002</v>
      </c>
    </row>
    <row r="5522" spans="16:20">
      <c r="P5522" s="1094">
        <v>3060</v>
      </c>
      <c r="Q5522" t="s">
        <v>6481</v>
      </c>
      <c r="R5522" t="s">
        <v>616</v>
      </c>
      <c r="S5522">
        <v>144.96787399999999</v>
      </c>
      <c r="T5522" s="1095">
        <v>-37.707326000000002</v>
      </c>
    </row>
    <row r="5523" spans="16:20">
      <c r="P5523" s="1094">
        <v>3060</v>
      </c>
      <c r="Q5523" t="s">
        <v>6482</v>
      </c>
      <c r="R5523" t="s">
        <v>616</v>
      </c>
      <c r="S5523">
        <v>144.96787399999999</v>
      </c>
      <c r="T5523" s="1095">
        <v>-37.707326000000002</v>
      </c>
    </row>
    <row r="5524" spans="16:20">
      <c r="P5524" s="1094">
        <v>3061</v>
      </c>
      <c r="Q5524" t="s">
        <v>6483</v>
      </c>
      <c r="R5524" t="s">
        <v>616</v>
      </c>
      <c r="S5524">
        <v>144.956763</v>
      </c>
      <c r="T5524" s="1095">
        <v>-37.666265000000003</v>
      </c>
    </row>
    <row r="5525" spans="16:20">
      <c r="P5525" s="1094">
        <v>3062</v>
      </c>
      <c r="Q5525" t="s">
        <v>2893</v>
      </c>
      <c r="R5525" t="s">
        <v>616</v>
      </c>
      <c r="S5525">
        <v>144.932557</v>
      </c>
      <c r="T5525" s="1095">
        <v>-37.632986000000002</v>
      </c>
    </row>
    <row r="5526" spans="16:20">
      <c r="P5526" s="1094">
        <v>3063</v>
      </c>
      <c r="Q5526" t="s">
        <v>6484</v>
      </c>
      <c r="R5526" t="s">
        <v>616</v>
      </c>
      <c r="S5526">
        <v>144.85608199999999</v>
      </c>
      <c r="T5526" s="1095">
        <v>-37.595014999999997</v>
      </c>
    </row>
    <row r="5527" spans="16:20">
      <c r="P5527" s="1094">
        <v>3063</v>
      </c>
      <c r="Q5527" t="s">
        <v>6485</v>
      </c>
      <c r="R5527" t="s">
        <v>616</v>
      </c>
      <c r="S5527">
        <v>144.85608199999999</v>
      </c>
      <c r="T5527" s="1095">
        <v>-37.595014999999997</v>
      </c>
    </row>
    <row r="5528" spans="16:20">
      <c r="P5528" s="1094">
        <v>3064</v>
      </c>
      <c r="Q5528" t="s">
        <v>6486</v>
      </c>
      <c r="R5528" t="s">
        <v>616</v>
      </c>
      <c r="S5528">
        <v>144.94219899999999</v>
      </c>
      <c r="T5528" s="1095">
        <v>-37.546522000000003</v>
      </c>
    </row>
    <row r="5529" spans="16:20">
      <c r="P5529" s="1094">
        <v>3064</v>
      </c>
      <c r="Q5529" t="s">
        <v>6487</v>
      </c>
      <c r="R5529" t="s">
        <v>616</v>
      </c>
      <c r="S5529">
        <v>144.94219899999999</v>
      </c>
      <c r="T5529" s="1095">
        <v>-37.546522000000003</v>
      </c>
    </row>
    <row r="5530" spans="16:20">
      <c r="P5530" s="1094">
        <v>3064</v>
      </c>
      <c r="Q5530" t="s">
        <v>6488</v>
      </c>
      <c r="R5530" t="s">
        <v>616</v>
      </c>
      <c r="S5530">
        <v>144.94219899999999</v>
      </c>
      <c r="T5530" s="1095">
        <v>-37.546522000000003</v>
      </c>
    </row>
    <row r="5531" spans="16:20">
      <c r="P5531" s="1094">
        <v>3064</v>
      </c>
      <c r="Q5531" t="s">
        <v>6489</v>
      </c>
      <c r="R5531" t="s">
        <v>616</v>
      </c>
      <c r="S5531">
        <v>144.94219899999999</v>
      </c>
      <c r="T5531" s="1095">
        <v>-37.546522000000003</v>
      </c>
    </row>
    <row r="5532" spans="16:20">
      <c r="P5532" s="1094">
        <v>3064</v>
      </c>
      <c r="Q5532" t="s">
        <v>6490</v>
      </c>
      <c r="R5532" t="s">
        <v>616</v>
      </c>
      <c r="S5532">
        <v>144.94219899999999</v>
      </c>
      <c r="T5532" s="1095">
        <v>-37.546522000000003</v>
      </c>
    </row>
    <row r="5533" spans="16:20">
      <c r="P5533" s="1094">
        <v>3065</v>
      </c>
      <c r="Q5533" t="s">
        <v>6491</v>
      </c>
      <c r="R5533" t="s">
        <v>616</v>
      </c>
      <c r="S5533">
        <v>144.97779499999999</v>
      </c>
      <c r="T5533" s="1095">
        <v>-37.802607999999999</v>
      </c>
    </row>
    <row r="5534" spans="16:20">
      <c r="P5534" s="1094">
        <v>3066</v>
      </c>
      <c r="Q5534" t="s">
        <v>6146</v>
      </c>
      <c r="R5534" t="s">
        <v>616</v>
      </c>
      <c r="S5534">
        <v>144.986906</v>
      </c>
      <c r="T5534" s="1095">
        <v>-37.804845999999998</v>
      </c>
    </row>
    <row r="5535" spans="16:20">
      <c r="P5535" s="1094">
        <v>3066</v>
      </c>
      <c r="Q5535" t="s">
        <v>6492</v>
      </c>
      <c r="R5535" t="s">
        <v>616</v>
      </c>
      <c r="S5535">
        <v>144.986906</v>
      </c>
      <c r="T5535" s="1095">
        <v>-37.804845999999998</v>
      </c>
    </row>
    <row r="5536" spans="16:20">
      <c r="P5536" s="1094">
        <v>3067</v>
      </c>
      <c r="Q5536" t="s">
        <v>1811</v>
      </c>
      <c r="R5536" t="s">
        <v>616</v>
      </c>
      <c r="S5536">
        <v>144.99820299999999</v>
      </c>
      <c r="T5536" s="1095">
        <v>-37.803514999999997</v>
      </c>
    </row>
    <row r="5537" spans="16:20">
      <c r="P5537" s="1094">
        <v>3068</v>
      </c>
      <c r="Q5537" t="s">
        <v>6493</v>
      </c>
      <c r="R5537" t="s">
        <v>616</v>
      </c>
      <c r="S5537">
        <v>144.98622</v>
      </c>
      <c r="T5537" s="1095">
        <v>-37.790973999999999</v>
      </c>
    </row>
    <row r="5538" spans="16:20">
      <c r="P5538" s="1094">
        <v>3068</v>
      </c>
      <c r="Q5538" t="s">
        <v>6494</v>
      </c>
      <c r="R5538" t="s">
        <v>616</v>
      </c>
      <c r="S5538">
        <v>144.98622</v>
      </c>
      <c r="T5538" s="1095">
        <v>-37.790973999999999</v>
      </c>
    </row>
    <row r="5539" spans="16:20">
      <c r="P5539" s="1094">
        <v>3070</v>
      </c>
      <c r="Q5539" t="s">
        <v>6495</v>
      </c>
      <c r="R5539" t="s">
        <v>616</v>
      </c>
      <c r="S5539">
        <v>144.99974499999999</v>
      </c>
      <c r="T5539" s="1095">
        <v>-37.774064000000003</v>
      </c>
    </row>
    <row r="5540" spans="16:20">
      <c r="P5540" s="1094">
        <v>3070</v>
      </c>
      <c r="Q5540" t="s">
        <v>6496</v>
      </c>
      <c r="R5540" t="s">
        <v>616</v>
      </c>
      <c r="S5540">
        <v>144.99974499999999</v>
      </c>
      <c r="T5540" s="1095">
        <v>-37.774064000000003</v>
      </c>
    </row>
    <row r="5541" spans="16:20">
      <c r="P5541" s="1094">
        <v>3071</v>
      </c>
      <c r="Q5541" t="s">
        <v>6497</v>
      </c>
      <c r="R5541" t="s">
        <v>616</v>
      </c>
      <c r="S5541">
        <v>145.00700599999999</v>
      </c>
      <c r="T5541" s="1095">
        <v>-37.759425999999998</v>
      </c>
    </row>
    <row r="5542" spans="16:20">
      <c r="P5542" s="1094">
        <v>3072</v>
      </c>
      <c r="Q5542" t="s">
        <v>6498</v>
      </c>
      <c r="R5542" t="s">
        <v>616</v>
      </c>
      <c r="S5542">
        <v>145.00570200000001</v>
      </c>
      <c r="T5542" s="1095">
        <v>-37.742469999999997</v>
      </c>
    </row>
    <row r="5543" spans="16:20">
      <c r="P5543" s="1094">
        <v>3072</v>
      </c>
      <c r="Q5543" t="s">
        <v>6499</v>
      </c>
      <c r="R5543" t="s">
        <v>616</v>
      </c>
      <c r="S5543">
        <v>145.00570200000001</v>
      </c>
      <c r="T5543" s="1095">
        <v>-37.742469999999997</v>
      </c>
    </row>
    <row r="5544" spans="16:20">
      <c r="P5544" s="1094">
        <v>3072</v>
      </c>
      <c r="Q5544" t="s">
        <v>6500</v>
      </c>
      <c r="R5544" t="s">
        <v>616</v>
      </c>
      <c r="S5544">
        <v>145.00570200000001</v>
      </c>
      <c r="T5544" s="1095">
        <v>-37.742469999999997</v>
      </c>
    </row>
    <row r="5545" spans="16:20">
      <c r="P5545" s="1094">
        <v>3072</v>
      </c>
      <c r="Q5545" t="s">
        <v>6501</v>
      </c>
      <c r="R5545" t="s">
        <v>616</v>
      </c>
      <c r="S5545">
        <v>145.00570200000001</v>
      </c>
      <c r="T5545" s="1095">
        <v>-37.742469999999997</v>
      </c>
    </row>
    <row r="5546" spans="16:20">
      <c r="P5546" s="1094">
        <v>3072</v>
      </c>
      <c r="Q5546" t="s">
        <v>6502</v>
      </c>
      <c r="R5546" t="s">
        <v>616</v>
      </c>
      <c r="S5546">
        <v>145.00570200000001</v>
      </c>
      <c r="T5546" s="1095">
        <v>-37.742469999999997</v>
      </c>
    </row>
    <row r="5547" spans="16:20">
      <c r="P5547" s="1094">
        <v>3072</v>
      </c>
      <c r="Q5547" t="s">
        <v>6503</v>
      </c>
      <c r="R5547" t="s">
        <v>616</v>
      </c>
      <c r="S5547">
        <v>145.00570200000001</v>
      </c>
      <c r="T5547" s="1095">
        <v>-37.742469999999997</v>
      </c>
    </row>
    <row r="5548" spans="16:20">
      <c r="P5548" s="1094">
        <v>3072</v>
      </c>
      <c r="Q5548" t="s">
        <v>6504</v>
      </c>
      <c r="R5548" t="s">
        <v>616</v>
      </c>
      <c r="S5548">
        <v>145.00570200000001</v>
      </c>
      <c r="T5548" s="1095">
        <v>-37.742469999999997</v>
      </c>
    </row>
    <row r="5549" spans="16:20">
      <c r="P5549" s="1094">
        <v>3072</v>
      </c>
      <c r="Q5549" t="s">
        <v>6505</v>
      </c>
      <c r="R5549" t="s">
        <v>616</v>
      </c>
      <c r="S5549">
        <v>145.00570200000001</v>
      </c>
      <c r="T5549" s="1095">
        <v>-37.742469999999997</v>
      </c>
    </row>
    <row r="5550" spans="16:20">
      <c r="P5550" s="1094">
        <v>3073</v>
      </c>
      <c r="Q5550" t="s">
        <v>6506</v>
      </c>
      <c r="R5550" t="s">
        <v>616</v>
      </c>
      <c r="S5550">
        <v>145.005955</v>
      </c>
      <c r="T5550" s="1095">
        <v>-37.712474</v>
      </c>
    </row>
    <row r="5551" spans="16:20">
      <c r="P5551" s="1094">
        <v>3073</v>
      </c>
      <c r="Q5551" t="s">
        <v>6507</v>
      </c>
      <c r="R5551" t="s">
        <v>616</v>
      </c>
      <c r="S5551">
        <v>145.005955</v>
      </c>
      <c r="T5551" s="1095">
        <v>-37.712474</v>
      </c>
    </row>
    <row r="5552" spans="16:20">
      <c r="P5552" s="1094">
        <v>3073</v>
      </c>
      <c r="Q5552" t="s">
        <v>6508</v>
      </c>
      <c r="R5552" t="s">
        <v>616</v>
      </c>
      <c r="S5552">
        <v>145.005955</v>
      </c>
      <c r="T5552" s="1095">
        <v>-37.712474</v>
      </c>
    </row>
    <row r="5553" spans="16:20">
      <c r="P5553" s="1094">
        <v>3073</v>
      </c>
      <c r="Q5553" t="s">
        <v>6509</v>
      </c>
      <c r="R5553" t="s">
        <v>616</v>
      </c>
      <c r="S5553">
        <v>145.005955</v>
      </c>
      <c r="T5553" s="1095">
        <v>-37.712474</v>
      </c>
    </row>
    <row r="5554" spans="16:20">
      <c r="P5554" s="1094">
        <v>3073</v>
      </c>
      <c r="Q5554" t="s">
        <v>6510</v>
      </c>
      <c r="R5554" t="s">
        <v>616</v>
      </c>
      <c r="S5554">
        <v>145.005955</v>
      </c>
      <c r="T5554" s="1095">
        <v>-37.712474</v>
      </c>
    </row>
    <row r="5555" spans="16:20">
      <c r="P5555" s="1094">
        <v>3074</v>
      </c>
      <c r="Q5555" t="s">
        <v>6511</v>
      </c>
      <c r="R5555" t="s">
        <v>616</v>
      </c>
      <c r="S5555">
        <v>145.00664399999999</v>
      </c>
      <c r="T5555" s="1095">
        <v>-37.684683999999997</v>
      </c>
    </row>
    <row r="5556" spans="16:20">
      <c r="P5556" s="1094">
        <v>3075</v>
      </c>
      <c r="Q5556" t="s">
        <v>6512</v>
      </c>
      <c r="R5556" t="s">
        <v>616</v>
      </c>
      <c r="S5556">
        <v>145.002679</v>
      </c>
      <c r="T5556" s="1095">
        <v>-37.666069999999998</v>
      </c>
    </row>
    <row r="5557" spans="16:20">
      <c r="P5557" s="1094">
        <v>3075</v>
      </c>
      <c r="Q5557" t="s">
        <v>6513</v>
      </c>
      <c r="R5557" t="s">
        <v>616</v>
      </c>
      <c r="S5557">
        <v>145.002679</v>
      </c>
      <c r="T5557" s="1095">
        <v>-37.666069999999998</v>
      </c>
    </row>
    <row r="5558" spans="16:20">
      <c r="P5558" s="1094">
        <v>3076</v>
      </c>
      <c r="Q5558" t="s">
        <v>1697</v>
      </c>
      <c r="R5558" t="s">
        <v>616</v>
      </c>
      <c r="S5558">
        <v>145.02213699999999</v>
      </c>
      <c r="T5558" s="1095">
        <v>-37.643597999999997</v>
      </c>
    </row>
    <row r="5559" spans="16:20">
      <c r="P5559" s="1094">
        <v>3076</v>
      </c>
      <c r="Q5559" t="s">
        <v>6514</v>
      </c>
      <c r="R5559" t="s">
        <v>616</v>
      </c>
      <c r="S5559">
        <v>145.02213699999999</v>
      </c>
      <c r="T5559" s="1095">
        <v>-37.643597999999997</v>
      </c>
    </row>
    <row r="5560" spans="16:20">
      <c r="P5560" s="1094">
        <v>3078</v>
      </c>
      <c r="Q5560" t="s">
        <v>6515</v>
      </c>
      <c r="R5560" t="s">
        <v>616</v>
      </c>
      <c r="S5560">
        <v>145.02585300000001</v>
      </c>
      <c r="T5560" s="1095">
        <v>-37.778297999999999</v>
      </c>
    </row>
    <row r="5561" spans="16:20">
      <c r="P5561" s="1094">
        <v>3078</v>
      </c>
      <c r="Q5561" t="s">
        <v>1716</v>
      </c>
      <c r="R5561" t="s">
        <v>616</v>
      </c>
      <c r="S5561">
        <v>145.02585300000001</v>
      </c>
      <c r="T5561" s="1095">
        <v>-37.778297999999999</v>
      </c>
    </row>
    <row r="5562" spans="16:20">
      <c r="P5562" s="1094">
        <v>3079</v>
      </c>
      <c r="Q5562" t="s">
        <v>6306</v>
      </c>
      <c r="R5562" t="s">
        <v>616</v>
      </c>
      <c r="S5562">
        <v>145.048573</v>
      </c>
      <c r="T5562" s="1095">
        <v>-37.772675</v>
      </c>
    </row>
    <row r="5563" spans="16:20">
      <c r="P5563" s="1094">
        <v>3079</v>
      </c>
      <c r="Q5563" t="s">
        <v>6516</v>
      </c>
      <c r="R5563" t="s">
        <v>616</v>
      </c>
      <c r="S5563">
        <v>145.048573</v>
      </c>
      <c r="T5563" s="1095">
        <v>-37.772675</v>
      </c>
    </row>
    <row r="5564" spans="16:20">
      <c r="P5564" s="1094">
        <v>3079</v>
      </c>
      <c r="Q5564" t="s">
        <v>6517</v>
      </c>
      <c r="R5564" t="s">
        <v>616</v>
      </c>
      <c r="S5564">
        <v>145.048573</v>
      </c>
      <c r="T5564" s="1095">
        <v>-37.772675</v>
      </c>
    </row>
    <row r="5565" spans="16:20">
      <c r="P5565" s="1094">
        <v>3081</v>
      </c>
      <c r="Q5565" t="s">
        <v>6518</v>
      </c>
      <c r="R5565" t="s">
        <v>616</v>
      </c>
      <c r="S5565">
        <v>145.046401</v>
      </c>
      <c r="T5565" s="1095">
        <v>-37.743008000000003</v>
      </c>
    </row>
    <row r="5566" spans="16:20">
      <c r="P5566" s="1094">
        <v>3081</v>
      </c>
      <c r="Q5566" t="s">
        <v>6519</v>
      </c>
      <c r="R5566" t="s">
        <v>616</v>
      </c>
      <c r="S5566">
        <v>145.046401</v>
      </c>
      <c r="T5566" s="1095">
        <v>-37.743008000000003</v>
      </c>
    </row>
    <row r="5567" spans="16:20">
      <c r="P5567" s="1094">
        <v>3081</v>
      </c>
      <c r="Q5567" t="s">
        <v>6520</v>
      </c>
      <c r="R5567" t="s">
        <v>616</v>
      </c>
      <c r="S5567">
        <v>145.046401</v>
      </c>
      <c r="T5567" s="1095">
        <v>-37.743008000000003</v>
      </c>
    </row>
    <row r="5568" spans="16:20">
      <c r="P5568" s="1094">
        <v>3081</v>
      </c>
      <c r="Q5568" t="s">
        <v>6521</v>
      </c>
      <c r="R5568" t="s">
        <v>616</v>
      </c>
      <c r="S5568">
        <v>145.046401</v>
      </c>
      <c r="T5568" s="1095">
        <v>-37.743008000000003</v>
      </c>
    </row>
    <row r="5569" spans="16:20">
      <c r="P5569" s="1094">
        <v>3082</v>
      </c>
      <c r="Q5569" t="s">
        <v>6522</v>
      </c>
      <c r="R5569" t="s">
        <v>616</v>
      </c>
      <c r="S5569">
        <v>145.06565800000001</v>
      </c>
      <c r="T5569" s="1095">
        <v>-37.664858000000002</v>
      </c>
    </row>
    <row r="5570" spans="16:20">
      <c r="P5570" s="1094">
        <v>3083</v>
      </c>
      <c r="Q5570" t="s">
        <v>6523</v>
      </c>
      <c r="R5570" t="s">
        <v>616</v>
      </c>
      <c r="S5570">
        <v>145.05622299999999</v>
      </c>
      <c r="T5570" s="1095">
        <v>-37.701346000000001</v>
      </c>
    </row>
    <row r="5571" spans="16:20">
      <c r="P5571" s="1094">
        <v>3083</v>
      </c>
      <c r="Q5571" t="s">
        <v>6524</v>
      </c>
      <c r="R5571" t="s">
        <v>616</v>
      </c>
      <c r="S5571">
        <v>145.05622299999999</v>
      </c>
      <c r="T5571" s="1095">
        <v>-37.701346000000001</v>
      </c>
    </row>
    <row r="5572" spans="16:20">
      <c r="P5572" s="1094">
        <v>3083</v>
      </c>
      <c r="Q5572" t="s">
        <v>6525</v>
      </c>
      <c r="R5572" t="s">
        <v>616</v>
      </c>
      <c r="S5572">
        <v>145.05622299999999</v>
      </c>
      <c r="T5572" s="1095">
        <v>-37.701346000000001</v>
      </c>
    </row>
    <row r="5573" spans="16:20">
      <c r="P5573" s="1094">
        <v>3084</v>
      </c>
      <c r="Q5573" t="s">
        <v>6526</v>
      </c>
      <c r="R5573" t="s">
        <v>616</v>
      </c>
      <c r="S5573">
        <v>145.082685</v>
      </c>
      <c r="T5573" s="1095">
        <v>-37.744405999999998</v>
      </c>
    </row>
    <row r="5574" spans="16:20">
      <c r="P5574" s="1094">
        <v>3084</v>
      </c>
      <c r="Q5574" t="s">
        <v>6527</v>
      </c>
      <c r="R5574" t="s">
        <v>616</v>
      </c>
      <c r="S5574">
        <v>145.082685</v>
      </c>
      <c r="T5574" s="1095">
        <v>-37.744405999999998</v>
      </c>
    </row>
    <row r="5575" spans="16:20">
      <c r="P5575" s="1094">
        <v>3084</v>
      </c>
      <c r="Q5575" t="s">
        <v>6528</v>
      </c>
      <c r="R5575" t="s">
        <v>616</v>
      </c>
      <c r="S5575">
        <v>145.082685</v>
      </c>
      <c r="T5575" s="1095">
        <v>-37.744405999999998</v>
      </c>
    </row>
    <row r="5576" spans="16:20">
      <c r="P5576" s="1094">
        <v>3084</v>
      </c>
      <c r="Q5576" t="s">
        <v>6529</v>
      </c>
      <c r="R5576" t="s">
        <v>616</v>
      </c>
      <c r="S5576">
        <v>145.082685</v>
      </c>
      <c r="T5576" s="1095">
        <v>-37.744405999999998</v>
      </c>
    </row>
    <row r="5577" spans="16:20">
      <c r="P5577" s="1094">
        <v>3084</v>
      </c>
      <c r="Q5577" t="s">
        <v>6530</v>
      </c>
      <c r="R5577" t="s">
        <v>616</v>
      </c>
      <c r="S5577">
        <v>145.082685</v>
      </c>
      <c r="T5577" s="1095">
        <v>-37.744405999999998</v>
      </c>
    </row>
    <row r="5578" spans="16:20">
      <c r="P5578" s="1094">
        <v>3085</v>
      </c>
      <c r="Q5578" t="s">
        <v>6531</v>
      </c>
      <c r="R5578" t="s">
        <v>616</v>
      </c>
      <c r="S5578">
        <v>145.06988000000001</v>
      </c>
      <c r="T5578" s="1095">
        <v>-37.724398000000001</v>
      </c>
    </row>
    <row r="5579" spans="16:20">
      <c r="P5579" s="1094">
        <v>3085</v>
      </c>
      <c r="Q5579" t="s">
        <v>6532</v>
      </c>
      <c r="R5579" t="s">
        <v>616</v>
      </c>
      <c r="S5579">
        <v>145.06988000000001</v>
      </c>
      <c r="T5579" s="1095">
        <v>-37.724398000000001</v>
      </c>
    </row>
    <row r="5580" spans="16:20">
      <c r="P5580" s="1094">
        <v>3085</v>
      </c>
      <c r="Q5580" t="s">
        <v>2708</v>
      </c>
      <c r="R5580" t="s">
        <v>616</v>
      </c>
      <c r="S5580">
        <v>145.06988000000001</v>
      </c>
      <c r="T5580" s="1095">
        <v>-37.724398000000001</v>
      </c>
    </row>
    <row r="5581" spans="16:20">
      <c r="P5581" s="1094">
        <v>3086</v>
      </c>
      <c r="Q5581" t="s">
        <v>6525</v>
      </c>
      <c r="R5581" t="s">
        <v>616</v>
      </c>
      <c r="S5581">
        <v>0</v>
      </c>
      <c r="T5581" s="1095">
        <v>0</v>
      </c>
    </row>
    <row r="5582" spans="16:20">
      <c r="P5582" s="1094">
        <v>3087</v>
      </c>
      <c r="Q5582" t="s">
        <v>6533</v>
      </c>
      <c r="R5582" t="s">
        <v>616</v>
      </c>
      <c r="S5582">
        <v>145.082426</v>
      </c>
      <c r="T5582" s="1095">
        <v>-37.711787000000001</v>
      </c>
    </row>
    <row r="5583" spans="16:20">
      <c r="P5583" s="1094">
        <v>3087</v>
      </c>
      <c r="Q5583" t="s">
        <v>6534</v>
      </c>
      <c r="R5583" t="s">
        <v>616</v>
      </c>
      <c r="S5583">
        <v>145.082426</v>
      </c>
      <c r="T5583" s="1095">
        <v>-37.711787000000001</v>
      </c>
    </row>
    <row r="5584" spans="16:20">
      <c r="P5584" s="1094">
        <v>3088</v>
      </c>
      <c r="Q5584" t="s">
        <v>6535</v>
      </c>
      <c r="R5584" t="s">
        <v>616</v>
      </c>
      <c r="S5584">
        <v>145.108339</v>
      </c>
      <c r="T5584" s="1095">
        <v>-37.700175000000002</v>
      </c>
    </row>
    <row r="5585" spans="16:20">
      <c r="P5585" s="1094">
        <v>3088</v>
      </c>
      <c r="Q5585" t="s">
        <v>6536</v>
      </c>
      <c r="R5585" t="s">
        <v>616</v>
      </c>
      <c r="S5585">
        <v>145.108339</v>
      </c>
      <c r="T5585" s="1095">
        <v>-37.700175000000002</v>
      </c>
    </row>
    <row r="5586" spans="16:20">
      <c r="P5586" s="1094">
        <v>3088</v>
      </c>
      <c r="Q5586" t="s">
        <v>6537</v>
      </c>
      <c r="R5586" t="s">
        <v>616</v>
      </c>
      <c r="S5586">
        <v>145.108339</v>
      </c>
      <c r="T5586" s="1095">
        <v>-37.700175000000002</v>
      </c>
    </row>
    <row r="5587" spans="16:20">
      <c r="P5587" s="1094">
        <v>3089</v>
      </c>
      <c r="Q5587" t="s">
        <v>6538</v>
      </c>
      <c r="R5587" t="s">
        <v>616</v>
      </c>
      <c r="S5587">
        <v>145.15036900000001</v>
      </c>
      <c r="T5587" s="1095">
        <v>-37.667712999999999</v>
      </c>
    </row>
    <row r="5588" spans="16:20">
      <c r="P5588" s="1094">
        <v>3090</v>
      </c>
      <c r="Q5588" t="s">
        <v>6539</v>
      </c>
      <c r="R5588" t="s">
        <v>616</v>
      </c>
      <c r="S5588">
        <v>145.10780199999999</v>
      </c>
      <c r="T5588" s="1095">
        <v>-37.668407999999999</v>
      </c>
    </row>
    <row r="5589" spans="16:20">
      <c r="P5589" s="1094">
        <v>3091</v>
      </c>
      <c r="Q5589" t="s">
        <v>6540</v>
      </c>
      <c r="R5589" t="s">
        <v>616</v>
      </c>
      <c r="S5589">
        <v>145.13668799999999</v>
      </c>
      <c r="T5589" s="1095">
        <v>-37.637478000000002</v>
      </c>
    </row>
    <row r="5590" spans="16:20">
      <c r="P5590" s="1094">
        <v>3093</v>
      </c>
      <c r="Q5590" t="s">
        <v>6541</v>
      </c>
      <c r="R5590" t="s">
        <v>616</v>
      </c>
      <c r="S5590">
        <v>145.115208</v>
      </c>
      <c r="T5590" s="1095">
        <v>-37.739190000000001</v>
      </c>
    </row>
    <row r="5591" spans="16:20">
      <c r="P5591" s="1094">
        <v>3094</v>
      </c>
      <c r="Q5591" t="s">
        <v>6542</v>
      </c>
      <c r="R5591" t="s">
        <v>616</v>
      </c>
      <c r="S5591">
        <v>145.12472700000001</v>
      </c>
      <c r="T5591" s="1095">
        <v>-37.719759000000003</v>
      </c>
    </row>
    <row r="5592" spans="16:20">
      <c r="P5592" s="1094">
        <v>3095</v>
      </c>
      <c r="Q5592" t="s">
        <v>3995</v>
      </c>
      <c r="R5592" t="s">
        <v>616</v>
      </c>
      <c r="S5592">
        <v>145.158579</v>
      </c>
      <c r="T5592" s="1095">
        <v>-37.713298999999999</v>
      </c>
    </row>
    <row r="5593" spans="16:20">
      <c r="P5593" s="1094">
        <v>3095</v>
      </c>
      <c r="Q5593" t="s">
        <v>6543</v>
      </c>
      <c r="R5593" t="s">
        <v>616</v>
      </c>
      <c r="S5593">
        <v>145.158579</v>
      </c>
      <c r="T5593" s="1095">
        <v>-37.713298999999999</v>
      </c>
    </row>
    <row r="5594" spans="16:20">
      <c r="P5594" s="1094">
        <v>3095</v>
      </c>
      <c r="Q5594" t="s">
        <v>6544</v>
      </c>
      <c r="R5594" t="s">
        <v>616</v>
      </c>
      <c r="S5594">
        <v>145.158579</v>
      </c>
      <c r="T5594" s="1095">
        <v>-37.713298999999999</v>
      </c>
    </row>
    <row r="5595" spans="16:20">
      <c r="P5595" s="1094">
        <v>3096</v>
      </c>
      <c r="Q5595" t="s">
        <v>6545</v>
      </c>
      <c r="R5595" t="s">
        <v>616</v>
      </c>
      <c r="S5595">
        <v>145.18582599999999</v>
      </c>
      <c r="T5595" s="1095">
        <v>-37.670850999999999</v>
      </c>
    </row>
    <row r="5596" spans="16:20">
      <c r="P5596" s="1094">
        <v>3097</v>
      </c>
      <c r="Q5596" t="s">
        <v>6546</v>
      </c>
      <c r="R5596" t="s">
        <v>616</v>
      </c>
      <c r="S5596">
        <v>145.22420399999999</v>
      </c>
      <c r="T5596" s="1095">
        <v>-37.695253999999998</v>
      </c>
    </row>
    <row r="5597" spans="16:20">
      <c r="P5597" s="1094">
        <v>3097</v>
      </c>
      <c r="Q5597" t="s">
        <v>6547</v>
      </c>
      <c r="R5597" t="s">
        <v>616</v>
      </c>
      <c r="S5597">
        <v>145.22420399999999</v>
      </c>
      <c r="T5597" s="1095">
        <v>-37.695253999999998</v>
      </c>
    </row>
    <row r="5598" spans="16:20">
      <c r="P5598" s="1094">
        <v>3097</v>
      </c>
      <c r="Q5598" t="s">
        <v>2998</v>
      </c>
      <c r="R5598" t="s">
        <v>616</v>
      </c>
      <c r="S5598">
        <v>145.22420399999999</v>
      </c>
      <c r="T5598" s="1095">
        <v>-37.695253999999998</v>
      </c>
    </row>
    <row r="5599" spans="16:20">
      <c r="P5599" s="1094">
        <v>3099</v>
      </c>
      <c r="Q5599" t="s">
        <v>6548</v>
      </c>
      <c r="R5599" t="s">
        <v>616</v>
      </c>
      <c r="S5599">
        <v>145.19285400000001</v>
      </c>
      <c r="T5599" s="1095">
        <v>-37.592101</v>
      </c>
    </row>
    <row r="5600" spans="16:20">
      <c r="P5600" s="1094">
        <v>3099</v>
      </c>
      <c r="Q5600" t="s">
        <v>6549</v>
      </c>
      <c r="R5600" t="s">
        <v>616</v>
      </c>
      <c r="S5600">
        <v>145.19285400000001</v>
      </c>
      <c r="T5600" s="1095">
        <v>-37.592101</v>
      </c>
    </row>
    <row r="5601" spans="16:20">
      <c r="P5601" s="1094">
        <v>3099</v>
      </c>
      <c r="Q5601" t="s">
        <v>6550</v>
      </c>
      <c r="R5601" t="s">
        <v>616</v>
      </c>
      <c r="S5601">
        <v>145.19285400000001</v>
      </c>
      <c r="T5601" s="1095">
        <v>-37.592101</v>
      </c>
    </row>
    <row r="5602" spans="16:20">
      <c r="P5602" s="1094">
        <v>3099</v>
      </c>
      <c r="Q5602" t="s">
        <v>6551</v>
      </c>
      <c r="R5602" t="s">
        <v>616</v>
      </c>
      <c r="S5602">
        <v>145.19285400000001</v>
      </c>
      <c r="T5602" s="1095">
        <v>-37.592101</v>
      </c>
    </row>
    <row r="5603" spans="16:20">
      <c r="P5603" s="1094">
        <v>3099</v>
      </c>
      <c r="Q5603" t="s">
        <v>6552</v>
      </c>
      <c r="R5603" t="s">
        <v>616</v>
      </c>
      <c r="S5603">
        <v>145.19285400000001</v>
      </c>
      <c r="T5603" s="1095">
        <v>-37.592101</v>
      </c>
    </row>
    <row r="5604" spans="16:20">
      <c r="P5604" s="1094">
        <v>3101</v>
      </c>
      <c r="Q5604" t="s">
        <v>6553</v>
      </c>
      <c r="R5604" t="s">
        <v>616</v>
      </c>
      <c r="S5604">
        <v>145.036575</v>
      </c>
      <c r="T5604" s="1095">
        <v>-37.807397000000002</v>
      </c>
    </row>
    <row r="5605" spans="16:20">
      <c r="P5605" s="1094">
        <v>3101</v>
      </c>
      <c r="Q5605" t="s">
        <v>3437</v>
      </c>
      <c r="R5605" t="s">
        <v>616</v>
      </c>
      <c r="S5605">
        <v>145.036575</v>
      </c>
      <c r="T5605" s="1095">
        <v>-37.807397000000002</v>
      </c>
    </row>
    <row r="5606" spans="16:20">
      <c r="P5606" s="1094">
        <v>3102</v>
      </c>
      <c r="Q5606" t="s">
        <v>6554</v>
      </c>
      <c r="R5606" t="s">
        <v>616</v>
      </c>
      <c r="S5606">
        <v>145.05219</v>
      </c>
      <c r="T5606" s="1095">
        <v>-37.793804999999999</v>
      </c>
    </row>
    <row r="5607" spans="16:20">
      <c r="P5607" s="1094">
        <v>3103</v>
      </c>
      <c r="Q5607" t="s">
        <v>6555</v>
      </c>
      <c r="R5607" t="s">
        <v>616</v>
      </c>
      <c r="S5607">
        <v>145.074116</v>
      </c>
      <c r="T5607" s="1095">
        <v>-37.811737999999998</v>
      </c>
    </row>
    <row r="5608" spans="16:20">
      <c r="P5608" s="1094">
        <v>3103</v>
      </c>
      <c r="Q5608" t="s">
        <v>6556</v>
      </c>
      <c r="R5608" t="s">
        <v>616</v>
      </c>
      <c r="S5608">
        <v>145.074116</v>
      </c>
      <c r="T5608" s="1095">
        <v>-37.811737999999998</v>
      </c>
    </row>
    <row r="5609" spans="16:20">
      <c r="P5609" s="1094">
        <v>3103</v>
      </c>
      <c r="Q5609" t="s">
        <v>6557</v>
      </c>
      <c r="R5609" t="s">
        <v>616</v>
      </c>
      <c r="S5609">
        <v>145.074116</v>
      </c>
      <c r="T5609" s="1095">
        <v>-37.811737999999998</v>
      </c>
    </row>
    <row r="5610" spans="16:20">
      <c r="P5610" s="1094">
        <v>3104</v>
      </c>
      <c r="Q5610" t="s">
        <v>6558</v>
      </c>
      <c r="R5610" t="s">
        <v>616</v>
      </c>
      <c r="S5610">
        <v>145.08171400000001</v>
      </c>
      <c r="T5610" s="1095">
        <v>-37.793695</v>
      </c>
    </row>
    <row r="5611" spans="16:20">
      <c r="P5611" s="1094">
        <v>3104</v>
      </c>
      <c r="Q5611" t="s">
        <v>6559</v>
      </c>
      <c r="R5611" t="s">
        <v>616</v>
      </c>
      <c r="S5611">
        <v>145.08171400000001</v>
      </c>
      <c r="T5611" s="1095">
        <v>-37.793695</v>
      </c>
    </row>
    <row r="5612" spans="16:20">
      <c r="P5612" s="1094">
        <v>3105</v>
      </c>
      <c r="Q5612" t="s">
        <v>6560</v>
      </c>
      <c r="R5612" t="s">
        <v>616</v>
      </c>
      <c r="S5612">
        <v>145.08480599999999</v>
      </c>
      <c r="T5612" s="1095">
        <v>-37.772477000000002</v>
      </c>
    </row>
    <row r="5613" spans="16:20">
      <c r="P5613" s="1094">
        <v>3105</v>
      </c>
      <c r="Q5613" t="s">
        <v>6561</v>
      </c>
      <c r="R5613" t="s">
        <v>616</v>
      </c>
      <c r="S5613">
        <v>145.08480599999999</v>
      </c>
      <c r="T5613" s="1095">
        <v>-37.772477000000002</v>
      </c>
    </row>
    <row r="5614" spans="16:20">
      <c r="P5614" s="1094">
        <v>3106</v>
      </c>
      <c r="Q5614" t="s">
        <v>6562</v>
      </c>
      <c r="R5614" t="s">
        <v>616</v>
      </c>
      <c r="S5614">
        <v>145.142675</v>
      </c>
      <c r="T5614" s="1095">
        <v>-37.758335000000002</v>
      </c>
    </row>
    <row r="5615" spans="16:20">
      <c r="P5615" s="1094">
        <v>3107</v>
      </c>
      <c r="Q5615" t="s">
        <v>6563</v>
      </c>
      <c r="R5615" t="s">
        <v>616</v>
      </c>
      <c r="S5615">
        <v>145.11067700000001</v>
      </c>
      <c r="T5615" s="1095">
        <v>-37.765225000000001</v>
      </c>
    </row>
    <row r="5616" spans="16:20">
      <c r="P5616" s="1094">
        <v>3108</v>
      </c>
      <c r="Q5616" t="s">
        <v>6564</v>
      </c>
      <c r="R5616" t="s">
        <v>616</v>
      </c>
      <c r="S5616">
        <v>145.12579700000001</v>
      </c>
      <c r="T5616" s="1095">
        <v>-37.786428999999998</v>
      </c>
    </row>
    <row r="5617" spans="16:20">
      <c r="P5617" s="1094">
        <v>3109</v>
      </c>
      <c r="Q5617" t="s">
        <v>6565</v>
      </c>
      <c r="R5617" t="s">
        <v>616</v>
      </c>
      <c r="S5617">
        <v>145.16164900000001</v>
      </c>
      <c r="T5617" s="1095">
        <v>-37.784785999999997</v>
      </c>
    </row>
    <row r="5618" spans="16:20">
      <c r="P5618" s="1094">
        <v>3109</v>
      </c>
      <c r="Q5618" t="s">
        <v>6566</v>
      </c>
      <c r="R5618" t="s">
        <v>616</v>
      </c>
      <c r="S5618">
        <v>145.16164900000001</v>
      </c>
      <c r="T5618" s="1095">
        <v>-37.784785999999997</v>
      </c>
    </row>
    <row r="5619" spans="16:20">
      <c r="P5619" s="1094">
        <v>3109</v>
      </c>
      <c r="Q5619" t="s">
        <v>6567</v>
      </c>
      <c r="R5619" t="s">
        <v>616</v>
      </c>
      <c r="S5619">
        <v>145.16164900000001</v>
      </c>
      <c r="T5619" s="1095">
        <v>-37.784785999999997</v>
      </c>
    </row>
    <row r="5620" spans="16:20">
      <c r="P5620" s="1094">
        <v>3109</v>
      </c>
      <c r="Q5620" t="s">
        <v>6568</v>
      </c>
      <c r="R5620" t="s">
        <v>616</v>
      </c>
      <c r="S5620">
        <v>145.16164900000001</v>
      </c>
      <c r="T5620" s="1095">
        <v>-37.784785999999997</v>
      </c>
    </row>
    <row r="5621" spans="16:20">
      <c r="P5621" s="1094">
        <v>3110</v>
      </c>
      <c r="Q5621" t="s">
        <v>6569</v>
      </c>
      <c r="R5621" t="s">
        <v>616</v>
      </c>
      <c r="S5621">
        <v>0</v>
      </c>
      <c r="T5621" s="1095">
        <v>0</v>
      </c>
    </row>
    <row r="5622" spans="16:20">
      <c r="P5622" s="1094">
        <v>3111</v>
      </c>
      <c r="Q5622" t="s">
        <v>6570</v>
      </c>
      <c r="R5622" t="s">
        <v>616</v>
      </c>
      <c r="S5622">
        <v>145.18633399999999</v>
      </c>
      <c r="T5622" s="1095">
        <v>-37.794054000000003</v>
      </c>
    </row>
    <row r="5623" spans="16:20">
      <c r="P5623" s="1094">
        <v>3113</v>
      </c>
      <c r="Q5623" t="s">
        <v>6571</v>
      </c>
      <c r="R5623" t="s">
        <v>616</v>
      </c>
      <c r="S5623">
        <v>145.204689</v>
      </c>
      <c r="T5623" s="1095">
        <v>-37.752122999999997</v>
      </c>
    </row>
    <row r="5624" spans="16:20">
      <c r="P5624" s="1094">
        <v>3113</v>
      </c>
      <c r="Q5624" t="s">
        <v>6572</v>
      </c>
      <c r="R5624" t="s">
        <v>616</v>
      </c>
      <c r="S5624">
        <v>145.204689</v>
      </c>
      <c r="T5624" s="1095">
        <v>-37.752122999999997</v>
      </c>
    </row>
    <row r="5625" spans="16:20">
      <c r="P5625" s="1094">
        <v>3114</v>
      </c>
      <c r="Q5625" t="s">
        <v>6573</v>
      </c>
      <c r="R5625" t="s">
        <v>616</v>
      </c>
      <c r="S5625">
        <v>145.21259900000001</v>
      </c>
      <c r="T5625" s="1095">
        <v>-37.778595000000003</v>
      </c>
    </row>
    <row r="5626" spans="16:20">
      <c r="P5626" s="1094">
        <v>3115</v>
      </c>
      <c r="Q5626" t="s">
        <v>6574</v>
      </c>
      <c r="R5626" t="s">
        <v>616</v>
      </c>
      <c r="S5626">
        <v>145.26758599999999</v>
      </c>
      <c r="T5626" s="1095">
        <v>-37.736733999999998</v>
      </c>
    </row>
    <row r="5627" spans="16:20">
      <c r="P5627" s="1094">
        <v>3116</v>
      </c>
      <c r="Q5627" t="s">
        <v>6575</v>
      </c>
      <c r="R5627" t="s">
        <v>616</v>
      </c>
      <c r="S5627">
        <v>145.313086</v>
      </c>
      <c r="T5627" s="1095">
        <v>-37.737628999999998</v>
      </c>
    </row>
    <row r="5628" spans="16:20">
      <c r="P5628" s="1094">
        <v>3121</v>
      </c>
      <c r="Q5628" t="s">
        <v>6576</v>
      </c>
      <c r="R5628" t="s">
        <v>616</v>
      </c>
      <c r="S5628">
        <v>145.001788</v>
      </c>
      <c r="T5628" s="1095">
        <v>-37.823303000000003</v>
      </c>
    </row>
    <row r="5629" spans="16:20">
      <c r="P5629" s="1094">
        <v>3121</v>
      </c>
      <c r="Q5629" t="s">
        <v>1900</v>
      </c>
      <c r="R5629" t="s">
        <v>616</v>
      </c>
      <c r="S5629">
        <v>145.001788</v>
      </c>
      <c r="T5629" s="1095">
        <v>-37.823303000000003</v>
      </c>
    </row>
    <row r="5630" spans="16:20">
      <c r="P5630" s="1094">
        <v>3121</v>
      </c>
      <c r="Q5630" t="s">
        <v>5573</v>
      </c>
      <c r="R5630" t="s">
        <v>616</v>
      </c>
      <c r="S5630">
        <v>145.001788</v>
      </c>
      <c r="T5630" s="1095">
        <v>-37.823303000000003</v>
      </c>
    </row>
    <row r="5631" spans="16:20">
      <c r="P5631" s="1094">
        <v>3121</v>
      </c>
      <c r="Q5631" t="s">
        <v>6577</v>
      </c>
      <c r="R5631" t="s">
        <v>616</v>
      </c>
      <c r="S5631">
        <v>145.001788</v>
      </c>
      <c r="T5631" s="1095">
        <v>-37.823303000000003</v>
      </c>
    </row>
    <row r="5632" spans="16:20">
      <c r="P5632" s="1094">
        <v>3121</v>
      </c>
      <c r="Q5632" t="s">
        <v>6578</v>
      </c>
      <c r="R5632" t="s">
        <v>616</v>
      </c>
      <c r="S5632">
        <v>145.001788</v>
      </c>
      <c r="T5632" s="1095">
        <v>-37.823303000000003</v>
      </c>
    </row>
    <row r="5633" spans="16:20">
      <c r="P5633" s="1094">
        <v>3121</v>
      </c>
      <c r="Q5633" t="s">
        <v>6579</v>
      </c>
      <c r="R5633" t="s">
        <v>616</v>
      </c>
      <c r="S5633">
        <v>145.001788</v>
      </c>
      <c r="T5633" s="1095">
        <v>-37.823303000000003</v>
      </c>
    </row>
    <row r="5634" spans="16:20">
      <c r="P5634" s="1094">
        <v>3121</v>
      </c>
      <c r="Q5634" t="s">
        <v>6580</v>
      </c>
      <c r="R5634" t="s">
        <v>616</v>
      </c>
      <c r="S5634">
        <v>145.001788</v>
      </c>
      <c r="T5634" s="1095">
        <v>-37.823303000000003</v>
      </c>
    </row>
    <row r="5635" spans="16:20">
      <c r="P5635" s="1094">
        <v>3122</v>
      </c>
      <c r="Q5635" t="s">
        <v>2035</v>
      </c>
      <c r="R5635" t="s">
        <v>616</v>
      </c>
      <c r="S5635">
        <v>145.03060199999999</v>
      </c>
      <c r="T5635" s="1095">
        <v>-37.822724999999998</v>
      </c>
    </row>
    <row r="5636" spans="16:20">
      <c r="P5636" s="1094">
        <v>3122</v>
      </c>
      <c r="Q5636" t="s">
        <v>6581</v>
      </c>
      <c r="R5636" t="s">
        <v>616</v>
      </c>
      <c r="S5636">
        <v>145.03060199999999</v>
      </c>
      <c r="T5636" s="1095">
        <v>-37.822724999999998</v>
      </c>
    </row>
    <row r="5637" spans="16:20">
      <c r="P5637" s="1094">
        <v>3122</v>
      </c>
      <c r="Q5637" t="s">
        <v>6582</v>
      </c>
      <c r="R5637" t="s">
        <v>616</v>
      </c>
      <c r="S5637">
        <v>145.03060199999999</v>
      </c>
      <c r="T5637" s="1095">
        <v>-37.822724999999998</v>
      </c>
    </row>
    <row r="5638" spans="16:20">
      <c r="P5638" s="1094">
        <v>3122</v>
      </c>
      <c r="Q5638" t="s">
        <v>6583</v>
      </c>
      <c r="R5638" t="s">
        <v>616</v>
      </c>
      <c r="S5638">
        <v>145.03060199999999</v>
      </c>
      <c r="T5638" s="1095">
        <v>-37.822724999999998</v>
      </c>
    </row>
    <row r="5639" spans="16:20">
      <c r="P5639" s="1094">
        <v>3122</v>
      </c>
      <c r="Q5639" t="s">
        <v>6584</v>
      </c>
      <c r="R5639" t="s">
        <v>616</v>
      </c>
      <c r="S5639">
        <v>145.03060199999999</v>
      </c>
      <c r="T5639" s="1095">
        <v>-37.822724999999998</v>
      </c>
    </row>
    <row r="5640" spans="16:20">
      <c r="P5640" s="1094">
        <v>3123</v>
      </c>
      <c r="Q5640" t="s">
        <v>1713</v>
      </c>
      <c r="R5640" t="s">
        <v>616</v>
      </c>
      <c r="S5640">
        <v>145.04941500000001</v>
      </c>
      <c r="T5640" s="1095">
        <v>-37.829751999999999</v>
      </c>
    </row>
    <row r="5641" spans="16:20">
      <c r="P5641" s="1094">
        <v>3123</v>
      </c>
      <c r="Q5641" t="s">
        <v>6585</v>
      </c>
      <c r="R5641" t="s">
        <v>616</v>
      </c>
      <c r="S5641">
        <v>145.04941500000001</v>
      </c>
      <c r="T5641" s="1095">
        <v>-37.829751999999999</v>
      </c>
    </row>
    <row r="5642" spans="16:20">
      <c r="P5642" s="1094">
        <v>3124</v>
      </c>
      <c r="Q5642" t="s">
        <v>2738</v>
      </c>
      <c r="R5642" t="s">
        <v>616</v>
      </c>
      <c r="S5642">
        <v>145.06819100000001</v>
      </c>
      <c r="T5642" s="1095">
        <v>-37.840867000000003</v>
      </c>
    </row>
    <row r="5643" spans="16:20">
      <c r="P5643" s="1094">
        <v>3124</v>
      </c>
      <c r="Q5643" t="s">
        <v>6586</v>
      </c>
      <c r="R5643" t="s">
        <v>616</v>
      </c>
      <c r="S5643">
        <v>145.06819100000001</v>
      </c>
      <c r="T5643" s="1095">
        <v>-37.840867000000003</v>
      </c>
    </row>
    <row r="5644" spans="16:20">
      <c r="P5644" s="1094">
        <v>3124</v>
      </c>
      <c r="Q5644" t="s">
        <v>6587</v>
      </c>
      <c r="R5644" t="s">
        <v>616</v>
      </c>
      <c r="S5644">
        <v>145.06819100000001</v>
      </c>
      <c r="T5644" s="1095">
        <v>-37.840867000000003</v>
      </c>
    </row>
    <row r="5645" spans="16:20">
      <c r="P5645" s="1094">
        <v>3124</v>
      </c>
      <c r="Q5645" t="s">
        <v>6588</v>
      </c>
      <c r="R5645" t="s">
        <v>616</v>
      </c>
      <c r="S5645">
        <v>145.06819100000001</v>
      </c>
      <c r="T5645" s="1095">
        <v>-37.840867000000003</v>
      </c>
    </row>
    <row r="5646" spans="16:20">
      <c r="P5646" s="1094">
        <v>3124</v>
      </c>
      <c r="Q5646" t="s">
        <v>6589</v>
      </c>
      <c r="R5646" t="s">
        <v>616</v>
      </c>
      <c r="S5646">
        <v>145.06819100000001</v>
      </c>
      <c r="T5646" s="1095">
        <v>-37.840867000000003</v>
      </c>
    </row>
    <row r="5647" spans="16:20">
      <c r="P5647" s="1094">
        <v>3124</v>
      </c>
      <c r="Q5647" t="s">
        <v>6590</v>
      </c>
      <c r="R5647" t="s">
        <v>616</v>
      </c>
      <c r="S5647">
        <v>145.06819100000001</v>
      </c>
      <c r="T5647" s="1095">
        <v>-37.840867000000003</v>
      </c>
    </row>
    <row r="5648" spans="16:20">
      <c r="P5648" s="1094">
        <v>3125</v>
      </c>
      <c r="Q5648" t="s">
        <v>6591</v>
      </c>
      <c r="R5648" t="s">
        <v>616</v>
      </c>
      <c r="S5648">
        <v>145.101</v>
      </c>
      <c r="T5648" s="1095">
        <v>-37.851305000000004</v>
      </c>
    </row>
    <row r="5649" spans="16:20">
      <c r="P5649" s="1094">
        <v>3125</v>
      </c>
      <c r="Q5649" t="s">
        <v>1708</v>
      </c>
      <c r="R5649" t="s">
        <v>616</v>
      </c>
      <c r="S5649">
        <v>145.101</v>
      </c>
      <c r="T5649" s="1095">
        <v>-37.851305000000004</v>
      </c>
    </row>
    <row r="5650" spans="16:20">
      <c r="P5650" s="1094">
        <v>3125</v>
      </c>
      <c r="Q5650" t="s">
        <v>6592</v>
      </c>
      <c r="R5650" t="s">
        <v>616</v>
      </c>
      <c r="S5650">
        <v>145.101</v>
      </c>
      <c r="T5650" s="1095">
        <v>-37.851305000000004</v>
      </c>
    </row>
    <row r="5651" spans="16:20">
      <c r="P5651" s="1094">
        <v>3126</v>
      </c>
      <c r="Q5651" t="s">
        <v>6593</v>
      </c>
      <c r="R5651" t="s">
        <v>616</v>
      </c>
      <c r="S5651">
        <v>145.075748</v>
      </c>
      <c r="T5651" s="1095">
        <v>-37.827202999999997</v>
      </c>
    </row>
    <row r="5652" spans="16:20">
      <c r="P5652" s="1094">
        <v>3126</v>
      </c>
      <c r="Q5652" t="s">
        <v>2155</v>
      </c>
      <c r="R5652" t="s">
        <v>616</v>
      </c>
      <c r="S5652">
        <v>145.075748</v>
      </c>
      <c r="T5652" s="1095">
        <v>-37.827202999999997</v>
      </c>
    </row>
    <row r="5653" spans="16:20">
      <c r="P5653" s="1094">
        <v>3127</v>
      </c>
      <c r="Q5653" t="s">
        <v>6594</v>
      </c>
      <c r="R5653" t="s">
        <v>616</v>
      </c>
      <c r="S5653">
        <v>145.09723600000001</v>
      </c>
      <c r="T5653" s="1095">
        <v>-37.825172999999999</v>
      </c>
    </row>
    <row r="5654" spans="16:20">
      <c r="P5654" s="1094">
        <v>3127</v>
      </c>
      <c r="Q5654" t="s">
        <v>6595</v>
      </c>
      <c r="R5654" t="s">
        <v>616</v>
      </c>
      <c r="S5654">
        <v>145.09723600000001</v>
      </c>
      <c r="T5654" s="1095">
        <v>-37.825172999999999</v>
      </c>
    </row>
    <row r="5655" spans="16:20">
      <c r="P5655" s="1094">
        <v>3127</v>
      </c>
      <c r="Q5655" t="s">
        <v>6596</v>
      </c>
      <c r="R5655" t="s">
        <v>616</v>
      </c>
      <c r="S5655">
        <v>145.09723600000001</v>
      </c>
      <c r="T5655" s="1095">
        <v>-37.825172999999999</v>
      </c>
    </row>
    <row r="5656" spans="16:20">
      <c r="P5656" s="1094">
        <v>3128</v>
      </c>
      <c r="Q5656" t="s">
        <v>5631</v>
      </c>
      <c r="R5656" t="s">
        <v>616</v>
      </c>
      <c r="S5656">
        <v>145.12239299999999</v>
      </c>
      <c r="T5656" s="1095">
        <v>-37.828865999999998</v>
      </c>
    </row>
    <row r="5657" spans="16:20">
      <c r="P5657" s="1094">
        <v>3128</v>
      </c>
      <c r="Q5657" t="s">
        <v>6597</v>
      </c>
      <c r="R5657" t="s">
        <v>616</v>
      </c>
      <c r="S5657">
        <v>145.12239299999999</v>
      </c>
      <c r="T5657" s="1095">
        <v>-37.828865999999998</v>
      </c>
    </row>
    <row r="5658" spans="16:20">
      <c r="P5658" s="1094">
        <v>3128</v>
      </c>
      <c r="Q5658" t="s">
        <v>6598</v>
      </c>
      <c r="R5658" t="s">
        <v>616</v>
      </c>
      <c r="S5658">
        <v>145.12239299999999</v>
      </c>
      <c r="T5658" s="1095">
        <v>-37.828865999999998</v>
      </c>
    </row>
    <row r="5659" spans="16:20">
      <c r="P5659" s="1094">
        <v>3128</v>
      </c>
      <c r="Q5659" t="s">
        <v>6599</v>
      </c>
      <c r="R5659" t="s">
        <v>616</v>
      </c>
      <c r="S5659">
        <v>145.12239299999999</v>
      </c>
      <c r="T5659" s="1095">
        <v>-37.828865999999998</v>
      </c>
    </row>
    <row r="5660" spans="16:20">
      <c r="P5660" s="1094">
        <v>3128</v>
      </c>
      <c r="Q5660" t="s">
        <v>6600</v>
      </c>
      <c r="R5660" t="s">
        <v>616</v>
      </c>
      <c r="S5660">
        <v>145.12239299999999</v>
      </c>
      <c r="T5660" s="1095">
        <v>-37.828865999999998</v>
      </c>
    </row>
    <row r="5661" spans="16:20">
      <c r="P5661" s="1094">
        <v>3129</v>
      </c>
      <c r="Q5661" t="s">
        <v>6601</v>
      </c>
      <c r="R5661" t="s">
        <v>616</v>
      </c>
      <c r="S5661">
        <v>145.12508399999999</v>
      </c>
      <c r="T5661" s="1095">
        <v>-37.806964999999998</v>
      </c>
    </row>
    <row r="5662" spans="16:20">
      <c r="P5662" s="1094">
        <v>3129</v>
      </c>
      <c r="Q5662" t="s">
        <v>6602</v>
      </c>
      <c r="R5662" t="s">
        <v>616</v>
      </c>
      <c r="S5662">
        <v>145.12508399999999</v>
      </c>
      <c r="T5662" s="1095">
        <v>-37.806964999999998</v>
      </c>
    </row>
    <row r="5663" spans="16:20">
      <c r="P5663" s="1094">
        <v>3129</v>
      </c>
      <c r="Q5663" t="s">
        <v>6603</v>
      </c>
      <c r="R5663" t="s">
        <v>616</v>
      </c>
      <c r="S5663">
        <v>145.12508399999999</v>
      </c>
      <c r="T5663" s="1095">
        <v>-37.806964999999998</v>
      </c>
    </row>
    <row r="5664" spans="16:20">
      <c r="P5664" s="1094">
        <v>3130</v>
      </c>
      <c r="Q5664" t="s">
        <v>6604</v>
      </c>
      <c r="R5664" t="s">
        <v>616</v>
      </c>
      <c r="S5664">
        <v>145.149653</v>
      </c>
      <c r="T5664" s="1095">
        <v>-37.818049999999999</v>
      </c>
    </row>
    <row r="5665" spans="16:20">
      <c r="P5665" s="1094">
        <v>3130</v>
      </c>
      <c r="Q5665" t="s">
        <v>6605</v>
      </c>
      <c r="R5665" t="s">
        <v>616</v>
      </c>
      <c r="S5665">
        <v>145.149653</v>
      </c>
      <c r="T5665" s="1095">
        <v>-37.818049999999999</v>
      </c>
    </row>
    <row r="5666" spans="16:20">
      <c r="P5666" s="1094">
        <v>3130</v>
      </c>
      <c r="Q5666" t="s">
        <v>6606</v>
      </c>
      <c r="R5666" t="s">
        <v>616</v>
      </c>
      <c r="S5666">
        <v>145.149653</v>
      </c>
      <c r="T5666" s="1095">
        <v>-37.818049999999999</v>
      </c>
    </row>
    <row r="5667" spans="16:20">
      <c r="P5667" s="1094">
        <v>3130</v>
      </c>
      <c r="Q5667" t="s">
        <v>6607</v>
      </c>
      <c r="R5667" t="s">
        <v>616</v>
      </c>
      <c r="S5667">
        <v>145.149653</v>
      </c>
      <c r="T5667" s="1095">
        <v>-37.818049999999999</v>
      </c>
    </row>
    <row r="5668" spans="16:20">
      <c r="P5668" s="1094">
        <v>3131</v>
      </c>
      <c r="Q5668" t="s">
        <v>6608</v>
      </c>
      <c r="R5668" t="s">
        <v>616</v>
      </c>
      <c r="S5668">
        <v>145.17448899999999</v>
      </c>
      <c r="T5668" s="1095">
        <v>-37.817798000000003</v>
      </c>
    </row>
    <row r="5669" spans="16:20">
      <c r="P5669" s="1094">
        <v>3131</v>
      </c>
      <c r="Q5669" t="s">
        <v>5212</v>
      </c>
      <c r="R5669" t="s">
        <v>616</v>
      </c>
      <c r="S5669">
        <v>145.17448899999999</v>
      </c>
      <c r="T5669" s="1095">
        <v>-37.817798000000003</v>
      </c>
    </row>
    <row r="5670" spans="16:20">
      <c r="P5670" s="1094">
        <v>3131</v>
      </c>
      <c r="Q5670" t="s">
        <v>6609</v>
      </c>
      <c r="R5670" t="s">
        <v>616</v>
      </c>
      <c r="S5670">
        <v>145.17448899999999</v>
      </c>
      <c r="T5670" s="1095">
        <v>-37.817798000000003</v>
      </c>
    </row>
    <row r="5671" spans="16:20">
      <c r="P5671" s="1094">
        <v>3132</v>
      </c>
      <c r="Q5671" t="s">
        <v>6610</v>
      </c>
      <c r="R5671" t="s">
        <v>616</v>
      </c>
      <c r="S5671">
        <v>145.196686</v>
      </c>
      <c r="T5671" s="1095">
        <v>-37.819222000000003</v>
      </c>
    </row>
    <row r="5672" spans="16:20">
      <c r="P5672" s="1094">
        <v>3132</v>
      </c>
      <c r="Q5672" t="s">
        <v>6611</v>
      </c>
      <c r="R5672" t="s">
        <v>616</v>
      </c>
      <c r="S5672">
        <v>145.196686</v>
      </c>
      <c r="T5672" s="1095">
        <v>-37.819222000000003</v>
      </c>
    </row>
    <row r="5673" spans="16:20">
      <c r="P5673" s="1094">
        <v>3132</v>
      </c>
      <c r="Q5673" t="s">
        <v>6612</v>
      </c>
      <c r="R5673" t="s">
        <v>616</v>
      </c>
      <c r="S5673">
        <v>145.196686</v>
      </c>
      <c r="T5673" s="1095">
        <v>-37.819222000000003</v>
      </c>
    </row>
    <row r="5674" spans="16:20">
      <c r="P5674" s="1094">
        <v>3133</v>
      </c>
      <c r="Q5674" t="s">
        <v>6613</v>
      </c>
      <c r="R5674" t="s">
        <v>616</v>
      </c>
      <c r="S5674">
        <v>145.19230300000001</v>
      </c>
      <c r="T5674" s="1095">
        <v>-37.848785999999997</v>
      </c>
    </row>
    <row r="5675" spans="16:20">
      <c r="P5675" s="1094">
        <v>3133</v>
      </c>
      <c r="Q5675" t="s">
        <v>6614</v>
      </c>
      <c r="R5675" t="s">
        <v>616</v>
      </c>
      <c r="S5675">
        <v>145.19230300000001</v>
      </c>
      <c r="T5675" s="1095">
        <v>-37.848785999999997</v>
      </c>
    </row>
    <row r="5676" spans="16:20">
      <c r="P5676" s="1094">
        <v>3134</v>
      </c>
      <c r="Q5676" t="s">
        <v>5142</v>
      </c>
      <c r="R5676" t="s">
        <v>616</v>
      </c>
      <c r="S5676">
        <v>145.23255700000001</v>
      </c>
      <c r="T5676" s="1095">
        <v>-37.796090999999997</v>
      </c>
    </row>
    <row r="5677" spans="16:20">
      <c r="P5677" s="1094">
        <v>3134</v>
      </c>
      <c r="Q5677" t="s">
        <v>6615</v>
      </c>
      <c r="R5677" t="s">
        <v>616</v>
      </c>
      <c r="S5677">
        <v>145.23255700000001</v>
      </c>
      <c r="T5677" s="1095">
        <v>-37.796090999999997</v>
      </c>
    </row>
    <row r="5678" spans="16:20">
      <c r="P5678" s="1094">
        <v>3134</v>
      </c>
      <c r="Q5678" t="s">
        <v>6616</v>
      </c>
      <c r="R5678" t="s">
        <v>616</v>
      </c>
      <c r="S5678">
        <v>145.23255700000001</v>
      </c>
      <c r="T5678" s="1095">
        <v>-37.796090999999997</v>
      </c>
    </row>
    <row r="5679" spans="16:20">
      <c r="P5679" s="1094">
        <v>3134</v>
      </c>
      <c r="Q5679" t="s">
        <v>6617</v>
      </c>
      <c r="R5679" t="s">
        <v>616</v>
      </c>
      <c r="S5679">
        <v>145.23255700000001</v>
      </c>
      <c r="T5679" s="1095">
        <v>-37.796090999999997</v>
      </c>
    </row>
    <row r="5680" spans="16:20">
      <c r="P5680" s="1094">
        <v>3135</v>
      </c>
      <c r="Q5680" t="s">
        <v>6618</v>
      </c>
      <c r="R5680" t="s">
        <v>616</v>
      </c>
      <c r="S5680">
        <v>145.248209</v>
      </c>
      <c r="T5680" s="1095">
        <v>-37.819594000000002</v>
      </c>
    </row>
    <row r="5681" spans="16:20">
      <c r="P5681" s="1094">
        <v>3135</v>
      </c>
      <c r="Q5681" t="s">
        <v>6619</v>
      </c>
      <c r="R5681" t="s">
        <v>616</v>
      </c>
      <c r="S5681">
        <v>145.248209</v>
      </c>
      <c r="T5681" s="1095">
        <v>-37.819594000000002</v>
      </c>
    </row>
    <row r="5682" spans="16:20">
      <c r="P5682" s="1094">
        <v>3135</v>
      </c>
      <c r="Q5682" t="s">
        <v>6620</v>
      </c>
      <c r="R5682" t="s">
        <v>616</v>
      </c>
      <c r="S5682">
        <v>145.248209</v>
      </c>
      <c r="T5682" s="1095">
        <v>-37.819594000000002</v>
      </c>
    </row>
    <row r="5683" spans="16:20">
      <c r="P5683" s="1094">
        <v>3136</v>
      </c>
      <c r="Q5683" t="s">
        <v>2006</v>
      </c>
      <c r="R5683" t="s">
        <v>616</v>
      </c>
      <c r="S5683">
        <v>145.28239600000001</v>
      </c>
      <c r="T5683" s="1095">
        <v>-37.779876000000002</v>
      </c>
    </row>
    <row r="5684" spans="16:20">
      <c r="P5684" s="1094">
        <v>3136</v>
      </c>
      <c r="Q5684" t="s">
        <v>6621</v>
      </c>
      <c r="R5684" t="s">
        <v>616</v>
      </c>
      <c r="S5684">
        <v>145.28239600000001</v>
      </c>
      <c r="T5684" s="1095">
        <v>-37.779876000000002</v>
      </c>
    </row>
    <row r="5685" spans="16:20">
      <c r="P5685" s="1094">
        <v>3136</v>
      </c>
      <c r="Q5685" t="s">
        <v>6622</v>
      </c>
      <c r="R5685" t="s">
        <v>616</v>
      </c>
      <c r="S5685">
        <v>145.28239600000001</v>
      </c>
      <c r="T5685" s="1095">
        <v>-37.779876000000002</v>
      </c>
    </row>
    <row r="5686" spans="16:20">
      <c r="P5686" s="1094">
        <v>3136</v>
      </c>
      <c r="Q5686" t="s">
        <v>6623</v>
      </c>
      <c r="R5686" t="s">
        <v>616</v>
      </c>
      <c r="S5686">
        <v>145.28239600000001</v>
      </c>
      <c r="T5686" s="1095">
        <v>-37.779876000000002</v>
      </c>
    </row>
    <row r="5687" spans="16:20">
      <c r="P5687" s="1094">
        <v>3137</v>
      </c>
      <c r="Q5687" t="s">
        <v>6624</v>
      </c>
      <c r="R5687" t="s">
        <v>616</v>
      </c>
      <c r="S5687">
        <v>145.313346</v>
      </c>
      <c r="T5687" s="1095">
        <v>-37.819364</v>
      </c>
    </row>
    <row r="5688" spans="16:20">
      <c r="P5688" s="1094">
        <v>3137</v>
      </c>
      <c r="Q5688" t="s">
        <v>6625</v>
      </c>
      <c r="R5688" t="s">
        <v>616</v>
      </c>
      <c r="S5688">
        <v>145.313346</v>
      </c>
      <c r="T5688" s="1095">
        <v>-37.819364</v>
      </c>
    </row>
    <row r="5689" spans="16:20">
      <c r="P5689" s="1094">
        <v>3138</v>
      </c>
      <c r="Q5689" t="s">
        <v>6626</v>
      </c>
      <c r="R5689" t="s">
        <v>616</v>
      </c>
      <c r="S5689">
        <v>145.32279399999999</v>
      </c>
      <c r="T5689" s="1095">
        <v>-37.783909999999999</v>
      </c>
    </row>
    <row r="5690" spans="16:20">
      <c r="P5690" s="1094">
        <v>3139</v>
      </c>
      <c r="Q5690" t="s">
        <v>6627</v>
      </c>
      <c r="R5690" t="s">
        <v>616</v>
      </c>
      <c r="S5690">
        <v>145.53266600000001</v>
      </c>
      <c r="T5690" s="1095">
        <v>-37.814506000000002</v>
      </c>
    </row>
    <row r="5691" spans="16:20">
      <c r="P5691" s="1094">
        <v>3139</v>
      </c>
      <c r="Q5691" t="s">
        <v>6628</v>
      </c>
      <c r="R5691" t="s">
        <v>616</v>
      </c>
      <c r="S5691">
        <v>145.53266600000001</v>
      </c>
      <c r="T5691" s="1095">
        <v>-37.814506000000002</v>
      </c>
    </row>
    <row r="5692" spans="16:20">
      <c r="P5692" s="1094">
        <v>3139</v>
      </c>
      <c r="Q5692" t="s">
        <v>6629</v>
      </c>
      <c r="R5692" t="s">
        <v>616</v>
      </c>
      <c r="S5692">
        <v>145.53266600000001</v>
      </c>
      <c r="T5692" s="1095">
        <v>-37.814506000000002</v>
      </c>
    </row>
    <row r="5693" spans="16:20">
      <c r="P5693" s="1094">
        <v>3139</v>
      </c>
      <c r="Q5693" t="s">
        <v>6630</v>
      </c>
      <c r="R5693" t="s">
        <v>616</v>
      </c>
      <c r="S5693">
        <v>145.53266600000001</v>
      </c>
      <c r="T5693" s="1095">
        <v>-37.814506000000002</v>
      </c>
    </row>
    <row r="5694" spans="16:20">
      <c r="P5694" s="1094">
        <v>3139</v>
      </c>
      <c r="Q5694" t="s">
        <v>6631</v>
      </c>
      <c r="R5694" t="s">
        <v>616</v>
      </c>
      <c r="S5694">
        <v>145.53266600000001</v>
      </c>
      <c r="T5694" s="1095">
        <v>-37.814506000000002</v>
      </c>
    </row>
    <row r="5695" spans="16:20">
      <c r="P5695" s="1094">
        <v>3139</v>
      </c>
      <c r="Q5695" t="s">
        <v>6632</v>
      </c>
      <c r="R5695" t="s">
        <v>616</v>
      </c>
      <c r="S5695">
        <v>145.53266600000001</v>
      </c>
      <c r="T5695" s="1095">
        <v>-37.814506000000002</v>
      </c>
    </row>
    <row r="5696" spans="16:20">
      <c r="P5696" s="1094">
        <v>3139</v>
      </c>
      <c r="Q5696" t="s">
        <v>6633</v>
      </c>
      <c r="R5696" t="s">
        <v>616</v>
      </c>
      <c r="S5696">
        <v>145.53266600000001</v>
      </c>
      <c r="T5696" s="1095">
        <v>-37.814506000000002</v>
      </c>
    </row>
    <row r="5697" spans="16:20">
      <c r="P5697" s="1094">
        <v>3139</v>
      </c>
      <c r="Q5697" t="s">
        <v>6634</v>
      </c>
      <c r="R5697" t="s">
        <v>616</v>
      </c>
      <c r="S5697">
        <v>145.53266600000001</v>
      </c>
      <c r="T5697" s="1095">
        <v>-37.814506000000002</v>
      </c>
    </row>
    <row r="5698" spans="16:20">
      <c r="P5698" s="1094">
        <v>3139</v>
      </c>
      <c r="Q5698" t="s">
        <v>6635</v>
      </c>
      <c r="R5698" t="s">
        <v>616</v>
      </c>
      <c r="S5698">
        <v>145.53266600000001</v>
      </c>
      <c r="T5698" s="1095">
        <v>-37.814506000000002</v>
      </c>
    </row>
    <row r="5699" spans="16:20">
      <c r="P5699" s="1094">
        <v>3139</v>
      </c>
      <c r="Q5699" t="s">
        <v>6636</v>
      </c>
      <c r="R5699" t="s">
        <v>616</v>
      </c>
      <c r="S5699">
        <v>145.53266600000001</v>
      </c>
      <c r="T5699" s="1095">
        <v>-37.814506000000002</v>
      </c>
    </row>
    <row r="5700" spans="16:20">
      <c r="P5700" s="1094">
        <v>3140</v>
      </c>
      <c r="Q5700" t="s">
        <v>3735</v>
      </c>
      <c r="R5700" t="s">
        <v>616</v>
      </c>
      <c r="S5700">
        <v>145.36318499999999</v>
      </c>
      <c r="T5700" s="1095">
        <v>-37.759154000000002</v>
      </c>
    </row>
    <row r="5701" spans="16:20">
      <c r="P5701" s="1094">
        <v>3141</v>
      </c>
      <c r="Q5701" t="s">
        <v>6637</v>
      </c>
      <c r="R5701" t="s">
        <v>616</v>
      </c>
      <c r="S5701">
        <v>144.991264</v>
      </c>
      <c r="T5701" s="1095">
        <v>-37.840679000000002</v>
      </c>
    </row>
    <row r="5702" spans="16:20">
      <c r="P5702" s="1094">
        <v>3141</v>
      </c>
      <c r="Q5702" t="s">
        <v>6638</v>
      </c>
      <c r="R5702" t="s">
        <v>616</v>
      </c>
      <c r="S5702">
        <v>144.991264</v>
      </c>
      <c r="T5702" s="1095">
        <v>-37.840679000000002</v>
      </c>
    </row>
    <row r="5703" spans="16:20">
      <c r="P5703" s="1094">
        <v>3141</v>
      </c>
      <c r="Q5703" t="s">
        <v>6639</v>
      </c>
      <c r="R5703" t="s">
        <v>616</v>
      </c>
      <c r="S5703">
        <v>144.991264</v>
      </c>
      <c r="T5703" s="1095">
        <v>-37.840679000000002</v>
      </c>
    </row>
    <row r="5704" spans="16:20">
      <c r="P5704" s="1094">
        <v>3142</v>
      </c>
      <c r="Q5704" t="s">
        <v>6640</v>
      </c>
      <c r="R5704" t="s">
        <v>616</v>
      </c>
      <c r="S5704">
        <v>145.017732</v>
      </c>
      <c r="T5704" s="1095">
        <v>-37.844110000000001</v>
      </c>
    </row>
    <row r="5705" spans="16:20">
      <c r="P5705" s="1094">
        <v>3142</v>
      </c>
      <c r="Q5705" t="s">
        <v>6641</v>
      </c>
      <c r="R5705" t="s">
        <v>616</v>
      </c>
      <c r="S5705">
        <v>145.017732</v>
      </c>
      <c r="T5705" s="1095">
        <v>-37.844110000000001</v>
      </c>
    </row>
    <row r="5706" spans="16:20">
      <c r="P5706" s="1094">
        <v>3143</v>
      </c>
      <c r="Q5706" t="s">
        <v>6642</v>
      </c>
      <c r="R5706" t="s">
        <v>616</v>
      </c>
      <c r="S5706">
        <v>145.01939300000001</v>
      </c>
      <c r="T5706" s="1095">
        <v>-37.858918000000003</v>
      </c>
    </row>
    <row r="5707" spans="16:20">
      <c r="P5707" s="1094">
        <v>3143</v>
      </c>
      <c r="Q5707" t="s">
        <v>6643</v>
      </c>
      <c r="R5707" t="s">
        <v>616</v>
      </c>
      <c r="S5707">
        <v>145.01939300000001</v>
      </c>
      <c r="T5707" s="1095">
        <v>-37.858918000000003</v>
      </c>
    </row>
    <row r="5708" spans="16:20">
      <c r="P5708" s="1094">
        <v>3144</v>
      </c>
      <c r="Q5708" t="s">
        <v>6644</v>
      </c>
      <c r="R5708" t="s">
        <v>616</v>
      </c>
      <c r="S5708">
        <v>145.03412700000001</v>
      </c>
      <c r="T5708" s="1095">
        <v>-37.857443000000004</v>
      </c>
    </row>
    <row r="5709" spans="16:20">
      <c r="P5709" s="1094">
        <v>3144</v>
      </c>
      <c r="Q5709" t="s">
        <v>6645</v>
      </c>
      <c r="R5709" t="s">
        <v>616</v>
      </c>
      <c r="S5709">
        <v>145.03412700000001</v>
      </c>
      <c r="T5709" s="1095">
        <v>-37.857443000000004</v>
      </c>
    </row>
    <row r="5710" spans="16:20">
      <c r="P5710" s="1094">
        <v>3144</v>
      </c>
      <c r="Q5710" t="s">
        <v>6646</v>
      </c>
      <c r="R5710" t="s">
        <v>616</v>
      </c>
      <c r="S5710">
        <v>145.03412700000001</v>
      </c>
      <c r="T5710" s="1095">
        <v>-37.857443000000004</v>
      </c>
    </row>
    <row r="5711" spans="16:20">
      <c r="P5711" s="1094">
        <v>3145</v>
      </c>
      <c r="Q5711" t="s">
        <v>6647</v>
      </c>
      <c r="R5711" t="s">
        <v>616</v>
      </c>
      <c r="S5711">
        <v>145.049328</v>
      </c>
      <c r="T5711" s="1095">
        <v>-37.873556999999998</v>
      </c>
    </row>
    <row r="5712" spans="16:20">
      <c r="P5712" s="1094">
        <v>3145</v>
      </c>
      <c r="Q5712" t="s">
        <v>6648</v>
      </c>
      <c r="R5712" t="s">
        <v>616</v>
      </c>
      <c r="S5712">
        <v>145.049328</v>
      </c>
      <c r="T5712" s="1095">
        <v>-37.873556999999998</v>
      </c>
    </row>
    <row r="5713" spans="16:20">
      <c r="P5713" s="1094">
        <v>3145</v>
      </c>
      <c r="Q5713" t="s">
        <v>6649</v>
      </c>
      <c r="R5713" t="s">
        <v>616</v>
      </c>
      <c r="S5713">
        <v>145.049328</v>
      </c>
      <c r="T5713" s="1095">
        <v>-37.873556999999998</v>
      </c>
    </row>
    <row r="5714" spans="16:20">
      <c r="P5714" s="1094">
        <v>3145</v>
      </c>
      <c r="Q5714" t="s">
        <v>6650</v>
      </c>
      <c r="R5714" t="s">
        <v>616</v>
      </c>
      <c r="S5714">
        <v>145.049328</v>
      </c>
      <c r="T5714" s="1095">
        <v>-37.873556999999998</v>
      </c>
    </row>
    <row r="5715" spans="16:20">
      <c r="P5715" s="1094">
        <v>3145</v>
      </c>
      <c r="Q5715" t="s">
        <v>6651</v>
      </c>
      <c r="R5715" t="s">
        <v>616</v>
      </c>
      <c r="S5715">
        <v>145.049328</v>
      </c>
      <c r="T5715" s="1095">
        <v>-37.873556999999998</v>
      </c>
    </row>
    <row r="5716" spans="16:20">
      <c r="P5716" s="1094">
        <v>3145</v>
      </c>
      <c r="Q5716" t="s">
        <v>6652</v>
      </c>
      <c r="R5716" t="s">
        <v>616</v>
      </c>
      <c r="S5716">
        <v>145.049328</v>
      </c>
      <c r="T5716" s="1095">
        <v>-37.873556999999998</v>
      </c>
    </row>
    <row r="5717" spans="16:20">
      <c r="P5717" s="1094">
        <v>3146</v>
      </c>
      <c r="Q5717" t="s">
        <v>6653</v>
      </c>
      <c r="R5717" t="s">
        <v>616</v>
      </c>
      <c r="S5717">
        <v>145.05783299999999</v>
      </c>
      <c r="T5717" s="1095">
        <v>-37.857115999999998</v>
      </c>
    </row>
    <row r="5718" spans="16:20">
      <c r="P5718" s="1094">
        <v>3147</v>
      </c>
      <c r="Q5718" t="s">
        <v>6654</v>
      </c>
      <c r="R5718" t="s">
        <v>616</v>
      </c>
      <c r="S5718">
        <v>145.09294600000001</v>
      </c>
      <c r="T5718" s="1095">
        <v>-37.867863999999997</v>
      </c>
    </row>
    <row r="5719" spans="16:20">
      <c r="P5719" s="1094">
        <v>3147</v>
      </c>
      <c r="Q5719" t="s">
        <v>6655</v>
      </c>
      <c r="R5719" t="s">
        <v>616</v>
      </c>
      <c r="S5719">
        <v>145.09294600000001</v>
      </c>
      <c r="T5719" s="1095">
        <v>-37.867863999999997</v>
      </c>
    </row>
    <row r="5720" spans="16:20">
      <c r="P5720" s="1094">
        <v>3148</v>
      </c>
      <c r="Q5720" t="s">
        <v>6656</v>
      </c>
      <c r="R5720" t="s">
        <v>616</v>
      </c>
      <c r="S5720">
        <v>145.090149</v>
      </c>
      <c r="T5720" s="1095">
        <v>-37.882562</v>
      </c>
    </row>
    <row r="5721" spans="16:20">
      <c r="P5721" s="1094">
        <v>3148</v>
      </c>
      <c r="Q5721" t="s">
        <v>6657</v>
      </c>
      <c r="R5721" t="s">
        <v>616</v>
      </c>
      <c r="S5721">
        <v>145.090149</v>
      </c>
      <c r="T5721" s="1095">
        <v>-37.882562</v>
      </c>
    </row>
    <row r="5722" spans="16:20">
      <c r="P5722" s="1094">
        <v>3148</v>
      </c>
      <c r="Q5722" t="s">
        <v>6658</v>
      </c>
      <c r="R5722" t="s">
        <v>616</v>
      </c>
      <c r="S5722">
        <v>145.090149</v>
      </c>
      <c r="T5722" s="1095">
        <v>-37.882562</v>
      </c>
    </row>
    <row r="5723" spans="16:20">
      <c r="P5723" s="1094">
        <v>3149</v>
      </c>
      <c r="Q5723" t="s">
        <v>6659</v>
      </c>
      <c r="R5723" t="s">
        <v>616</v>
      </c>
      <c r="S5723">
        <v>145.128118</v>
      </c>
      <c r="T5723" s="1095">
        <v>-37.880747999999997</v>
      </c>
    </row>
    <row r="5724" spans="16:20">
      <c r="P5724" s="1094">
        <v>3149</v>
      </c>
      <c r="Q5724" t="s">
        <v>6660</v>
      </c>
      <c r="R5724" t="s">
        <v>616</v>
      </c>
      <c r="S5724">
        <v>145.128118</v>
      </c>
      <c r="T5724" s="1095">
        <v>-37.880747999999997</v>
      </c>
    </row>
    <row r="5725" spans="16:20">
      <c r="P5725" s="1094">
        <v>3149</v>
      </c>
      <c r="Q5725" t="s">
        <v>6661</v>
      </c>
      <c r="R5725" t="s">
        <v>616</v>
      </c>
      <c r="S5725">
        <v>145.128118</v>
      </c>
      <c r="T5725" s="1095">
        <v>-37.880747999999997</v>
      </c>
    </row>
    <row r="5726" spans="16:20">
      <c r="P5726" s="1094">
        <v>3150</v>
      </c>
      <c r="Q5726" t="s">
        <v>6662</v>
      </c>
      <c r="R5726" t="s">
        <v>616</v>
      </c>
      <c r="S5726">
        <v>145.170841</v>
      </c>
      <c r="T5726" s="1095">
        <v>-37.876967999999998</v>
      </c>
    </row>
    <row r="5727" spans="16:20">
      <c r="P5727" s="1094">
        <v>3150</v>
      </c>
      <c r="Q5727" t="s">
        <v>6663</v>
      </c>
      <c r="R5727" t="s">
        <v>616</v>
      </c>
      <c r="S5727">
        <v>145.170841</v>
      </c>
      <c r="T5727" s="1095">
        <v>-37.876967999999998</v>
      </c>
    </row>
    <row r="5728" spans="16:20">
      <c r="P5728" s="1094">
        <v>3151</v>
      </c>
      <c r="Q5728" t="s">
        <v>6664</v>
      </c>
      <c r="R5728" t="s">
        <v>616</v>
      </c>
      <c r="S5728">
        <v>145.15111899999999</v>
      </c>
      <c r="T5728" s="1095">
        <v>-37.855229999999999</v>
      </c>
    </row>
    <row r="5729" spans="16:20">
      <c r="P5729" s="1094">
        <v>3151</v>
      </c>
      <c r="Q5729" t="s">
        <v>2010</v>
      </c>
      <c r="R5729" t="s">
        <v>616</v>
      </c>
      <c r="S5729">
        <v>145.15111899999999</v>
      </c>
      <c r="T5729" s="1095">
        <v>-37.855229999999999</v>
      </c>
    </row>
    <row r="5730" spans="16:20">
      <c r="P5730" s="1094">
        <v>3152</v>
      </c>
      <c r="Q5730" t="s">
        <v>6665</v>
      </c>
      <c r="R5730" t="s">
        <v>616</v>
      </c>
      <c r="S5730">
        <v>145.22169500000001</v>
      </c>
      <c r="T5730" s="1095">
        <v>-37.864950999999998</v>
      </c>
    </row>
    <row r="5731" spans="16:20">
      <c r="P5731" s="1094">
        <v>3152</v>
      </c>
      <c r="Q5731" t="s">
        <v>6666</v>
      </c>
      <c r="R5731" t="s">
        <v>616</v>
      </c>
      <c r="S5731">
        <v>145.22169500000001</v>
      </c>
      <c r="T5731" s="1095">
        <v>-37.864950999999998</v>
      </c>
    </row>
    <row r="5732" spans="16:20">
      <c r="P5732" s="1094">
        <v>3152</v>
      </c>
      <c r="Q5732" t="s">
        <v>6667</v>
      </c>
      <c r="R5732" t="s">
        <v>616</v>
      </c>
      <c r="S5732">
        <v>145.22169500000001</v>
      </c>
      <c r="T5732" s="1095">
        <v>-37.864950999999998</v>
      </c>
    </row>
    <row r="5733" spans="16:20">
      <c r="P5733" s="1094">
        <v>3152</v>
      </c>
      <c r="Q5733" t="s">
        <v>6668</v>
      </c>
      <c r="R5733" t="s">
        <v>616</v>
      </c>
      <c r="S5733">
        <v>145.22169500000001</v>
      </c>
      <c r="T5733" s="1095">
        <v>-37.864950999999998</v>
      </c>
    </row>
    <row r="5734" spans="16:20">
      <c r="P5734" s="1094">
        <v>3153</v>
      </c>
      <c r="Q5734" t="s">
        <v>6669</v>
      </c>
      <c r="R5734" t="s">
        <v>616</v>
      </c>
      <c r="S5734">
        <v>145.270141</v>
      </c>
      <c r="T5734" s="1095">
        <v>-37.845115999999997</v>
      </c>
    </row>
    <row r="5735" spans="16:20">
      <c r="P5735" s="1094">
        <v>3153</v>
      </c>
      <c r="Q5735" t="s">
        <v>6670</v>
      </c>
      <c r="R5735" t="s">
        <v>616</v>
      </c>
      <c r="S5735">
        <v>145.270141</v>
      </c>
      <c r="T5735" s="1095">
        <v>-37.845115999999997</v>
      </c>
    </row>
    <row r="5736" spans="16:20">
      <c r="P5736" s="1094">
        <v>3154</v>
      </c>
      <c r="Q5736" t="s">
        <v>1962</v>
      </c>
      <c r="R5736" t="s">
        <v>616</v>
      </c>
      <c r="S5736">
        <v>145.31783999999999</v>
      </c>
      <c r="T5736" s="1095">
        <v>-37.856009</v>
      </c>
    </row>
    <row r="5737" spans="16:20">
      <c r="P5737" s="1094">
        <v>3155</v>
      </c>
      <c r="Q5737" t="s">
        <v>6671</v>
      </c>
      <c r="R5737" t="s">
        <v>616</v>
      </c>
      <c r="S5737">
        <v>145.28441799999999</v>
      </c>
      <c r="T5737" s="1095">
        <v>-37.861798999999998</v>
      </c>
    </row>
    <row r="5738" spans="16:20">
      <c r="P5738" s="1094">
        <v>3156</v>
      </c>
      <c r="Q5738" t="s">
        <v>6672</v>
      </c>
      <c r="R5738" t="s">
        <v>616</v>
      </c>
      <c r="S5738">
        <v>145.29289499999999</v>
      </c>
      <c r="T5738" s="1095">
        <v>-37.917932</v>
      </c>
    </row>
    <row r="5739" spans="16:20">
      <c r="P5739" s="1094">
        <v>3156</v>
      </c>
      <c r="Q5739" t="s">
        <v>6673</v>
      </c>
      <c r="R5739" t="s">
        <v>616</v>
      </c>
      <c r="S5739">
        <v>145.29289499999999</v>
      </c>
      <c r="T5739" s="1095">
        <v>-37.917932</v>
      </c>
    </row>
    <row r="5740" spans="16:20">
      <c r="P5740" s="1094">
        <v>3156</v>
      </c>
      <c r="Q5740" t="s">
        <v>6674</v>
      </c>
      <c r="R5740" t="s">
        <v>616</v>
      </c>
      <c r="S5740">
        <v>145.29289499999999</v>
      </c>
      <c r="T5740" s="1095">
        <v>-37.917932</v>
      </c>
    </row>
    <row r="5741" spans="16:20">
      <c r="P5741" s="1094">
        <v>3156</v>
      </c>
      <c r="Q5741" t="s">
        <v>6675</v>
      </c>
      <c r="R5741" t="s">
        <v>616</v>
      </c>
      <c r="S5741">
        <v>145.29289499999999</v>
      </c>
      <c r="T5741" s="1095">
        <v>-37.917932</v>
      </c>
    </row>
    <row r="5742" spans="16:20">
      <c r="P5742" s="1094">
        <v>3156</v>
      </c>
      <c r="Q5742" t="s">
        <v>6676</v>
      </c>
      <c r="R5742" t="s">
        <v>616</v>
      </c>
      <c r="S5742">
        <v>145.29289499999999</v>
      </c>
      <c r="T5742" s="1095">
        <v>-37.917932</v>
      </c>
    </row>
    <row r="5743" spans="16:20">
      <c r="P5743" s="1094">
        <v>3158</v>
      </c>
      <c r="Q5743" t="s">
        <v>6677</v>
      </c>
      <c r="R5743" t="s">
        <v>616</v>
      </c>
      <c r="S5743">
        <v>145.324468</v>
      </c>
      <c r="T5743" s="1095">
        <v>-37.910077000000001</v>
      </c>
    </row>
    <row r="5744" spans="16:20">
      <c r="P5744" s="1094">
        <v>3159</v>
      </c>
      <c r="Q5744" t="s">
        <v>6678</v>
      </c>
      <c r="R5744" t="s">
        <v>616</v>
      </c>
      <c r="S5744">
        <v>145.38919999999999</v>
      </c>
      <c r="T5744" s="1095">
        <v>-37.921894000000002</v>
      </c>
    </row>
    <row r="5745" spans="16:20">
      <c r="P5745" s="1094">
        <v>3159</v>
      </c>
      <c r="Q5745" t="s">
        <v>6679</v>
      </c>
      <c r="R5745" t="s">
        <v>616</v>
      </c>
      <c r="S5745">
        <v>145.38919999999999</v>
      </c>
      <c r="T5745" s="1095">
        <v>-37.921894000000002</v>
      </c>
    </row>
    <row r="5746" spans="16:20">
      <c r="P5746" s="1094">
        <v>3160</v>
      </c>
      <c r="Q5746" t="s">
        <v>6680</v>
      </c>
      <c r="R5746" t="s">
        <v>616</v>
      </c>
      <c r="S5746">
        <v>145.350821</v>
      </c>
      <c r="T5746" s="1095">
        <v>-37.935096999999999</v>
      </c>
    </row>
    <row r="5747" spans="16:20">
      <c r="P5747" s="1094">
        <v>3160</v>
      </c>
      <c r="Q5747" t="s">
        <v>6681</v>
      </c>
      <c r="R5747" t="s">
        <v>616</v>
      </c>
      <c r="S5747">
        <v>145.350821</v>
      </c>
      <c r="T5747" s="1095">
        <v>-37.935096999999999</v>
      </c>
    </row>
    <row r="5748" spans="16:20">
      <c r="P5748" s="1094">
        <v>3160</v>
      </c>
      <c r="Q5748" t="s">
        <v>6682</v>
      </c>
      <c r="R5748" t="s">
        <v>616</v>
      </c>
      <c r="S5748">
        <v>145.350821</v>
      </c>
      <c r="T5748" s="1095">
        <v>-37.935096999999999</v>
      </c>
    </row>
    <row r="5749" spans="16:20">
      <c r="P5749" s="1094">
        <v>3160</v>
      </c>
      <c r="Q5749" t="s">
        <v>6683</v>
      </c>
      <c r="R5749" t="s">
        <v>616</v>
      </c>
      <c r="S5749">
        <v>145.350821</v>
      </c>
      <c r="T5749" s="1095">
        <v>-37.935096999999999</v>
      </c>
    </row>
    <row r="5750" spans="16:20">
      <c r="P5750" s="1094">
        <v>3161</v>
      </c>
      <c r="Q5750" t="s">
        <v>6684</v>
      </c>
      <c r="R5750" t="s">
        <v>616</v>
      </c>
      <c r="S5750">
        <v>145.01992899999999</v>
      </c>
      <c r="T5750" s="1095">
        <v>-37.873733000000001</v>
      </c>
    </row>
    <row r="5751" spans="16:20">
      <c r="P5751" s="1094">
        <v>3161</v>
      </c>
      <c r="Q5751" t="s">
        <v>6685</v>
      </c>
      <c r="R5751" t="s">
        <v>616</v>
      </c>
      <c r="S5751">
        <v>145.01992899999999</v>
      </c>
      <c r="T5751" s="1095">
        <v>-37.873733000000001</v>
      </c>
    </row>
    <row r="5752" spans="16:20">
      <c r="P5752" s="1094">
        <v>3162</v>
      </c>
      <c r="Q5752" t="s">
        <v>6686</v>
      </c>
      <c r="R5752" t="s">
        <v>616</v>
      </c>
      <c r="S5752">
        <v>145.023394</v>
      </c>
      <c r="T5752" s="1095">
        <v>-37.892139</v>
      </c>
    </row>
    <row r="5753" spans="16:20">
      <c r="P5753" s="1094">
        <v>3162</v>
      </c>
      <c r="Q5753" t="s">
        <v>6687</v>
      </c>
      <c r="R5753" t="s">
        <v>616</v>
      </c>
      <c r="S5753">
        <v>145.023394</v>
      </c>
      <c r="T5753" s="1095">
        <v>-37.892139</v>
      </c>
    </row>
    <row r="5754" spans="16:20">
      <c r="P5754" s="1094">
        <v>3162</v>
      </c>
      <c r="Q5754" t="s">
        <v>6688</v>
      </c>
      <c r="R5754" t="s">
        <v>616</v>
      </c>
      <c r="S5754">
        <v>145.023394</v>
      </c>
      <c r="T5754" s="1095">
        <v>-37.892139</v>
      </c>
    </row>
    <row r="5755" spans="16:20">
      <c r="P5755" s="1094">
        <v>3163</v>
      </c>
      <c r="Q5755" t="s">
        <v>6689</v>
      </c>
      <c r="R5755" t="s">
        <v>616</v>
      </c>
      <c r="S5755">
        <v>145.05723699999999</v>
      </c>
      <c r="T5755" s="1095">
        <v>-37.896496999999997</v>
      </c>
    </row>
    <row r="5756" spans="16:20">
      <c r="P5756" s="1094">
        <v>3163</v>
      </c>
      <c r="Q5756" t="s">
        <v>6690</v>
      </c>
      <c r="R5756" t="s">
        <v>616</v>
      </c>
      <c r="S5756">
        <v>145.05723699999999</v>
      </c>
      <c r="T5756" s="1095">
        <v>-37.896496999999997</v>
      </c>
    </row>
    <row r="5757" spans="16:20">
      <c r="P5757" s="1094">
        <v>3163</v>
      </c>
      <c r="Q5757" t="s">
        <v>6691</v>
      </c>
      <c r="R5757" t="s">
        <v>616</v>
      </c>
      <c r="S5757">
        <v>145.05723699999999</v>
      </c>
      <c r="T5757" s="1095">
        <v>-37.896496999999997</v>
      </c>
    </row>
    <row r="5758" spans="16:20">
      <c r="P5758" s="1094">
        <v>3163</v>
      </c>
      <c r="Q5758" t="s">
        <v>6692</v>
      </c>
      <c r="R5758" t="s">
        <v>616</v>
      </c>
      <c r="S5758">
        <v>145.05723699999999</v>
      </c>
      <c r="T5758" s="1095">
        <v>-37.896496999999997</v>
      </c>
    </row>
    <row r="5759" spans="16:20">
      <c r="P5759" s="1094">
        <v>3164</v>
      </c>
      <c r="Q5759" t="s">
        <v>6693</v>
      </c>
      <c r="R5759" t="s">
        <v>616</v>
      </c>
      <c r="S5759">
        <v>0</v>
      </c>
      <c r="T5759" s="1095">
        <v>0</v>
      </c>
    </row>
    <row r="5760" spans="16:20">
      <c r="P5760" s="1094">
        <v>3165</v>
      </c>
      <c r="Q5760" t="s">
        <v>6694</v>
      </c>
      <c r="R5760" t="s">
        <v>616</v>
      </c>
      <c r="S5760">
        <v>145.059426</v>
      </c>
      <c r="T5760" s="1095">
        <v>-37.922369000000003</v>
      </c>
    </row>
    <row r="5761" spans="16:20">
      <c r="P5761" s="1094">
        <v>3165</v>
      </c>
      <c r="Q5761" t="s">
        <v>6695</v>
      </c>
      <c r="R5761" t="s">
        <v>616</v>
      </c>
      <c r="S5761">
        <v>145.059426</v>
      </c>
      <c r="T5761" s="1095">
        <v>-37.922369000000003</v>
      </c>
    </row>
    <row r="5762" spans="16:20">
      <c r="P5762" s="1094">
        <v>3166</v>
      </c>
      <c r="Q5762" t="s">
        <v>6696</v>
      </c>
      <c r="R5762" t="s">
        <v>616</v>
      </c>
      <c r="S5762">
        <v>145.089719</v>
      </c>
      <c r="T5762" s="1095">
        <v>-37.902805000000001</v>
      </c>
    </row>
    <row r="5763" spans="16:20">
      <c r="P5763" s="1094">
        <v>3166</v>
      </c>
      <c r="Q5763" t="s">
        <v>6697</v>
      </c>
      <c r="R5763" t="s">
        <v>616</v>
      </c>
      <c r="S5763">
        <v>145.089719</v>
      </c>
      <c r="T5763" s="1095">
        <v>-37.902805000000001</v>
      </c>
    </row>
    <row r="5764" spans="16:20">
      <c r="P5764" s="1094">
        <v>3166</v>
      </c>
      <c r="Q5764" t="s">
        <v>6698</v>
      </c>
      <c r="R5764" t="s">
        <v>616</v>
      </c>
      <c r="S5764">
        <v>145.089719</v>
      </c>
      <c r="T5764" s="1095">
        <v>-37.902805000000001</v>
      </c>
    </row>
    <row r="5765" spans="16:20">
      <c r="P5765" s="1094">
        <v>3166</v>
      </c>
      <c r="Q5765" t="s">
        <v>6699</v>
      </c>
      <c r="R5765" t="s">
        <v>616</v>
      </c>
      <c r="S5765">
        <v>145.089719</v>
      </c>
      <c r="T5765" s="1095">
        <v>-37.902805000000001</v>
      </c>
    </row>
    <row r="5766" spans="16:20">
      <c r="P5766" s="1094">
        <v>3167</v>
      </c>
      <c r="Q5766" t="s">
        <v>6700</v>
      </c>
      <c r="R5766" t="s">
        <v>616</v>
      </c>
      <c r="S5766">
        <v>145.087614</v>
      </c>
      <c r="T5766" s="1095">
        <v>-37.923344999999998</v>
      </c>
    </row>
    <row r="5767" spans="16:20">
      <c r="P5767" s="1094">
        <v>3168</v>
      </c>
      <c r="Q5767" t="s">
        <v>6701</v>
      </c>
      <c r="R5767" t="s">
        <v>616</v>
      </c>
      <c r="S5767">
        <v>145.12665000000001</v>
      </c>
      <c r="T5767" s="1095">
        <v>-37.913420000000002</v>
      </c>
    </row>
    <row r="5768" spans="16:20">
      <c r="P5768" s="1094">
        <v>3168</v>
      </c>
      <c r="Q5768" t="s">
        <v>6702</v>
      </c>
      <c r="R5768" t="s">
        <v>616</v>
      </c>
      <c r="S5768">
        <v>145.12665000000001</v>
      </c>
      <c r="T5768" s="1095">
        <v>-37.913420000000002</v>
      </c>
    </row>
    <row r="5769" spans="16:20">
      <c r="P5769" s="1094">
        <v>3169</v>
      </c>
      <c r="Q5769" t="s">
        <v>6703</v>
      </c>
      <c r="R5769" t="s">
        <v>616</v>
      </c>
      <c r="S5769">
        <v>145.11527100000001</v>
      </c>
      <c r="T5769" s="1095">
        <v>-37.945149000000001</v>
      </c>
    </row>
    <row r="5770" spans="16:20">
      <c r="P5770" s="1094">
        <v>3169</v>
      </c>
      <c r="Q5770" t="s">
        <v>6704</v>
      </c>
      <c r="R5770" t="s">
        <v>616</v>
      </c>
      <c r="S5770">
        <v>145.11527100000001</v>
      </c>
      <c r="T5770" s="1095">
        <v>-37.945149000000001</v>
      </c>
    </row>
    <row r="5771" spans="16:20">
      <c r="P5771" s="1094">
        <v>3170</v>
      </c>
      <c r="Q5771" t="s">
        <v>5593</v>
      </c>
      <c r="R5771" t="s">
        <v>616</v>
      </c>
      <c r="S5771">
        <v>145.16785899999999</v>
      </c>
      <c r="T5771" s="1095">
        <v>-37.920945000000003</v>
      </c>
    </row>
    <row r="5772" spans="16:20">
      <c r="P5772" s="1094">
        <v>3170</v>
      </c>
      <c r="Q5772" t="s">
        <v>6705</v>
      </c>
      <c r="R5772" t="s">
        <v>616</v>
      </c>
      <c r="S5772">
        <v>145.16785899999999</v>
      </c>
      <c r="T5772" s="1095">
        <v>-37.920945000000003</v>
      </c>
    </row>
    <row r="5773" spans="16:20">
      <c r="P5773" s="1094">
        <v>3171</v>
      </c>
      <c r="Q5773" t="s">
        <v>6706</v>
      </c>
      <c r="R5773" t="s">
        <v>616</v>
      </c>
      <c r="S5773">
        <v>145.15678299999999</v>
      </c>
      <c r="T5773" s="1095">
        <v>-37.944608000000002</v>
      </c>
    </row>
    <row r="5774" spans="16:20">
      <c r="P5774" s="1094">
        <v>3171</v>
      </c>
      <c r="Q5774" t="s">
        <v>5198</v>
      </c>
      <c r="R5774" t="s">
        <v>616</v>
      </c>
      <c r="S5774">
        <v>145.15678299999999</v>
      </c>
      <c r="T5774" s="1095">
        <v>-37.944608000000002</v>
      </c>
    </row>
    <row r="5775" spans="16:20">
      <c r="P5775" s="1094">
        <v>3172</v>
      </c>
      <c r="Q5775" t="s">
        <v>6707</v>
      </c>
      <c r="R5775" t="s">
        <v>616</v>
      </c>
      <c r="S5775">
        <v>145.13464999999999</v>
      </c>
      <c r="T5775" s="1095">
        <v>-37.975980999999997</v>
      </c>
    </row>
    <row r="5776" spans="16:20">
      <c r="P5776" s="1094">
        <v>3172</v>
      </c>
      <c r="Q5776" t="s">
        <v>6708</v>
      </c>
      <c r="R5776" t="s">
        <v>616</v>
      </c>
      <c r="S5776">
        <v>145.13464999999999</v>
      </c>
      <c r="T5776" s="1095">
        <v>-37.975980999999997</v>
      </c>
    </row>
    <row r="5777" spans="16:20">
      <c r="P5777" s="1094">
        <v>3173</v>
      </c>
      <c r="Q5777" t="s">
        <v>6709</v>
      </c>
      <c r="R5777" t="s">
        <v>616</v>
      </c>
      <c r="S5777">
        <v>145.164863</v>
      </c>
      <c r="T5777" s="1095">
        <v>-38.006771000000001</v>
      </c>
    </row>
    <row r="5778" spans="16:20">
      <c r="P5778" s="1094">
        <v>3174</v>
      </c>
      <c r="Q5778" t="s">
        <v>6710</v>
      </c>
      <c r="R5778" t="s">
        <v>616</v>
      </c>
      <c r="S5778">
        <v>145.17876999999999</v>
      </c>
      <c r="T5778" s="1095">
        <v>-37.966217999999998</v>
      </c>
    </row>
    <row r="5779" spans="16:20">
      <c r="P5779" s="1094">
        <v>3174</v>
      </c>
      <c r="Q5779" t="s">
        <v>6711</v>
      </c>
      <c r="R5779" t="s">
        <v>616</v>
      </c>
      <c r="S5779">
        <v>145.17876999999999</v>
      </c>
      <c r="T5779" s="1095">
        <v>-37.966217999999998</v>
      </c>
    </row>
    <row r="5780" spans="16:20">
      <c r="P5780" s="1094">
        <v>3174</v>
      </c>
      <c r="Q5780" t="s">
        <v>6712</v>
      </c>
      <c r="R5780" t="s">
        <v>616</v>
      </c>
      <c r="S5780">
        <v>145.17876999999999</v>
      </c>
      <c r="T5780" s="1095">
        <v>-37.966217999999998</v>
      </c>
    </row>
    <row r="5781" spans="16:20">
      <c r="P5781" s="1094">
        <v>3175</v>
      </c>
      <c r="Q5781" t="s">
        <v>6713</v>
      </c>
      <c r="R5781" t="s">
        <v>616</v>
      </c>
      <c r="S5781">
        <v>145.208504</v>
      </c>
      <c r="T5781" s="1095">
        <v>-38.016114000000002</v>
      </c>
    </row>
    <row r="5782" spans="16:20">
      <c r="P5782" s="1094">
        <v>3175</v>
      </c>
      <c r="Q5782" t="s">
        <v>6714</v>
      </c>
      <c r="R5782" t="s">
        <v>616</v>
      </c>
      <c r="S5782">
        <v>145.208504</v>
      </c>
      <c r="T5782" s="1095">
        <v>-38.016114000000002</v>
      </c>
    </row>
    <row r="5783" spans="16:20">
      <c r="P5783" s="1094">
        <v>3175</v>
      </c>
      <c r="Q5783" t="s">
        <v>6715</v>
      </c>
      <c r="R5783" t="s">
        <v>616</v>
      </c>
      <c r="S5783">
        <v>145.208504</v>
      </c>
      <c r="T5783" s="1095">
        <v>-38.016114000000002</v>
      </c>
    </row>
    <row r="5784" spans="16:20">
      <c r="P5784" s="1094">
        <v>3175</v>
      </c>
      <c r="Q5784" t="s">
        <v>6716</v>
      </c>
      <c r="R5784" t="s">
        <v>616</v>
      </c>
      <c r="S5784">
        <v>145.208504</v>
      </c>
      <c r="T5784" s="1095">
        <v>-38.016114000000002</v>
      </c>
    </row>
    <row r="5785" spans="16:20">
      <c r="P5785" s="1094">
        <v>3175</v>
      </c>
      <c r="Q5785" t="s">
        <v>6693</v>
      </c>
      <c r="R5785" t="s">
        <v>616</v>
      </c>
      <c r="S5785">
        <v>145.208504</v>
      </c>
      <c r="T5785" s="1095">
        <v>-38.016114000000002</v>
      </c>
    </row>
    <row r="5786" spans="16:20">
      <c r="P5786" s="1094">
        <v>3175</v>
      </c>
      <c r="Q5786" t="s">
        <v>6717</v>
      </c>
      <c r="R5786" t="s">
        <v>616</v>
      </c>
      <c r="S5786">
        <v>145.208504</v>
      </c>
      <c r="T5786" s="1095">
        <v>-38.016114000000002</v>
      </c>
    </row>
    <row r="5787" spans="16:20">
      <c r="P5787" s="1094">
        <v>3176</v>
      </c>
      <c r="Q5787" t="s">
        <v>6718</v>
      </c>
      <c r="R5787" t="s">
        <v>616</v>
      </c>
      <c r="S5787">
        <v>0</v>
      </c>
      <c r="T5787" s="1095">
        <v>0</v>
      </c>
    </row>
    <row r="5788" spans="16:20">
      <c r="P5788" s="1094">
        <v>3177</v>
      </c>
      <c r="Q5788" t="s">
        <v>6719</v>
      </c>
      <c r="R5788" t="s">
        <v>616</v>
      </c>
      <c r="S5788">
        <v>145.23746199999999</v>
      </c>
      <c r="T5788" s="1095">
        <v>-37.990985000000002</v>
      </c>
    </row>
    <row r="5789" spans="16:20">
      <c r="P5789" s="1094">
        <v>3177</v>
      </c>
      <c r="Q5789" t="s">
        <v>6720</v>
      </c>
      <c r="R5789" t="s">
        <v>616</v>
      </c>
      <c r="S5789">
        <v>145.23746199999999</v>
      </c>
      <c r="T5789" s="1095">
        <v>-37.990985000000002</v>
      </c>
    </row>
    <row r="5790" spans="16:20">
      <c r="P5790" s="1094">
        <v>3178</v>
      </c>
      <c r="Q5790" t="s">
        <v>6721</v>
      </c>
      <c r="R5790" t="s">
        <v>616</v>
      </c>
      <c r="S5790">
        <v>145.241589</v>
      </c>
      <c r="T5790" s="1095">
        <v>-37.924430999999998</v>
      </c>
    </row>
    <row r="5791" spans="16:20">
      <c r="P5791" s="1094">
        <v>3179</v>
      </c>
      <c r="Q5791" t="s">
        <v>6722</v>
      </c>
      <c r="R5791" t="s">
        <v>616</v>
      </c>
      <c r="S5791">
        <v>145.222634</v>
      </c>
      <c r="T5791" s="1095">
        <v>-37.897137000000001</v>
      </c>
    </row>
    <row r="5792" spans="16:20">
      <c r="P5792" s="1094">
        <v>3180</v>
      </c>
      <c r="Q5792" t="s">
        <v>6723</v>
      </c>
      <c r="R5792" t="s">
        <v>616</v>
      </c>
      <c r="S5792">
        <v>145.24673100000001</v>
      </c>
      <c r="T5792" s="1095">
        <v>-37.893262999999997</v>
      </c>
    </row>
    <row r="5793" spans="16:20">
      <c r="P5793" s="1094">
        <v>3181</v>
      </c>
      <c r="Q5793" t="s">
        <v>6724</v>
      </c>
      <c r="R5793" t="s">
        <v>616</v>
      </c>
      <c r="S5793">
        <v>144.99550400000001</v>
      </c>
      <c r="T5793" s="1095">
        <v>-37.854683000000001</v>
      </c>
    </row>
    <row r="5794" spans="16:20">
      <c r="P5794" s="1094">
        <v>3181</v>
      </c>
      <c r="Q5794" t="s">
        <v>6725</v>
      </c>
      <c r="R5794" t="s">
        <v>616</v>
      </c>
      <c r="S5794">
        <v>144.99550400000001</v>
      </c>
      <c r="T5794" s="1095">
        <v>-37.854683000000001</v>
      </c>
    </row>
    <row r="5795" spans="16:20">
      <c r="P5795" s="1094">
        <v>3181</v>
      </c>
      <c r="Q5795" t="s">
        <v>5602</v>
      </c>
      <c r="R5795" t="s">
        <v>616</v>
      </c>
      <c r="S5795">
        <v>144.99550400000001</v>
      </c>
      <c r="T5795" s="1095">
        <v>-37.854683000000001</v>
      </c>
    </row>
    <row r="5796" spans="16:20">
      <c r="P5796" s="1094">
        <v>3182</v>
      </c>
      <c r="Q5796" t="s">
        <v>6726</v>
      </c>
      <c r="R5796" t="s">
        <v>616</v>
      </c>
      <c r="S5796">
        <v>144.979478</v>
      </c>
      <c r="T5796" s="1095">
        <v>-37.865321999999999</v>
      </c>
    </row>
    <row r="5797" spans="16:20">
      <c r="P5797" s="1094">
        <v>3182</v>
      </c>
      <c r="Q5797" t="s">
        <v>6727</v>
      </c>
      <c r="R5797" t="s">
        <v>616</v>
      </c>
      <c r="S5797">
        <v>144.979478</v>
      </c>
      <c r="T5797" s="1095">
        <v>-37.865321999999999</v>
      </c>
    </row>
    <row r="5798" spans="16:20">
      <c r="P5798" s="1094">
        <v>3182</v>
      </c>
      <c r="Q5798" t="s">
        <v>6728</v>
      </c>
      <c r="R5798" t="s">
        <v>616</v>
      </c>
      <c r="S5798">
        <v>144.979478</v>
      </c>
      <c r="T5798" s="1095">
        <v>-37.865321999999999</v>
      </c>
    </row>
    <row r="5799" spans="16:20">
      <c r="P5799" s="1094">
        <v>3183</v>
      </c>
      <c r="Q5799" t="s">
        <v>6729</v>
      </c>
      <c r="R5799" t="s">
        <v>616</v>
      </c>
      <c r="S5799">
        <v>144.99902599999999</v>
      </c>
      <c r="T5799" s="1095">
        <v>-37.869072000000003</v>
      </c>
    </row>
    <row r="5800" spans="16:20">
      <c r="P5800" s="1094">
        <v>3183</v>
      </c>
      <c r="Q5800" t="s">
        <v>6730</v>
      </c>
      <c r="R5800" t="s">
        <v>616</v>
      </c>
      <c r="S5800">
        <v>144.99902599999999</v>
      </c>
      <c r="T5800" s="1095">
        <v>-37.869072000000003</v>
      </c>
    </row>
    <row r="5801" spans="16:20">
      <c r="P5801" s="1094">
        <v>3184</v>
      </c>
      <c r="Q5801" t="s">
        <v>6731</v>
      </c>
      <c r="R5801" t="s">
        <v>616</v>
      </c>
      <c r="S5801">
        <v>144.98403400000001</v>
      </c>
      <c r="T5801" s="1095">
        <v>-37.881413999999999</v>
      </c>
    </row>
    <row r="5802" spans="16:20">
      <c r="P5802" s="1094">
        <v>3184</v>
      </c>
      <c r="Q5802" t="s">
        <v>6732</v>
      </c>
      <c r="R5802" t="s">
        <v>616</v>
      </c>
      <c r="S5802">
        <v>144.98403400000001</v>
      </c>
      <c r="T5802" s="1095">
        <v>-37.881413999999999</v>
      </c>
    </row>
    <row r="5803" spans="16:20">
      <c r="P5803" s="1094">
        <v>3185</v>
      </c>
      <c r="Q5803" t="s">
        <v>6733</v>
      </c>
      <c r="R5803" t="s">
        <v>616</v>
      </c>
      <c r="S5803">
        <v>145.00257099999999</v>
      </c>
      <c r="T5803" s="1095">
        <v>-37.891840999999999</v>
      </c>
    </row>
    <row r="5804" spans="16:20">
      <c r="P5804" s="1094">
        <v>3185</v>
      </c>
      <c r="Q5804" t="s">
        <v>6734</v>
      </c>
      <c r="R5804" t="s">
        <v>616</v>
      </c>
      <c r="S5804">
        <v>145.00257099999999</v>
      </c>
      <c r="T5804" s="1095">
        <v>-37.891840999999999</v>
      </c>
    </row>
    <row r="5805" spans="16:20">
      <c r="P5805" s="1094">
        <v>3185</v>
      </c>
      <c r="Q5805" t="s">
        <v>6735</v>
      </c>
      <c r="R5805" t="s">
        <v>616</v>
      </c>
      <c r="S5805">
        <v>145.00257099999999</v>
      </c>
      <c r="T5805" s="1095">
        <v>-37.891840999999999</v>
      </c>
    </row>
    <row r="5806" spans="16:20">
      <c r="P5806" s="1094">
        <v>3186</v>
      </c>
      <c r="Q5806" t="s">
        <v>6736</v>
      </c>
      <c r="R5806" t="s">
        <v>616</v>
      </c>
      <c r="S5806">
        <v>144.996329</v>
      </c>
      <c r="T5806" s="1095">
        <v>-37.915066000000003</v>
      </c>
    </row>
    <row r="5807" spans="16:20">
      <c r="P5807" s="1094">
        <v>3186</v>
      </c>
      <c r="Q5807" t="s">
        <v>6737</v>
      </c>
      <c r="R5807" t="s">
        <v>616</v>
      </c>
      <c r="S5807">
        <v>144.996329</v>
      </c>
      <c r="T5807" s="1095">
        <v>-37.915066000000003</v>
      </c>
    </row>
    <row r="5808" spans="16:20">
      <c r="P5808" s="1094">
        <v>3186</v>
      </c>
      <c r="Q5808" t="s">
        <v>6738</v>
      </c>
      <c r="R5808" t="s">
        <v>616</v>
      </c>
      <c r="S5808">
        <v>144.996329</v>
      </c>
      <c r="T5808" s="1095">
        <v>-37.915066000000003</v>
      </c>
    </row>
    <row r="5809" spans="16:20">
      <c r="P5809" s="1094">
        <v>3186</v>
      </c>
      <c r="Q5809" t="s">
        <v>6739</v>
      </c>
      <c r="R5809" t="s">
        <v>616</v>
      </c>
      <c r="S5809">
        <v>144.996329</v>
      </c>
      <c r="T5809" s="1095">
        <v>-37.915066000000003</v>
      </c>
    </row>
    <row r="5810" spans="16:20">
      <c r="P5810" s="1094">
        <v>3187</v>
      </c>
      <c r="Q5810" t="s">
        <v>6740</v>
      </c>
      <c r="R5810" t="s">
        <v>616</v>
      </c>
      <c r="S5810">
        <v>145.01359299999999</v>
      </c>
      <c r="T5810" s="1095">
        <v>-37.925370999999998</v>
      </c>
    </row>
    <row r="5811" spans="16:20">
      <c r="P5811" s="1094">
        <v>3187</v>
      </c>
      <c r="Q5811" t="s">
        <v>6741</v>
      </c>
      <c r="R5811" t="s">
        <v>616</v>
      </c>
      <c r="S5811">
        <v>145.01359299999999</v>
      </c>
      <c r="T5811" s="1095">
        <v>-37.925370999999998</v>
      </c>
    </row>
    <row r="5812" spans="16:20">
      <c r="P5812" s="1094">
        <v>3188</v>
      </c>
      <c r="Q5812" t="s">
        <v>5726</v>
      </c>
      <c r="R5812" t="s">
        <v>616</v>
      </c>
      <c r="S5812">
        <v>145.007238</v>
      </c>
      <c r="T5812" s="1095">
        <v>-37.938889000000003</v>
      </c>
    </row>
    <row r="5813" spans="16:20">
      <c r="P5813" s="1094">
        <v>3188</v>
      </c>
      <c r="Q5813" t="s">
        <v>6742</v>
      </c>
      <c r="R5813" t="s">
        <v>616</v>
      </c>
      <c r="S5813">
        <v>145.007238</v>
      </c>
      <c r="T5813" s="1095">
        <v>-37.938889000000003</v>
      </c>
    </row>
    <row r="5814" spans="16:20">
      <c r="P5814" s="1094">
        <v>3188</v>
      </c>
      <c r="Q5814" t="s">
        <v>6743</v>
      </c>
      <c r="R5814" t="s">
        <v>616</v>
      </c>
      <c r="S5814">
        <v>145.007238</v>
      </c>
      <c r="T5814" s="1095">
        <v>-37.938889000000003</v>
      </c>
    </row>
    <row r="5815" spans="16:20">
      <c r="P5815" s="1094">
        <v>3189</v>
      </c>
      <c r="Q5815" t="s">
        <v>6744</v>
      </c>
      <c r="R5815" t="s">
        <v>616</v>
      </c>
      <c r="S5815">
        <v>145.04780199999999</v>
      </c>
      <c r="T5815" s="1095">
        <v>-37.942020999999997</v>
      </c>
    </row>
    <row r="5816" spans="16:20">
      <c r="P5816" s="1094">
        <v>3189</v>
      </c>
      <c r="Q5816" t="s">
        <v>6745</v>
      </c>
      <c r="R5816" t="s">
        <v>616</v>
      </c>
      <c r="S5816">
        <v>145.04780199999999</v>
      </c>
      <c r="T5816" s="1095">
        <v>-37.942020999999997</v>
      </c>
    </row>
    <row r="5817" spans="16:20">
      <c r="P5817" s="1094">
        <v>3189</v>
      </c>
      <c r="Q5817" t="s">
        <v>6746</v>
      </c>
      <c r="R5817" t="s">
        <v>616</v>
      </c>
      <c r="S5817">
        <v>145.04780199999999</v>
      </c>
      <c r="T5817" s="1095">
        <v>-37.942020999999997</v>
      </c>
    </row>
    <row r="5818" spans="16:20">
      <c r="P5818" s="1094">
        <v>3190</v>
      </c>
      <c r="Q5818" t="s">
        <v>6747</v>
      </c>
      <c r="R5818" t="s">
        <v>616</v>
      </c>
      <c r="S5818">
        <v>145.03814700000001</v>
      </c>
      <c r="T5818" s="1095">
        <v>-37.951394000000001</v>
      </c>
    </row>
    <row r="5819" spans="16:20">
      <c r="P5819" s="1094">
        <v>3191</v>
      </c>
      <c r="Q5819" t="s">
        <v>2212</v>
      </c>
      <c r="R5819" t="s">
        <v>616</v>
      </c>
      <c r="S5819">
        <v>145.01347200000001</v>
      </c>
      <c r="T5819" s="1095">
        <v>-37.956584999999997</v>
      </c>
    </row>
    <row r="5820" spans="16:20">
      <c r="P5820" s="1094">
        <v>3192</v>
      </c>
      <c r="Q5820" t="s">
        <v>1994</v>
      </c>
      <c r="R5820" t="s">
        <v>616</v>
      </c>
      <c r="S5820">
        <v>145.06229999999999</v>
      </c>
      <c r="T5820" s="1095">
        <v>-37.965654999999998</v>
      </c>
    </row>
    <row r="5821" spans="16:20">
      <c r="P5821" s="1094">
        <v>3192</v>
      </c>
      <c r="Q5821" t="s">
        <v>6748</v>
      </c>
      <c r="R5821" t="s">
        <v>616</v>
      </c>
      <c r="S5821">
        <v>145.06229999999999</v>
      </c>
      <c r="T5821" s="1095">
        <v>-37.965654999999998</v>
      </c>
    </row>
    <row r="5822" spans="16:20">
      <c r="P5822" s="1094">
        <v>3192</v>
      </c>
      <c r="Q5822" t="s">
        <v>6749</v>
      </c>
      <c r="R5822" t="s">
        <v>616</v>
      </c>
      <c r="S5822">
        <v>145.06229999999999</v>
      </c>
      <c r="T5822" s="1095">
        <v>-37.965654999999998</v>
      </c>
    </row>
    <row r="5823" spans="16:20">
      <c r="P5823" s="1094">
        <v>3192</v>
      </c>
      <c r="Q5823" t="s">
        <v>6750</v>
      </c>
      <c r="R5823" t="s">
        <v>616</v>
      </c>
      <c r="S5823">
        <v>145.06229999999999</v>
      </c>
      <c r="T5823" s="1095">
        <v>-37.965654999999998</v>
      </c>
    </row>
    <row r="5824" spans="16:20">
      <c r="P5824" s="1094">
        <v>3193</v>
      </c>
      <c r="Q5824" t="s">
        <v>6751</v>
      </c>
      <c r="R5824" t="s">
        <v>616</v>
      </c>
      <c r="S5824">
        <v>145.03156100000001</v>
      </c>
      <c r="T5824" s="1095">
        <v>-37.978698000000001</v>
      </c>
    </row>
    <row r="5825" spans="16:20">
      <c r="P5825" s="1094">
        <v>3193</v>
      </c>
      <c r="Q5825" t="s">
        <v>6752</v>
      </c>
      <c r="R5825" t="s">
        <v>616</v>
      </c>
      <c r="S5825">
        <v>145.03156100000001</v>
      </c>
      <c r="T5825" s="1095">
        <v>-37.978698000000001</v>
      </c>
    </row>
    <row r="5826" spans="16:20">
      <c r="P5826" s="1094">
        <v>3193</v>
      </c>
      <c r="Q5826" t="s">
        <v>6753</v>
      </c>
      <c r="R5826" t="s">
        <v>616</v>
      </c>
      <c r="S5826">
        <v>145.03156100000001</v>
      </c>
      <c r="T5826" s="1095">
        <v>-37.978698000000001</v>
      </c>
    </row>
    <row r="5827" spans="16:20">
      <c r="P5827" s="1094">
        <v>3193</v>
      </c>
      <c r="Q5827" t="s">
        <v>1920</v>
      </c>
      <c r="R5827" t="s">
        <v>616</v>
      </c>
      <c r="S5827">
        <v>145.03156100000001</v>
      </c>
      <c r="T5827" s="1095">
        <v>-37.978698000000001</v>
      </c>
    </row>
    <row r="5828" spans="16:20">
      <c r="P5828" s="1094">
        <v>3194</v>
      </c>
      <c r="Q5828" t="s">
        <v>6754</v>
      </c>
      <c r="R5828" t="s">
        <v>616</v>
      </c>
      <c r="S5828">
        <v>145.06735599999999</v>
      </c>
      <c r="T5828" s="1095">
        <v>-37.985059</v>
      </c>
    </row>
    <row r="5829" spans="16:20">
      <c r="P5829" s="1094">
        <v>3194</v>
      </c>
      <c r="Q5829" t="s">
        <v>6755</v>
      </c>
      <c r="R5829" t="s">
        <v>616</v>
      </c>
      <c r="S5829">
        <v>145.06735599999999</v>
      </c>
      <c r="T5829" s="1095">
        <v>-37.985059</v>
      </c>
    </row>
    <row r="5830" spans="16:20">
      <c r="P5830" s="1094">
        <v>3194</v>
      </c>
      <c r="Q5830" t="s">
        <v>6756</v>
      </c>
      <c r="R5830" t="s">
        <v>616</v>
      </c>
      <c r="S5830">
        <v>145.06735599999999</v>
      </c>
      <c r="T5830" s="1095">
        <v>-37.985059</v>
      </c>
    </row>
    <row r="5831" spans="16:20">
      <c r="P5831" s="1094">
        <v>3195</v>
      </c>
      <c r="Q5831" t="s">
        <v>6757</v>
      </c>
      <c r="R5831" t="s">
        <v>616</v>
      </c>
      <c r="S5831">
        <v>145.104105</v>
      </c>
      <c r="T5831" s="1095">
        <v>-38.007024000000001</v>
      </c>
    </row>
    <row r="5832" spans="16:20">
      <c r="P5832" s="1094">
        <v>3195</v>
      </c>
      <c r="Q5832" t="s">
        <v>6758</v>
      </c>
      <c r="R5832" t="s">
        <v>616</v>
      </c>
      <c r="S5832">
        <v>145.104105</v>
      </c>
      <c r="T5832" s="1095">
        <v>-38.007024000000001</v>
      </c>
    </row>
    <row r="5833" spans="16:20">
      <c r="P5833" s="1094">
        <v>3195</v>
      </c>
      <c r="Q5833" t="s">
        <v>6759</v>
      </c>
      <c r="R5833" t="s">
        <v>616</v>
      </c>
      <c r="S5833">
        <v>145.104105</v>
      </c>
      <c r="T5833" s="1095">
        <v>-38.007024000000001</v>
      </c>
    </row>
    <row r="5834" spans="16:20">
      <c r="P5834" s="1094">
        <v>3195</v>
      </c>
      <c r="Q5834" t="s">
        <v>6760</v>
      </c>
      <c r="R5834" t="s">
        <v>616</v>
      </c>
      <c r="S5834">
        <v>145.104105</v>
      </c>
      <c r="T5834" s="1095">
        <v>-38.007024000000001</v>
      </c>
    </row>
    <row r="5835" spans="16:20">
      <c r="P5835" s="1094">
        <v>3195</v>
      </c>
      <c r="Q5835" t="s">
        <v>6761</v>
      </c>
      <c r="R5835" t="s">
        <v>616</v>
      </c>
      <c r="S5835">
        <v>145.104105</v>
      </c>
      <c r="T5835" s="1095">
        <v>-38.007024000000001</v>
      </c>
    </row>
    <row r="5836" spans="16:20">
      <c r="P5836" s="1094">
        <v>3195</v>
      </c>
      <c r="Q5836" t="s">
        <v>6762</v>
      </c>
      <c r="R5836" t="s">
        <v>616</v>
      </c>
      <c r="S5836">
        <v>145.104105</v>
      </c>
      <c r="T5836" s="1095">
        <v>-38.007024000000001</v>
      </c>
    </row>
    <row r="5837" spans="16:20">
      <c r="P5837" s="1094">
        <v>3195</v>
      </c>
      <c r="Q5837" t="s">
        <v>6763</v>
      </c>
      <c r="R5837" t="s">
        <v>616</v>
      </c>
      <c r="S5837">
        <v>145.104105</v>
      </c>
      <c r="T5837" s="1095">
        <v>-38.007024000000001</v>
      </c>
    </row>
    <row r="5838" spans="16:20">
      <c r="P5838" s="1094">
        <v>3196</v>
      </c>
      <c r="Q5838" t="s">
        <v>6764</v>
      </c>
      <c r="R5838" t="s">
        <v>616</v>
      </c>
      <c r="S5838">
        <v>145.12276199999999</v>
      </c>
      <c r="T5838" s="1095">
        <v>-38.046478999999998</v>
      </c>
    </row>
    <row r="5839" spans="16:20">
      <c r="P5839" s="1094">
        <v>3196</v>
      </c>
      <c r="Q5839" t="s">
        <v>6765</v>
      </c>
      <c r="R5839" t="s">
        <v>616</v>
      </c>
      <c r="S5839">
        <v>145.12276199999999</v>
      </c>
      <c r="T5839" s="1095">
        <v>-38.046478999999998</v>
      </c>
    </row>
    <row r="5840" spans="16:20">
      <c r="P5840" s="1094">
        <v>3196</v>
      </c>
      <c r="Q5840" t="s">
        <v>6766</v>
      </c>
      <c r="R5840" t="s">
        <v>616</v>
      </c>
      <c r="S5840">
        <v>145.12276199999999</v>
      </c>
      <c r="T5840" s="1095">
        <v>-38.046478999999998</v>
      </c>
    </row>
    <row r="5841" spans="16:20">
      <c r="P5841" s="1094">
        <v>3196</v>
      </c>
      <c r="Q5841" t="s">
        <v>6767</v>
      </c>
      <c r="R5841" t="s">
        <v>616</v>
      </c>
      <c r="S5841">
        <v>145.12276199999999</v>
      </c>
      <c r="T5841" s="1095">
        <v>-38.046478999999998</v>
      </c>
    </row>
    <row r="5842" spans="16:20">
      <c r="P5842" s="1094">
        <v>3197</v>
      </c>
      <c r="Q5842" t="s">
        <v>6768</v>
      </c>
      <c r="R5842" t="s">
        <v>616</v>
      </c>
      <c r="S5842">
        <v>145.13411099999999</v>
      </c>
      <c r="T5842" s="1095">
        <v>-38.072747999999997</v>
      </c>
    </row>
    <row r="5843" spans="16:20">
      <c r="P5843" s="1094">
        <v>3197</v>
      </c>
      <c r="Q5843" t="s">
        <v>6769</v>
      </c>
      <c r="R5843" t="s">
        <v>616</v>
      </c>
      <c r="S5843">
        <v>145.13411099999999</v>
      </c>
      <c r="T5843" s="1095">
        <v>-38.072747999999997</v>
      </c>
    </row>
    <row r="5844" spans="16:20">
      <c r="P5844" s="1094">
        <v>3198</v>
      </c>
      <c r="Q5844" t="s">
        <v>6770</v>
      </c>
      <c r="R5844" t="s">
        <v>616</v>
      </c>
      <c r="S5844">
        <v>145.137811</v>
      </c>
      <c r="T5844" s="1095">
        <v>-38.103194000000002</v>
      </c>
    </row>
    <row r="5845" spans="16:20">
      <c r="P5845" s="1094">
        <v>3198</v>
      </c>
      <c r="Q5845" t="s">
        <v>6771</v>
      </c>
      <c r="R5845" t="s">
        <v>616</v>
      </c>
      <c r="S5845">
        <v>145.137811</v>
      </c>
      <c r="T5845" s="1095">
        <v>-38.103194000000002</v>
      </c>
    </row>
    <row r="5846" spans="16:20">
      <c r="P5846" s="1094">
        <v>3199</v>
      </c>
      <c r="Q5846" t="s">
        <v>6772</v>
      </c>
      <c r="R5846" t="s">
        <v>616</v>
      </c>
      <c r="S5846">
        <v>145.13596100000001</v>
      </c>
      <c r="T5846" s="1095">
        <v>-38.162578000000003</v>
      </c>
    </row>
    <row r="5847" spans="16:20">
      <c r="P5847" s="1094">
        <v>3199</v>
      </c>
      <c r="Q5847" t="s">
        <v>6773</v>
      </c>
      <c r="R5847" t="s">
        <v>616</v>
      </c>
      <c r="S5847">
        <v>145.13596100000001</v>
      </c>
      <c r="T5847" s="1095">
        <v>-38.162578000000003</v>
      </c>
    </row>
    <row r="5848" spans="16:20">
      <c r="P5848" s="1094">
        <v>3199</v>
      </c>
      <c r="Q5848" t="s">
        <v>6774</v>
      </c>
      <c r="R5848" t="s">
        <v>616</v>
      </c>
      <c r="S5848">
        <v>145.13596100000001</v>
      </c>
      <c r="T5848" s="1095">
        <v>-38.162578000000003</v>
      </c>
    </row>
    <row r="5849" spans="16:20">
      <c r="P5849" s="1094">
        <v>3199</v>
      </c>
      <c r="Q5849" t="s">
        <v>6775</v>
      </c>
      <c r="R5849" t="s">
        <v>616</v>
      </c>
      <c r="S5849">
        <v>145.13596100000001</v>
      </c>
      <c r="T5849" s="1095">
        <v>-38.162578000000003</v>
      </c>
    </row>
    <row r="5850" spans="16:20">
      <c r="P5850" s="1094">
        <v>3199</v>
      </c>
      <c r="Q5850" t="s">
        <v>6776</v>
      </c>
      <c r="R5850" t="s">
        <v>616</v>
      </c>
      <c r="S5850">
        <v>145.13596100000001</v>
      </c>
      <c r="T5850" s="1095">
        <v>-38.162578000000003</v>
      </c>
    </row>
    <row r="5851" spans="16:20">
      <c r="P5851" s="1094">
        <v>3199</v>
      </c>
      <c r="Q5851" t="s">
        <v>6777</v>
      </c>
      <c r="R5851" t="s">
        <v>616</v>
      </c>
      <c r="S5851">
        <v>145.13596100000001</v>
      </c>
      <c r="T5851" s="1095">
        <v>-38.162578000000003</v>
      </c>
    </row>
    <row r="5852" spans="16:20">
      <c r="P5852" s="1094">
        <v>3200</v>
      </c>
      <c r="Q5852" t="s">
        <v>6778</v>
      </c>
      <c r="R5852" t="s">
        <v>616</v>
      </c>
      <c r="S5852">
        <v>145.15757400000001</v>
      </c>
      <c r="T5852" s="1095">
        <v>-38.126458</v>
      </c>
    </row>
    <row r="5853" spans="16:20">
      <c r="P5853" s="1094">
        <v>3200</v>
      </c>
      <c r="Q5853" t="s">
        <v>6779</v>
      </c>
      <c r="R5853" t="s">
        <v>616</v>
      </c>
      <c r="S5853">
        <v>145.15757400000001</v>
      </c>
      <c r="T5853" s="1095">
        <v>-38.126458</v>
      </c>
    </row>
    <row r="5854" spans="16:20">
      <c r="P5854" s="1094">
        <v>3201</v>
      </c>
      <c r="Q5854" t="s">
        <v>6780</v>
      </c>
      <c r="R5854" t="s">
        <v>616</v>
      </c>
      <c r="S5854">
        <v>145.17790500000001</v>
      </c>
      <c r="T5854" s="1095">
        <v>-38.092874000000002</v>
      </c>
    </row>
    <row r="5855" spans="16:20">
      <c r="P5855" s="1094">
        <v>3202</v>
      </c>
      <c r="Q5855" t="s">
        <v>6781</v>
      </c>
      <c r="R5855" t="s">
        <v>616</v>
      </c>
      <c r="S5855">
        <v>145.09269800000001</v>
      </c>
      <c r="T5855" s="1095">
        <v>-37.960554999999999</v>
      </c>
    </row>
    <row r="5856" spans="16:20">
      <c r="P5856" s="1094">
        <v>3204</v>
      </c>
      <c r="Q5856" t="s">
        <v>6782</v>
      </c>
      <c r="R5856" t="s">
        <v>616</v>
      </c>
      <c r="S5856">
        <v>145.03678300000001</v>
      </c>
      <c r="T5856" s="1095">
        <v>-37.916955999999999</v>
      </c>
    </row>
    <row r="5857" spans="16:20">
      <c r="P5857" s="1094">
        <v>3204</v>
      </c>
      <c r="Q5857" t="s">
        <v>6783</v>
      </c>
      <c r="R5857" t="s">
        <v>616</v>
      </c>
      <c r="S5857">
        <v>145.03678300000001</v>
      </c>
      <c r="T5857" s="1095">
        <v>-37.916955999999999</v>
      </c>
    </row>
    <row r="5858" spans="16:20">
      <c r="P5858" s="1094">
        <v>3204</v>
      </c>
      <c r="Q5858" t="s">
        <v>6784</v>
      </c>
      <c r="R5858" t="s">
        <v>616</v>
      </c>
      <c r="S5858">
        <v>145.03678300000001</v>
      </c>
      <c r="T5858" s="1095">
        <v>-37.916955999999999</v>
      </c>
    </row>
    <row r="5859" spans="16:20">
      <c r="P5859" s="1094">
        <v>3204</v>
      </c>
      <c r="Q5859" t="s">
        <v>6785</v>
      </c>
      <c r="R5859" t="s">
        <v>616</v>
      </c>
      <c r="S5859">
        <v>145.03678300000001</v>
      </c>
      <c r="T5859" s="1095">
        <v>-37.916955999999999</v>
      </c>
    </row>
    <row r="5860" spans="16:20">
      <c r="P5860" s="1094">
        <v>3205</v>
      </c>
      <c r="Q5860" t="s">
        <v>6786</v>
      </c>
      <c r="R5860" t="s">
        <v>616</v>
      </c>
      <c r="S5860">
        <v>144.95817600000001</v>
      </c>
      <c r="T5860" s="1095">
        <v>-37.831693000000001</v>
      </c>
    </row>
    <row r="5861" spans="16:20">
      <c r="P5861" s="1094">
        <v>3205</v>
      </c>
      <c r="Q5861" t="s">
        <v>6787</v>
      </c>
      <c r="R5861" t="s">
        <v>616</v>
      </c>
      <c r="S5861">
        <v>144.95817600000001</v>
      </c>
      <c r="T5861" s="1095">
        <v>-37.831693000000001</v>
      </c>
    </row>
    <row r="5862" spans="16:20">
      <c r="P5862" s="1094">
        <v>3206</v>
      </c>
      <c r="Q5862" t="s">
        <v>6788</v>
      </c>
      <c r="R5862" t="s">
        <v>616</v>
      </c>
      <c r="S5862">
        <v>144.95086000000001</v>
      </c>
      <c r="T5862" s="1095">
        <v>-37.846533999999998</v>
      </c>
    </row>
    <row r="5863" spans="16:20">
      <c r="P5863" s="1094">
        <v>3206</v>
      </c>
      <c r="Q5863" t="s">
        <v>6789</v>
      </c>
      <c r="R5863" t="s">
        <v>616</v>
      </c>
      <c r="S5863">
        <v>144.95086000000001</v>
      </c>
      <c r="T5863" s="1095">
        <v>-37.846533999999998</v>
      </c>
    </row>
    <row r="5864" spans="16:20">
      <c r="P5864" s="1094">
        <v>3207</v>
      </c>
      <c r="Q5864" t="s">
        <v>6790</v>
      </c>
      <c r="R5864" t="s">
        <v>616</v>
      </c>
      <c r="S5864">
        <v>144.91804400000001</v>
      </c>
      <c r="T5864" s="1095">
        <v>-37.832178999999996</v>
      </c>
    </row>
    <row r="5865" spans="16:20">
      <c r="P5865" s="1094">
        <v>3207</v>
      </c>
      <c r="Q5865" t="s">
        <v>6791</v>
      </c>
      <c r="R5865" t="s">
        <v>616</v>
      </c>
      <c r="S5865">
        <v>144.91804400000001</v>
      </c>
      <c r="T5865" s="1095">
        <v>-37.832178999999996</v>
      </c>
    </row>
    <row r="5866" spans="16:20">
      <c r="P5866" s="1094">
        <v>3211</v>
      </c>
      <c r="Q5866" t="s">
        <v>5450</v>
      </c>
      <c r="R5866" t="s">
        <v>616</v>
      </c>
      <c r="S5866">
        <v>144.498479</v>
      </c>
      <c r="T5866" s="1095">
        <v>-37.943586000000003</v>
      </c>
    </row>
    <row r="5867" spans="16:20">
      <c r="P5867" s="1094">
        <v>3212</v>
      </c>
      <c r="Q5867" t="s">
        <v>1947</v>
      </c>
      <c r="R5867" t="s">
        <v>616</v>
      </c>
      <c r="S5867">
        <v>144.42266599999999</v>
      </c>
      <c r="T5867" s="1095">
        <v>-38.039957999999999</v>
      </c>
    </row>
    <row r="5868" spans="16:20">
      <c r="P5868" s="1094">
        <v>3212</v>
      </c>
      <c r="Q5868" t="s">
        <v>6792</v>
      </c>
      <c r="R5868" t="s">
        <v>616</v>
      </c>
      <c r="S5868">
        <v>144.42266599999999</v>
      </c>
      <c r="T5868" s="1095">
        <v>-38.039957999999999</v>
      </c>
    </row>
    <row r="5869" spans="16:20">
      <c r="P5869" s="1094">
        <v>3212</v>
      </c>
      <c r="Q5869" t="s">
        <v>6793</v>
      </c>
      <c r="R5869" t="s">
        <v>616</v>
      </c>
      <c r="S5869">
        <v>144.42266599999999</v>
      </c>
      <c r="T5869" s="1095">
        <v>-38.039957999999999</v>
      </c>
    </row>
    <row r="5870" spans="16:20">
      <c r="P5870" s="1094">
        <v>3214</v>
      </c>
      <c r="Q5870" t="s">
        <v>6794</v>
      </c>
      <c r="R5870" t="s">
        <v>616</v>
      </c>
      <c r="S5870">
        <v>144.352385</v>
      </c>
      <c r="T5870" s="1095">
        <v>-38.084781</v>
      </c>
    </row>
    <row r="5871" spans="16:20">
      <c r="P5871" s="1094">
        <v>3214</v>
      </c>
      <c r="Q5871" t="s">
        <v>6795</v>
      </c>
      <c r="R5871" t="s">
        <v>616</v>
      </c>
      <c r="S5871">
        <v>144.352385</v>
      </c>
      <c r="T5871" s="1095">
        <v>-38.084781</v>
      </c>
    </row>
    <row r="5872" spans="16:20">
      <c r="P5872" s="1094">
        <v>3214</v>
      </c>
      <c r="Q5872" t="s">
        <v>3537</v>
      </c>
      <c r="R5872" t="s">
        <v>616</v>
      </c>
      <c r="S5872">
        <v>144.352385</v>
      </c>
      <c r="T5872" s="1095">
        <v>-38.084781</v>
      </c>
    </row>
    <row r="5873" spans="16:20">
      <c r="P5873" s="1094">
        <v>3215</v>
      </c>
      <c r="Q5873" t="s">
        <v>6796</v>
      </c>
      <c r="R5873" t="s">
        <v>616</v>
      </c>
      <c r="S5873">
        <v>144.33452</v>
      </c>
      <c r="T5873" s="1095">
        <v>-38.111001999999999</v>
      </c>
    </row>
    <row r="5874" spans="16:20">
      <c r="P5874" s="1094">
        <v>3215</v>
      </c>
      <c r="Q5874" t="s">
        <v>6797</v>
      </c>
      <c r="R5874" t="s">
        <v>616</v>
      </c>
      <c r="S5874">
        <v>144.33452</v>
      </c>
      <c r="T5874" s="1095">
        <v>-38.111001999999999</v>
      </c>
    </row>
    <row r="5875" spans="16:20">
      <c r="P5875" s="1094">
        <v>3215</v>
      </c>
      <c r="Q5875" t="s">
        <v>6798</v>
      </c>
      <c r="R5875" t="s">
        <v>616</v>
      </c>
      <c r="S5875">
        <v>144.33452</v>
      </c>
      <c r="T5875" s="1095">
        <v>-38.111001999999999</v>
      </c>
    </row>
    <row r="5876" spans="16:20">
      <c r="P5876" s="1094">
        <v>3215</v>
      </c>
      <c r="Q5876" t="s">
        <v>6799</v>
      </c>
      <c r="R5876" t="s">
        <v>616</v>
      </c>
      <c r="S5876">
        <v>144.33452</v>
      </c>
      <c r="T5876" s="1095">
        <v>-38.111001999999999</v>
      </c>
    </row>
    <row r="5877" spans="16:20">
      <c r="P5877" s="1094">
        <v>3215</v>
      </c>
      <c r="Q5877" t="s">
        <v>6800</v>
      </c>
      <c r="R5877" t="s">
        <v>616</v>
      </c>
      <c r="S5877">
        <v>144.33452</v>
      </c>
      <c r="T5877" s="1095">
        <v>-38.111001999999999</v>
      </c>
    </row>
    <row r="5878" spans="16:20">
      <c r="P5878" s="1094">
        <v>3215</v>
      </c>
      <c r="Q5878" t="s">
        <v>6801</v>
      </c>
      <c r="R5878" t="s">
        <v>616</v>
      </c>
      <c r="S5878">
        <v>144.33452</v>
      </c>
      <c r="T5878" s="1095">
        <v>-38.111001999999999</v>
      </c>
    </row>
    <row r="5879" spans="16:20">
      <c r="P5879" s="1094">
        <v>3215</v>
      </c>
      <c r="Q5879" t="s">
        <v>6802</v>
      </c>
      <c r="R5879" t="s">
        <v>616</v>
      </c>
      <c r="S5879">
        <v>144.33452</v>
      </c>
      <c r="T5879" s="1095">
        <v>-38.111001999999999</v>
      </c>
    </row>
    <row r="5880" spans="16:20">
      <c r="P5880" s="1094">
        <v>3216</v>
      </c>
      <c r="Q5880" t="s">
        <v>2429</v>
      </c>
      <c r="R5880" t="s">
        <v>616</v>
      </c>
      <c r="S5880">
        <v>144.33400499999999</v>
      </c>
      <c r="T5880" s="1095">
        <v>-38.215905999999997</v>
      </c>
    </row>
    <row r="5881" spans="16:20">
      <c r="P5881" s="1094">
        <v>3216</v>
      </c>
      <c r="Q5881" t="s">
        <v>6803</v>
      </c>
      <c r="R5881" t="s">
        <v>616</v>
      </c>
      <c r="S5881">
        <v>144.33400499999999</v>
      </c>
      <c r="T5881" s="1095">
        <v>-38.215905999999997</v>
      </c>
    </row>
    <row r="5882" spans="16:20">
      <c r="P5882" s="1094">
        <v>3216</v>
      </c>
      <c r="Q5882" t="s">
        <v>6804</v>
      </c>
      <c r="R5882" t="s">
        <v>616</v>
      </c>
      <c r="S5882">
        <v>144.33400499999999</v>
      </c>
      <c r="T5882" s="1095">
        <v>-38.215905999999997</v>
      </c>
    </row>
    <row r="5883" spans="16:20">
      <c r="P5883" s="1094">
        <v>3216</v>
      </c>
      <c r="Q5883" t="s">
        <v>6805</v>
      </c>
      <c r="R5883" t="s">
        <v>616</v>
      </c>
      <c r="S5883">
        <v>144.33400499999999</v>
      </c>
      <c r="T5883" s="1095">
        <v>-38.215905999999997</v>
      </c>
    </row>
    <row r="5884" spans="16:20">
      <c r="P5884" s="1094">
        <v>3216</v>
      </c>
      <c r="Q5884" t="s">
        <v>6806</v>
      </c>
      <c r="R5884" t="s">
        <v>616</v>
      </c>
      <c r="S5884">
        <v>144.33400499999999</v>
      </c>
      <c r="T5884" s="1095">
        <v>-38.215905999999997</v>
      </c>
    </row>
    <row r="5885" spans="16:20">
      <c r="P5885" s="1094">
        <v>3216</v>
      </c>
      <c r="Q5885" t="s">
        <v>6807</v>
      </c>
      <c r="R5885" t="s">
        <v>616</v>
      </c>
      <c r="S5885">
        <v>144.33400499999999</v>
      </c>
      <c r="T5885" s="1095">
        <v>-38.215905999999997</v>
      </c>
    </row>
    <row r="5886" spans="16:20">
      <c r="P5886" s="1094">
        <v>3216</v>
      </c>
      <c r="Q5886" t="s">
        <v>6808</v>
      </c>
      <c r="R5886" t="s">
        <v>616</v>
      </c>
      <c r="S5886">
        <v>144.33400499999999</v>
      </c>
      <c r="T5886" s="1095">
        <v>-38.215905999999997</v>
      </c>
    </row>
    <row r="5887" spans="16:20">
      <c r="P5887" s="1094">
        <v>3216</v>
      </c>
      <c r="Q5887" t="s">
        <v>6809</v>
      </c>
      <c r="R5887" t="s">
        <v>616</v>
      </c>
      <c r="S5887">
        <v>144.33400499999999</v>
      </c>
      <c r="T5887" s="1095">
        <v>-38.215905999999997</v>
      </c>
    </row>
    <row r="5888" spans="16:20">
      <c r="P5888" s="1094">
        <v>3216</v>
      </c>
      <c r="Q5888" t="s">
        <v>6810</v>
      </c>
      <c r="R5888" t="s">
        <v>616</v>
      </c>
      <c r="S5888">
        <v>144.33400499999999</v>
      </c>
      <c r="T5888" s="1095">
        <v>-38.215905999999997</v>
      </c>
    </row>
    <row r="5889" spans="16:20">
      <c r="P5889" s="1094">
        <v>3217</v>
      </c>
      <c r="Q5889" t="s">
        <v>6811</v>
      </c>
      <c r="R5889" t="s">
        <v>616</v>
      </c>
      <c r="S5889">
        <v>144.301029</v>
      </c>
      <c r="T5889" s="1095">
        <v>-38.200349000000003</v>
      </c>
    </row>
    <row r="5890" spans="16:20">
      <c r="P5890" s="1094">
        <v>3218</v>
      </c>
      <c r="Q5890" t="s">
        <v>6812</v>
      </c>
      <c r="R5890" t="s">
        <v>616</v>
      </c>
      <c r="S5890">
        <v>144.330986</v>
      </c>
      <c r="T5890" s="1095">
        <v>-38.138728</v>
      </c>
    </row>
    <row r="5891" spans="16:20">
      <c r="P5891" s="1094">
        <v>3218</v>
      </c>
      <c r="Q5891" t="s">
        <v>6813</v>
      </c>
      <c r="R5891" t="s">
        <v>616</v>
      </c>
      <c r="S5891">
        <v>144.330986</v>
      </c>
      <c r="T5891" s="1095">
        <v>-38.138728</v>
      </c>
    </row>
    <row r="5892" spans="16:20">
      <c r="P5892" s="1094">
        <v>3218</v>
      </c>
      <c r="Q5892" t="s">
        <v>6814</v>
      </c>
      <c r="R5892" t="s">
        <v>616</v>
      </c>
      <c r="S5892">
        <v>144.330986</v>
      </c>
      <c r="T5892" s="1095">
        <v>-38.138728</v>
      </c>
    </row>
    <row r="5893" spans="16:20">
      <c r="P5893" s="1094">
        <v>3219</v>
      </c>
      <c r="Q5893" t="s">
        <v>6815</v>
      </c>
      <c r="R5893" t="s">
        <v>616</v>
      </c>
      <c r="S5893">
        <v>144.389533</v>
      </c>
      <c r="T5893" s="1095">
        <v>-38.17277</v>
      </c>
    </row>
    <row r="5894" spans="16:20">
      <c r="P5894" s="1094">
        <v>3219</v>
      </c>
      <c r="Q5894" t="s">
        <v>6816</v>
      </c>
      <c r="R5894" t="s">
        <v>616</v>
      </c>
      <c r="S5894">
        <v>144.389533</v>
      </c>
      <c r="T5894" s="1095">
        <v>-38.17277</v>
      </c>
    </row>
    <row r="5895" spans="16:20">
      <c r="P5895" s="1094">
        <v>3219</v>
      </c>
      <c r="Q5895" t="s">
        <v>6817</v>
      </c>
      <c r="R5895" t="s">
        <v>616</v>
      </c>
      <c r="S5895">
        <v>144.389533</v>
      </c>
      <c r="T5895" s="1095">
        <v>-38.17277</v>
      </c>
    </row>
    <row r="5896" spans="16:20">
      <c r="P5896" s="1094">
        <v>3219</v>
      </c>
      <c r="Q5896" t="s">
        <v>6818</v>
      </c>
      <c r="R5896" t="s">
        <v>616</v>
      </c>
      <c r="S5896">
        <v>144.389533</v>
      </c>
      <c r="T5896" s="1095">
        <v>-38.17277</v>
      </c>
    </row>
    <row r="5897" spans="16:20">
      <c r="P5897" s="1094">
        <v>3219</v>
      </c>
      <c r="Q5897" t="s">
        <v>6819</v>
      </c>
      <c r="R5897" t="s">
        <v>616</v>
      </c>
      <c r="S5897">
        <v>144.389533</v>
      </c>
      <c r="T5897" s="1095">
        <v>-38.17277</v>
      </c>
    </row>
    <row r="5898" spans="16:20">
      <c r="P5898" s="1094">
        <v>3219</v>
      </c>
      <c r="Q5898" t="s">
        <v>6820</v>
      </c>
      <c r="R5898" t="s">
        <v>616</v>
      </c>
      <c r="S5898">
        <v>144.389533</v>
      </c>
      <c r="T5898" s="1095">
        <v>-38.17277</v>
      </c>
    </row>
    <row r="5899" spans="16:20">
      <c r="P5899" s="1094">
        <v>3220</v>
      </c>
      <c r="Q5899" t="s">
        <v>6821</v>
      </c>
      <c r="R5899" t="s">
        <v>616</v>
      </c>
      <c r="S5899">
        <v>144.34652</v>
      </c>
      <c r="T5899" s="1095">
        <v>-38.157038</v>
      </c>
    </row>
    <row r="5900" spans="16:20">
      <c r="P5900" s="1094">
        <v>3220</v>
      </c>
      <c r="Q5900" t="s">
        <v>6822</v>
      </c>
      <c r="R5900" t="s">
        <v>616</v>
      </c>
      <c r="S5900">
        <v>144.34652</v>
      </c>
      <c r="T5900" s="1095">
        <v>-38.157038</v>
      </c>
    </row>
    <row r="5901" spans="16:20">
      <c r="P5901" s="1094">
        <v>3220</v>
      </c>
      <c r="Q5901" t="s">
        <v>1805</v>
      </c>
      <c r="R5901" t="s">
        <v>616</v>
      </c>
      <c r="S5901">
        <v>144.34652</v>
      </c>
      <c r="T5901" s="1095">
        <v>-38.157038</v>
      </c>
    </row>
    <row r="5902" spans="16:20">
      <c r="P5902" s="1094">
        <v>3220</v>
      </c>
      <c r="Q5902" t="s">
        <v>6823</v>
      </c>
      <c r="R5902" t="s">
        <v>616</v>
      </c>
      <c r="S5902">
        <v>144.34652</v>
      </c>
      <c r="T5902" s="1095">
        <v>-38.157038</v>
      </c>
    </row>
    <row r="5903" spans="16:20">
      <c r="P5903" s="1094">
        <v>3221</v>
      </c>
      <c r="Q5903" t="s">
        <v>6824</v>
      </c>
      <c r="R5903" t="s">
        <v>616</v>
      </c>
      <c r="S5903">
        <v>144.42741899999999</v>
      </c>
      <c r="T5903" s="1095">
        <v>-38.181607999999997</v>
      </c>
    </row>
    <row r="5904" spans="16:20">
      <c r="P5904" s="1094">
        <v>3221</v>
      </c>
      <c r="Q5904" t="s">
        <v>6825</v>
      </c>
      <c r="R5904" t="s">
        <v>616</v>
      </c>
      <c r="S5904">
        <v>144.42741899999999</v>
      </c>
      <c r="T5904" s="1095">
        <v>-38.181607999999997</v>
      </c>
    </row>
    <row r="5905" spans="16:20">
      <c r="P5905" s="1094">
        <v>3221</v>
      </c>
      <c r="Q5905" t="s">
        <v>6826</v>
      </c>
      <c r="R5905" t="s">
        <v>616</v>
      </c>
      <c r="S5905">
        <v>144.42741899999999</v>
      </c>
      <c r="T5905" s="1095">
        <v>-38.181607999999997</v>
      </c>
    </row>
    <row r="5906" spans="16:20">
      <c r="P5906" s="1094">
        <v>3221</v>
      </c>
      <c r="Q5906" t="s">
        <v>6827</v>
      </c>
      <c r="R5906" t="s">
        <v>616</v>
      </c>
      <c r="S5906">
        <v>144.42741899999999</v>
      </c>
      <c r="T5906" s="1095">
        <v>-38.181607999999997</v>
      </c>
    </row>
    <row r="5907" spans="16:20">
      <c r="P5907" s="1094">
        <v>3221</v>
      </c>
      <c r="Q5907" t="s">
        <v>6828</v>
      </c>
      <c r="R5907" t="s">
        <v>616</v>
      </c>
      <c r="S5907">
        <v>144.42741899999999</v>
      </c>
      <c r="T5907" s="1095">
        <v>-38.181607999999997</v>
      </c>
    </row>
    <row r="5908" spans="16:20">
      <c r="P5908" s="1094">
        <v>3221</v>
      </c>
      <c r="Q5908" t="s">
        <v>6829</v>
      </c>
      <c r="R5908" t="s">
        <v>616</v>
      </c>
      <c r="S5908">
        <v>144.42741899999999</v>
      </c>
      <c r="T5908" s="1095">
        <v>-38.181607999999997</v>
      </c>
    </row>
    <row r="5909" spans="16:20">
      <c r="P5909" s="1094">
        <v>3221</v>
      </c>
      <c r="Q5909" t="s">
        <v>6830</v>
      </c>
      <c r="R5909" t="s">
        <v>616</v>
      </c>
      <c r="S5909">
        <v>144.42741899999999</v>
      </c>
      <c r="T5909" s="1095">
        <v>-38.181607999999997</v>
      </c>
    </row>
    <row r="5910" spans="16:20">
      <c r="P5910" s="1094">
        <v>3221</v>
      </c>
      <c r="Q5910" t="s">
        <v>6831</v>
      </c>
      <c r="R5910" t="s">
        <v>616</v>
      </c>
      <c r="S5910">
        <v>144.42741899999999</v>
      </c>
      <c r="T5910" s="1095">
        <v>-38.181607999999997</v>
      </c>
    </row>
    <row r="5911" spans="16:20">
      <c r="P5911" s="1094">
        <v>3221</v>
      </c>
      <c r="Q5911" t="s">
        <v>6832</v>
      </c>
      <c r="R5911" t="s">
        <v>616</v>
      </c>
      <c r="S5911">
        <v>144.42741899999999</v>
      </c>
      <c r="T5911" s="1095">
        <v>-38.181607999999997</v>
      </c>
    </row>
    <row r="5912" spans="16:20">
      <c r="P5912" s="1094">
        <v>3221</v>
      </c>
      <c r="Q5912" t="s">
        <v>6833</v>
      </c>
      <c r="R5912" t="s">
        <v>616</v>
      </c>
      <c r="S5912">
        <v>144.42741899999999</v>
      </c>
      <c r="T5912" s="1095">
        <v>-38.181607999999997</v>
      </c>
    </row>
    <row r="5913" spans="16:20">
      <c r="P5913" s="1094">
        <v>3221</v>
      </c>
      <c r="Q5913" t="s">
        <v>6834</v>
      </c>
      <c r="R5913" t="s">
        <v>616</v>
      </c>
      <c r="S5913">
        <v>144.42741899999999</v>
      </c>
      <c r="T5913" s="1095">
        <v>-38.181607999999997</v>
      </c>
    </row>
    <row r="5914" spans="16:20">
      <c r="P5914" s="1094">
        <v>3221</v>
      </c>
      <c r="Q5914" t="s">
        <v>6835</v>
      </c>
      <c r="R5914" t="s">
        <v>616</v>
      </c>
      <c r="S5914">
        <v>144.42741899999999</v>
      </c>
      <c r="T5914" s="1095">
        <v>-38.181607999999997</v>
      </c>
    </row>
    <row r="5915" spans="16:20">
      <c r="P5915" s="1094">
        <v>3221</v>
      </c>
      <c r="Q5915" t="s">
        <v>6836</v>
      </c>
      <c r="R5915" t="s">
        <v>616</v>
      </c>
      <c r="S5915">
        <v>144.42741899999999</v>
      </c>
      <c r="T5915" s="1095">
        <v>-38.181607999999997</v>
      </c>
    </row>
    <row r="5916" spans="16:20">
      <c r="P5916" s="1094">
        <v>3221</v>
      </c>
      <c r="Q5916" t="s">
        <v>6837</v>
      </c>
      <c r="R5916" t="s">
        <v>616</v>
      </c>
      <c r="S5916">
        <v>144.42741899999999</v>
      </c>
      <c r="T5916" s="1095">
        <v>-38.181607999999997</v>
      </c>
    </row>
    <row r="5917" spans="16:20">
      <c r="P5917" s="1094">
        <v>3221</v>
      </c>
      <c r="Q5917" t="s">
        <v>6838</v>
      </c>
      <c r="R5917" t="s">
        <v>616</v>
      </c>
      <c r="S5917">
        <v>144.42741899999999</v>
      </c>
      <c r="T5917" s="1095">
        <v>-38.181607999999997</v>
      </c>
    </row>
    <row r="5918" spans="16:20">
      <c r="P5918" s="1094">
        <v>3221</v>
      </c>
      <c r="Q5918" t="s">
        <v>6839</v>
      </c>
      <c r="R5918" t="s">
        <v>616</v>
      </c>
      <c r="S5918">
        <v>144.42741899999999</v>
      </c>
      <c r="T5918" s="1095">
        <v>-38.181607999999997</v>
      </c>
    </row>
    <row r="5919" spans="16:20">
      <c r="P5919" s="1094">
        <v>3221</v>
      </c>
      <c r="Q5919" t="s">
        <v>6840</v>
      </c>
      <c r="R5919" t="s">
        <v>616</v>
      </c>
      <c r="S5919">
        <v>144.42741899999999</v>
      </c>
      <c r="T5919" s="1095">
        <v>-38.181607999999997</v>
      </c>
    </row>
    <row r="5920" spans="16:20">
      <c r="P5920" s="1094">
        <v>3221</v>
      </c>
      <c r="Q5920" t="s">
        <v>6841</v>
      </c>
      <c r="R5920" t="s">
        <v>616</v>
      </c>
      <c r="S5920">
        <v>144.42741899999999</v>
      </c>
      <c r="T5920" s="1095">
        <v>-38.181607999999997</v>
      </c>
    </row>
    <row r="5921" spans="16:20">
      <c r="P5921" s="1094">
        <v>3221</v>
      </c>
      <c r="Q5921" t="s">
        <v>6842</v>
      </c>
      <c r="R5921" t="s">
        <v>616</v>
      </c>
      <c r="S5921">
        <v>144.42741899999999</v>
      </c>
      <c r="T5921" s="1095">
        <v>-38.181607999999997</v>
      </c>
    </row>
    <row r="5922" spans="16:20">
      <c r="P5922" s="1094">
        <v>3221</v>
      </c>
      <c r="Q5922" t="s">
        <v>6843</v>
      </c>
      <c r="R5922" t="s">
        <v>616</v>
      </c>
      <c r="S5922">
        <v>144.42741899999999</v>
      </c>
      <c r="T5922" s="1095">
        <v>-38.181607999999997</v>
      </c>
    </row>
    <row r="5923" spans="16:20">
      <c r="P5923" s="1094">
        <v>3221</v>
      </c>
      <c r="Q5923" t="s">
        <v>6844</v>
      </c>
      <c r="R5923" t="s">
        <v>616</v>
      </c>
      <c r="S5923">
        <v>144.42741899999999</v>
      </c>
      <c r="T5923" s="1095">
        <v>-38.181607999999997</v>
      </c>
    </row>
    <row r="5924" spans="16:20">
      <c r="P5924" s="1094">
        <v>3222</v>
      </c>
      <c r="Q5924" t="s">
        <v>6845</v>
      </c>
      <c r="R5924" t="s">
        <v>616</v>
      </c>
      <c r="S5924">
        <v>144.57298900000001</v>
      </c>
      <c r="T5924" s="1095">
        <v>-38.209921000000001</v>
      </c>
    </row>
    <row r="5925" spans="16:20">
      <c r="P5925" s="1094">
        <v>3222</v>
      </c>
      <c r="Q5925" t="s">
        <v>3149</v>
      </c>
      <c r="R5925" t="s">
        <v>616</v>
      </c>
      <c r="S5925">
        <v>144.57298900000001</v>
      </c>
      <c r="T5925" s="1095">
        <v>-38.209921000000001</v>
      </c>
    </row>
    <row r="5926" spans="16:20">
      <c r="P5926" s="1094">
        <v>3222</v>
      </c>
      <c r="Q5926" t="s">
        <v>6846</v>
      </c>
      <c r="R5926" t="s">
        <v>616</v>
      </c>
      <c r="S5926">
        <v>144.57298900000001</v>
      </c>
      <c r="T5926" s="1095">
        <v>-38.209921000000001</v>
      </c>
    </row>
    <row r="5927" spans="16:20">
      <c r="P5927" s="1094">
        <v>3222</v>
      </c>
      <c r="Q5927" t="s">
        <v>6847</v>
      </c>
      <c r="R5927" t="s">
        <v>616</v>
      </c>
      <c r="S5927">
        <v>144.57298900000001</v>
      </c>
      <c r="T5927" s="1095">
        <v>-38.209921000000001</v>
      </c>
    </row>
    <row r="5928" spans="16:20">
      <c r="P5928" s="1094">
        <v>3222</v>
      </c>
      <c r="Q5928" t="s">
        <v>6848</v>
      </c>
      <c r="R5928" t="s">
        <v>616</v>
      </c>
      <c r="S5928">
        <v>144.57298900000001</v>
      </c>
      <c r="T5928" s="1095">
        <v>-38.209921000000001</v>
      </c>
    </row>
    <row r="5929" spans="16:20">
      <c r="P5929" s="1094">
        <v>3223</v>
      </c>
      <c r="Q5929" t="s">
        <v>6849</v>
      </c>
      <c r="R5929" t="s">
        <v>616</v>
      </c>
      <c r="S5929">
        <v>144.668477</v>
      </c>
      <c r="T5929" s="1095">
        <v>-38.147989000000003</v>
      </c>
    </row>
    <row r="5930" spans="16:20">
      <c r="P5930" s="1094">
        <v>3223</v>
      </c>
      <c r="Q5930" t="s">
        <v>6850</v>
      </c>
      <c r="R5930" t="s">
        <v>616</v>
      </c>
      <c r="S5930">
        <v>144.668477</v>
      </c>
      <c r="T5930" s="1095">
        <v>-38.147989000000003</v>
      </c>
    </row>
    <row r="5931" spans="16:20">
      <c r="P5931" s="1094">
        <v>3223</v>
      </c>
      <c r="Q5931" t="s">
        <v>1682</v>
      </c>
      <c r="R5931" t="s">
        <v>616</v>
      </c>
      <c r="S5931">
        <v>144.668477</v>
      </c>
      <c r="T5931" s="1095">
        <v>-38.147989000000003</v>
      </c>
    </row>
    <row r="5932" spans="16:20">
      <c r="P5932" s="1094">
        <v>3224</v>
      </c>
      <c r="Q5932" t="s">
        <v>6851</v>
      </c>
      <c r="R5932" t="s">
        <v>616</v>
      </c>
      <c r="S5932">
        <v>144.462401</v>
      </c>
      <c r="T5932" s="1095">
        <v>-38.202905000000001</v>
      </c>
    </row>
    <row r="5933" spans="16:20">
      <c r="P5933" s="1094">
        <v>3225</v>
      </c>
      <c r="Q5933" t="s">
        <v>6852</v>
      </c>
      <c r="R5933" t="s">
        <v>616</v>
      </c>
      <c r="S5933">
        <v>144.61419100000001</v>
      </c>
      <c r="T5933" s="1095">
        <v>-38.271073999999999</v>
      </c>
    </row>
    <row r="5934" spans="16:20">
      <c r="P5934" s="1094">
        <v>3225</v>
      </c>
      <c r="Q5934" t="s">
        <v>1914</v>
      </c>
      <c r="R5934" t="s">
        <v>616</v>
      </c>
      <c r="S5934">
        <v>144.61419100000001</v>
      </c>
      <c r="T5934" s="1095">
        <v>-38.271073999999999</v>
      </c>
    </row>
    <row r="5935" spans="16:20">
      <c r="P5935" s="1094">
        <v>3225</v>
      </c>
      <c r="Q5935" t="s">
        <v>2677</v>
      </c>
      <c r="R5935" t="s">
        <v>616</v>
      </c>
      <c r="S5935">
        <v>144.61419100000001</v>
      </c>
      <c r="T5935" s="1095">
        <v>-38.271073999999999</v>
      </c>
    </row>
    <row r="5936" spans="16:20">
      <c r="P5936" s="1094">
        <v>3225</v>
      </c>
      <c r="Q5936" t="s">
        <v>6853</v>
      </c>
      <c r="R5936" t="s">
        <v>616</v>
      </c>
      <c r="S5936">
        <v>144.61419100000001</v>
      </c>
      <c r="T5936" s="1095">
        <v>-38.271073999999999</v>
      </c>
    </row>
    <row r="5937" spans="16:20">
      <c r="P5937" s="1094">
        <v>3226</v>
      </c>
      <c r="Q5937" t="s">
        <v>6854</v>
      </c>
      <c r="R5937" t="s">
        <v>616</v>
      </c>
      <c r="S5937">
        <v>144.52376100000001</v>
      </c>
      <c r="T5937" s="1095">
        <v>-38.263810999999997</v>
      </c>
    </row>
    <row r="5938" spans="16:20">
      <c r="P5938" s="1094">
        <v>3227</v>
      </c>
      <c r="Q5938" t="s">
        <v>6855</v>
      </c>
      <c r="R5938" t="s">
        <v>616</v>
      </c>
      <c r="S5938">
        <v>144.40814</v>
      </c>
      <c r="T5938" s="1095">
        <v>-38.263052000000002</v>
      </c>
    </row>
    <row r="5939" spans="16:20">
      <c r="P5939" s="1094">
        <v>3227</v>
      </c>
      <c r="Q5939" t="s">
        <v>6856</v>
      </c>
      <c r="R5939" t="s">
        <v>616</v>
      </c>
      <c r="S5939">
        <v>144.40814</v>
      </c>
      <c r="T5939" s="1095">
        <v>-38.263052000000002</v>
      </c>
    </row>
    <row r="5940" spans="16:20">
      <c r="P5940" s="1094">
        <v>3227</v>
      </c>
      <c r="Q5940" t="s">
        <v>6857</v>
      </c>
      <c r="R5940" t="s">
        <v>616</v>
      </c>
      <c r="S5940">
        <v>144.40814</v>
      </c>
      <c r="T5940" s="1095">
        <v>-38.263052000000002</v>
      </c>
    </row>
    <row r="5941" spans="16:20">
      <c r="P5941" s="1094">
        <v>3228</v>
      </c>
      <c r="Q5941" t="s">
        <v>6858</v>
      </c>
      <c r="R5941" t="s">
        <v>616</v>
      </c>
      <c r="S5941">
        <v>144.29997800000001</v>
      </c>
      <c r="T5941" s="1095">
        <v>-38.307544999999998</v>
      </c>
    </row>
    <row r="5942" spans="16:20">
      <c r="P5942" s="1094">
        <v>3228</v>
      </c>
      <c r="Q5942" t="s">
        <v>6859</v>
      </c>
      <c r="R5942" t="s">
        <v>616</v>
      </c>
      <c r="S5942">
        <v>144.29997800000001</v>
      </c>
      <c r="T5942" s="1095">
        <v>-38.307544999999998</v>
      </c>
    </row>
    <row r="5943" spans="16:20">
      <c r="P5943" s="1094">
        <v>3228</v>
      </c>
      <c r="Q5943" t="s">
        <v>6860</v>
      </c>
      <c r="R5943" t="s">
        <v>616</v>
      </c>
      <c r="S5943">
        <v>144.29997800000001</v>
      </c>
      <c r="T5943" s="1095">
        <v>-38.307544999999998</v>
      </c>
    </row>
    <row r="5944" spans="16:20">
      <c r="P5944" s="1094">
        <v>3228</v>
      </c>
      <c r="Q5944" t="s">
        <v>6861</v>
      </c>
      <c r="R5944" t="s">
        <v>616</v>
      </c>
      <c r="S5944">
        <v>144.29997800000001</v>
      </c>
      <c r="T5944" s="1095">
        <v>-38.307544999999998</v>
      </c>
    </row>
    <row r="5945" spans="16:20">
      <c r="P5945" s="1094">
        <v>3230</v>
      </c>
      <c r="Q5945" t="s">
        <v>6862</v>
      </c>
      <c r="R5945" t="s">
        <v>616</v>
      </c>
      <c r="S5945">
        <v>144.17639700000001</v>
      </c>
      <c r="T5945" s="1095">
        <v>-38.409362999999999</v>
      </c>
    </row>
    <row r="5946" spans="16:20">
      <c r="P5946" s="1094">
        <v>3231</v>
      </c>
      <c r="Q5946" t="s">
        <v>6863</v>
      </c>
      <c r="R5946" t="s">
        <v>616</v>
      </c>
      <c r="S5946">
        <v>0</v>
      </c>
      <c r="T5946" s="1095">
        <v>0</v>
      </c>
    </row>
    <row r="5947" spans="16:20">
      <c r="P5947" s="1094">
        <v>3231</v>
      </c>
      <c r="Q5947" t="s">
        <v>6864</v>
      </c>
      <c r="R5947" t="s">
        <v>616</v>
      </c>
      <c r="S5947">
        <v>0</v>
      </c>
      <c r="T5947" s="1095">
        <v>0</v>
      </c>
    </row>
    <row r="5948" spans="16:20">
      <c r="P5948" s="1094">
        <v>3231</v>
      </c>
      <c r="Q5948" t="s">
        <v>6865</v>
      </c>
      <c r="R5948" t="s">
        <v>616</v>
      </c>
      <c r="S5948">
        <v>0</v>
      </c>
      <c r="T5948" s="1095">
        <v>0</v>
      </c>
    </row>
    <row r="5949" spans="16:20">
      <c r="P5949" s="1094">
        <v>3231</v>
      </c>
      <c r="Q5949" t="s">
        <v>6866</v>
      </c>
      <c r="R5949" t="s">
        <v>616</v>
      </c>
      <c r="S5949">
        <v>0</v>
      </c>
      <c r="T5949" s="1095">
        <v>0</v>
      </c>
    </row>
    <row r="5950" spans="16:20">
      <c r="P5950" s="1094">
        <v>3232</v>
      </c>
      <c r="Q5950" t="s">
        <v>4637</v>
      </c>
      <c r="R5950" t="s">
        <v>616</v>
      </c>
      <c r="S5950">
        <v>143.970167</v>
      </c>
      <c r="T5950" s="1095">
        <v>-38.544977000000003</v>
      </c>
    </row>
    <row r="5951" spans="16:20">
      <c r="P5951" s="1094">
        <v>3232</v>
      </c>
      <c r="Q5951" t="s">
        <v>3439</v>
      </c>
      <c r="R5951" t="s">
        <v>616</v>
      </c>
      <c r="S5951">
        <v>143.970167</v>
      </c>
      <c r="T5951" s="1095">
        <v>-38.544977000000003</v>
      </c>
    </row>
    <row r="5952" spans="16:20">
      <c r="P5952" s="1094">
        <v>3233</v>
      </c>
      <c r="Q5952" t="s">
        <v>6867</v>
      </c>
      <c r="R5952" t="s">
        <v>616</v>
      </c>
      <c r="S5952">
        <v>143.67177699999999</v>
      </c>
      <c r="T5952" s="1095">
        <v>-38.679417000000001</v>
      </c>
    </row>
    <row r="5953" spans="16:20">
      <c r="P5953" s="1094">
        <v>3233</v>
      </c>
      <c r="Q5953" t="s">
        <v>6868</v>
      </c>
      <c r="R5953" t="s">
        <v>616</v>
      </c>
      <c r="S5953">
        <v>143.67177699999999</v>
      </c>
      <c r="T5953" s="1095">
        <v>-38.679417000000001</v>
      </c>
    </row>
    <row r="5954" spans="16:20">
      <c r="P5954" s="1094">
        <v>3233</v>
      </c>
      <c r="Q5954" t="s">
        <v>6869</v>
      </c>
      <c r="R5954" t="s">
        <v>616</v>
      </c>
      <c r="S5954">
        <v>143.67177699999999</v>
      </c>
      <c r="T5954" s="1095">
        <v>-38.679417000000001</v>
      </c>
    </row>
    <row r="5955" spans="16:20">
      <c r="P5955" s="1094">
        <v>3233</v>
      </c>
      <c r="Q5955" t="s">
        <v>6870</v>
      </c>
      <c r="R5955" t="s">
        <v>616</v>
      </c>
      <c r="S5955">
        <v>143.67177699999999</v>
      </c>
      <c r="T5955" s="1095">
        <v>-38.679417000000001</v>
      </c>
    </row>
    <row r="5956" spans="16:20">
      <c r="P5956" s="1094">
        <v>3233</v>
      </c>
      <c r="Q5956" t="s">
        <v>6871</v>
      </c>
      <c r="R5956" t="s">
        <v>616</v>
      </c>
      <c r="S5956">
        <v>143.67177699999999</v>
      </c>
      <c r="T5956" s="1095">
        <v>-38.679417000000001</v>
      </c>
    </row>
    <row r="5957" spans="16:20">
      <c r="P5957" s="1094">
        <v>3233</v>
      </c>
      <c r="Q5957" t="s">
        <v>6872</v>
      </c>
      <c r="R5957" t="s">
        <v>616</v>
      </c>
      <c r="S5957">
        <v>143.67177699999999</v>
      </c>
      <c r="T5957" s="1095">
        <v>-38.679417000000001</v>
      </c>
    </row>
    <row r="5958" spans="16:20">
      <c r="P5958" s="1094">
        <v>3235</v>
      </c>
      <c r="Q5958" t="s">
        <v>6873</v>
      </c>
      <c r="R5958" t="s">
        <v>616</v>
      </c>
      <c r="S5958">
        <v>143.92428799999999</v>
      </c>
      <c r="T5958" s="1095">
        <v>-38.411963999999998</v>
      </c>
    </row>
    <row r="5959" spans="16:20">
      <c r="P5959" s="1094">
        <v>3235</v>
      </c>
      <c r="Q5959" t="s">
        <v>6874</v>
      </c>
      <c r="R5959" t="s">
        <v>616</v>
      </c>
      <c r="S5959">
        <v>143.92428799999999</v>
      </c>
      <c r="T5959" s="1095">
        <v>-38.411963999999998</v>
      </c>
    </row>
    <row r="5960" spans="16:20">
      <c r="P5960" s="1094">
        <v>3235</v>
      </c>
      <c r="Q5960" t="s">
        <v>6875</v>
      </c>
      <c r="R5960" t="s">
        <v>616</v>
      </c>
      <c r="S5960">
        <v>143.92428799999999</v>
      </c>
      <c r="T5960" s="1095">
        <v>-38.411963999999998</v>
      </c>
    </row>
    <row r="5961" spans="16:20">
      <c r="P5961" s="1094">
        <v>3236</v>
      </c>
      <c r="Q5961" t="s">
        <v>4807</v>
      </c>
      <c r="R5961" t="s">
        <v>616</v>
      </c>
      <c r="S5961">
        <v>143.71238399999999</v>
      </c>
      <c r="T5961" s="1095">
        <v>-38.521903000000002</v>
      </c>
    </row>
    <row r="5962" spans="16:20">
      <c r="P5962" s="1094">
        <v>3236</v>
      </c>
      <c r="Q5962" t="s">
        <v>6876</v>
      </c>
      <c r="R5962" t="s">
        <v>616</v>
      </c>
      <c r="S5962">
        <v>143.71238399999999</v>
      </c>
      <c r="T5962" s="1095">
        <v>-38.521903000000002</v>
      </c>
    </row>
    <row r="5963" spans="16:20">
      <c r="P5963" s="1094">
        <v>3237</v>
      </c>
      <c r="Q5963" t="s">
        <v>6877</v>
      </c>
      <c r="R5963" t="s">
        <v>616</v>
      </c>
      <c r="S5963">
        <v>143.47439199999999</v>
      </c>
      <c r="T5963" s="1095">
        <v>-38.716838000000003</v>
      </c>
    </row>
    <row r="5964" spans="16:20">
      <c r="P5964" s="1094">
        <v>3237</v>
      </c>
      <c r="Q5964" t="s">
        <v>6878</v>
      </c>
      <c r="R5964" t="s">
        <v>616</v>
      </c>
      <c r="S5964">
        <v>143.47439199999999</v>
      </c>
      <c r="T5964" s="1095">
        <v>-38.716838000000003</v>
      </c>
    </row>
    <row r="5965" spans="16:20">
      <c r="P5965" s="1094">
        <v>3237</v>
      </c>
      <c r="Q5965" t="s">
        <v>6879</v>
      </c>
      <c r="R5965" t="s">
        <v>616</v>
      </c>
      <c r="S5965">
        <v>143.47439199999999</v>
      </c>
      <c r="T5965" s="1095">
        <v>-38.716838000000003</v>
      </c>
    </row>
    <row r="5966" spans="16:20">
      <c r="P5966" s="1094">
        <v>3237</v>
      </c>
      <c r="Q5966" t="s">
        <v>6880</v>
      </c>
      <c r="R5966" t="s">
        <v>616</v>
      </c>
      <c r="S5966">
        <v>143.47439199999999</v>
      </c>
      <c r="T5966" s="1095">
        <v>-38.716838000000003</v>
      </c>
    </row>
    <row r="5967" spans="16:20">
      <c r="P5967" s="1094">
        <v>3237</v>
      </c>
      <c r="Q5967" t="s">
        <v>6881</v>
      </c>
      <c r="R5967" t="s">
        <v>616</v>
      </c>
      <c r="S5967">
        <v>143.47439199999999</v>
      </c>
      <c r="T5967" s="1095">
        <v>-38.716838000000003</v>
      </c>
    </row>
    <row r="5968" spans="16:20">
      <c r="P5968" s="1094">
        <v>3237</v>
      </c>
      <c r="Q5968" t="s">
        <v>6882</v>
      </c>
      <c r="R5968" t="s">
        <v>616</v>
      </c>
      <c r="S5968">
        <v>143.47439199999999</v>
      </c>
      <c r="T5968" s="1095">
        <v>-38.716838000000003</v>
      </c>
    </row>
    <row r="5969" spans="16:20">
      <c r="P5969" s="1094">
        <v>3237</v>
      </c>
      <c r="Q5969" t="s">
        <v>6883</v>
      </c>
      <c r="R5969" t="s">
        <v>616</v>
      </c>
      <c r="S5969">
        <v>143.47439199999999</v>
      </c>
      <c r="T5969" s="1095">
        <v>-38.716838000000003</v>
      </c>
    </row>
    <row r="5970" spans="16:20">
      <c r="P5970" s="1094">
        <v>3237</v>
      </c>
      <c r="Q5970" t="s">
        <v>6884</v>
      </c>
      <c r="R5970" t="s">
        <v>616</v>
      </c>
      <c r="S5970">
        <v>143.47439199999999</v>
      </c>
      <c r="T5970" s="1095">
        <v>-38.716838000000003</v>
      </c>
    </row>
    <row r="5971" spans="16:20">
      <c r="P5971" s="1094">
        <v>3238</v>
      </c>
      <c r="Q5971" t="s">
        <v>6885</v>
      </c>
      <c r="R5971" t="s">
        <v>616</v>
      </c>
      <c r="S5971">
        <v>0</v>
      </c>
      <c r="T5971" s="1095">
        <v>0</v>
      </c>
    </row>
    <row r="5972" spans="16:20">
      <c r="P5972" s="1094">
        <v>3238</v>
      </c>
      <c r="Q5972" t="s">
        <v>6886</v>
      </c>
      <c r="R5972" t="s">
        <v>616</v>
      </c>
      <c r="S5972">
        <v>0</v>
      </c>
      <c r="T5972" s="1095">
        <v>0</v>
      </c>
    </row>
    <row r="5973" spans="16:20">
      <c r="P5973" s="1094">
        <v>3238</v>
      </c>
      <c r="Q5973" t="s">
        <v>6887</v>
      </c>
      <c r="R5973" t="s">
        <v>616</v>
      </c>
      <c r="S5973">
        <v>0</v>
      </c>
      <c r="T5973" s="1095">
        <v>0</v>
      </c>
    </row>
    <row r="5974" spans="16:20">
      <c r="P5974" s="1094">
        <v>3238</v>
      </c>
      <c r="Q5974" t="s">
        <v>6888</v>
      </c>
      <c r="R5974" t="s">
        <v>616</v>
      </c>
      <c r="S5974">
        <v>0</v>
      </c>
      <c r="T5974" s="1095">
        <v>0</v>
      </c>
    </row>
    <row r="5975" spans="16:20">
      <c r="P5975" s="1094">
        <v>3239</v>
      </c>
      <c r="Q5975" t="s">
        <v>6889</v>
      </c>
      <c r="R5975" t="s">
        <v>616</v>
      </c>
      <c r="S5975">
        <v>143.44810200000001</v>
      </c>
      <c r="T5975" s="1095">
        <v>-38.564014</v>
      </c>
    </row>
    <row r="5976" spans="16:20">
      <c r="P5976" s="1094">
        <v>3239</v>
      </c>
      <c r="Q5976" t="s">
        <v>6890</v>
      </c>
      <c r="R5976" t="s">
        <v>616</v>
      </c>
      <c r="S5976">
        <v>143.44810200000001</v>
      </c>
      <c r="T5976" s="1095">
        <v>-38.564014</v>
      </c>
    </row>
    <row r="5977" spans="16:20">
      <c r="P5977" s="1094">
        <v>3239</v>
      </c>
      <c r="Q5977" t="s">
        <v>6891</v>
      </c>
      <c r="R5977" t="s">
        <v>616</v>
      </c>
      <c r="S5977">
        <v>143.44810200000001</v>
      </c>
      <c r="T5977" s="1095">
        <v>-38.564014</v>
      </c>
    </row>
    <row r="5978" spans="16:20">
      <c r="P5978" s="1094">
        <v>3239</v>
      </c>
      <c r="Q5978" t="s">
        <v>6892</v>
      </c>
      <c r="R5978" t="s">
        <v>616</v>
      </c>
      <c r="S5978">
        <v>143.44810200000001</v>
      </c>
      <c r="T5978" s="1095">
        <v>-38.564014</v>
      </c>
    </row>
    <row r="5979" spans="16:20">
      <c r="P5979" s="1094">
        <v>3240</v>
      </c>
      <c r="Q5979" t="s">
        <v>6893</v>
      </c>
      <c r="R5979" t="s">
        <v>616</v>
      </c>
      <c r="S5979">
        <v>144.17441099999999</v>
      </c>
      <c r="T5979" s="1095">
        <v>-38.263005</v>
      </c>
    </row>
    <row r="5980" spans="16:20">
      <c r="P5980" s="1094">
        <v>3240</v>
      </c>
      <c r="Q5980" t="s">
        <v>6894</v>
      </c>
      <c r="R5980" t="s">
        <v>616</v>
      </c>
      <c r="S5980">
        <v>144.17441099999999</v>
      </c>
      <c r="T5980" s="1095">
        <v>-38.263005</v>
      </c>
    </row>
    <row r="5981" spans="16:20">
      <c r="P5981" s="1094">
        <v>3240</v>
      </c>
      <c r="Q5981" t="s">
        <v>6895</v>
      </c>
      <c r="R5981" t="s">
        <v>616</v>
      </c>
      <c r="S5981">
        <v>144.17441099999999</v>
      </c>
      <c r="T5981" s="1095">
        <v>-38.263005</v>
      </c>
    </row>
    <row r="5982" spans="16:20">
      <c r="P5982" s="1094">
        <v>3240</v>
      </c>
      <c r="Q5982" t="s">
        <v>6896</v>
      </c>
      <c r="R5982" t="s">
        <v>616</v>
      </c>
      <c r="S5982">
        <v>144.17441099999999</v>
      </c>
      <c r="T5982" s="1095">
        <v>-38.263005</v>
      </c>
    </row>
    <row r="5983" spans="16:20">
      <c r="P5983" s="1094">
        <v>3240</v>
      </c>
      <c r="Q5983" t="s">
        <v>6897</v>
      </c>
      <c r="R5983" t="s">
        <v>616</v>
      </c>
      <c r="S5983">
        <v>144.17441099999999</v>
      </c>
      <c r="T5983" s="1095">
        <v>-38.263005</v>
      </c>
    </row>
    <row r="5984" spans="16:20">
      <c r="P5984" s="1094">
        <v>3240</v>
      </c>
      <c r="Q5984" t="s">
        <v>6898</v>
      </c>
      <c r="R5984" t="s">
        <v>616</v>
      </c>
      <c r="S5984">
        <v>144.17441099999999</v>
      </c>
      <c r="T5984" s="1095">
        <v>-38.263005</v>
      </c>
    </row>
    <row r="5985" spans="16:20">
      <c r="P5985" s="1094">
        <v>3241</v>
      </c>
      <c r="Q5985" t="s">
        <v>6899</v>
      </c>
      <c r="R5985" t="s">
        <v>616</v>
      </c>
      <c r="S5985">
        <v>143.89282399999999</v>
      </c>
      <c r="T5985" s="1095">
        <v>-38.203629999999997</v>
      </c>
    </row>
    <row r="5986" spans="16:20">
      <c r="P5986" s="1094">
        <v>3241</v>
      </c>
      <c r="Q5986" t="s">
        <v>6900</v>
      </c>
      <c r="R5986" t="s">
        <v>616</v>
      </c>
      <c r="S5986">
        <v>143.89282399999999</v>
      </c>
      <c r="T5986" s="1095">
        <v>-38.203629999999997</v>
      </c>
    </row>
    <row r="5987" spans="16:20">
      <c r="P5987" s="1094">
        <v>3241</v>
      </c>
      <c r="Q5987" t="s">
        <v>6901</v>
      </c>
      <c r="R5987" t="s">
        <v>616</v>
      </c>
      <c r="S5987">
        <v>143.89282399999999</v>
      </c>
      <c r="T5987" s="1095">
        <v>-38.203629999999997</v>
      </c>
    </row>
    <row r="5988" spans="16:20">
      <c r="P5988" s="1094">
        <v>3241</v>
      </c>
      <c r="Q5988" t="s">
        <v>6902</v>
      </c>
      <c r="R5988" t="s">
        <v>616</v>
      </c>
      <c r="S5988">
        <v>143.89282399999999</v>
      </c>
      <c r="T5988" s="1095">
        <v>-38.203629999999997</v>
      </c>
    </row>
    <row r="5989" spans="16:20">
      <c r="P5989" s="1094">
        <v>3241</v>
      </c>
      <c r="Q5989" t="s">
        <v>6903</v>
      </c>
      <c r="R5989" t="s">
        <v>616</v>
      </c>
      <c r="S5989">
        <v>143.89282399999999</v>
      </c>
      <c r="T5989" s="1095">
        <v>-38.203629999999997</v>
      </c>
    </row>
    <row r="5990" spans="16:20">
      <c r="P5990" s="1094">
        <v>3241</v>
      </c>
      <c r="Q5990" t="s">
        <v>6904</v>
      </c>
      <c r="R5990" t="s">
        <v>616</v>
      </c>
      <c r="S5990">
        <v>143.89282399999999</v>
      </c>
      <c r="T5990" s="1095">
        <v>-38.203629999999997</v>
      </c>
    </row>
    <row r="5991" spans="16:20">
      <c r="P5991" s="1094">
        <v>3242</v>
      </c>
      <c r="Q5991" t="s">
        <v>6905</v>
      </c>
      <c r="R5991" t="s">
        <v>616</v>
      </c>
      <c r="S5991">
        <v>143.74032600000001</v>
      </c>
      <c r="T5991" s="1095">
        <v>-38.346704000000003</v>
      </c>
    </row>
    <row r="5992" spans="16:20">
      <c r="P5992" s="1094">
        <v>3243</v>
      </c>
      <c r="Q5992" t="s">
        <v>6906</v>
      </c>
      <c r="R5992" t="s">
        <v>616</v>
      </c>
      <c r="S5992">
        <v>143.82588000000001</v>
      </c>
      <c r="T5992" s="1095">
        <v>-38.364033999999997</v>
      </c>
    </row>
    <row r="5993" spans="16:20">
      <c r="P5993" s="1094">
        <v>3243</v>
      </c>
      <c r="Q5993" t="s">
        <v>6907</v>
      </c>
      <c r="R5993" t="s">
        <v>616</v>
      </c>
      <c r="S5993">
        <v>143.82588000000001</v>
      </c>
      <c r="T5993" s="1095">
        <v>-38.364033999999997</v>
      </c>
    </row>
    <row r="5994" spans="16:20">
      <c r="P5994" s="1094">
        <v>3243</v>
      </c>
      <c r="Q5994" t="s">
        <v>6908</v>
      </c>
      <c r="R5994" t="s">
        <v>616</v>
      </c>
      <c r="S5994">
        <v>143.82588000000001</v>
      </c>
      <c r="T5994" s="1095">
        <v>-38.364033999999997</v>
      </c>
    </row>
    <row r="5995" spans="16:20">
      <c r="P5995" s="1094">
        <v>3243</v>
      </c>
      <c r="Q5995" t="s">
        <v>6909</v>
      </c>
      <c r="R5995" t="s">
        <v>616</v>
      </c>
      <c r="S5995">
        <v>143.82588000000001</v>
      </c>
      <c r="T5995" s="1095">
        <v>-38.364033999999997</v>
      </c>
    </row>
    <row r="5996" spans="16:20">
      <c r="P5996" s="1094">
        <v>3243</v>
      </c>
      <c r="Q5996" t="s">
        <v>6910</v>
      </c>
      <c r="R5996" t="s">
        <v>616</v>
      </c>
      <c r="S5996">
        <v>143.82588000000001</v>
      </c>
      <c r="T5996" s="1095">
        <v>-38.364033999999997</v>
      </c>
    </row>
    <row r="5997" spans="16:20">
      <c r="P5997" s="1094">
        <v>3249</v>
      </c>
      <c r="Q5997" t="s">
        <v>6911</v>
      </c>
      <c r="R5997" t="s">
        <v>616</v>
      </c>
      <c r="S5997">
        <v>143.55715900000001</v>
      </c>
      <c r="T5997" s="1095">
        <v>-38.388291000000002</v>
      </c>
    </row>
    <row r="5998" spans="16:20">
      <c r="P5998" s="1094">
        <v>3249</v>
      </c>
      <c r="Q5998" t="s">
        <v>6912</v>
      </c>
      <c r="R5998" t="s">
        <v>616</v>
      </c>
      <c r="S5998">
        <v>143.55715900000001</v>
      </c>
      <c r="T5998" s="1095">
        <v>-38.388291000000002</v>
      </c>
    </row>
    <row r="5999" spans="16:20">
      <c r="P5999" s="1094">
        <v>3249</v>
      </c>
      <c r="Q5999" t="s">
        <v>6913</v>
      </c>
      <c r="R5999" t="s">
        <v>616</v>
      </c>
      <c r="S5999">
        <v>143.55715900000001</v>
      </c>
      <c r="T5999" s="1095">
        <v>-38.388291000000002</v>
      </c>
    </row>
    <row r="6000" spans="16:20">
      <c r="P6000" s="1094">
        <v>3249</v>
      </c>
      <c r="Q6000" t="s">
        <v>6914</v>
      </c>
      <c r="R6000" t="s">
        <v>616</v>
      </c>
      <c r="S6000">
        <v>143.55715900000001</v>
      </c>
      <c r="T6000" s="1095">
        <v>-38.388291000000002</v>
      </c>
    </row>
    <row r="6001" spans="16:20">
      <c r="P6001" s="1094">
        <v>3249</v>
      </c>
      <c r="Q6001" t="s">
        <v>6915</v>
      </c>
      <c r="R6001" t="s">
        <v>616</v>
      </c>
      <c r="S6001">
        <v>143.55715900000001</v>
      </c>
      <c r="T6001" s="1095">
        <v>-38.388291000000002</v>
      </c>
    </row>
    <row r="6002" spans="16:20">
      <c r="P6002" s="1094">
        <v>3249</v>
      </c>
      <c r="Q6002" t="s">
        <v>6916</v>
      </c>
      <c r="R6002" t="s">
        <v>616</v>
      </c>
      <c r="S6002">
        <v>143.55715900000001</v>
      </c>
      <c r="T6002" s="1095">
        <v>-38.388291000000002</v>
      </c>
    </row>
    <row r="6003" spans="16:20">
      <c r="P6003" s="1094">
        <v>3249</v>
      </c>
      <c r="Q6003" t="s">
        <v>6917</v>
      </c>
      <c r="R6003" t="s">
        <v>616</v>
      </c>
      <c r="S6003">
        <v>143.55715900000001</v>
      </c>
      <c r="T6003" s="1095">
        <v>-38.388291000000002</v>
      </c>
    </row>
    <row r="6004" spans="16:20">
      <c r="P6004" s="1094">
        <v>3249</v>
      </c>
      <c r="Q6004" t="s">
        <v>6918</v>
      </c>
      <c r="R6004" t="s">
        <v>616</v>
      </c>
      <c r="S6004">
        <v>143.55715900000001</v>
      </c>
      <c r="T6004" s="1095">
        <v>-38.388291000000002</v>
      </c>
    </row>
    <row r="6005" spans="16:20">
      <c r="P6005" s="1094">
        <v>3249</v>
      </c>
      <c r="Q6005" t="s">
        <v>6919</v>
      </c>
      <c r="R6005" t="s">
        <v>616</v>
      </c>
      <c r="S6005">
        <v>143.55715900000001</v>
      </c>
      <c r="T6005" s="1095">
        <v>-38.388291000000002</v>
      </c>
    </row>
    <row r="6006" spans="16:20">
      <c r="P6006" s="1094">
        <v>3249</v>
      </c>
      <c r="Q6006" t="s">
        <v>6920</v>
      </c>
      <c r="R6006" t="s">
        <v>616</v>
      </c>
      <c r="S6006">
        <v>143.55715900000001</v>
      </c>
      <c r="T6006" s="1095">
        <v>-38.388291000000002</v>
      </c>
    </row>
    <row r="6007" spans="16:20">
      <c r="P6007" s="1094">
        <v>3249</v>
      </c>
      <c r="Q6007" t="s">
        <v>6921</v>
      </c>
      <c r="R6007" t="s">
        <v>616</v>
      </c>
      <c r="S6007">
        <v>143.55715900000001</v>
      </c>
      <c r="T6007" s="1095">
        <v>-38.388291000000002</v>
      </c>
    </row>
    <row r="6008" spans="16:20">
      <c r="P6008" s="1094">
        <v>3249</v>
      </c>
      <c r="Q6008" t="s">
        <v>6922</v>
      </c>
      <c r="R6008" t="s">
        <v>616</v>
      </c>
      <c r="S6008">
        <v>143.55715900000001</v>
      </c>
      <c r="T6008" s="1095">
        <v>-38.388291000000002</v>
      </c>
    </row>
    <row r="6009" spans="16:20">
      <c r="P6009" s="1094">
        <v>3249</v>
      </c>
      <c r="Q6009" t="s">
        <v>6923</v>
      </c>
      <c r="R6009" t="s">
        <v>616</v>
      </c>
      <c r="S6009">
        <v>143.55715900000001</v>
      </c>
      <c r="T6009" s="1095">
        <v>-38.388291000000002</v>
      </c>
    </row>
    <row r="6010" spans="16:20">
      <c r="P6010" s="1094">
        <v>3249</v>
      </c>
      <c r="Q6010" t="s">
        <v>6924</v>
      </c>
      <c r="R6010" t="s">
        <v>616</v>
      </c>
      <c r="S6010">
        <v>143.55715900000001</v>
      </c>
      <c r="T6010" s="1095">
        <v>-38.388291000000002</v>
      </c>
    </row>
    <row r="6011" spans="16:20">
      <c r="P6011" s="1094">
        <v>3249</v>
      </c>
      <c r="Q6011" t="s">
        <v>6925</v>
      </c>
      <c r="R6011" t="s">
        <v>616</v>
      </c>
      <c r="S6011">
        <v>143.55715900000001</v>
      </c>
      <c r="T6011" s="1095">
        <v>-38.388291000000002</v>
      </c>
    </row>
    <row r="6012" spans="16:20">
      <c r="P6012" s="1094">
        <v>3249</v>
      </c>
      <c r="Q6012" t="s">
        <v>6926</v>
      </c>
      <c r="R6012" t="s">
        <v>616</v>
      </c>
      <c r="S6012">
        <v>143.55715900000001</v>
      </c>
      <c r="T6012" s="1095">
        <v>-38.388291000000002</v>
      </c>
    </row>
    <row r="6013" spans="16:20">
      <c r="P6013" s="1094">
        <v>3249</v>
      </c>
      <c r="Q6013" t="s">
        <v>6927</v>
      </c>
      <c r="R6013" t="s">
        <v>616</v>
      </c>
      <c r="S6013">
        <v>143.55715900000001</v>
      </c>
      <c r="T6013" s="1095">
        <v>-38.388291000000002</v>
      </c>
    </row>
    <row r="6014" spans="16:20">
      <c r="P6014" s="1094">
        <v>3249</v>
      </c>
      <c r="Q6014" t="s">
        <v>6928</v>
      </c>
      <c r="R6014" t="s">
        <v>616</v>
      </c>
      <c r="S6014">
        <v>143.55715900000001</v>
      </c>
      <c r="T6014" s="1095">
        <v>-38.388291000000002</v>
      </c>
    </row>
    <row r="6015" spans="16:20">
      <c r="P6015" s="1094">
        <v>3249</v>
      </c>
      <c r="Q6015" t="s">
        <v>6929</v>
      </c>
      <c r="R6015" t="s">
        <v>616</v>
      </c>
      <c r="S6015">
        <v>143.55715900000001</v>
      </c>
      <c r="T6015" s="1095">
        <v>-38.388291000000002</v>
      </c>
    </row>
    <row r="6016" spans="16:20">
      <c r="P6016" s="1094">
        <v>3249</v>
      </c>
      <c r="Q6016" t="s">
        <v>6930</v>
      </c>
      <c r="R6016" t="s">
        <v>616</v>
      </c>
      <c r="S6016">
        <v>143.55715900000001</v>
      </c>
      <c r="T6016" s="1095">
        <v>-38.388291000000002</v>
      </c>
    </row>
    <row r="6017" spans="16:20">
      <c r="P6017" s="1094">
        <v>3249</v>
      </c>
      <c r="Q6017" t="s">
        <v>6931</v>
      </c>
      <c r="R6017" t="s">
        <v>616</v>
      </c>
      <c r="S6017">
        <v>143.55715900000001</v>
      </c>
      <c r="T6017" s="1095">
        <v>-38.388291000000002</v>
      </c>
    </row>
    <row r="6018" spans="16:20">
      <c r="P6018" s="1094">
        <v>3249</v>
      </c>
      <c r="Q6018" t="s">
        <v>6932</v>
      </c>
      <c r="R6018" t="s">
        <v>616</v>
      </c>
      <c r="S6018">
        <v>143.55715900000001</v>
      </c>
      <c r="T6018" s="1095">
        <v>-38.388291000000002</v>
      </c>
    </row>
    <row r="6019" spans="16:20">
      <c r="P6019" s="1094">
        <v>3249</v>
      </c>
      <c r="Q6019" t="s">
        <v>6933</v>
      </c>
      <c r="R6019" t="s">
        <v>616</v>
      </c>
      <c r="S6019">
        <v>143.55715900000001</v>
      </c>
      <c r="T6019" s="1095">
        <v>-38.388291000000002</v>
      </c>
    </row>
    <row r="6020" spans="16:20">
      <c r="P6020" s="1094">
        <v>3249</v>
      </c>
      <c r="Q6020" t="s">
        <v>6934</v>
      </c>
      <c r="R6020" t="s">
        <v>616</v>
      </c>
      <c r="S6020">
        <v>143.55715900000001</v>
      </c>
      <c r="T6020" s="1095">
        <v>-38.388291000000002</v>
      </c>
    </row>
    <row r="6021" spans="16:20">
      <c r="P6021" s="1094">
        <v>3250</v>
      </c>
      <c r="Q6021" t="s">
        <v>6935</v>
      </c>
      <c r="R6021" t="s">
        <v>616</v>
      </c>
      <c r="S6021">
        <v>143.58474200000001</v>
      </c>
      <c r="T6021" s="1095">
        <v>-38.311512999999998</v>
      </c>
    </row>
    <row r="6022" spans="16:20">
      <c r="P6022" s="1094">
        <v>3250</v>
      </c>
      <c r="Q6022" t="s">
        <v>6936</v>
      </c>
      <c r="R6022" t="s">
        <v>616</v>
      </c>
      <c r="S6022">
        <v>143.58474200000001</v>
      </c>
      <c r="T6022" s="1095">
        <v>-38.311512999999998</v>
      </c>
    </row>
    <row r="6023" spans="16:20">
      <c r="P6023" s="1094">
        <v>3250</v>
      </c>
      <c r="Q6023" t="s">
        <v>6937</v>
      </c>
      <c r="R6023" t="s">
        <v>616</v>
      </c>
      <c r="S6023">
        <v>143.58474200000001</v>
      </c>
      <c r="T6023" s="1095">
        <v>-38.311512999999998</v>
      </c>
    </row>
    <row r="6024" spans="16:20">
      <c r="P6024" s="1094">
        <v>3250</v>
      </c>
      <c r="Q6024" t="s">
        <v>6938</v>
      </c>
      <c r="R6024" t="s">
        <v>616</v>
      </c>
      <c r="S6024">
        <v>143.58474200000001</v>
      </c>
      <c r="T6024" s="1095">
        <v>-38.311512999999998</v>
      </c>
    </row>
    <row r="6025" spans="16:20">
      <c r="P6025" s="1094">
        <v>3251</v>
      </c>
      <c r="Q6025" t="s">
        <v>6939</v>
      </c>
      <c r="R6025" t="s">
        <v>616</v>
      </c>
      <c r="S6025">
        <v>143.64847900000001</v>
      </c>
      <c r="T6025" s="1095">
        <v>-38.155186</v>
      </c>
    </row>
    <row r="6026" spans="16:20">
      <c r="P6026" s="1094">
        <v>3251</v>
      </c>
      <c r="Q6026" t="s">
        <v>6940</v>
      </c>
      <c r="R6026" t="s">
        <v>616</v>
      </c>
      <c r="S6026">
        <v>143.64847900000001</v>
      </c>
      <c r="T6026" s="1095">
        <v>-38.155186</v>
      </c>
    </row>
    <row r="6027" spans="16:20">
      <c r="P6027" s="1094">
        <v>3251</v>
      </c>
      <c r="Q6027" t="s">
        <v>6941</v>
      </c>
      <c r="R6027" t="s">
        <v>616</v>
      </c>
      <c r="S6027">
        <v>143.64847900000001</v>
      </c>
      <c r="T6027" s="1095">
        <v>-38.155186</v>
      </c>
    </row>
    <row r="6028" spans="16:20">
      <c r="P6028" s="1094">
        <v>3251</v>
      </c>
      <c r="Q6028" t="s">
        <v>6942</v>
      </c>
      <c r="R6028" t="s">
        <v>616</v>
      </c>
      <c r="S6028">
        <v>143.64847900000001</v>
      </c>
      <c r="T6028" s="1095">
        <v>-38.155186</v>
      </c>
    </row>
    <row r="6029" spans="16:20">
      <c r="P6029" s="1094">
        <v>3254</v>
      </c>
      <c r="Q6029" t="s">
        <v>6943</v>
      </c>
      <c r="R6029" t="s">
        <v>616</v>
      </c>
      <c r="S6029">
        <v>143.52227999999999</v>
      </c>
      <c r="T6029" s="1095">
        <v>-38.289636000000002</v>
      </c>
    </row>
    <row r="6030" spans="16:20">
      <c r="P6030" s="1094">
        <v>3260</v>
      </c>
      <c r="Q6030" t="s">
        <v>6944</v>
      </c>
      <c r="R6030" t="s">
        <v>616</v>
      </c>
      <c r="S6030">
        <v>143.244766</v>
      </c>
      <c r="T6030" s="1095">
        <v>-38.209584</v>
      </c>
    </row>
    <row r="6031" spans="16:20">
      <c r="P6031" s="1094">
        <v>3260</v>
      </c>
      <c r="Q6031" t="s">
        <v>6945</v>
      </c>
      <c r="R6031" t="s">
        <v>616</v>
      </c>
      <c r="S6031">
        <v>143.244766</v>
      </c>
      <c r="T6031" s="1095">
        <v>-38.209584</v>
      </c>
    </row>
    <row r="6032" spans="16:20">
      <c r="P6032" s="1094">
        <v>3260</v>
      </c>
      <c r="Q6032" t="s">
        <v>6946</v>
      </c>
      <c r="R6032" t="s">
        <v>616</v>
      </c>
      <c r="S6032">
        <v>143.244766</v>
      </c>
      <c r="T6032" s="1095">
        <v>-38.209584</v>
      </c>
    </row>
    <row r="6033" spans="16:20">
      <c r="P6033" s="1094">
        <v>3260</v>
      </c>
      <c r="Q6033" t="s">
        <v>1662</v>
      </c>
      <c r="R6033" t="s">
        <v>616</v>
      </c>
      <c r="S6033">
        <v>143.244766</v>
      </c>
      <c r="T6033" s="1095">
        <v>-38.209584</v>
      </c>
    </row>
    <row r="6034" spans="16:20">
      <c r="P6034" s="1094">
        <v>3260</v>
      </c>
      <c r="Q6034" t="s">
        <v>6947</v>
      </c>
      <c r="R6034" t="s">
        <v>616</v>
      </c>
      <c r="S6034">
        <v>143.244766</v>
      </c>
      <c r="T6034" s="1095">
        <v>-38.209584</v>
      </c>
    </row>
    <row r="6035" spans="16:20">
      <c r="P6035" s="1094">
        <v>3260</v>
      </c>
      <c r="Q6035" t="s">
        <v>6948</v>
      </c>
      <c r="R6035" t="s">
        <v>616</v>
      </c>
      <c r="S6035">
        <v>143.244766</v>
      </c>
      <c r="T6035" s="1095">
        <v>-38.209584</v>
      </c>
    </row>
    <row r="6036" spans="16:20">
      <c r="P6036" s="1094">
        <v>3260</v>
      </c>
      <c r="Q6036" t="s">
        <v>6949</v>
      </c>
      <c r="R6036" t="s">
        <v>616</v>
      </c>
      <c r="S6036">
        <v>143.244766</v>
      </c>
      <c r="T6036" s="1095">
        <v>-38.209584</v>
      </c>
    </row>
    <row r="6037" spans="16:20">
      <c r="P6037" s="1094">
        <v>3260</v>
      </c>
      <c r="Q6037" t="s">
        <v>6950</v>
      </c>
      <c r="R6037" t="s">
        <v>616</v>
      </c>
      <c r="S6037">
        <v>143.244766</v>
      </c>
      <c r="T6037" s="1095">
        <v>-38.209584</v>
      </c>
    </row>
    <row r="6038" spans="16:20">
      <c r="P6038" s="1094">
        <v>3260</v>
      </c>
      <c r="Q6038" t="s">
        <v>6951</v>
      </c>
      <c r="R6038" t="s">
        <v>616</v>
      </c>
      <c r="S6038">
        <v>143.244766</v>
      </c>
      <c r="T6038" s="1095">
        <v>-38.209584</v>
      </c>
    </row>
    <row r="6039" spans="16:20">
      <c r="P6039" s="1094">
        <v>3260</v>
      </c>
      <c r="Q6039" t="s">
        <v>6952</v>
      </c>
      <c r="R6039" t="s">
        <v>616</v>
      </c>
      <c r="S6039">
        <v>143.244766</v>
      </c>
      <c r="T6039" s="1095">
        <v>-38.209584</v>
      </c>
    </row>
    <row r="6040" spans="16:20">
      <c r="P6040" s="1094">
        <v>3260</v>
      </c>
      <c r="Q6040" t="s">
        <v>6953</v>
      </c>
      <c r="R6040" t="s">
        <v>616</v>
      </c>
      <c r="S6040">
        <v>143.244766</v>
      </c>
      <c r="T6040" s="1095">
        <v>-38.209584</v>
      </c>
    </row>
    <row r="6041" spans="16:20">
      <c r="P6041" s="1094">
        <v>3260</v>
      </c>
      <c r="Q6041" t="s">
        <v>6954</v>
      </c>
      <c r="R6041" t="s">
        <v>616</v>
      </c>
      <c r="S6041">
        <v>143.244766</v>
      </c>
      <c r="T6041" s="1095">
        <v>-38.209584</v>
      </c>
    </row>
    <row r="6042" spans="16:20">
      <c r="P6042" s="1094">
        <v>3260</v>
      </c>
      <c r="Q6042" t="s">
        <v>6955</v>
      </c>
      <c r="R6042" t="s">
        <v>616</v>
      </c>
      <c r="S6042">
        <v>143.244766</v>
      </c>
      <c r="T6042" s="1095">
        <v>-38.209584</v>
      </c>
    </row>
    <row r="6043" spans="16:20">
      <c r="P6043" s="1094">
        <v>3260</v>
      </c>
      <c r="Q6043" t="s">
        <v>6956</v>
      </c>
      <c r="R6043" t="s">
        <v>616</v>
      </c>
      <c r="S6043">
        <v>143.244766</v>
      </c>
      <c r="T6043" s="1095">
        <v>-38.209584</v>
      </c>
    </row>
    <row r="6044" spans="16:20">
      <c r="P6044" s="1094">
        <v>3260</v>
      </c>
      <c r="Q6044" t="s">
        <v>6957</v>
      </c>
      <c r="R6044" t="s">
        <v>616</v>
      </c>
      <c r="S6044">
        <v>143.244766</v>
      </c>
      <c r="T6044" s="1095">
        <v>-38.209584</v>
      </c>
    </row>
    <row r="6045" spans="16:20">
      <c r="P6045" s="1094">
        <v>3260</v>
      </c>
      <c r="Q6045" t="s">
        <v>6958</v>
      </c>
      <c r="R6045" t="s">
        <v>616</v>
      </c>
      <c r="S6045">
        <v>143.244766</v>
      </c>
      <c r="T6045" s="1095">
        <v>-38.209584</v>
      </c>
    </row>
    <row r="6046" spans="16:20">
      <c r="P6046" s="1094">
        <v>3260</v>
      </c>
      <c r="Q6046" t="s">
        <v>6959</v>
      </c>
      <c r="R6046" t="s">
        <v>616</v>
      </c>
      <c r="S6046">
        <v>143.244766</v>
      </c>
      <c r="T6046" s="1095">
        <v>-38.209584</v>
      </c>
    </row>
    <row r="6047" spans="16:20">
      <c r="P6047" s="1094">
        <v>3260</v>
      </c>
      <c r="Q6047" t="s">
        <v>6960</v>
      </c>
      <c r="R6047" t="s">
        <v>616</v>
      </c>
      <c r="S6047">
        <v>143.244766</v>
      </c>
      <c r="T6047" s="1095">
        <v>-38.209584</v>
      </c>
    </row>
    <row r="6048" spans="16:20">
      <c r="P6048" s="1094">
        <v>3264</v>
      </c>
      <c r="Q6048" t="s">
        <v>6961</v>
      </c>
      <c r="R6048" t="s">
        <v>616</v>
      </c>
      <c r="S6048">
        <v>142.88439399999999</v>
      </c>
      <c r="T6048" s="1095">
        <v>-38.232443000000004</v>
      </c>
    </row>
    <row r="6049" spans="16:20">
      <c r="P6049" s="1094">
        <v>3265</v>
      </c>
      <c r="Q6049" t="s">
        <v>6962</v>
      </c>
      <c r="R6049" t="s">
        <v>616</v>
      </c>
      <c r="S6049">
        <v>142.952372</v>
      </c>
      <c r="T6049" s="1095">
        <v>-38.178237000000003</v>
      </c>
    </row>
    <row r="6050" spans="16:20">
      <c r="P6050" s="1094">
        <v>3265</v>
      </c>
      <c r="Q6050" t="s">
        <v>6963</v>
      </c>
      <c r="R6050" t="s">
        <v>616</v>
      </c>
      <c r="S6050">
        <v>142.952372</v>
      </c>
      <c r="T6050" s="1095">
        <v>-38.178237000000003</v>
      </c>
    </row>
    <row r="6051" spans="16:20">
      <c r="P6051" s="1094">
        <v>3265</v>
      </c>
      <c r="Q6051" t="s">
        <v>6964</v>
      </c>
      <c r="R6051" t="s">
        <v>616</v>
      </c>
      <c r="S6051">
        <v>142.952372</v>
      </c>
      <c r="T6051" s="1095">
        <v>-38.178237000000003</v>
      </c>
    </row>
    <row r="6052" spans="16:20">
      <c r="P6052" s="1094">
        <v>3265</v>
      </c>
      <c r="Q6052" t="s">
        <v>6965</v>
      </c>
      <c r="R6052" t="s">
        <v>616</v>
      </c>
      <c r="S6052">
        <v>142.952372</v>
      </c>
      <c r="T6052" s="1095">
        <v>-38.178237000000003</v>
      </c>
    </row>
    <row r="6053" spans="16:20">
      <c r="P6053" s="1094">
        <v>3265</v>
      </c>
      <c r="Q6053" t="s">
        <v>5493</v>
      </c>
      <c r="R6053" t="s">
        <v>616</v>
      </c>
      <c r="S6053">
        <v>142.952372</v>
      </c>
      <c r="T6053" s="1095">
        <v>-38.178237000000003</v>
      </c>
    </row>
    <row r="6054" spans="16:20">
      <c r="P6054" s="1094">
        <v>3265</v>
      </c>
      <c r="Q6054" t="s">
        <v>6966</v>
      </c>
      <c r="R6054" t="s">
        <v>616</v>
      </c>
      <c r="S6054">
        <v>142.952372</v>
      </c>
      <c r="T6054" s="1095">
        <v>-38.178237000000003</v>
      </c>
    </row>
    <row r="6055" spans="16:20">
      <c r="P6055" s="1094">
        <v>3265</v>
      </c>
      <c r="Q6055" t="s">
        <v>6967</v>
      </c>
      <c r="R6055" t="s">
        <v>616</v>
      </c>
      <c r="S6055">
        <v>142.952372</v>
      </c>
      <c r="T6055" s="1095">
        <v>-38.178237000000003</v>
      </c>
    </row>
    <row r="6056" spans="16:20">
      <c r="P6056" s="1094">
        <v>3265</v>
      </c>
      <c r="Q6056" t="s">
        <v>6968</v>
      </c>
      <c r="R6056" t="s">
        <v>616</v>
      </c>
      <c r="S6056">
        <v>142.952372</v>
      </c>
      <c r="T6056" s="1095">
        <v>-38.178237000000003</v>
      </c>
    </row>
    <row r="6057" spans="16:20">
      <c r="P6057" s="1094">
        <v>3265</v>
      </c>
      <c r="Q6057" t="s">
        <v>6969</v>
      </c>
      <c r="R6057" t="s">
        <v>616</v>
      </c>
      <c r="S6057">
        <v>142.952372</v>
      </c>
      <c r="T6057" s="1095">
        <v>-38.178237000000003</v>
      </c>
    </row>
    <row r="6058" spans="16:20">
      <c r="P6058" s="1094">
        <v>3265</v>
      </c>
      <c r="Q6058" t="s">
        <v>6970</v>
      </c>
      <c r="R6058" t="s">
        <v>616</v>
      </c>
      <c r="S6058">
        <v>142.952372</v>
      </c>
      <c r="T6058" s="1095">
        <v>-38.178237000000003</v>
      </c>
    </row>
    <row r="6059" spans="16:20">
      <c r="P6059" s="1094">
        <v>3265</v>
      </c>
      <c r="Q6059" t="s">
        <v>6971</v>
      </c>
      <c r="R6059" t="s">
        <v>616</v>
      </c>
      <c r="S6059">
        <v>142.952372</v>
      </c>
      <c r="T6059" s="1095">
        <v>-38.178237000000003</v>
      </c>
    </row>
    <row r="6060" spans="16:20">
      <c r="P6060" s="1094">
        <v>3265</v>
      </c>
      <c r="Q6060" t="s">
        <v>6972</v>
      </c>
      <c r="R6060" t="s">
        <v>616</v>
      </c>
      <c r="S6060">
        <v>142.952372</v>
      </c>
      <c r="T6060" s="1095">
        <v>-38.178237000000003</v>
      </c>
    </row>
    <row r="6061" spans="16:20">
      <c r="P6061" s="1094">
        <v>3265</v>
      </c>
      <c r="Q6061" t="s">
        <v>6973</v>
      </c>
      <c r="R6061" t="s">
        <v>616</v>
      </c>
      <c r="S6061">
        <v>142.952372</v>
      </c>
      <c r="T6061" s="1095">
        <v>-38.178237000000003</v>
      </c>
    </row>
    <row r="6062" spans="16:20">
      <c r="P6062" s="1094">
        <v>3265</v>
      </c>
      <c r="Q6062" t="s">
        <v>6974</v>
      </c>
      <c r="R6062" t="s">
        <v>616</v>
      </c>
      <c r="S6062">
        <v>142.952372</v>
      </c>
      <c r="T6062" s="1095">
        <v>-38.178237000000003</v>
      </c>
    </row>
    <row r="6063" spans="16:20">
      <c r="P6063" s="1094">
        <v>3265</v>
      </c>
      <c r="Q6063" t="s">
        <v>6975</v>
      </c>
      <c r="R6063" t="s">
        <v>616</v>
      </c>
      <c r="S6063">
        <v>142.952372</v>
      </c>
      <c r="T6063" s="1095">
        <v>-38.178237000000003</v>
      </c>
    </row>
    <row r="6064" spans="16:20">
      <c r="P6064" s="1094">
        <v>3265</v>
      </c>
      <c r="Q6064" t="s">
        <v>6976</v>
      </c>
      <c r="R6064" t="s">
        <v>616</v>
      </c>
      <c r="S6064">
        <v>142.952372</v>
      </c>
      <c r="T6064" s="1095">
        <v>-38.178237000000003</v>
      </c>
    </row>
    <row r="6065" spans="16:20">
      <c r="P6065" s="1094">
        <v>3265</v>
      </c>
      <c r="Q6065" t="s">
        <v>6977</v>
      </c>
      <c r="R6065" t="s">
        <v>616</v>
      </c>
      <c r="S6065">
        <v>142.952372</v>
      </c>
      <c r="T6065" s="1095">
        <v>-38.178237000000003</v>
      </c>
    </row>
    <row r="6066" spans="16:20">
      <c r="P6066" s="1094">
        <v>3266</v>
      </c>
      <c r="Q6066" t="s">
        <v>6978</v>
      </c>
      <c r="R6066" t="s">
        <v>616</v>
      </c>
      <c r="S6066">
        <v>143.13372100000001</v>
      </c>
      <c r="T6066" s="1095">
        <v>-38.407094000000001</v>
      </c>
    </row>
    <row r="6067" spans="16:20">
      <c r="P6067" s="1094">
        <v>3266</v>
      </c>
      <c r="Q6067" t="s">
        <v>6979</v>
      </c>
      <c r="R6067" t="s">
        <v>616</v>
      </c>
      <c r="S6067">
        <v>143.13372100000001</v>
      </c>
      <c r="T6067" s="1095">
        <v>-38.407094000000001</v>
      </c>
    </row>
    <row r="6068" spans="16:20">
      <c r="P6068" s="1094">
        <v>3266</v>
      </c>
      <c r="Q6068" t="s">
        <v>6980</v>
      </c>
      <c r="R6068" t="s">
        <v>616</v>
      </c>
      <c r="S6068">
        <v>143.13372100000001</v>
      </c>
      <c r="T6068" s="1095">
        <v>-38.407094000000001</v>
      </c>
    </row>
    <row r="6069" spans="16:20">
      <c r="P6069" s="1094">
        <v>3266</v>
      </c>
      <c r="Q6069" t="s">
        <v>6981</v>
      </c>
      <c r="R6069" t="s">
        <v>616</v>
      </c>
      <c r="S6069">
        <v>143.13372100000001</v>
      </c>
      <c r="T6069" s="1095">
        <v>-38.407094000000001</v>
      </c>
    </row>
    <row r="6070" spans="16:20">
      <c r="P6070" s="1094">
        <v>3266</v>
      </c>
      <c r="Q6070" t="s">
        <v>6982</v>
      </c>
      <c r="R6070" t="s">
        <v>616</v>
      </c>
      <c r="S6070">
        <v>143.13372100000001</v>
      </c>
      <c r="T6070" s="1095">
        <v>-38.407094000000001</v>
      </c>
    </row>
    <row r="6071" spans="16:20">
      <c r="P6071" s="1094">
        <v>3266</v>
      </c>
      <c r="Q6071" t="s">
        <v>6983</v>
      </c>
      <c r="R6071" t="s">
        <v>616</v>
      </c>
      <c r="S6071">
        <v>143.13372100000001</v>
      </c>
      <c r="T6071" s="1095">
        <v>-38.407094000000001</v>
      </c>
    </row>
    <row r="6072" spans="16:20">
      <c r="P6072" s="1094">
        <v>3266</v>
      </c>
      <c r="Q6072" t="s">
        <v>6984</v>
      </c>
      <c r="R6072" t="s">
        <v>616</v>
      </c>
      <c r="S6072">
        <v>143.13372100000001</v>
      </c>
      <c r="T6072" s="1095">
        <v>-38.407094000000001</v>
      </c>
    </row>
    <row r="6073" spans="16:20">
      <c r="P6073" s="1094">
        <v>3266</v>
      </c>
      <c r="Q6073" t="s">
        <v>6985</v>
      </c>
      <c r="R6073" t="s">
        <v>616</v>
      </c>
      <c r="S6073">
        <v>143.13372100000001</v>
      </c>
      <c r="T6073" s="1095">
        <v>-38.407094000000001</v>
      </c>
    </row>
    <row r="6074" spans="16:20">
      <c r="P6074" s="1094">
        <v>3266</v>
      </c>
      <c r="Q6074" t="s">
        <v>6986</v>
      </c>
      <c r="R6074" t="s">
        <v>616</v>
      </c>
      <c r="S6074">
        <v>143.13372100000001</v>
      </c>
      <c r="T6074" s="1095">
        <v>-38.407094000000001</v>
      </c>
    </row>
    <row r="6075" spans="16:20">
      <c r="P6075" s="1094">
        <v>3266</v>
      </c>
      <c r="Q6075" t="s">
        <v>6987</v>
      </c>
      <c r="R6075" t="s">
        <v>616</v>
      </c>
      <c r="S6075">
        <v>143.13372100000001</v>
      </c>
      <c r="T6075" s="1095">
        <v>-38.407094000000001</v>
      </c>
    </row>
    <row r="6076" spans="16:20">
      <c r="P6076" s="1094">
        <v>3267</v>
      </c>
      <c r="Q6076" t="s">
        <v>2857</v>
      </c>
      <c r="R6076" t="s">
        <v>616</v>
      </c>
      <c r="S6076">
        <v>143.06073000000001</v>
      </c>
      <c r="T6076" s="1095">
        <v>-38.466647000000002</v>
      </c>
    </row>
    <row r="6077" spans="16:20">
      <c r="P6077" s="1094">
        <v>3268</v>
      </c>
      <c r="Q6077" t="s">
        <v>6988</v>
      </c>
      <c r="R6077" t="s">
        <v>616</v>
      </c>
      <c r="S6077">
        <v>142.90891099999999</v>
      </c>
      <c r="T6077" s="1095">
        <v>-38.535801999999997</v>
      </c>
    </row>
    <row r="6078" spans="16:20">
      <c r="P6078" s="1094">
        <v>3268</v>
      </c>
      <c r="Q6078" t="s">
        <v>6989</v>
      </c>
      <c r="R6078" t="s">
        <v>616</v>
      </c>
      <c r="S6078">
        <v>142.90891099999999</v>
      </c>
      <c r="T6078" s="1095">
        <v>-38.535801999999997</v>
      </c>
    </row>
    <row r="6079" spans="16:20">
      <c r="P6079" s="1094">
        <v>3268</v>
      </c>
      <c r="Q6079" t="s">
        <v>6990</v>
      </c>
      <c r="R6079" t="s">
        <v>616</v>
      </c>
      <c r="S6079">
        <v>142.90891099999999</v>
      </c>
      <c r="T6079" s="1095">
        <v>-38.535801999999997</v>
      </c>
    </row>
    <row r="6080" spans="16:20">
      <c r="P6080" s="1094">
        <v>3268</v>
      </c>
      <c r="Q6080" t="s">
        <v>6991</v>
      </c>
      <c r="R6080" t="s">
        <v>616</v>
      </c>
      <c r="S6080">
        <v>142.90891099999999</v>
      </c>
      <c r="T6080" s="1095">
        <v>-38.535801999999997</v>
      </c>
    </row>
    <row r="6081" spans="16:20">
      <c r="P6081" s="1094">
        <v>3268</v>
      </c>
      <c r="Q6081" t="s">
        <v>6992</v>
      </c>
      <c r="R6081" t="s">
        <v>616</v>
      </c>
      <c r="S6081">
        <v>142.90891099999999</v>
      </c>
      <c r="T6081" s="1095">
        <v>-38.535801999999997</v>
      </c>
    </row>
    <row r="6082" spans="16:20">
      <c r="P6082" s="1094">
        <v>3268</v>
      </c>
      <c r="Q6082" t="s">
        <v>6993</v>
      </c>
      <c r="R6082" t="s">
        <v>616</v>
      </c>
      <c r="S6082">
        <v>142.90891099999999</v>
      </c>
      <c r="T6082" s="1095">
        <v>-38.535801999999997</v>
      </c>
    </row>
    <row r="6083" spans="16:20">
      <c r="P6083" s="1094">
        <v>3268</v>
      </c>
      <c r="Q6083" t="s">
        <v>6994</v>
      </c>
      <c r="R6083" t="s">
        <v>616</v>
      </c>
      <c r="S6083">
        <v>142.90891099999999</v>
      </c>
      <c r="T6083" s="1095">
        <v>-38.535801999999997</v>
      </c>
    </row>
    <row r="6084" spans="16:20">
      <c r="P6084" s="1094">
        <v>3268</v>
      </c>
      <c r="Q6084" t="s">
        <v>6995</v>
      </c>
      <c r="R6084" t="s">
        <v>616</v>
      </c>
      <c r="S6084">
        <v>142.90891099999999</v>
      </c>
      <c r="T6084" s="1095">
        <v>-38.535801999999997</v>
      </c>
    </row>
    <row r="6085" spans="16:20">
      <c r="P6085" s="1094">
        <v>3268</v>
      </c>
      <c r="Q6085" t="s">
        <v>6996</v>
      </c>
      <c r="R6085" t="s">
        <v>616</v>
      </c>
      <c r="S6085">
        <v>142.90891099999999</v>
      </c>
      <c r="T6085" s="1095">
        <v>-38.535801999999997</v>
      </c>
    </row>
    <row r="6086" spans="16:20">
      <c r="P6086" s="1094">
        <v>3268</v>
      </c>
      <c r="Q6086" t="s">
        <v>6997</v>
      </c>
      <c r="R6086" t="s">
        <v>616</v>
      </c>
      <c r="S6086">
        <v>142.90891099999999</v>
      </c>
      <c r="T6086" s="1095">
        <v>-38.535801999999997</v>
      </c>
    </row>
    <row r="6087" spans="16:20">
      <c r="P6087" s="1094">
        <v>3268</v>
      </c>
      <c r="Q6087" t="s">
        <v>6998</v>
      </c>
      <c r="R6087" t="s">
        <v>616</v>
      </c>
      <c r="S6087">
        <v>142.90891099999999</v>
      </c>
      <c r="T6087" s="1095">
        <v>-38.535801999999997</v>
      </c>
    </row>
    <row r="6088" spans="16:20">
      <c r="P6088" s="1094">
        <v>3268</v>
      </c>
      <c r="Q6088" t="s">
        <v>6999</v>
      </c>
      <c r="R6088" t="s">
        <v>616</v>
      </c>
      <c r="S6088">
        <v>142.90891099999999</v>
      </c>
      <c r="T6088" s="1095">
        <v>-38.535801999999997</v>
      </c>
    </row>
    <row r="6089" spans="16:20">
      <c r="P6089" s="1094">
        <v>3268</v>
      </c>
      <c r="Q6089" t="s">
        <v>7000</v>
      </c>
      <c r="R6089" t="s">
        <v>616</v>
      </c>
      <c r="S6089">
        <v>142.90891099999999</v>
      </c>
      <c r="T6089" s="1095">
        <v>-38.535801999999997</v>
      </c>
    </row>
    <row r="6090" spans="16:20">
      <c r="P6090" s="1094">
        <v>3268</v>
      </c>
      <c r="Q6090" t="s">
        <v>7001</v>
      </c>
      <c r="R6090" t="s">
        <v>616</v>
      </c>
      <c r="S6090">
        <v>142.90891099999999</v>
      </c>
      <c r="T6090" s="1095">
        <v>-38.535801999999997</v>
      </c>
    </row>
    <row r="6091" spans="16:20">
      <c r="P6091" s="1094">
        <v>3268</v>
      </c>
      <c r="Q6091" t="s">
        <v>7002</v>
      </c>
      <c r="R6091" t="s">
        <v>616</v>
      </c>
      <c r="S6091">
        <v>142.90891099999999</v>
      </c>
      <c r="T6091" s="1095">
        <v>-38.535801999999997</v>
      </c>
    </row>
    <row r="6092" spans="16:20">
      <c r="P6092" s="1094">
        <v>3268</v>
      </c>
      <c r="Q6092" t="s">
        <v>7003</v>
      </c>
      <c r="R6092" t="s">
        <v>616</v>
      </c>
      <c r="S6092">
        <v>142.90891099999999</v>
      </c>
      <c r="T6092" s="1095">
        <v>-38.535801999999997</v>
      </c>
    </row>
    <row r="6093" spans="16:20">
      <c r="P6093" s="1094">
        <v>3268</v>
      </c>
      <c r="Q6093" t="s">
        <v>7004</v>
      </c>
      <c r="R6093" t="s">
        <v>616</v>
      </c>
      <c r="S6093">
        <v>142.90891099999999</v>
      </c>
      <c r="T6093" s="1095">
        <v>-38.535801999999997</v>
      </c>
    </row>
    <row r="6094" spans="16:20">
      <c r="P6094" s="1094">
        <v>3269</v>
      </c>
      <c r="Q6094" t="s">
        <v>7005</v>
      </c>
      <c r="R6094" t="s">
        <v>616</v>
      </c>
      <c r="S6094">
        <v>143.17711600000001</v>
      </c>
      <c r="T6094" s="1095">
        <v>-38.660637000000001</v>
      </c>
    </row>
    <row r="6095" spans="16:20">
      <c r="P6095" s="1094">
        <v>3269</v>
      </c>
      <c r="Q6095" t="s">
        <v>7006</v>
      </c>
      <c r="R6095" t="s">
        <v>616</v>
      </c>
      <c r="S6095">
        <v>143.17711600000001</v>
      </c>
      <c r="T6095" s="1095">
        <v>-38.660637000000001</v>
      </c>
    </row>
    <row r="6096" spans="16:20">
      <c r="P6096" s="1094">
        <v>3269</v>
      </c>
      <c r="Q6096" t="s">
        <v>7007</v>
      </c>
      <c r="R6096" t="s">
        <v>616</v>
      </c>
      <c r="S6096">
        <v>143.17711600000001</v>
      </c>
      <c r="T6096" s="1095">
        <v>-38.660637000000001</v>
      </c>
    </row>
    <row r="6097" spans="16:20">
      <c r="P6097" s="1094">
        <v>3270</v>
      </c>
      <c r="Q6097" t="s">
        <v>7008</v>
      </c>
      <c r="R6097" t="s">
        <v>616</v>
      </c>
      <c r="S6097">
        <v>142.87016399999999</v>
      </c>
      <c r="T6097" s="1095">
        <v>-38.602117</v>
      </c>
    </row>
    <row r="6098" spans="16:20">
      <c r="P6098" s="1094">
        <v>3271</v>
      </c>
      <c r="Q6098" t="s">
        <v>1734</v>
      </c>
      <c r="R6098" t="s">
        <v>616</v>
      </c>
      <c r="S6098">
        <v>142.98752999999999</v>
      </c>
      <c r="T6098" s="1095">
        <v>-37.888548999999998</v>
      </c>
    </row>
    <row r="6099" spans="16:20">
      <c r="P6099" s="1094">
        <v>3271</v>
      </c>
      <c r="Q6099" t="s">
        <v>7009</v>
      </c>
      <c r="R6099" t="s">
        <v>616</v>
      </c>
      <c r="S6099">
        <v>142.98752999999999</v>
      </c>
      <c r="T6099" s="1095">
        <v>-37.888548999999998</v>
      </c>
    </row>
    <row r="6100" spans="16:20">
      <c r="P6100" s="1094">
        <v>3271</v>
      </c>
      <c r="Q6100" t="s">
        <v>7010</v>
      </c>
      <c r="R6100" t="s">
        <v>616</v>
      </c>
      <c r="S6100">
        <v>142.98752999999999</v>
      </c>
      <c r="T6100" s="1095">
        <v>-37.888548999999998</v>
      </c>
    </row>
    <row r="6101" spans="16:20">
      <c r="P6101" s="1094">
        <v>3272</v>
      </c>
      <c r="Q6101" t="s">
        <v>2016</v>
      </c>
      <c r="R6101" t="s">
        <v>616</v>
      </c>
      <c r="S6101">
        <v>142.853634</v>
      </c>
      <c r="T6101" s="1095">
        <v>-37.982185999999999</v>
      </c>
    </row>
    <row r="6102" spans="16:20">
      <c r="P6102" s="1094">
        <v>3272</v>
      </c>
      <c r="Q6102" t="s">
        <v>7011</v>
      </c>
      <c r="R6102" t="s">
        <v>616</v>
      </c>
      <c r="S6102">
        <v>142.853634</v>
      </c>
      <c r="T6102" s="1095">
        <v>-37.982185999999999</v>
      </c>
    </row>
    <row r="6103" spans="16:20">
      <c r="P6103" s="1094">
        <v>3273</v>
      </c>
      <c r="Q6103" t="s">
        <v>2638</v>
      </c>
      <c r="R6103" t="s">
        <v>616</v>
      </c>
      <c r="S6103">
        <v>142.66064299999999</v>
      </c>
      <c r="T6103" s="1095">
        <v>-37.981248999999998</v>
      </c>
    </row>
    <row r="6104" spans="16:20">
      <c r="P6104" s="1094">
        <v>3274</v>
      </c>
      <c r="Q6104" t="s">
        <v>7012</v>
      </c>
      <c r="R6104" t="s">
        <v>616</v>
      </c>
      <c r="S6104">
        <v>142.478612</v>
      </c>
      <c r="T6104" s="1095">
        <v>-37.960777999999998</v>
      </c>
    </row>
    <row r="6105" spans="16:20">
      <c r="P6105" s="1094">
        <v>3275</v>
      </c>
      <c r="Q6105" t="s">
        <v>7013</v>
      </c>
      <c r="R6105" t="s">
        <v>616</v>
      </c>
      <c r="S6105">
        <v>0</v>
      </c>
      <c r="T6105" s="1095">
        <v>0</v>
      </c>
    </row>
    <row r="6106" spans="16:20">
      <c r="P6106" s="1094">
        <v>3275</v>
      </c>
      <c r="Q6106" t="s">
        <v>7014</v>
      </c>
      <c r="R6106" t="s">
        <v>616</v>
      </c>
      <c r="S6106">
        <v>0</v>
      </c>
      <c r="T6106" s="1095">
        <v>0</v>
      </c>
    </row>
    <row r="6107" spans="16:20">
      <c r="P6107" s="1094">
        <v>3276</v>
      </c>
      <c r="Q6107" t="s">
        <v>7015</v>
      </c>
      <c r="R6107" t="s">
        <v>616</v>
      </c>
      <c r="S6107">
        <v>142.40910500000001</v>
      </c>
      <c r="T6107" s="1095">
        <v>-38.180923</v>
      </c>
    </row>
    <row r="6108" spans="16:20">
      <c r="P6108" s="1094">
        <v>3277</v>
      </c>
      <c r="Q6108" t="s">
        <v>7016</v>
      </c>
      <c r="R6108" t="s">
        <v>616</v>
      </c>
      <c r="S6108">
        <v>142.66022100000001</v>
      </c>
      <c r="T6108" s="1095">
        <v>-38.389834999999998</v>
      </c>
    </row>
    <row r="6109" spans="16:20">
      <c r="P6109" s="1094">
        <v>3277</v>
      </c>
      <c r="Q6109" t="s">
        <v>7017</v>
      </c>
      <c r="R6109" t="s">
        <v>616</v>
      </c>
      <c r="S6109">
        <v>142.66022100000001</v>
      </c>
      <c r="T6109" s="1095">
        <v>-38.389834999999998</v>
      </c>
    </row>
    <row r="6110" spans="16:20">
      <c r="P6110" s="1094">
        <v>3277</v>
      </c>
      <c r="Q6110" t="s">
        <v>7018</v>
      </c>
      <c r="R6110" t="s">
        <v>616</v>
      </c>
      <c r="S6110">
        <v>142.66022100000001</v>
      </c>
      <c r="T6110" s="1095">
        <v>-38.389834999999998</v>
      </c>
    </row>
    <row r="6111" spans="16:20">
      <c r="P6111" s="1094">
        <v>3277</v>
      </c>
      <c r="Q6111" t="s">
        <v>7019</v>
      </c>
      <c r="R6111" t="s">
        <v>616</v>
      </c>
      <c r="S6111">
        <v>142.66022100000001</v>
      </c>
      <c r="T6111" s="1095">
        <v>-38.389834999999998</v>
      </c>
    </row>
    <row r="6112" spans="16:20">
      <c r="P6112" s="1094">
        <v>3277</v>
      </c>
      <c r="Q6112" t="s">
        <v>7020</v>
      </c>
      <c r="R6112" t="s">
        <v>616</v>
      </c>
      <c r="S6112">
        <v>142.66022100000001</v>
      </c>
      <c r="T6112" s="1095">
        <v>-38.389834999999998</v>
      </c>
    </row>
    <row r="6113" spans="16:20">
      <c r="P6113" s="1094">
        <v>3277</v>
      </c>
      <c r="Q6113" t="s">
        <v>7021</v>
      </c>
      <c r="R6113" t="s">
        <v>616</v>
      </c>
      <c r="S6113">
        <v>142.66022100000001</v>
      </c>
      <c r="T6113" s="1095">
        <v>-38.389834999999998</v>
      </c>
    </row>
    <row r="6114" spans="16:20">
      <c r="P6114" s="1094">
        <v>3278</v>
      </c>
      <c r="Q6114" t="s">
        <v>7022</v>
      </c>
      <c r="R6114" t="s">
        <v>616</v>
      </c>
      <c r="S6114">
        <v>0</v>
      </c>
      <c r="T6114" s="1095">
        <v>0</v>
      </c>
    </row>
    <row r="6115" spans="16:20">
      <c r="P6115" s="1094">
        <v>3279</v>
      </c>
      <c r="Q6115" t="s">
        <v>7023</v>
      </c>
      <c r="R6115" t="s">
        <v>616</v>
      </c>
      <c r="S6115">
        <v>0</v>
      </c>
      <c r="T6115" s="1095">
        <v>0</v>
      </c>
    </row>
    <row r="6116" spans="16:20">
      <c r="P6116" s="1094">
        <v>3279</v>
      </c>
      <c r="Q6116" t="s">
        <v>7024</v>
      </c>
      <c r="R6116" t="s">
        <v>616</v>
      </c>
      <c r="S6116">
        <v>0</v>
      </c>
      <c r="T6116" s="1095">
        <v>0</v>
      </c>
    </row>
    <row r="6117" spans="16:20">
      <c r="P6117" s="1094">
        <v>3280</v>
      </c>
      <c r="Q6117" t="s">
        <v>7025</v>
      </c>
      <c r="R6117" t="s">
        <v>616</v>
      </c>
      <c r="S6117">
        <v>142.482889</v>
      </c>
      <c r="T6117" s="1095">
        <v>-38.378839999999997</v>
      </c>
    </row>
    <row r="6118" spans="16:20">
      <c r="P6118" s="1094">
        <v>3280</v>
      </c>
      <c r="Q6118" t="s">
        <v>7026</v>
      </c>
      <c r="R6118" t="s">
        <v>616</v>
      </c>
      <c r="S6118">
        <v>142.482889</v>
      </c>
      <c r="T6118" s="1095">
        <v>-38.378839999999997</v>
      </c>
    </row>
    <row r="6119" spans="16:20">
      <c r="P6119" s="1094">
        <v>3280</v>
      </c>
      <c r="Q6119" t="s">
        <v>7027</v>
      </c>
      <c r="R6119" t="s">
        <v>616</v>
      </c>
      <c r="S6119">
        <v>142.482889</v>
      </c>
      <c r="T6119" s="1095">
        <v>-38.378839999999997</v>
      </c>
    </row>
    <row r="6120" spans="16:20">
      <c r="P6120" s="1094">
        <v>3280</v>
      </c>
      <c r="Q6120" t="s">
        <v>7028</v>
      </c>
      <c r="R6120" t="s">
        <v>616</v>
      </c>
      <c r="S6120">
        <v>142.482889</v>
      </c>
      <c r="T6120" s="1095">
        <v>-38.378839999999997</v>
      </c>
    </row>
    <row r="6121" spans="16:20">
      <c r="P6121" s="1094">
        <v>3280</v>
      </c>
      <c r="Q6121" t="s">
        <v>7029</v>
      </c>
      <c r="R6121" t="s">
        <v>616</v>
      </c>
      <c r="S6121">
        <v>142.482889</v>
      </c>
      <c r="T6121" s="1095">
        <v>-38.378839999999997</v>
      </c>
    </row>
    <row r="6122" spans="16:20">
      <c r="P6122" s="1094">
        <v>3281</v>
      </c>
      <c r="Q6122" t="s">
        <v>7030</v>
      </c>
      <c r="R6122" t="s">
        <v>616</v>
      </c>
      <c r="S6122">
        <v>142.630109</v>
      </c>
      <c r="T6122" s="1095">
        <v>-38.254454000000003</v>
      </c>
    </row>
    <row r="6123" spans="16:20">
      <c r="P6123" s="1094">
        <v>3281</v>
      </c>
      <c r="Q6123" t="s">
        <v>7031</v>
      </c>
      <c r="R6123" t="s">
        <v>616</v>
      </c>
      <c r="S6123">
        <v>142.630109</v>
      </c>
      <c r="T6123" s="1095">
        <v>-38.254454000000003</v>
      </c>
    </row>
    <row r="6124" spans="16:20">
      <c r="P6124" s="1094">
        <v>3281</v>
      </c>
      <c r="Q6124" t="s">
        <v>7032</v>
      </c>
      <c r="R6124" t="s">
        <v>616</v>
      </c>
      <c r="S6124">
        <v>142.630109</v>
      </c>
      <c r="T6124" s="1095">
        <v>-38.254454000000003</v>
      </c>
    </row>
    <row r="6125" spans="16:20">
      <c r="P6125" s="1094">
        <v>3281</v>
      </c>
      <c r="Q6125" t="s">
        <v>3797</v>
      </c>
      <c r="R6125" t="s">
        <v>616</v>
      </c>
      <c r="S6125">
        <v>142.630109</v>
      </c>
      <c r="T6125" s="1095">
        <v>-38.254454000000003</v>
      </c>
    </row>
    <row r="6126" spans="16:20">
      <c r="P6126" s="1094">
        <v>3282</v>
      </c>
      <c r="Q6126" t="s">
        <v>7033</v>
      </c>
      <c r="R6126" t="s">
        <v>616</v>
      </c>
      <c r="S6126">
        <v>142.35165799999999</v>
      </c>
      <c r="T6126" s="1095">
        <v>-38.268175999999997</v>
      </c>
    </row>
    <row r="6127" spans="16:20">
      <c r="P6127" s="1094">
        <v>3282</v>
      </c>
      <c r="Q6127" t="s">
        <v>7034</v>
      </c>
      <c r="R6127" t="s">
        <v>616</v>
      </c>
      <c r="S6127">
        <v>142.35165799999999</v>
      </c>
      <c r="T6127" s="1095">
        <v>-38.268175999999997</v>
      </c>
    </row>
    <row r="6128" spans="16:20">
      <c r="P6128" s="1094">
        <v>3283</v>
      </c>
      <c r="Q6128" t="s">
        <v>7035</v>
      </c>
      <c r="R6128" t="s">
        <v>616</v>
      </c>
      <c r="S6128">
        <v>0</v>
      </c>
      <c r="T6128" s="1095">
        <v>0</v>
      </c>
    </row>
    <row r="6129" spans="16:20">
      <c r="P6129" s="1094">
        <v>3283</v>
      </c>
      <c r="Q6129" t="s">
        <v>7036</v>
      </c>
      <c r="R6129" t="s">
        <v>616</v>
      </c>
      <c r="S6129">
        <v>0</v>
      </c>
      <c r="T6129" s="1095">
        <v>0</v>
      </c>
    </row>
    <row r="6130" spans="16:20">
      <c r="P6130" s="1094">
        <v>3283</v>
      </c>
      <c r="Q6130" t="s">
        <v>7037</v>
      </c>
      <c r="R6130" t="s">
        <v>616</v>
      </c>
      <c r="S6130">
        <v>0</v>
      </c>
      <c r="T6130" s="1095">
        <v>0</v>
      </c>
    </row>
    <row r="6131" spans="16:20">
      <c r="P6131" s="1094">
        <v>3283</v>
      </c>
      <c r="Q6131" t="s">
        <v>7038</v>
      </c>
      <c r="R6131" t="s">
        <v>616</v>
      </c>
      <c r="S6131">
        <v>0</v>
      </c>
      <c r="T6131" s="1095">
        <v>0</v>
      </c>
    </row>
    <row r="6132" spans="16:20">
      <c r="P6132" s="1094">
        <v>3283</v>
      </c>
      <c r="Q6132" t="s">
        <v>7039</v>
      </c>
      <c r="R6132" t="s">
        <v>616</v>
      </c>
      <c r="S6132">
        <v>0</v>
      </c>
      <c r="T6132" s="1095">
        <v>0</v>
      </c>
    </row>
    <row r="6133" spans="16:20">
      <c r="P6133" s="1094">
        <v>3283</v>
      </c>
      <c r="Q6133" t="s">
        <v>7040</v>
      </c>
      <c r="R6133" t="s">
        <v>616</v>
      </c>
      <c r="S6133">
        <v>0</v>
      </c>
      <c r="T6133" s="1095">
        <v>0</v>
      </c>
    </row>
    <row r="6134" spans="16:20">
      <c r="P6134" s="1094">
        <v>3283</v>
      </c>
      <c r="Q6134" t="s">
        <v>7041</v>
      </c>
      <c r="R6134" t="s">
        <v>616</v>
      </c>
      <c r="S6134">
        <v>0</v>
      </c>
      <c r="T6134" s="1095">
        <v>0</v>
      </c>
    </row>
    <row r="6135" spans="16:20">
      <c r="P6135" s="1094">
        <v>3283</v>
      </c>
      <c r="Q6135" t="s">
        <v>7042</v>
      </c>
      <c r="R6135" t="s">
        <v>616</v>
      </c>
      <c r="S6135">
        <v>0</v>
      </c>
      <c r="T6135" s="1095">
        <v>0</v>
      </c>
    </row>
    <row r="6136" spans="16:20">
      <c r="P6136" s="1094">
        <v>3283</v>
      </c>
      <c r="Q6136" t="s">
        <v>7043</v>
      </c>
      <c r="R6136" t="s">
        <v>616</v>
      </c>
      <c r="S6136">
        <v>0</v>
      </c>
      <c r="T6136" s="1095">
        <v>0</v>
      </c>
    </row>
    <row r="6137" spans="16:20">
      <c r="P6137" s="1094">
        <v>3283</v>
      </c>
      <c r="Q6137" t="s">
        <v>7044</v>
      </c>
      <c r="R6137" t="s">
        <v>616</v>
      </c>
      <c r="S6137">
        <v>0</v>
      </c>
      <c r="T6137" s="1095">
        <v>0</v>
      </c>
    </row>
    <row r="6138" spans="16:20">
      <c r="P6138" s="1094">
        <v>3284</v>
      </c>
      <c r="Q6138" t="s">
        <v>7045</v>
      </c>
      <c r="R6138" t="s">
        <v>616</v>
      </c>
      <c r="S6138">
        <v>142.11926600000001</v>
      </c>
      <c r="T6138" s="1095">
        <v>-38.270398</v>
      </c>
    </row>
    <row r="6139" spans="16:20">
      <c r="P6139" s="1094">
        <v>3284</v>
      </c>
      <c r="Q6139" t="s">
        <v>7046</v>
      </c>
      <c r="R6139" t="s">
        <v>616</v>
      </c>
      <c r="S6139">
        <v>142.11926600000001</v>
      </c>
      <c r="T6139" s="1095">
        <v>-38.270398</v>
      </c>
    </row>
    <row r="6140" spans="16:20">
      <c r="P6140" s="1094">
        <v>3285</v>
      </c>
      <c r="Q6140" t="s">
        <v>3879</v>
      </c>
      <c r="R6140" t="s">
        <v>616</v>
      </c>
      <c r="S6140">
        <v>142.05891600000001</v>
      </c>
      <c r="T6140" s="1095">
        <v>-38.290199000000001</v>
      </c>
    </row>
    <row r="6141" spans="16:20">
      <c r="P6141" s="1094">
        <v>3285</v>
      </c>
      <c r="Q6141" t="s">
        <v>7047</v>
      </c>
      <c r="R6141" t="s">
        <v>616</v>
      </c>
      <c r="S6141">
        <v>142.05891600000001</v>
      </c>
      <c r="T6141" s="1095">
        <v>-38.290199000000001</v>
      </c>
    </row>
    <row r="6142" spans="16:20">
      <c r="P6142" s="1094">
        <v>3285</v>
      </c>
      <c r="Q6142" t="s">
        <v>2607</v>
      </c>
      <c r="R6142" t="s">
        <v>616</v>
      </c>
      <c r="S6142">
        <v>142.05891600000001</v>
      </c>
      <c r="T6142" s="1095">
        <v>-38.290199000000001</v>
      </c>
    </row>
    <row r="6143" spans="16:20">
      <c r="P6143" s="1094">
        <v>3285</v>
      </c>
      <c r="Q6143" t="s">
        <v>7048</v>
      </c>
      <c r="R6143" t="s">
        <v>616</v>
      </c>
      <c r="S6143">
        <v>142.05891600000001</v>
      </c>
      <c r="T6143" s="1095">
        <v>-38.290199000000001</v>
      </c>
    </row>
    <row r="6144" spans="16:20">
      <c r="P6144" s="1094">
        <v>3285</v>
      </c>
      <c r="Q6144" t="s">
        <v>7049</v>
      </c>
      <c r="R6144" t="s">
        <v>616</v>
      </c>
      <c r="S6144">
        <v>142.05891600000001</v>
      </c>
      <c r="T6144" s="1095">
        <v>-38.290199000000001</v>
      </c>
    </row>
    <row r="6145" spans="16:20">
      <c r="P6145" s="1094">
        <v>3285</v>
      </c>
      <c r="Q6145" t="s">
        <v>7050</v>
      </c>
      <c r="R6145" t="s">
        <v>616</v>
      </c>
      <c r="S6145">
        <v>142.05891600000001</v>
      </c>
      <c r="T6145" s="1095">
        <v>-38.290199000000001</v>
      </c>
    </row>
    <row r="6146" spans="16:20">
      <c r="P6146" s="1094">
        <v>3285</v>
      </c>
      <c r="Q6146" t="s">
        <v>7051</v>
      </c>
      <c r="R6146" t="s">
        <v>616</v>
      </c>
      <c r="S6146">
        <v>142.05891600000001</v>
      </c>
      <c r="T6146" s="1095">
        <v>-38.290199000000001</v>
      </c>
    </row>
    <row r="6147" spans="16:20">
      <c r="P6147" s="1094">
        <v>3285</v>
      </c>
      <c r="Q6147" t="s">
        <v>7052</v>
      </c>
      <c r="R6147" t="s">
        <v>616</v>
      </c>
      <c r="S6147">
        <v>142.05891600000001</v>
      </c>
      <c r="T6147" s="1095">
        <v>-38.290199000000001</v>
      </c>
    </row>
    <row r="6148" spans="16:20">
      <c r="P6148" s="1094">
        <v>3286</v>
      </c>
      <c r="Q6148" t="s">
        <v>7053</v>
      </c>
      <c r="R6148" t="s">
        <v>616</v>
      </c>
      <c r="S6148">
        <v>141.963223</v>
      </c>
      <c r="T6148" s="1095">
        <v>-38.036037999999998</v>
      </c>
    </row>
    <row r="6149" spans="16:20">
      <c r="P6149" s="1094">
        <v>3286</v>
      </c>
      <c r="Q6149" t="s">
        <v>6336</v>
      </c>
      <c r="R6149" t="s">
        <v>616</v>
      </c>
      <c r="S6149">
        <v>141.963223</v>
      </c>
      <c r="T6149" s="1095">
        <v>-38.036037999999998</v>
      </c>
    </row>
    <row r="6150" spans="16:20">
      <c r="P6150" s="1094">
        <v>3286</v>
      </c>
      <c r="Q6150" t="s">
        <v>7054</v>
      </c>
      <c r="R6150" t="s">
        <v>616</v>
      </c>
      <c r="S6150">
        <v>141.963223</v>
      </c>
      <c r="T6150" s="1095">
        <v>-38.036037999999998</v>
      </c>
    </row>
    <row r="6151" spans="16:20">
      <c r="P6151" s="1094">
        <v>3287</v>
      </c>
      <c r="Q6151" t="s">
        <v>7055</v>
      </c>
      <c r="R6151" t="s">
        <v>616</v>
      </c>
      <c r="S6151">
        <v>142.31952999999999</v>
      </c>
      <c r="T6151" s="1095">
        <v>-38.059868000000002</v>
      </c>
    </row>
    <row r="6152" spans="16:20">
      <c r="P6152" s="1094">
        <v>3287</v>
      </c>
      <c r="Q6152" t="s">
        <v>7056</v>
      </c>
      <c r="R6152" t="s">
        <v>616</v>
      </c>
      <c r="S6152">
        <v>142.31952999999999</v>
      </c>
      <c r="T6152" s="1095">
        <v>-38.059868000000002</v>
      </c>
    </row>
    <row r="6153" spans="16:20">
      <c r="P6153" s="1094">
        <v>3289</v>
      </c>
      <c r="Q6153" t="s">
        <v>7057</v>
      </c>
      <c r="R6153" t="s">
        <v>616</v>
      </c>
      <c r="S6153">
        <v>142.227754</v>
      </c>
      <c r="T6153" s="1095">
        <v>-37.893196000000003</v>
      </c>
    </row>
    <row r="6154" spans="16:20">
      <c r="P6154" s="1094">
        <v>3289</v>
      </c>
      <c r="Q6154" t="s">
        <v>2221</v>
      </c>
      <c r="R6154" t="s">
        <v>616</v>
      </c>
      <c r="S6154">
        <v>142.227754</v>
      </c>
      <c r="T6154" s="1095">
        <v>-37.893196000000003</v>
      </c>
    </row>
    <row r="6155" spans="16:20">
      <c r="P6155" s="1094">
        <v>3289</v>
      </c>
      <c r="Q6155" t="s">
        <v>7058</v>
      </c>
      <c r="R6155" t="s">
        <v>616</v>
      </c>
      <c r="S6155">
        <v>142.227754</v>
      </c>
      <c r="T6155" s="1095">
        <v>-37.893196000000003</v>
      </c>
    </row>
    <row r="6156" spans="16:20">
      <c r="P6156" s="1094">
        <v>3289</v>
      </c>
      <c r="Q6156" t="s">
        <v>7059</v>
      </c>
      <c r="R6156" t="s">
        <v>616</v>
      </c>
      <c r="S6156">
        <v>142.227754</v>
      </c>
      <c r="T6156" s="1095">
        <v>-37.893196000000003</v>
      </c>
    </row>
    <row r="6157" spans="16:20">
      <c r="P6157" s="1094">
        <v>3292</v>
      </c>
      <c r="Q6157" t="s">
        <v>4470</v>
      </c>
      <c r="R6157" t="s">
        <v>616</v>
      </c>
      <c r="S6157">
        <v>141.051987</v>
      </c>
      <c r="T6157" s="1095">
        <v>-38.038873000000002</v>
      </c>
    </row>
    <row r="6158" spans="16:20">
      <c r="P6158" s="1094">
        <v>3293</v>
      </c>
      <c r="Q6158" t="s">
        <v>7060</v>
      </c>
      <c r="R6158" t="s">
        <v>616</v>
      </c>
      <c r="S6158">
        <v>142.527253</v>
      </c>
      <c r="T6158" s="1095">
        <v>-37.655945000000003</v>
      </c>
    </row>
    <row r="6159" spans="16:20">
      <c r="P6159" s="1094">
        <v>3293</v>
      </c>
      <c r="Q6159" t="s">
        <v>7061</v>
      </c>
      <c r="R6159" t="s">
        <v>616</v>
      </c>
      <c r="S6159">
        <v>142.527253</v>
      </c>
      <c r="T6159" s="1095">
        <v>-37.655945000000003</v>
      </c>
    </row>
    <row r="6160" spans="16:20">
      <c r="P6160" s="1094">
        <v>3293</v>
      </c>
      <c r="Q6160" t="s">
        <v>7062</v>
      </c>
      <c r="R6160" t="s">
        <v>616</v>
      </c>
      <c r="S6160">
        <v>142.527253</v>
      </c>
      <c r="T6160" s="1095">
        <v>-37.655945000000003</v>
      </c>
    </row>
    <row r="6161" spans="16:20">
      <c r="P6161" s="1094">
        <v>3294</v>
      </c>
      <c r="Q6161" t="s">
        <v>5778</v>
      </c>
      <c r="R6161" t="s">
        <v>616</v>
      </c>
      <c r="S6161">
        <v>142.31276399999999</v>
      </c>
      <c r="T6161" s="1095">
        <v>-37.573977999999997</v>
      </c>
    </row>
    <row r="6162" spans="16:20">
      <c r="P6162" s="1094">
        <v>3294</v>
      </c>
      <c r="Q6162" t="s">
        <v>7063</v>
      </c>
      <c r="R6162" t="s">
        <v>616</v>
      </c>
      <c r="S6162">
        <v>142.31276399999999</v>
      </c>
      <c r="T6162" s="1095">
        <v>-37.573977999999997</v>
      </c>
    </row>
    <row r="6163" spans="16:20">
      <c r="P6163" s="1094">
        <v>3294</v>
      </c>
      <c r="Q6163" t="s">
        <v>7064</v>
      </c>
      <c r="R6163" t="s">
        <v>616</v>
      </c>
      <c r="S6163">
        <v>142.31276399999999</v>
      </c>
      <c r="T6163" s="1095">
        <v>-37.573977999999997</v>
      </c>
    </row>
    <row r="6164" spans="16:20">
      <c r="P6164" s="1094">
        <v>3294</v>
      </c>
      <c r="Q6164" t="s">
        <v>7065</v>
      </c>
      <c r="R6164" t="s">
        <v>616</v>
      </c>
      <c r="S6164">
        <v>142.31276399999999</v>
      </c>
      <c r="T6164" s="1095">
        <v>-37.573977999999997</v>
      </c>
    </row>
    <row r="6165" spans="16:20">
      <c r="P6165" s="1094">
        <v>3294</v>
      </c>
      <c r="Q6165" t="s">
        <v>7066</v>
      </c>
      <c r="R6165" t="s">
        <v>616</v>
      </c>
      <c r="S6165">
        <v>142.31276399999999</v>
      </c>
      <c r="T6165" s="1095">
        <v>-37.573977999999997</v>
      </c>
    </row>
    <row r="6166" spans="16:20">
      <c r="P6166" s="1094">
        <v>3294</v>
      </c>
      <c r="Q6166" t="s">
        <v>7067</v>
      </c>
      <c r="R6166" t="s">
        <v>616</v>
      </c>
      <c r="S6166">
        <v>142.31276399999999</v>
      </c>
      <c r="T6166" s="1095">
        <v>-37.573977999999997</v>
      </c>
    </row>
    <row r="6167" spans="16:20">
      <c r="P6167" s="1094">
        <v>3294</v>
      </c>
      <c r="Q6167" t="s">
        <v>7068</v>
      </c>
      <c r="R6167" t="s">
        <v>616</v>
      </c>
      <c r="S6167">
        <v>142.31276399999999</v>
      </c>
      <c r="T6167" s="1095">
        <v>-37.573977999999997</v>
      </c>
    </row>
    <row r="6168" spans="16:20">
      <c r="P6168" s="1094">
        <v>3300</v>
      </c>
      <c r="Q6168" t="s">
        <v>7069</v>
      </c>
      <c r="R6168" t="s">
        <v>616</v>
      </c>
      <c r="S6168">
        <v>142.01335599999999</v>
      </c>
      <c r="T6168" s="1095">
        <v>-37.743155000000002</v>
      </c>
    </row>
    <row r="6169" spans="16:20">
      <c r="P6169" s="1094">
        <v>3300</v>
      </c>
      <c r="Q6169" t="s">
        <v>2531</v>
      </c>
      <c r="R6169" t="s">
        <v>616</v>
      </c>
      <c r="S6169">
        <v>142.01335599999999</v>
      </c>
      <c r="T6169" s="1095">
        <v>-37.743155000000002</v>
      </c>
    </row>
    <row r="6170" spans="16:20">
      <c r="P6170" s="1094">
        <v>3301</v>
      </c>
      <c r="Q6170" t="s">
        <v>7070</v>
      </c>
      <c r="R6170" t="s">
        <v>616</v>
      </c>
      <c r="S6170">
        <v>142.03414100000001</v>
      </c>
      <c r="T6170" s="1095">
        <v>-38.118855000000003</v>
      </c>
    </row>
    <row r="6171" spans="16:20">
      <c r="P6171" s="1094">
        <v>3301</v>
      </c>
      <c r="Q6171" t="s">
        <v>3884</v>
      </c>
      <c r="R6171" t="s">
        <v>616</v>
      </c>
      <c r="S6171">
        <v>142.03414100000001</v>
      </c>
      <c r="T6171" s="1095">
        <v>-38.118855000000003</v>
      </c>
    </row>
    <row r="6172" spans="16:20">
      <c r="P6172" s="1094">
        <v>3301</v>
      </c>
      <c r="Q6172" t="s">
        <v>7071</v>
      </c>
      <c r="R6172" t="s">
        <v>616</v>
      </c>
      <c r="S6172">
        <v>142.03414100000001</v>
      </c>
      <c r="T6172" s="1095">
        <v>-38.118855000000003</v>
      </c>
    </row>
    <row r="6173" spans="16:20">
      <c r="P6173" s="1094">
        <v>3301</v>
      </c>
      <c r="Q6173" t="s">
        <v>7072</v>
      </c>
      <c r="R6173" t="s">
        <v>616</v>
      </c>
      <c r="S6173">
        <v>142.03414100000001</v>
      </c>
      <c r="T6173" s="1095">
        <v>-38.118855000000003</v>
      </c>
    </row>
    <row r="6174" spans="16:20">
      <c r="P6174" s="1094">
        <v>3301</v>
      </c>
      <c r="Q6174" t="s">
        <v>7073</v>
      </c>
      <c r="R6174" t="s">
        <v>616</v>
      </c>
      <c r="S6174">
        <v>142.03414100000001</v>
      </c>
      <c r="T6174" s="1095">
        <v>-38.118855000000003</v>
      </c>
    </row>
    <row r="6175" spans="16:20">
      <c r="P6175" s="1094">
        <v>3301</v>
      </c>
      <c r="Q6175" t="s">
        <v>7074</v>
      </c>
      <c r="R6175" t="s">
        <v>616</v>
      </c>
      <c r="S6175">
        <v>142.03414100000001</v>
      </c>
      <c r="T6175" s="1095">
        <v>-38.118855000000003</v>
      </c>
    </row>
    <row r="6176" spans="16:20">
      <c r="P6176" s="1094">
        <v>3301</v>
      </c>
      <c r="Q6176" t="s">
        <v>7075</v>
      </c>
      <c r="R6176" t="s">
        <v>616</v>
      </c>
      <c r="S6176">
        <v>142.03414100000001</v>
      </c>
      <c r="T6176" s="1095">
        <v>-38.118855000000003</v>
      </c>
    </row>
    <row r="6177" spans="16:20">
      <c r="P6177" s="1094">
        <v>3301</v>
      </c>
      <c r="Q6177" t="s">
        <v>7076</v>
      </c>
      <c r="R6177" t="s">
        <v>616</v>
      </c>
      <c r="S6177">
        <v>142.03414100000001</v>
      </c>
      <c r="T6177" s="1095">
        <v>-38.118855000000003</v>
      </c>
    </row>
    <row r="6178" spans="16:20">
      <c r="P6178" s="1094">
        <v>3301</v>
      </c>
      <c r="Q6178" t="s">
        <v>7077</v>
      </c>
      <c r="R6178" t="s">
        <v>616</v>
      </c>
      <c r="S6178">
        <v>142.03414100000001</v>
      </c>
      <c r="T6178" s="1095">
        <v>-38.118855000000003</v>
      </c>
    </row>
    <row r="6179" spans="16:20">
      <c r="P6179" s="1094">
        <v>3301</v>
      </c>
      <c r="Q6179" t="s">
        <v>7078</v>
      </c>
      <c r="R6179" t="s">
        <v>616</v>
      </c>
      <c r="S6179">
        <v>142.03414100000001</v>
      </c>
      <c r="T6179" s="1095">
        <v>-38.118855000000003</v>
      </c>
    </row>
    <row r="6180" spans="16:20">
      <c r="P6180" s="1094">
        <v>3301</v>
      </c>
      <c r="Q6180" t="s">
        <v>7079</v>
      </c>
      <c r="R6180" t="s">
        <v>616</v>
      </c>
      <c r="S6180">
        <v>142.03414100000001</v>
      </c>
      <c r="T6180" s="1095">
        <v>-38.118855000000003</v>
      </c>
    </row>
    <row r="6181" spans="16:20">
      <c r="P6181" s="1094">
        <v>3301</v>
      </c>
      <c r="Q6181" t="s">
        <v>7080</v>
      </c>
      <c r="R6181" t="s">
        <v>616</v>
      </c>
      <c r="S6181">
        <v>142.03414100000001</v>
      </c>
      <c r="T6181" s="1095">
        <v>-38.118855000000003</v>
      </c>
    </row>
    <row r="6182" spans="16:20">
      <c r="P6182" s="1094">
        <v>3301</v>
      </c>
      <c r="Q6182" t="s">
        <v>7081</v>
      </c>
      <c r="R6182" t="s">
        <v>616</v>
      </c>
      <c r="S6182">
        <v>142.03414100000001</v>
      </c>
      <c r="T6182" s="1095">
        <v>-38.118855000000003</v>
      </c>
    </row>
    <row r="6183" spans="16:20">
      <c r="P6183" s="1094">
        <v>3301</v>
      </c>
      <c r="Q6183" t="s">
        <v>7082</v>
      </c>
      <c r="R6183" t="s">
        <v>616</v>
      </c>
      <c r="S6183">
        <v>142.03414100000001</v>
      </c>
      <c r="T6183" s="1095">
        <v>-38.118855000000003</v>
      </c>
    </row>
    <row r="6184" spans="16:20">
      <c r="P6184" s="1094">
        <v>3301</v>
      </c>
      <c r="Q6184" t="s">
        <v>7083</v>
      </c>
      <c r="R6184" t="s">
        <v>616</v>
      </c>
      <c r="S6184">
        <v>142.03414100000001</v>
      </c>
      <c r="T6184" s="1095">
        <v>-38.118855000000003</v>
      </c>
    </row>
    <row r="6185" spans="16:20">
      <c r="P6185" s="1094">
        <v>3302</v>
      </c>
      <c r="Q6185" t="s">
        <v>7084</v>
      </c>
      <c r="R6185" t="s">
        <v>616</v>
      </c>
      <c r="S6185">
        <v>141.706379</v>
      </c>
      <c r="T6185" s="1095">
        <v>-37.847980999999997</v>
      </c>
    </row>
    <row r="6186" spans="16:20">
      <c r="P6186" s="1094">
        <v>3302</v>
      </c>
      <c r="Q6186" t="s">
        <v>7085</v>
      </c>
      <c r="R6186" t="s">
        <v>616</v>
      </c>
      <c r="S6186">
        <v>141.706379</v>
      </c>
      <c r="T6186" s="1095">
        <v>-37.847980999999997</v>
      </c>
    </row>
    <row r="6187" spans="16:20">
      <c r="P6187" s="1094">
        <v>3303</v>
      </c>
      <c r="Q6187" t="s">
        <v>7086</v>
      </c>
      <c r="R6187" t="s">
        <v>616</v>
      </c>
      <c r="S6187">
        <v>141.78960599999999</v>
      </c>
      <c r="T6187" s="1095">
        <v>-37.980868000000001</v>
      </c>
    </row>
    <row r="6188" spans="16:20">
      <c r="P6188" s="1094">
        <v>3303</v>
      </c>
      <c r="Q6188" t="s">
        <v>7087</v>
      </c>
      <c r="R6188" t="s">
        <v>616</v>
      </c>
      <c r="S6188">
        <v>141.78960599999999</v>
      </c>
      <c r="T6188" s="1095">
        <v>-37.980868000000001</v>
      </c>
    </row>
    <row r="6189" spans="16:20">
      <c r="P6189" s="1094">
        <v>3303</v>
      </c>
      <c r="Q6189" t="s">
        <v>7088</v>
      </c>
      <c r="R6189" t="s">
        <v>616</v>
      </c>
      <c r="S6189">
        <v>141.78960599999999</v>
      </c>
      <c r="T6189" s="1095">
        <v>-37.980868000000001</v>
      </c>
    </row>
    <row r="6190" spans="16:20">
      <c r="P6190" s="1094">
        <v>3303</v>
      </c>
      <c r="Q6190" t="s">
        <v>7089</v>
      </c>
      <c r="R6190" t="s">
        <v>616</v>
      </c>
      <c r="S6190">
        <v>141.78960599999999</v>
      </c>
      <c r="T6190" s="1095">
        <v>-37.980868000000001</v>
      </c>
    </row>
    <row r="6191" spans="16:20">
      <c r="P6191" s="1094">
        <v>3303</v>
      </c>
      <c r="Q6191" t="s">
        <v>7090</v>
      </c>
      <c r="R6191" t="s">
        <v>616</v>
      </c>
      <c r="S6191">
        <v>141.78960599999999</v>
      </c>
      <c r="T6191" s="1095">
        <v>-37.980868000000001</v>
      </c>
    </row>
    <row r="6192" spans="16:20">
      <c r="P6192" s="1094">
        <v>3303</v>
      </c>
      <c r="Q6192" t="s">
        <v>7091</v>
      </c>
      <c r="R6192" t="s">
        <v>616</v>
      </c>
      <c r="S6192">
        <v>141.78960599999999</v>
      </c>
      <c r="T6192" s="1095">
        <v>-37.980868000000001</v>
      </c>
    </row>
    <row r="6193" spans="16:20">
      <c r="P6193" s="1094">
        <v>3304</v>
      </c>
      <c r="Q6193" t="s">
        <v>7092</v>
      </c>
      <c r="R6193" t="s">
        <v>616</v>
      </c>
      <c r="S6193">
        <v>141.952156</v>
      </c>
      <c r="T6193" s="1095">
        <v>-38.182084000000003</v>
      </c>
    </row>
    <row r="6194" spans="16:20">
      <c r="P6194" s="1094">
        <v>3304</v>
      </c>
      <c r="Q6194" t="s">
        <v>7093</v>
      </c>
      <c r="R6194" t="s">
        <v>616</v>
      </c>
      <c r="S6194">
        <v>141.952156</v>
      </c>
      <c r="T6194" s="1095">
        <v>-38.182084000000003</v>
      </c>
    </row>
    <row r="6195" spans="16:20">
      <c r="P6195" s="1094">
        <v>3304</v>
      </c>
      <c r="Q6195" t="s">
        <v>7094</v>
      </c>
      <c r="R6195" t="s">
        <v>616</v>
      </c>
      <c r="S6195">
        <v>141.952156</v>
      </c>
      <c r="T6195" s="1095">
        <v>-38.182084000000003</v>
      </c>
    </row>
    <row r="6196" spans="16:20">
      <c r="P6196" s="1094">
        <v>3304</v>
      </c>
      <c r="Q6196" t="s">
        <v>7095</v>
      </c>
      <c r="R6196" t="s">
        <v>616</v>
      </c>
      <c r="S6196">
        <v>141.952156</v>
      </c>
      <c r="T6196" s="1095">
        <v>-38.182084000000003</v>
      </c>
    </row>
    <row r="6197" spans="16:20">
      <c r="P6197" s="1094">
        <v>3304</v>
      </c>
      <c r="Q6197" t="s">
        <v>7096</v>
      </c>
      <c r="R6197" t="s">
        <v>616</v>
      </c>
      <c r="S6197">
        <v>141.952156</v>
      </c>
      <c r="T6197" s="1095">
        <v>-38.182084000000003</v>
      </c>
    </row>
    <row r="6198" spans="16:20">
      <c r="P6198" s="1094">
        <v>3304</v>
      </c>
      <c r="Q6198" t="s">
        <v>7097</v>
      </c>
      <c r="R6198" t="s">
        <v>616</v>
      </c>
      <c r="S6198">
        <v>141.952156</v>
      </c>
      <c r="T6198" s="1095">
        <v>-38.182084000000003</v>
      </c>
    </row>
    <row r="6199" spans="16:20">
      <c r="P6199" s="1094">
        <v>3304</v>
      </c>
      <c r="Q6199" t="s">
        <v>7098</v>
      </c>
      <c r="R6199" t="s">
        <v>616</v>
      </c>
      <c r="S6199">
        <v>141.952156</v>
      </c>
      <c r="T6199" s="1095">
        <v>-38.182084000000003</v>
      </c>
    </row>
    <row r="6200" spans="16:20">
      <c r="P6200" s="1094">
        <v>3304</v>
      </c>
      <c r="Q6200" t="s">
        <v>4816</v>
      </c>
      <c r="R6200" t="s">
        <v>616</v>
      </c>
      <c r="S6200">
        <v>141.952156</v>
      </c>
      <c r="T6200" s="1095">
        <v>-38.182084000000003</v>
      </c>
    </row>
    <row r="6201" spans="16:20">
      <c r="P6201" s="1094">
        <v>3304</v>
      </c>
      <c r="Q6201" t="s">
        <v>7099</v>
      </c>
      <c r="R6201" t="s">
        <v>616</v>
      </c>
      <c r="S6201">
        <v>141.952156</v>
      </c>
      <c r="T6201" s="1095">
        <v>-38.182084000000003</v>
      </c>
    </row>
    <row r="6202" spans="16:20">
      <c r="P6202" s="1094">
        <v>3304</v>
      </c>
      <c r="Q6202" t="s">
        <v>7100</v>
      </c>
      <c r="R6202" t="s">
        <v>616</v>
      </c>
      <c r="S6202">
        <v>141.952156</v>
      </c>
      <c r="T6202" s="1095">
        <v>-38.182084000000003</v>
      </c>
    </row>
    <row r="6203" spans="16:20">
      <c r="P6203" s="1094">
        <v>3304</v>
      </c>
      <c r="Q6203" t="s">
        <v>7101</v>
      </c>
      <c r="R6203" t="s">
        <v>616</v>
      </c>
      <c r="S6203">
        <v>141.952156</v>
      </c>
      <c r="T6203" s="1095">
        <v>-38.182084000000003</v>
      </c>
    </row>
    <row r="6204" spans="16:20">
      <c r="P6204" s="1094">
        <v>3304</v>
      </c>
      <c r="Q6204" t="s">
        <v>7102</v>
      </c>
      <c r="R6204" t="s">
        <v>616</v>
      </c>
      <c r="S6204">
        <v>141.952156</v>
      </c>
      <c r="T6204" s="1095">
        <v>-38.182084000000003</v>
      </c>
    </row>
    <row r="6205" spans="16:20">
      <c r="P6205" s="1094">
        <v>3305</v>
      </c>
      <c r="Q6205" t="s">
        <v>7103</v>
      </c>
      <c r="R6205" t="s">
        <v>616</v>
      </c>
      <c r="S6205">
        <v>141.43722700000001</v>
      </c>
      <c r="T6205" s="1095">
        <v>-38.235475000000001</v>
      </c>
    </row>
    <row r="6206" spans="16:20">
      <c r="P6206" s="1094">
        <v>3305</v>
      </c>
      <c r="Q6206" t="s">
        <v>2588</v>
      </c>
      <c r="R6206" t="s">
        <v>616</v>
      </c>
      <c r="S6206">
        <v>141.43722700000001</v>
      </c>
      <c r="T6206" s="1095">
        <v>-38.235475000000001</v>
      </c>
    </row>
    <row r="6207" spans="16:20">
      <c r="P6207" s="1094">
        <v>3305</v>
      </c>
      <c r="Q6207" t="s">
        <v>7104</v>
      </c>
      <c r="R6207" t="s">
        <v>616</v>
      </c>
      <c r="S6207">
        <v>141.43722700000001</v>
      </c>
      <c r="T6207" s="1095">
        <v>-38.235475000000001</v>
      </c>
    </row>
    <row r="6208" spans="16:20">
      <c r="P6208" s="1094">
        <v>3305</v>
      </c>
      <c r="Q6208" t="s">
        <v>7105</v>
      </c>
      <c r="R6208" t="s">
        <v>616</v>
      </c>
      <c r="S6208">
        <v>141.43722700000001</v>
      </c>
      <c r="T6208" s="1095">
        <v>-38.235475000000001</v>
      </c>
    </row>
    <row r="6209" spans="16:20">
      <c r="P6209" s="1094">
        <v>3305</v>
      </c>
      <c r="Q6209" t="s">
        <v>7106</v>
      </c>
      <c r="R6209" t="s">
        <v>616</v>
      </c>
      <c r="S6209">
        <v>141.43722700000001</v>
      </c>
      <c r="T6209" s="1095">
        <v>-38.235475000000001</v>
      </c>
    </row>
    <row r="6210" spans="16:20">
      <c r="P6210" s="1094">
        <v>3305</v>
      </c>
      <c r="Q6210" t="s">
        <v>7107</v>
      </c>
      <c r="R6210" t="s">
        <v>616</v>
      </c>
      <c r="S6210">
        <v>141.43722700000001</v>
      </c>
      <c r="T6210" s="1095">
        <v>-38.235475000000001</v>
      </c>
    </row>
    <row r="6211" spans="16:20">
      <c r="P6211" s="1094">
        <v>3305</v>
      </c>
      <c r="Q6211" t="s">
        <v>7108</v>
      </c>
      <c r="R6211" t="s">
        <v>616</v>
      </c>
      <c r="S6211">
        <v>141.43722700000001</v>
      </c>
      <c r="T6211" s="1095">
        <v>-38.235475000000001</v>
      </c>
    </row>
    <row r="6212" spans="16:20">
      <c r="P6212" s="1094">
        <v>3305</v>
      </c>
      <c r="Q6212" t="s">
        <v>7109</v>
      </c>
      <c r="R6212" t="s">
        <v>616</v>
      </c>
      <c r="S6212">
        <v>141.43722700000001</v>
      </c>
      <c r="T6212" s="1095">
        <v>-38.235475000000001</v>
      </c>
    </row>
    <row r="6213" spans="16:20">
      <c r="P6213" s="1094">
        <v>3305</v>
      </c>
      <c r="Q6213" t="s">
        <v>7110</v>
      </c>
      <c r="R6213" t="s">
        <v>616</v>
      </c>
      <c r="S6213">
        <v>141.43722700000001</v>
      </c>
      <c r="T6213" s="1095">
        <v>-38.235475000000001</v>
      </c>
    </row>
    <row r="6214" spans="16:20">
      <c r="P6214" s="1094">
        <v>3305</v>
      </c>
      <c r="Q6214" t="s">
        <v>6098</v>
      </c>
      <c r="R6214" t="s">
        <v>616</v>
      </c>
      <c r="S6214">
        <v>141.43722700000001</v>
      </c>
      <c r="T6214" s="1095">
        <v>-38.235475000000001</v>
      </c>
    </row>
    <row r="6215" spans="16:20">
      <c r="P6215" s="1094">
        <v>3305</v>
      </c>
      <c r="Q6215" t="s">
        <v>7111</v>
      </c>
      <c r="R6215" t="s">
        <v>616</v>
      </c>
      <c r="S6215">
        <v>141.43722700000001</v>
      </c>
      <c r="T6215" s="1095">
        <v>-38.235475000000001</v>
      </c>
    </row>
    <row r="6216" spans="16:20">
      <c r="P6216" s="1094">
        <v>3305</v>
      </c>
      <c r="Q6216" t="s">
        <v>7112</v>
      </c>
      <c r="R6216" t="s">
        <v>616</v>
      </c>
      <c r="S6216">
        <v>141.43722700000001</v>
      </c>
      <c r="T6216" s="1095">
        <v>-38.235475000000001</v>
      </c>
    </row>
    <row r="6217" spans="16:20">
      <c r="P6217" s="1094">
        <v>3309</v>
      </c>
      <c r="Q6217" t="s">
        <v>7113</v>
      </c>
      <c r="R6217" t="s">
        <v>616</v>
      </c>
      <c r="S6217">
        <v>141.51100700000001</v>
      </c>
      <c r="T6217" s="1095">
        <v>-37.826439999999998</v>
      </c>
    </row>
    <row r="6218" spans="16:20">
      <c r="P6218" s="1094">
        <v>3310</v>
      </c>
      <c r="Q6218" t="s">
        <v>7114</v>
      </c>
      <c r="R6218" t="s">
        <v>616</v>
      </c>
      <c r="S6218">
        <v>141.54916299999999</v>
      </c>
      <c r="T6218" s="1095">
        <v>-37.707889999999999</v>
      </c>
    </row>
    <row r="6219" spans="16:20">
      <c r="P6219" s="1094">
        <v>3310</v>
      </c>
      <c r="Q6219" t="s">
        <v>7115</v>
      </c>
      <c r="R6219" t="s">
        <v>616</v>
      </c>
      <c r="S6219">
        <v>141.54916299999999</v>
      </c>
      <c r="T6219" s="1095">
        <v>-37.707889999999999</v>
      </c>
    </row>
    <row r="6220" spans="16:20">
      <c r="P6220" s="1094">
        <v>3311</v>
      </c>
      <c r="Q6220" t="s">
        <v>7116</v>
      </c>
      <c r="R6220" t="s">
        <v>616</v>
      </c>
      <c r="S6220">
        <v>141.22972200000001</v>
      </c>
      <c r="T6220" s="1095">
        <v>-37.468159</v>
      </c>
    </row>
    <row r="6221" spans="16:20">
      <c r="P6221" s="1094">
        <v>3311</v>
      </c>
      <c r="Q6221" t="s">
        <v>3990</v>
      </c>
      <c r="R6221" t="s">
        <v>616</v>
      </c>
      <c r="S6221">
        <v>141.22972200000001</v>
      </c>
      <c r="T6221" s="1095">
        <v>-37.468159</v>
      </c>
    </row>
    <row r="6222" spans="16:20">
      <c r="P6222" s="1094">
        <v>3311</v>
      </c>
      <c r="Q6222" t="s">
        <v>7117</v>
      </c>
      <c r="R6222" t="s">
        <v>616</v>
      </c>
      <c r="S6222">
        <v>141.22972200000001</v>
      </c>
      <c r="T6222" s="1095">
        <v>-37.468159</v>
      </c>
    </row>
    <row r="6223" spans="16:20">
      <c r="P6223" s="1094">
        <v>3311</v>
      </c>
      <c r="Q6223" t="s">
        <v>7118</v>
      </c>
      <c r="R6223" t="s">
        <v>616</v>
      </c>
      <c r="S6223">
        <v>141.22972200000001</v>
      </c>
      <c r="T6223" s="1095">
        <v>-37.468159</v>
      </c>
    </row>
    <row r="6224" spans="16:20">
      <c r="P6224" s="1094">
        <v>3312</v>
      </c>
      <c r="Q6224" t="s">
        <v>7119</v>
      </c>
      <c r="R6224" t="s">
        <v>616</v>
      </c>
      <c r="S6224">
        <v>0</v>
      </c>
      <c r="T6224" s="1095">
        <v>0</v>
      </c>
    </row>
    <row r="6225" spans="16:20">
      <c r="P6225" s="1094">
        <v>3312</v>
      </c>
      <c r="Q6225" t="s">
        <v>7120</v>
      </c>
      <c r="R6225" t="s">
        <v>616</v>
      </c>
      <c r="S6225">
        <v>0</v>
      </c>
      <c r="T6225" s="1095">
        <v>0</v>
      </c>
    </row>
    <row r="6226" spans="16:20">
      <c r="P6226" s="1094">
        <v>3312</v>
      </c>
      <c r="Q6226" t="s">
        <v>7121</v>
      </c>
      <c r="R6226" t="s">
        <v>616</v>
      </c>
      <c r="S6226">
        <v>0</v>
      </c>
      <c r="T6226" s="1095">
        <v>0</v>
      </c>
    </row>
    <row r="6227" spans="16:20">
      <c r="P6227" s="1094">
        <v>3312</v>
      </c>
      <c r="Q6227" t="s">
        <v>7122</v>
      </c>
      <c r="R6227" t="s">
        <v>616</v>
      </c>
      <c r="S6227">
        <v>0</v>
      </c>
      <c r="T6227" s="1095">
        <v>0</v>
      </c>
    </row>
    <row r="6228" spans="16:20">
      <c r="P6228" s="1094">
        <v>3312</v>
      </c>
      <c r="Q6228" t="s">
        <v>7123</v>
      </c>
      <c r="R6228" t="s">
        <v>616</v>
      </c>
      <c r="S6228">
        <v>0</v>
      </c>
      <c r="T6228" s="1095">
        <v>0</v>
      </c>
    </row>
    <row r="6229" spans="16:20">
      <c r="P6229" s="1094">
        <v>3312</v>
      </c>
      <c r="Q6229" t="s">
        <v>7124</v>
      </c>
      <c r="R6229" t="s">
        <v>616</v>
      </c>
      <c r="S6229">
        <v>0</v>
      </c>
      <c r="T6229" s="1095">
        <v>0</v>
      </c>
    </row>
    <row r="6230" spans="16:20">
      <c r="P6230" s="1094">
        <v>3312</v>
      </c>
      <c r="Q6230" t="s">
        <v>7125</v>
      </c>
      <c r="R6230" t="s">
        <v>616</v>
      </c>
      <c r="S6230">
        <v>0</v>
      </c>
      <c r="T6230" s="1095">
        <v>0</v>
      </c>
    </row>
    <row r="6231" spans="16:20">
      <c r="P6231" s="1094">
        <v>3312</v>
      </c>
      <c r="Q6231" t="s">
        <v>5251</v>
      </c>
      <c r="R6231" t="s">
        <v>616</v>
      </c>
      <c r="S6231">
        <v>0</v>
      </c>
      <c r="T6231" s="1095">
        <v>0</v>
      </c>
    </row>
    <row r="6232" spans="16:20">
      <c r="P6232" s="1094">
        <v>3312</v>
      </c>
      <c r="Q6232" t="s">
        <v>1857</v>
      </c>
      <c r="R6232" t="s">
        <v>616</v>
      </c>
      <c r="S6232">
        <v>0</v>
      </c>
      <c r="T6232" s="1095">
        <v>0</v>
      </c>
    </row>
    <row r="6233" spans="16:20">
      <c r="P6233" s="1094">
        <v>3312</v>
      </c>
      <c r="Q6233" t="s">
        <v>7126</v>
      </c>
      <c r="R6233" t="s">
        <v>616</v>
      </c>
      <c r="S6233">
        <v>0</v>
      </c>
      <c r="T6233" s="1095">
        <v>0</v>
      </c>
    </row>
    <row r="6234" spans="16:20">
      <c r="P6234" s="1094">
        <v>3312</v>
      </c>
      <c r="Q6234" t="s">
        <v>7127</v>
      </c>
      <c r="R6234" t="s">
        <v>616</v>
      </c>
      <c r="S6234">
        <v>0</v>
      </c>
      <c r="T6234" s="1095">
        <v>0</v>
      </c>
    </row>
    <row r="6235" spans="16:20">
      <c r="P6235" s="1094">
        <v>3312</v>
      </c>
      <c r="Q6235" t="s">
        <v>7128</v>
      </c>
      <c r="R6235" t="s">
        <v>616</v>
      </c>
      <c r="S6235">
        <v>0</v>
      </c>
      <c r="T6235" s="1095">
        <v>0</v>
      </c>
    </row>
    <row r="6236" spans="16:20">
      <c r="P6236" s="1094">
        <v>3312</v>
      </c>
      <c r="Q6236" t="s">
        <v>7129</v>
      </c>
      <c r="R6236" t="s">
        <v>616</v>
      </c>
      <c r="S6236">
        <v>0</v>
      </c>
      <c r="T6236" s="1095">
        <v>0</v>
      </c>
    </row>
    <row r="6237" spans="16:20">
      <c r="P6237" s="1094">
        <v>3312</v>
      </c>
      <c r="Q6237" t="s">
        <v>7130</v>
      </c>
      <c r="R6237" t="s">
        <v>616</v>
      </c>
      <c r="S6237">
        <v>0</v>
      </c>
      <c r="T6237" s="1095">
        <v>0</v>
      </c>
    </row>
    <row r="6238" spans="16:20">
      <c r="P6238" s="1094">
        <v>3312</v>
      </c>
      <c r="Q6238" t="s">
        <v>7131</v>
      </c>
      <c r="R6238" t="s">
        <v>616</v>
      </c>
      <c r="S6238">
        <v>0</v>
      </c>
      <c r="T6238" s="1095">
        <v>0</v>
      </c>
    </row>
    <row r="6239" spans="16:20">
      <c r="P6239" s="1094">
        <v>3312</v>
      </c>
      <c r="Q6239" t="s">
        <v>7132</v>
      </c>
      <c r="R6239" t="s">
        <v>616</v>
      </c>
      <c r="S6239">
        <v>0</v>
      </c>
      <c r="T6239" s="1095">
        <v>0</v>
      </c>
    </row>
    <row r="6240" spans="16:20">
      <c r="P6240" s="1094">
        <v>3312</v>
      </c>
      <c r="Q6240" t="s">
        <v>7133</v>
      </c>
      <c r="R6240" t="s">
        <v>616</v>
      </c>
      <c r="S6240">
        <v>0</v>
      </c>
      <c r="T6240" s="1095">
        <v>0</v>
      </c>
    </row>
    <row r="6241" spans="16:20">
      <c r="P6241" s="1094">
        <v>3312</v>
      </c>
      <c r="Q6241" t="s">
        <v>7134</v>
      </c>
      <c r="R6241" t="s">
        <v>616</v>
      </c>
      <c r="S6241">
        <v>0</v>
      </c>
      <c r="T6241" s="1095">
        <v>0</v>
      </c>
    </row>
    <row r="6242" spans="16:20">
      <c r="P6242" s="1094">
        <v>3312</v>
      </c>
      <c r="Q6242" t="s">
        <v>7135</v>
      </c>
      <c r="R6242" t="s">
        <v>616</v>
      </c>
      <c r="S6242">
        <v>0</v>
      </c>
      <c r="T6242" s="1095">
        <v>0</v>
      </c>
    </row>
    <row r="6243" spans="16:20">
      <c r="P6243" s="1094">
        <v>3314</v>
      </c>
      <c r="Q6243" t="s">
        <v>7136</v>
      </c>
      <c r="R6243" t="s">
        <v>616</v>
      </c>
      <c r="S6243">
        <v>0</v>
      </c>
      <c r="T6243" s="1095">
        <v>0</v>
      </c>
    </row>
    <row r="6244" spans="16:20">
      <c r="P6244" s="1094">
        <v>3314</v>
      </c>
      <c r="Q6244" t="s">
        <v>7137</v>
      </c>
      <c r="R6244" t="s">
        <v>616</v>
      </c>
      <c r="S6244">
        <v>0</v>
      </c>
      <c r="T6244" s="1095">
        <v>0</v>
      </c>
    </row>
    <row r="6245" spans="16:20">
      <c r="P6245" s="1094">
        <v>3314</v>
      </c>
      <c r="Q6245" t="s">
        <v>7138</v>
      </c>
      <c r="R6245" t="s">
        <v>616</v>
      </c>
      <c r="S6245">
        <v>0</v>
      </c>
      <c r="T6245" s="1095">
        <v>0</v>
      </c>
    </row>
    <row r="6246" spans="16:20">
      <c r="P6246" s="1094">
        <v>3314</v>
      </c>
      <c r="Q6246" t="s">
        <v>7139</v>
      </c>
      <c r="R6246" t="s">
        <v>616</v>
      </c>
      <c r="S6246">
        <v>0</v>
      </c>
      <c r="T6246" s="1095">
        <v>0</v>
      </c>
    </row>
    <row r="6247" spans="16:20">
      <c r="P6247" s="1094">
        <v>3314</v>
      </c>
      <c r="Q6247" t="s">
        <v>7140</v>
      </c>
      <c r="R6247" t="s">
        <v>616</v>
      </c>
      <c r="S6247">
        <v>0</v>
      </c>
      <c r="T6247" s="1095">
        <v>0</v>
      </c>
    </row>
    <row r="6248" spans="16:20">
      <c r="P6248" s="1094">
        <v>3315</v>
      </c>
      <c r="Q6248" t="s">
        <v>7141</v>
      </c>
      <c r="R6248" t="s">
        <v>616</v>
      </c>
      <c r="S6248">
        <v>141.68751599999999</v>
      </c>
      <c r="T6248" s="1095">
        <v>-37.408371000000002</v>
      </c>
    </row>
    <row r="6249" spans="16:20">
      <c r="P6249" s="1094">
        <v>3315</v>
      </c>
      <c r="Q6249" t="s">
        <v>7142</v>
      </c>
      <c r="R6249" t="s">
        <v>616</v>
      </c>
      <c r="S6249">
        <v>141.68751599999999</v>
      </c>
      <c r="T6249" s="1095">
        <v>-37.408371000000002</v>
      </c>
    </row>
    <row r="6250" spans="16:20">
      <c r="P6250" s="1094">
        <v>3315</v>
      </c>
      <c r="Q6250" t="s">
        <v>7143</v>
      </c>
      <c r="R6250" t="s">
        <v>616</v>
      </c>
      <c r="S6250">
        <v>141.68751599999999</v>
      </c>
      <c r="T6250" s="1095">
        <v>-37.408371000000002</v>
      </c>
    </row>
    <row r="6251" spans="16:20">
      <c r="P6251" s="1094">
        <v>3315</v>
      </c>
      <c r="Q6251" t="s">
        <v>7144</v>
      </c>
      <c r="R6251" t="s">
        <v>616</v>
      </c>
      <c r="S6251">
        <v>141.68751599999999</v>
      </c>
      <c r="T6251" s="1095">
        <v>-37.408371000000002</v>
      </c>
    </row>
    <row r="6252" spans="16:20">
      <c r="P6252" s="1094">
        <v>3315</v>
      </c>
      <c r="Q6252" t="s">
        <v>7145</v>
      </c>
      <c r="R6252" t="s">
        <v>616</v>
      </c>
      <c r="S6252">
        <v>141.68751599999999</v>
      </c>
      <c r="T6252" s="1095">
        <v>-37.408371000000002</v>
      </c>
    </row>
    <row r="6253" spans="16:20">
      <c r="P6253" s="1094">
        <v>3315</v>
      </c>
      <c r="Q6253" t="s">
        <v>7146</v>
      </c>
      <c r="R6253" t="s">
        <v>616</v>
      </c>
      <c r="S6253">
        <v>141.68751599999999</v>
      </c>
      <c r="T6253" s="1095">
        <v>-37.408371000000002</v>
      </c>
    </row>
    <row r="6254" spans="16:20">
      <c r="P6254" s="1094">
        <v>3315</v>
      </c>
      <c r="Q6254" t="s">
        <v>7147</v>
      </c>
      <c r="R6254" t="s">
        <v>616</v>
      </c>
      <c r="S6254">
        <v>141.68751599999999</v>
      </c>
      <c r="T6254" s="1095">
        <v>-37.408371000000002</v>
      </c>
    </row>
    <row r="6255" spans="16:20">
      <c r="P6255" s="1094">
        <v>3315</v>
      </c>
      <c r="Q6255" t="s">
        <v>7148</v>
      </c>
      <c r="R6255" t="s">
        <v>616</v>
      </c>
      <c r="S6255">
        <v>141.68751599999999</v>
      </c>
      <c r="T6255" s="1095">
        <v>-37.408371000000002</v>
      </c>
    </row>
    <row r="6256" spans="16:20">
      <c r="P6256" s="1094">
        <v>3315</v>
      </c>
      <c r="Q6256" t="s">
        <v>7149</v>
      </c>
      <c r="R6256" t="s">
        <v>616</v>
      </c>
      <c r="S6256">
        <v>141.68751599999999</v>
      </c>
      <c r="T6256" s="1095">
        <v>-37.408371000000002</v>
      </c>
    </row>
    <row r="6257" spans="16:20">
      <c r="P6257" s="1094">
        <v>3315</v>
      </c>
      <c r="Q6257" t="s">
        <v>7150</v>
      </c>
      <c r="R6257" t="s">
        <v>616</v>
      </c>
      <c r="S6257">
        <v>141.68751599999999</v>
      </c>
      <c r="T6257" s="1095">
        <v>-37.408371000000002</v>
      </c>
    </row>
    <row r="6258" spans="16:20">
      <c r="P6258" s="1094">
        <v>3315</v>
      </c>
      <c r="Q6258" t="s">
        <v>7151</v>
      </c>
      <c r="R6258" t="s">
        <v>616</v>
      </c>
      <c r="S6258">
        <v>141.68751599999999</v>
      </c>
      <c r="T6258" s="1095">
        <v>-37.408371000000002</v>
      </c>
    </row>
    <row r="6259" spans="16:20">
      <c r="P6259" s="1094">
        <v>3315</v>
      </c>
      <c r="Q6259" t="s">
        <v>7152</v>
      </c>
      <c r="R6259" t="s">
        <v>616</v>
      </c>
      <c r="S6259">
        <v>141.68751599999999</v>
      </c>
      <c r="T6259" s="1095">
        <v>-37.408371000000002</v>
      </c>
    </row>
    <row r="6260" spans="16:20">
      <c r="P6260" s="1094">
        <v>3315</v>
      </c>
      <c r="Q6260" t="s">
        <v>7153</v>
      </c>
      <c r="R6260" t="s">
        <v>616</v>
      </c>
      <c r="S6260">
        <v>141.68751599999999</v>
      </c>
      <c r="T6260" s="1095">
        <v>-37.408371000000002</v>
      </c>
    </row>
    <row r="6261" spans="16:20">
      <c r="P6261" s="1094">
        <v>3315</v>
      </c>
      <c r="Q6261" t="s">
        <v>7154</v>
      </c>
      <c r="R6261" t="s">
        <v>616</v>
      </c>
      <c r="S6261">
        <v>141.68751599999999</v>
      </c>
      <c r="T6261" s="1095">
        <v>-37.408371000000002</v>
      </c>
    </row>
    <row r="6262" spans="16:20">
      <c r="P6262" s="1094">
        <v>3315</v>
      </c>
      <c r="Q6262" t="s">
        <v>7155</v>
      </c>
      <c r="R6262" t="s">
        <v>616</v>
      </c>
      <c r="S6262">
        <v>141.68751599999999</v>
      </c>
      <c r="T6262" s="1095">
        <v>-37.408371000000002</v>
      </c>
    </row>
    <row r="6263" spans="16:20">
      <c r="P6263" s="1094">
        <v>3315</v>
      </c>
      <c r="Q6263" t="s">
        <v>7156</v>
      </c>
      <c r="R6263" t="s">
        <v>616</v>
      </c>
      <c r="S6263">
        <v>141.68751599999999</v>
      </c>
      <c r="T6263" s="1095">
        <v>-37.408371000000002</v>
      </c>
    </row>
    <row r="6264" spans="16:20">
      <c r="P6264" s="1094">
        <v>3315</v>
      </c>
      <c r="Q6264" t="s">
        <v>7157</v>
      </c>
      <c r="R6264" t="s">
        <v>616</v>
      </c>
      <c r="S6264">
        <v>141.68751599999999</v>
      </c>
      <c r="T6264" s="1095">
        <v>-37.408371000000002</v>
      </c>
    </row>
    <row r="6265" spans="16:20">
      <c r="P6265" s="1094">
        <v>3317</v>
      </c>
      <c r="Q6265" t="s">
        <v>7158</v>
      </c>
      <c r="R6265" t="s">
        <v>616</v>
      </c>
      <c r="S6265">
        <v>141.45164700000001</v>
      </c>
      <c r="T6265" s="1095">
        <v>-37.166673000000003</v>
      </c>
    </row>
    <row r="6266" spans="16:20">
      <c r="P6266" s="1094">
        <v>3318</v>
      </c>
      <c r="Q6266" t="s">
        <v>7159</v>
      </c>
      <c r="R6266" t="s">
        <v>616</v>
      </c>
      <c r="S6266">
        <v>141.26957100000001</v>
      </c>
      <c r="T6266" s="1095">
        <v>-37.025315999999997</v>
      </c>
    </row>
    <row r="6267" spans="16:20">
      <c r="P6267" s="1094">
        <v>3318</v>
      </c>
      <c r="Q6267" t="s">
        <v>7160</v>
      </c>
      <c r="R6267" t="s">
        <v>616</v>
      </c>
      <c r="S6267">
        <v>141.26957100000001</v>
      </c>
      <c r="T6267" s="1095">
        <v>-37.025315999999997</v>
      </c>
    </row>
    <row r="6268" spans="16:20">
      <c r="P6268" s="1094">
        <v>3318</v>
      </c>
      <c r="Q6268" t="s">
        <v>7161</v>
      </c>
      <c r="R6268" t="s">
        <v>616</v>
      </c>
      <c r="S6268">
        <v>141.26957100000001</v>
      </c>
      <c r="T6268" s="1095">
        <v>-37.025315999999997</v>
      </c>
    </row>
    <row r="6269" spans="16:20">
      <c r="P6269" s="1094">
        <v>3318</v>
      </c>
      <c r="Q6269" t="s">
        <v>7162</v>
      </c>
      <c r="R6269" t="s">
        <v>616</v>
      </c>
      <c r="S6269">
        <v>141.26957100000001</v>
      </c>
      <c r="T6269" s="1095">
        <v>-37.025315999999997</v>
      </c>
    </row>
    <row r="6270" spans="16:20">
      <c r="P6270" s="1094">
        <v>3318</v>
      </c>
      <c r="Q6270" t="s">
        <v>7163</v>
      </c>
      <c r="R6270" t="s">
        <v>616</v>
      </c>
      <c r="S6270">
        <v>141.26957100000001</v>
      </c>
      <c r="T6270" s="1095">
        <v>-37.025315999999997</v>
      </c>
    </row>
    <row r="6271" spans="16:20">
      <c r="P6271" s="1094">
        <v>3318</v>
      </c>
      <c r="Q6271" t="s">
        <v>7164</v>
      </c>
      <c r="R6271" t="s">
        <v>616</v>
      </c>
      <c r="S6271">
        <v>141.26957100000001</v>
      </c>
      <c r="T6271" s="1095">
        <v>-37.025315999999997</v>
      </c>
    </row>
    <row r="6272" spans="16:20">
      <c r="P6272" s="1094">
        <v>3318</v>
      </c>
      <c r="Q6272" t="s">
        <v>7165</v>
      </c>
      <c r="R6272" t="s">
        <v>616</v>
      </c>
      <c r="S6272">
        <v>141.26957100000001</v>
      </c>
      <c r="T6272" s="1095">
        <v>-37.025315999999997</v>
      </c>
    </row>
    <row r="6273" spans="16:20">
      <c r="P6273" s="1094">
        <v>3318</v>
      </c>
      <c r="Q6273" t="s">
        <v>7166</v>
      </c>
      <c r="R6273" t="s">
        <v>616</v>
      </c>
      <c r="S6273">
        <v>141.26957100000001</v>
      </c>
      <c r="T6273" s="1095">
        <v>-37.025315999999997</v>
      </c>
    </row>
    <row r="6274" spans="16:20">
      <c r="P6274" s="1094">
        <v>3318</v>
      </c>
      <c r="Q6274" t="s">
        <v>7167</v>
      </c>
      <c r="R6274" t="s">
        <v>616</v>
      </c>
      <c r="S6274">
        <v>141.26957100000001</v>
      </c>
      <c r="T6274" s="1095">
        <v>-37.025315999999997</v>
      </c>
    </row>
    <row r="6275" spans="16:20">
      <c r="P6275" s="1094">
        <v>3319</v>
      </c>
      <c r="Q6275" t="s">
        <v>5925</v>
      </c>
      <c r="R6275" t="s">
        <v>616</v>
      </c>
      <c r="S6275">
        <v>141.051389</v>
      </c>
      <c r="T6275" s="1095">
        <v>-36.873961000000001</v>
      </c>
    </row>
    <row r="6276" spans="16:20">
      <c r="P6276" s="1094">
        <v>3319</v>
      </c>
      <c r="Q6276" t="s">
        <v>7168</v>
      </c>
      <c r="R6276" t="s">
        <v>616</v>
      </c>
      <c r="S6276">
        <v>141.051389</v>
      </c>
      <c r="T6276" s="1095">
        <v>-36.873961000000001</v>
      </c>
    </row>
    <row r="6277" spans="16:20">
      <c r="P6277" s="1094">
        <v>3319</v>
      </c>
      <c r="Q6277" t="s">
        <v>7169</v>
      </c>
      <c r="R6277" t="s">
        <v>616</v>
      </c>
      <c r="S6277">
        <v>141.051389</v>
      </c>
      <c r="T6277" s="1095">
        <v>-36.873961000000001</v>
      </c>
    </row>
    <row r="6278" spans="16:20">
      <c r="P6278" s="1094">
        <v>3321</v>
      </c>
      <c r="Q6278" t="s">
        <v>7170</v>
      </c>
      <c r="R6278" t="s">
        <v>616</v>
      </c>
      <c r="S6278">
        <v>143.88056</v>
      </c>
      <c r="T6278" s="1095">
        <v>-38.087758000000001</v>
      </c>
    </row>
    <row r="6279" spans="16:20">
      <c r="P6279" s="1094">
        <v>3321</v>
      </c>
      <c r="Q6279" t="s">
        <v>7171</v>
      </c>
      <c r="R6279" t="s">
        <v>616</v>
      </c>
      <c r="S6279">
        <v>143.88056</v>
      </c>
      <c r="T6279" s="1095">
        <v>-38.087758000000001</v>
      </c>
    </row>
    <row r="6280" spans="16:20">
      <c r="P6280" s="1094">
        <v>3321</v>
      </c>
      <c r="Q6280" t="s">
        <v>7172</v>
      </c>
      <c r="R6280" t="s">
        <v>616</v>
      </c>
      <c r="S6280">
        <v>143.88056</v>
      </c>
      <c r="T6280" s="1095">
        <v>-38.087758000000001</v>
      </c>
    </row>
    <row r="6281" spans="16:20">
      <c r="P6281" s="1094">
        <v>3322</v>
      </c>
      <c r="Q6281" t="s">
        <v>7173</v>
      </c>
      <c r="R6281" t="s">
        <v>616</v>
      </c>
      <c r="S6281">
        <v>143.74330499999999</v>
      </c>
      <c r="T6281" s="1095">
        <v>-38.021332999999998</v>
      </c>
    </row>
    <row r="6282" spans="16:20">
      <c r="P6282" s="1094">
        <v>3323</v>
      </c>
      <c r="Q6282" t="s">
        <v>7174</v>
      </c>
      <c r="R6282" t="s">
        <v>616</v>
      </c>
      <c r="S6282">
        <v>143.52093400000001</v>
      </c>
      <c r="T6282" s="1095">
        <v>-38.026313999999999</v>
      </c>
    </row>
    <row r="6283" spans="16:20">
      <c r="P6283" s="1094">
        <v>3323</v>
      </c>
      <c r="Q6283" t="s">
        <v>7175</v>
      </c>
      <c r="R6283" t="s">
        <v>616</v>
      </c>
      <c r="S6283">
        <v>143.52093400000001</v>
      </c>
      <c r="T6283" s="1095">
        <v>-38.026313999999999</v>
      </c>
    </row>
    <row r="6284" spans="16:20">
      <c r="P6284" s="1094">
        <v>3323</v>
      </c>
      <c r="Q6284" t="s">
        <v>7176</v>
      </c>
      <c r="R6284" t="s">
        <v>616</v>
      </c>
      <c r="S6284">
        <v>143.52093400000001</v>
      </c>
      <c r="T6284" s="1095">
        <v>-38.026313999999999</v>
      </c>
    </row>
    <row r="6285" spans="16:20">
      <c r="P6285" s="1094">
        <v>3324</v>
      </c>
      <c r="Q6285" t="s">
        <v>4012</v>
      </c>
      <c r="R6285" t="s">
        <v>616</v>
      </c>
      <c r="S6285">
        <v>143.37541400000001</v>
      </c>
      <c r="T6285" s="1095">
        <v>-37.941938999999998</v>
      </c>
    </row>
    <row r="6286" spans="16:20">
      <c r="P6286" s="1094">
        <v>3324</v>
      </c>
      <c r="Q6286" t="s">
        <v>5487</v>
      </c>
      <c r="R6286" t="s">
        <v>616</v>
      </c>
      <c r="S6286">
        <v>143.37541400000001</v>
      </c>
      <c r="T6286" s="1095">
        <v>-37.941938999999998</v>
      </c>
    </row>
    <row r="6287" spans="16:20">
      <c r="P6287" s="1094">
        <v>3324</v>
      </c>
      <c r="Q6287" t="s">
        <v>7177</v>
      </c>
      <c r="R6287" t="s">
        <v>616</v>
      </c>
      <c r="S6287">
        <v>143.37541400000001</v>
      </c>
      <c r="T6287" s="1095">
        <v>-37.941938999999998</v>
      </c>
    </row>
    <row r="6288" spans="16:20">
      <c r="P6288" s="1094">
        <v>3325</v>
      </c>
      <c r="Q6288" t="s">
        <v>7178</v>
      </c>
      <c r="R6288" t="s">
        <v>616</v>
      </c>
      <c r="S6288">
        <v>143.185911</v>
      </c>
      <c r="T6288" s="1095">
        <v>-37.877451999999998</v>
      </c>
    </row>
    <row r="6289" spans="16:20">
      <c r="P6289" s="1094">
        <v>3325</v>
      </c>
      <c r="Q6289" t="s">
        <v>7179</v>
      </c>
      <c r="R6289" t="s">
        <v>616</v>
      </c>
      <c r="S6289">
        <v>143.185911</v>
      </c>
      <c r="T6289" s="1095">
        <v>-37.877451999999998</v>
      </c>
    </row>
    <row r="6290" spans="16:20">
      <c r="P6290" s="1094">
        <v>3325</v>
      </c>
      <c r="Q6290" t="s">
        <v>7180</v>
      </c>
      <c r="R6290" t="s">
        <v>616</v>
      </c>
      <c r="S6290">
        <v>143.185911</v>
      </c>
      <c r="T6290" s="1095">
        <v>-37.877451999999998</v>
      </c>
    </row>
    <row r="6291" spans="16:20">
      <c r="P6291" s="1094">
        <v>3325</v>
      </c>
      <c r="Q6291" t="s">
        <v>7181</v>
      </c>
      <c r="R6291" t="s">
        <v>616</v>
      </c>
      <c r="S6291">
        <v>143.185911</v>
      </c>
      <c r="T6291" s="1095">
        <v>-37.877451999999998</v>
      </c>
    </row>
    <row r="6292" spans="16:20">
      <c r="P6292" s="1094">
        <v>3328</v>
      </c>
      <c r="Q6292" t="s">
        <v>7182</v>
      </c>
      <c r="R6292" t="s">
        <v>616</v>
      </c>
      <c r="S6292">
        <v>144.043058</v>
      </c>
      <c r="T6292" s="1095">
        <v>-38.018664000000001</v>
      </c>
    </row>
    <row r="6293" spans="16:20">
      <c r="P6293" s="1094">
        <v>3329</v>
      </c>
      <c r="Q6293" t="s">
        <v>7183</v>
      </c>
      <c r="R6293" t="s">
        <v>616</v>
      </c>
      <c r="S6293">
        <v>143.908716</v>
      </c>
      <c r="T6293" s="1095">
        <v>-37.983701000000003</v>
      </c>
    </row>
    <row r="6294" spans="16:20">
      <c r="P6294" s="1094">
        <v>3329</v>
      </c>
      <c r="Q6294" t="s">
        <v>7184</v>
      </c>
      <c r="R6294" t="s">
        <v>616</v>
      </c>
      <c r="S6294">
        <v>143.908716</v>
      </c>
      <c r="T6294" s="1095">
        <v>-37.983701000000003</v>
      </c>
    </row>
    <row r="6295" spans="16:20">
      <c r="P6295" s="1094">
        <v>3330</v>
      </c>
      <c r="Q6295" t="s">
        <v>7185</v>
      </c>
      <c r="R6295" t="s">
        <v>616</v>
      </c>
      <c r="S6295">
        <v>143.75857600000001</v>
      </c>
      <c r="T6295" s="1095">
        <v>-37.918436999999997</v>
      </c>
    </row>
    <row r="6296" spans="16:20">
      <c r="P6296" s="1094">
        <v>3331</v>
      </c>
      <c r="Q6296" t="s">
        <v>7186</v>
      </c>
      <c r="R6296" t="s">
        <v>616</v>
      </c>
      <c r="S6296">
        <v>144.194625</v>
      </c>
      <c r="T6296" s="1095">
        <v>-38.049194999999997</v>
      </c>
    </row>
    <row r="6297" spans="16:20">
      <c r="P6297" s="1094">
        <v>3331</v>
      </c>
      <c r="Q6297" t="s">
        <v>7187</v>
      </c>
      <c r="R6297" t="s">
        <v>616</v>
      </c>
      <c r="S6297">
        <v>144.194625</v>
      </c>
      <c r="T6297" s="1095">
        <v>-38.049194999999997</v>
      </c>
    </row>
    <row r="6298" spans="16:20">
      <c r="P6298" s="1094">
        <v>3331</v>
      </c>
      <c r="Q6298" t="s">
        <v>5415</v>
      </c>
      <c r="R6298" t="s">
        <v>616</v>
      </c>
      <c r="S6298">
        <v>144.194625</v>
      </c>
      <c r="T6298" s="1095">
        <v>-38.049194999999997</v>
      </c>
    </row>
    <row r="6299" spans="16:20">
      <c r="P6299" s="1094">
        <v>3331</v>
      </c>
      <c r="Q6299" t="s">
        <v>7188</v>
      </c>
      <c r="R6299" t="s">
        <v>616</v>
      </c>
      <c r="S6299">
        <v>144.194625</v>
      </c>
      <c r="T6299" s="1095">
        <v>-38.049194999999997</v>
      </c>
    </row>
    <row r="6300" spans="16:20">
      <c r="P6300" s="1094">
        <v>3331</v>
      </c>
      <c r="Q6300" t="s">
        <v>7189</v>
      </c>
      <c r="R6300" t="s">
        <v>616</v>
      </c>
      <c r="S6300">
        <v>144.194625</v>
      </c>
      <c r="T6300" s="1095">
        <v>-38.049194999999997</v>
      </c>
    </row>
    <row r="6301" spans="16:20">
      <c r="P6301" s="1094">
        <v>3331</v>
      </c>
      <c r="Q6301" t="s">
        <v>7190</v>
      </c>
      <c r="R6301" t="s">
        <v>616</v>
      </c>
      <c r="S6301">
        <v>144.194625</v>
      </c>
      <c r="T6301" s="1095">
        <v>-38.049194999999997</v>
      </c>
    </row>
    <row r="6302" spans="16:20">
      <c r="P6302" s="1094">
        <v>3331</v>
      </c>
      <c r="Q6302" t="s">
        <v>7191</v>
      </c>
      <c r="R6302" t="s">
        <v>616</v>
      </c>
      <c r="S6302">
        <v>144.194625</v>
      </c>
      <c r="T6302" s="1095">
        <v>-38.049194999999997</v>
      </c>
    </row>
    <row r="6303" spans="16:20">
      <c r="P6303" s="1094">
        <v>3332</v>
      </c>
      <c r="Q6303" t="s">
        <v>7192</v>
      </c>
      <c r="R6303" t="s">
        <v>616</v>
      </c>
      <c r="S6303">
        <v>144.09717800000001</v>
      </c>
      <c r="T6303" s="1095">
        <v>-37.944445999999999</v>
      </c>
    </row>
    <row r="6304" spans="16:20">
      <c r="P6304" s="1094">
        <v>3333</v>
      </c>
      <c r="Q6304" t="s">
        <v>7193</v>
      </c>
      <c r="R6304" t="s">
        <v>616</v>
      </c>
      <c r="S6304">
        <v>144.04476</v>
      </c>
      <c r="T6304" s="1095">
        <v>-37.871789999999997</v>
      </c>
    </row>
    <row r="6305" spans="16:20">
      <c r="P6305" s="1094">
        <v>3333</v>
      </c>
      <c r="Q6305" t="s">
        <v>7194</v>
      </c>
      <c r="R6305" t="s">
        <v>616</v>
      </c>
      <c r="S6305">
        <v>144.04476</v>
      </c>
      <c r="T6305" s="1095">
        <v>-37.871789999999997</v>
      </c>
    </row>
    <row r="6306" spans="16:20">
      <c r="P6306" s="1094">
        <v>3334</v>
      </c>
      <c r="Q6306" t="s">
        <v>7195</v>
      </c>
      <c r="R6306" t="s">
        <v>616</v>
      </c>
      <c r="S6306">
        <v>144.08608899999999</v>
      </c>
      <c r="T6306" s="1095">
        <v>-37.758029999999998</v>
      </c>
    </row>
    <row r="6307" spans="16:20">
      <c r="P6307" s="1094">
        <v>3334</v>
      </c>
      <c r="Q6307" t="s">
        <v>7196</v>
      </c>
      <c r="R6307" t="s">
        <v>616</v>
      </c>
      <c r="S6307">
        <v>144.08608899999999</v>
      </c>
      <c r="T6307" s="1095">
        <v>-37.758029999999998</v>
      </c>
    </row>
    <row r="6308" spans="16:20">
      <c r="P6308" s="1094">
        <v>3334</v>
      </c>
      <c r="Q6308" t="s">
        <v>7197</v>
      </c>
      <c r="R6308" t="s">
        <v>616</v>
      </c>
      <c r="S6308">
        <v>144.08608899999999</v>
      </c>
      <c r="T6308" s="1095">
        <v>-37.758029999999998</v>
      </c>
    </row>
    <row r="6309" spans="16:20">
      <c r="P6309" s="1094">
        <v>3334</v>
      </c>
      <c r="Q6309" t="s">
        <v>7198</v>
      </c>
      <c r="R6309" t="s">
        <v>616</v>
      </c>
      <c r="S6309">
        <v>144.08608899999999</v>
      </c>
      <c r="T6309" s="1095">
        <v>-37.758029999999998</v>
      </c>
    </row>
    <row r="6310" spans="16:20">
      <c r="P6310" s="1094">
        <v>3334</v>
      </c>
      <c r="Q6310" t="s">
        <v>7199</v>
      </c>
      <c r="R6310" t="s">
        <v>616</v>
      </c>
      <c r="S6310">
        <v>144.08608899999999</v>
      </c>
      <c r="T6310" s="1095">
        <v>-37.758029999999998</v>
      </c>
    </row>
    <row r="6311" spans="16:20">
      <c r="P6311" s="1094">
        <v>3335</v>
      </c>
      <c r="Q6311" t="s">
        <v>5626</v>
      </c>
      <c r="R6311" t="s">
        <v>616</v>
      </c>
      <c r="S6311">
        <v>144.699671</v>
      </c>
      <c r="T6311" s="1095">
        <v>-37.724141000000003</v>
      </c>
    </row>
    <row r="6312" spans="16:20">
      <c r="P6312" s="1094">
        <v>3335</v>
      </c>
      <c r="Q6312" t="s">
        <v>7200</v>
      </c>
      <c r="R6312" t="s">
        <v>616</v>
      </c>
      <c r="S6312">
        <v>144.699671</v>
      </c>
      <c r="T6312" s="1095">
        <v>-37.724141000000003</v>
      </c>
    </row>
    <row r="6313" spans="16:20">
      <c r="P6313" s="1094">
        <v>3337</v>
      </c>
      <c r="Q6313" t="s">
        <v>7201</v>
      </c>
      <c r="R6313" t="s">
        <v>616</v>
      </c>
      <c r="S6313">
        <v>144.57145800000001</v>
      </c>
      <c r="T6313" s="1095">
        <v>-37.656056999999997</v>
      </c>
    </row>
    <row r="6314" spans="16:20">
      <c r="P6314" s="1094">
        <v>3337</v>
      </c>
      <c r="Q6314" t="s">
        <v>7202</v>
      </c>
      <c r="R6314" t="s">
        <v>616</v>
      </c>
      <c r="S6314">
        <v>144.57145800000001</v>
      </c>
      <c r="T6314" s="1095">
        <v>-37.656056999999997</v>
      </c>
    </row>
    <row r="6315" spans="16:20">
      <c r="P6315" s="1094">
        <v>3337</v>
      </c>
      <c r="Q6315" t="s">
        <v>7203</v>
      </c>
      <c r="R6315" t="s">
        <v>616</v>
      </c>
      <c r="S6315">
        <v>144.57145800000001</v>
      </c>
      <c r="T6315" s="1095">
        <v>-37.656056999999997</v>
      </c>
    </row>
    <row r="6316" spans="16:20">
      <c r="P6316" s="1094">
        <v>3337</v>
      </c>
      <c r="Q6316" t="s">
        <v>7204</v>
      </c>
      <c r="R6316" t="s">
        <v>616</v>
      </c>
      <c r="S6316">
        <v>144.57145800000001</v>
      </c>
      <c r="T6316" s="1095">
        <v>-37.656056999999997</v>
      </c>
    </row>
    <row r="6317" spans="16:20">
      <c r="P6317" s="1094">
        <v>3338</v>
      </c>
      <c r="Q6317" t="s">
        <v>3232</v>
      </c>
      <c r="R6317" t="s">
        <v>616</v>
      </c>
      <c r="S6317">
        <v>144.571033</v>
      </c>
      <c r="T6317" s="1095">
        <v>-37.705528999999999</v>
      </c>
    </row>
    <row r="6318" spans="16:20">
      <c r="P6318" s="1094">
        <v>3338</v>
      </c>
      <c r="Q6318" t="s">
        <v>7205</v>
      </c>
      <c r="R6318" t="s">
        <v>616</v>
      </c>
      <c r="S6318">
        <v>144.571033</v>
      </c>
      <c r="T6318" s="1095">
        <v>-37.705528999999999</v>
      </c>
    </row>
    <row r="6319" spans="16:20">
      <c r="P6319" s="1094">
        <v>3338</v>
      </c>
      <c r="Q6319" t="s">
        <v>7206</v>
      </c>
      <c r="R6319" t="s">
        <v>616</v>
      </c>
      <c r="S6319">
        <v>144.571033</v>
      </c>
      <c r="T6319" s="1095">
        <v>-37.705528999999999</v>
      </c>
    </row>
    <row r="6320" spans="16:20">
      <c r="P6320" s="1094">
        <v>3338</v>
      </c>
      <c r="Q6320" t="s">
        <v>7207</v>
      </c>
      <c r="R6320" t="s">
        <v>616</v>
      </c>
      <c r="S6320">
        <v>144.571033</v>
      </c>
      <c r="T6320" s="1095">
        <v>-37.705528999999999</v>
      </c>
    </row>
    <row r="6321" spans="16:20">
      <c r="P6321" s="1094">
        <v>3340</v>
      </c>
      <c r="Q6321" t="s">
        <v>7208</v>
      </c>
      <c r="R6321" t="s">
        <v>616</v>
      </c>
      <c r="S6321">
        <v>144.394442</v>
      </c>
      <c r="T6321" s="1095">
        <v>-37.787134999999999</v>
      </c>
    </row>
    <row r="6322" spans="16:20">
      <c r="P6322" s="1094">
        <v>3340</v>
      </c>
      <c r="Q6322" t="s">
        <v>7209</v>
      </c>
      <c r="R6322" t="s">
        <v>616</v>
      </c>
      <c r="S6322">
        <v>144.394442</v>
      </c>
      <c r="T6322" s="1095">
        <v>-37.787134999999999</v>
      </c>
    </row>
    <row r="6323" spans="16:20">
      <c r="P6323" s="1094">
        <v>3340</v>
      </c>
      <c r="Q6323" t="s">
        <v>7210</v>
      </c>
      <c r="R6323" t="s">
        <v>616</v>
      </c>
      <c r="S6323">
        <v>144.394442</v>
      </c>
      <c r="T6323" s="1095">
        <v>-37.787134999999999</v>
      </c>
    </row>
    <row r="6324" spans="16:20">
      <c r="P6324" s="1094">
        <v>3340</v>
      </c>
      <c r="Q6324" t="s">
        <v>7211</v>
      </c>
      <c r="R6324" t="s">
        <v>616</v>
      </c>
      <c r="S6324">
        <v>144.394442</v>
      </c>
      <c r="T6324" s="1095">
        <v>-37.787134999999999</v>
      </c>
    </row>
    <row r="6325" spans="16:20">
      <c r="P6325" s="1094">
        <v>3340</v>
      </c>
      <c r="Q6325" t="s">
        <v>7212</v>
      </c>
      <c r="R6325" t="s">
        <v>616</v>
      </c>
      <c r="S6325">
        <v>144.394442</v>
      </c>
      <c r="T6325" s="1095">
        <v>-37.787134999999999</v>
      </c>
    </row>
    <row r="6326" spans="16:20">
      <c r="P6326" s="1094">
        <v>3340</v>
      </c>
      <c r="Q6326" t="s">
        <v>4561</v>
      </c>
      <c r="R6326" t="s">
        <v>616</v>
      </c>
      <c r="S6326">
        <v>144.394442</v>
      </c>
      <c r="T6326" s="1095">
        <v>-37.787134999999999</v>
      </c>
    </row>
    <row r="6327" spans="16:20">
      <c r="P6327" s="1094">
        <v>3340</v>
      </c>
      <c r="Q6327" t="s">
        <v>7213</v>
      </c>
      <c r="R6327" t="s">
        <v>616</v>
      </c>
      <c r="S6327">
        <v>144.394442</v>
      </c>
      <c r="T6327" s="1095">
        <v>-37.787134999999999</v>
      </c>
    </row>
    <row r="6328" spans="16:20">
      <c r="P6328" s="1094">
        <v>3340</v>
      </c>
      <c r="Q6328" t="s">
        <v>7214</v>
      </c>
      <c r="R6328" t="s">
        <v>616</v>
      </c>
      <c r="S6328">
        <v>144.394442</v>
      </c>
      <c r="T6328" s="1095">
        <v>-37.787134999999999</v>
      </c>
    </row>
    <row r="6329" spans="16:20">
      <c r="P6329" s="1094">
        <v>3340</v>
      </c>
      <c r="Q6329" t="s">
        <v>7215</v>
      </c>
      <c r="R6329" t="s">
        <v>616</v>
      </c>
      <c r="S6329">
        <v>144.394442</v>
      </c>
      <c r="T6329" s="1095">
        <v>-37.787134999999999</v>
      </c>
    </row>
    <row r="6330" spans="16:20">
      <c r="P6330" s="1094">
        <v>3340</v>
      </c>
      <c r="Q6330" t="s">
        <v>7216</v>
      </c>
      <c r="R6330" t="s">
        <v>616</v>
      </c>
      <c r="S6330">
        <v>144.394442</v>
      </c>
      <c r="T6330" s="1095">
        <v>-37.787134999999999</v>
      </c>
    </row>
    <row r="6331" spans="16:20">
      <c r="P6331" s="1094">
        <v>3340</v>
      </c>
      <c r="Q6331" t="s">
        <v>7217</v>
      </c>
      <c r="R6331" t="s">
        <v>616</v>
      </c>
      <c r="S6331">
        <v>144.394442</v>
      </c>
      <c r="T6331" s="1095">
        <v>-37.787134999999999</v>
      </c>
    </row>
    <row r="6332" spans="16:20">
      <c r="P6332" s="1094">
        <v>3340</v>
      </c>
      <c r="Q6332" t="s">
        <v>7218</v>
      </c>
      <c r="R6332" t="s">
        <v>616</v>
      </c>
      <c r="S6332">
        <v>144.394442</v>
      </c>
      <c r="T6332" s="1095">
        <v>-37.787134999999999</v>
      </c>
    </row>
    <row r="6333" spans="16:20">
      <c r="P6333" s="1094">
        <v>3341</v>
      </c>
      <c r="Q6333" t="s">
        <v>7219</v>
      </c>
      <c r="R6333" t="s">
        <v>616</v>
      </c>
      <c r="S6333">
        <v>144.308232</v>
      </c>
      <c r="T6333" s="1095">
        <v>-37.573711000000003</v>
      </c>
    </row>
    <row r="6334" spans="16:20">
      <c r="P6334" s="1094">
        <v>3341</v>
      </c>
      <c r="Q6334" t="s">
        <v>4420</v>
      </c>
      <c r="R6334" t="s">
        <v>616</v>
      </c>
      <c r="S6334">
        <v>144.308232</v>
      </c>
      <c r="T6334" s="1095">
        <v>-37.573711000000003</v>
      </c>
    </row>
    <row r="6335" spans="16:20">
      <c r="P6335" s="1094">
        <v>3341</v>
      </c>
      <c r="Q6335" t="s">
        <v>7220</v>
      </c>
      <c r="R6335" t="s">
        <v>616</v>
      </c>
      <c r="S6335">
        <v>144.308232</v>
      </c>
      <c r="T6335" s="1095">
        <v>-37.573711000000003</v>
      </c>
    </row>
    <row r="6336" spans="16:20">
      <c r="P6336" s="1094">
        <v>3341</v>
      </c>
      <c r="Q6336" t="s">
        <v>7221</v>
      </c>
      <c r="R6336" t="s">
        <v>616</v>
      </c>
      <c r="S6336">
        <v>144.308232</v>
      </c>
      <c r="T6336" s="1095">
        <v>-37.573711000000003</v>
      </c>
    </row>
    <row r="6337" spans="16:20">
      <c r="P6337" s="1094">
        <v>3341</v>
      </c>
      <c r="Q6337" t="s">
        <v>7222</v>
      </c>
      <c r="R6337" t="s">
        <v>616</v>
      </c>
      <c r="S6337">
        <v>144.308232</v>
      </c>
      <c r="T6337" s="1095">
        <v>-37.573711000000003</v>
      </c>
    </row>
    <row r="6338" spans="16:20">
      <c r="P6338" s="1094">
        <v>3342</v>
      </c>
      <c r="Q6338" t="s">
        <v>7223</v>
      </c>
      <c r="R6338" t="s">
        <v>616</v>
      </c>
      <c r="S6338">
        <v>144.239102</v>
      </c>
      <c r="T6338" s="1095">
        <v>-37.651463</v>
      </c>
    </row>
    <row r="6339" spans="16:20">
      <c r="P6339" s="1094">
        <v>3342</v>
      </c>
      <c r="Q6339" t="s">
        <v>7224</v>
      </c>
      <c r="R6339" t="s">
        <v>616</v>
      </c>
      <c r="S6339">
        <v>144.239102</v>
      </c>
      <c r="T6339" s="1095">
        <v>-37.651463</v>
      </c>
    </row>
    <row r="6340" spans="16:20">
      <c r="P6340" s="1094">
        <v>3342</v>
      </c>
      <c r="Q6340" t="s">
        <v>7225</v>
      </c>
      <c r="R6340" t="s">
        <v>616</v>
      </c>
      <c r="S6340">
        <v>144.239102</v>
      </c>
      <c r="T6340" s="1095">
        <v>-37.651463</v>
      </c>
    </row>
    <row r="6341" spans="16:20">
      <c r="P6341" s="1094">
        <v>3342</v>
      </c>
      <c r="Q6341" t="s">
        <v>7226</v>
      </c>
      <c r="R6341" t="s">
        <v>616</v>
      </c>
      <c r="S6341">
        <v>144.239102</v>
      </c>
      <c r="T6341" s="1095">
        <v>-37.651463</v>
      </c>
    </row>
    <row r="6342" spans="16:20">
      <c r="P6342" s="1094">
        <v>3342</v>
      </c>
      <c r="Q6342" t="s">
        <v>7227</v>
      </c>
      <c r="R6342" t="s">
        <v>616</v>
      </c>
      <c r="S6342">
        <v>144.239102</v>
      </c>
      <c r="T6342" s="1095">
        <v>-37.651463</v>
      </c>
    </row>
    <row r="6343" spans="16:20">
      <c r="P6343" s="1094">
        <v>3342</v>
      </c>
      <c r="Q6343" t="s">
        <v>7228</v>
      </c>
      <c r="R6343" t="s">
        <v>616</v>
      </c>
      <c r="S6343">
        <v>144.239102</v>
      </c>
      <c r="T6343" s="1095">
        <v>-37.651463</v>
      </c>
    </row>
    <row r="6344" spans="16:20">
      <c r="P6344" s="1094">
        <v>3342</v>
      </c>
      <c r="Q6344" t="s">
        <v>7229</v>
      </c>
      <c r="R6344" t="s">
        <v>616</v>
      </c>
      <c r="S6344">
        <v>144.239102</v>
      </c>
      <c r="T6344" s="1095">
        <v>-37.651463</v>
      </c>
    </row>
    <row r="6345" spans="16:20">
      <c r="P6345" s="1094">
        <v>3342</v>
      </c>
      <c r="Q6345" t="s">
        <v>7230</v>
      </c>
      <c r="R6345" t="s">
        <v>616</v>
      </c>
      <c r="S6345">
        <v>144.239102</v>
      </c>
      <c r="T6345" s="1095">
        <v>-37.651463</v>
      </c>
    </row>
    <row r="6346" spans="16:20">
      <c r="P6346" s="1094">
        <v>3342</v>
      </c>
      <c r="Q6346" t="s">
        <v>7231</v>
      </c>
      <c r="R6346" t="s">
        <v>616</v>
      </c>
      <c r="S6346">
        <v>144.239102</v>
      </c>
      <c r="T6346" s="1095">
        <v>-37.651463</v>
      </c>
    </row>
    <row r="6347" spans="16:20">
      <c r="P6347" s="1094">
        <v>3345</v>
      </c>
      <c r="Q6347" t="s">
        <v>1858</v>
      </c>
      <c r="R6347" t="s">
        <v>616</v>
      </c>
      <c r="S6347">
        <v>144.12366399999999</v>
      </c>
      <c r="T6347" s="1095">
        <v>-37.587800000000001</v>
      </c>
    </row>
    <row r="6348" spans="16:20">
      <c r="P6348" s="1094">
        <v>3350</v>
      </c>
      <c r="Q6348" t="s">
        <v>7232</v>
      </c>
      <c r="R6348" t="s">
        <v>616</v>
      </c>
      <c r="S6348">
        <v>143.86450500000001</v>
      </c>
      <c r="T6348" s="1095">
        <v>-37.571941000000002</v>
      </c>
    </row>
    <row r="6349" spans="16:20">
      <c r="P6349" s="1094">
        <v>3350</v>
      </c>
      <c r="Q6349" t="s">
        <v>7233</v>
      </c>
      <c r="R6349" t="s">
        <v>616</v>
      </c>
      <c r="S6349">
        <v>143.86450500000001</v>
      </c>
      <c r="T6349" s="1095">
        <v>-37.571941000000002</v>
      </c>
    </row>
    <row r="6350" spans="16:20">
      <c r="P6350" s="1094">
        <v>3350</v>
      </c>
      <c r="Q6350" t="s">
        <v>7234</v>
      </c>
      <c r="R6350" t="s">
        <v>616</v>
      </c>
      <c r="S6350">
        <v>143.86450500000001</v>
      </c>
      <c r="T6350" s="1095">
        <v>-37.571941000000002</v>
      </c>
    </row>
    <row r="6351" spans="16:20">
      <c r="P6351" s="1094">
        <v>3350</v>
      </c>
      <c r="Q6351" t="s">
        <v>7235</v>
      </c>
      <c r="R6351" t="s">
        <v>616</v>
      </c>
      <c r="S6351">
        <v>143.86450500000001</v>
      </c>
      <c r="T6351" s="1095">
        <v>-37.571941000000002</v>
      </c>
    </row>
    <row r="6352" spans="16:20">
      <c r="P6352" s="1094">
        <v>3350</v>
      </c>
      <c r="Q6352" t="s">
        <v>7236</v>
      </c>
      <c r="R6352" t="s">
        <v>616</v>
      </c>
      <c r="S6352">
        <v>143.86450500000001</v>
      </c>
      <c r="T6352" s="1095">
        <v>-37.571941000000002</v>
      </c>
    </row>
    <row r="6353" spans="16:20">
      <c r="P6353" s="1094">
        <v>3350</v>
      </c>
      <c r="Q6353" t="s">
        <v>7237</v>
      </c>
      <c r="R6353" t="s">
        <v>616</v>
      </c>
      <c r="S6353">
        <v>143.86450500000001</v>
      </c>
      <c r="T6353" s="1095">
        <v>-37.571941000000002</v>
      </c>
    </row>
    <row r="6354" spans="16:20">
      <c r="P6354" s="1094">
        <v>3350</v>
      </c>
      <c r="Q6354" t="s">
        <v>7238</v>
      </c>
      <c r="R6354" t="s">
        <v>616</v>
      </c>
      <c r="S6354">
        <v>143.86450500000001</v>
      </c>
      <c r="T6354" s="1095">
        <v>-37.571941000000002</v>
      </c>
    </row>
    <row r="6355" spans="16:20">
      <c r="P6355" s="1094">
        <v>3350</v>
      </c>
      <c r="Q6355" t="s">
        <v>2637</v>
      </c>
      <c r="R6355" t="s">
        <v>616</v>
      </c>
      <c r="S6355">
        <v>143.86450500000001</v>
      </c>
      <c r="T6355" s="1095">
        <v>-37.571941000000002</v>
      </c>
    </row>
    <row r="6356" spans="16:20">
      <c r="P6356" s="1094">
        <v>3350</v>
      </c>
      <c r="Q6356" t="s">
        <v>7239</v>
      </c>
      <c r="R6356" t="s">
        <v>616</v>
      </c>
      <c r="S6356">
        <v>143.86450500000001</v>
      </c>
      <c r="T6356" s="1095">
        <v>-37.571941000000002</v>
      </c>
    </row>
    <row r="6357" spans="16:20">
      <c r="P6357" s="1094">
        <v>3350</v>
      </c>
      <c r="Q6357" t="s">
        <v>7240</v>
      </c>
      <c r="R6357" t="s">
        <v>616</v>
      </c>
      <c r="S6357">
        <v>143.86450500000001</v>
      </c>
      <c r="T6357" s="1095">
        <v>-37.571941000000002</v>
      </c>
    </row>
    <row r="6358" spans="16:20">
      <c r="P6358" s="1094">
        <v>3350</v>
      </c>
      <c r="Q6358" t="s">
        <v>3996</v>
      </c>
      <c r="R6358" t="s">
        <v>616</v>
      </c>
      <c r="S6358">
        <v>143.86450500000001</v>
      </c>
      <c r="T6358" s="1095">
        <v>-37.571941000000002</v>
      </c>
    </row>
    <row r="6359" spans="16:20">
      <c r="P6359" s="1094">
        <v>3350</v>
      </c>
      <c r="Q6359" t="s">
        <v>7241</v>
      </c>
      <c r="R6359" t="s">
        <v>616</v>
      </c>
      <c r="S6359">
        <v>143.86450500000001</v>
      </c>
      <c r="T6359" s="1095">
        <v>-37.571941000000002</v>
      </c>
    </row>
    <row r="6360" spans="16:20">
      <c r="P6360" s="1094">
        <v>3350</v>
      </c>
      <c r="Q6360" t="s">
        <v>7242</v>
      </c>
      <c r="R6360" t="s">
        <v>616</v>
      </c>
      <c r="S6360">
        <v>143.86450500000001</v>
      </c>
      <c r="T6360" s="1095">
        <v>-37.571941000000002</v>
      </c>
    </row>
    <row r="6361" spans="16:20">
      <c r="P6361" s="1094">
        <v>3350</v>
      </c>
      <c r="Q6361" t="s">
        <v>7243</v>
      </c>
      <c r="R6361" t="s">
        <v>616</v>
      </c>
      <c r="S6361">
        <v>143.86450500000001</v>
      </c>
      <c r="T6361" s="1095">
        <v>-37.571941000000002</v>
      </c>
    </row>
    <row r="6362" spans="16:20">
      <c r="P6362" s="1094">
        <v>3350</v>
      </c>
      <c r="Q6362" t="s">
        <v>7244</v>
      </c>
      <c r="R6362" t="s">
        <v>616</v>
      </c>
      <c r="S6362">
        <v>143.86450500000001</v>
      </c>
      <c r="T6362" s="1095">
        <v>-37.571941000000002</v>
      </c>
    </row>
    <row r="6363" spans="16:20">
      <c r="P6363" s="1094">
        <v>3350</v>
      </c>
      <c r="Q6363" t="s">
        <v>7245</v>
      </c>
      <c r="R6363" t="s">
        <v>616</v>
      </c>
      <c r="S6363">
        <v>143.86450500000001</v>
      </c>
      <c r="T6363" s="1095">
        <v>-37.571941000000002</v>
      </c>
    </row>
    <row r="6364" spans="16:20">
      <c r="P6364" s="1094">
        <v>3350</v>
      </c>
      <c r="Q6364" t="s">
        <v>4204</v>
      </c>
      <c r="R6364" t="s">
        <v>616</v>
      </c>
      <c r="S6364">
        <v>143.86450500000001</v>
      </c>
      <c r="T6364" s="1095">
        <v>-37.571941000000002</v>
      </c>
    </row>
    <row r="6365" spans="16:20">
      <c r="P6365" s="1094">
        <v>3350</v>
      </c>
      <c r="Q6365" t="s">
        <v>7246</v>
      </c>
      <c r="R6365" t="s">
        <v>616</v>
      </c>
      <c r="S6365">
        <v>143.86450500000001</v>
      </c>
      <c r="T6365" s="1095">
        <v>-37.571941000000002</v>
      </c>
    </row>
    <row r="6366" spans="16:20">
      <c r="P6366" s="1094">
        <v>3350</v>
      </c>
      <c r="Q6366" t="s">
        <v>2003</v>
      </c>
      <c r="R6366" t="s">
        <v>616</v>
      </c>
      <c r="S6366">
        <v>143.86450500000001</v>
      </c>
      <c r="T6366" s="1095">
        <v>-37.571941000000002</v>
      </c>
    </row>
    <row r="6367" spans="16:20">
      <c r="P6367" s="1094">
        <v>3350</v>
      </c>
      <c r="Q6367" t="s">
        <v>7247</v>
      </c>
      <c r="R6367" t="s">
        <v>616</v>
      </c>
      <c r="S6367">
        <v>143.86450500000001</v>
      </c>
      <c r="T6367" s="1095">
        <v>-37.571941000000002</v>
      </c>
    </row>
    <row r="6368" spans="16:20">
      <c r="P6368" s="1094">
        <v>3350</v>
      </c>
      <c r="Q6368" t="s">
        <v>7248</v>
      </c>
      <c r="R6368" t="s">
        <v>616</v>
      </c>
      <c r="S6368">
        <v>143.86450500000001</v>
      </c>
      <c r="T6368" s="1095">
        <v>-37.571941000000002</v>
      </c>
    </row>
    <row r="6369" spans="16:20">
      <c r="P6369" s="1094">
        <v>3350</v>
      </c>
      <c r="Q6369" t="s">
        <v>7249</v>
      </c>
      <c r="R6369" t="s">
        <v>616</v>
      </c>
      <c r="S6369">
        <v>143.86450500000001</v>
      </c>
      <c r="T6369" s="1095">
        <v>-37.571941000000002</v>
      </c>
    </row>
    <row r="6370" spans="16:20">
      <c r="P6370" s="1094">
        <v>3351</v>
      </c>
      <c r="Q6370" t="s">
        <v>7250</v>
      </c>
      <c r="R6370" t="s">
        <v>616</v>
      </c>
      <c r="S6370">
        <v>143.637463</v>
      </c>
      <c r="T6370" s="1095">
        <v>-37.758248000000002</v>
      </c>
    </row>
    <row r="6371" spans="16:20">
      <c r="P6371" s="1094">
        <v>3351</v>
      </c>
      <c r="Q6371" t="s">
        <v>7251</v>
      </c>
      <c r="R6371" t="s">
        <v>616</v>
      </c>
      <c r="S6371">
        <v>143.637463</v>
      </c>
      <c r="T6371" s="1095">
        <v>-37.758248000000002</v>
      </c>
    </row>
    <row r="6372" spans="16:20">
      <c r="P6372" s="1094">
        <v>3351</v>
      </c>
      <c r="Q6372" t="s">
        <v>7252</v>
      </c>
      <c r="R6372" t="s">
        <v>616</v>
      </c>
      <c r="S6372">
        <v>143.637463</v>
      </c>
      <c r="T6372" s="1095">
        <v>-37.758248000000002</v>
      </c>
    </row>
    <row r="6373" spans="16:20">
      <c r="P6373" s="1094">
        <v>3351</v>
      </c>
      <c r="Q6373" t="s">
        <v>7253</v>
      </c>
      <c r="R6373" t="s">
        <v>616</v>
      </c>
      <c r="S6373">
        <v>143.637463</v>
      </c>
      <c r="T6373" s="1095">
        <v>-37.758248000000002</v>
      </c>
    </row>
    <row r="6374" spans="16:20">
      <c r="P6374" s="1094">
        <v>3351</v>
      </c>
      <c r="Q6374" t="s">
        <v>7254</v>
      </c>
      <c r="R6374" t="s">
        <v>616</v>
      </c>
      <c r="S6374">
        <v>143.637463</v>
      </c>
      <c r="T6374" s="1095">
        <v>-37.758248000000002</v>
      </c>
    </row>
    <row r="6375" spans="16:20">
      <c r="P6375" s="1094">
        <v>3351</v>
      </c>
      <c r="Q6375" t="s">
        <v>7255</v>
      </c>
      <c r="R6375" t="s">
        <v>616</v>
      </c>
      <c r="S6375">
        <v>143.637463</v>
      </c>
      <c r="T6375" s="1095">
        <v>-37.758248000000002</v>
      </c>
    </row>
    <row r="6376" spans="16:20">
      <c r="P6376" s="1094">
        <v>3351</v>
      </c>
      <c r="Q6376" t="s">
        <v>3404</v>
      </c>
      <c r="R6376" t="s">
        <v>616</v>
      </c>
      <c r="S6376">
        <v>143.637463</v>
      </c>
      <c r="T6376" s="1095">
        <v>-37.758248000000002</v>
      </c>
    </row>
    <row r="6377" spans="16:20">
      <c r="P6377" s="1094">
        <v>3351</v>
      </c>
      <c r="Q6377" t="s">
        <v>7256</v>
      </c>
      <c r="R6377" t="s">
        <v>616</v>
      </c>
      <c r="S6377">
        <v>143.637463</v>
      </c>
      <c r="T6377" s="1095">
        <v>-37.758248000000002</v>
      </c>
    </row>
    <row r="6378" spans="16:20">
      <c r="P6378" s="1094">
        <v>3351</v>
      </c>
      <c r="Q6378" t="s">
        <v>7257</v>
      </c>
      <c r="R6378" t="s">
        <v>616</v>
      </c>
      <c r="S6378">
        <v>143.637463</v>
      </c>
      <c r="T6378" s="1095">
        <v>-37.758248000000002</v>
      </c>
    </row>
    <row r="6379" spans="16:20">
      <c r="P6379" s="1094">
        <v>3351</v>
      </c>
      <c r="Q6379" t="s">
        <v>7258</v>
      </c>
      <c r="R6379" t="s">
        <v>616</v>
      </c>
      <c r="S6379">
        <v>143.637463</v>
      </c>
      <c r="T6379" s="1095">
        <v>-37.758248000000002</v>
      </c>
    </row>
    <row r="6380" spans="16:20">
      <c r="P6380" s="1094">
        <v>3351</v>
      </c>
      <c r="Q6380" t="s">
        <v>7259</v>
      </c>
      <c r="R6380" t="s">
        <v>616</v>
      </c>
      <c r="S6380">
        <v>143.637463</v>
      </c>
      <c r="T6380" s="1095">
        <v>-37.758248000000002</v>
      </c>
    </row>
    <row r="6381" spans="16:20">
      <c r="P6381" s="1094">
        <v>3351</v>
      </c>
      <c r="Q6381" t="s">
        <v>7260</v>
      </c>
      <c r="R6381" t="s">
        <v>616</v>
      </c>
      <c r="S6381">
        <v>143.637463</v>
      </c>
      <c r="T6381" s="1095">
        <v>-37.758248000000002</v>
      </c>
    </row>
    <row r="6382" spans="16:20">
      <c r="P6382" s="1094">
        <v>3351</v>
      </c>
      <c r="Q6382" t="s">
        <v>7261</v>
      </c>
      <c r="R6382" t="s">
        <v>616</v>
      </c>
      <c r="S6382">
        <v>143.637463</v>
      </c>
      <c r="T6382" s="1095">
        <v>-37.758248000000002</v>
      </c>
    </row>
    <row r="6383" spans="16:20">
      <c r="P6383" s="1094">
        <v>3351</v>
      </c>
      <c r="Q6383" t="s">
        <v>7262</v>
      </c>
      <c r="R6383" t="s">
        <v>616</v>
      </c>
      <c r="S6383">
        <v>143.637463</v>
      </c>
      <c r="T6383" s="1095">
        <v>-37.758248000000002</v>
      </c>
    </row>
    <row r="6384" spans="16:20">
      <c r="P6384" s="1094">
        <v>3351</v>
      </c>
      <c r="Q6384" t="s">
        <v>1805</v>
      </c>
      <c r="R6384" t="s">
        <v>616</v>
      </c>
      <c r="S6384">
        <v>143.637463</v>
      </c>
      <c r="T6384" s="1095">
        <v>-37.758248000000002</v>
      </c>
    </row>
    <row r="6385" spans="16:20">
      <c r="P6385" s="1094">
        <v>3351</v>
      </c>
      <c r="Q6385" t="s">
        <v>7263</v>
      </c>
      <c r="R6385" t="s">
        <v>616</v>
      </c>
      <c r="S6385">
        <v>143.637463</v>
      </c>
      <c r="T6385" s="1095">
        <v>-37.758248000000002</v>
      </c>
    </row>
    <row r="6386" spans="16:20">
      <c r="P6386" s="1094">
        <v>3351</v>
      </c>
      <c r="Q6386" t="s">
        <v>7264</v>
      </c>
      <c r="R6386" t="s">
        <v>616</v>
      </c>
      <c r="S6386">
        <v>143.637463</v>
      </c>
      <c r="T6386" s="1095">
        <v>-37.758248000000002</v>
      </c>
    </row>
    <row r="6387" spans="16:20">
      <c r="P6387" s="1094">
        <v>3351</v>
      </c>
      <c r="Q6387" t="s">
        <v>7265</v>
      </c>
      <c r="R6387" t="s">
        <v>616</v>
      </c>
      <c r="S6387">
        <v>143.637463</v>
      </c>
      <c r="T6387" s="1095">
        <v>-37.758248000000002</v>
      </c>
    </row>
    <row r="6388" spans="16:20">
      <c r="P6388" s="1094">
        <v>3351</v>
      </c>
      <c r="Q6388" t="s">
        <v>7266</v>
      </c>
      <c r="R6388" t="s">
        <v>616</v>
      </c>
      <c r="S6388">
        <v>143.637463</v>
      </c>
      <c r="T6388" s="1095">
        <v>-37.758248000000002</v>
      </c>
    </row>
    <row r="6389" spans="16:20">
      <c r="P6389" s="1094">
        <v>3351</v>
      </c>
      <c r="Q6389" t="s">
        <v>7267</v>
      </c>
      <c r="R6389" t="s">
        <v>616</v>
      </c>
      <c r="S6389">
        <v>143.637463</v>
      </c>
      <c r="T6389" s="1095">
        <v>-37.758248000000002</v>
      </c>
    </row>
    <row r="6390" spans="16:20">
      <c r="P6390" s="1094">
        <v>3351</v>
      </c>
      <c r="Q6390" t="s">
        <v>7268</v>
      </c>
      <c r="R6390" t="s">
        <v>616</v>
      </c>
      <c r="S6390">
        <v>143.637463</v>
      </c>
      <c r="T6390" s="1095">
        <v>-37.758248000000002</v>
      </c>
    </row>
    <row r="6391" spans="16:20">
      <c r="P6391" s="1094">
        <v>3351</v>
      </c>
      <c r="Q6391" t="s">
        <v>7269</v>
      </c>
      <c r="R6391" t="s">
        <v>616</v>
      </c>
      <c r="S6391">
        <v>143.637463</v>
      </c>
      <c r="T6391" s="1095">
        <v>-37.758248000000002</v>
      </c>
    </row>
    <row r="6392" spans="16:20">
      <c r="P6392" s="1094">
        <v>3351</v>
      </c>
      <c r="Q6392" t="s">
        <v>7270</v>
      </c>
      <c r="R6392" t="s">
        <v>616</v>
      </c>
      <c r="S6392">
        <v>143.637463</v>
      </c>
      <c r="T6392" s="1095">
        <v>-37.758248000000002</v>
      </c>
    </row>
    <row r="6393" spans="16:20">
      <c r="P6393" s="1094">
        <v>3351</v>
      </c>
      <c r="Q6393" t="s">
        <v>7271</v>
      </c>
      <c r="R6393" t="s">
        <v>616</v>
      </c>
      <c r="S6393">
        <v>143.637463</v>
      </c>
      <c r="T6393" s="1095">
        <v>-37.758248000000002</v>
      </c>
    </row>
    <row r="6394" spans="16:20">
      <c r="P6394" s="1094">
        <v>3351</v>
      </c>
      <c r="Q6394" t="s">
        <v>7272</v>
      </c>
      <c r="R6394" t="s">
        <v>616</v>
      </c>
      <c r="S6394">
        <v>143.637463</v>
      </c>
      <c r="T6394" s="1095">
        <v>-37.758248000000002</v>
      </c>
    </row>
    <row r="6395" spans="16:20">
      <c r="P6395" s="1094">
        <v>3351</v>
      </c>
      <c r="Q6395" t="s">
        <v>7273</v>
      </c>
      <c r="R6395" t="s">
        <v>616</v>
      </c>
      <c r="S6395">
        <v>143.637463</v>
      </c>
      <c r="T6395" s="1095">
        <v>-37.758248000000002</v>
      </c>
    </row>
    <row r="6396" spans="16:20">
      <c r="P6396" s="1094">
        <v>3351</v>
      </c>
      <c r="Q6396" t="s">
        <v>7274</v>
      </c>
      <c r="R6396" t="s">
        <v>616</v>
      </c>
      <c r="S6396">
        <v>143.637463</v>
      </c>
      <c r="T6396" s="1095">
        <v>-37.758248000000002</v>
      </c>
    </row>
    <row r="6397" spans="16:20">
      <c r="P6397" s="1094">
        <v>3351</v>
      </c>
      <c r="Q6397" t="s">
        <v>7275</v>
      </c>
      <c r="R6397" t="s">
        <v>616</v>
      </c>
      <c r="S6397">
        <v>143.637463</v>
      </c>
      <c r="T6397" s="1095">
        <v>-37.758248000000002</v>
      </c>
    </row>
    <row r="6398" spans="16:20">
      <c r="P6398" s="1094">
        <v>3351</v>
      </c>
      <c r="Q6398" t="s">
        <v>7276</v>
      </c>
      <c r="R6398" t="s">
        <v>616</v>
      </c>
      <c r="S6398">
        <v>143.637463</v>
      </c>
      <c r="T6398" s="1095">
        <v>-37.758248000000002</v>
      </c>
    </row>
    <row r="6399" spans="16:20">
      <c r="P6399" s="1094">
        <v>3352</v>
      </c>
      <c r="Q6399" t="s">
        <v>7277</v>
      </c>
      <c r="R6399" t="s">
        <v>616</v>
      </c>
      <c r="S6399">
        <v>143.662387</v>
      </c>
      <c r="T6399" s="1095">
        <v>-37.482132</v>
      </c>
    </row>
    <row r="6400" spans="16:20">
      <c r="P6400" s="1094">
        <v>3352</v>
      </c>
      <c r="Q6400" t="s">
        <v>7278</v>
      </c>
      <c r="R6400" t="s">
        <v>616</v>
      </c>
      <c r="S6400">
        <v>143.662387</v>
      </c>
      <c r="T6400" s="1095">
        <v>-37.482132</v>
      </c>
    </row>
    <row r="6401" spans="16:20">
      <c r="P6401" s="1094">
        <v>3352</v>
      </c>
      <c r="Q6401" t="s">
        <v>7279</v>
      </c>
      <c r="R6401" t="s">
        <v>616</v>
      </c>
      <c r="S6401">
        <v>143.662387</v>
      </c>
      <c r="T6401" s="1095">
        <v>-37.482132</v>
      </c>
    </row>
    <row r="6402" spans="16:20">
      <c r="P6402" s="1094">
        <v>3352</v>
      </c>
      <c r="Q6402" t="s">
        <v>7280</v>
      </c>
      <c r="R6402" t="s">
        <v>616</v>
      </c>
      <c r="S6402">
        <v>143.662387</v>
      </c>
      <c r="T6402" s="1095">
        <v>-37.482132</v>
      </c>
    </row>
    <row r="6403" spans="16:20">
      <c r="P6403" s="1094">
        <v>3352</v>
      </c>
      <c r="Q6403" t="s">
        <v>7281</v>
      </c>
      <c r="R6403" t="s">
        <v>616</v>
      </c>
      <c r="S6403">
        <v>143.662387</v>
      </c>
      <c r="T6403" s="1095">
        <v>-37.482132</v>
      </c>
    </row>
    <row r="6404" spans="16:20">
      <c r="P6404" s="1094">
        <v>3352</v>
      </c>
      <c r="Q6404" t="s">
        <v>7282</v>
      </c>
      <c r="R6404" t="s">
        <v>616</v>
      </c>
      <c r="S6404">
        <v>143.662387</v>
      </c>
      <c r="T6404" s="1095">
        <v>-37.482132</v>
      </c>
    </row>
    <row r="6405" spans="16:20">
      <c r="P6405" s="1094">
        <v>3352</v>
      </c>
      <c r="Q6405" t="s">
        <v>7283</v>
      </c>
      <c r="R6405" t="s">
        <v>616</v>
      </c>
      <c r="S6405">
        <v>143.662387</v>
      </c>
      <c r="T6405" s="1095">
        <v>-37.482132</v>
      </c>
    </row>
    <row r="6406" spans="16:20">
      <c r="P6406" s="1094">
        <v>3352</v>
      </c>
      <c r="Q6406" t="s">
        <v>7284</v>
      </c>
      <c r="R6406" t="s">
        <v>616</v>
      </c>
      <c r="S6406">
        <v>143.662387</v>
      </c>
      <c r="T6406" s="1095">
        <v>-37.482132</v>
      </c>
    </row>
    <row r="6407" spans="16:20">
      <c r="P6407" s="1094">
        <v>3352</v>
      </c>
      <c r="Q6407" t="s">
        <v>7285</v>
      </c>
      <c r="R6407" t="s">
        <v>616</v>
      </c>
      <c r="S6407">
        <v>143.662387</v>
      </c>
      <c r="T6407" s="1095">
        <v>-37.482132</v>
      </c>
    </row>
    <row r="6408" spans="16:20">
      <c r="P6408" s="1094">
        <v>3352</v>
      </c>
      <c r="Q6408" t="s">
        <v>7286</v>
      </c>
      <c r="R6408" t="s">
        <v>616</v>
      </c>
      <c r="S6408">
        <v>143.662387</v>
      </c>
      <c r="T6408" s="1095">
        <v>-37.482132</v>
      </c>
    </row>
    <row r="6409" spans="16:20">
      <c r="P6409" s="1094">
        <v>3352</v>
      </c>
      <c r="Q6409" t="s">
        <v>7287</v>
      </c>
      <c r="R6409" t="s">
        <v>616</v>
      </c>
      <c r="S6409">
        <v>143.662387</v>
      </c>
      <c r="T6409" s="1095">
        <v>-37.482132</v>
      </c>
    </row>
    <row r="6410" spans="16:20">
      <c r="P6410" s="1094">
        <v>3352</v>
      </c>
      <c r="Q6410" t="s">
        <v>7288</v>
      </c>
      <c r="R6410" t="s">
        <v>616</v>
      </c>
      <c r="S6410">
        <v>143.662387</v>
      </c>
      <c r="T6410" s="1095">
        <v>-37.482132</v>
      </c>
    </row>
    <row r="6411" spans="16:20">
      <c r="P6411" s="1094">
        <v>3352</v>
      </c>
      <c r="Q6411" t="s">
        <v>7289</v>
      </c>
      <c r="R6411" t="s">
        <v>616</v>
      </c>
      <c r="S6411">
        <v>143.662387</v>
      </c>
      <c r="T6411" s="1095">
        <v>-37.482132</v>
      </c>
    </row>
    <row r="6412" spans="16:20">
      <c r="P6412" s="1094">
        <v>3352</v>
      </c>
      <c r="Q6412" t="s">
        <v>7290</v>
      </c>
      <c r="R6412" t="s">
        <v>616</v>
      </c>
      <c r="S6412">
        <v>143.662387</v>
      </c>
      <c r="T6412" s="1095">
        <v>-37.482132</v>
      </c>
    </row>
    <row r="6413" spans="16:20">
      <c r="P6413" s="1094">
        <v>3352</v>
      </c>
      <c r="Q6413" t="s">
        <v>5581</v>
      </c>
      <c r="R6413" t="s">
        <v>616</v>
      </c>
      <c r="S6413">
        <v>143.662387</v>
      </c>
      <c r="T6413" s="1095">
        <v>-37.482132</v>
      </c>
    </row>
    <row r="6414" spans="16:20">
      <c r="P6414" s="1094">
        <v>3352</v>
      </c>
      <c r="Q6414" t="s">
        <v>7291</v>
      </c>
      <c r="R6414" t="s">
        <v>616</v>
      </c>
      <c r="S6414">
        <v>143.662387</v>
      </c>
      <c r="T6414" s="1095">
        <v>-37.482132</v>
      </c>
    </row>
    <row r="6415" spans="16:20">
      <c r="P6415" s="1094">
        <v>3352</v>
      </c>
      <c r="Q6415" t="s">
        <v>7292</v>
      </c>
      <c r="R6415" t="s">
        <v>616</v>
      </c>
      <c r="S6415">
        <v>143.662387</v>
      </c>
      <c r="T6415" s="1095">
        <v>-37.482132</v>
      </c>
    </row>
    <row r="6416" spans="16:20">
      <c r="P6416" s="1094">
        <v>3352</v>
      </c>
      <c r="Q6416" t="s">
        <v>7293</v>
      </c>
      <c r="R6416" t="s">
        <v>616</v>
      </c>
      <c r="S6416">
        <v>143.662387</v>
      </c>
      <c r="T6416" s="1095">
        <v>-37.482132</v>
      </c>
    </row>
    <row r="6417" spans="16:20">
      <c r="P6417" s="1094">
        <v>3352</v>
      </c>
      <c r="Q6417" t="s">
        <v>7294</v>
      </c>
      <c r="R6417" t="s">
        <v>616</v>
      </c>
      <c r="S6417">
        <v>143.662387</v>
      </c>
      <c r="T6417" s="1095">
        <v>-37.482132</v>
      </c>
    </row>
    <row r="6418" spans="16:20">
      <c r="P6418" s="1094">
        <v>3352</v>
      </c>
      <c r="Q6418" t="s">
        <v>7295</v>
      </c>
      <c r="R6418" t="s">
        <v>616</v>
      </c>
      <c r="S6418">
        <v>143.662387</v>
      </c>
      <c r="T6418" s="1095">
        <v>-37.482132</v>
      </c>
    </row>
    <row r="6419" spans="16:20">
      <c r="P6419" s="1094">
        <v>3352</v>
      </c>
      <c r="Q6419" t="s">
        <v>7296</v>
      </c>
      <c r="R6419" t="s">
        <v>616</v>
      </c>
      <c r="S6419">
        <v>143.662387</v>
      </c>
      <c r="T6419" s="1095">
        <v>-37.482132</v>
      </c>
    </row>
    <row r="6420" spans="16:20">
      <c r="P6420" s="1094">
        <v>3352</v>
      </c>
      <c r="Q6420" t="s">
        <v>7297</v>
      </c>
      <c r="R6420" t="s">
        <v>616</v>
      </c>
      <c r="S6420">
        <v>143.662387</v>
      </c>
      <c r="T6420" s="1095">
        <v>-37.482132</v>
      </c>
    </row>
    <row r="6421" spans="16:20">
      <c r="P6421" s="1094">
        <v>3352</v>
      </c>
      <c r="Q6421" t="s">
        <v>2011</v>
      </c>
      <c r="R6421" t="s">
        <v>616</v>
      </c>
      <c r="S6421">
        <v>143.662387</v>
      </c>
      <c r="T6421" s="1095">
        <v>-37.482132</v>
      </c>
    </row>
    <row r="6422" spans="16:20">
      <c r="P6422" s="1094">
        <v>3352</v>
      </c>
      <c r="Q6422" t="s">
        <v>7298</v>
      </c>
      <c r="R6422" t="s">
        <v>616</v>
      </c>
      <c r="S6422">
        <v>143.662387</v>
      </c>
      <c r="T6422" s="1095">
        <v>-37.482132</v>
      </c>
    </row>
    <row r="6423" spans="16:20">
      <c r="P6423" s="1094">
        <v>3352</v>
      </c>
      <c r="Q6423" t="s">
        <v>7299</v>
      </c>
      <c r="R6423" t="s">
        <v>616</v>
      </c>
      <c r="S6423">
        <v>143.662387</v>
      </c>
      <c r="T6423" s="1095">
        <v>-37.482132</v>
      </c>
    </row>
    <row r="6424" spans="16:20">
      <c r="P6424" s="1094">
        <v>3352</v>
      </c>
      <c r="Q6424" t="s">
        <v>7300</v>
      </c>
      <c r="R6424" t="s">
        <v>616</v>
      </c>
      <c r="S6424">
        <v>143.662387</v>
      </c>
      <c r="T6424" s="1095">
        <v>-37.482132</v>
      </c>
    </row>
    <row r="6425" spans="16:20">
      <c r="P6425" s="1094">
        <v>3352</v>
      </c>
      <c r="Q6425" t="s">
        <v>7301</v>
      </c>
      <c r="R6425" t="s">
        <v>616</v>
      </c>
      <c r="S6425">
        <v>143.662387</v>
      </c>
      <c r="T6425" s="1095">
        <v>-37.482132</v>
      </c>
    </row>
    <row r="6426" spans="16:20">
      <c r="P6426" s="1094">
        <v>3352</v>
      </c>
      <c r="Q6426" t="s">
        <v>7302</v>
      </c>
      <c r="R6426" t="s">
        <v>616</v>
      </c>
      <c r="S6426">
        <v>143.662387</v>
      </c>
      <c r="T6426" s="1095">
        <v>-37.482132</v>
      </c>
    </row>
    <row r="6427" spans="16:20">
      <c r="P6427" s="1094">
        <v>3352</v>
      </c>
      <c r="Q6427" t="s">
        <v>7303</v>
      </c>
      <c r="R6427" t="s">
        <v>616</v>
      </c>
      <c r="S6427">
        <v>143.662387</v>
      </c>
      <c r="T6427" s="1095">
        <v>-37.482132</v>
      </c>
    </row>
    <row r="6428" spans="16:20">
      <c r="P6428" s="1094">
        <v>3352</v>
      </c>
      <c r="Q6428" t="s">
        <v>7304</v>
      </c>
      <c r="R6428" t="s">
        <v>616</v>
      </c>
      <c r="S6428">
        <v>143.662387</v>
      </c>
      <c r="T6428" s="1095">
        <v>-37.482132</v>
      </c>
    </row>
    <row r="6429" spans="16:20">
      <c r="P6429" s="1094">
        <v>3352</v>
      </c>
      <c r="Q6429" t="s">
        <v>7305</v>
      </c>
      <c r="R6429" t="s">
        <v>616</v>
      </c>
      <c r="S6429">
        <v>143.662387</v>
      </c>
      <c r="T6429" s="1095">
        <v>-37.482132</v>
      </c>
    </row>
    <row r="6430" spans="16:20">
      <c r="P6430" s="1094">
        <v>3352</v>
      </c>
      <c r="Q6430" t="s">
        <v>7306</v>
      </c>
      <c r="R6430" t="s">
        <v>616</v>
      </c>
      <c r="S6430">
        <v>143.662387</v>
      </c>
      <c r="T6430" s="1095">
        <v>-37.482132</v>
      </c>
    </row>
    <row r="6431" spans="16:20">
      <c r="P6431" s="1094">
        <v>3352</v>
      </c>
      <c r="Q6431" t="s">
        <v>7307</v>
      </c>
      <c r="R6431" t="s">
        <v>616</v>
      </c>
      <c r="S6431">
        <v>143.662387</v>
      </c>
      <c r="T6431" s="1095">
        <v>-37.482132</v>
      </c>
    </row>
    <row r="6432" spans="16:20">
      <c r="P6432" s="1094">
        <v>3352</v>
      </c>
      <c r="Q6432" t="s">
        <v>7308</v>
      </c>
      <c r="R6432" t="s">
        <v>616</v>
      </c>
      <c r="S6432">
        <v>143.662387</v>
      </c>
      <c r="T6432" s="1095">
        <v>-37.482132</v>
      </c>
    </row>
    <row r="6433" spans="16:20">
      <c r="P6433" s="1094">
        <v>3352</v>
      </c>
      <c r="Q6433" t="s">
        <v>7309</v>
      </c>
      <c r="R6433" t="s">
        <v>616</v>
      </c>
      <c r="S6433">
        <v>143.662387</v>
      </c>
      <c r="T6433" s="1095">
        <v>-37.482132</v>
      </c>
    </row>
    <row r="6434" spans="16:20">
      <c r="P6434" s="1094">
        <v>3352</v>
      </c>
      <c r="Q6434" t="s">
        <v>7310</v>
      </c>
      <c r="R6434" t="s">
        <v>616</v>
      </c>
      <c r="S6434">
        <v>143.662387</v>
      </c>
      <c r="T6434" s="1095">
        <v>-37.482132</v>
      </c>
    </row>
    <row r="6435" spans="16:20">
      <c r="P6435" s="1094">
        <v>3352</v>
      </c>
      <c r="Q6435" t="s">
        <v>7311</v>
      </c>
      <c r="R6435" t="s">
        <v>616</v>
      </c>
      <c r="S6435">
        <v>143.662387</v>
      </c>
      <c r="T6435" s="1095">
        <v>-37.482132</v>
      </c>
    </row>
    <row r="6436" spans="16:20">
      <c r="P6436" s="1094">
        <v>3352</v>
      </c>
      <c r="Q6436" t="s">
        <v>7312</v>
      </c>
      <c r="R6436" t="s">
        <v>616</v>
      </c>
      <c r="S6436">
        <v>143.662387</v>
      </c>
      <c r="T6436" s="1095">
        <v>-37.482132</v>
      </c>
    </row>
    <row r="6437" spans="16:20">
      <c r="P6437" s="1094">
        <v>3352</v>
      </c>
      <c r="Q6437" t="s">
        <v>7313</v>
      </c>
      <c r="R6437" t="s">
        <v>616</v>
      </c>
      <c r="S6437">
        <v>143.662387</v>
      </c>
      <c r="T6437" s="1095">
        <v>-37.482132</v>
      </c>
    </row>
    <row r="6438" spans="16:20">
      <c r="P6438" s="1094">
        <v>3352</v>
      </c>
      <c r="Q6438" t="s">
        <v>7314</v>
      </c>
      <c r="R6438" t="s">
        <v>616</v>
      </c>
      <c r="S6438">
        <v>143.662387</v>
      </c>
      <c r="T6438" s="1095">
        <v>-37.482132</v>
      </c>
    </row>
    <row r="6439" spans="16:20">
      <c r="P6439" s="1094">
        <v>3352</v>
      </c>
      <c r="Q6439" t="s">
        <v>7315</v>
      </c>
      <c r="R6439" t="s">
        <v>616</v>
      </c>
      <c r="S6439">
        <v>143.662387</v>
      </c>
      <c r="T6439" s="1095">
        <v>-37.482132</v>
      </c>
    </row>
    <row r="6440" spans="16:20">
      <c r="P6440" s="1094">
        <v>3352</v>
      </c>
      <c r="Q6440" t="s">
        <v>7316</v>
      </c>
      <c r="R6440" t="s">
        <v>616</v>
      </c>
      <c r="S6440">
        <v>143.662387</v>
      </c>
      <c r="T6440" s="1095">
        <v>-37.482132</v>
      </c>
    </row>
    <row r="6441" spans="16:20">
      <c r="P6441" s="1094">
        <v>3352</v>
      </c>
      <c r="Q6441" t="s">
        <v>7317</v>
      </c>
      <c r="R6441" t="s">
        <v>616</v>
      </c>
      <c r="S6441">
        <v>143.662387</v>
      </c>
      <c r="T6441" s="1095">
        <v>-37.482132</v>
      </c>
    </row>
    <row r="6442" spans="16:20">
      <c r="P6442" s="1094">
        <v>3352</v>
      </c>
      <c r="Q6442" t="s">
        <v>7318</v>
      </c>
      <c r="R6442" t="s">
        <v>616</v>
      </c>
      <c r="S6442">
        <v>143.662387</v>
      </c>
      <c r="T6442" s="1095">
        <v>-37.482132</v>
      </c>
    </row>
    <row r="6443" spans="16:20">
      <c r="P6443" s="1094">
        <v>3352</v>
      </c>
      <c r="Q6443" t="s">
        <v>3065</v>
      </c>
      <c r="R6443" t="s">
        <v>616</v>
      </c>
      <c r="S6443">
        <v>143.662387</v>
      </c>
      <c r="T6443" s="1095">
        <v>-37.482132</v>
      </c>
    </row>
    <row r="6444" spans="16:20">
      <c r="P6444" s="1094">
        <v>3352</v>
      </c>
      <c r="Q6444" t="s">
        <v>7319</v>
      </c>
      <c r="R6444" t="s">
        <v>616</v>
      </c>
      <c r="S6444">
        <v>143.662387</v>
      </c>
      <c r="T6444" s="1095">
        <v>-37.482132</v>
      </c>
    </row>
    <row r="6445" spans="16:20">
      <c r="P6445" s="1094">
        <v>3352</v>
      </c>
      <c r="Q6445" t="s">
        <v>7320</v>
      </c>
      <c r="R6445" t="s">
        <v>616</v>
      </c>
      <c r="S6445">
        <v>143.662387</v>
      </c>
      <c r="T6445" s="1095">
        <v>-37.482132</v>
      </c>
    </row>
    <row r="6446" spans="16:20">
      <c r="P6446" s="1094">
        <v>3352</v>
      </c>
      <c r="Q6446" t="s">
        <v>7321</v>
      </c>
      <c r="R6446" t="s">
        <v>616</v>
      </c>
      <c r="S6446">
        <v>143.662387</v>
      </c>
      <c r="T6446" s="1095">
        <v>-37.482132</v>
      </c>
    </row>
    <row r="6447" spans="16:20">
      <c r="P6447" s="1094">
        <v>3352</v>
      </c>
      <c r="Q6447" t="s">
        <v>7322</v>
      </c>
      <c r="R6447" t="s">
        <v>616</v>
      </c>
      <c r="S6447">
        <v>143.662387</v>
      </c>
      <c r="T6447" s="1095">
        <v>-37.482132</v>
      </c>
    </row>
    <row r="6448" spans="16:20">
      <c r="P6448" s="1094">
        <v>3352</v>
      </c>
      <c r="Q6448" t="s">
        <v>7323</v>
      </c>
      <c r="R6448" t="s">
        <v>616</v>
      </c>
      <c r="S6448">
        <v>143.662387</v>
      </c>
      <c r="T6448" s="1095">
        <v>-37.482132</v>
      </c>
    </row>
    <row r="6449" spans="16:20">
      <c r="P6449" s="1094">
        <v>3352</v>
      </c>
      <c r="Q6449" t="s">
        <v>7324</v>
      </c>
      <c r="R6449" t="s">
        <v>616</v>
      </c>
      <c r="S6449">
        <v>143.662387</v>
      </c>
      <c r="T6449" s="1095">
        <v>-37.482132</v>
      </c>
    </row>
    <row r="6450" spans="16:20">
      <c r="P6450" s="1094">
        <v>3352</v>
      </c>
      <c r="Q6450" t="s">
        <v>7325</v>
      </c>
      <c r="R6450" t="s">
        <v>616</v>
      </c>
      <c r="S6450">
        <v>143.662387</v>
      </c>
      <c r="T6450" s="1095">
        <v>-37.482132</v>
      </c>
    </row>
    <row r="6451" spans="16:20">
      <c r="P6451" s="1094">
        <v>3352</v>
      </c>
      <c r="Q6451" t="s">
        <v>7326</v>
      </c>
      <c r="R6451" t="s">
        <v>616</v>
      </c>
      <c r="S6451">
        <v>143.662387</v>
      </c>
      <c r="T6451" s="1095">
        <v>-37.482132</v>
      </c>
    </row>
    <row r="6452" spans="16:20">
      <c r="P6452" s="1094">
        <v>3352</v>
      </c>
      <c r="Q6452" t="s">
        <v>7327</v>
      </c>
      <c r="R6452" t="s">
        <v>616</v>
      </c>
      <c r="S6452">
        <v>143.662387</v>
      </c>
      <c r="T6452" s="1095">
        <v>-37.482132</v>
      </c>
    </row>
    <row r="6453" spans="16:20">
      <c r="P6453" s="1094">
        <v>3352</v>
      </c>
      <c r="Q6453" t="s">
        <v>7328</v>
      </c>
      <c r="R6453" t="s">
        <v>616</v>
      </c>
      <c r="S6453">
        <v>143.662387</v>
      </c>
      <c r="T6453" s="1095">
        <v>-37.482132</v>
      </c>
    </row>
    <row r="6454" spans="16:20">
      <c r="P6454" s="1094">
        <v>3352</v>
      </c>
      <c r="Q6454" t="s">
        <v>5837</v>
      </c>
      <c r="R6454" t="s">
        <v>616</v>
      </c>
      <c r="S6454">
        <v>143.662387</v>
      </c>
      <c r="T6454" s="1095">
        <v>-37.482132</v>
      </c>
    </row>
    <row r="6455" spans="16:20">
      <c r="P6455" s="1094">
        <v>3352</v>
      </c>
      <c r="Q6455" t="s">
        <v>7329</v>
      </c>
      <c r="R6455" t="s">
        <v>616</v>
      </c>
      <c r="S6455">
        <v>143.662387</v>
      </c>
      <c r="T6455" s="1095">
        <v>-37.482132</v>
      </c>
    </row>
    <row r="6456" spans="16:20">
      <c r="P6456" s="1094">
        <v>3352</v>
      </c>
      <c r="Q6456" t="s">
        <v>7330</v>
      </c>
      <c r="R6456" t="s">
        <v>616</v>
      </c>
      <c r="S6456">
        <v>143.662387</v>
      </c>
      <c r="T6456" s="1095">
        <v>-37.482132</v>
      </c>
    </row>
    <row r="6457" spans="16:20">
      <c r="P6457" s="1094">
        <v>3352</v>
      </c>
      <c r="Q6457" t="s">
        <v>7331</v>
      </c>
      <c r="R6457" t="s">
        <v>616</v>
      </c>
      <c r="S6457">
        <v>143.662387</v>
      </c>
      <c r="T6457" s="1095">
        <v>-37.482132</v>
      </c>
    </row>
    <row r="6458" spans="16:20">
      <c r="P6458" s="1094">
        <v>3352</v>
      </c>
      <c r="Q6458" t="s">
        <v>2633</v>
      </c>
      <c r="R6458" t="s">
        <v>616</v>
      </c>
      <c r="S6458">
        <v>143.662387</v>
      </c>
      <c r="T6458" s="1095">
        <v>-37.482132</v>
      </c>
    </row>
    <row r="6459" spans="16:20">
      <c r="P6459" s="1094">
        <v>3352</v>
      </c>
      <c r="Q6459" t="s">
        <v>7332</v>
      </c>
      <c r="R6459" t="s">
        <v>616</v>
      </c>
      <c r="S6459">
        <v>143.662387</v>
      </c>
      <c r="T6459" s="1095">
        <v>-37.482132</v>
      </c>
    </row>
    <row r="6460" spans="16:20">
      <c r="P6460" s="1094">
        <v>3353</v>
      </c>
      <c r="Q6460" t="s">
        <v>7234</v>
      </c>
      <c r="R6460" t="s">
        <v>616</v>
      </c>
      <c r="S6460">
        <v>0</v>
      </c>
      <c r="T6460" s="1095">
        <v>0</v>
      </c>
    </row>
    <row r="6461" spans="16:20">
      <c r="P6461" s="1094">
        <v>3354</v>
      </c>
      <c r="Q6461" t="s">
        <v>7233</v>
      </c>
      <c r="R6461" t="s">
        <v>616</v>
      </c>
      <c r="S6461">
        <v>0</v>
      </c>
      <c r="T6461" s="1095">
        <v>0</v>
      </c>
    </row>
    <row r="6462" spans="16:20">
      <c r="P6462" s="1094">
        <v>3354</v>
      </c>
      <c r="Q6462" t="s">
        <v>7333</v>
      </c>
      <c r="R6462" t="s">
        <v>616</v>
      </c>
      <c r="S6462">
        <v>0</v>
      </c>
      <c r="T6462" s="1095">
        <v>0</v>
      </c>
    </row>
    <row r="6463" spans="16:20">
      <c r="P6463" s="1094">
        <v>3355</v>
      </c>
      <c r="Q6463" t="s">
        <v>7334</v>
      </c>
      <c r="R6463" t="s">
        <v>616</v>
      </c>
      <c r="S6463">
        <v>143.82561000000001</v>
      </c>
      <c r="T6463" s="1095">
        <v>-37.530284999999999</v>
      </c>
    </row>
    <row r="6464" spans="16:20">
      <c r="P6464" s="1094">
        <v>3355</v>
      </c>
      <c r="Q6464" t="s">
        <v>7314</v>
      </c>
      <c r="R6464" t="s">
        <v>616</v>
      </c>
      <c r="S6464">
        <v>143.82561000000001</v>
      </c>
      <c r="T6464" s="1095">
        <v>-37.530284999999999</v>
      </c>
    </row>
    <row r="6465" spans="16:20">
      <c r="P6465" s="1094">
        <v>3355</v>
      </c>
      <c r="Q6465" t="s">
        <v>7335</v>
      </c>
      <c r="R6465" t="s">
        <v>616</v>
      </c>
      <c r="S6465">
        <v>143.82561000000001</v>
      </c>
      <c r="T6465" s="1095">
        <v>-37.530284999999999</v>
      </c>
    </row>
    <row r="6466" spans="16:20">
      <c r="P6466" s="1094">
        <v>3355</v>
      </c>
      <c r="Q6466" t="s">
        <v>7336</v>
      </c>
      <c r="R6466" t="s">
        <v>616</v>
      </c>
      <c r="S6466">
        <v>143.82561000000001</v>
      </c>
      <c r="T6466" s="1095">
        <v>-37.530284999999999</v>
      </c>
    </row>
    <row r="6467" spans="16:20">
      <c r="P6467" s="1094">
        <v>3356</v>
      </c>
      <c r="Q6467" t="s">
        <v>3045</v>
      </c>
      <c r="R6467" t="s">
        <v>616</v>
      </c>
      <c r="S6467">
        <v>143.82846000000001</v>
      </c>
      <c r="T6467" s="1095">
        <v>-37.592283000000002</v>
      </c>
    </row>
    <row r="6468" spans="16:20">
      <c r="P6468" s="1094">
        <v>3356</v>
      </c>
      <c r="Q6468" t="s">
        <v>7337</v>
      </c>
      <c r="R6468" t="s">
        <v>616</v>
      </c>
      <c r="S6468">
        <v>143.82846000000001</v>
      </c>
      <c r="T6468" s="1095">
        <v>-37.592283000000002</v>
      </c>
    </row>
    <row r="6469" spans="16:20">
      <c r="P6469" s="1094">
        <v>3356</v>
      </c>
      <c r="Q6469" t="s">
        <v>5292</v>
      </c>
      <c r="R6469" t="s">
        <v>616</v>
      </c>
      <c r="S6469">
        <v>143.82846000000001</v>
      </c>
      <c r="T6469" s="1095">
        <v>-37.592283000000002</v>
      </c>
    </row>
    <row r="6470" spans="16:20">
      <c r="P6470" s="1094">
        <v>3357</v>
      </c>
      <c r="Q6470" t="s">
        <v>7338</v>
      </c>
      <c r="R6470" t="s">
        <v>616</v>
      </c>
      <c r="S6470">
        <v>143.88341600000001</v>
      </c>
      <c r="T6470" s="1095">
        <v>-37.653945</v>
      </c>
    </row>
    <row r="6471" spans="16:20">
      <c r="P6471" s="1094">
        <v>3357</v>
      </c>
      <c r="Q6471" t="s">
        <v>7339</v>
      </c>
      <c r="R6471" t="s">
        <v>616</v>
      </c>
      <c r="S6471">
        <v>143.88341600000001</v>
      </c>
      <c r="T6471" s="1095">
        <v>-37.653945</v>
      </c>
    </row>
    <row r="6472" spans="16:20">
      <c r="P6472" s="1094">
        <v>3357</v>
      </c>
      <c r="Q6472" t="s">
        <v>7340</v>
      </c>
      <c r="R6472" t="s">
        <v>616</v>
      </c>
      <c r="S6472">
        <v>143.88341600000001</v>
      </c>
      <c r="T6472" s="1095">
        <v>-37.653945</v>
      </c>
    </row>
    <row r="6473" spans="16:20">
      <c r="P6473" s="1094">
        <v>3360</v>
      </c>
      <c r="Q6473" t="s">
        <v>7341</v>
      </c>
      <c r="R6473" t="s">
        <v>616</v>
      </c>
      <c r="S6473">
        <v>143.51253</v>
      </c>
      <c r="T6473" s="1095">
        <v>-37.779677</v>
      </c>
    </row>
    <row r="6474" spans="16:20">
      <c r="P6474" s="1094">
        <v>3360</v>
      </c>
      <c r="Q6474" t="s">
        <v>7342</v>
      </c>
      <c r="R6474" t="s">
        <v>616</v>
      </c>
      <c r="S6474">
        <v>143.51253</v>
      </c>
      <c r="T6474" s="1095">
        <v>-37.779677</v>
      </c>
    </row>
    <row r="6475" spans="16:20">
      <c r="P6475" s="1094">
        <v>3360</v>
      </c>
      <c r="Q6475" t="s">
        <v>7343</v>
      </c>
      <c r="R6475" t="s">
        <v>616</v>
      </c>
      <c r="S6475">
        <v>143.51253</v>
      </c>
      <c r="T6475" s="1095">
        <v>-37.779677</v>
      </c>
    </row>
    <row r="6476" spans="16:20">
      <c r="P6476" s="1094">
        <v>3360</v>
      </c>
      <c r="Q6476" t="s">
        <v>7344</v>
      </c>
      <c r="R6476" t="s">
        <v>616</v>
      </c>
      <c r="S6476">
        <v>143.51253</v>
      </c>
      <c r="T6476" s="1095">
        <v>-37.779677</v>
      </c>
    </row>
    <row r="6477" spans="16:20">
      <c r="P6477" s="1094">
        <v>3361</v>
      </c>
      <c r="Q6477" t="s">
        <v>7345</v>
      </c>
      <c r="R6477" t="s">
        <v>616</v>
      </c>
      <c r="S6477">
        <v>143.37308899999999</v>
      </c>
      <c r="T6477" s="1095">
        <v>-37.752642999999999</v>
      </c>
    </row>
    <row r="6478" spans="16:20">
      <c r="P6478" s="1094">
        <v>3361</v>
      </c>
      <c r="Q6478" t="s">
        <v>7346</v>
      </c>
      <c r="R6478" t="s">
        <v>616</v>
      </c>
      <c r="S6478">
        <v>143.37308899999999</v>
      </c>
      <c r="T6478" s="1095">
        <v>-37.752642999999999</v>
      </c>
    </row>
    <row r="6479" spans="16:20">
      <c r="P6479" s="1094">
        <v>3361</v>
      </c>
      <c r="Q6479" t="s">
        <v>7347</v>
      </c>
      <c r="R6479" t="s">
        <v>616</v>
      </c>
      <c r="S6479">
        <v>143.37308899999999</v>
      </c>
      <c r="T6479" s="1095">
        <v>-37.752642999999999</v>
      </c>
    </row>
    <row r="6480" spans="16:20">
      <c r="P6480" s="1094">
        <v>3363</v>
      </c>
      <c r="Q6480" t="s">
        <v>7348</v>
      </c>
      <c r="R6480" t="s">
        <v>616</v>
      </c>
      <c r="S6480">
        <v>143.88637</v>
      </c>
      <c r="T6480" s="1095">
        <v>-37.420588000000002</v>
      </c>
    </row>
    <row r="6481" spans="16:20">
      <c r="P6481" s="1094">
        <v>3363</v>
      </c>
      <c r="Q6481" t="s">
        <v>7349</v>
      </c>
      <c r="R6481" t="s">
        <v>616</v>
      </c>
      <c r="S6481">
        <v>143.88637</v>
      </c>
      <c r="T6481" s="1095">
        <v>-37.420588000000002</v>
      </c>
    </row>
    <row r="6482" spans="16:20">
      <c r="P6482" s="1094">
        <v>3363</v>
      </c>
      <c r="Q6482" t="s">
        <v>7350</v>
      </c>
      <c r="R6482" t="s">
        <v>616</v>
      </c>
      <c r="S6482">
        <v>143.88637</v>
      </c>
      <c r="T6482" s="1095">
        <v>-37.420588000000002</v>
      </c>
    </row>
    <row r="6483" spans="16:20">
      <c r="P6483" s="1094">
        <v>3363</v>
      </c>
      <c r="Q6483" t="s">
        <v>7351</v>
      </c>
      <c r="R6483" t="s">
        <v>616</v>
      </c>
      <c r="S6483">
        <v>143.88637</v>
      </c>
      <c r="T6483" s="1095">
        <v>-37.420588000000002</v>
      </c>
    </row>
    <row r="6484" spans="16:20">
      <c r="P6484" s="1094">
        <v>3363</v>
      </c>
      <c r="Q6484" t="s">
        <v>7352</v>
      </c>
      <c r="R6484" t="s">
        <v>616</v>
      </c>
      <c r="S6484">
        <v>143.88637</v>
      </c>
      <c r="T6484" s="1095">
        <v>-37.420588000000002</v>
      </c>
    </row>
    <row r="6485" spans="16:20">
      <c r="P6485" s="1094">
        <v>3363</v>
      </c>
      <c r="Q6485" t="s">
        <v>7353</v>
      </c>
      <c r="R6485" t="s">
        <v>616</v>
      </c>
      <c r="S6485">
        <v>143.88637</v>
      </c>
      <c r="T6485" s="1095">
        <v>-37.420588000000002</v>
      </c>
    </row>
    <row r="6486" spans="16:20">
      <c r="P6486" s="1094">
        <v>3364</v>
      </c>
      <c r="Q6486" t="s">
        <v>7354</v>
      </c>
      <c r="R6486" t="s">
        <v>616</v>
      </c>
      <c r="S6486">
        <v>143.907186</v>
      </c>
      <c r="T6486" s="1095">
        <v>-37.334654999999998</v>
      </c>
    </row>
    <row r="6487" spans="16:20">
      <c r="P6487" s="1094">
        <v>3364</v>
      </c>
      <c r="Q6487" t="s">
        <v>7355</v>
      </c>
      <c r="R6487" t="s">
        <v>616</v>
      </c>
      <c r="S6487">
        <v>143.907186</v>
      </c>
      <c r="T6487" s="1095">
        <v>-37.334654999999998</v>
      </c>
    </row>
    <row r="6488" spans="16:20">
      <c r="P6488" s="1094">
        <v>3364</v>
      </c>
      <c r="Q6488" t="s">
        <v>4434</v>
      </c>
      <c r="R6488" t="s">
        <v>616</v>
      </c>
      <c r="S6488">
        <v>143.907186</v>
      </c>
      <c r="T6488" s="1095">
        <v>-37.334654999999998</v>
      </c>
    </row>
    <row r="6489" spans="16:20">
      <c r="P6489" s="1094">
        <v>3364</v>
      </c>
      <c r="Q6489" t="s">
        <v>7356</v>
      </c>
      <c r="R6489" t="s">
        <v>616</v>
      </c>
      <c r="S6489">
        <v>143.907186</v>
      </c>
      <c r="T6489" s="1095">
        <v>-37.334654999999998</v>
      </c>
    </row>
    <row r="6490" spans="16:20">
      <c r="P6490" s="1094">
        <v>3364</v>
      </c>
      <c r="Q6490" t="s">
        <v>7357</v>
      </c>
      <c r="R6490" t="s">
        <v>616</v>
      </c>
      <c r="S6490">
        <v>143.907186</v>
      </c>
      <c r="T6490" s="1095">
        <v>-37.334654999999998</v>
      </c>
    </row>
    <row r="6491" spans="16:20">
      <c r="P6491" s="1094">
        <v>3364</v>
      </c>
      <c r="Q6491" t="s">
        <v>7358</v>
      </c>
      <c r="R6491" t="s">
        <v>616</v>
      </c>
      <c r="S6491">
        <v>143.907186</v>
      </c>
      <c r="T6491" s="1095">
        <v>-37.334654999999998</v>
      </c>
    </row>
    <row r="6492" spans="16:20">
      <c r="P6492" s="1094">
        <v>3364</v>
      </c>
      <c r="Q6492" t="s">
        <v>4518</v>
      </c>
      <c r="R6492" t="s">
        <v>616</v>
      </c>
      <c r="S6492">
        <v>143.907186</v>
      </c>
      <c r="T6492" s="1095">
        <v>-37.334654999999998</v>
      </c>
    </row>
    <row r="6493" spans="16:20">
      <c r="P6493" s="1094">
        <v>3364</v>
      </c>
      <c r="Q6493" t="s">
        <v>7359</v>
      </c>
      <c r="R6493" t="s">
        <v>616</v>
      </c>
      <c r="S6493">
        <v>143.907186</v>
      </c>
      <c r="T6493" s="1095">
        <v>-37.334654999999998</v>
      </c>
    </row>
    <row r="6494" spans="16:20">
      <c r="P6494" s="1094">
        <v>3364</v>
      </c>
      <c r="Q6494" t="s">
        <v>7360</v>
      </c>
      <c r="R6494" t="s">
        <v>616</v>
      </c>
      <c r="S6494">
        <v>143.907186</v>
      </c>
      <c r="T6494" s="1095">
        <v>-37.334654999999998</v>
      </c>
    </row>
    <row r="6495" spans="16:20">
      <c r="P6495" s="1094">
        <v>3364</v>
      </c>
      <c r="Q6495" t="s">
        <v>4811</v>
      </c>
      <c r="R6495" t="s">
        <v>616</v>
      </c>
      <c r="S6495">
        <v>143.907186</v>
      </c>
      <c r="T6495" s="1095">
        <v>-37.334654999999998</v>
      </c>
    </row>
    <row r="6496" spans="16:20">
      <c r="P6496" s="1094">
        <v>3364</v>
      </c>
      <c r="Q6496" t="s">
        <v>7361</v>
      </c>
      <c r="R6496" t="s">
        <v>616</v>
      </c>
      <c r="S6496">
        <v>143.907186</v>
      </c>
      <c r="T6496" s="1095">
        <v>-37.334654999999998</v>
      </c>
    </row>
    <row r="6497" spans="16:20">
      <c r="P6497" s="1094">
        <v>3364</v>
      </c>
      <c r="Q6497" t="s">
        <v>3733</v>
      </c>
      <c r="R6497" t="s">
        <v>616</v>
      </c>
      <c r="S6497">
        <v>143.907186</v>
      </c>
      <c r="T6497" s="1095">
        <v>-37.334654999999998</v>
      </c>
    </row>
    <row r="6498" spans="16:20">
      <c r="P6498" s="1094">
        <v>3364</v>
      </c>
      <c r="Q6498" t="s">
        <v>7362</v>
      </c>
      <c r="R6498" t="s">
        <v>616</v>
      </c>
      <c r="S6498">
        <v>143.907186</v>
      </c>
      <c r="T6498" s="1095">
        <v>-37.334654999999998</v>
      </c>
    </row>
    <row r="6499" spans="16:20">
      <c r="P6499" s="1094">
        <v>3364</v>
      </c>
      <c r="Q6499" t="s">
        <v>7363</v>
      </c>
      <c r="R6499" t="s">
        <v>616</v>
      </c>
      <c r="S6499">
        <v>143.907186</v>
      </c>
      <c r="T6499" s="1095">
        <v>-37.334654999999998</v>
      </c>
    </row>
    <row r="6500" spans="16:20">
      <c r="P6500" s="1094">
        <v>3364</v>
      </c>
      <c r="Q6500" t="s">
        <v>7364</v>
      </c>
      <c r="R6500" t="s">
        <v>616</v>
      </c>
      <c r="S6500">
        <v>143.907186</v>
      </c>
      <c r="T6500" s="1095">
        <v>-37.334654999999998</v>
      </c>
    </row>
    <row r="6501" spans="16:20">
      <c r="P6501" s="1094">
        <v>3364</v>
      </c>
      <c r="Q6501" t="s">
        <v>7365</v>
      </c>
      <c r="R6501" t="s">
        <v>616</v>
      </c>
      <c r="S6501">
        <v>143.907186</v>
      </c>
      <c r="T6501" s="1095">
        <v>-37.334654999999998</v>
      </c>
    </row>
    <row r="6502" spans="16:20">
      <c r="P6502" s="1094">
        <v>3364</v>
      </c>
      <c r="Q6502" t="s">
        <v>7366</v>
      </c>
      <c r="R6502" t="s">
        <v>616</v>
      </c>
      <c r="S6502">
        <v>143.907186</v>
      </c>
      <c r="T6502" s="1095">
        <v>-37.334654999999998</v>
      </c>
    </row>
    <row r="6503" spans="16:20">
      <c r="P6503" s="1094">
        <v>3364</v>
      </c>
      <c r="Q6503" t="s">
        <v>7367</v>
      </c>
      <c r="R6503" t="s">
        <v>616</v>
      </c>
      <c r="S6503">
        <v>143.907186</v>
      </c>
      <c r="T6503" s="1095">
        <v>-37.334654999999998</v>
      </c>
    </row>
    <row r="6504" spans="16:20">
      <c r="P6504" s="1094">
        <v>3364</v>
      </c>
      <c r="Q6504" t="s">
        <v>7368</v>
      </c>
      <c r="R6504" t="s">
        <v>616</v>
      </c>
      <c r="S6504">
        <v>143.907186</v>
      </c>
      <c r="T6504" s="1095">
        <v>-37.334654999999998</v>
      </c>
    </row>
    <row r="6505" spans="16:20">
      <c r="P6505" s="1094">
        <v>3364</v>
      </c>
      <c r="Q6505" t="s">
        <v>7369</v>
      </c>
      <c r="R6505" t="s">
        <v>616</v>
      </c>
      <c r="S6505">
        <v>143.907186</v>
      </c>
      <c r="T6505" s="1095">
        <v>-37.334654999999998</v>
      </c>
    </row>
    <row r="6506" spans="16:20">
      <c r="P6506" s="1094">
        <v>3364</v>
      </c>
      <c r="Q6506" t="s">
        <v>7370</v>
      </c>
      <c r="R6506" t="s">
        <v>616</v>
      </c>
      <c r="S6506">
        <v>143.907186</v>
      </c>
      <c r="T6506" s="1095">
        <v>-37.334654999999998</v>
      </c>
    </row>
    <row r="6507" spans="16:20">
      <c r="P6507" s="1094">
        <v>3364</v>
      </c>
      <c r="Q6507" t="s">
        <v>7371</v>
      </c>
      <c r="R6507" t="s">
        <v>616</v>
      </c>
      <c r="S6507">
        <v>143.907186</v>
      </c>
      <c r="T6507" s="1095">
        <v>-37.334654999999998</v>
      </c>
    </row>
    <row r="6508" spans="16:20">
      <c r="P6508" s="1094">
        <v>3370</v>
      </c>
      <c r="Q6508" t="s">
        <v>3988</v>
      </c>
      <c r="R6508" t="s">
        <v>616</v>
      </c>
      <c r="S6508">
        <v>143.81561300000001</v>
      </c>
      <c r="T6508" s="1095">
        <v>-37.252718000000002</v>
      </c>
    </row>
    <row r="6509" spans="16:20">
      <c r="P6509" s="1094">
        <v>3370</v>
      </c>
      <c r="Q6509" t="s">
        <v>7372</v>
      </c>
      <c r="R6509" t="s">
        <v>616</v>
      </c>
      <c r="S6509">
        <v>143.81561300000001</v>
      </c>
      <c r="T6509" s="1095">
        <v>-37.252718000000002</v>
      </c>
    </row>
    <row r="6510" spans="16:20">
      <c r="P6510" s="1094">
        <v>3370</v>
      </c>
      <c r="Q6510" t="s">
        <v>7373</v>
      </c>
      <c r="R6510" t="s">
        <v>616</v>
      </c>
      <c r="S6510">
        <v>143.81561300000001</v>
      </c>
      <c r="T6510" s="1095">
        <v>-37.252718000000002</v>
      </c>
    </row>
    <row r="6511" spans="16:20">
      <c r="P6511" s="1094">
        <v>3371</v>
      </c>
      <c r="Q6511" t="s">
        <v>7374</v>
      </c>
      <c r="R6511" t="s">
        <v>616</v>
      </c>
      <c r="S6511">
        <v>143.63562200000001</v>
      </c>
      <c r="T6511" s="1095">
        <v>-37.196938000000003</v>
      </c>
    </row>
    <row r="6512" spans="16:20">
      <c r="P6512" s="1094">
        <v>3371</v>
      </c>
      <c r="Q6512" t="s">
        <v>7375</v>
      </c>
      <c r="R6512" t="s">
        <v>616</v>
      </c>
      <c r="S6512">
        <v>143.63562200000001</v>
      </c>
      <c r="T6512" s="1095">
        <v>-37.196938000000003</v>
      </c>
    </row>
    <row r="6513" spans="16:20">
      <c r="P6513" s="1094">
        <v>3371</v>
      </c>
      <c r="Q6513" t="s">
        <v>7376</v>
      </c>
      <c r="R6513" t="s">
        <v>616</v>
      </c>
      <c r="S6513">
        <v>143.63562200000001</v>
      </c>
      <c r="T6513" s="1095">
        <v>-37.196938000000003</v>
      </c>
    </row>
    <row r="6514" spans="16:20">
      <c r="P6514" s="1094">
        <v>3371</v>
      </c>
      <c r="Q6514" t="s">
        <v>7377</v>
      </c>
      <c r="R6514" t="s">
        <v>616</v>
      </c>
      <c r="S6514">
        <v>143.63562200000001</v>
      </c>
      <c r="T6514" s="1095">
        <v>-37.196938000000003</v>
      </c>
    </row>
    <row r="6515" spans="16:20">
      <c r="P6515" s="1094">
        <v>3371</v>
      </c>
      <c r="Q6515" t="s">
        <v>7378</v>
      </c>
      <c r="R6515" t="s">
        <v>616</v>
      </c>
      <c r="S6515">
        <v>143.63562200000001</v>
      </c>
      <c r="T6515" s="1095">
        <v>-37.196938000000003</v>
      </c>
    </row>
    <row r="6516" spans="16:20">
      <c r="P6516" s="1094">
        <v>3371</v>
      </c>
      <c r="Q6516" t="s">
        <v>7379</v>
      </c>
      <c r="R6516" t="s">
        <v>616</v>
      </c>
      <c r="S6516">
        <v>143.63562200000001</v>
      </c>
      <c r="T6516" s="1095">
        <v>-37.196938000000003</v>
      </c>
    </row>
    <row r="6517" spans="16:20">
      <c r="P6517" s="1094">
        <v>3371</v>
      </c>
      <c r="Q6517" t="s">
        <v>7380</v>
      </c>
      <c r="R6517" t="s">
        <v>616</v>
      </c>
      <c r="S6517">
        <v>143.63562200000001</v>
      </c>
      <c r="T6517" s="1095">
        <v>-37.196938000000003</v>
      </c>
    </row>
    <row r="6518" spans="16:20">
      <c r="P6518" s="1094">
        <v>3371</v>
      </c>
      <c r="Q6518" t="s">
        <v>4409</v>
      </c>
      <c r="R6518" t="s">
        <v>616</v>
      </c>
      <c r="S6518">
        <v>143.63562200000001</v>
      </c>
      <c r="T6518" s="1095">
        <v>-37.196938000000003</v>
      </c>
    </row>
    <row r="6519" spans="16:20">
      <c r="P6519" s="1094">
        <v>3371</v>
      </c>
      <c r="Q6519" t="s">
        <v>7381</v>
      </c>
      <c r="R6519" t="s">
        <v>616</v>
      </c>
      <c r="S6519">
        <v>143.63562200000001</v>
      </c>
      <c r="T6519" s="1095">
        <v>-37.196938000000003</v>
      </c>
    </row>
    <row r="6520" spans="16:20">
      <c r="P6520" s="1094">
        <v>3373</v>
      </c>
      <c r="Q6520" t="s">
        <v>7382</v>
      </c>
      <c r="R6520" t="s">
        <v>616</v>
      </c>
      <c r="S6520">
        <v>143.34342899999999</v>
      </c>
      <c r="T6520" s="1095">
        <v>-37.457785000000001</v>
      </c>
    </row>
    <row r="6521" spans="16:20">
      <c r="P6521" s="1094">
        <v>3373</v>
      </c>
      <c r="Q6521" t="s">
        <v>7383</v>
      </c>
      <c r="R6521" t="s">
        <v>616</v>
      </c>
      <c r="S6521">
        <v>143.34342899999999</v>
      </c>
      <c r="T6521" s="1095">
        <v>-37.457785000000001</v>
      </c>
    </row>
    <row r="6522" spans="16:20">
      <c r="P6522" s="1094">
        <v>3373</v>
      </c>
      <c r="Q6522" t="s">
        <v>6149</v>
      </c>
      <c r="R6522" t="s">
        <v>616</v>
      </c>
      <c r="S6522">
        <v>143.34342899999999</v>
      </c>
      <c r="T6522" s="1095">
        <v>-37.457785000000001</v>
      </c>
    </row>
    <row r="6523" spans="16:20">
      <c r="P6523" s="1094">
        <v>3373</v>
      </c>
      <c r="Q6523" t="s">
        <v>7384</v>
      </c>
      <c r="R6523" t="s">
        <v>616</v>
      </c>
      <c r="S6523">
        <v>143.34342899999999</v>
      </c>
      <c r="T6523" s="1095">
        <v>-37.457785000000001</v>
      </c>
    </row>
    <row r="6524" spans="16:20">
      <c r="P6524" s="1094">
        <v>3373</v>
      </c>
      <c r="Q6524" t="s">
        <v>7385</v>
      </c>
      <c r="R6524" t="s">
        <v>616</v>
      </c>
      <c r="S6524">
        <v>143.34342899999999</v>
      </c>
      <c r="T6524" s="1095">
        <v>-37.457785000000001</v>
      </c>
    </row>
    <row r="6525" spans="16:20">
      <c r="P6525" s="1094">
        <v>3373</v>
      </c>
      <c r="Q6525" t="s">
        <v>7386</v>
      </c>
      <c r="R6525" t="s">
        <v>616</v>
      </c>
      <c r="S6525">
        <v>143.34342899999999</v>
      </c>
      <c r="T6525" s="1095">
        <v>-37.457785000000001</v>
      </c>
    </row>
    <row r="6526" spans="16:20">
      <c r="P6526" s="1094">
        <v>3373</v>
      </c>
      <c r="Q6526" t="s">
        <v>7387</v>
      </c>
      <c r="R6526" t="s">
        <v>616</v>
      </c>
      <c r="S6526">
        <v>143.34342899999999</v>
      </c>
      <c r="T6526" s="1095">
        <v>-37.457785000000001</v>
      </c>
    </row>
    <row r="6527" spans="16:20">
      <c r="P6527" s="1094">
        <v>3373</v>
      </c>
      <c r="Q6527" t="s">
        <v>7388</v>
      </c>
      <c r="R6527" t="s">
        <v>616</v>
      </c>
      <c r="S6527">
        <v>143.34342899999999</v>
      </c>
      <c r="T6527" s="1095">
        <v>-37.457785000000001</v>
      </c>
    </row>
    <row r="6528" spans="16:20">
      <c r="P6528" s="1094">
        <v>3373</v>
      </c>
      <c r="Q6528" t="s">
        <v>5820</v>
      </c>
      <c r="R6528" t="s">
        <v>616</v>
      </c>
      <c r="S6528">
        <v>143.34342899999999</v>
      </c>
      <c r="T6528" s="1095">
        <v>-37.457785000000001</v>
      </c>
    </row>
    <row r="6529" spans="16:20">
      <c r="P6529" s="1094">
        <v>3373</v>
      </c>
      <c r="Q6529" t="s">
        <v>7389</v>
      </c>
      <c r="R6529" t="s">
        <v>616</v>
      </c>
      <c r="S6529">
        <v>143.34342899999999</v>
      </c>
      <c r="T6529" s="1095">
        <v>-37.457785000000001</v>
      </c>
    </row>
    <row r="6530" spans="16:20">
      <c r="P6530" s="1094">
        <v>3373</v>
      </c>
      <c r="Q6530" t="s">
        <v>7390</v>
      </c>
      <c r="R6530" t="s">
        <v>616</v>
      </c>
      <c r="S6530">
        <v>143.34342899999999</v>
      </c>
      <c r="T6530" s="1095">
        <v>-37.457785000000001</v>
      </c>
    </row>
    <row r="6531" spans="16:20">
      <c r="P6531" s="1094">
        <v>3373</v>
      </c>
      <c r="Q6531" t="s">
        <v>7391</v>
      </c>
      <c r="R6531" t="s">
        <v>616</v>
      </c>
      <c r="S6531">
        <v>143.34342899999999</v>
      </c>
      <c r="T6531" s="1095">
        <v>-37.457785000000001</v>
      </c>
    </row>
    <row r="6532" spans="16:20">
      <c r="P6532" s="1094">
        <v>3373</v>
      </c>
      <c r="Q6532" t="s">
        <v>7392</v>
      </c>
      <c r="R6532" t="s">
        <v>616</v>
      </c>
      <c r="S6532">
        <v>143.34342899999999</v>
      </c>
      <c r="T6532" s="1095">
        <v>-37.457785000000001</v>
      </c>
    </row>
    <row r="6533" spans="16:20">
      <c r="P6533" s="1094">
        <v>3373</v>
      </c>
      <c r="Q6533" t="s">
        <v>1661</v>
      </c>
      <c r="R6533" t="s">
        <v>616</v>
      </c>
      <c r="S6533">
        <v>143.34342899999999</v>
      </c>
      <c r="T6533" s="1095">
        <v>-37.457785000000001</v>
      </c>
    </row>
    <row r="6534" spans="16:20">
      <c r="P6534" s="1094">
        <v>3374</v>
      </c>
      <c r="Q6534" t="s">
        <v>7393</v>
      </c>
      <c r="R6534" t="s">
        <v>616</v>
      </c>
      <c r="S6534">
        <v>0</v>
      </c>
      <c r="T6534" s="1095">
        <v>0</v>
      </c>
    </row>
    <row r="6535" spans="16:20">
      <c r="P6535" s="1094">
        <v>3375</v>
      </c>
      <c r="Q6535" t="s">
        <v>7394</v>
      </c>
      <c r="R6535" t="s">
        <v>616</v>
      </c>
      <c r="S6535">
        <v>143.143621</v>
      </c>
      <c r="T6535" s="1095">
        <v>-37.424287999999997</v>
      </c>
    </row>
    <row r="6536" spans="16:20">
      <c r="P6536" s="1094">
        <v>3375</v>
      </c>
      <c r="Q6536" t="s">
        <v>7395</v>
      </c>
      <c r="R6536" t="s">
        <v>616</v>
      </c>
      <c r="S6536">
        <v>143.143621</v>
      </c>
      <c r="T6536" s="1095">
        <v>-37.424287999999997</v>
      </c>
    </row>
    <row r="6537" spans="16:20">
      <c r="P6537" s="1094">
        <v>3375</v>
      </c>
      <c r="Q6537" t="s">
        <v>7396</v>
      </c>
      <c r="R6537" t="s">
        <v>616</v>
      </c>
      <c r="S6537">
        <v>143.143621</v>
      </c>
      <c r="T6537" s="1095">
        <v>-37.424287999999997</v>
      </c>
    </row>
    <row r="6538" spans="16:20">
      <c r="P6538" s="1094">
        <v>3375</v>
      </c>
      <c r="Q6538" t="s">
        <v>7397</v>
      </c>
      <c r="R6538" t="s">
        <v>616</v>
      </c>
      <c r="S6538">
        <v>143.143621</v>
      </c>
      <c r="T6538" s="1095">
        <v>-37.424287999999997</v>
      </c>
    </row>
    <row r="6539" spans="16:20">
      <c r="P6539" s="1094">
        <v>3377</v>
      </c>
      <c r="Q6539" t="s">
        <v>7398</v>
      </c>
      <c r="R6539" t="s">
        <v>616</v>
      </c>
      <c r="S6539">
        <v>142.95691600000001</v>
      </c>
      <c r="T6539" s="1095">
        <v>-37.231524</v>
      </c>
    </row>
    <row r="6540" spans="16:20">
      <c r="P6540" s="1094">
        <v>3377</v>
      </c>
      <c r="Q6540" t="s">
        <v>7399</v>
      </c>
      <c r="R6540" t="s">
        <v>616</v>
      </c>
      <c r="S6540">
        <v>142.95691600000001</v>
      </c>
      <c r="T6540" s="1095">
        <v>-37.231524</v>
      </c>
    </row>
    <row r="6541" spans="16:20">
      <c r="P6541" s="1094">
        <v>3377</v>
      </c>
      <c r="Q6541" t="s">
        <v>7400</v>
      </c>
      <c r="R6541" t="s">
        <v>616</v>
      </c>
      <c r="S6541">
        <v>142.95691600000001</v>
      </c>
      <c r="T6541" s="1095">
        <v>-37.231524</v>
      </c>
    </row>
    <row r="6542" spans="16:20">
      <c r="P6542" s="1094">
        <v>3377</v>
      </c>
      <c r="Q6542" t="s">
        <v>7401</v>
      </c>
      <c r="R6542" t="s">
        <v>616</v>
      </c>
      <c r="S6542">
        <v>142.95691600000001</v>
      </c>
      <c r="T6542" s="1095">
        <v>-37.231524</v>
      </c>
    </row>
    <row r="6543" spans="16:20">
      <c r="P6543" s="1094">
        <v>3377</v>
      </c>
      <c r="Q6543" t="s">
        <v>7402</v>
      </c>
      <c r="R6543" t="s">
        <v>616</v>
      </c>
      <c r="S6543">
        <v>142.95691600000001</v>
      </c>
      <c r="T6543" s="1095">
        <v>-37.231524</v>
      </c>
    </row>
    <row r="6544" spans="16:20">
      <c r="P6544" s="1094">
        <v>3377</v>
      </c>
      <c r="Q6544" t="s">
        <v>5063</v>
      </c>
      <c r="R6544" t="s">
        <v>616</v>
      </c>
      <c r="S6544">
        <v>142.95691600000001</v>
      </c>
      <c r="T6544" s="1095">
        <v>-37.231524</v>
      </c>
    </row>
    <row r="6545" spans="16:20">
      <c r="P6545" s="1094">
        <v>3377</v>
      </c>
      <c r="Q6545" t="s">
        <v>7403</v>
      </c>
      <c r="R6545" t="s">
        <v>616</v>
      </c>
      <c r="S6545">
        <v>142.95691600000001</v>
      </c>
      <c r="T6545" s="1095">
        <v>-37.231524</v>
      </c>
    </row>
    <row r="6546" spans="16:20">
      <c r="P6546" s="1094">
        <v>3377</v>
      </c>
      <c r="Q6546" t="s">
        <v>7404</v>
      </c>
      <c r="R6546" t="s">
        <v>616</v>
      </c>
      <c r="S6546">
        <v>142.95691600000001</v>
      </c>
      <c r="T6546" s="1095">
        <v>-37.231524</v>
      </c>
    </row>
    <row r="6547" spans="16:20">
      <c r="P6547" s="1094">
        <v>3377</v>
      </c>
      <c r="Q6547" t="s">
        <v>7405</v>
      </c>
      <c r="R6547" t="s">
        <v>616</v>
      </c>
      <c r="S6547">
        <v>142.95691600000001</v>
      </c>
      <c r="T6547" s="1095">
        <v>-37.231524</v>
      </c>
    </row>
    <row r="6548" spans="16:20">
      <c r="P6548" s="1094">
        <v>3377</v>
      </c>
      <c r="Q6548" t="s">
        <v>7406</v>
      </c>
      <c r="R6548" t="s">
        <v>616</v>
      </c>
      <c r="S6548">
        <v>142.95691600000001</v>
      </c>
      <c r="T6548" s="1095">
        <v>-37.231524</v>
      </c>
    </row>
    <row r="6549" spans="16:20">
      <c r="P6549" s="1094">
        <v>3377</v>
      </c>
      <c r="Q6549" t="s">
        <v>7407</v>
      </c>
      <c r="R6549" t="s">
        <v>616</v>
      </c>
      <c r="S6549">
        <v>142.95691600000001</v>
      </c>
      <c r="T6549" s="1095">
        <v>-37.231524</v>
      </c>
    </row>
    <row r="6550" spans="16:20">
      <c r="P6550" s="1094">
        <v>3377</v>
      </c>
      <c r="Q6550" t="s">
        <v>7393</v>
      </c>
      <c r="R6550" t="s">
        <v>616</v>
      </c>
      <c r="S6550">
        <v>142.95691600000001</v>
      </c>
      <c r="T6550" s="1095">
        <v>-37.231524</v>
      </c>
    </row>
    <row r="6551" spans="16:20">
      <c r="P6551" s="1094">
        <v>3377</v>
      </c>
      <c r="Q6551" t="s">
        <v>7408</v>
      </c>
      <c r="R6551" t="s">
        <v>616</v>
      </c>
      <c r="S6551">
        <v>142.95691600000001</v>
      </c>
      <c r="T6551" s="1095">
        <v>-37.231524</v>
      </c>
    </row>
    <row r="6552" spans="16:20">
      <c r="P6552" s="1094">
        <v>3377</v>
      </c>
      <c r="Q6552" t="s">
        <v>7409</v>
      </c>
      <c r="R6552" t="s">
        <v>616</v>
      </c>
      <c r="S6552">
        <v>142.95691600000001</v>
      </c>
      <c r="T6552" s="1095">
        <v>-37.231524</v>
      </c>
    </row>
    <row r="6553" spans="16:20">
      <c r="P6553" s="1094">
        <v>3377</v>
      </c>
      <c r="Q6553" t="s">
        <v>7410</v>
      </c>
      <c r="R6553" t="s">
        <v>616</v>
      </c>
      <c r="S6553">
        <v>142.95691600000001</v>
      </c>
      <c r="T6553" s="1095">
        <v>-37.231524</v>
      </c>
    </row>
    <row r="6554" spans="16:20">
      <c r="P6554" s="1094">
        <v>3377</v>
      </c>
      <c r="Q6554" t="s">
        <v>7411</v>
      </c>
      <c r="R6554" t="s">
        <v>616</v>
      </c>
      <c r="S6554">
        <v>142.95691600000001</v>
      </c>
      <c r="T6554" s="1095">
        <v>-37.231524</v>
      </c>
    </row>
    <row r="6555" spans="16:20">
      <c r="P6555" s="1094">
        <v>3377</v>
      </c>
      <c r="Q6555" t="s">
        <v>7412</v>
      </c>
      <c r="R6555" t="s">
        <v>616</v>
      </c>
      <c r="S6555">
        <v>142.95691600000001</v>
      </c>
      <c r="T6555" s="1095">
        <v>-37.231524</v>
      </c>
    </row>
    <row r="6556" spans="16:20">
      <c r="P6556" s="1094">
        <v>3377</v>
      </c>
      <c r="Q6556" t="s">
        <v>7413</v>
      </c>
      <c r="R6556" t="s">
        <v>616</v>
      </c>
      <c r="S6556">
        <v>142.95691600000001</v>
      </c>
      <c r="T6556" s="1095">
        <v>-37.231524</v>
      </c>
    </row>
    <row r="6557" spans="16:20">
      <c r="P6557" s="1094">
        <v>3377</v>
      </c>
      <c r="Q6557" t="s">
        <v>7414</v>
      </c>
      <c r="R6557" t="s">
        <v>616</v>
      </c>
      <c r="S6557">
        <v>142.95691600000001</v>
      </c>
      <c r="T6557" s="1095">
        <v>-37.231524</v>
      </c>
    </row>
    <row r="6558" spans="16:20">
      <c r="P6558" s="1094">
        <v>3377</v>
      </c>
      <c r="Q6558" t="s">
        <v>7415</v>
      </c>
      <c r="R6558" t="s">
        <v>616</v>
      </c>
      <c r="S6558">
        <v>142.95691600000001</v>
      </c>
      <c r="T6558" s="1095">
        <v>-37.231524</v>
      </c>
    </row>
    <row r="6559" spans="16:20">
      <c r="P6559" s="1094">
        <v>3377</v>
      </c>
      <c r="Q6559" t="s">
        <v>7416</v>
      </c>
      <c r="R6559" t="s">
        <v>616</v>
      </c>
      <c r="S6559">
        <v>142.95691600000001</v>
      </c>
      <c r="T6559" s="1095">
        <v>-37.231524</v>
      </c>
    </row>
    <row r="6560" spans="16:20">
      <c r="P6560" s="1094">
        <v>3377</v>
      </c>
      <c r="Q6560" t="s">
        <v>2360</v>
      </c>
      <c r="R6560" t="s">
        <v>616</v>
      </c>
      <c r="S6560">
        <v>142.95691600000001</v>
      </c>
      <c r="T6560" s="1095">
        <v>-37.231524</v>
      </c>
    </row>
    <row r="6561" spans="16:20">
      <c r="P6561" s="1094">
        <v>3377</v>
      </c>
      <c r="Q6561" t="s">
        <v>7417</v>
      </c>
      <c r="R6561" t="s">
        <v>616</v>
      </c>
      <c r="S6561">
        <v>142.95691600000001</v>
      </c>
      <c r="T6561" s="1095">
        <v>-37.231524</v>
      </c>
    </row>
    <row r="6562" spans="16:20">
      <c r="P6562" s="1094">
        <v>3377</v>
      </c>
      <c r="Q6562" t="s">
        <v>7418</v>
      </c>
      <c r="R6562" t="s">
        <v>616</v>
      </c>
      <c r="S6562">
        <v>142.95691600000001</v>
      </c>
      <c r="T6562" s="1095">
        <v>-37.231524</v>
      </c>
    </row>
    <row r="6563" spans="16:20">
      <c r="P6563" s="1094">
        <v>3378</v>
      </c>
      <c r="Q6563" t="s">
        <v>7419</v>
      </c>
      <c r="R6563" t="s">
        <v>616</v>
      </c>
      <c r="S6563">
        <v>142.98540299999999</v>
      </c>
      <c r="T6563" s="1095">
        <v>-37.528792000000003</v>
      </c>
    </row>
    <row r="6564" spans="16:20">
      <c r="P6564" s="1094">
        <v>3378</v>
      </c>
      <c r="Q6564" t="s">
        <v>7420</v>
      </c>
      <c r="R6564" t="s">
        <v>616</v>
      </c>
      <c r="S6564">
        <v>142.98540299999999</v>
      </c>
      <c r="T6564" s="1095">
        <v>-37.528792000000003</v>
      </c>
    </row>
    <row r="6565" spans="16:20">
      <c r="P6565" s="1094">
        <v>3379</v>
      </c>
      <c r="Q6565" t="s">
        <v>4430</v>
      </c>
      <c r="R6565" t="s">
        <v>616</v>
      </c>
      <c r="S6565">
        <v>0</v>
      </c>
      <c r="T6565" s="1095">
        <v>0</v>
      </c>
    </row>
    <row r="6566" spans="16:20">
      <c r="P6566" s="1094">
        <v>3379</v>
      </c>
      <c r="Q6566" t="s">
        <v>7421</v>
      </c>
      <c r="R6566" t="s">
        <v>616</v>
      </c>
      <c r="S6566">
        <v>0</v>
      </c>
      <c r="T6566" s="1095">
        <v>0</v>
      </c>
    </row>
    <row r="6567" spans="16:20">
      <c r="P6567" s="1094">
        <v>3379</v>
      </c>
      <c r="Q6567" t="s">
        <v>3818</v>
      </c>
      <c r="R6567" t="s">
        <v>616</v>
      </c>
      <c r="S6567">
        <v>0</v>
      </c>
      <c r="T6567" s="1095">
        <v>0</v>
      </c>
    </row>
    <row r="6568" spans="16:20">
      <c r="P6568" s="1094">
        <v>3379</v>
      </c>
      <c r="Q6568" t="s">
        <v>7422</v>
      </c>
      <c r="R6568" t="s">
        <v>616</v>
      </c>
      <c r="S6568">
        <v>0</v>
      </c>
      <c r="T6568" s="1095">
        <v>0</v>
      </c>
    </row>
    <row r="6569" spans="16:20">
      <c r="P6569" s="1094">
        <v>3379</v>
      </c>
      <c r="Q6569" t="s">
        <v>7423</v>
      </c>
      <c r="R6569" t="s">
        <v>616</v>
      </c>
      <c r="S6569">
        <v>0</v>
      </c>
      <c r="T6569" s="1095">
        <v>0</v>
      </c>
    </row>
    <row r="6570" spans="16:20">
      <c r="P6570" s="1094">
        <v>3379</v>
      </c>
      <c r="Q6570" t="s">
        <v>7424</v>
      </c>
      <c r="R6570" t="s">
        <v>616</v>
      </c>
      <c r="S6570">
        <v>0</v>
      </c>
      <c r="T6570" s="1095">
        <v>0</v>
      </c>
    </row>
    <row r="6571" spans="16:20">
      <c r="P6571" s="1094">
        <v>3379</v>
      </c>
      <c r="Q6571" t="s">
        <v>7425</v>
      </c>
      <c r="R6571" t="s">
        <v>616</v>
      </c>
      <c r="S6571">
        <v>0</v>
      </c>
      <c r="T6571" s="1095">
        <v>0</v>
      </c>
    </row>
    <row r="6572" spans="16:20">
      <c r="P6572" s="1094">
        <v>3379</v>
      </c>
      <c r="Q6572" t="s">
        <v>7426</v>
      </c>
      <c r="R6572" t="s">
        <v>616</v>
      </c>
      <c r="S6572">
        <v>0</v>
      </c>
      <c r="T6572" s="1095">
        <v>0</v>
      </c>
    </row>
    <row r="6573" spans="16:20">
      <c r="P6573" s="1094">
        <v>3379</v>
      </c>
      <c r="Q6573" t="s">
        <v>7427</v>
      </c>
      <c r="R6573" t="s">
        <v>616</v>
      </c>
      <c r="S6573">
        <v>0</v>
      </c>
      <c r="T6573" s="1095">
        <v>0</v>
      </c>
    </row>
    <row r="6574" spans="16:20">
      <c r="P6574" s="1094">
        <v>3380</v>
      </c>
      <c r="Q6574" t="s">
        <v>7428</v>
      </c>
      <c r="R6574" t="s">
        <v>616</v>
      </c>
      <c r="S6574">
        <v>142.77115900000001</v>
      </c>
      <c r="T6574" s="1095">
        <v>-37.066600000000001</v>
      </c>
    </row>
    <row r="6575" spans="16:20">
      <c r="P6575" s="1094">
        <v>3380</v>
      </c>
      <c r="Q6575" t="s">
        <v>7429</v>
      </c>
      <c r="R6575" t="s">
        <v>616</v>
      </c>
      <c r="S6575">
        <v>142.77115900000001</v>
      </c>
      <c r="T6575" s="1095">
        <v>-37.066600000000001</v>
      </c>
    </row>
    <row r="6576" spans="16:20">
      <c r="P6576" s="1094">
        <v>3380</v>
      </c>
      <c r="Q6576" t="s">
        <v>7430</v>
      </c>
      <c r="R6576" t="s">
        <v>616</v>
      </c>
      <c r="S6576">
        <v>142.77115900000001</v>
      </c>
      <c r="T6576" s="1095">
        <v>-37.066600000000001</v>
      </c>
    </row>
    <row r="6577" spans="16:20">
      <c r="P6577" s="1094">
        <v>3380</v>
      </c>
      <c r="Q6577" t="s">
        <v>7431</v>
      </c>
      <c r="R6577" t="s">
        <v>616</v>
      </c>
      <c r="S6577">
        <v>142.77115900000001</v>
      </c>
      <c r="T6577" s="1095">
        <v>-37.066600000000001</v>
      </c>
    </row>
    <row r="6578" spans="16:20">
      <c r="P6578" s="1094">
        <v>3380</v>
      </c>
      <c r="Q6578" t="s">
        <v>7432</v>
      </c>
      <c r="R6578" t="s">
        <v>616</v>
      </c>
      <c r="S6578">
        <v>142.77115900000001</v>
      </c>
      <c r="T6578" s="1095">
        <v>-37.066600000000001</v>
      </c>
    </row>
    <row r="6579" spans="16:20">
      <c r="P6579" s="1094">
        <v>3380</v>
      </c>
      <c r="Q6579" t="s">
        <v>7433</v>
      </c>
      <c r="R6579" t="s">
        <v>616</v>
      </c>
      <c r="S6579">
        <v>142.77115900000001</v>
      </c>
      <c r="T6579" s="1095">
        <v>-37.066600000000001</v>
      </c>
    </row>
    <row r="6580" spans="16:20">
      <c r="P6580" s="1094">
        <v>3381</v>
      </c>
      <c r="Q6580" t="s">
        <v>7434</v>
      </c>
      <c r="R6580" t="s">
        <v>616</v>
      </c>
      <c r="S6580">
        <v>142.71539999999999</v>
      </c>
      <c r="T6580" s="1095">
        <v>-36.988914000000001</v>
      </c>
    </row>
    <row r="6581" spans="16:20">
      <c r="P6581" s="1094">
        <v>3381</v>
      </c>
      <c r="Q6581" t="s">
        <v>6518</v>
      </c>
      <c r="R6581" t="s">
        <v>616</v>
      </c>
      <c r="S6581">
        <v>142.71539999999999</v>
      </c>
      <c r="T6581" s="1095">
        <v>-36.988914000000001</v>
      </c>
    </row>
    <row r="6582" spans="16:20">
      <c r="P6582" s="1094">
        <v>3381</v>
      </c>
      <c r="Q6582" t="s">
        <v>7435</v>
      </c>
      <c r="R6582" t="s">
        <v>616</v>
      </c>
      <c r="S6582">
        <v>142.71539999999999</v>
      </c>
      <c r="T6582" s="1095">
        <v>-36.988914000000001</v>
      </c>
    </row>
    <row r="6583" spans="16:20">
      <c r="P6583" s="1094">
        <v>3381</v>
      </c>
      <c r="Q6583" t="s">
        <v>7436</v>
      </c>
      <c r="R6583" t="s">
        <v>616</v>
      </c>
      <c r="S6583">
        <v>142.71539999999999</v>
      </c>
      <c r="T6583" s="1095">
        <v>-36.988914000000001</v>
      </c>
    </row>
    <row r="6584" spans="16:20">
      <c r="P6584" s="1094">
        <v>3381</v>
      </c>
      <c r="Q6584" t="s">
        <v>7437</v>
      </c>
      <c r="R6584" t="s">
        <v>616</v>
      </c>
      <c r="S6584">
        <v>142.71539999999999</v>
      </c>
      <c r="T6584" s="1095">
        <v>-36.988914000000001</v>
      </c>
    </row>
    <row r="6585" spans="16:20">
      <c r="P6585" s="1094">
        <v>3381</v>
      </c>
      <c r="Q6585" t="s">
        <v>7438</v>
      </c>
      <c r="R6585" t="s">
        <v>616</v>
      </c>
      <c r="S6585">
        <v>142.71539999999999</v>
      </c>
      <c r="T6585" s="1095">
        <v>-36.988914000000001</v>
      </c>
    </row>
    <row r="6586" spans="16:20">
      <c r="P6586" s="1094">
        <v>3381</v>
      </c>
      <c r="Q6586" t="s">
        <v>7439</v>
      </c>
      <c r="R6586" t="s">
        <v>616</v>
      </c>
      <c r="S6586">
        <v>142.71539999999999</v>
      </c>
      <c r="T6586" s="1095">
        <v>-36.988914000000001</v>
      </c>
    </row>
    <row r="6587" spans="16:20">
      <c r="P6587" s="1094">
        <v>3381</v>
      </c>
      <c r="Q6587" t="s">
        <v>7440</v>
      </c>
      <c r="R6587" t="s">
        <v>616</v>
      </c>
      <c r="S6587">
        <v>142.71539999999999</v>
      </c>
      <c r="T6587" s="1095">
        <v>-36.988914000000001</v>
      </c>
    </row>
    <row r="6588" spans="16:20">
      <c r="P6588" s="1094">
        <v>3381</v>
      </c>
      <c r="Q6588" t="s">
        <v>7441</v>
      </c>
      <c r="R6588" t="s">
        <v>616</v>
      </c>
      <c r="S6588">
        <v>142.71539999999999</v>
      </c>
      <c r="T6588" s="1095">
        <v>-36.988914000000001</v>
      </c>
    </row>
    <row r="6589" spans="16:20">
      <c r="P6589" s="1094">
        <v>3381</v>
      </c>
      <c r="Q6589" t="s">
        <v>7442</v>
      </c>
      <c r="R6589" t="s">
        <v>616</v>
      </c>
      <c r="S6589">
        <v>142.71539999999999</v>
      </c>
      <c r="T6589" s="1095">
        <v>-36.988914000000001</v>
      </c>
    </row>
    <row r="6590" spans="16:20">
      <c r="P6590" s="1094">
        <v>3381</v>
      </c>
      <c r="Q6590" t="s">
        <v>7443</v>
      </c>
      <c r="R6590" t="s">
        <v>616</v>
      </c>
      <c r="S6590">
        <v>142.71539999999999</v>
      </c>
      <c r="T6590" s="1095">
        <v>-36.988914000000001</v>
      </c>
    </row>
    <row r="6591" spans="16:20">
      <c r="P6591" s="1094">
        <v>3381</v>
      </c>
      <c r="Q6591" t="s">
        <v>7444</v>
      </c>
      <c r="R6591" t="s">
        <v>616</v>
      </c>
      <c r="S6591">
        <v>142.71539999999999</v>
      </c>
      <c r="T6591" s="1095">
        <v>-36.988914000000001</v>
      </c>
    </row>
    <row r="6592" spans="16:20">
      <c r="P6592" s="1094">
        <v>3381</v>
      </c>
      <c r="Q6592" t="s">
        <v>7445</v>
      </c>
      <c r="R6592" t="s">
        <v>616</v>
      </c>
      <c r="S6592">
        <v>142.71539999999999</v>
      </c>
      <c r="T6592" s="1095">
        <v>-36.988914000000001</v>
      </c>
    </row>
    <row r="6593" spans="16:20">
      <c r="P6593" s="1094">
        <v>3381</v>
      </c>
      <c r="Q6593" t="s">
        <v>7446</v>
      </c>
      <c r="R6593" t="s">
        <v>616</v>
      </c>
      <c r="S6593">
        <v>142.71539999999999</v>
      </c>
      <c r="T6593" s="1095">
        <v>-36.988914000000001</v>
      </c>
    </row>
    <row r="6594" spans="16:20">
      <c r="P6594" s="1094">
        <v>3381</v>
      </c>
      <c r="Q6594" t="s">
        <v>7447</v>
      </c>
      <c r="R6594" t="s">
        <v>616</v>
      </c>
      <c r="S6594">
        <v>142.71539999999999</v>
      </c>
      <c r="T6594" s="1095">
        <v>-36.988914000000001</v>
      </c>
    </row>
    <row r="6595" spans="16:20">
      <c r="P6595" s="1094">
        <v>3381</v>
      </c>
      <c r="Q6595" t="s">
        <v>7448</v>
      </c>
      <c r="R6595" t="s">
        <v>616</v>
      </c>
      <c r="S6595">
        <v>142.71539999999999</v>
      </c>
      <c r="T6595" s="1095">
        <v>-36.988914000000001</v>
      </c>
    </row>
    <row r="6596" spans="16:20">
      <c r="P6596" s="1094">
        <v>3381</v>
      </c>
      <c r="Q6596" t="s">
        <v>7449</v>
      </c>
      <c r="R6596" t="s">
        <v>616</v>
      </c>
      <c r="S6596">
        <v>142.71539999999999</v>
      </c>
      <c r="T6596" s="1095">
        <v>-36.988914000000001</v>
      </c>
    </row>
    <row r="6597" spans="16:20">
      <c r="P6597" s="1094">
        <v>3381</v>
      </c>
      <c r="Q6597" t="s">
        <v>7450</v>
      </c>
      <c r="R6597" t="s">
        <v>616</v>
      </c>
      <c r="S6597">
        <v>142.71539999999999</v>
      </c>
      <c r="T6597" s="1095">
        <v>-36.988914000000001</v>
      </c>
    </row>
    <row r="6598" spans="16:20">
      <c r="P6598" s="1094">
        <v>3381</v>
      </c>
      <c r="Q6598" t="s">
        <v>7451</v>
      </c>
      <c r="R6598" t="s">
        <v>616</v>
      </c>
      <c r="S6598">
        <v>142.71539999999999</v>
      </c>
      <c r="T6598" s="1095">
        <v>-36.988914000000001</v>
      </c>
    </row>
    <row r="6599" spans="16:20">
      <c r="P6599" s="1094">
        <v>3381</v>
      </c>
      <c r="Q6599" t="s">
        <v>3036</v>
      </c>
      <c r="R6599" t="s">
        <v>616</v>
      </c>
      <c r="S6599">
        <v>142.71539999999999</v>
      </c>
      <c r="T6599" s="1095">
        <v>-36.988914000000001</v>
      </c>
    </row>
    <row r="6600" spans="16:20">
      <c r="P6600" s="1094">
        <v>3381</v>
      </c>
      <c r="Q6600" t="s">
        <v>7452</v>
      </c>
      <c r="R6600" t="s">
        <v>616</v>
      </c>
      <c r="S6600">
        <v>142.71539999999999</v>
      </c>
      <c r="T6600" s="1095">
        <v>-36.988914000000001</v>
      </c>
    </row>
    <row r="6601" spans="16:20">
      <c r="P6601" s="1094">
        <v>3381</v>
      </c>
      <c r="Q6601" t="s">
        <v>7453</v>
      </c>
      <c r="R6601" t="s">
        <v>616</v>
      </c>
      <c r="S6601">
        <v>142.71539999999999</v>
      </c>
      <c r="T6601" s="1095">
        <v>-36.988914000000001</v>
      </c>
    </row>
    <row r="6602" spans="16:20">
      <c r="P6602" s="1094">
        <v>3381</v>
      </c>
      <c r="Q6602" t="s">
        <v>7454</v>
      </c>
      <c r="R6602" t="s">
        <v>616</v>
      </c>
      <c r="S6602">
        <v>142.71539999999999</v>
      </c>
      <c r="T6602" s="1095">
        <v>-36.988914000000001</v>
      </c>
    </row>
    <row r="6603" spans="16:20">
      <c r="P6603" s="1094">
        <v>3381</v>
      </c>
      <c r="Q6603" t="s">
        <v>7455</v>
      </c>
      <c r="R6603" t="s">
        <v>616</v>
      </c>
      <c r="S6603">
        <v>142.71539999999999</v>
      </c>
      <c r="T6603" s="1095">
        <v>-36.988914000000001</v>
      </c>
    </row>
    <row r="6604" spans="16:20">
      <c r="P6604" s="1094">
        <v>3381</v>
      </c>
      <c r="Q6604" t="s">
        <v>7456</v>
      </c>
      <c r="R6604" t="s">
        <v>616</v>
      </c>
      <c r="S6604">
        <v>142.71539999999999</v>
      </c>
      <c r="T6604" s="1095">
        <v>-36.988914000000001</v>
      </c>
    </row>
    <row r="6605" spans="16:20">
      <c r="P6605" s="1094">
        <v>3384</v>
      </c>
      <c r="Q6605" t="s">
        <v>7457</v>
      </c>
      <c r="R6605" t="s">
        <v>616</v>
      </c>
      <c r="S6605">
        <v>143.12634399999999</v>
      </c>
      <c r="T6605" s="1095">
        <v>-37.000261000000002</v>
      </c>
    </row>
    <row r="6606" spans="16:20">
      <c r="P6606" s="1094">
        <v>3384</v>
      </c>
      <c r="Q6606" t="s">
        <v>7458</v>
      </c>
      <c r="R6606" t="s">
        <v>616</v>
      </c>
      <c r="S6606">
        <v>143.12634399999999</v>
      </c>
      <c r="T6606" s="1095">
        <v>-37.000261000000002</v>
      </c>
    </row>
    <row r="6607" spans="16:20">
      <c r="P6607" s="1094">
        <v>3384</v>
      </c>
      <c r="Q6607" t="s">
        <v>7459</v>
      </c>
      <c r="R6607" t="s">
        <v>616</v>
      </c>
      <c r="S6607">
        <v>143.12634399999999</v>
      </c>
      <c r="T6607" s="1095">
        <v>-37.000261000000002</v>
      </c>
    </row>
    <row r="6608" spans="16:20">
      <c r="P6608" s="1094">
        <v>3384</v>
      </c>
      <c r="Q6608" t="s">
        <v>7460</v>
      </c>
      <c r="R6608" t="s">
        <v>616</v>
      </c>
      <c r="S6608">
        <v>143.12634399999999</v>
      </c>
      <c r="T6608" s="1095">
        <v>-37.000261000000002</v>
      </c>
    </row>
    <row r="6609" spans="16:20">
      <c r="P6609" s="1094">
        <v>3384</v>
      </c>
      <c r="Q6609" t="s">
        <v>7461</v>
      </c>
      <c r="R6609" t="s">
        <v>616</v>
      </c>
      <c r="S6609">
        <v>143.12634399999999</v>
      </c>
      <c r="T6609" s="1095">
        <v>-37.000261000000002</v>
      </c>
    </row>
    <row r="6610" spans="16:20">
      <c r="P6610" s="1094">
        <v>3384</v>
      </c>
      <c r="Q6610" t="s">
        <v>7462</v>
      </c>
      <c r="R6610" t="s">
        <v>616</v>
      </c>
      <c r="S6610">
        <v>143.12634399999999</v>
      </c>
      <c r="T6610" s="1095">
        <v>-37.000261000000002</v>
      </c>
    </row>
    <row r="6611" spans="16:20">
      <c r="P6611" s="1094">
        <v>3385</v>
      </c>
      <c r="Q6611" t="s">
        <v>7463</v>
      </c>
      <c r="R6611" t="s">
        <v>616</v>
      </c>
      <c r="S6611">
        <v>142.64756499999999</v>
      </c>
      <c r="T6611" s="1095">
        <v>-36.904184999999998</v>
      </c>
    </row>
    <row r="6612" spans="16:20">
      <c r="P6612" s="1094">
        <v>3385</v>
      </c>
      <c r="Q6612" t="s">
        <v>7464</v>
      </c>
      <c r="R6612" t="s">
        <v>616</v>
      </c>
      <c r="S6612">
        <v>142.64756499999999</v>
      </c>
      <c r="T6612" s="1095">
        <v>-36.904184999999998</v>
      </c>
    </row>
    <row r="6613" spans="16:20">
      <c r="P6613" s="1094">
        <v>3385</v>
      </c>
      <c r="Q6613" t="s">
        <v>7465</v>
      </c>
      <c r="R6613" t="s">
        <v>616</v>
      </c>
      <c r="S6613">
        <v>142.64756499999999</v>
      </c>
      <c r="T6613" s="1095">
        <v>-36.904184999999998</v>
      </c>
    </row>
    <row r="6614" spans="16:20">
      <c r="P6614" s="1094">
        <v>3385</v>
      </c>
      <c r="Q6614" t="s">
        <v>7466</v>
      </c>
      <c r="R6614" t="s">
        <v>616</v>
      </c>
      <c r="S6614">
        <v>142.64756499999999</v>
      </c>
      <c r="T6614" s="1095">
        <v>-36.904184999999998</v>
      </c>
    </row>
    <row r="6615" spans="16:20">
      <c r="P6615" s="1094">
        <v>3387</v>
      </c>
      <c r="Q6615" t="s">
        <v>7467</v>
      </c>
      <c r="R6615" t="s">
        <v>616</v>
      </c>
      <c r="S6615">
        <v>142.876262</v>
      </c>
      <c r="T6615" s="1095">
        <v>-36.666390999999997</v>
      </c>
    </row>
    <row r="6616" spans="16:20">
      <c r="P6616" s="1094">
        <v>3388</v>
      </c>
      <c r="Q6616" t="s">
        <v>7468</v>
      </c>
      <c r="R6616" t="s">
        <v>616</v>
      </c>
      <c r="S6616">
        <v>142.69394600000001</v>
      </c>
      <c r="T6616" s="1095">
        <v>-36.597861000000002</v>
      </c>
    </row>
    <row r="6617" spans="16:20">
      <c r="P6617" s="1094">
        <v>3388</v>
      </c>
      <c r="Q6617" t="s">
        <v>7469</v>
      </c>
      <c r="R6617" t="s">
        <v>616</v>
      </c>
      <c r="S6617">
        <v>142.69394600000001</v>
      </c>
      <c r="T6617" s="1095">
        <v>-36.597861000000002</v>
      </c>
    </row>
    <row r="6618" spans="16:20">
      <c r="P6618" s="1094">
        <v>3390</v>
      </c>
      <c r="Q6618" t="s">
        <v>7470</v>
      </c>
      <c r="R6618" t="s">
        <v>616</v>
      </c>
      <c r="S6618">
        <v>142.48746800000001</v>
      </c>
      <c r="T6618" s="1095">
        <v>-36.583744000000003</v>
      </c>
    </row>
    <row r="6619" spans="16:20">
      <c r="P6619" s="1094">
        <v>3390</v>
      </c>
      <c r="Q6619" t="s">
        <v>7471</v>
      </c>
      <c r="R6619" t="s">
        <v>616</v>
      </c>
      <c r="S6619">
        <v>142.48746800000001</v>
      </c>
      <c r="T6619" s="1095">
        <v>-36.583744000000003</v>
      </c>
    </row>
    <row r="6620" spans="16:20">
      <c r="P6620" s="1094">
        <v>3391</v>
      </c>
      <c r="Q6620" t="s">
        <v>7472</v>
      </c>
      <c r="R6620" t="s">
        <v>616</v>
      </c>
      <c r="S6620">
        <v>142.44601499999999</v>
      </c>
      <c r="T6620" s="1095">
        <v>-36.092131999999999</v>
      </c>
    </row>
    <row r="6621" spans="16:20">
      <c r="P6621" s="1094">
        <v>3392</v>
      </c>
      <c r="Q6621" t="s">
        <v>7473</v>
      </c>
      <c r="R6621" t="s">
        <v>616</v>
      </c>
      <c r="S6621">
        <v>142.67785799999999</v>
      </c>
      <c r="T6621" s="1095">
        <v>-36.430131000000003</v>
      </c>
    </row>
    <row r="6622" spans="16:20">
      <c r="P6622" s="1094">
        <v>3392</v>
      </c>
      <c r="Q6622" t="s">
        <v>7474</v>
      </c>
      <c r="R6622" t="s">
        <v>616</v>
      </c>
      <c r="S6622">
        <v>142.67785799999999</v>
      </c>
      <c r="T6622" s="1095">
        <v>-36.430131000000003</v>
      </c>
    </row>
    <row r="6623" spans="16:20">
      <c r="P6623" s="1094">
        <v>3393</v>
      </c>
      <c r="Q6623" t="s">
        <v>7475</v>
      </c>
      <c r="R6623" t="s">
        <v>616</v>
      </c>
      <c r="S6623">
        <v>142.38734099999999</v>
      </c>
      <c r="T6623" s="1095">
        <v>-36.257725000000001</v>
      </c>
    </row>
    <row r="6624" spans="16:20">
      <c r="P6624" s="1094">
        <v>3393</v>
      </c>
      <c r="Q6624" t="s">
        <v>7476</v>
      </c>
      <c r="R6624" t="s">
        <v>616</v>
      </c>
      <c r="S6624">
        <v>142.38734099999999</v>
      </c>
      <c r="T6624" s="1095">
        <v>-36.257725000000001</v>
      </c>
    </row>
    <row r="6625" spans="16:20">
      <c r="P6625" s="1094">
        <v>3393</v>
      </c>
      <c r="Q6625" t="s">
        <v>7477</v>
      </c>
      <c r="R6625" t="s">
        <v>616</v>
      </c>
      <c r="S6625">
        <v>142.38734099999999</v>
      </c>
      <c r="T6625" s="1095">
        <v>-36.257725000000001</v>
      </c>
    </row>
    <row r="6626" spans="16:20">
      <c r="P6626" s="1094">
        <v>3393</v>
      </c>
      <c r="Q6626" t="s">
        <v>7478</v>
      </c>
      <c r="R6626" t="s">
        <v>616</v>
      </c>
      <c r="S6626">
        <v>142.38734099999999</v>
      </c>
      <c r="T6626" s="1095">
        <v>-36.257725000000001</v>
      </c>
    </row>
    <row r="6627" spans="16:20">
      <c r="P6627" s="1094">
        <v>3393</v>
      </c>
      <c r="Q6627" t="s">
        <v>7479</v>
      </c>
      <c r="R6627" t="s">
        <v>616</v>
      </c>
      <c r="S6627">
        <v>142.38734099999999</v>
      </c>
      <c r="T6627" s="1095">
        <v>-36.257725000000001</v>
      </c>
    </row>
    <row r="6628" spans="16:20">
      <c r="P6628" s="1094">
        <v>3393</v>
      </c>
      <c r="Q6628" t="s">
        <v>7480</v>
      </c>
      <c r="R6628" t="s">
        <v>616</v>
      </c>
      <c r="S6628">
        <v>142.38734099999999</v>
      </c>
      <c r="T6628" s="1095">
        <v>-36.257725000000001</v>
      </c>
    </row>
    <row r="6629" spans="16:20">
      <c r="P6629" s="1094">
        <v>3393</v>
      </c>
      <c r="Q6629" t="s">
        <v>7481</v>
      </c>
      <c r="R6629" t="s">
        <v>616</v>
      </c>
      <c r="S6629">
        <v>142.38734099999999</v>
      </c>
      <c r="T6629" s="1095">
        <v>-36.257725000000001</v>
      </c>
    </row>
    <row r="6630" spans="16:20">
      <c r="P6630" s="1094">
        <v>3393</v>
      </c>
      <c r="Q6630" t="s">
        <v>7482</v>
      </c>
      <c r="R6630" t="s">
        <v>616</v>
      </c>
      <c r="S6630">
        <v>142.38734099999999</v>
      </c>
      <c r="T6630" s="1095">
        <v>-36.257725000000001</v>
      </c>
    </row>
    <row r="6631" spans="16:20">
      <c r="P6631" s="1094">
        <v>3393</v>
      </c>
      <c r="Q6631" t="s">
        <v>7483</v>
      </c>
      <c r="R6631" t="s">
        <v>616</v>
      </c>
      <c r="S6631">
        <v>142.38734099999999</v>
      </c>
      <c r="T6631" s="1095">
        <v>-36.257725000000001</v>
      </c>
    </row>
    <row r="6632" spans="16:20">
      <c r="P6632" s="1094">
        <v>3393</v>
      </c>
      <c r="Q6632" t="s">
        <v>7484</v>
      </c>
      <c r="R6632" t="s">
        <v>616</v>
      </c>
      <c r="S6632">
        <v>142.38734099999999</v>
      </c>
      <c r="T6632" s="1095">
        <v>-36.257725000000001</v>
      </c>
    </row>
    <row r="6633" spans="16:20">
      <c r="P6633" s="1094">
        <v>3393</v>
      </c>
      <c r="Q6633" t="s">
        <v>7485</v>
      </c>
      <c r="R6633" t="s">
        <v>616</v>
      </c>
      <c r="S6633">
        <v>142.38734099999999</v>
      </c>
      <c r="T6633" s="1095">
        <v>-36.257725000000001</v>
      </c>
    </row>
    <row r="6634" spans="16:20">
      <c r="P6634" s="1094">
        <v>3395</v>
      </c>
      <c r="Q6634" t="s">
        <v>7486</v>
      </c>
      <c r="R6634" t="s">
        <v>616</v>
      </c>
      <c r="S6634">
        <v>142.44198399999999</v>
      </c>
      <c r="T6634" s="1095">
        <v>-35.918885000000003</v>
      </c>
    </row>
    <row r="6635" spans="16:20">
      <c r="P6635" s="1094">
        <v>3395</v>
      </c>
      <c r="Q6635" t="s">
        <v>7487</v>
      </c>
      <c r="R6635" t="s">
        <v>616</v>
      </c>
      <c r="S6635">
        <v>142.44198399999999</v>
      </c>
      <c r="T6635" s="1095">
        <v>-35.918885000000003</v>
      </c>
    </row>
    <row r="6636" spans="16:20">
      <c r="P6636" s="1094">
        <v>3396</v>
      </c>
      <c r="Q6636" t="s">
        <v>7488</v>
      </c>
      <c r="R6636" t="s">
        <v>616</v>
      </c>
      <c r="S6636">
        <v>142.329159</v>
      </c>
      <c r="T6636" s="1095">
        <v>-35.715699999999998</v>
      </c>
    </row>
    <row r="6637" spans="16:20">
      <c r="P6637" s="1094">
        <v>3396</v>
      </c>
      <c r="Q6637" t="s">
        <v>7489</v>
      </c>
      <c r="R6637" t="s">
        <v>616</v>
      </c>
      <c r="S6637">
        <v>142.329159</v>
      </c>
      <c r="T6637" s="1095">
        <v>-35.715699999999998</v>
      </c>
    </row>
    <row r="6638" spans="16:20">
      <c r="P6638" s="1094">
        <v>3396</v>
      </c>
      <c r="Q6638" t="s">
        <v>7490</v>
      </c>
      <c r="R6638" t="s">
        <v>616</v>
      </c>
      <c r="S6638">
        <v>142.329159</v>
      </c>
      <c r="T6638" s="1095">
        <v>-35.715699999999998</v>
      </c>
    </row>
    <row r="6639" spans="16:20">
      <c r="P6639" s="1094">
        <v>3399</v>
      </c>
      <c r="Q6639" t="s">
        <v>7491</v>
      </c>
      <c r="R6639" t="s">
        <v>616</v>
      </c>
      <c r="S6639">
        <v>142.357023</v>
      </c>
      <c r="T6639" s="1095">
        <v>-36.608521000000003</v>
      </c>
    </row>
    <row r="6640" spans="16:20">
      <c r="P6640" s="1094">
        <v>3399</v>
      </c>
      <c r="Q6640" t="s">
        <v>7492</v>
      </c>
      <c r="R6640" t="s">
        <v>616</v>
      </c>
      <c r="S6640">
        <v>142.357023</v>
      </c>
      <c r="T6640" s="1095">
        <v>-36.608521000000003</v>
      </c>
    </row>
    <row r="6641" spans="16:20">
      <c r="P6641" s="1094">
        <v>3400</v>
      </c>
      <c r="Q6641" t="s">
        <v>7493</v>
      </c>
      <c r="R6641" t="s">
        <v>616</v>
      </c>
      <c r="S6641">
        <v>142.20372900000001</v>
      </c>
      <c r="T6641" s="1095">
        <v>-36.725245000000001</v>
      </c>
    </row>
    <row r="6642" spans="16:20">
      <c r="P6642" s="1094">
        <v>3400</v>
      </c>
      <c r="Q6642" t="s">
        <v>7494</v>
      </c>
      <c r="R6642" t="s">
        <v>616</v>
      </c>
      <c r="S6642">
        <v>142.20372900000001</v>
      </c>
      <c r="T6642" s="1095">
        <v>-36.725245000000001</v>
      </c>
    </row>
    <row r="6643" spans="16:20">
      <c r="P6643" s="1094">
        <v>3400</v>
      </c>
      <c r="Q6643" t="s">
        <v>7495</v>
      </c>
      <c r="R6643" t="s">
        <v>616</v>
      </c>
      <c r="S6643">
        <v>142.20372900000001</v>
      </c>
      <c r="T6643" s="1095">
        <v>-36.725245000000001</v>
      </c>
    </row>
    <row r="6644" spans="16:20">
      <c r="P6644" s="1094">
        <v>3400</v>
      </c>
      <c r="Q6644" t="s">
        <v>7496</v>
      </c>
      <c r="R6644" t="s">
        <v>616</v>
      </c>
      <c r="S6644">
        <v>142.20372900000001</v>
      </c>
      <c r="T6644" s="1095">
        <v>-36.725245000000001</v>
      </c>
    </row>
    <row r="6645" spans="16:20">
      <c r="P6645" s="1094">
        <v>3400</v>
      </c>
      <c r="Q6645" t="s">
        <v>7497</v>
      </c>
      <c r="R6645" t="s">
        <v>616</v>
      </c>
      <c r="S6645">
        <v>142.20372900000001</v>
      </c>
      <c r="T6645" s="1095">
        <v>-36.725245000000001</v>
      </c>
    </row>
    <row r="6646" spans="16:20">
      <c r="P6646" s="1094">
        <v>3400</v>
      </c>
      <c r="Q6646" t="s">
        <v>7498</v>
      </c>
      <c r="R6646" t="s">
        <v>616</v>
      </c>
      <c r="S6646">
        <v>142.20372900000001</v>
      </c>
      <c r="T6646" s="1095">
        <v>-36.725245000000001</v>
      </c>
    </row>
    <row r="6647" spans="16:20">
      <c r="P6647" s="1094">
        <v>3400</v>
      </c>
      <c r="Q6647" t="s">
        <v>7499</v>
      </c>
      <c r="R6647" t="s">
        <v>616</v>
      </c>
      <c r="S6647">
        <v>142.20372900000001</v>
      </c>
      <c r="T6647" s="1095">
        <v>-36.725245000000001</v>
      </c>
    </row>
    <row r="6648" spans="16:20">
      <c r="P6648" s="1094">
        <v>3401</v>
      </c>
      <c r="Q6648" t="s">
        <v>5692</v>
      </c>
      <c r="R6648" t="s">
        <v>616</v>
      </c>
      <c r="S6648">
        <v>141.940832</v>
      </c>
      <c r="T6648" s="1095">
        <v>-36.881534000000002</v>
      </c>
    </row>
    <row r="6649" spans="16:20">
      <c r="P6649" s="1094">
        <v>3401</v>
      </c>
      <c r="Q6649" t="s">
        <v>7500</v>
      </c>
      <c r="R6649" t="s">
        <v>616</v>
      </c>
      <c r="S6649">
        <v>141.940832</v>
      </c>
      <c r="T6649" s="1095">
        <v>-36.881534000000002</v>
      </c>
    </row>
    <row r="6650" spans="16:20">
      <c r="P6650" s="1094">
        <v>3401</v>
      </c>
      <c r="Q6650" t="s">
        <v>7501</v>
      </c>
      <c r="R6650" t="s">
        <v>616</v>
      </c>
      <c r="S6650">
        <v>141.940832</v>
      </c>
      <c r="T6650" s="1095">
        <v>-36.881534000000002</v>
      </c>
    </row>
    <row r="6651" spans="16:20">
      <c r="P6651" s="1094">
        <v>3401</v>
      </c>
      <c r="Q6651" t="s">
        <v>7502</v>
      </c>
      <c r="R6651" t="s">
        <v>616</v>
      </c>
      <c r="S6651">
        <v>141.940832</v>
      </c>
      <c r="T6651" s="1095">
        <v>-36.881534000000002</v>
      </c>
    </row>
    <row r="6652" spans="16:20">
      <c r="P6652" s="1094">
        <v>3401</v>
      </c>
      <c r="Q6652" t="s">
        <v>7503</v>
      </c>
      <c r="R6652" t="s">
        <v>616</v>
      </c>
      <c r="S6652">
        <v>141.940832</v>
      </c>
      <c r="T6652" s="1095">
        <v>-36.881534000000002</v>
      </c>
    </row>
    <row r="6653" spans="16:20">
      <c r="P6653" s="1094">
        <v>3401</v>
      </c>
      <c r="Q6653" t="s">
        <v>7504</v>
      </c>
      <c r="R6653" t="s">
        <v>616</v>
      </c>
      <c r="S6653">
        <v>141.940832</v>
      </c>
      <c r="T6653" s="1095">
        <v>-36.881534000000002</v>
      </c>
    </row>
    <row r="6654" spans="16:20">
      <c r="P6654" s="1094">
        <v>3401</v>
      </c>
      <c r="Q6654" t="s">
        <v>7505</v>
      </c>
      <c r="R6654" t="s">
        <v>616</v>
      </c>
      <c r="S6654">
        <v>141.940832</v>
      </c>
      <c r="T6654" s="1095">
        <v>-36.881534000000002</v>
      </c>
    </row>
    <row r="6655" spans="16:20">
      <c r="P6655" s="1094">
        <v>3401</v>
      </c>
      <c r="Q6655" t="s">
        <v>7506</v>
      </c>
      <c r="R6655" t="s">
        <v>616</v>
      </c>
      <c r="S6655">
        <v>141.940832</v>
      </c>
      <c r="T6655" s="1095">
        <v>-36.881534000000002</v>
      </c>
    </row>
    <row r="6656" spans="16:20">
      <c r="P6656" s="1094">
        <v>3401</v>
      </c>
      <c r="Q6656" t="s">
        <v>7507</v>
      </c>
      <c r="R6656" t="s">
        <v>616</v>
      </c>
      <c r="S6656">
        <v>141.940832</v>
      </c>
      <c r="T6656" s="1095">
        <v>-36.881534000000002</v>
      </c>
    </row>
    <row r="6657" spans="16:20">
      <c r="P6657" s="1094">
        <v>3401</v>
      </c>
      <c r="Q6657" t="s">
        <v>7508</v>
      </c>
      <c r="R6657" t="s">
        <v>616</v>
      </c>
      <c r="S6657">
        <v>141.940832</v>
      </c>
      <c r="T6657" s="1095">
        <v>-36.881534000000002</v>
      </c>
    </row>
    <row r="6658" spans="16:20">
      <c r="P6658" s="1094">
        <v>3401</v>
      </c>
      <c r="Q6658" t="s">
        <v>7509</v>
      </c>
      <c r="R6658" t="s">
        <v>616</v>
      </c>
      <c r="S6658">
        <v>141.940832</v>
      </c>
      <c r="T6658" s="1095">
        <v>-36.881534000000002</v>
      </c>
    </row>
    <row r="6659" spans="16:20">
      <c r="P6659" s="1094">
        <v>3401</v>
      </c>
      <c r="Q6659" t="s">
        <v>7510</v>
      </c>
      <c r="R6659" t="s">
        <v>616</v>
      </c>
      <c r="S6659">
        <v>141.940832</v>
      </c>
      <c r="T6659" s="1095">
        <v>-36.881534000000002</v>
      </c>
    </row>
    <row r="6660" spans="16:20">
      <c r="P6660" s="1094">
        <v>3401</v>
      </c>
      <c r="Q6660" t="s">
        <v>7494</v>
      </c>
      <c r="R6660" t="s">
        <v>616</v>
      </c>
      <c r="S6660">
        <v>141.940832</v>
      </c>
      <c r="T6660" s="1095">
        <v>-36.881534000000002</v>
      </c>
    </row>
    <row r="6661" spans="16:20">
      <c r="P6661" s="1094">
        <v>3401</v>
      </c>
      <c r="Q6661" t="s">
        <v>7511</v>
      </c>
      <c r="R6661" t="s">
        <v>616</v>
      </c>
      <c r="S6661">
        <v>141.940832</v>
      </c>
      <c r="T6661" s="1095">
        <v>-36.881534000000002</v>
      </c>
    </row>
    <row r="6662" spans="16:20">
      <c r="P6662" s="1094">
        <v>3401</v>
      </c>
      <c r="Q6662" t="s">
        <v>7512</v>
      </c>
      <c r="R6662" t="s">
        <v>616</v>
      </c>
      <c r="S6662">
        <v>141.940832</v>
      </c>
      <c r="T6662" s="1095">
        <v>-36.881534000000002</v>
      </c>
    </row>
    <row r="6663" spans="16:20">
      <c r="P6663" s="1094">
        <v>3401</v>
      </c>
      <c r="Q6663" t="s">
        <v>7513</v>
      </c>
      <c r="R6663" t="s">
        <v>616</v>
      </c>
      <c r="S6663">
        <v>141.940832</v>
      </c>
      <c r="T6663" s="1095">
        <v>-36.881534000000002</v>
      </c>
    </row>
    <row r="6664" spans="16:20">
      <c r="P6664" s="1094">
        <v>3401</v>
      </c>
      <c r="Q6664" t="s">
        <v>7514</v>
      </c>
      <c r="R6664" t="s">
        <v>616</v>
      </c>
      <c r="S6664">
        <v>141.940832</v>
      </c>
      <c r="T6664" s="1095">
        <v>-36.881534000000002</v>
      </c>
    </row>
    <row r="6665" spans="16:20">
      <c r="P6665" s="1094">
        <v>3401</v>
      </c>
      <c r="Q6665" t="s">
        <v>7515</v>
      </c>
      <c r="R6665" t="s">
        <v>616</v>
      </c>
      <c r="S6665">
        <v>141.940832</v>
      </c>
      <c r="T6665" s="1095">
        <v>-36.881534000000002</v>
      </c>
    </row>
    <row r="6666" spans="16:20">
      <c r="P6666" s="1094">
        <v>3401</v>
      </c>
      <c r="Q6666" t="s">
        <v>7516</v>
      </c>
      <c r="R6666" t="s">
        <v>616</v>
      </c>
      <c r="S6666">
        <v>141.940832</v>
      </c>
      <c r="T6666" s="1095">
        <v>-36.881534000000002</v>
      </c>
    </row>
    <row r="6667" spans="16:20">
      <c r="P6667" s="1094">
        <v>3401</v>
      </c>
      <c r="Q6667" t="s">
        <v>7517</v>
      </c>
      <c r="R6667" t="s">
        <v>616</v>
      </c>
      <c r="S6667">
        <v>141.940832</v>
      </c>
      <c r="T6667" s="1095">
        <v>-36.881534000000002</v>
      </c>
    </row>
    <row r="6668" spans="16:20">
      <c r="P6668" s="1094">
        <v>3401</v>
      </c>
      <c r="Q6668" t="s">
        <v>7518</v>
      </c>
      <c r="R6668" t="s">
        <v>616</v>
      </c>
      <c r="S6668">
        <v>141.940832</v>
      </c>
      <c r="T6668" s="1095">
        <v>-36.881534000000002</v>
      </c>
    </row>
    <row r="6669" spans="16:20">
      <c r="P6669" s="1094">
        <v>3401</v>
      </c>
      <c r="Q6669" t="s">
        <v>7519</v>
      </c>
      <c r="R6669" t="s">
        <v>616</v>
      </c>
      <c r="S6669">
        <v>141.940832</v>
      </c>
      <c r="T6669" s="1095">
        <v>-36.881534000000002</v>
      </c>
    </row>
    <row r="6670" spans="16:20">
      <c r="P6670" s="1094">
        <v>3401</v>
      </c>
      <c r="Q6670" t="s">
        <v>7520</v>
      </c>
      <c r="R6670" t="s">
        <v>616</v>
      </c>
      <c r="S6670">
        <v>141.940832</v>
      </c>
      <c r="T6670" s="1095">
        <v>-36.881534000000002</v>
      </c>
    </row>
    <row r="6671" spans="16:20">
      <c r="P6671" s="1094">
        <v>3401</v>
      </c>
      <c r="Q6671" t="s">
        <v>7521</v>
      </c>
      <c r="R6671" t="s">
        <v>616</v>
      </c>
      <c r="S6671">
        <v>141.940832</v>
      </c>
      <c r="T6671" s="1095">
        <v>-36.881534000000002</v>
      </c>
    </row>
    <row r="6672" spans="16:20">
      <c r="P6672" s="1094">
        <v>3401</v>
      </c>
      <c r="Q6672" t="s">
        <v>7522</v>
      </c>
      <c r="R6672" t="s">
        <v>616</v>
      </c>
      <c r="S6672">
        <v>141.940832</v>
      </c>
      <c r="T6672" s="1095">
        <v>-36.881534000000002</v>
      </c>
    </row>
    <row r="6673" spans="16:20">
      <c r="P6673" s="1094">
        <v>3401</v>
      </c>
      <c r="Q6673" t="s">
        <v>7523</v>
      </c>
      <c r="R6673" t="s">
        <v>616</v>
      </c>
      <c r="S6673">
        <v>141.940832</v>
      </c>
      <c r="T6673" s="1095">
        <v>-36.881534000000002</v>
      </c>
    </row>
    <row r="6674" spans="16:20">
      <c r="P6674" s="1094">
        <v>3401</v>
      </c>
      <c r="Q6674" t="s">
        <v>7524</v>
      </c>
      <c r="R6674" t="s">
        <v>616</v>
      </c>
      <c r="S6674">
        <v>141.940832</v>
      </c>
      <c r="T6674" s="1095">
        <v>-36.881534000000002</v>
      </c>
    </row>
    <row r="6675" spans="16:20">
      <c r="P6675" s="1094">
        <v>3401</v>
      </c>
      <c r="Q6675" t="s">
        <v>7525</v>
      </c>
      <c r="R6675" t="s">
        <v>616</v>
      </c>
      <c r="S6675">
        <v>141.940832</v>
      </c>
      <c r="T6675" s="1095">
        <v>-36.881534000000002</v>
      </c>
    </row>
    <row r="6676" spans="16:20">
      <c r="P6676" s="1094">
        <v>3401</v>
      </c>
      <c r="Q6676" t="s">
        <v>7526</v>
      </c>
      <c r="R6676" t="s">
        <v>616</v>
      </c>
      <c r="S6676">
        <v>141.940832</v>
      </c>
      <c r="T6676" s="1095">
        <v>-36.881534000000002</v>
      </c>
    </row>
    <row r="6677" spans="16:20">
      <c r="P6677" s="1094">
        <v>3401</v>
      </c>
      <c r="Q6677" t="s">
        <v>7527</v>
      </c>
      <c r="R6677" t="s">
        <v>616</v>
      </c>
      <c r="S6677">
        <v>141.940832</v>
      </c>
      <c r="T6677" s="1095">
        <v>-36.881534000000002</v>
      </c>
    </row>
    <row r="6678" spans="16:20">
      <c r="P6678" s="1094">
        <v>3401</v>
      </c>
      <c r="Q6678" t="s">
        <v>7528</v>
      </c>
      <c r="R6678" t="s">
        <v>616</v>
      </c>
      <c r="S6678">
        <v>141.940832</v>
      </c>
      <c r="T6678" s="1095">
        <v>-36.881534000000002</v>
      </c>
    </row>
    <row r="6679" spans="16:20">
      <c r="P6679" s="1094">
        <v>3401</v>
      </c>
      <c r="Q6679" t="s">
        <v>3540</v>
      </c>
      <c r="R6679" t="s">
        <v>616</v>
      </c>
      <c r="S6679">
        <v>141.940832</v>
      </c>
      <c r="T6679" s="1095">
        <v>-36.881534000000002</v>
      </c>
    </row>
    <row r="6680" spans="16:20">
      <c r="P6680" s="1094">
        <v>3401</v>
      </c>
      <c r="Q6680" t="s">
        <v>7529</v>
      </c>
      <c r="R6680" t="s">
        <v>616</v>
      </c>
      <c r="S6680">
        <v>141.940832</v>
      </c>
      <c r="T6680" s="1095">
        <v>-36.881534000000002</v>
      </c>
    </row>
    <row r="6681" spans="16:20">
      <c r="P6681" s="1094">
        <v>3401</v>
      </c>
      <c r="Q6681" t="s">
        <v>7530</v>
      </c>
      <c r="R6681" t="s">
        <v>616</v>
      </c>
      <c r="S6681">
        <v>141.940832</v>
      </c>
      <c r="T6681" s="1095">
        <v>-36.881534000000002</v>
      </c>
    </row>
    <row r="6682" spans="16:20">
      <c r="P6682" s="1094">
        <v>3401</v>
      </c>
      <c r="Q6682" t="s">
        <v>7531</v>
      </c>
      <c r="R6682" t="s">
        <v>616</v>
      </c>
      <c r="S6682">
        <v>141.940832</v>
      </c>
      <c r="T6682" s="1095">
        <v>-36.881534000000002</v>
      </c>
    </row>
    <row r="6683" spans="16:20">
      <c r="P6683" s="1094">
        <v>3401</v>
      </c>
      <c r="Q6683" t="s">
        <v>7532</v>
      </c>
      <c r="R6683" t="s">
        <v>616</v>
      </c>
      <c r="S6683">
        <v>141.940832</v>
      </c>
      <c r="T6683" s="1095">
        <v>-36.881534000000002</v>
      </c>
    </row>
    <row r="6684" spans="16:20">
      <c r="P6684" s="1094">
        <v>3401</v>
      </c>
      <c r="Q6684" t="s">
        <v>7533</v>
      </c>
      <c r="R6684" t="s">
        <v>616</v>
      </c>
      <c r="S6684">
        <v>141.940832</v>
      </c>
      <c r="T6684" s="1095">
        <v>-36.881534000000002</v>
      </c>
    </row>
    <row r="6685" spans="16:20">
      <c r="P6685" s="1094">
        <v>3401</v>
      </c>
      <c r="Q6685" t="s">
        <v>7534</v>
      </c>
      <c r="R6685" t="s">
        <v>616</v>
      </c>
      <c r="S6685">
        <v>141.940832</v>
      </c>
      <c r="T6685" s="1095">
        <v>-36.881534000000002</v>
      </c>
    </row>
    <row r="6686" spans="16:20">
      <c r="P6686" s="1094">
        <v>3401</v>
      </c>
      <c r="Q6686" t="s">
        <v>7535</v>
      </c>
      <c r="R6686" t="s">
        <v>616</v>
      </c>
      <c r="S6686">
        <v>141.940832</v>
      </c>
      <c r="T6686" s="1095">
        <v>-36.881534000000002</v>
      </c>
    </row>
    <row r="6687" spans="16:20">
      <c r="P6687" s="1094">
        <v>3401</v>
      </c>
      <c r="Q6687" t="s">
        <v>7536</v>
      </c>
      <c r="R6687" t="s">
        <v>616</v>
      </c>
      <c r="S6687">
        <v>141.940832</v>
      </c>
      <c r="T6687" s="1095">
        <v>-36.881534000000002</v>
      </c>
    </row>
    <row r="6688" spans="16:20">
      <c r="P6688" s="1094">
        <v>3401</v>
      </c>
      <c r="Q6688" t="s">
        <v>7537</v>
      </c>
      <c r="R6688" t="s">
        <v>616</v>
      </c>
      <c r="S6688">
        <v>141.940832</v>
      </c>
      <c r="T6688" s="1095">
        <v>-36.881534000000002</v>
      </c>
    </row>
    <row r="6689" spans="16:20">
      <c r="P6689" s="1094">
        <v>3402</v>
      </c>
      <c r="Q6689" t="s">
        <v>7494</v>
      </c>
      <c r="R6689" t="s">
        <v>616</v>
      </c>
      <c r="S6689">
        <v>0</v>
      </c>
      <c r="T6689" s="1095">
        <v>0</v>
      </c>
    </row>
    <row r="6690" spans="16:20">
      <c r="P6690" s="1094">
        <v>3407</v>
      </c>
      <c r="Q6690" t="s">
        <v>2452</v>
      </c>
      <c r="R6690" t="s">
        <v>616</v>
      </c>
      <c r="S6690">
        <v>141.94837100000001</v>
      </c>
      <c r="T6690" s="1095">
        <v>-37.298060999999997</v>
      </c>
    </row>
    <row r="6691" spans="16:20">
      <c r="P6691" s="1094">
        <v>3407</v>
      </c>
      <c r="Q6691" t="s">
        <v>7538</v>
      </c>
      <c r="R6691" t="s">
        <v>616</v>
      </c>
      <c r="S6691">
        <v>141.94837100000001</v>
      </c>
      <c r="T6691" s="1095">
        <v>-37.298060999999997</v>
      </c>
    </row>
    <row r="6692" spans="16:20">
      <c r="P6692" s="1094">
        <v>3407</v>
      </c>
      <c r="Q6692" t="s">
        <v>7539</v>
      </c>
      <c r="R6692" t="s">
        <v>616</v>
      </c>
      <c r="S6692">
        <v>141.94837100000001</v>
      </c>
      <c r="T6692" s="1095">
        <v>-37.298060999999997</v>
      </c>
    </row>
    <row r="6693" spans="16:20">
      <c r="P6693" s="1094">
        <v>3407</v>
      </c>
      <c r="Q6693" t="s">
        <v>7540</v>
      </c>
      <c r="R6693" t="s">
        <v>616</v>
      </c>
      <c r="S6693">
        <v>141.94837100000001</v>
      </c>
      <c r="T6693" s="1095">
        <v>-37.298060999999997</v>
      </c>
    </row>
    <row r="6694" spans="16:20">
      <c r="P6694" s="1094">
        <v>3407</v>
      </c>
      <c r="Q6694" t="s">
        <v>7541</v>
      </c>
      <c r="R6694" t="s">
        <v>616</v>
      </c>
      <c r="S6694">
        <v>141.94837100000001</v>
      </c>
      <c r="T6694" s="1095">
        <v>-37.298060999999997</v>
      </c>
    </row>
    <row r="6695" spans="16:20">
      <c r="P6695" s="1094">
        <v>3409</v>
      </c>
      <c r="Q6695" t="s">
        <v>7542</v>
      </c>
      <c r="R6695" t="s">
        <v>616</v>
      </c>
      <c r="S6695">
        <v>141.89695</v>
      </c>
      <c r="T6695" s="1095">
        <v>-36.667302999999997</v>
      </c>
    </row>
    <row r="6696" spans="16:20">
      <c r="P6696" s="1094">
        <v>3409</v>
      </c>
      <c r="Q6696" t="s">
        <v>7543</v>
      </c>
      <c r="R6696" t="s">
        <v>616</v>
      </c>
      <c r="S6696">
        <v>141.89695</v>
      </c>
      <c r="T6696" s="1095">
        <v>-36.667302999999997</v>
      </c>
    </row>
    <row r="6697" spans="16:20">
      <c r="P6697" s="1094">
        <v>3412</v>
      </c>
      <c r="Q6697" t="s">
        <v>7544</v>
      </c>
      <c r="R6697" t="s">
        <v>616</v>
      </c>
      <c r="S6697">
        <v>141.36607100000001</v>
      </c>
      <c r="T6697" s="1095">
        <v>-36.658804000000003</v>
      </c>
    </row>
    <row r="6698" spans="16:20">
      <c r="P6698" s="1094">
        <v>3413</v>
      </c>
      <c r="Q6698" t="s">
        <v>7545</v>
      </c>
      <c r="R6698" t="s">
        <v>616</v>
      </c>
      <c r="S6698">
        <v>141.20106799999999</v>
      </c>
      <c r="T6698" s="1095">
        <v>-36.699331000000001</v>
      </c>
    </row>
    <row r="6699" spans="16:20">
      <c r="P6699" s="1094">
        <v>3413</v>
      </c>
      <c r="Q6699" t="s">
        <v>7546</v>
      </c>
      <c r="R6699" t="s">
        <v>616</v>
      </c>
      <c r="S6699">
        <v>141.20106799999999</v>
      </c>
      <c r="T6699" s="1095">
        <v>-36.699331000000001</v>
      </c>
    </row>
    <row r="6700" spans="16:20">
      <c r="P6700" s="1094">
        <v>3413</v>
      </c>
      <c r="Q6700" t="s">
        <v>7547</v>
      </c>
      <c r="R6700" t="s">
        <v>616</v>
      </c>
      <c r="S6700">
        <v>141.20106799999999</v>
      </c>
      <c r="T6700" s="1095">
        <v>-36.699331000000001</v>
      </c>
    </row>
    <row r="6701" spans="16:20">
      <c r="P6701" s="1094">
        <v>3413</v>
      </c>
      <c r="Q6701" t="s">
        <v>7548</v>
      </c>
      <c r="R6701" t="s">
        <v>616</v>
      </c>
      <c r="S6701">
        <v>141.20106799999999</v>
      </c>
      <c r="T6701" s="1095">
        <v>-36.699331000000001</v>
      </c>
    </row>
    <row r="6702" spans="16:20">
      <c r="P6702" s="1094">
        <v>3414</v>
      </c>
      <c r="Q6702" t="s">
        <v>7549</v>
      </c>
      <c r="R6702" t="s">
        <v>616</v>
      </c>
      <c r="S6702">
        <v>142.09388300000001</v>
      </c>
      <c r="T6702" s="1095">
        <v>-36.388627999999997</v>
      </c>
    </row>
    <row r="6703" spans="16:20">
      <c r="P6703" s="1094">
        <v>3414</v>
      </c>
      <c r="Q6703" t="s">
        <v>7550</v>
      </c>
      <c r="R6703" t="s">
        <v>616</v>
      </c>
      <c r="S6703">
        <v>142.09388300000001</v>
      </c>
      <c r="T6703" s="1095">
        <v>-36.388627999999997</v>
      </c>
    </row>
    <row r="6704" spans="16:20">
      <c r="P6704" s="1094">
        <v>3414</v>
      </c>
      <c r="Q6704" t="s">
        <v>7551</v>
      </c>
      <c r="R6704" t="s">
        <v>616</v>
      </c>
      <c r="S6704">
        <v>142.09388300000001</v>
      </c>
      <c r="T6704" s="1095">
        <v>-36.388627999999997</v>
      </c>
    </row>
    <row r="6705" spans="16:20">
      <c r="P6705" s="1094">
        <v>3414</v>
      </c>
      <c r="Q6705" t="s">
        <v>7552</v>
      </c>
      <c r="R6705" t="s">
        <v>616</v>
      </c>
      <c r="S6705">
        <v>142.09388300000001</v>
      </c>
      <c r="T6705" s="1095">
        <v>-36.388627999999997</v>
      </c>
    </row>
    <row r="6706" spans="16:20">
      <c r="P6706" s="1094">
        <v>3415</v>
      </c>
      <c r="Q6706" t="s">
        <v>7553</v>
      </c>
      <c r="R6706" t="s">
        <v>616</v>
      </c>
      <c r="S6706">
        <v>141.33970199999999</v>
      </c>
      <c r="T6706" s="1095">
        <v>-36.352459000000003</v>
      </c>
    </row>
    <row r="6707" spans="16:20">
      <c r="P6707" s="1094">
        <v>3415</v>
      </c>
      <c r="Q6707" t="s">
        <v>4635</v>
      </c>
      <c r="R6707" t="s">
        <v>616</v>
      </c>
      <c r="S6707">
        <v>141.33970199999999</v>
      </c>
      <c r="T6707" s="1095">
        <v>-36.352459000000003</v>
      </c>
    </row>
    <row r="6708" spans="16:20">
      <c r="P6708" s="1094">
        <v>3418</v>
      </c>
      <c r="Q6708" t="s">
        <v>4269</v>
      </c>
      <c r="R6708" t="s">
        <v>616</v>
      </c>
      <c r="S6708">
        <v>141.53807399999999</v>
      </c>
      <c r="T6708" s="1095">
        <v>-36.074143999999997</v>
      </c>
    </row>
    <row r="6709" spans="16:20">
      <c r="P6709" s="1094">
        <v>3418</v>
      </c>
      <c r="Q6709" t="s">
        <v>7554</v>
      </c>
      <c r="R6709" t="s">
        <v>616</v>
      </c>
      <c r="S6709">
        <v>141.53807399999999</v>
      </c>
      <c r="T6709" s="1095">
        <v>-36.074143999999997</v>
      </c>
    </row>
    <row r="6710" spans="16:20">
      <c r="P6710" s="1094">
        <v>3418</v>
      </c>
      <c r="Q6710" t="s">
        <v>7555</v>
      </c>
      <c r="R6710" t="s">
        <v>616</v>
      </c>
      <c r="S6710">
        <v>141.53807399999999</v>
      </c>
      <c r="T6710" s="1095">
        <v>-36.074143999999997</v>
      </c>
    </row>
    <row r="6711" spans="16:20">
      <c r="P6711" s="1094">
        <v>3418</v>
      </c>
      <c r="Q6711" t="s">
        <v>7556</v>
      </c>
      <c r="R6711" t="s">
        <v>616</v>
      </c>
      <c r="S6711">
        <v>141.53807399999999</v>
      </c>
      <c r="T6711" s="1095">
        <v>-36.074143999999997</v>
      </c>
    </row>
    <row r="6712" spans="16:20">
      <c r="P6712" s="1094">
        <v>3418</v>
      </c>
      <c r="Q6712" t="s">
        <v>7557</v>
      </c>
      <c r="R6712" t="s">
        <v>616</v>
      </c>
      <c r="S6712">
        <v>141.53807399999999</v>
      </c>
      <c r="T6712" s="1095">
        <v>-36.074143999999997</v>
      </c>
    </row>
    <row r="6713" spans="16:20">
      <c r="P6713" s="1094">
        <v>3418</v>
      </c>
      <c r="Q6713" t="s">
        <v>7558</v>
      </c>
      <c r="R6713" t="s">
        <v>616</v>
      </c>
      <c r="S6713">
        <v>141.53807399999999</v>
      </c>
      <c r="T6713" s="1095">
        <v>-36.074143999999997</v>
      </c>
    </row>
    <row r="6714" spans="16:20">
      <c r="P6714" s="1094">
        <v>3418</v>
      </c>
      <c r="Q6714" t="s">
        <v>7559</v>
      </c>
      <c r="R6714" t="s">
        <v>616</v>
      </c>
      <c r="S6714">
        <v>141.53807399999999</v>
      </c>
      <c r="T6714" s="1095">
        <v>-36.074143999999997</v>
      </c>
    </row>
    <row r="6715" spans="16:20">
      <c r="P6715" s="1094">
        <v>3418</v>
      </c>
      <c r="Q6715" t="s">
        <v>7560</v>
      </c>
      <c r="R6715" t="s">
        <v>616</v>
      </c>
      <c r="S6715">
        <v>141.53807399999999</v>
      </c>
      <c r="T6715" s="1095">
        <v>-36.074143999999997</v>
      </c>
    </row>
    <row r="6716" spans="16:20">
      <c r="P6716" s="1094">
        <v>3418</v>
      </c>
      <c r="Q6716" t="s">
        <v>7561</v>
      </c>
      <c r="R6716" t="s">
        <v>616</v>
      </c>
      <c r="S6716">
        <v>141.53807399999999</v>
      </c>
      <c r="T6716" s="1095">
        <v>-36.074143999999997</v>
      </c>
    </row>
    <row r="6717" spans="16:20">
      <c r="P6717" s="1094">
        <v>3418</v>
      </c>
      <c r="Q6717" t="s">
        <v>7562</v>
      </c>
      <c r="R6717" t="s">
        <v>616</v>
      </c>
      <c r="S6717">
        <v>141.53807399999999</v>
      </c>
      <c r="T6717" s="1095">
        <v>-36.074143999999997</v>
      </c>
    </row>
    <row r="6718" spans="16:20">
      <c r="P6718" s="1094">
        <v>3419</v>
      </c>
      <c r="Q6718" t="s">
        <v>7563</v>
      </c>
      <c r="R6718" t="s">
        <v>616</v>
      </c>
      <c r="S6718">
        <v>141.10192900000001</v>
      </c>
      <c r="T6718" s="1095">
        <v>-36.226014999999997</v>
      </c>
    </row>
    <row r="6719" spans="16:20">
      <c r="P6719" s="1094">
        <v>3420</v>
      </c>
      <c r="Q6719" t="s">
        <v>7564</v>
      </c>
      <c r="R6719" t="s">
        <v>616</v>
      </c>
      <c r="S6719">
        <v>141.01733200000001</v>
      </c>
      <c r="T6719" s="1095">
        <v>-36.412730000000003</v>
      </c>
    </row>
    <row r="6720" spans="16:20">
      <c r="P6720" s="1094">
        <v>3420</v>
      </c>
      <c r="Q6720" t="s">
        <v>7565</v>
      </c>
      <c r="R6720" t="s">
        <v>616</v>
      </c>
      <c r="S6720">
        <v>141.01733200000001</v>
      </c>
      <c r="T6720" s="1095">
        <v>-36.412730000000003</v>
      </c>
    </row>
    <row r="6721" spans="16:20">
      <c r="P6721" s="1094">
        <v>3420</v>
      </c>
      <c r="Q6721" t="s">
        <v>7566</v>
      </c>
      <c r="R6721" t="s">
        <v>616</v>
      </c>
      <c r="S6721">
        <v>141.01733200000001</v>
      </c>
      <c r="T6721" s="1095">
        <v>-36.412730000000003</v>
      </c>
    </row>
    <row r="6722" spans="16:20">
      <c r="P6722" s="1094">
        <v>3423</v>
      </c>
      <c r="Q6722" t="s">
        <v>7567</v>
      </c>
      <c r="R6722" t="s">
        <v>616</v>
      </c>
      <c r="S6722">
        <v>141.940764</v>
      </c>
      <c r="T6722" s="1095">
        <v>-36.131909999999998</v>
      </c>
    </row>
    <row r="6723" spans="16:20">
      <c r="P6723" s="1094">
        <v>3423</v>
      </c>
      <c r="Q6723" t="s">
        <v>7568</v>
      </c>
      <c r="R6723" t="s">
        <v>616</v>
      </c>
      <c r="S6723">
        <v>141.940764</v>
      </c>
      <c r="T6723" s="1095">
        <v>-36.131909999999998</v>
      </c>
    </row>
    <row r="6724" spans="16:20">
      <c r="P6724" s="1094">
        <v>3424</v>
      </c>
      <c r="Q6724" t="s">
        <v>7569</v>
      </c>
      <c r="R6724" t="s">
        <v>616</v>
      </c>
      <c r="S6724">
        <v>141.93087199999999</v>
      </c>
      <c r="T6724" s="1095">
        <v>-35.727789000000001</v>
      </c>
    </row>
    <row r="6725" spans="16:20">
      <c r="P6725" s="1094">
        <v>3424</v>
      </c>
      <c r="Q6725" t="s">
        <v>7570</v>
      </c>
      <c r="R6725" t="s">
        <v>616</v>
      </c>
      <c r="S6725">
        <v>141.93087199999999</v>
      </c>
      <c r="T6725" s="1095">
        <v>-35.727789000000001</v>
      </c>
    </row>
    <row r="6726" spans="16:20">
      <c r="P6726" s="1094">
        <v>3424</v>
      </c>
      <c r="Q6726" t="s">
        <v>7571</v>
      </c>
      <c r="R6726" t="s">
        <v>616</v>
      </c>
      <c r="S6726">
        <v>141.93087199999999</v>
      </c>
      <c r="T6726" s="1095">
        <v>-35.727789000000001</v>
      </c>
    </row>
    <row r="6727" spans="16:20">
      <c r="P6727" s="1094">
        <v>3427</v>
      </c>
      <c r="Q6727" t="s">
        <v>7572</v>
      </c>
      <c r="R6727" t="s">
        <v>616</v>
      </c>
      <c r="S6727">
        <v>144.70797400000001</v>
      </c>
      <c r="T6727" s="1095">
        <v>-37.643461000000002</v>
      </c>
    </row>
    <row r="6728" spans="16:20">
      <c r="P6728" s="1094">
        <v>3427</v>
      </c>
      <c r="Q6728" t="s">
        <v>5626</v>
      </c>
      <c r="R6728" t="s">
        <v>616</v>
      </c>
      <c r="S6728">
        <v>144.70797400000001</v>
      </c>
      <c r="T6728" s="1095">
        <v>-37.643461000000002</v>
      </c>
    </row>
    <row r="6729" spans="16:20">
      <c r="P6729" s="1094">
        <v>3428</v>
      </c>
      <c r="Q6729" t="s">
        <v>6056</v>
      </c>
      <c r="R6729" t="s">
        <v>616</v>
      </c>
      <c r="S6729">
        <v>144.81149400000001</v>
      </c>
      <c r="T6729" s="1095">
        <v>-37.591068999999997</v>
      </c>
    </row>
    <row r="6730" spans="16:20">
      <c r="P6730" s="1094">
        <v>3429</v>
      </c>
      <c r="Q6730" t="s">
        <v>7573</v>
      </c>
      <c r="R6730" t="s">
        <v>616</v>
      </c>
      <c r="S6730">
        <v>144.728973</v>
      </c>
      <c r="T6730" s="1095">
        <v>-37.567619999999998</v>
      </c>
    </row>
    <row r="6731" spans="16:20">
      <c r="P6731" s="1094">
        <v>3429</v>
      </c>
      <c r="Q6731" t="s">
        <v>7574</v>
      </c>
      <c r="R6731" t="s">
        <v>616</v>
      </c>
      <c r="S6731">
        <v>144.728973</v>
      </c>
      <c r="T6731" s="1095">
        <v>-37.567619999999998</v>
      </c>
    </row>
    <row r="6732" spans="16:20">
      <c r="P6732" s="1094">
        <v>3430</v>
      </c>
      <c r="Q6732" t="s">
        <v>7575</v>
      </c>
      <c r="R6732" t="s">
        <v>616</v>
      </c>
      <c r="S6732">
        <v>144.80663200000001</v>
      </c>
      <c r="T6732" s="1095">
        <v>-37.494056</v>
      </c>
    </row>
    <row r="6733" spans="16:20">
      <c r="P6733" s="1094">
        <v>3431</v>
      </c>
      <c r="Q6733" t="s">
        <v>7576</v>
      </c>
      <c r="R6733" t="s">
        <v>616</v>
      </c>
      <c r="S6733">
        <v>144.69202000000001</v>
      </c>
      <c r="T6733" s="1095">
        <v>-37.474550999999998</v>
      </c>
    </row>
    <row r="6734" spans="16:20">
      <c r="P6734" s="1094">
        <v>3432</v>
      </c>
      <c r="Q6734" t="s">
        <v>7577</v>
      </c>
      <c r="R6734" t="s">
        <v>616</v>
      </c>
      <c r="S6734">
        <v>144.79258100000001</v>
      </c>
      <c r="T6734" s="1095">
        <v>-37.448455000000003</v>
      </c>
    </row>
    <row r="6735" spans="16:20">
      <c r="P6735" s="1094">
        <v>3433</v>
      </c>
      <c r="Q6735" t="s">
        <v>7578</v>
      </c>
      <c r="R6735" t="s">
        <v>616</v>
      </c>
      <c r="S6735">
        <v>144.752095</v>
      </c>
      <c r="T6735" s="1095">
        <v>-37.413302000000002</v>
      </c>
    </row>
    <row r="6736" spans="16:20">
      <c r="P6736" s="1094">
        <v>3434</v>
      </c>
      <c r="Q6736" t="s">
        <v>7579</v>
      </c>
      <c r="R6736" t="s">
        <v>616</v>
      </c>
      <c r="S6736">
        <v>144.75079600000001</v>
      </c>
      <c r="T6736" s="1095">
        <v>-37.353879999999997</v>
      </c>
    </row>
    <row r="6737" spans="16:20">
      <c r="P6737" s="1094">
        <v>3434</v>
      </c>
      <c r="Q6737" t="s">
        <v>7580</v>
      </c>
      <c r="R6737" t="s">
        <v>616</v>
      </c>
      <c r="S6737">
        <v>144.75079600000001</v>
      </c>
      <c r="T6737" s="1095">
        <v>-37.353879999999997</v>
      </c>
    </row>
    <row r="6738" spans="16:20">
      <c r="P6738" s="1094">
        <v>3434</v>
      </c>
      <c r="Q6738" t="s">
        <v>7581</v>
      </c>
      <c r="R6738" t="s">
        <v>616</v>
      </c>
      <c r="S6738">
        <v>144.75079600000001</v>
      </c>
      <c r="T6738" s="1095">
        <v>-37.353879999999997</v>
      </c>
    </row>
    <row r="6739" spans="16:20">
      <c r="P6739" s="1094">
        <v>3434</v>
      </c>
      <c r="Q6739" t="s">
        <v>2295</v>
      </c>
      <c r="R6739" t="s">
        <v>616</v>
      </c>
      <c r="S6739">
        <v>144.75079600000001</v>
      </c>
      <c r="T6739" s="1095">
        <v>-37.353879999999997</v>
      </c>
    </row>
    <row r="6740" spans="16:20">
      <c r="P6740" s="1094">
        <v>3435</v>
      </c>
      <c r="Q6740" t="s">
        <v>7582</v>
      </c>
      <c r="R6740" t="s">
        <v>616</v>
      </c>
      <c r="S6740">
        <v>144.743358</v>
      </c>
      <c r="T6740" s="1095">
        <v>-37.179453000000002</v>
      </c>
    </row>
    <row r="6741" spans="16:20">
      <c r="P6741" s="1094">
        <v>3435</v>
      </c>
      <c r="Q6741" t="s">
        <v>7583</v>
      </c>
      <c r="R6741" t="s">
        <v>616</v>
      </c>
      <c r="S6741">
        <v>144.743358</v>
      </c>
      <c r="T6741" s="1095">
        <v>-37.179453000000002</v>
      </c>
    </row>
    <row r="6742" spans="16:20">
      <c r="P6742" s="1094">
        <v>3435</v>
      </c>
      <c r="Q6742" t="s">
        <v>7584</v>
      </c>
      <c r="R6742" t="s">
        <v>616</v>
      </c>
      <c r="S6742">
        <v>144.743358</v>
      </c>
      <c r="T6742" s="1095">
        <v>-37.179453000000002</v>
      </c>
    </row>
    <row r="6743" spans="16:20">
      <c r="P6743" s="1094">
        <v>3435</v>
      </c>
      <c r="Q6743" t="s">
        <v>7585</v>
      </c>
      <c r="R6743" t="s">
        <v>616</v>
      </c>
      <c r="S6743">
        <v>144.743358</v>
      </c>
      <c r="T6743" s="1095">
        <v>-37.179453000000002</v>
      </c>
    </row>
    <row r="6744" spans="16:20">
      <c r="P6744" s="1094">
        <v>3437</v>
      </c>
      <c r="Q6744" t="s">
        <v>7586</v>
      </c>
      <c r="R6744" t="s">
        <v>616</v>
      </c>
      <c r="S6744">
        <v>144.51301799999999</v>
      </c>
      <c r="T6744" s="1095">
        <v>-37.501618999999998</v>
      </c>
    </row>
    <row r="6745" spans="16:20">
      <c r="P6745" s="1094">
        <v>3437</v>
      </c>
      <c r="Q6745" t="s">
        <v>7587</v>
      </c>
      <c r="R6745" t="s">
        <v>616</v>
      </c>
      <c r="S6745">
        <v>144.51301799999999</v>
      </c>
      <c r="T6745" s="1095">
        <v>-37.501618999999998</v>
      </c>
    </row>
    <row r="6746" spans="16:20">
      <c r="P6746" s="1094">
        <v>3437</v>
      </c>
      <c r="Q6746" t="s">
        <v>7588</v>
      </c>
      <c r="R6746" t="s">
        <v>616</v>
      </c>
      <c r="S6746">
        <v>144.51301799999999</v>
      </c>
      <c r="T6746" s="1095">
        <v>-37.501618999999998</v>
      </c>
    </row>
    <row r="6747" spans="16:20">
      <c r="P6747" s="1094">
        <v>3438</v>
      </c>
      <c r="Q6747" t="s">
        <v>7589</v>
      </c>
      <c r="R6747" t="s">
        <v>616</v>
      </c>
      <c r="S6747">
        <v>144.60203200000001</v>
      </c>
      <c r="T6747" s="1095">
        <v>-37.457528000000003</v>
      </c>
    </row>
    <row r="6748" spans="16:20">
      <c r="P6748" s="1094">
        <v>3440</v>
      </c>
      <c r="Q6748" t="s">
        <v>7590</v>
      </c>
      <c r="R6748" t="s">
        <v>616</v>
      </c>
      <c r="S6748">
        <v>144.54615100000001</v>
      </c>
      <c r="T6748" s="1095">
        <v>-37.413376999999997</v>
      </c>
    </row>
    <row r="6749" spans="16:20">
      <c r="P6749" s="1094">
        <v>3441</v>
      </c>
      <c r="Q6749" t="s">
        <v>7591</v>
      </c>
      <c r="R6749" t="s">
        <v>616</v>
      </c>
      <c r="S6749">
        <v>144.603892</v>
      </c>
      <c r="T6749" s="1095">
        <v>-37.399223999999997</v>
      </c>
    </row>
    <row r="6750" spans="16:20">
      <c r="P6750" s="1094">
        <v>3442</v>
      </c>
      <c r="Q6750" t="s">
        <v>7592</v>
      </c>
      <c r="R6750" t="s">
        <v>616</v>
      </c>
      <c r="S6750">
        <v>144.548846</v>
      </c>
      <c r="T6750" s="1095">
        <v>-37.330660999999999</v>
      </c>
    </row>
    <row r="6751" spans="16:20">
      <c r="P6751" s="1094">
        <v>3442</v>
      </c>
      <c r="Q6751" t="s">
        <v>7593</v>
      </c>
      <c r="R6751" t="s">
        <v>616</v>
      </c>
      <c r="S6751">
        <v>144.548846</v>
      </c>
      <c r="T6751" s="1095">
        <v>-37.330660999999999</v>
      </c>
    </row>
    <row r="6752" spans="16:20">
      <c r="P6752" s="1094">
        <v>3442</v>
      </c>
      <c r="Q6752" t="s">
        <v>7594</v>
      </c>
      <c r="R6752" t="s">
        <v>616</v>
      </c>
      <c r="S6752">
        <v>144.548846</v>
      </c>
      <c r="T6752" s="1095">
        <v>-37.330660999999999</v>
      </c>
    </row>
    <row r="6753" spans="16:20">
      <c r="P6753" s="1094">
        <v>3442</v>
      </c>
      <c r="Q6753" t="s">
        <v>7595</v>
      </c>
      <c r="R6753" t="s">
        <v>616</v>
      </c>
      <c r="S6753">
        <v>144.548846</v>
      </c>
      <c r="T6753" s="1095">
        <v>-37.330660999999999</v>
      </c>
    </row>
    <row r="6754" spans="16:20">
      <c r="P6754" s="1094">
        <v>3442</v>
      </c>
      <c r="Q6754" t="s">
        <v>2881</v>
      </c>
      <c r="R6754" t="s">
        <v>616</v>
      </c>
      <c r="S6754">
        <v>144.548846</v>
      </c>
      <c r="T6754" s="1095">
        <v>-37.330660999999999</v>
      </c>
    </row>
    <row r="6755" spans="16:20">
      <c r="P6755" s="1094">
        <v>3442</v>
      </c>
      <c r="Q6755" t="s">
        <v>7596</v>
      </c>
      <c r="R6755" t="s">
        <v>616</v>
      </c>
      <c r="S6755">
        <v>144.548846</v>
      </c>
      <c r="T6755" s="1095">
        <v>-37.330660999999999</v>
      </c>
    </row>
    <row r="6756" spans="16:20">
      <c r="P6756" s="1094">
        <v>3442</v>
      </c>
      <c r="Q6756" t="s">
        <v>7597</v>
      </c>
      <c r="R6756" t="s">
        <v>616</v>
      </c>
      <c r="S6756">
        <v>144.548846</v>
      </c>
      <c r="T6756" s="1095">
        <v>-37.330660999999999</v>
      </c>
    </row>
    <row r="6757" spans="16:20">
      <c r="P6757" s="1094">
        <v>3442</v>
      </c>
      <c r="Q6757" t="s">
        <v>7598</v>
      </c>
      <c r="R6757" t="s">
        <v>616</v>
      </c>
      <c r="S6757">
        <v>144.548846</v>
      </c>
      <c r="T6757" s="1095">
        <v>-37.330660999999999</v>
      </c>
    </row>
    <row r="6758" spans="16:20">
      <c r="P6758" s="1094">
        <v>3442</v>
      </c>
      <c r="Q6758" t="s">
        <v>7599</v>
      </c>
      <c r="R6758" t="s">
        <v>616</v>
      </c>
      <c r="S6758">
        <v>144.548846</v>
      </c>
      <c r="T6758" s="1095">
        <v>-37.330660999999999</v>
      </c>
    </row>
    <row r="6759" spans="16:20">
      <c r="P6759" s="1094">
        <v>3442</v>
      </c>
      <c r="Q6759" t="s">
        <v>7600</v>
      </c>
      <c r="R6759" t="s">
        <v>616</v>
      </c>
      <c r="S6759">
        <v>144.548846</v>
      </c>
      <c r="T6759" s="1095">
        <v>-37.330660999999999</v>
      </c>
    </row>
    <row r="6760" spans="16:20">
      <c r="P6760" s="1094">
        <v>3444</v>
      </c>
      <c r="Q6760" t="s">
        <v>7601</v>
      </c>
      <c r="R6760" t="s">
        <v>616</v>
      </c>
      <c r="S6760">
        <v>144.54471599999999</v>
      </c>
      <c r="T6760" s="1095">
        <v>-37.171787999999999</v>
      </c>
    </row>
    <row r="6761" spans="16:20">
      <c r="P6761" s="1094">
        <v>3444</v>
      </c>
      <c r="Q6761" t="s">
        <v>7602</v>
      </c>
      <c r="R6761" t="s">
        <v>616</v>
      </c>
      <c r="S6761">
        <v>144.54471599999999</v>
      </c>
      <c r="T6761" s="1095">
        <v>-37.171787999999999</v>
      </c>
    </row>
    <row r="6762" spans="16:20">
      <c r="P6762" s="1094">
        <v>3444</v>
      </c>
      <c r="Q6762" t="s">
        <v>7603</v>
      </c>
      <c r="R6762" t="s">
        <v>616</v>
      </c>
      <c r="S6762">
        <v>144.54471599999999</v>
      </c>
      <c r="T6762" s="1095">
        <v>-37.171787999999999</v>
      </c>
    </row>
    <row r="6763" spans="16:20">
      <c r="P6763" s="1094">
        <v>3444</v>
      </c>
      <c r="Q6763" t="s">
        <v>7604</v>
      </c>
      <c r="R6763" t="s">
        <v>616</v>
      </c>
      <c r="S6763">
        <v>144.54471599999999</v>
      </c>
      <c r="T6763" s="1095">
        <v>-37.171787999999999</v>
      </c>
    </row>
    <row r="6764" spans="16:20">
      <c r="P6764" s="1094">
        <v>3444</v>
      </c>
      <c r="Q6764" t="s">
        <v>7605</v>
      </c>
      <c r="R6764" t="s">
        <v>616</v>
      </c>
      <c r="S6764">
        <v>144.54471599999999</v>
      </c>
      <c r="T6764" s="1095">
        <v>-37.171787999999999</v>
      </c>
    </row>
    <row r="6765" spans="16:20">
      <c r="P6765" s="1094">
        <v>3444</v>
      </c>
      <c r="Q6765" t="s">
        <v>7606</v>
      </c>
      <c r="R6765" t="s">
        <v>616</v>
      </c>
      <c r="S6765">
        <v>144.54471599999999</v>
      </c>
      <c r="T6765" s="1095">
        <v>-37.171787999999999</v>
      </c>
    </row>
    <row r="6766" spans="16:20">
      <c r="P6766" s="1094">
        <v>3444</v>
      </c>
      <c r="Q6766" t="s">
        <v>7607</v>
      </c>
      <c r="R6766" t="s">
        <v>616</v>
      </c>
      <c r="S6766">
        <v>144.54471599999999</v>
      </c>
      <c r="T6766" s="1095">
        <v>-37.171787999999999</v>
      </c>
    </row>
    <row r="6767" spans="16:20">
      <c r="P6767" s="1094">
        <v>3444</v>
      </c>
      <c r="Q6767" t="s">
        <v>7608</v>
      </c>
      <c r="R6767" t="s">
        <v>616</v>
      </c>
      <c r="S6767">
        <v>144.54471599999999</v>
      </c>
      <c r="T6767" s="1095">
        <v>-37.171787999999999</v>
      </c>
    </row>
    <row r="6768" spans="16:20">
      <c r="P6768" s="1094">
        <v>3444</v>
      </c>
      <c r="Q6768" t="s">
        <v>7609</v>
      </c>
      <c r="R6768" t="s">
        <v>616</v>
      </c>
      <c r="S6768">
        <v>144.54471599999999</v>
      </c>
      <c r="T6768" s="1095">
        <v>-37.171787999999999</v>
      </c>
    </row>
    <row r="6769" spans="16:20">
      <c r="P6769" s="1094">
        <v>3444</v>
      </c>
      <c r="Q6769" t="s">
        <v>7610</v>
      </c>
      <c r="R6769" t="s">
        <v>616</v>
      </c>
      <c r="S6769">
        <v>144.54471599999999</v>
      </c>
      <c r="T6769" s="1095">
        <v>-37.171787999999999</v>
      </c>
    </row>
    <row r="6770" spans="16:20">
      <c r="P6770" s="1094">
        <v>3444</v>
      </c>
      <c r="Q6770" t="s">
        <v>7611</v>
      </c>
      <c r="R6770" t="s">
        <v>616</v>
      </c>
      <c r="S6770">
        <v>144.54471599999999</v>
      </c>
      <c r="T6770" s="1095">
        <v>-37.171787999999999</v>
      </c>
    </row>
    <row r="6771" spans="16:20">
      <c r="P6771" s="1094">
        <v>3444</v>
      </c>
      <c r="Q6771" t="s">
        <v>7612</v>
      </c>
      <c r="R6771" t="s">
        <v>616</v>
      </c>
      <c r="S6771">
        <v>144.54471599999999</v>
      </c>
      <c r="T6771" s="1095">
        <v>-37.171787999999999</v>
      </c>
    </row>
    <row r="6772" spans="16:20">
      <c r="P6772" s="1094">
        <v>3444</v>
      </c>
      <c r="Q6772" t="s">
        <v>7613</v>
      </c>
      <c r="R6772" t="s">
        <v>616</v>
      </c>
      <c r="S6772">
        <v>144.54471599999999</v>
      </c>
      <c r="T6772" s="1095">
        <v>-37.171787999999999</v>
      </c>
    </row>
    <row r="6773" spans="16:20">
      <c r="P6773" s="1094">
        <v>3444</v>
      </c>
      <c r="Q6773" t="s">
        <v>3837</v>
      </c>
      <c r="R6773" t="s">
        <v>616</v>
      </c>
      <c r="S6773">
        <v>144.54471599999999</v>
      </c>
      <c r="T6773" s="1095">
        <v>-37.171787999999999</v>
      </c>
    </row>
    <row r="6774" spans="16:20">
      <c r="P6774" s="1094">
        <v>3444</v>
      </c>
      <c r="Q6774" t="s">
        <v>7614</v>
      </c>
      <c r="R6774" t="s">
        <v>616</v>
      </c>
      <c r="S6774">
        <v>144.54471599999999</v>
      </c>
      <c r="T6774" s="1095">
        <v>-37.171787999999999</v>
      </c>
    </row>
    <row r="6775" spans="16:20">
      <c r="P6775" s="1094">
        <v>3444</v>
      </c>
      <c r="Q6775" t="s">
        <v>7615</v>
      </c>
      <c r="R6775" t="s">
        <v>616</v>
      </c>
      <c r="S6775">
        <v>144.54471599999999</v>
      </c>
      <c r="T6775" s="1095">
        <v>-37.171787999999999</v>
      </c>
    </row>
    <row r="6776" spans="16:20">
      <c r="P6776" s="1094">
        <v>3444</v>
      </c>
      <c r="Q6776" t="s">
        <v>7616</v>
      </c>
      <c r="R6776" t="s">
        <v>616</v>
      </c>
      <c r="S6776">
        <v>144.54471599999999</v>
      </c>
      <c r="T6776" s="1095">
        <v>-37.171787999999999</v>
      </c>
    </row>
    <row r="6777" spans="16:20">
      <c r="P6777" s="1094">
        <v>3444</v>
      </c>
      <c r="Q6777" t="s">
        <v>7617</v>
      </c>
      <c r="R6777" t="s">
        <v>616</v>
      </c>
      <c r="S6777">
        <v>144.54471599999999</v>
      </c>
      <c r="T6777" s="1095">
        <v>-37.171787999999999</v>
      </c>
    </row>
    <row r="6778" spans="16:20">
      <c r="P6778" s="1094">
        <v>3444</v>
      </c>
      <c r="Q6778" t="s">
        <v>7618</v>
      </c>
      <c r="R6778" t="s">
        <v>616</v>
      </c>
      <c r="S6778">
        <v>144.54471599999999</v>
      </c>
      <c r="T6778" s="1095">
        <v>-37.171787999999999</v>
      </c>
    </row>
    <row r="6779" spans="16:20">
      <c r="P6779" s="1094">
        <v>3444</v>
      </c>
      <c r="Q6779" t="s">
        <v>5898</v>
      </c>
      <c r="R6779" t="s">
        <v>616</v>
      </c>
      <c r="S6779">
        <v>144.54471599999999</v>
      </c>
      <c r="T6779" s="1095">
        <v>-37.171787999999999</v>
      </c>
    </row>
    <row r="6780" spans="16:20">
      <c r="P6780" s="1094">
        <v>3444</v>
      </c>
      <c r="Q6780" t="s">
        <v>7619</v>
      </c>
      <c r="R6780" t="s">
        <v>616</v>
      </c>
      <c r="S6780">
        <v>144.54471599999999</v>
      </c>
      <c r="T6780" s="1095">
        <v>-37.171787999999999</v>
      </c>
    </row>
    <row r="6781" spans="16:20">
      <c r="P6781" s="1094">
        <v>3444</v>
      </c>
      <c r="Q6781" t="s">
        <v>7620</v>
      </c>
      <c r="R6781" t="s">
        <v>616</v>
      </c>
      <c r="S6781">
        <v>144.54471599999999</v>
      </c>
      <c r="T6781" s="1095">
        <v>-37.171787999999999</v>
      </c>
    </row>
    <row r="6782" spans="16:20">
      <c r="P6782" s="1094">
        <v>3446</v>
      </c>
      <c r="Q6782" t="s">
        <v>7621</v>
      </c>
      <c r="R6782" t="s">
        <v>616</v>
      </c>
      <c r="S6782">
        <v>144.37433799999999</v>
      </c>
      <c r="T6782" s="1095">
        <v>-37.184831000000003</v>
      </c>
    </row>
    <row r="6783" spans="16:20">
      <c r="P6783" s="1094">
        <v>3446</v>
      </c>
      <c r="Q6783" t="s">
        <v>7622</v>
      </c>
      <c r="R6783" t="s">
        <v>616</v>
      </c>
      <c r="S6783">
        <v>144.37433799999999</v>
      </c>
      <c r="T6783" s="1095">
        <v>-37.184831000000003</v>
      </c>
    </row>
    <row r="6784" spans="16:20">
      <c r="P6784" s="1094">
        <v>3447</v>
      </c>
      <c r="Q6784" t="s">
        <v>5236</v>
      </c>
      <c r="R6784" t="s">
        <v>616</v>
      </c>
      <c r="S6784">
        <v>144.322487</v>
      </c>
      <c r="T6784" s="1095">
        <v>-37.157744000000001</v>
      </c>
    </row>
    <row r="6785" spans="16:20">
      <c r="P6785" s="1094">
        <v>3448</v>
      </c>
      <c r="Q6785" t="s">
        <v>7623</v>
      </c>
      <c r="R6785" t="s">
        <v>616</v>
      </c>
      <c r="S6785">
        <v>144.387629</v>
      </c>
      <c r="T6785" s="1095">
        <v>-37.075364</v>
      </c>
    </row>
    <row r="6786" spans="16:20">
      <c r="P6786" s="1094">
        <v>3448</v>
      </c>
      <c r="Q6786" t="s">
        <v>7624</v>
      </c>
      <c r="R6786" t="s">
        <v>616</v>
      </c>
      <c r="S6786">
        <v>144.387629</v>
      </c>
      <c r="T6786" s="1095">
        <v>-37.075364</v>
      </c>
    </row>
    <row r="6787" spans="16:20">
      <c r="P6787" s="1094">
        <v>3448</v>
      </c>
      <c r="Q6787" t="s">
        <v>7625</v>
      </c>
      <c r="R6787" t="s">
        <v>616</v>
      </c>
      <c r="S6787">
        <v>144.387629</v>
      </c>
      <c r="T6787" s="1095">
        <v>-37.075364</v>
      </c>
    </row>
    <row r="6788" spans="16:20">
      <c r="P6788" s="1094">
        <v>3450</v>
      </c>
      <c r="Q6788" t="s">
        <v>7626</v>
      </c>
      <c r="R6788" t="s">
        <v>616</v>
      </c>
      <c r="S6788">
        <v>144.21490299999999</v>
      </c>
      <c r="T6788" s="1095">
        <v>-37.061635000000003</v>
      </c>
    </row>
    <row r="6789" spans="16:20">
      <c r="P6789" s="1094">
        <v>3450</v>
      </c>
      <c r="Q6789" t="s">
        <v>7627</v>
      </c>
      <c r="R6789" t="s">
        <v>616</v>
      </c>
      <c r="S6789">
        <v>144.21490299999999</v>
      </c>
      <c r="T6789" s="1095">
        <v>-37.061635000000003</v>
      </c>
    </row>
    <row r="6790" spans="16:20">
      <c r="P6790" s="1094">
        <v>3451</v>
      </c>
      <c r="Q6790" t="s">
        <v>7628</v>
      </c>
      <c r="R6790" t="s">
        <v>616</v>
      </c>
      <c r="S6790">
        <v>144.21419</v>
      </c>
      <c r="T6790" s="1095">
        <v>-37.125337999999999</v>
      </c>
    </row>
    <row r="6791" spans="16:20">
      <c r="P6791" s="1094">
        <v>3451</v>
      </c>
      <c r="Q6791" t="s">
        <v>7629</v>
      </c>
      <c r="R6791" t="s">
        <v>616</v>
      </c>
      <c r="S6791">
        <v>144.21419</v>
      </c>
      <c r="T6791" s="1095">
        <v>-37.125337999999999</v>
      </c>
    </row>
    <row r="6792" spans="16:20">
      <c r="P6792" s="1094">
        <v>3451</v>
      </c>
      <c r="Q6792" t="s">
        <v>7630</v>
      </c>
      <c r="R6792" t="s">
        <v>616</v>
      </c>
      <c r="S6792">
        <v>144.21419</v>
      </c>
      <c r="T6792" s="1095">
        <v>-37.125337999999999</v>
      </c>
    </row>
    <row r="6793" spans="16:20">
      <c r="P6793" s="1094">
        <v>3451</v>
      </c>
      <c r="Q6793" t="s">
        <v>7631</v>
      </c>
      <c r="R6793" t="s">
        <v>616</v>
      </c>
      <c r="S6793">
        <v>144.21419</v>
      </c>
      <c r="T6793" s="1095">
        <v>-37.125337999999999</v>
      </c>
    </row>
    <row r="6794" spans="16:20">
      <c r="P6794" s="1094">
        <v>3451</v>
      </c>
      <c r="Q6794" t="s">
        <v>7632</v>
      </c>
      <c r="R6794" t="s">
        <v>616</v>
      </c>
      <c r="S6794">
        <v>144.21419</v>
      </c>
      <c r="T6794" s="1095">
        <v>-37.125337999999999</v>
      </c>
    </row>
    <row r="6795" spans="16:20">
      <c r="P6795" s="1094">
        <v>3451</v>
      </c>
      <c r="Q6795" t="s">
        <v>7633</v>
      </c>
      <c r="R6795" t="s">
        <v>616</v>
      </c>
      <c r="S6795">
        <v>144.21419</v>
      </c>
      <c r="T6795" s="1095">
        <v>-37.125337999999999</v>
      </c>
    </row>
    <row r="6796" spans="16:20">
      <c r="P6796" s="1094">
        <v>3451</v>
      </c>
      <c r="Q6796" t="s">
        <v>7634</v>
      </c>
      <c r="R6796" t="s">
        <v>616</v>
      </c>
      <c r="S6796">
        <v>144.21419</v>
      </c>
      <c r="T6796" s="1095">
        <v>-37.125337999999999</v>
      </c>
    </row>
    <row r="6797" spans="16:20">
      <c r="P6797" s="1094">
        <v>3451</v>
      </c>
      <c r="Q6797" t="s">
        <v>7241</v>
      </c>
      <c r="R6797" t="s">
        <v>616</v>
      </c>
      <c r="S6797">
        <v>144.21419</v>
      </c>
      <c r="T6797" s="1095">
        <v>-37.125337999999999</v>
      </c>
    </row>
    <row r="6798" spans="16:20">
      <c r="P6798" s="1094">
        <v>3451</v>
      </c>
      <c r="Q6798" t="s">
        <v>7635</v>
      </c>
      <c r="R6798" t="s">
        <v>616</v>
      </c>
      <c r="S6798">
        <v>144.21419</v>
      </c>
      <c r="T6798" s="1095">
        <v>-37.125337999999999</v>
      </c>
    </row>
    <row r="6799" spans="16:20">
      <c r="P6799" s="1094">
        <v>3451</v>
      </c>
      <c r="Q6799" t="s">
        <v>1714</v>
      </c>
      <c r="R6799" t="s">
        <v>616</v>
      </c>
      <c r="S6799">
        <v>144.21419</v>
      </c>
      <c r="T6799" s="1095">
        <v>-37.125337999999999</v>
      </c>
    </row>
    <row r="6800" spans="16:20">
      <c r="P6800" s="1094">
        <v>3451</v>
      </c>
      <c r="Q6800" t="s">
        <v>7636</v>
      </c>
      <c r="R6800" t="s">
        <v>616</v>
      </c>
      <c r="S6800">
        <v>144.21419</v>
      </c>
      <c r="T6800" s="1095">
        <v>-37.125337999999999</v>
      </c>
    </row>
    <row r="6801" spans="16:20">
      <c r="P6801" s="1094">
        <v>3451</v>
      </c>
      <c r="Q6801" t="s">
        <v>7637</v>
      </c>
      <c r="R6801" t="s">
        <v>616</v>
      </c>
      <c r="S6801">
        <v>144.21419</v>
      </c>
      <c r="T6801" s="1095">
        <v>-37.125337999999999</v>
      </c>
    </row>
    <row r="6802" spans="16:20">
      <c r="P6802" s="1094">
        <v>3451</v>
      </c>
      <c r="Q6802" t="s">
        <v>7638</v>
      </c>
      <c r="R6802" t="s">
        <v>616</v>
      </c>
      <c r="S6802">
        <v>144.21419</v>
      </c>
      <c r="T6802" s="1095">
        <v>-37.125337999999999</v>
      </c>
    </row>
    <row r="6803" spans="16:20">
      <c r="P6803" s="1094">
        <v>3451</v>
      </c>
      <c r="Q6803" t="s">
        <v>7639</v>
      </c>
      <c r="R6803" t="s">
        <v>616</v>
      </c>
      <c r="S6803">
        <v>144.21419</v>
      </c>
      <c r="T6803" s="1095">
        <v>-37.125337999999999</v>
      </c>
    </row>
    <row r="6804" spans="16:20">
      <c r="P6804" s="1094">
        <v>3451</v>
      </c>
      <c r="Q6804" t="s">
        <v>7640</v>
      </c>
      <c r="R6804" t="s">
        <v>616</v>
      </c>
      <c r="S6804">
        <v>144.21419</v>
      </c>
      <c r="T6804" s="1095">
        <v>-37.125337999999999</v>
      </c>
    </row>
    <row r="6805" spans="16:20">
      <c r="P6805" s="1094">
        <v>3451</v>
      </c>
      <c r="Q6805" t="s">
        <v>7641</v>
      </c>
      <c r="R6805" t="s">
        <v>616</v>
      </c>
      <c r="S6805">
        <v>144.21419</v>
      </c>
      <c r="T6805" s="1095">
        <v>-37.125337999999999</v>
      </c>
    </row>
    <row r="6806" spans="16:20">
      <c r="P6806" s="1094">
        <v>3451</v>
      </c>
      <c r="Q6806" t="s">
        <v>7642</v>
      </c>
      <c r="R6806" t="s">
        <v>616</v>
      </c>
      <c r="S6806">
        <v>144.21419</v>
      </c>
      <c r="T6806" s="1095">
        <v>-37.125337999999999</v>
      </c>
    </row>
    <row r="6807" spans="16:20">
      <c r="P6807" s="1094">
        <v>3453</v>
      </c>
      <c r="Q6807" t="s">
        <v>7643</v>
      </c>
      <c r="R6807" t="s">
        <v>616</v>
      </c>
      <c r="S6807">
        <v>144.281488</v>
      </c>
      <c r="T6807" s="1095">
        <v>-36.950364999999998</v>
      </c>
    </row>
    <row r="6808" spans="16:20">
      <c r="P6808" s="1094">
        <v>3453</v>
      </c>
      <c r="Q6808" t="s">
        <v>7644</v>
      </c>
      <c r="R6808" t="s">
        <v>616</v>
      </c>
      <c r="S6808">
        <v>144.281488</v>
      </c>
      <c r="T6808" s="1095">
        <v>-36.950364999999998</v>
      </c>
    </row>
    <row r="6809" spans="16:20">
      <c r="P6809" s="1094">
        <v>3453</v>
      </c>
      <c r="Q6809" t="s">
        <v>5966</v>
      </c>
      <c r="R6809" t="s">
        <v>616</v>
      </c>
      <c r="S6809">
        <v>144.281488</v>
      </c>
      <c r="T6809" s="1095">
        <v>-36.950364999999998</v>
      </c>
    </row>
    <row r="6810" spans="16:20">
      <c r="P6810" s="1094">
        <v>3453</v>
      </c>
      <c r="Q6810" t="s">
        <v>7645</v>
      </c>
      <c r="R6810" t="s">
        <v>616</v>
      </c>
      <c r="S6810">
        <v>144.281488</v>
      </c>
      <c r="T6810" s="1095">
        <v>-36.950364999999998</v>
      </c>
    </row>
    <row r="6811" spans="16:20">
      <c r="P6811" s="1094">
        <v>3458</v>
      </c>
      <c r="Q6811" t="s">
        <v>7646</v>
      </c>
      <c r="R6811" t="s">
        <v>616</v>
      </c>
      <c r="S6811">
        <v>144.33471</v>
      </c>
      <c r="T6811" s="1095">
        <v>-37.424115999999998</v>
      </c>
    </row>
    <row r="6812" spans="16:20">
      <c r="P6812" s="1094">
        <v>3458</v>
      </c>
      <c r="Q6812" t="s">
        <v>7647</v>
      </c>
      <c r="R6812" t="s">
        <v>616</v>
      </c>
      <c r="S6812">
        <v>144.33471</v>
      </c>
      <c r="T6812" s="1095">
        <v>-37.424115999999998</v>
      </c>
    </row>
    <row r="6813" spans="16:20">
      <c r="P6813" s="1094">
        <v>3458</v>
      </c>
      <c r="Q6813" t="s">
        <v>7648</v>
      </c>
      <c r="R6813" t="s">
        <v>616</v>
      </c>
      <c r="S6813">
        <v>144.33471</v>
      </c>
      <c r="T6813" s="1095">
        <v>-37.424115999999998</v>
      </c>
    </row>
    <row r="6814" spans="16:20">
      <c r="P6814" s="1094">
        <v>3458</v>
      </c>
      <c r="Q6814" t="s">
        <v>7649</v>
      </c>
      <c r="R6814" t="s">
        <v>616</v>
      </c>
      <c r="S6814">
        <v>144.33471</v>
      </c>
      <c r="T6814" s="1095">
        <v>-37.424115999999998</v>
      </c>
    </row>
    <row r="6815" spans="16:20">
      <c r="P6815" s="1094">
        <v>3458</v>
      </c>
      <c r="Q6815" t="s">
        <v>7650</v>
      </c>
      <c r="R6815" t="s">
        <v>616</v>
      </c>
      <c r="S6815">
        <v>144.33471</v>
      </c>
      <c r="T6815" s="1095">
        <v>-37.424115999999998</v>
      </c>
    </row>
    <row r="6816" spans="16:20">
      <c r="P6816" s="1094">
        <v>3458</v>
      </c>
      <c r="Q6816" t="s">
        <v>7651</v>
      </c>
      <c r="R6816" t="s">
        <v>616</v>
      </c>
      <c r="S6816">
        <v>144.33471</v>
      </c>
      <c r="T6816" s="1095">
        <v>-37.424115999999998</v>
      </c>
    </row>
    <row r="6817" spans="16:20">
      <c r="P6817" s="1094">
        <v>3458</v>
      </c>
      <c r="Q6817" t="s">
        <v>7652</v>
      </c>
      <c r="R6817" t="s">
        <v>616</v>
      </c>
      <c r="S6817">
        <v>144.33471</v>
      </c>
      <c r="T6817" s="1095">
        <v>-37.424115999999998</v>
      </c>
    </row>
    <row r="6818" spans="16:20">
      <c r="P6818" s="1094">
        <v>3458</v>
      </c>
      <c r="Q6818" t="s">
        <v>7653</v>
      </c>
      <c r="R6818" t="s">
        <v>616</v>
      </c>
      <c r="S6818">
        <v>144.33471</v>
      </c>
      <c r="T6818" s="1095">
        <v>-37.424115999999998</v>
      </c>
    </row>
    <row r="6819" spans="16:20">
      <c r="P6819" s="1094">
        <v>3458</v>
      </c>
      <c r="Q6819" t="s">
        <v>7654</v>
      </c>
      <c r="R6819" t="s">
        <v>616</v>
      </c>
      <c r="S6819">
        <v>144.33471</v>
      </c>
      <c r="T6819" s="1095">
        <v>-37.424115999999998</v>
      </c>
    </row>
    <row r="6820" spans="16:20">
      <c r="P6820" s="1094">
        <v>3460</v>
      </c>
      <c r="Q6820" t="s">
        <v>7655</v>
      </c>
      <c r="R6820" t="s">
        <v>616</v>
      </c>
      <c r="S6820">
        <v>144.144216</v>
      </c>
      <c r="T6820" s="1095">
        <v>-37.351703999999998</v>
      </c>
    </row>
    <row r="6821" spans="16:20">
      <c r="P6821" s="1094">
        <v>3460</v>
      </c>
      <c r="Q6821" t="s">
        <v>7656</v>
      </c>
      <c r="R6821" t="s">
        <v>616</v>
      </c>
      <c r="S6821">
        <v>144.144216</v>
      </c>
      <c r="T6821" s="1095">
        <v>-37.351703999999998</v>
      </c>
    </row>
    <row r="6822" spans="16:20">
      <c r="P6822" s="1094">
        <v>3461</v>
      </c>
      <c r="Q6822" t="s">
        <v>7657</v>
      </c>
      <c r="R6822" t="s">
        <v>616</v>
      </c>
      <c r="S6822">
        <v>144.170995</v>
      </c>
      <c r="T6822" s="1095">
        <v>-37.287847999999997</v>
      </c>
    </row>
    <row r="6823" spans="16:20">
      <c r="P6823" s="1094">
        <v>3461</v>
      </c>
      <c r="Q6823" t="s">
        <v>7658</v>
      </c>
      <c r="R6823" t="s">
        <v>616</v>
      </c>
      <c r="S6823">
        <v>144.170995</v>
      </c>
      <c r="T6823" s="1095">
        <v>-37.287847999999997</v>
      </c>
    </row>
    <row r="6824" spans="16:20">
      <c r="P6824" s="1094">
        <v>3461</v>
      </c>
      <c r="Q6824" t="s">
        <v>2740</v>
      </c>
      <c r="R6824" t="s">
        <v>616</v>
      </c>
      <c r="S6824">
        <v>144.170995</v>
      </c>
      <c r="T6824" s="1095">
        <v>-37.287847999999997</v>
      </c>
    </row>
    <row r="6825" spans="16:20">
      <c r="P6825" s="1094">
        <v>3461</v>
      </c>
      <c r="Q6825" t="s">
        <v>7659</v>
      </c>
      <c r="R6825" t="s">
        <v>616</v>
      </c>
      <c r="S6825">
        <v>144.170995</v>
      </c>
      <c r="T6825" s="1095">
        <v>-37.287847999999997</v>
      </c>
    </row>
    <row r="6826" spans="16:20">
      <c r="P6826" s="1094">
        <v>3461</v>
      </c>
      <c r="Q6826" t="s">
        <v>7660</v>
      </c>
      <c r="R6826" t="s">
        <v>616</v>
      </c>
      <c r="S6826">
        <v>144.170995</v>
      </c>
      <c r="T6826" s="1095">
        <v>-37.287847999999997</v>
      </c>
    </row>
    <row r="6827" spans="16:20">
      <c r="P6827" s="1094">
        <v>3461</v>
      </c>
      <c r="Q6827" t="s">
        <v>7661</v>
      </c>
      <c r="R6827" t="s">
        <v>616</v>
      </c>
      <c r="S6827">
        <v>144.170995</v>
      </c>
      <c r="T6827" s="1095">
        <v>-37.287847999999997</v>
      </c>
    </row>
    <row r="6828" spans="16:20">
      <c r="P6828" s="1094">
        <v>3461</v>
      </c>
      <c r="Q6828" t="s">
        <v>7662</v>
      </c>
      <c r="R6828" t="s">
        <v>616</v>
      </c>
      <c r="S6828">
        <v>144.170995</v>
      </c>
      <c r="T6828" s="1095">
        <v>-37.287847999999997</v>
      </c>
    </row>
    <row r="6829" spans="16:20">
      <c r="P6829" s="1094">
        <v>3461</v>
      </c>
      <c r="Q6829" t="s">
        <v>7663</v>
      </c>
      <c r="R6829" t="s">
        <v>616</v>
      </c>
      <c r="S6829">
        <v>144.170995</v>
      </c>
      <c r="T6829" s="1095">
        <v>-37.287847999999997</v>
      </c>
    </row>
    <row r="6830" spans="16:20">
      <c r="P6830" s="1094">
        <v>3461</v>
      </c>
      <c r="Q6830" t="s">
        <v>7664</v>
      </c>
      <c r="R6830" t="s">
        <v>616</v>
      </c>
      <c r="S6830">
        <v>144.170995</v>
      </c>
      <c r="T6830" s="1095">
        <v>-37.287847999999997</v>
      </c>
    </row>
    <row r="6831" spans="16:20">
      <c r="P6831" s="1094">
        <v>3461</v>
      </c>
      <c r="Q6831" t="s">
        <v>7665</v>
      </c>
      <c r="R6831" t="s">
        <v>616</v>
      </c>
      <c r="S6831">
        <v>144.170995</v>
      </c>
      <c r="T6831" s="1095">
        <v>-37.287847999999997</v>
      </c>
    </row>
    <row r="6832" spans="16:20">
      <c r="P6832" s="1094">
        <v>3461</v>
      </c>
      <c r="Q6832" t="s">
        <v>7666</v>
      </c>
      <c r="R6832" t="s">
        <v>616</v>
      </c>
      <c r="S6832">
        <v>144.170995</v>
      </c>
      <c r="T6832" s="1095">
        <v>-37.287847999999997</v>
      </c>
    </row>
    <row r="6833" spans="16:20">
      <c r="P6833" s="1094">
        <v>3461</v>
      </c>
      <c r="Q6833" t="s">
        <v>7667</v>
      </c>
      <c r="R6833" t="s">
        <v>616</v>
      </c>
      <c r="S6833">
        <v>144.170995</v>
      </c>
      <c r="T6833" s="1095">
        <v>-37.287847999999997</v>
      </c>
    </row>
    <row r="6834" spans="16:20">
      <c r="P6834" s="1094">
        <v>3461</v>
      </c>
      <c r="Q6834" t="s">
        <v>7668</v>
      </c>
      <c r="R6834" t="s">
        <v>616</v>
      </c>
      <c r="S6834">
        <v>144.170995</v>
      </c>
      <c r="T6834" s="1095">
        <v>-37.287847999999997</v>
      </c>
    </row>
    <row r="6835" spans="16:20">
      <c r="P6835" s="1094">
        <v>3461</v>
      </c>
      <c r="Q6835" t="s">
        <v>7669</v>
      </c>
      <c r="R6835" t="s">
        <v>616</v>
      </c>
      <c r="S6835">
        <v>144.170995</v>
      </c>
      <c r="T6835" s="1095">
        <v>-37.287847999999997</v>
      </c>
    </row>
    <row r="6836" spans="16:20">
      <c r="P6836" s="1094">
        <v>3461</v>
      </c>
      <c r="Q6836" t="s">
        <v>7670</v>
      </c>
      <c r="R6836" t="s">
        <v>616</v>
      </c>
      <c r="S6836">
        <v>144.170995</v>
      </c>
      <c r="T6836" s="1095">
        <v>-37.287847999999997</v>
      </c>
    </row>
    <row r="6837" spans="16:20">
      <c r="P6837" s="1094">
        <v>3461</v>
      </c>
      <c r="Q6837" t="s">
        <v>7671</v>
      </c>
      <c r="R6837" t="s">
        <v>616</v>
      </c>
      <c r="S6837">
        <v>144.170995</v>
      </c>
      <c r="T6837" s="1095">
        <v>-37.287847999999997</v>
      </c>
    </row>
    <row r="6838" spans="16:20">
      <c r="P6838" s="1094">
        <v>3461</v>
      </c>
      <c r="Q6838" t="s">
        <v>7672</v>
      </c>
      <c r="R6838" t="s">
        <v>616</v>
      </c>
      <c r="S6838">
        <v>144.170995</v>
      </c>
      <c r="T6838" s="1095">
        <v>-37.287847999999997</v>
      </c>
    </row>
    <row r="6839" spans="16:20">
      <c r="P6839" s="1094">
        <v>3461</v>
      </c>
      <c r="Q6839" t="s">
        <v>7673</v>
      </c>
      <c r="R6839" t="s">
        <v>616</v>
      </c>
      <c r="S6839">
        <v>144.170995</v>
      </c>
      <c r="T6839" s="1095">
        <v>-37.287847999999997</v>
      </c>
    </row>
    <row r="6840" spans="16:20">
      <c r="P6840" s="1094">
        <v>3461</v>
      </c>
      <c r="Q6840" t="s">
        <v>7674</v>
      </c>
      <c r="R6840" t="s">
        <v>616</v>
      </c>
      <c r="S6840">
        <v>144.170995</v>
      </c>
      <c r="T6840" s="1095">
        <v>-37.287847999999997</v>
      </c>
    </row>
    <row r="6841" spans="16:20">
      <c r="P6841" s="1094">
        <v>3461</v>
      </c>
      <c r="Q6841" t="s">
        <v>7675</v>
      </c>
      <c r="R6841" t="s">
        <v>616</v>
      </c>
      <c r="S6841">
        <v>144.170995</v>
      </c>
      <c r="T6841" s="1095">
        <v>-37.287847999999997</v>
      </c>
    </row>
    <row r="6842" spans="16:20">
      <c r="P6842" s="1094">
        <v>3461</v>
      </c>
      <c r="Q6842" t="s">
        <v>7676</v>
      </c>
      <c r="R6842" t="s">
        <v>616</v>
      </c>
      <c r="S6842">
        <v>144.170995</v>
      </c>
      <c r="T6842" s="1095">
        <v>-37.287847999999997</v>
      </c>
    </row>
    <row r="6843" spans="16:20">
      <c r="P6843" s="1094">
        <v>3461</v>
      </c>
      <c r="Q6843" t="s">
        <v>7677</v>
      </c>
      <c r="R6843" t="s">
        <v>616</v>
      </c>
      <c r="S6843">
        <v>144.170995</v>
      </c>
      <c r="T6843" s="1095">
        <v>-37.287847999999997</v>
      </c>
    </row>
    <row r="6844" spans="16:20">
      <c r="P6844" s="1094">
        <v>3461</v>
      </c>
      <c r="Q6844" t="s">
        <v>7678</v>
      </c>
      <c r="R6844" t="s">
        <v>616</v>
      </c>
      <c r="S6844">
        <v>144.170995</v>
      </c>
      <c r="T6844" s="1095">
        <v>-37.287847999999997</v>
      </c>
    </row>
    <row r="6845" spans="16:20">
      <c r="P6845" s="1094">
        <v>3461</v>
      </c>
      <c r="Q6845" t="s">
        <v>7679</v>
      </c>
      <c r="R6845" t="s">
        <v>616</v>
      </c>
      <c r="S6845">
        <v>144.170995</v>
      </c>
      <c r="T6845" s="1095">
        <v>-37.287847999999997</v>
      </c>
    </row>
    <row r="6846" spans="16:20">
      <c r="P6846" s="1094">
        <v>3461</v>
      </c>
      <c r="Q6846" t="s">
        <v>7680</v>
      </c>
      <c r="R6846" t="s">
        <v>616</v>
      </c>
      <c r="S6846">
        <v>144.170995</v>
      </c>
      <c r="T6846" s="1095">
        <v>-37.287847999999997</v>
      </c>
    </row>
    <row r="6847" spans="16:20">
      <c r="P6847" s="1094">
        <v>3461</v>
      </c>
      <c r="Q6847" t="s">
        <v>7681</v>
      </c>
      <c r="R6847" t="s">
        <v>616</v>
      </c>
      <c r="S6847">
        <v>144.170995</v>
      </c>
      <c r="T6847" s="1095">
        <v>-37.287847999999997</v>
      </c>
    </row>
    <row r="6848" spans="16:20">
      <c r="P6848" s="1094">
        <v>3461</v>
      </c>
      <c r="Q6848" t="s">
        <v>7682</v>
      </c>
      <c r="R6848" t="s">
        <v>616</v>
      </c>
      <c r="S6848">
        <v>144.170995</v>
      </c>
      <c r="T6848" s="1095">
        <v>-37.287847999999997</v>
      </c>
    </row>
    <row r="6849" spans="16:20">
      <c r="P6849" s="1094">
        <v>3461</v>
      </c>
      <c r="Q6849" t="s">
        <v>7683</v>
      </c>
      <c r="R6849" t="s">
        <v>616</v>
      </c>
      <c r="S6849">
        <v>144.170995</v>
      </c>
      <c r="T6849" s="1095">
        <v>-37.287847999999997</v>
      </c>
    </row>
    <row r="6850" spans="16:20">
      <c r="P6850" s="1094">
        <v>3462</v>
      </c>
      <c r="Q6850" t="s">
        <v>6159</v>
      </c>
      <c r="R6850" t="s">
        <v>616</v>
      </c>
      <c r="S6850">
        <v>144.05361099999999</v>
      </c>
      <c r="T6850" s="1095">
        <v>-37.083561000000003</v>
      </c>
    </row>
    <row r="6851" spans="16:20">
      <c r="P6851" s="1094">
        <v>3462</v>
      </c>
      <c r="Q6851" t="s">
        <v>7684</v>
      </c>
      <c r="R6851" t="s">
        <v>616</v>
      </c>
      <c r="S6851">
        <v>144.05361099999999</v>
      </c>
      <c r="T6851" s="1095">
        <v>-37.083561000000003</v>
      </c>
    </row>
    <row r="6852" spans="16:20">
      <c r="P6852" s="1094">
        <v>3462</v>
      </c>
      <c r="Q6852" t="s">
        <v>7685</v>
      </c>
      <c r="R6852" t="s">
        <v>616</v>
      </c>
      <c r="S6852">
        <v>144.05361099999999</v>
      </c>
      <c r="T6852" s="1095">
        <v>-37.083561000000003</v>
      </c>
    </row>
    <row r="6853" spans="16:20">
      <c r="P6853" s="1094">
        <v>3462</v>
      </c>
      <c r="Q6853" t="s">
        <v>3033</v>
      </c>
      <c r="R6853" t="s">
        <v>616</v>
      </c>
      <c r="S6853">
        <v>144.05361099999999</v>
      </c>
      <c r="T6853" s="1095">
        <v>-37.083561000000003</v>
      </c>
    </row>
    <row r="6854" spans="16:20">
      <c r="P6854" s="1094">
        <v>3462</v>
      </c>
      <c r="Q6854" t="s">
        <v>3791</v>
      </c>
      <c r="R6854" t="s">
        <v>616</v>
      </c>
      <c r="S6854">
        <v>144.05361099999999</v>
      </c>
      <c r="T6854" s="1095">
        <v>-37.083561000000003</v>
      </c>
    </row>
    <row r="6855" spans="16:20">
      <c r="P6855" s="1094">
        <v>3462</v>
      </c>
      <c r="Q6855" t="s">
        <v>7686</v>
      </c>
      <c r="R6855" t="s">
        <v>616</v>
      </c>
      <c r="S6855">
        <v>144.05361099999999</v>
      </c>
      <c r="T6855" s="1095">
        <v>-37.083561000000003</v>
      </c>
    </row>
    <row r="6856" spans="16:20">
      <c r="P6856" s="1094">
        <v>3463</v>
      </c>
      <c r="Q6856" t="s">
        <v>7687</v>
      </c>
      <c r="R6856" t="s">
        <v>616</v>
      </c>
      <c r="S6856">
        <v>144.05651</v>
      </c>
      <c r="T6856" s="1095">
        <v>-36.957982999999999</v>
      </c>
    </row>
    <row r="6857" spans="16:20">
      <c r="P6857" s="1094">
        <v>3463</v>
      </c>
      <c r="Q6857" t="s">
        <v>7688</v>
      </c>
      <c r="R6857" t="s">
        <v>616</v>
      </c>
      <c r="S6857">
        <v>144.05651</v>
      </c>
      <c r="T6857" s="1095">
        <v>-36.957982999999999</v>
      </c>
    </row>
    <row r="6858" spans="16:20">
      <c r="P6858" s="1094">
        <v>3463</v>
      </c>
      <c r="Q6858" t="s">
        <v>7689</v>
      </c>
      <c r="R6858" t="s">
        <v>616</v>
      </c>
      <c r="S6858">
        <v>144.05651</v>
      </c>
      <c r="T6858" s="1095">
        <v>-36.957982999999999</v>
      </c>
    </row>
    <row r="6859" spans="16:20">
      <c r="P6859" s="1094">
        <v>3463</v>
      </c>
      <c r="Q6859" t="s">
        <v>7690</v>
      </c>
      <c r="R6859" t="s">
        <v>616</v>
      </c>
      <c r="S6859">
        <v>144.05651</v>
      </c>
      <c r="T6859" s="1095">
        <v>-36.957982999999999</v>
      </c>
    </row>
    <row r="6860" spans="16:20">
      <c r="P6860" s="1094">
        <v>3463</v>
      </c>
      <c r="Q6860" t="s">
        <v>7691</v>
      </c>
      <c r="R6860" t="s">
        <v>616</v>
      </c>
      <c r="S6860">
        <v>144.05651</v>
      </c>
      <c r="T6860" s="1095">
        <v>-36.957982999999999</v>
      </c>
    </row>
    <row r="6861" spans="16:20">
      <c r="P6861" s="1094">
        <v>3463</v>
      </c>
      <c r="Q6861" t="s">
        <v>4577</v>
      </c>
      <c r="R6861" t="s">
        <v>616</v>
      </c>
      <c r="S6861">
        <v>144.05651</v>
      </c>
      <c r="T6861" s="1095">
        <v>-36.957982999999999</v>
      </c>
    </row>
    <row r="6862" spans="16:20">
      <c r="P6862" s="1094">
        <v>3463</v>
      </c>
      <c r="Q6862" t="s">
        <v>7692</v>
      </c>
      <c r="R6862" t="s">
        <v>616</v>
      </c>
      <c r="S6862">
        <v>144.05651</v>
      </c>
      <c r="T6862" s="1095">
        <v>-36.957982999999999</v>
      </c>
    </row>
    <row r="6863" spans="16:20">
      <c r="P6863" s="1094">
        <v>3463</v>
      </c>
      <c r="Q6863" t="s">
        <v>7693</v>
      </c>
      <c r="R6863" t="s">
        <v>616</v>
      </c>
      <c r="S6863">
        <v>144.05651</v>
      </c>
      <c r="T6863" s="1095">
        <v>-36.957982999999999</v>
      </c>
    </row>
    <row r="6864" spans="16:20">
      <c r="P6864" s="1094">
        <v>3463</v>
      </c>
      <c r="Q6864" t="s">
        <v>7694</v>
      </c>
      <c r="R6864" t="s">
        <v>616</v>
      </c>
      <c r="S6864">
        <v>144.05651</v>
      </c>
      <c r="T6864" s="1095">
        <v>-36.957982999999999</v>
      </c>
    </row>
    <row r="6865" spans="16:20">
      <c r="P6865" s="1094">
        <v>3463</v>
      </c>
      <c r="Q6865" t="s">
        <v>7695</v>
      </c>
      <c r="R6865" t="s">
        <v>616</v>
      </c>
      <c r="S6865">
        <v>144.05651</v>
      </c>
      <c r="T6865" s="1095">
        <v>-36.957982999999999</v>
      </c>
    </row>
    <row r="6866" spans="16:20">
      <c r="P6866" s="1094">
        <v>3463</v>
      </c>
      <c r="Q6866" t="s">
        <v>7696</v>
      </c>
      <c r="R6866" t="s">
        <v>616</v>
      </c>
      <c r="S6866">
        <v>144.05651</v>
      </c>
      <c r="T6866" s="1095">
        <v>-36.957982999999999</v>
      </c>
    </row>
    <row r="6867" spans="16:20">
      <c r="P6867" s="1094">
        <v>3463</v>
      </c>
      <c r="Q6867" t="s">
        <v>7697</v>
      </c>
      <c r="R6867" t="s">
        <v>616</v>
      </c>
      <c r="S6867">
        <v>144.05651</v>
      </c>
      <c r="T6867" s="1095">
        <v>-36.957982999999999</v>
      </c>
    </row>
    <row r="6868" spans="16:20">
      <c r="P6868" s="1094">
        <v>3463</v>
      </c>
      <c r="Q6868" t="s">
        <v>5947</v>
      </c>
      <c r="R6868" t="s">
        <v>616</v>
      </c>
      <c r="S6868">
        <v>144.05651</v>
      </c>
      <c r="T6868" s="1095">
        <v>-36.957982999999999</v>
      </c>
    </row>
    <row r="6869" spans="16:20">
      <c r="P6869" s="1094">
        <v>3463</v>
      </c>
      <c r="Q6869" t="s">
        <v>7698</v>
      </c>
      <c r="R6869" t="s">
        <v>616</v>
      </c>
      <c r="S6869">
        <v>144.05651</v>
      </c>
      <c r="T6869" s="1095">
        <v>-36.957982999999999</v>
      </c>
    </row>
    <row r="6870" spans="16:20">
      <c r="P6870" s="1094">
        <v>3464</v>
      </c>
      <c r="Q6870" t="s">
        <v>7699</v>
      </c>
      <c r="R6870" t="s">
        <v>616</v>
      </c>
      <c r="S6870">
        <v>143.84141399999999</v>
      </c>
      <c r="T6870" s="1095">
        <v>-37.019810999999997</v>
      </c>
    </row>
    <row r="6871" spans="16:20">
      <c r="P6871" s="1094">
        <v>3465</v>
      </c>
      <c r="Q6871" t="s">
        <v>7700</v>
      </c>
      <c r="R6871" t="s">
        <v>616</v>
      </c>
      <c r="S6871">
        <v>143.611335</v>
      </c>
      <c r="T6871" s="1095">
        <v>-37.021478000000002</v>
      </c>
    </row>
    <row r="6872" spans="16:20">
      <c r="P6872" s="1094">
        <v>3465</v>
      </c>
      <c r="Q6872" t="s">
        <v>7701</v>
      </c>
      <c r="R6872" t="s">
        <v>616</v>
      </c>
      <c r="S6872">
        <v>143.611335</v>
      </c>
      <c r="T6872" s="1095">
        <v>-37.021478000000002</v>
      </c>
    </row>
    <row r="6873" spans="16:20">
      <c r="P6873" s="1094">
        <v>3465</v>
      </c>
      <c r="Q6873" t="s">
        <v>7702</v>
      </c>
      <c r="R6873" t="s">
        <v>616</v>
      </c>
      <c r="S6873">
        <v>143.611335</v>
      </c>
      <c r="T6873" s="1095">
        <v>-37.021478000000002</v>
      </c>
    </row>
    <row r="6874" spans="16:20">
      <c r="P6874" s="1094">
        <v>3465</v>
      </c>
      <c r="Q6874" t="s">
        <v>7703</v>
      </c>
      <c r="R6874" t="s">
        <v>616</v>
      </c>
      <c r="S6874">
        <v>143.611335</v>
      </c>
      <c r="T6874" s="1095">
        <v>-37.021478000000002</v>
      </c>
    </row>
    <row r="6875" spans="16:20">
      <c r="P6875" s="1094">
        <v>3465</v>
      </c>
      <c r="Q6875" t="s">
        <v>7704</v>
      </c>
      <c r="R6875" t="s">
        <v>616</v>
      </c>
      <c r="S6875">
        <v>143.611335</v>
      </c>
      <c r="T6875" s="1095">
        <v>-37.021478000000002</v>
      </c>
    </row>
    <row r="6876" spans="16:20">
      <c r="P6876" s="1094">
        <v>3465</v>
      </c>
      <c r="Q6876" t="s">
        <v>5065</v>
      </c>
      <c r="R6876" t="s">
        <v>616</v>
      </c>
      <c r="S6876">
        <v>143.611335</v>
      </c>
      <c r="T6876" s="1095">
        <v>-37.021478000000002</v>
      </c>
    </row>
    <row r="6877" spans="16:20">
      <c r="P6877" s="1094">
        <v>3465</v>
      </c>
      <c r="Q6877" t="s">
        <v>7705</v>
      </c>
      <c r="R6877" t="s">
        <v>616</v>
      </c>
      <c r="S6877">
        <v>143.611335</v>
      </c>
      <c r="T6877" s="1095">
        <v>-37.021478000000002</v>
      </c>
    </row>
    <row r="6878" spans="16:20">
      <c r="P6878" s="1094">
        <v>3465</v>
      </c>
      <c r="Q6878" t="s">
        <v>7706</v>
      </c>
      <c r="R6878" t="s">
        <v>616</v>
      </c>
      <c r="S6878">
        <v>143.611335</v>
      </c>
      <c r="T6878" s="1095">
        <v>-37.021478000000002</v>
      </c>
    </row>
    <row r="6879" spans="16:20">
      <c r="P6879" s="1094">
        <v>3465</v>
      </c>
      <c r="Q6879" t="s">
        <v>7241</v>
      </c>
      <c r="R6879" t="s">
        <v>616</v>
      </c>
      <c r="S6879">
        <v>143.611335</v>
      </c>
      <c r="T6879" s="1095">
        <v>-37.021478000000002</v>
      </c>
    </row>
    <row r="6880" spans="16:20">
      <c r="P6880" s="1094">
        <v>3465</v>
      </c>
      <c r="Q6880" t="s">
        <v>7707</v>
      </c>
      <c r="R6880" t="s">
        <v>616</v>
      </c>
      <c r="S6880">
        <v>143.611335</v>
      </c>
      <c r="T6880" s="1095">
        <v>-37.021478000000002</v>
      </c>
    </row>
    <row r="6881" spans="16:20">
      <c r="P6881" s="1094">
        <v>3465</v>
      </c>
      <c r="Q6881" t="s">
        <v>2022</v>
      </c>
      <c r="R6881" t="s">
        <v>616</v>
      </c>
      <c r="S6881">
        <v>143.611335</v>
      </c>
      <c r="T6881" s="1095">
        <v>-37.021478000000002</v>
      </c>
    </row>
    <row r="6882" spans="16:20">
      <c r="P6882" s="1094">
        <v>3465</v>
      </c>
      <c r="Q6882" t="s">
        <v>7708</v>
      </c>
      <c r="R6882" t="s">
        <v>616</v>
      </c>
      <c r="S6882">
        <v>143.611335</v>
      </c>
      <c r="T6882" s="1095">
        <v>-37.021478000000002</v>
      </c>
    </row>
    <row r="6883" spans="16:20">
      <c r="P6883" s="1094">
        <v>3465</v>
      </c>
      <c r="Q6883" t="s">
        <v>7709</v>
      </c>
      <c r="R6883" t="s">
        <v>616</v>
      </c>
      <c r="S6883">
        <v>143.611335</v>
      </c>
      <c r="T6883" s="1095">
        <v>-37.021478000000002</v>
      </c>
    </row>
    <row r="6884" spans="16:20">
      <c r="P6884" s="1094">
        <v>3465</v>
      </c>
      <c r="Q6884" t="s">
        <v>7710</v>
      </c>
      <c r="R6884" t="s">
        <v>616</v>
      </c>
      <c r="S6884">
        <v>143.611335</v>
      </c>
      <c r="T6884" s="1095">
        <v>-37.021478000000002</v>
      </c>
    </row>
    <row r="6885" spans="16:20">
      <c r="P6885" s="1094">
        <v>3465</v>
      </c>
      <c r="Q6885" t="s">
        <v>7627</v>
      </c>
      <c r="R6885" t="s">
        <v>616</v>
      </c>
      <c r="S6885">
        <v>143.611335</v>
      </c>
      <c r="T6885" s="1095">
        <v>-37.021478000000002</v>
      </c>
    </row>
    <row r="6886" spans="16:20">
      <c r="P6886" s="1094">
        <v>3465</v>
      </c>
      <c r="Q6886" t="s">
        <v>7711</v>
      </c>
      <c r="R6886" t="s">
        <v>616</v>
      </c>
      <c r="S6886">
        <v>143.611335</v>
      </c>
      <c r="T6886" s="1095">
        <v>-37.021478000000002</v>
      </c>
    </row>
    <row r="6887" spans="16:20">
      <c r="P6887" s="1094">
        <v>3465</v>
      </c>
      <c r="Q6887" t="s">
        <v>7712</v>
      </c>
      <c r="R6887" t="s">
        <v>616</v>
      </c>
      <c r="S6887">
        <v>143.611335</v>
      </c>
      <c r="T6887" s="1095">
        <v>-37.021478000000002</v>
      </c>
    </row>
    <row r="6888" spans="16:20">
      <c r="P6888" s="1094">
        <v>3465</v>
      </c>
      <c r="Q6888" t="s">
        <v>7713</v>
      </c>
      <c r="R6888" t="s">
        <v>616</v>
      </c>
      <c r="S6888">
        <v>143.611335</v>
      </c>
      <c r="T6888" s="1095">
        <v>-37.021478000000002</v>
      </c>
    </row>
    <row r="6889" spans="16:20">
      <c r="P6889" s="1094">
        <v>3465</v>
      </c>
      <c r="Q6889" t="s">
        <v>7714</v>
      </c>
      <c r="R6889" t="s">
        <v>616</v>
      </c>
      <c r="S6889">
        <v>143.611335</v>
      </c>
      <c r="T6889" s="1095">
        <v>-37.021478000000002</v>
      </c>
    </row>
    <row r="6890" spans="16:20">
      <c r="P6890" s="1094">
        <v>3465</v>
      </c>
      <c r="Q6890" t="s">
        <v>7715</v>
      </c>
      <c r="R6890" t="s">
        <v>616</v>
      </c>
      <c r="S6890">
        <v>143.611335</v>
      </c>
      <c r="T6890" s="1095">
        <v>-37.021478000000002</v>
      </c>
    </row>
    <row r="6891" spans="16:20">
      <c r="P6891" s="1094">
        <v>3465</v>
      </c>
      <c r="Q6891" t="s">
        <v>2858</v>
      </c>
      <c r="R6891" t="s">
        <v>616</v>
      </c>
      <c r="S6891">
        <v>143.611335</v>
      </c>
      <c r="T6891" s="1095">
        <v>-37.021478000000002</v>
      </c>
    </row>
    <row r="6892" spans="16:20">
      <c r="P6892" s="1094">
        <v>3465</v>
      </c>
      <c r="Q6892" t="s">
        <v>7716</v>
      </c>
      <c r="R6892" t="s">
        <v>616</v>
      </c>
      <c r="S6892">
        <v>143.611335</v>
      </c>
      <c r="T6892" s="1095">
        <v>-37.021478000000002</v>
      </c>
    </row>
    <row r="6893" spans="16:20">
      <c r="P6893" s="1094">
        <v>3465</v>
      </c>
      <c r="Q6893" t="s">
        <v>7717</v>
      </c>
      <c r="R6893" t="s">
        <v>616</v>
      </c>
      <c r="S6893">
        <v>143.611335</v>
      </c>
      <c r="T6893" s="1095">
        <v>-37.021478000000002</v>
      </c>
    </row>
    <row r="6894" spans="16:20">
      <c r="P6894" s="1094">
        <v>3467</v>
      </c>
      <c r="Q6894" t="s">
        <v>4608</v>
      </c>
      <c r="R6894" t="s">
        <v>616</v>
      </c>
      <c r="S6894">
        <v>143.41267500000001</v>
      </c>
      <c r="T6894" s="1095">
        <v>-37.105992999999998</v>
      </c>
    </row>
    <row r="6895" spans="16:20">
      <c r="P6895" s="1094">
        <v>3467</v>
      </c>
      <c r="Q6895" t="s">
        <v>7718</v>
      </c>
      <c r="R6895" t="s">
        <v>616</v>
      </c>
      <c r="S6895">
        <v>143.41267500000001</v>
      </c>
      <c r="T6895" s="1095">
        <v>-37.105992999999998</v>
      </c>
    </row>
    <row r="6896" spans="16:20">
      <c r="P6896" s="1094">
        <v>3468</v>
      </c>
      <c r="Q6896" t="s">
        <v>7398</v>
      </c>
      <c r="R6896" t="s">
        <v>616</v>
      </c>
      <c r="S6896">
        <v>143.379493</v>
      </c>
      <c r="T6896" s="1095">
        <v>-37.261481000000003</v>
      </c>
    </row>
    <row r="6897" spans="16:20">
      <c r="P6897" s="1094">
        <v>3468</v>
      </c>
      <c r="Q6897" t="s">
        <v>7413</v>
      </c>
      <c r="R6897" t="s">
        <v>616</v>
      </c>
      <c r="S6897">
        <v>143.379493</v>
      </c>
      <c r="T6897" s="1095">
        <v>-37.261481000000003</v>
      </c>
    </row>
    <row r="6898" spans="16:20">
      <c r="P6898" s="1094">
        <v>3469</v>
      </c>
      <c r="Q6898" t="s">
        <v>7719</v>
      </c>
      <c r="R6898" t="s">
        <v>616</v>
      </c>
      <c r="S6898">
        <v>143.28062700000001</v>
      </c>
      <c r="T6898" s="1095">
        <v>-37.172964</v>
      </c>
    </row>
    <row r="6899" spans="16:20">
      <c r="P6899" s="1094">
        <v>3469</v>
      </c>
      <c r="Q6899" t="s">
        <v>7720</v>
      </c>
      <c r="R6899" t="s">
        <v>616</v>
      </c>
      <c r="S6899">
        <v>143.28062700000001</v>
      </c>
      <c r="T6899" s="1095">
        <v>-37.172964</v>
      </c>
    </row>
    <row r="6900" spans="16:20">
      <c r="P6900" s="1094">
        <v>3469</v>
      </c>
      <c r="Q6900" t="s">
        <v>7721</v>
      </c>
      <c r="R6900" t="s">
        <v>616</v>
      </c>
      <c r="S6900">
        <v>143.28062700000001</v>
      </c>
      <c r="T6900" s="1095">
        <v>-37.172964</v>
      </c>
    </row>
    <row r="6901" spans="16:20">
      <c r="P6901" s="1094">
        <v>3469</v>
      </c>
      <c r="Q6901" t="s">
        <v>7722</v>
      </c>
      <c r="R6901" t="s">
        <v>616</v>
      </c>
      <c r="S6901">
        <v>143.28062700000001</v>
      </c>
      <c r="T6901" s="1095">
        <v>-37.172964</v>
      </c>
    </row>
    <row r="6902" spans="16:20">
      <c r="P6902" s="1094">
        <v>3469</v>
      </c>
      <c r="Q6902" t="s">
        <v>7723</v>
      </c>
      <c r="R6902" t="s">
        <v>616</v>
      </c>
      <c r="S6902">
        <v>143.28062700000001</v>
      </c>
      <c r="T6902" s="1095">
        <v>-37.172964</v>
      </c>
    </row>
    <row r="6903" spans="16:20">
      <c r="P6903" s="1094">
        <v>3472</v>
      </c>
      <c r="Q6903" t="s">
        <v>7724</v>
      </c>
      <c r="R6903" t="s">
        <v>616</v>
      </c>
      <c r="S6903">
        <v>143.65763799999999</v>
      </c>
      <c r="T6903" s="1095">
        <v>-36.864952000000002</v>
      </c>
    </row>
    <row r="6904" spans="16:20">
      <c r="P6904" s="1094">
        <v>3472</v>
      </c>
      <c r="Q6904" t="s">
        <v>7725</v>
      </c>
      <c r="R6904" t="s">
        <v>616</v>
      </c>
      <c r="S6904">
        <v>143.65763799999999</v>
      </c>
      <c r="T6904" s="1095">
        <v>-36.864952000000002</v>
      </c>
    </row>
    <row r="6905" spans="16:20">
      <c r="P6905" s="1094">
        <v>3472</v>
      </c>
      <c r="Q6905" t="s">
        <v>7726</v>
      </c>
      <c r="R6905" t="s">
        <v>616</v>
      </c>
      <c r="S6905">
        <v>143.65763799999999</v>
      </c>
      <c r="T6905" s="1095">
        <v>-36.864952000000002</v>
      </c>
    </row>
    <row r="6906" spans="16:20">
      <c r="P6906" s="1094">
        <v>3472</v>
      </c>
      <c r="Q6906" t="s">
        <v>7727</v>
      </c>
      <c r="R6906" t="s">
        <v>616</v>
      </c>
      <c r="S6906">
        <v>143.65763799999999</v>
      </c>
      <c r="T6906" s="1095">
        <v>-36.864952000000002</v>
      </c>
    </row>
    <row r="6907" spans="16:20">
      <c r="P6907" s="1094">
        <v>3472</v>
      </c>
      <c r="Q6907" t="s">
        <v>2743</v>
      </c>
      <c r="R6907" t="s">
        <v>616</v>
      </c>
      <c r="S6907">
        <v>143.65763799999999</v>
      </c>
      <c r="T6907" s="1095">
        <v>-36.864952000000002</v>
      </c>
    </row>
    <row r="6908" spans="16:20">
      <c r="P6908" s="1094">
        <v>3472</v>
      </c>
      <c r="Q6908" t="s">
        <v>7728</v>
      </c>
      <c r="R6908" t="s">
        <v>616</v>
      </c>
      <c r="S6908">
        <v>143.65763799999999</v>
      </c>
      <c r="T6908" s="1095">
        <v>-36.864952000000002</v>
      </c>
    </row>
    <row r="6909" spans="16:20">
      <c r="P6909" s="1094">
        <v>3472</v>
      </c>
      <c r="Q6909" t="s">
        <v>7729</v>
      </c>
      <c r="R6909" t="s">
        <v>616</v>
      </c>
      <c r="S6909">
        <v>143.65763799999999</v>
      </c>
      <c r="T6909" s="1095">
        <v>-36.864952000000002</v>
      </c>
    </row>
    <row r="6910" spans="16:20">
      <c r="P6910" s="1094">
        <v>3472</v>
      </c>
      <c r="Q6910" t="s">
        <v>7730</v>
      </c>
      <c r="R6910" t="s">
        <v>616</v>
      </c>
      <c r="S6910">
        <v>143.65763799999999</v>
      </c>
      <c r="T6910" s="1095">
        <v>-36.864952000000002</v>
      </c>
    </row>
    <row r="6911" spans="16:20">
      <c r="P6911" s="1094">
        <v>3472</v>
      </c>
      <c r="Q6911" t="s">
        <v>7731</v>
      </c>
      <c r="R6911" t="s">
        <v>616</v>
      </c>
      <c r="S6911">
        <v>143.65763799999999</v>
      </c>
      <c r="T6911" s="1095">
        <v>-36.864952000000002</v>
      </c>
    </row>
    <row r="6912" spans="16:20">
      <c r="P6912" s="1094">
        <v>3472</v>
      </c>
      <c r="Q6912" t="s">
        <v>7732</v>
      </c>
      <c r="R6912" t="s">
        <v>616</v>
      </c>
      <c r="S6912">
        <v>143.65763799999999</v>
      </c>
      <c r="T6912" s="1095">
        <v>-36.864952000000002</v>
      </c>
    </row>
    <row r="6913" spans="16:20">
      <c r="P6913" s="1094">
        <v>3472</v>
      </c>
      <c r="Q6913" t="s">
        <v>7733</v>
      </c>
      <c r="R6913" t="s">
        <v>616</v>
      </c>
      <c r="S6913">
        <v>143.65763799999999</v>
      </c>
      <c r="T6913" s="1095">
        <v>-36.864952000000002</v>
      </c>
    </row>
    <row r="6914" spans="16:20">
      <c r="P6914" s="1094">
        <v>3475</v>
      </c>
      <c r="Q6914" t="s">
        <v>7734</v>
      </c>
      <c r="R6914" t="s">
        <v>616</v>
      </c>
      <c r="S6914">
        <v>143.51213000000001</v>
      </c>
      <c r="T6914" s="1095">
        <v>-36.706330000000001</v>
      </c>
    </row>
    <row r="6915" spans="16:20">
      <c r="P6915" s="1094">
        <v>3475</v>
      </c>
      <c r="Q6915" t="s">
        <v>7735</v>
      </c>
      <c r="R6915" t="s">
        <v>616</v>
      </c>
      <c r="S6915">
        <v>143.51213000000001</v>
      </c>
      <c r="T6915" s="1095">
        <v>-36.706330000000001</v>
      </c>
    </row>
    <row r="6916" spans="16:20">
      <c r="P6916" s="1094">
        <v>3475</v>
      </c>
      <c r="Q6916" t="s">
        <v>7736</v>
      </c>
      <c r="R6916" t="s">
        <v>616</v>
      </c>
      <c r="S6916">
        <v>143.51213000000001</v>
      </c>
      <c r="T6916" s="1095">
        <v>-36.706330000000001</v>
      </c>
    </row>
    <row r="6917" spans="16:20">
      <c r="P6917" s="1094">
        <v>3475</v>
      </c>
      <c r="Q6917" t="s">
        <v>7737</v>
      </c>
      <c r="R6917" t="s">
        <v>616</v>
      </c>
      <c r="S6917">
        <v>143.51213000000001</v>
      </c>
      <c r="T6917" s="1095">
        <v>-36.706330000000001</v>
      </c>
    </row>
    <row r="6918" spans="16:20">
      <c r="P6918" s="1094">
        <v>3475</v>
      </c>
      <c r="Q6918" t="s">
        <v>7738</v>
      </c>
      <c r="R6918" t="s">
        <v>616</v>
      </c>
      <c r="S6918">
        <v>143.51213000000001</v>
      </c>
      <c r="T6918" s="1095">
        <v>-36.706330000000001</v>
      </c>
    </row>
    <row r="6919" spans="16:20">
      <c r="P6919" s="1094">
        <v>3475</v>
      </c>
      <c r="Q6919" t="s">
        <v>7739</v>
      </c>
      <c r="R6919" t="s">
        <v>616</v>
      </c>
      <c r="S6919">
        <v>143.51213000000001</v>
      </c>
      <c r="T6919" s="1095">
        <v>-36.706330000000001</v>
      </c>
    </row>
    <row r="6920" spans="16:20">
      <c r="P6920" s="1094">
        <v>3475</v>
      </c>
      <c r="Q6920" t="s">
        <v>7740</v>
      </c>
      <c r="R6920" t="s">
        <v>616</v>
      </c>
      <c r="S6920">
        <v>143.51213000000001</v>
      </c>
      <c r="T6920" s="1095">
        <v>-36.706330000000001</v>
      </c>
    </row>
    <row r="6921" spans="16:20">
      <c r="P6921" s="1094">
        <v>3477</v>
      </c>
      <c r="Q6921" t="s">
        <v>7741</v>
      </c>
      <c r="R6921" t="s">
        <v>616</v>
      </c>
      <c r="S6921">
        <v>0</v>
      </c>
      <c r="T6921" s="1095">
        <v>0</v>
      </c>
    </row>
    <row r="6922" spans="16:20">
      <c r="P6922" s="1094">
        <v>3477</v>
      </c>
      <c r="Q6922" t="s">
        <v>7742</v>
      </c>
      <c r="R6922" t="s">
        <v>616</v>
      </c>
      <c r="S6922">
        <v>0</v>
      </c>
      <c r="T6922" s="1095">
        <v>0</v>
      </c>
    </row>
    <row r="6923" spans="16:20">
      <c r="P6923" s="1094">
        <v>3477</v>
      </c>
      <c r="Q6923" t="s">
        <v>7743</v>
      </c>
      <c r="R6923" t="s">
        <v>616</v>
      </c>
      <c r="S6923">
        <v>0</v>
      </c>
      <c r="T6923" s="1095">
        <v>0</v>
      </c>
    </row>
    <row r="6924" spans="16:20">
      <c r="P6924" s="1094">
        <v>3477</v>
      </c>
      <c r="Q6924" t="s">
        <v>7744</v>
      </c>
      <c r="R6924" t="s">
        <v>616</v>
      </c>
      <c r="S6924">
        <v>0</v>
      </c>
      <c r="T6924" s="1095">
        <v>0</v>
      </c>
    </row>
    <row r="6925" spans="16:20">
      <c r="P6925" s="1094">
        <v>3477</v>
      </c>
      <c r="Q6925" t="s">
        <v>7745</v>
      </c>
      <c r="R6925" t="s">
        <v>616</v>
      </c>
      <c r="S6925">
        <v>0</v>
      </c>
      <c r="T6925" s="1095">
        <v>0</v>
      </c>
    </row>
    <row r="6926" spans="16:20">
      <c r="P6926" s="1094">
        <v>3477</v>
      </c>
      <c r="Q6926" t="s">
        <v>7746</v>
      </c>
      <c r="R6926" t="s">
        <v>616</v>
      </c>
      <c r="S6926">
        <v>0</v>
      </c>
      <c r="T6926" s="1095">
        <v>0</v>
      </c>
    </row>
    <row r="6927" spans="16:20">
      <c r="P6927" s="1094">
        <v>3477</v>
      </c>
      <c r="Q6927" t="s">
        <v>7747</v>
      </c>
      <c r="R6927" t="s">
        <v>616</v>
      </c>
      <c r="S6927">
        <v>0</v>
      </c>
      <c r="T6927" s="1095">
        <v>0</v>
      </c>
    </row>
    <row r="6928" spans="16:20">
      <c r="P6928" s="1094">
        <v>3477</v>
      </c>
      <c r="Q6928" t="s">
        <v>7748</v>
      </c>
      <c r="R6928" t="s">
        <v>616</v>
      </c>
      <c r="S6928">
        <v>0</v>
      </c>
      <c r="T6928" s="1095">
        <v>0</v>
      </c>
    </row>
    <row r="6929" spans="16:20">
      <c r="P6929" s="1094">
        <v>3477</v>
      </c>
      <c r="Q6929" t="s">
        <v>7749</v>
      </c>
      <c r="R6929" t="s">
        <v>616</v>
      </c>
      <c r="S6929">
        <v>0</v>
      </c>
      <c r="T6929" s="1095">
        <v>0</v>
      </c>
    </row>
    <row r="6930" spans="16:20">
      <c r="P6930" s="1094">
        <v>3477</v>
      </c>
      <c r="Q6930" t="s">
        <v>7750</v>
      </c>
      <c r="R6930" t="s">
        <v>616</v>
      </c>
      <c r="S6930">
        <v>0</v>
      </c>
      <c r="T6930" s="1095">
        <v>0</v>
      </c>
    </row>
    <row r="6931" spans="16:20">
      <c r="P6931" s="1094">
        <v>3477</v>
      </c>
      <c r="Q6931" t="s">
        <v>7751</v>
      </c>
      <c r="R6931" t="s">
        <v>616</v>
      </c>
      <c r="S6931">
        <v>0</v>
      </c>
      <c r="T6931" s="1095">
        <v>0</v>
      </c>
    </row>
    <row r="6932" spans="16:20">
      <c r="P6932" s="1094">
        <v>3477</v>
      </c>
      <c r="Q6932" t="s">
        <v>7752</v>
      </c>
      <c r="R6932" t="s">
        <v>616</v>
      </c>
      <c r="S6932">
        <v>0</v>
      </c>
      <c r="T6932" s="1095">
        <v>0</v>
      </c>
    </row>
    <row r="6933" spans="16:20">
      <c r="P6933" s="1094">
        <v>3477</v>
      </c>
      <c r="Q6933" t="s">
        <v>7753</v>
      </c>
      <c r="R6933" t="s">
        <v>616</v>
      </c>
      <c r="S6933">
        <v>0</v>
      </c>
      <c r="T6933" s="1095">
        <v>0</v>
      </c>
    </row>
    <row r="6934" spans="16:20">
      <c r="P6934" s="1094">
        <v>3477</v>
      </c>
      <c r="Q6934" t="s">
        <v>7754</v>
      </c>
      <c r="R6934" t="s">
        <v>616</v>
      </c>
      <c r="S6934">
        <v>0</v>
      </c>
      <c r="T6934" s="1095">
        <v>0</v>
      </c>
    </row>
    <row r="6935" spans="16:20">
      <c r="P6935" s="1094">
        <v>3477</v>
      </c>
      <c r="Q6935" t="s">
        <v>7755</v>
      </c>
      <c r="R6935" t="s">
        <v>616</v>
      </c>
      <c r="S6935">
        <v>0</v>
      </c>
      <c r="T6935" s="1095">
        <v>0</v>
      </c>
    </row>
    <row r="6936" spans="16:20">
      <c r="P6936" s="1094">
        <v>3477</v>
      </c>
      <c r="Q6936" t="s">
        <v>7756</v>
      </c>
      <c r="R6936" t="s">
        <v>616</v>
      </c>
      <c r="S6936">
        <v>0</v>
      </c>
      <c r="T6936" s="1095">
        <v>0</v>
      </c>
    </row>
    <row r="6937" spans="16:20">
      <c r="P6937" s="1094">
        <v>3477</v>
      </c>
      <c r="Q6937" t="s">
        <v>7718</v>
      </c>
      <c r="R6937" t="s">
        <v>616</v>
      </c>
      <c r="S6937">
        <v>0</v>
      </c>
      <c r="T6937" s="1095">
        <v>0</v>
      </c>
    </row>
    <row r="6938" spans="16:20">
      <c r="P6938" s="1094">
        <v>3477</v>
      </c>
      <c r="Q6938" t="s">
        <v>3036</v>
      </c>
      <c r="R6938" t="s">
        <v>616</v>
      </c>
      <c r="S6938">
        <v>0</v>
      </c>
      <c r="T6938" s="1095">
        <v>0</v>
      </c>
    </row>
    <row r="6939" spans="16:20">
      <c r="P6939" s="1094">
        <v>3477</v>
      </c>
      <c r="Q6939" t="s">
        <v>3574</v>
      </c>
      <c r="R6939" t="s">
        <v>616</v>
      </c>
      <c r="S6939">
        <v>0</v>
      </c>
      <c r="T6939" s="1095">
        <v>0</v>
      </c>
    </row>
    <row r="6940" spans="16:20">
      <c r="P6940" s="1094">
        <v>3477</v>
      </c>
      <c r="Q6940" t="s">
        <v>7453</v>
      </c>
      <c r="R6940" t="s">
        <v>616</v>
      </c>
      <c r="S6940">
        <v>0</v>
      </c>
      <c r="T6940" s="1095">
        <v>0</v>
      </c>
    </row>
    <row r="6941" spans="16:20">
      <c r="P6941" s="1094">
        <v>3477</v>
      </c>
      <c r="Q6941" t="s">
        <v>7757</v>
      </c>
      <c r="R6941" t="s">
        <v>616</v>
      </c>
      <c r="S6941">
        <v>0</v>
      </c>
      <c r="T6941" s="1095">
        <v>0</v>
      </c>
    </row>
    <row r="6942" spans="16:20">
      <c r="P6942" s="1094">
        <v>3477</v>
      </c>
      <c r="Q6942" t="s">
        <v>7758</v>
      </c>
      <c r="R6942" t="s">
        <v>616</v>
      </c>
      <c r="S6942">
        <v>0</v>
      </c>
      <c r="T6942" s="1095">
        <v>0</v>
      </c>
    </row>
    <row r="6943" spans="16:20">
      <c r="P6943" s="1094">
        <v>3477</v>
      </c>
      <c r="Q6943" t="s">
        <v>7759</v>
      </c>
      <c r="R6943" t="s">
        <v>616</v>
      </c>
      <c r="S6943">
        <v>0</v>
      </c>
      <c r="T6943" s="1095">
        <v>0</v>
      </c>
    </row>
    <row r="6944" spans="16:20">
      <c r="P6944" s="1094">
        <v>3477</v>
      </c>
      <c r="Q6944" t="s">
        <v>7760</v>
      </c>
      <c r="R6944" t="s">
        <v>616</v>
      </c>
      <c r="S6944">
        <v>0</v>
      </c>
      <c r="T6944" s="1095">
        <v>0</v>
      </c>
    </row>
    <row r="6945" spans="16:20">
      <c r="P6945" s="1094">
        <v>3477</v>
      </c>
      <c r="Q6945" t="s">
        <v>1676</v>
      </c>
      <c r="R6945" t="s">
        <v>616</v>
      </c>
      <c r="S6945">
        <v>0</v>
      </c>
      <c r="T6945" s="1095">
        <v>0</v>
      </c>
    </row>
    <row r="6946" spans="16:20">
      <c r="P6946" s="1094">
        <v>3477</v>
      </c>
      <c r="Q6946" t="s">
        <v>7761</v>
      </c>
      <c r="R6946" t="s">
        <v>616</v>
      </c>
      <c r="S6946">
        <v>0</v>
      </c>
      <c r="T6946" s="1095">
        <v>0</v>
      </c>
    </row>
    <row r="6947" spans="16:20">
      <c r="P6947" s="1094">
        <v>3477</v>
      </c>
      <c r="Q6947" t="s">
        <v>7762</v>
      </c>
      <c r="R6947" t="s">
        <v>616</v>
      </c>
      <c r="S6947">
        <v>0</v>
      </c>
      <c r="T6947" s="1095">
        <v>0</v>
      </c>
    </row>
    <row r="6948" spans="16:20">
      <c r="P6948" s="1094">
        <v>3477</v>
      </c>
      <c r="Q6948" t="s">
        <v>7763</v>
      </c>
      <c r="R6948" t="s">
        <v>616</v>
      </c>
      <c r="S6948">
        <v>0</v>
      </c>
      <c r="T6948" s="1095">
        <v>0</v>
      </c>
    </row>
    <row r="6949" spans="16:20">
      <c r="P6949" s="1094">
        <v>3477</v>
      </c>
      <c r="Q6949" t="s">
        <v>7433</v>
      </c>
      <c r="R6949" t="s">
        <v>616</v>
      </c>
      <c r="S6949">
        <v>0</v>
      </c>
      <c r="T6949" s="1095">
        <v>0</v>
      </c>
    </row>
    <row r="6950" spans="16:20">
      <c r="P6950" s="1094">
        <v>3477</v>
      </c>
      <c r="Q6950" t="s">
        <v>7764</v>
      </c>
      <c r="R6950" t="s">
        <v>616</v>
      </c>
      <c r="S6950">
        <v>0</v>
      </c>
      <c r="T6950" s="1095">
        <v>0</v>
      </c>
    </row>
    <row r="6951" spans="16:20">
      <c r="P6951" s="1094">
        <v>3478</v>
      </c>
      <c r="Q6951" t="s">
        <v>7741</v>
      </c>
      <c r="R6951" t="s">
        <v>616</v>
      </c>
      <c r="S6951">
        <v>143.23069899999999</v>
      </c>
      <c r="T6951" s="1095">
        <v>-36.688550999999997</v>
      </c>
    </row>
    <row r="6952" spans="16:20">
      <c r="P6952" s="1094">
        <v>3478</v>
      </c>
      <c r="Q6952" t="s">
        <v>7742</v>
      </c>
      <c r="R6952" t="s">
        <v>616</v>
      </c>
      <c r="S6952">
        <v>143.23069899999999</v>
      </c>
      <c r="T6952" s="1095">
        <v>-36.688550999999997</v>
      </c>
    </row>
    <row r="6953" spans="16:20">
      <c r="P6953" s="1094">
        <v>3478</v>
      </c>
      <c r="Q6953" t="s">
        <v>7765</v>
      </c>
      <c r="R6953" t="s">
        <v>616</v>
      </c>
      <c r="S6953">
        <v>143.23069899999999</v>
      </c>
      <c r="T6953" s="1095">
        <v>-36.688550999999997</v>
      </c>
    </row>
    <row r="6954" spans="16:20">
      <c r="P6954" s="1094">
        <v>3478</v>
      </c>
      <c r="Q6954" t="s">
        <v>7743</v>
      </c>
      <c r="R6954" t="s">
        <v>616</v>
      </c>
      <c r="S6954">
        <v>143.23069899999999</v>
      </c>
      <c r="T6954" s="1095">
        <v>-36.688550999999997</v>
      </c>
    </row>
    <row r="6955" spans="16:20">
      <c r="P6955" s="1094">
        <v>3478</v>
      </c>
      <c r="Q6955" t="s">
        <v>7744</v>
      </c>
      <c r="R6955" t="s">
        <v>616</v>
      </c>
      <c r="S6955">
        <v>143.23069899999999</v>
      </c>
      <c r="T6955" s="1095">
        <v>-36.688550999999997</v>
      </c>
    </row>
    <row r="6956" spans="16:20">
      <c r="P6956" s="1094">
        <v>3478</v>
      </c>
      <c r="Q6956" t="s">
        <v>7745</v>
      </c>
      <c r="R6956" t="s">
        <v>616</v>
      </c>
      <c r="S6956">
        <v>143.23069899999999</v>
      </c>
      <c r="T6956" s="1095">
        <v>-36.688550999999997</v>
      </c>
    </row>
    <row r="6957" spans="16:20">
      <c r="P6957" s="1094">
        <v>3478</v>
      </c>
      <c r="Q6957" t="s">
        <v>7746</v>
      </c>
      <c r="R6957" t="s">
        <v>616</v>
      </c>
      <c r="S6957">
        <v>143.23069899999999</v>
      </c>
      <c r="T6957" s="1095">
        <v>-36.688550999999997</v>
      </c>
    </row>
    <row r="6958" spans="16:20">
      <c r="P6958" s="1094">
        <v>3478</v>
      </c>
      <c r="Q6958" t="s">
        <v>7766</v>
      </c>
      <c r="R6958" t="s">
        <v>616</v>
      </c>
      <c r="S6958">
        <v>143.23069899999999</v>
      </c>
      <c r="T6958" s="1095">
        <v>-36.688550999999997</v>
      </c>
    </row>
    <row r="6959" spans="16:20">
      <c r="P6959" s="1094">
        <v>3478</v>
      </c>
      <c r="Q6959" t="s">
        <v>7767</v>
      </c>
      <c r="R6959" t="s">
        <v>616</v>
      </c>
      <c r="S6959">
        <v>143.23069899999999</v>
      </c>
      <c r="T6959" s="1095">
        <v>-36.688550999999997</v>
      </c>
    </row>
    <row r="6960" spans="16:20">
      <c r="P6960" s="1094">
        <v>3478</v>
      </c>
      <c r="Q6960" t="s">
        <v>7768</v>
      </c>
      <c r="R6960" t="s">
        <v>616</v>
      </c>
      <c r="S6960">
        <v>143.23069899999999</v>
      </c>
      <c r="T6960" s="1095">
        <v>-36.688550999999997</v>
      </c>
    </row>
    <row r="6961" spans="16:20">
      <c r="P6961" s="1094">
        <v>3478</v>
      </c>
      <c r="Q6961" t="s">
        <v>7748</v>
      </c>
      <c r="R6961" t="s">
        <v>616</v>
      </c>
      <c r="S6961">
        <v>143.23069899999999</v>
      </c>
      <c r="T6961" s="1095">
        <v>-36.688550999999997</v>
      </c>
    </row>
    <row r="6962" spans="16:20">
      <c r="P6962" s="1094">
        <v>3478</v>
      </c>
      <c r="Q6962" t="s">
        <v>7749</v>
      </c>
      <c r="R6962" t="s">
        <v>616</v>
      </c>
      <c r="S6962">
        <v>143.23069899999999</v>
      </c>
      <c r="T6962" s="1095">
        <v>-36.688550999999997</v>
      </c>
    </row>
    <row r="6963" spans="16:20">
      <c r="P6963" s="1094">
        <v>3478</v>
      </c>
      <c r="Q6963" t="s">
        <v>7751</v>
      </c>
      <c r="R6963" t="s">
        <v>616</v>
      </c>
      <c r="S6963">
        <v>143.23069899999999</v>
      </c>
      <c r="T6963" s="1095">
        <v>-36.688550999999997</v>
      </c>
    </row>
    <row r="6964" spans="16:20">
      <c r="P6964" s="1094">
        <v>3478</v>
      </c>
      <c r="Q6964" t="s">
        <v>7752</v>
      </c>
      <c r="R6964" t="s">
        <v>616</v>
      </c>
      <c r="S6964">
        <v>143.23069899999999</v>
      </c>
      <c r="T6964" s="1095">
        <v>-36.688550999999997</v>
      </c>
    </row>
    <row r="6965" spans="16:20">
      <c r="P6965" s="1094">
        <v>3478</v>
      </c>
      <c r="Q6965" t="s">
        <v>7753</v>
      </c>
      <c r="R6965" t="s">
        <v>616</v>
      </c>
      <c r="S6965">
        <v>143.23069899999999</v>
      </c>
      <c r="T6965" s="1095">
        <v>-36.688550999999997</v>
      </c>
    </row>
    <row r="6966" spans="16:20">
      <c r="P6966" s="1094">
        <v>3478</v>
      </c>
      <c r="Q6966" t="s">
        <v>7754</v>
      </c>
      <c r="R6966" t="s">
        <v>616</v>
      </c>
      <c r="S6966">
        <v>143.23069899999999</v>
      </c>
      <c r="T6966" s="1095">
        <v>-36.688550999999997</v>
      </c>
    </row>
    <row r="6967" spans="16:20">
      <c r="P6967" s="1094">
        <v>3478</v>
      </c>
      <c r="Q6967" t="s">
        <v>7769</v>
      </c>
      <c r="R6967" t="s">
        <v>616</v>
      </c>
      <c r="S6967">
        <v>143.23069899999999</v>
      </c>
      <c r="T6967" s="1095">
        <v>-36.688550999999997</v>
      </c>
    </row>
    <row r="6968" spans="16:20">
      <c r="P6968" s="1094">
        <v>3478</v>
      </c>
      <c r="Q6968" t="s">
        <v>7770</v>
      </c>
      <c r="R6968" t="s">
        <v>616</v>
      </c>
      <c r="S6968">
        <v>143.23069899999999</v>
      </c>
      <c r="T6968" s="1095">
        <v>-36.688550999999997</v>
      </c>
    </row>
    <row r="6969" spans="16:20">
      <c r="P6969" s="1094">
        <v>3478</v>
      </c>
      <c r="Q6969" t="s">
        <v>7756</v>
      </c>
      <c r="R6969" t="s">
        <v>616</v>
      </c>
      <c r="S6969">
        <v>143.23069899999999</v>
      </c>
      <c r="T6969" s="1095">
        <v>-36.688550999999997</v>
      </c>
    </row>
    <row r="6970" spans="16:20">
      <c r="P6970" s="1094">
        <v>3478</v>
      </c>
      <c r="Q6970" t="s">
        <v>7771</v>
      </c>
      <c r="R6970" t="s">
        <v>616</v>
      </c>
      <c r="S6970">
        <v>143.23069899999999</v>
      </c>
      <c r="T6970" s="1095">
        <v>-36.688550999999997</v>
      </c>
    </row>
    <row r="6971" spans="16:20">
      <c r="P6971" s="1094">
        <v>3478</v>
      </c>
      <c r="Q6971" t="s">
        <v>7772</v>
      </c>
      <c r="R6971" t="s">
        <v>616</v>
      </c>
      <c r="S6971">
        <v>143.23069899999999</v>
      </c>
      <c r="T6971" s="1095">
        <v>-36.688550999999997</v>
      </c>
    </row>
    <row r="6972" spans="16:20">
      <c r="P6972" s="1094">
        <v>3478</v>
      </c>
      <c r="Q6972" t="s">
        <v>3574</v>
      </c>
      <c r="R6972" t="s">
        <v>616</v>
      </c>
      <c r="S6972">
        <v>143.23069899999999</v>
      </c>
      <c r="T6972" s="1095">
        <v>-36.688550999999997</v>
      </c>
    </row>
    <row r="6973" spans="16:20">
      <c r="P6973" s="1094">
        <v>3478</v>
      </c>
      <c r="Q6973" t="s">
        <v>7757</v>
      </c>
      <c r="R6973" t="s">
        <v>616</v>
      </c>
      <c r="S6973">
        <v>143.23069899999999</v>
      </c>
      <c r="T6973" s="1095">
        <v>-36.688550999999997</v>
      </c>
    </row>
    <row r="6974" spans="16:20">
      <c r="P6974" s="1094">
        <v>3478</v>
      </c>
      <c r="Q6974" t="s">
        <v>7773</v>
      </c>
      <c r="R6974" t="s">
        <v>616</v>
      </c>
      <c r="S6974">
        <v>143.23069899999999</v>
      </c>
      <c r="T6974" s="1095">
        <v>-36.688550999999997</v>
      </c>
    </row>
    <row r="6975" spans="16:20">
      <c r="P6975" s="1094">
        <v>3478</v>
      </c>
      <c r="Q6975" t="s">
        <v>7758</v>
      </c>
      <c r="R6975" t="s">
        <v>616</v>
      </c>
      <c r="S6975">
        <v>143.23069899999999</v>
      </c>
      <c r="T6975" s="1095">
        <v>-36.688550999999997</v>
      </c>
    </row>
    <row r="6976" spans="16:20">
      <c r="P6976" s="1094">
        <v>3478</v>
      </c>
      <c r="Q6976" t="s">
        <v>7759</v>
      </c>
      <c r="R6976" t="s">
        <v>616</v>
      </c>
      <c r="S6976">
        <v>143.23069899999999</v>
      </c>
      <c r="T6976" s="1095">
        <v>-36.688550999999997</v>
      </c>
    </row>
    <row r="6977" spans="16:20">
      <c r="P6977" s="1094">
        <v>3478</v>
      </c>
      <c r="Q6977" t="s">
        <v>7760</v>
      </c>
      <c r="R6977" t="s">
        <v>616</v>
      </c>
      <c r="S6977">
        <v>143.23069899999999</v>
      </c>
      <c r="T6977" s="1095">
        <v>-36.688550999999997</v>
      </c>
    </row>
    <row r="6978" spans="16:20">
      <c r="P6978" s="1094">
        <v>3478</v>
      </c>
      <c r="Q6978" t="s">
        <v>1676</v>
      </c>
      <c r="R6978" t="s">
        <v>616</v>
      </c>
      <c r="S6978">
        <v>143.23069899999999</v>
      </c>
      <c r="T6978" s="1095">
        <v>-36.688550999999997</v>
      </c>
    </row>
    <row r="6979" spans="16:20">
      <c r="P6979" s="1094">
        <v>3478</v>
      </c>
      <c r="Q6979" t="s">
        <v>7761</v>
      </c>
      <c r="R6979" t="s">
        <v>616</v>
      </c>
      <c r="S6979">
        <v>143.23069899999999</v>
      </c>
      <c r="T6979" s="1095">
        <v>-36.688550999999997</v>
      </c>
    </row>
    <row r="6980" spans="16:20">
      <c r="P6980" s="1094">
        <v>3478</v>
      </c>
      <c r="Q6980" t="s">
        <v>7774</v>
      </c>
      <c r="R6980" t="s">
        <v>616</v>
      </c>
      <c r="S6980">
        <v>143.23069899999999</v>
      </c>
      <c r="T6980" s="1095">
        <v>-36.688550999999997</v>
      </c>
    </row>
    <row r="6981" spans="16:20">
      <c r="P6981" s="1094">
        <v>3478</v>
      </c>
      <c r="Q6981" t="s">
        <v>7762</v>
      </c>
      <c r="R6981" t="s">
        <v>616</v>
      </c>
      <c r="S6981">
        <v>143.23069899999999</v>
      </c>
      <c r="T6981" s="1095">
        <v>-36.688550999999997</v>
      </c>
    </row>
    <row r="6982" spans="16:20">
      <c r="P6982" s="1094">
        <v>3478</v>
      </c>
      <c r="Q6982" t="s">
        <v>7763</v>
      </c>
      <c r="R6982" t="s">
        <v>616</v>
      </c>
      <c r="S6982">
        <v>143.23069899999999</v>
      </c>
      <c r="T6982" s="1095">
        <v>-36.688550999999997</v>
      </c>
    </row>
    <row r="6983" spans="16:20">
      <c r="P6983" s="1094">
        <v>3478</v>
      </c>
      <c r="Q6983" t="s">
        <v>7775</v>
      </c>
      <c r="R6983" t="s">
        <v>616</v>
      </c>
      <c r="S6983">
        <v>143.23069899999999</v>
      </c>
      <c r="T6983" s="1095">
        <v>-36.688550999999997</v>
      </c>
    </row>
    <row r="6984" spans="16:20">
      <c r="P6984" s="1094">
        <v>3478</v>
      </c>
      <c r="Q6984" t="s">
        <v>7776</v>
      </c>
      <c r="R6984" t="s">
        <v>616</v>
      </c>
      <c r="S6984">
        <v>143.23069899999999</v>
      </c>
      <c r="T6984" s="1095">
        <v>-36.688550999999997</v>
      </c>
    </row>
    <row r="6985" spans="16:20">
      <c r="P6985" s="1094">
        <v>3478</v>
      </c>
      <c r="Q6985" t="s">
        <v>7777</v>
      </c>
      <c r="R6985" t="s">
        <v>616</v>
      </c>
      <c r="S6985">
        <v>143.23069899999999</v>
      </c>
      <c r="T6985" s="1095">
        <v>-36.688550999999997</v>
      </c>
    </row>
    <row r="6986" spans="16:20">
      <c r="P6986" s="1094">
        <v>3480</v>
      </c>
      <c r="Q6986" t="s">
        <v>7778</v>
      </c>
      <c r="R6986" t="s">
        <v>616</v>
      </c>
      <c r="S6986">
        <v>142.96805699999999</v>
      </c>
      <c r="T6986" s="1095">
        <v>-36.312269999999998</v>
      </c>
    </row>
    <row r="6987" spans="16:20">
      <c r="P6987" s="1094">
        <v>3480</v>
      </c>
      <c r="Q6987" t="s">
        <v>7779</v>
      </c>
      <c r="R6987" t="s">
        <v>616</v>
      </c>
      <c r="S6987">
        <v>142.96805699999999</v>
      </c>
      <c r="T6987" s="1095">
        <v>-36.312269999999998</v>
      </c>
    </row>
    <row r="6988" spans="16:20">
      <c r="P6988" s="1094">
        <v>3480</v>
      </c>
      <c r="Q6988" t="s">
        <v>7780</v>
      </c>
      <c r="R6988" t="s">
        <v>616</v>
      </c>
      <c r="S6988">
        <v>142.96805699999999</v>
      </c>
      <c r="T6988" s="1095">
        <v>-36.312269999999998</v>
      </c>
    </row>
    <row r="6989" spans="16:20">
      <c r="P6989" s="1094">
        <v>3480</v>
      </c>
      <c r="Q6989" t="s">
        <v>7781</v>
      </c>
      <c r="R6989" t="s">
        <v>616</v>
      </c>
      <c r="S6989">
        <v>142.96805699999999</v>
      </c>
      <c r="T6989" s="1095">
        <v>-36.312269999999998</v>
      </c>
    </row>
    <row r="6990" spans="16:20">
      <c r="P6990" s="1094">
        <v>3480</v>
      </c>
      <c r="Q6990" t="s">
        <v>7782</v>
      </c>
      <c r="R6990" t="s">
        <v>616</v>
      </c>
      <c r="S6990">
        <v>142.96805699999999</v>
      </c>
      <c r="T6990" s="1095">
        <v>-36.312269999999998</v>
      </c>
    </row>
    <row r="6991" spans="16:20">
      <c r="P6991" s="1094">
        <v>3480</v>
      </c>
      <c r="Q6991" t="s">
        <v>7783</v>
      </c>
      <c r="R6991" t="s">
        <v>616</v>
      </c>
      <c r="S6991">
        <v>142.96805699999999</v>
      </c>
      <c r="T6991" s="1095">
        <v>-36.312269999999998</v>
      </c>
    </row>
    <row r="6992" spans="16:20">
      <c r="P6992" s="1094">
        <v>3480</v>
      </c>
      <c r="Q6992" t="s">
        <v>7784</v>
      </c>
      <c r="R6992" t="s">
        <v>616</v>
      </c>
      <c r="S6992">
        <v>142.96805699999999</v>
      </c>
      <c r="T6992" s="1095">
        <v>-36.312269999999998</v>
      </c>
    </row>
    <row r="6993" spans="16:20">
      <c r="P6993" s="1094">
        <v>3480</v>
      </c>
      <c r="Q6993" t="s">
        <v>7785</v>
      </c>
      <c r="R6993" t="s">
        <v>616</v>
      </c>
      <c r="S6993">
        <v>142.96805699999999</v>
      </c>
      <c r="T6993" s="1095">
        <v>-36.312269999999998</v>
      </c>
    </row>
    <row r="6994" spans="16:20">
      <c r="P6994" s="1094">
        <v>3480</v>
      </c>
      <c r="Q6994" t="s">
        <v>7786</v>
      </c>
      <c r="R6994" t="s">
        <v>616</v>
      </c>
      <c r="S6994">
        <v>142.96805699999999</v>
      </c>
      <c r="T6994" s="1095">
        <v>-36.312269999999998</v>
      </c>
    </row>
    <row r="6995" spans="16:20">
      <c r="P6995" s="1094">
        <v>3480</v>
      </c>
      <c r="Q6995" t="s">
        <v>7787</v>
      </c>
      <c r="R6995" t="s">
        <v>616</v>
      </c>
      <c r="S6995">
        <v>142.96805699999999</v>
      </c>
      <c r="T6995" s="1095">
        <v>-36.312269999999998</v>
      </c>
    </row>
    <row r="6996" spans="16:20">
      <c r="P6996" s="1094">
        <v>3480</v>
      </c>
      <c r="Q6996" t="s">
        <v>7788</v>
      </c>
      <c r="R6996" t="s">
        <v>616</v>
      </c>
      <c r="S6996">
        <v>142.96805699999999</v>
      </c>
      <c r="T6996" s="1095">
        <v>-36.312269999999998</v>
      </c>
    </row>
    <row r="6997" spans="16:20">
      <c r="P6997" s="1094">
        <v>3480</v>
      </c>
      <c r="Q6997" t="s">
        <v>7789</v>
      </c>
      <c r="R6997" t="s">
        <v>616</v>
      </c>
      <c r="S6997">
        <v>142.96805699999999</v>
      </c>
      <c r="T6997" s="1095">
        <v>-36.312269999999998</v>
      </c>
    </row>
    <row r="6998" spans="16:20">
      <c r="P6998" s="1094">
        <v>3480</v>
      </c>
      <c r="Q6998" t="s">
        <v>7790</v>
      </c>
      <c r="R6998" t="s">
        <v>616</v>
      </c>
      <c r="S6998">
        <v>142.96805699999999</v>
      </c>
      <c r="T6998" s="1095">
        <v>-36.312269999999998</v>
      </c>
    </row>
    <row r="6999" spans="16:20">
      <c r="P6999" s="1094">
        <v>3480</v>
      </c>
      <c r="Q6999" t="s">
        <v>7791</v>
      </c>
      <c r="R6999" t="s">
        <v>616</v>
      </c>
      <c r="S6999">
        <v>142.96805699999999</v>
      </c>
      <c r="T6999" s="1095">
        <v>-36.312269999999998</v>
      </c>
    </row>
    <row r="7000" spans="16:20">
      <c r="P7000" s="1094">
        <v>3480</v>
      </c>
      <c r="Q7000" t="s">
        <v>7792</v>
      </c>
      <c r="R7000" t="s">
        <v>616</v>
      </c>
      <c r="S7000">
        <v>142.96805699999999</v>
      </c>
      <c r="T7000" s="1095">
        <v>-36.312269999999998</v>
      </c>
    </row>
    <row r="7001" spans="16:20">
      <c r="P7001" s="1094">
        <v>3480</v>
      </c>
      <c r="Q7001" t="s">
        <v>7793</v>
      </c>
      <c r="R7001" t="s">
        <v>616</v>
      </c>
      <c r="S7001">
        <v>142.96805699999999</v>
      </c>
      <c r="T7001" s="1095">
        <v>-36.312269999999998</v>
      </c>
    </row>
    <row r="7002" spans="16:20">
      <c r="P7002" s="1094">
        <v>3480</v>
      </c>
      <c r="Q7002" t="s">
        <v>7794</v>
      </c>
      <c r="R7002" t="s">
        <v>616</v>
      </c>
      <c r="S7002">
        <v>142.96805699999999</v>
      </c>
      <c r="T7002" s="1095">
        <v>-36.312269999999998</v>
      </c>
    </row>
    <row r="7003" spans="16:20">
      <c r="P7003" s="1094">
        <v>3480</v>
      </c>
      <c r="Q7003" t="s">
        <v>7795</v>
      </c>
      <c r="R7003" t="s">
        <v>616</v>
      </c>
      <c r="S7003">
        <v>142.96805699999999</v>
      </c>
      <c r="T7003" s="1095">
        <v>-36.312269999999998</v>
      </c>
    </row>
    <row r="7004" spans="16:20">
      <c r="P7004" s="1094">
        <v>3482</v>
      </c>
      <c r="Q7004" t="s">
        <v>7796</v>
      </c>
      <c r="R7004" t="s">
        <v>616</v>
      </c>
      <c r="S7004">
        <v>142.76658800000001</v>
      </c>
      <c r="T7004" s="1095">
        <v>-36.170279999999998</v>
      </c>
    </row>
    <row r="7005" spans="16:20">
      <c r="P7005" s="1094">
        <v>3482</v>
      </c>
      <c r="Q7005" t="s">
        <v>7797</v>
      </c>
      <c r="R7005" t="s">
        <v>616</v>
      </c>
      <c r="S7005">
        <v>142.76658800000001</v>
      </c>
      <c r="T7005" s="1095">
        <v>-36.170279999999998</v>
      </c>
    </row>
    <row r="7006" spans="16:20">
      <c r="P7006" s="1094">
        <v>3482</v>
      </c>
      <c r="Q7006" t="s">
        <v>7798</v>
      </c>
      <c r="R7006" t="s">
        <v>616</v>
      </c>
      <c r="S7006">
        <v>142.76658800000001</v>
      </c>
      <c r="T7006" s="1095">
        <v>-36.170279999999998</v>
      </c>
    </row>
    <row r="7007" spans="16:20">
      <c r="P7007" s="1094">
        <v>3482</v>
      </c>
      <c r="Q7007" t="s">
        <v>7799</v>
      </c>
      <c r="R7007" t="s">
        <v>616</v>
      </c>
      <c r="S7007">
        <v>142.76658800000001</v>
      </c>
      <c r="T7007" s="1095">
        <v>-36.170279999999998</v>
      </c>
    </row>
    <row r="7008" spans="16:20">
      <c r="P7008" s="1094">
        <v>3482</v>
      </c>
      <c r="Q7008" t="s">
        <v>7800</v>
      </c>
      <c r="R7008" t="s">
        <v>616</v>
      </c>
      <c r="S7008">
        <v>142.76658800000001</v>
      </c>
      <c r="T7008" s="1095">
        <v>-36.170279999999998</v>
      </c>
    </row>
    <row r="7009" spans="16:20">
      <c r="P7009" s="1094">
        <v>3483</v>
      </c>
      <c r="Q7009" t="s">
        <v>7801</v>
      </c>
      <c r="R7009" t="s">
        <v>616</v>
      </c>
      <c r="S7009">
        <v>142.890804</v>
      </c>
      <c r="T7009" s="1095">
        <v>-35.901764999999997</v>
      </c>
    </row>
    <row r="7010" spans="16:20">
      <c r="P7010" s="1094">
        <v>3483</v>
      </c>
      <c r="Q7010" t="s">
        <v>7802</v>
      </c>
      <c r="R7010" t="s">
        <v>616</v>
      </c>
      <c r="S7010">
        <v>142.890804</v>
      </c>
      <c r="T7010" s="1095">
        <v>-35.901764999999997</v>
      </c>
    </row>
    <row r="7011" spans="16:20">
      <c r="P7011" s="1094">
        <v>3483</v>
      </c>
      <c r="Q7011" t="s">
        <v>7803</v>
      </c>
      <c r="R7011" t="s">
        <v>616</v>
      </c>
      <c r="S7011">
        <v>142.890804</v>
      </c>
      <c r="T7011" s="1095">
        <v>-35.901764999999997</v>
      </c>
    </row>
    <row r="7012" spans="16:20">
      <c r="P7012" s="1094">
        <v>3483</v>
      </c>
      <c r="Q7012" t="s">
        <v>7804</v>
      </c>
      <c r="R7012" t="s">
        <v>616</v>
      </c>
      <c r="S7012">
        <v>142.890804</v>
      </c>
      <c r="T7012" s="1095">
        <v>-35.901764999999997</v>
      </c>
    </row>
    <row r="7013" spans="16:20">
      <c r="P7013" s="1094">
        <v>3483</v>
      </c>
      <c r="Q7013" t="s">
        <v>7805</v>
      </c>
      <c r="R7013" t="s">
        <v>616</v>
      </c>
      <c r="S7013">
        <v>142.890804</v>
      </c>
      <c r="T7013" s="1095">
        <v>-35.901764999999997</v>
      </c>
    </row>
    <row r="7014" spans="16:20">
      <c r="P7014" s="1094">
        <v>3483</v>
      </c>
      <c r="Q7014" t="s">
        <v>7806</v>
      </c>
      <c r="R7014" t="s">
        <v>616</v>
      </c>
      <c r="S7014">
        <v>142.890804</v>
      </c>
      <c r="T7014" s="1095">
        <v>-35.901764999999997</v>
      </c>
    </row>
    <row r="7015" spans="16:20">
      <c r="P7015" s="1094">
        <v>3483</v>
      </c>
      <c r="Q7015" t="s">
        <v>7807</v>
      </c>
      <c r="R7015" t="s">
        <v>616</v>
      </c>
      <c r="S7015">
        <v>142.890804</v>
      </c>
      <c r="T7015" s="1095">
        <v>-35.901764999999997</v>
      </c>
    </row>
    <row r="7016" spans="16:20">
      <c r="P7016" s="1094">
        <v>3483</v>
      </c>
      <c r="Q7016" t="s">
        <v>7808</v>
      </c>
      <c r="R7016" t="s">
        <v>616</v>
      </c>
      <c r="S7016">
        <v>142.890804</v>
      </c>
      <c r="T7016" s="1095">
        <v>-35.901764999999997</v>
      </c>
    </row>
    <row r="7017" spans="16:20">
      <c r="P7017" s="1094">
        <v>3483</v>
      </c>
      <c r="Q7017" t="s">
        <v>7809</v>
      </c>
      <c r="R7017" t="s">
        <v>616</v>
      </c>
      <c r="S7017">
        <v>142.890804</v>
      </c>
      <c r="T7017" s="1095">
        <v>-35.901764999999997</v>
      </c>
    </row>
    <row r="7018" spans="16:20">
      <c r="P7018" s="1094">
        <v>3483</v>
      </c>
      <c r="Q7018" t="s">
        <v>7810</v>
      </c>
      <c r="R7018" t="s">
        <v>616</v>
      </c>
      <c r="S7018">
        <v>142.890804</v>
      </c>
      <c r="T7018" s="1095">
        <v>-35.901764999999997</v>
      </c>
    </row>
    <row r="7019" spans="16:20">
      <c r="P7019" s="1094">
        <v>3483</v>
      </c>
      <c r="Q7019" t="s">
        <v>7811</v>
      </c>
      <c r="R7019" t="s">
        <v>616</v>
      </c>
      <c r="S7019">
        <v>142.890804</v>
      </c>
      <c r="T7019" s="1095">
        <v>-35.901764999999997</v>
      </c>
    </row>
    <row r="7020" spans="16:20">
      <c r="P7020" s="1094">
        <v>3485</v>
      </c>
      <c r="Q7020" t="s">
        <v>7812</v>
      </c>
      <c r="R7020" t="s">
        <v>616</v>
      </c>
      <c r="S7020">
        <v>142.67196200000001</v>
      </c>
      <c r="T7020" s="1095">
        <v>-35.711533000000003</v>
      </c>
    </row>
    <row r="7021" spans="16:20">
      <c r="P7021" s="1094">
        <v>3485</v>
      </c>
      <c r="Q7021" t="s">
        <v>7813</v>
      </c>
      <c r="R7021" t="s">
        <v>616</v>
      </c>
      <c r="S7021">
        <v>142.67196200000001</v>
      </c>
      <c r="T7021" s="1095">
        <v>-35.711533000000003</v>
      </c>
    </row>
    <row r="7022" spans="16:20">
      <c r="P7022" s="1094">
        <v>3485</v>
      </c>
      <c r="Q7022" t="s">
        <v>7814</v>
      </c>
      <c r="R7022" t="s">
        <v>616</v>
      </c>
      <c r="S7022">
        <v>142.67196200000001</v>
      </c>
      <c r="T7022" s="1095">
        <v>-35.711533000000003</v>
      </c>
    </row>
    <row r="7023" spans="16:20">
      <c r="P7023" s="1094">
        <v>3485</v>
      </c>
      <c r="Q7023" t="s">
        <v>7815</v>
      </c>
      <c r="R7023" t="s">
        <v>616</v>
      </c>
      <c r="S7023">
        <v>142.67196200000001</v>
      </c>
      <c r="T7023" s="1095">
        <v>-35.711533000000003</v>
      </c>
    </row>
    <row r="7024" spans="16:20">
      <c r="P7024" s="1094">
        <v>3487</v>
      </c>
      <c r="Q7024" t="s">
        <v>7816</v>
      </c>
      <c r="R7024" t="s">
        <v>616</v>
      </c>
      <c r="S7024">
        <v>142.61607900000001</v>
      </c>
      <c r="T7024" s="1095">
        <v>-35.515627000000002</v>
      </c>
    </row>
    <row r="7025" spans="16:20">
      <c r="P7025" s="1094">
        <v>3488</v>
      </c>
      <c r="Q7025" t="s">
        <v>7817</v>
      </c>
      <c r="R7025" t="s">
        <v>616</v>
      </c>
      <c r="S7025">
        <v>142.42711800000001</v>
      </c>
      <c r="T7025" s="1095">
        <v>-35.435634</v>
      </c>
    </row>
    <row r="7026" spans="16:20">
      <c r="P7026" s="1094">
        <v>3488</v>
      </c>
      <c r="Q7026" t="s">
        <v>7818</v>
      </c>
      <c r="R7026" t="s">
        <v>616</v>
      </c>
      <c r="S7026">
        <v>142.42711800000001</v>
      </c>
      <c r="T7026" s="1095">
        <v>-35.435634</v>
      </c>
    </row>
    <row r="7027" spans="16:20">
      <c r="P7027" s="1094">
        <v>3489</v>
      </c>
      <c r="Q7027" t="s">
        <v>7819</v>
      </c>
      <c r="R7027" t="s">
        <v>616</v>
      </c>
      <c r="S7027">
        <v>142.42530199999999</v>
      </c>
      <c r="T7027" s="1095">
        <v>-35.332476999999997</v>
      </c>
    </row>
    <row r="7028" spans="16:20">
      <c r="P7028" s="1094">
        <v>3490</v>
      </c>
      <c r="Q7028" t="s">
        <v>7820</v>
      </c>
      <c r="R7028" t="s">
        <v>616</v>
      </c>
      <c r="S7028">
        <v>142.20671100000001</v>
      </c>
      <c r="T7028" s="1095">
        <v>-34.911673999999998</v>
      </c>
    </row>
    <row r="7029" spans="16:20">
      <c r="P7029" s="1094">
        <v>3490</v>
      </c>
      <c r="Q7029" t="s">
        <v>6063</v>
      </c>
      <c r="R7029" t="s">
        <v>616</v>
      </c>
      <c r="S7029">
        <v>142.20671100000001</v>
      </c>
      <c r="T7029" s="1095">
        <v>-34.911673999999998</v>
      </c>
    </row>
    <row r="7030" spans="16:20">
      <c r="P7030" s="1094">
        <v>3490</v>
      </c>
      <c r="Q7030" t="s">
        <v>7821</v>
      </c>
      <c r="R7030" t="s">
        <v>616</v>
      </c>
      <c r="S7030">
        <v>142.20671100000001</v>
      </c>
      <c r="T7030" s="1095">
        <v>-34.911673999999998</v>
      </c>
    </row>
    <row r="7031" spans="16:20">
      <c r="P7031" s="1094">
        <v>3490</v>
      </c>
      <c r="Q7031" t="s">
        <v>7822</v>
      </c>
      <c r="R7031" t="s">
        <v>616</v>
      </c>
      <c r="S7031">
        <v>142.20671100000001</v>
      </c>
      <c r="T7031" s="1095">
        <v>-34.911673999999998</v>
      </c>
    </row>
    <row r="7032" spans="16:20">
      <c r="P7032" s="1094">
        <v>3490</v>
      </c>
      <c r="Q7032" t="s">
        <v>7823</v>
      </c>
      <c r="R7032" t="s">
        <v>616</v>
      </c>
      <c r="S7032">
        <v>142.20671100000001</v>
      </c>
      <c r="T7032" s="1095">
        <v>-34.911673999999998</v>
      </c>
    </row>
    <row r="7033" spans="16:20">
      <c r="P7033" s="1094">
        <v>3491</v>
      </c>
      <c r="Q7033" t="s">
        <v>7824</v>
      </c>
      <c r="R7033" t="s">
        <v>616</v>
      </c>
      <c r="S7033">
        <v>142.21827300000001</v>
      </c>
      <c r="T7033" s="1095">
        <v>-35.434099000000003</v>
      </c>
    </row>
    <row r="7034" spans="16:20">
      <c r="P7034" s="1094">
        <v>3494</v>
      </c>
      <c r="Q7034" t="s">
        <v>7825</v>
      </c>
      <c r="R7034" t="s">
        <v>616</v>
      </c>
      <c r="S7034">
        <v>142.34831500000001</v>
      </c>
      <c r="T7034" s="1095">
        <v>-34.486406000000002</v>
      </c>
    </row>
    <row r="7035" spans="16:20">
      <c r="P7035" s="1094">
        <v>3494</v>
      </c>
      <c r="Q7035" t="s">
        <v>7826</v>
      </c>
      <c r="R7035" t="s">
        <v>616</v>
      </c>
      <c r="S7035">
        <v>142.34831500000001</v>
      </c>
      <c r="T7035" s="1095">
        <v>-34.486406000000002</v>
      </c>
    </row>
    <row r="7036" spans="16:20">
      <c r="P7036" s="1094">
        <v>3494</v>
      </c>
      <c r="Q7036" t="s">
        <v>7827</v>
      </c>
      <c r="R7036" t="s">
        <v>616</v>
      </c>
      <c r="S7036">
        <v>142.34831500000001</v>
      </c>
      <c r="T7036" s="1095">
        <v>-34.486406000000002</v>
      </c>
    </row>
    <row r="7037" spans="16:20">
      <c r="P7037" s="1094">
        <v>3494</v>
      </c>
      <c r="Q7037" t="s">
        <v>7828</v>
      </c>
      <c r="R7037" t="s">
        <v>616</v>
      </c>
      <c r="S7037">
        <v>142.34831500000001</v>
      </c>
      <c r="T7037" s="1095">
        <v>-34.486406000000002</v>
      </c>
    </row>
    <row r="7038" spans="16:20">
      <c r="P7038" s="1094">
        <v>3496</v>
      </c>
      <c r="Q7038" t="s">
        <v>7829</v>
      </c>
      <c r="R7038" t="s">
        <v>616</v>
      </c>
      <c r="S7038">
        <v>141.38847899999999</v>
      </c>
      <c r="T7038" s="1095">
        <v>-34.553305999999999</v>
      </c>
    </row>
    <row r="7039" spans="16:20">
      <c r="P7039" s="1094">
        <v>3496</v>
      </c>
      <c r="Q7039" t="s">
        <v>7830</v>
      </c>
      <c r="R7039" t="s">
        <v>616</v>
      </c>
      <c r="S7039">
        <v>141.38847899999999</v>
      </c>
      <c r="T7039" s="1095">
        <v>-34.553305999999999</v>
      </c>
    </row>
    <row r="7040" spans="16:20">
      <c r="P7040" s="1094">
        <v>3496</v>
      </c>
      <c r="Q7040" t="s">
        <v>7831</v>
      </c>
      <c r="R7040" t="s">
        <v>616</v>
      </c>
      <c r="S7040">
        <v>141.38847899999999</v>
      </c>
      <c r="T7040" s="1095">
        <v>-34.553305999999999</v>
      </c>
    </row>
    <row r="7041" spans="16:20">
      <c r="P7041" s="1094">
        <v>3496</v>
      </c>
      <c r="Q7041" t="s">
        <v>7832</v>
      </c>
      <c r="R7041" t="s">
        <v>616</v>
      </c>
      <c r="S7041">
        <v>141.38847899999999</v>
      </c>
      <c r="T7041" s="1095">
        <v>-34.553305999999999</v>
      </c>
    </row>
    <row r="7042" spans="16:20">
      <c r="P7042" s="1094">
        <v>3496</v>
      </c>
      <c r="Q7042" t="s">
        <v>7833</v>
      </c>
      <c r="R7042" t="s">
        <v>616</v>
      </c>
      <c r="S7042">
        <v>141.38847899999999</v>
      </c>
      <c r="T7042" s="1095">
        <v>-34.553305999999999</v>
      </c>
    </row>
    <row r="7043" spans="16:20">
      <c r="P7043" s="1094">
        <v>3496</v>
      </c>
      <c r="Q7043" t="s">
        <v>7834</v>
      </c>
      <c r="R7043" t="s">
        <v>616</v>
      </c>
      <c r="S7043">
        <v>141.38847899999999</v>
      </c>
      <c r="T7043" s="1095">
        <v>-34.553305999999999</v>
      </c>
    </row>
    <row r="7044" spans="16:20">
      <c r="P7044" s="1094">
        <v>3496</v>
      </c>
      <c r="Q7044" t="s">
        <v>7835</v>
      </c>
      <c r="R7044" t="s">
        <v>616</v>
      </c>
      <c r="S7044">
        <v>141.38847899999999</v>
      </c>
      <c r="T7044" s="1095">
        <v>-34.553305999999999</v>
      </c>
    </row>
    <row r="7045" spans="16:20">
      <c r="P7045" s="1094">
        <v>3496</v>
      </c>
      <c r="Q7045" t="s">
        <v>7836</v>
      </c>
      <c r="R7045" t="s">
        <v>616</v>
      </c>
      <c r="S7045">
        <v>141.38847899999999</v>
      </c>
      <c r="T7045" s="1095">
        <v>-34.553305999999999</v>
      </c>
    </row>
    <row r="7046" spans="16:20">
      <c r="P7046" s="1094">
        <v>3496</v>
      </c>
      <c r="Q7046" t="s">
        <v>7837</v>
      </c>
      <c r="R7046" t="s">
        <v>616</v>
      </c>
      <c r="S7046">
        <v>141.38847899999999</v>
      </c>
      <c r="T7046" s="1095">
        <v>-34.553305999999999</v>
      </c>
    </row>
    <row r="7047" spans="16:20">
      <c r="P7047" s="1094">
        <v>3498</v>
      </c>
      <c r="Q7047" t="s">
        <v>6061</v>
      </c>
      <c r="R7047" t="s">
        <v>616</v>
      </c>
      <c r="S7047">
        <v>142.172516</v>
      </c>
      <c r="T7047" s="1095">
        <v>-34.238385000000001</v>
      </c>
    </row>
    <row r="7048" spans="16:20">
      <c r="P7048" s="1094">
        <v>3500</v>
      </c>
      <c r="Q7048" t="s">
        <v>7838</v>
      </c>
      <c r="R7048" t="s">
        <v>616</v>
      </c>
      <c r="S7048">
        <v>142.15416099999999</v>
      </c>
      <c r="T7048" s="1095">
        <v>-34.193100000000001</v>
      </c>
    </row>
    <row r="7049" spans="16:20">
      <c r="P7049" s="1094">
        <v>3500</v>
      </c>
      <c r="Q7049" t="s">
        <v>7839</v>
      </c>
      <c r="R7049" t="s">
        <v>616</v>
      </c>
      <c r="S7049">
        <v>142.15416099999999</v>
      </c>
      <c r="T7049" s="1095">
        <v>-34.193100000000001</v>
      </c>
    </row>
    <row r="7050" spans="16:20">
      <c r="P7050" s="1094">
        <v>3500</v>
      </c>
      <c r="Q7050" t="s">
        <v>7840</v>
      </c>
      <c r="R7050" t="s">
        <v>616</v>
      </c>
      <c r="S7050">
        <v>142.15416099999999</v>
      </c>
      <c r="T7050" s="1095">
        <v>-34.193100000000001</v>
      </c>
    </row>
    <row r="7051" spans="16:20">
      <c r="P7051" s="1094">
        <v>3500</v>
      </c>
      <c r="Q7051" t="s">
        <v>7841</v>
      </c>
      <c r="R7051" t="s">
        <v>248</v>
      </c>
      <c r="S7051">
        <v>142.15416099999999</v>
      </c>
      <c r="T7051" s="1095">
        <v>-34.193100000000001</v>
      </c>
    </row>
    <row r="7052" spans="16:20">
      <c r="P7052" s="1094">
        <v>3501</v>
      </c>
      <c r="Q7052" t="s">
        <v>7842</v>
      </c>
      <c r="R7052" t="s">
        <v>616</v>
      </c>
      <c r="S7052">
        <v>142.10089600000001</v>
      </c>
      <c r="T7052" s="1095">
        <v>-34.243279000000001</v>
      </c>
    </row>
    <row r="7053" spans="16:20">
      <c r="P7053" s="1094">
        <v>3501</v>
      </c>
      <c r="Q7053" t="s">
        <v>7843</v>
      </c>
      <c r="R7053" t="s">
        <v>616</v>
      </c>
      <c r="S7053">
        <v>142.10089600000001</v>
      </c>
      <c r="T7053" s="1095">
        <v>-34.243279000000001</v>
      </c>
    </row>
    <row r="7054" spans="16:20">
      <c r="P7054" s="1094">
        <v>3501</v>
      </c>
      <c r="Q7054" t="s">
        <v>7844</v>
      </c>
      <c r="R7054" t="s">
        <v>616</v>
      </c>
      <c r="S7054">
        <v>142.10089600000001</v>
      </c>
      <c r="T7054" s="1095">
        <v>-34.243279000000001</v>
      </c>
    </row>
    <row r="7055" spans="16:20">
      <c r="P7055" s="1094">
        <v>3501</v>
      </c>
      <c r="Q7055" t="s">
        <v>7845</v>
      </c>
      <c r="R7055" t="s">
        <v>616</v>
      </c>
      <c r="S7055">
        <v>142.10089600000001</v>
      </c>
      <c r="T7055" s="1095">
        <v>-34.243279000000001</v>
      </c>
    </row>
    <row r="7056" spans="16:20">
      <c r="P7056" s="1094">
        <v>3501</v>
      </c>
      <c r="Q7056" t="s">
        <v>7846</v>
      </c>
      <c r="R7056" t="s">
        <v>616</v>
      </c>
      <c r="S7056">
        <v>142.10089600000001</v>
      </c>
      <c r="T7056" s="1095">
        <v>-34.243279000000001</v>
      </c>
    </row>
    <row r="7057" spans="16:20">
      <c r="P7057" s="1094">
        <v>3502</v>
      </c>
      <c r="Q7057" t="s">
        <v>7838</v>
      </c>
      <c r="R7057" t="s">
        <v>616</v>
      </c>
      <c r="S7057">
        <v>0</v>
      </c>
      <c r="T7057" s="1095">
        <v>0</v>
      </c>
    </row>
    <row r="7058" spans="16:20">
      <c r="P7058" s="1094">
        <v>3505</v>
      </c>
      <c r="Q7058" t="s">
        <v>7847</v>
      </c>
      <c r="R7058" t="s">
        <v>616</v>
      </c>
      <c r="S7058">
        <v>142.00419199999999</v>
      </c>
      <c r="T7058" s="1095">
        <v>-34.180531999999999</v>
      </c>
    </row>
    <row r="7059" spans="16:20">
      <c r="P7059" s="1094">
        <v>3505</v>
      </c>
      <c r="Q7059" t="s">
        <v>2014</v>
      </c>
      <c r="R7059" t="s">
        <v>616</v>
      </c>
      <c r="S7059">
        <v>142.00419199999999</v>
      </c>
      <c r="T7059" s="1095">
        <v>-34.180531999999999</v>
      </c>
    </row>
    <row r="7060" spans="16:20">
      <c r="P7060" s="1094">
        <v>3505</v>
      </c>
      <c r="Q7060" t="s">
        <v>7848</v>
      </c>
      <c r="R7060" t="s">
        <v>616</v>
      </c>
      <c r="S7060">
        <v>142.00419199999999</v>
      </c>
      <c r="T7060" s="1095">
        <v>-34.180531999999999</v>
      </c>
    </row>
    <row r="7061" spans="16:20">
      <c r="P7061" s="1094">
        <v>3505</v>
      </c>
      <c r="Q7061" t="s">
        <v>7849</v>
      </c>
      <c r="R7061" t="s">
        <v>616</v>
      </c>
      <c r="S7061">
        <v>142.00419199999999</v>
      </c>
      <c r="T7061" s="1095">
        <v>-34.180531999999999</v>
      </c>
    </row>
    <row r="7062" spans="16:20">
      <c r="P7062" s="1094">
        <v>3505</v>
      </c>
      <c r="Q7062" t="s">
        <v>7850</v>
      </c>
      <c r="R7062" t="s">
        <v>616</v>
      </c>
      <c r="S7062">
        <v>142.00419199999999</v>
      </c>
      <c r="T7062" s="1095">
        <v>-34.180531999999999</v>
      </c>
    </row>
    <row r="7063" spans="16:20">
      <c r="P7063" s="1094">
        <v>3505</v>
      </c>
      <c r="Q7063" t="s">
        <v>7851</v>
      </c>
      <c r="R7063" t="s">
        <v>616</v>
      </c>
      <c r="S7063">
        <v>142.00419199999999</v>
      </c>
      <c r="T7063" s="1095">
        <v>-34.180531999999999</v>
      </c>
    </row>
    <row r="7064" spans="16:20">
      <c r="P7064" s="1094">
        <v>3505</v>
      </c>
      <c r="Q7064" t="s">
        <v>7852</v>
      </c>
      <c r="R7064" t="s">
        <v>616</v>
      </c>
      <c r="S7064">
        <v>142.00419199999999</v>
      </c>
      <c r="T7064" s="1095">
        <v>-34.180531999999999</v>
      </c>
    </row>
    <row r="7065" spans="16:20">
      <c r="P7065" s="1094">
        <v>3506</v>
      </c>
      <c r="Q7065" t="s">
        <v>7853</v>
      </c>
      <c r="R7065" t="s">
        <v>616</v>
      </c>
      <c r="S7065">
        <v>141.385876</v>
      </c>
      <c r="T7065" s="1095">
        <v>-35.204199000000003</v>
      </c>
    </row>
    <row r="7066" spans="16:20">
      <c r="P7066" s="1094">
        <v>3507</v>
      </c>
      <c r="Q7066" t="s">
        <v>7854</v>
      </c>
      <c r="R7066" t="s">
        <v>616</v>
      </c>
      <c r="S7066">
        <v>142.03565900000001</v>
      </c>
      <c r="T7066" s="1095">
        <v>-35.120595999999999</v>
      </c>
    </row>
    <row r="7067" spans="16:20">
      <c r="P7067" s="1094">
        <v>3509</v>
      </c>
      <c r="Q7067" t="s">
        <v>7855</v>
      </c>
      <c r="R7067" t="s">
        <v>616</v>
      </c>
      <c r="S7067">
        <v>141.680385</v>
      </c>
      <c r="T7067" s="1095">
        <v>-35.155031000000001</v>
      </c>
    </row>
    <row r="7068" spans="16:20">
      <c r="P7068" s="1094">
        <v>3509</v>
      </c>
      <c r="Q7068" t="s">
        <v>7856</v>
      </c>
      <c r="R7068" t="s">
        <v>616</v>
      </c>
      <c r="S7068">
        <v>141.680385</v>
      </c>
      <c r="T7068" s="1095">
        <v>-35.155031000000001</v>
      </c>
    </row>
    <row r="7069" spans="16:20">
      <c r="P7069" s="1094">
        <v>3512</v>
      </c>
      <c r="Q7069" t="s">
        <v>7857</v>
      </c>
      <c r="R7069" t="s">
        <v>616</v>
      </c>
      <c r="S7069">
        <v>141.12122600000001</v>
      </c>
      <c r="T7069" s="1095">
        <v>-35.39199</v>
      </c>
    </row>
    <row r="7070" spans="16:20">
      <c r="P7070" s="1094">
        <v>3512</v>
      </c>
      <c r="Q7070" t="s">
        <v>7858</v>
      </c>
      <c r="R7070" t="s">
        <v>616</v>
      </c>
      <c r="S7070">
        <v>141.12122600000001</v>
      </c>
      <c r="T7070" s="1095">
        <v>-35.39199</v>
      </c>
    </row>
    <row r="7071" spans="16:20">
      <c r="P7071" s="1094">
        <v>3515</v>
      </c>
      <c r="Q7071" t="s">
        <v>7859</v>
      </c>
      <c r="R7071" t="s">
        <v>616</v>
      </c>
      <c r="S7071">
        <v>144.062915</v>
      </c>
      <c r="T7071" s="1095">
        <v>-36.729444000000001</v>
      </c>
    </row>
    <row r="7072" spans="16:20">
      <c r="P7072" s="1094">
        <v>3515</v>
      </c>
      <c r="Q7072" t="s">
        <v>7860</v>
      </c>
      <c r="R7072" t="s">
        <v>616</v>
      </c>
      <c r="S7072">
        <v>144.062915</v>
      </c>
      <c r="T7072" s="1095">
        <v>-36.729444000000001</v>
      </c>
    </row>
    <row r="7073" spans="16:20">
      <c r="P7073" s="1094">
        <v>3516</v>
      </c>
      <c r="Q7073" t="s">
        <v>7861</v>
      </c>
      <c r="R7073" t="s">
        <v>616</v>
      </c>
      <c r="S7073">
        <v>144.04172199999999</v>
      </c>
      <c r="T7073" s="1095">
        <v>-36.607616</v>
      </c>
    </row>
    <row r="7074" spans="16:20">
      <c r="P7074" s="1094">
        <v>3516</v>
      </c>
      <c r="Q7074" t="s">
        <v>7862</v>
      </c>
      <c r="R7074" t="s">
        <v>616</v>
      </c>
      <c r="S7074">
        <v>144.04172199999999</v>
      </c>
      <c r="T7074" s="1095">
        <v>-36.607616</v>
      </c>
    </row>
    <row r="7075" spans="16:20">
      <c r="P7075" s="1094">
        <v>3516</v>
      </c>
      <c r="Q7075" t="s">
        <v>7863</v>
      </c>
      <c r="R7075" t="s">
        <v>616</v>
      </c>
      <c r="S7075">
        <v>144.04172199999999</v>
      </c>
      <c r="T7075" s="1095">
        <v>-36.607616</v>
      </c>
    </row>
    <row r="7076" spans="16:20">
      <c r="P7076" s="1094">
        <v>3516</v>
      </c>
      <c r="Q7076" t="s">
        <v>7864</v>
      </c>
      <c r="R7076" t="s">
        <v>616</v>
      </c>
      <c r="S7076">
        <v>144.04172199999999</v>
      </c>
      <c r="T7076" s="1095">
        <v>-36.607616</v>
      </c>
    </row>
    <row r="7077" spans="16:20">
      <c r="P7077" s="1094">
        <v>3516</v>
      </c>
      <c r="Q7077" t="s">
        <v>7865</v>
      </c>
      <c r="R7077" t="s">
        <v>616</v>
      </c>
      <c r="S7077">
        <v>144.04172199999999</v>
      </c>
      <c r="T7077" s="1095">
        <v>-36.607616</v>
      </c>
    </row>
    <row r="7078" spans="16:20">
      <c r="P7078" s="1094">
        <v>3516</v>
      </c>
      <c r="Q7078" t="s">
        <v>7866</v>
      </c>
      <c r="R7078" t="s">
        <v>616</v>
      </c>
      <c r="S7078">
        <v>144.04172199999999</v>
      </c>
      <c r="T7078" s="1095">
        <v>-36.607616</v>
      </c>
    </row>
    <row r="7079" spans="16:20">
      <c r="P7079" s="1094">
        <v>3517</v>
      </c>
      <c r="Q7079" t="s">
        <v>7867</v>
      </c>
      <c r="R7079" t="s">
        <v>616</v>
      </c>
      <c r="S7079">
        <v>143.886832</v>
      </c>
      <c r="T7079" s="1095">
        <v>-36.483116000000003</v>
      </c>
    </row>
    <row r="7080" spans="16:20">
      <c r="P7080" s="1094">
        <v>3517</v>
      </c>
      <c r="Q7080" t="s">
        <v>7868</v>
      </c>
      <c r="R7080" t="s">
        <v>616</v>
      </c>
      <c r="S7080">
        <v>143.886832</v>
      </c>
      <c r="T7080" s="1095">
        <v>-36.483116000000003</v>
      </c>
    </row>
    <row r="7081" spans="16:20">
      <c r="P7081" s="1094">
        <v>3517</v>
      </c>
      <c r="Q7081" t="s">
        <v>7869</v>
      </c>
      <c r="R7081" t="s">
        <v>616</v>
      </c>
      <c r="S7081">
        <v>143.886832</v>
      </c>
      <c r="T7081" s="1095">
        <v>-36.483116000000003</v>
      </c>
    </row>
    <row r="7082" spans="16:20">
      <c r="P7082" s="1094">
        <v>3517</v>
      </c>
      <c r="Q7082" t="s">
        <v>7870</v>
      </c>
      <c r="R7082" t="s">
        <v>616</v>
      </c>
      <c r="S7082">
        <v>143.886832</v>
      </c>
      <c r="T7082" s="1095">
        <v>-36.483116000000003</v>
      </c>
    </row>
    <row r="7083" spans="16:20">
      <c r="P7083" s="1094">
        <v>3517</v>
      </c>
      <c r="Q7083" t="s">
        <v>7871</v>
      </c>
      <c r="R7083" t="s">
        <v>616</v>
      </c>
      <c r="S7083">
        <v>143.886832</v>
      </c>
      <c r="T7083" s="1095">
        <v>-36.483116000000003</v>
      </c>
    </row>
    <row r="7084" spans="16:20">
      <c r="P7084" s="1094">
        <v>3517</v>
      </c>
      <c r="Q7084" t="s">
        <v>7872</v>
      </c>
      <c r="R7084" t="s">
        <v>616</v>
      </c>
      <c r="S7084">
        <v>143.886832</v>
      </c>
      <c r="T7084" s="1095">
        <v>-36.483116000000003</v>
      </c>
    </row>
    <row r="7085" spans="16:20">
      <c r="P7085" s="1094">
        <v>3517</v>
      </c>
      <c r="Q7085" t="s">
        <v>7873</v>
      </c>
      <c r="R7085" t="s">
        <v>616</v>
      </c>
      <c r="S7085">
        <v>143.886832</v>
      </c>
      <c r="T7085" s="1095">
        <v>-36.483116000000003</v>
      </c>
    </row>
    <row r="7086" spans="16:20">
      <c r="P7086" s="1094">
        <v>3517</v>
      </c>
      <c r="Q7086" t="s">
        <v>7874</v>
      </c>
      <c r="R7086" t="s">
        <v>616</v>
      </c>
      <c r="S7086">
        <v>143.886832</v>
      </c>
      <c r="T7086" s="1095">
        <v>-36.483116000000003</v>
      </c>
    </row>
    <row r="7087" spans="16:20">
      <c r="P7087" s="1094">
        <v>3517</v>
      </c>
      <c r="Q7087" t="s">
        <v>7875</v>
      </c>
      <c r="R7087" t="s">
        <v>616</v>
      </c>
      <c r="S7087">
        <v>143.886832</v>
      </c>
      <c r="T7087" s="1095">
        <v>-36.483116000000003</v>
      </c>
    </row>
    <row r="7088" spans="16:20">
      <c r="P7088" s="1094">
        <v>3517</v>
      </c>
      <c r="Q7088" t="s">
        <v>7876</v>
      </c>
      <c r="R7088" t="s">
        <v>616</v>
      </c>
      <c r="S7088">
        <v>143.886832</v>
      </c>
      <c r="T7088" s="1095">
        <v>-36.483116000000003</v>
      </c>
    </row>
    <row r="7089" spans="16:20">
      <c r="P7089" s="1094">
        <v>3517</v>
      </c>
      <c r="Q7089" t="s">
        <v>7877</v>
      </c>
      <c r="R7089" t="s">
        <v>616</v>
      </c>
      <c r="S7089">
        <v>143.886832</v>
      </c>
      <c r="T7089" s="1095">
        <v>-36.483116000000003</v>
      </c>
    </row>
    <row r="7090" spans="16:20">
      <c r="P7090" s="1094">
        <v>3517</v>
      </c>
      <c r="Q7090" t="s">
        <v>7878</v>
      </c>
      <c r="R7090" t="s">
        <v>616</v>
      </c>
      <c r="S7090">
        <v>143.886832</v>
      </c>
      <c r="T7090" s="1095">
        <v>-36.483116000000003</v>
      </c>
    </row>
    <row r="7091" spans="16:20">
      <c r="P7091" s="1094">
        <v>3518</v>
      </c>
      <c r="Q7091" t="s">
        <v>7879</v>
      </c>
      <c r="R7091" t="s">
        <v>616</v>
      </c>
      <c r="S7091">
        <v>143.58621500000001</v>
      </c>
      <c r="T7091" s="1095">
        <v>-36.474936999999997</v>
      </c>
    </row>
    <row r="7092" spans="16:20">
      <c r="P7092" s="1094">
        <v>3518</v>
      </c>
      <c r="Q7092" t="s">
        <v>7880</v>
      </c>
      <c r="R7092" t="s">
        <v>616</v>
      </c>
      <c r="S7092">
        <v>143.58621500000001</v>
      </c>
      <c r="T7092" s="1095">
        <v>-36.474936999999997</v>
      </c>
    </row>
    <row r="7093" spans="16:20">
      <c r="P7093" s="1094">
        <v>3518</v>
      </c>
      <c r="Q7093" t="s">
        <v>7881</v>
      </c>
      <c r="R7093" t="s">
        <v>616</v>
      </c>
      <c r="S7093">
        <v>143.58621500000001</v>
      </c>
      <c r="T7093" s="1095">
        <v>-36.474936999999997</v>
      </c>
    </row>
    <row r="7094" spans="16:20">
      <c r="P7094" s="1094">
        <v>3518</v>
      </c>
      <c r="Q7094" t="s">
        <v>7882</v>
      </c>
      <c r="R7094" t="s">
        <v>616</v>
      </c>
      <c r="S7094">
        <v>143.58621500000001</v>
      </c>
      <c r="T7094" s="1095">
        <v>-36.474936999999997</v>
      </c>
    </row>
    <row r="7095" spans="16:20">
      <c r="P7095" s="1094">
        <v>3518</v>
      </c>
      <c r="Q7095" t="s">
        <v>7883</v>
      </c>
      <c r="R7095" t="s">
        <v>616</v>
      </c>
      <c r="S7095">
        <v>143.58621500000001</v>
      </c>
      <c r="T7095" s="1095">
        <v>-36.474936999999997</v>
      </c>
    </row>
    <row r="7096" spans="16:20">
      <c r="P7096" s="1094">
        <v>3518</v>
      </c>
      <c r="Q7096" t="s">
        <v>7884</v>
      </c>
      <c r="R7096" t="s">
        <v>616</v>
      </c>
      <c r="S7096">
        <v>143.58621500000001</v>
      </c>
      <c r="T7096" s="1095">
        <v>-36.474936999999997</v>
      </c>
    </row>
    <row r="7097" spans="16:20">
      <c r="P7097" s="1094">
        <v>3518</v>
      </c>
      <c r="Q7097" t="s">
        <v>7885</v>
      </c>
      <c r="R7097" t="s">
        <v>616</v>
      </c>
      <c r="S7097">
        <v>143.58621500000001</v>
      </c>
      <c r="T7097" s="1095">
        <v>-36.474936999999997</v>
      </c>
    </row>
    <row r="7098" spans="16:20">
      <c r="P7098" s="1094">
        <v>3518</v>
      </c>
      <c r="Q7098" t="s">
        <v>7886</v>
      </c>
      <c r="R7098" t="s">
        <v>616</v>
      </c>
      <c r="S7098">
        <v>143.58621500000001</v>
      </c>
      <c r="T7098" s="1095">
        <v>-36.474936999999997</v>
      </c>
    </row>
    <row r="7099" spans="16:20">
      <c r="P7099" s="1094">
        <v>3518</v>
      </c>
      <c r="Q7099" t="s">
        <v>7887</v>
      </c>
      <c r="R7099" t="s">
        <v>616</v>
      </c>
      <c r="S7099">
        <v>143.58621500000001</v>
      </c>
      <c r="T7099" s="1095">
        <v>-36.474936999999997</v>
      </c>
    </row>
    <row r="7100" spans="16:20">
      <c r="P7100" s="1094">
        <v>3518</v>
      </c>
      <c r="Q7100" t="s">
        <v>7888</v>
      </c>
      <c r="R7100" t="s">
        <v>616</v>
      </c>
      <c r="S7100">
        <v>143.58621500000001</v>
      </c>
      <c r="T7100" s="1095">
        <v>-36.474936999999997</v>
      </c>
    </row>
    <row r="7101" spans="16:20">
      <c r="P7101" s="1094">
        <v>3518</v>
      </c>
      <c r="Q7101" t="s">
        <v>7889</v>
      </c>
      <c r="R7101" t="s">
        <v>616</v>
      </c>
      <c r="S7101">
        <v>143.58621500000001</v>
      </c>
      <c r="T7101" s="1095">
        <v>-36.474936999999997</v>
      </c>
    </row>
    <row r="7102" spans="16:20">
      <c r="P7102" s="1094">
        <v>3518</v>
      </c>
      <c r="Q7102" t="s">
        <v>4529</v>
      </c>
      <c r="R7102" t="s">
        <v>616</v>
      </c>
      <c r="S7102">
        <v>143.58621500000001</v>
      </c>
      <c r="T7102" s="1095">
        <v>-36.474936999999997</v>
      </c>
    </row>
    <row r="7103" spans="16:20">
      <c r="P7103" s="1094">
        <v>3518</v>
      </c>
      <c r="Q7103" t="s">
        <v>7890</v>
      </c>
      <c r="R7103" t="s">
        <v>616</v>
      </c>
      <c r="S7103">
        <v>143.58621500000001</v>
      </c>
      <c r="T7103" s="1095">
        <v>-36.474936999999997</v>
      </c>
    </row>
    <row r="7104" spans="16:20">
      <c r="P7104" s="1094">
        <v>3518</v>
      </c>
      <c r="Q7104" t="s">
        <v>7891</v>
      </c>
      <c r="R7104" t="s">
        <v>616</v>
      </c>
      <c r="S7104">
        <v>143.58621500000001</v>
      </c>
      <c r="T7104" s="1095">
        <v>-36.474936999999997</v>
      </c>
    </row>
    <row r="7105" spans="16:20">
      <c r="P7105" s="1094">
        <v>3518</v>
      </c>
      <c r="Q7105" t="s">
        <v>7892</v>
      </c>
      <c r="R7105" t="s">
        <v>616</v>
      </c>
      <c r="S7105">
        <v>143.58621500000001</v>
      </c>
      <c r="T7105" s="1095">
        <v>-36.474936999999997</v>
      </c>
    </row>
    <row r="7106" spans="16:20">
      <c r="P7106" s="1094">
        <v>3518</v>
      </c>
      <c r="Q7106" t="s">
        <v>7893</v>
      </c>
      <c r="R7106" t="s">
        <v>616</v>
      </c>
      <c r="S7106">
        <v>143.58621500000001</v>
      </c>
      <c r="T7106" s="1095">
        <v>-36.474936999999997</v>
      </c>
    </row>
    <row r="7107" spans="16:20">
      <c r="P7107" s="1094">
        <v>3520</v>
      </c>
      <c r="Q7107" t="s">
        <v>7894</v>
      </c>
      <c r="R7107" t="s">
        <v>616</v>
      </c>
      <c r="S7107">
        <v>143.81078600000001</v>
      </c>
      <c r="T7107" s="1095">
        <v>-36.405771000000001</v>
      </c>
    </row>
    <row r="7108" spans="16:20">
      <c r="P7108" s="1094">
        <v>3520</v>
      </c>
      <c r="Q7108" t="s">
        <v>7895</v>
      </c>
      <c r="R7108" t="s">
        <v>616</v>
      </c>
      <c r="S7108">
        <v>143.81078600000001</v>
      </c>
      <c r="T7108" s="1095">
        <v>-36.405771000000001</v>
      </c>
    </row>
    <row r="7109" spans="16:20">
      <c r="P7109" s="1094">
        <v>3520</v>
      </c>
      <c r="Q7109" t="s">
        <v>7896</v>
      </c>
      <c r="R7109" t="s">
        <v>616</v>
      </c>
      <c r="S7109">
        <v>143.81078600000001</v>
      </c>
      <c r="T7109" s="1095">
        <v>-36.405771000000001</v>
      </c>
    </row>
    <row r="7110" spans="16:20">
      <c r="P7110" s="1094">
        <v>3521</v>
      </c>
      <c r="Q7110" t="s">
        <v>7897</v>
      </c>
      <c r="R7110" t="s">
        <v>616</v>
      </c>
      <c r="S7110">
        <v>144.91269299999999</v>
      </c>
      <c r="T7110" s="1095">
        <v>-37.090071000000002</v>
      </c>
    </row>
    <row r="7111" spans="16:20">
      <c r="P7111" s="1094">
        <v>3522</v>
      </c>
      <c r="Q7111" t="s">
        <v>7898</v>
      </c>
      <c r="R7111" t="s">
        <v>616</v>
      </c>
      <c r="S7111">
        <v>144.747197</v>
      </c>
      <c r="T7111" s="1095">
        <v>-37.050037000000003</v>
      </c>
    </row>
    <row r="7112" spans="16:20">
      <c r="P7112" s="1094">
        <v>3522</v>
      </c>
      <c r="Q7112" t="s">
        <v>7899</v>
      </c>
      <c r="R7112" t="s">
        <v>616</v>
      </c>
      <c r="S7112">
        <v>144.747197</v>
      </c>
      <c r="T7112" s="1095">
        <v>-37.050037000000003</v>
      </c>
    </row>
    <row r="7113" spans="16:20">
      <c r="P7113" s="1094">
        <v>3523</v>
      </c>
      <c r="Q7113" t="s">
        <v>2946</v>
      </c>
      <c r="R7113" t="s">
        <v>616</v>
      </c>
      <c r="S7113">
        <v>144.768359</v>
      </c>
      <c r="T7113" s="1095">
        <v>-36.837460999999998</v>
      </c>
    </row>
    <row r="7114" spans="16:20">
      <c r="P7114" s="1094">
        <v>3523</v>
      </c>
      <c r="Q7114" t="s">
        <v>7900</v>
      </c>
      <c r="R7114" t="s">
        <v>616</v>
      </c>
      <c r="S7114">
        <v>144.768359</v>
      </c>
      <c r="T7114" s="1095">
        <v>-36.837460999999998</v>
      </c>
    </row>
    <row r="7115" spans="16:20">
      <c r="P7115" s="1094">
        <v>3523</v>
      </c>
      <c r="Q7115" t="s">
        <v>7901</v>
      </c>
      <c r="R7115" t="s">
        <v>616</v>
      </c>
      <c r="S7115">
        <v>144.768359</v>
      </c>
      <c r="T7115" s="1095">
        <v>-36.837460999999998</v>
      </c>
    </row>
    <row r="7116" spans="16:20">
      <c r="P7116" s="1094">
        <v>3523</v>
      </c>
      <c r="Q7116" t="s">
        <v>2255</v>
      </c>
      <c r="R7116" t="s">
        <v>616</v>
      </c>
      <c r="S7116">
        <v>144.768359</v>
      </c>
      <c r="T7116" s="1095">
        <v>-36.837460999999998</v>
      </c>
    </row>
    <row r="7117" spans="16:20">
      <c r="P7117" s="1094">
        <v>3523</v>
      </c>
      <c r="Q7117" t="s">
        <v>7902</v>
      </c>
      <c r="R7117" t="s">
        <v>616</v>
      </c>
      <c r="S7117">
        <v>144.768359</v>
      </c>
      <c r="T7117" s="1095">
        <v>-36.837460999999998</v>
      </c>
    </row>
    <row r="7118" spans="16:20">
      <c r="P7118" s="1094">
        <v>3523</v>
      </c>
      <c r="Q7118" t="s">
        <v>7903</v>
      </c>
      <c r="R7118" t="s">
        <v>616</v>
      </c>
      <c r="S7118">
        <v>144.768359</v>
      </c>
      <c r="T7118" s="1095">
        <v>-36.837460999999998</v>
      </c>
    </row>
    <row r="7119" spans="16:20">
      <c r="P7119" s="1094">
        <v>3523</v>
      </c>
      <c r="Q7119" t="s">
        <v>7904</v>
      </c>
      <c r="R7119" t="s">
        <v>616</v>
      </c>
      <c r="S7119">
        <v>144.768359</v>
      </c>
      <c r="T7119" s="1095">
        <v>-36.837460999999998</v>
      </c>
    </row>
    <row r="7120" spans="16:20">
      <c r="P7120" s="1094">
        <v>3523</v>
      </c>
      <c r="Q7120" t="s">
        <v>7905</v>
      </c>
      <c r="R7120" t="s">
        <v>616</v>
      </c>
      <c r="S7120">
        <v>144.768359</v>
      </c>
      <c r="T7120" s="1095">
        <v>-36.837460999999998</v>
      </c>
    </row>
    <row r="7121" spans="16:20">
      <c r="P7121" s="1094">
        <v>3523</v>
      </c>
      <c r="Q7121" t="s">
        <v>7906</v>
      </c>
      <c r="R7121" t="s">
        <v>616</v>
      </c>
      <c r="S7121">
        <v>144.768359</v>
      </c>
      <c r="T7121" s="1095">
        <v>-36.837460999999998</v>
      </c>
    </row>
    <row r="7122" spans="16:20">
      <c r="P7122" s="1094">
        <v>3523</v>
      </c>
      <c r="Q7122" t="s">
        <v>7907</v>
      </c>
      <c r="R7122" t="s">
        <v>616</v>
      </c>
      <c r="S7122">
        <v>144.768359</v>
      </c>
      <c r="T7122" s="1095">
        <v>-36.837460999999998</v>
      </c>
    </row>
    <row r="7123" spans="16:20">
      <c r="P7123" s="1094">
        <v>3525</v>
      </c>
      <c r="Q7123" t="s">
        <v>7908</v>
      </c>
      <c r="R7123" t="s">
        <v>616</v>
      </c>
      <c r="S7123">
        <v>143.364316</v>
      </c>
      <c r="T7123" s="1095">
        <v>-36.283499999999997</v>
      </c>
    </row>
    <row r="7124" spans="16:20">
      <c r="P7124" s="1094">
        <v>3525</v>
      </c>
      <c r="Q7124" t="s">
        <v>7909</v>
      </c>
      <c r="R7124" t="s">
        <v>616</v>
      </c>
      <c r="S7124">
        <v>143.364316</v>
      </c>
      <c r="T7124" s="1095">
        <v>-36.283499999999997</v>
      </c>
    </row>
    <row r="7125" spans="16:20">
      <c r="P7125" s="1094">
        <v>3525</v>
      </c>
      <c r="Q7125" t="s">
        <v>5770</v>
      </c>
      <c r="R7125" t="s">
        <v>616</v>
      </c>
      <c r="S7125">
        <v>143.364316</v>
      </c>
      <c r="T7125" s="1095">
        <v>-36.283499999999997</v>
      </c>
    </row>
    <row r="7126" spans="16:20">
      <c r="P7126" s="1094">
        <v>3525</v>
      </c>
      <c r="Q7126" t="s">
        <v>7910</v>
      </c>
      <c r="R7126" t="s">
        <v>616</v>
      </c>
      <c r="S7126">
        <v>143.364316</v>
      </c>
      <c r="T7126" s="1095">
        <v>-36.283499999999997</v>
      </c>
    </row>
    <row r="7127" spans="16:20">
      <c r="P7127" s="1094">
        <v>3525</v>
      </c>
      <c r="Q7127" t="s">
        <v>7911</v>
      </c>
      <c r="R7127" t="s">
        <v>616</v>
      </c>
      <c r="S7127">
        <v>143.364316</v>
      </c>
      <c r="T7127" s="1095">
        <v>-36.283499999999997</v>
      </c>
    </row>
    <row r="7128" spans="16:20">
      <c r="P7128" s="1094">
        <v>3525</v>
      </c>
      <c r="Q7128" t="s">
        <v>7912</v>
      </c>
      <c r="R7128" t="s">
        <v>616</v>
      </c>
      <c r="S7128">
        <v>143.364316</v>
      </c>
      <c r="T7128" s="1095">
        <v>-36.283499999999997</v>
      </c>
    </row>
    <row r="7129" spans="16:20">
      <c r="P7129" s="1094">
        <v>3525</v>
      </c>
      <c r="Q7129" t="s">
        <v>7913</v>
      </c>
      <c r="R7129" t="s">
        <v>616</v>
      </c>
      <c r="S7129">
        <v>143.364316</v>
      </c>
      <c r="T7129" s="1095">
        <v>-36.283499999999997</v>
      </c>
    </row>
    <row r="7130" spans="16:20">
      <c r="P7130" s="1094">
        <v>3525</v>
      </c>
      <c r="Q7130" t="s">
        <v>7914</v>
      </c>
      <c r="R7130" t="s">
        <v>616</v>
      </c>
      <c r="S7130">
        <v>143.364316</v>
      </c>
      <c r="T7130" s="1095">
        <v>-36.283499999999997</v>
      </c>
    </row>
    <row r="7131" spans="16:20">
      <c r="P7131" s="1094">
        <v>3525</v>
      </c>
      <c r="Q7131" t="s">
        <v>7915</v>
      </c>
      <c r="R7131" t="s">
        <v>616</v>
      </c>
      <c r="S7131">
        <v>143.364316</v>
      </c>
      <c r="T7131" s="1095">
        <v>-36.283499999999997</v>
      </c>
    </row>
    <row r="7132" spans="16:20">
      <c r="P7132" s="1094">
        <v>3525</v>
      </c>
      <c r="Q7132" t="s">
        <v>7916</v>
      </c>
      <c r="R7132" t="s">
        <v>616</v>
      </c>
      <c r="S7132">
        <v>143.364316</v>
      </c>
      <c r="T7132" s="1095">
        <v>-36.283499999999997</v>
      </c>
    </row>
    <row r="7133" spans="16:20">
      <c r="P7133" s="1094">
        <v>3525</v>
      </c>
      <c r="Q7133" t="s">
        <v>7917</v>
      </c>
      <c r="R7133" t="s">
        <v>616</v>
      </c>
      <c r="S7133">
        <v>143.364316</v>
      </c>
      <c r="T7133" s="1095">
        <v>-36.283499999999997</v>
      </c>
    </row>
    <row r="7134" spans="16:20">
      <c r="P7134" s="1094">
        <v>3525</v>
      </c>
      <c r="Q7134" t="s">
        <v>7918</v>
      </c>
      <c r="R7134" t="s">
        <v>616</v>
      </c>
      <c r="S7134">
        <v>143.364316</v>
      </c>
      <c r="T7134" s="1095">
        <v>-36.283499999999997</v>
      </c>
    </row>
    <row r="7135" spans="16:20">
      <c r="P7135" s="1094">
        <v>3525</v>
      </c>
      <c r="Q7135" t="s">
        <v>7919</v>
      </c>
      <c r="R7135" t="s">
        <v>616</v>
      </c>
      <c r="S7135">
        <v>143.364316</v>
      </c>
      <c r="T7135" s="1095">
        <v>-36.283499999999997</v>
      </c>
    </row>
    <row r="7136" spans="16:20">
      <c r="P7136" s="1094">
        <v>3525</v>
      </c>
      <c r="Q7136" t="s">
        <v>7920</v>
      </c>
      <c r="R7136" t="s">
        <v>616</v>
      </c>
      <c r="S7136">
        <v>143.364316</v>
      </c>
      <c r="T7136" s="1095">
        <v>-36.283499999999997</v>
      </c>
    </row>
    <row r="7137" spans="16:20">
      <c r="P7137" s="1094">
        <v>3525</v>
      </c>
      <c r="Q7137" t="s">
        <v>7921</v>
      </c>
      <c r="R7137" t="s">
        <v>616</v>
      </c>
      <c r="S7137">
        <v>143.364316</v>
      </c>
      <c r="T7137" s="1095">
        <v>-36.283499999999997</v>
      </c>
    </row>
    <row r="7138" spans="16:20">
      <c r="P7138" s="1094">
        <v>3527</v>
      </c>
      <c r="Q7138" t="s">
        <v>7922</v>
      </c>
      <c r="R7138" t="s">
        <v>616</v>
      </c>
      <c r="S7138">
        <v>143.24133399999999</v>
      </c>
      <c r="T7138" s="1095">
        <v>-36.070959999999999</v>
      </c>
    </row>
    <row r="7139" spans="16:20">
      <c r="P7139" s="1094">
        <v>3527</v>
      </c>
      <c r="Q7139" t="s">
        <v>7923</v>
      </c>
      <c r="R7139" t="s">
        <v>616</v>
      </c>
      <c r="S7139">
        <v>143.24133399999999</v>
      </c>
      <c r="T7139" s="1095">
        <v>-36.070959999999999</v>
      </c>
    </row>
    <row r="7140" spans="16:20">
      <c r="P7140" s="1094">
        <v>3527</v>
      </c>
      <c r="Q7140" t="s">
        <v>7924</v>
      </c>
      <c r="R7140" t="s">
        <v>616</v>
      </c>
      <c r="S7140">
        <v>143.24133399999999</v>
      </c>
      <c r="T7140" s="1095">
        <v>-36.070959999999999</v>
      </c>
    </row>
    <row r="7141" spans="16:20">
      <c r="P7141" s="1094">
        <v>3527</v>
      </c>
      <c r="Q7141" t="s">
        <v>7925</v>
      </c>
      <c r="R7141" t="s">
        <v>616</v>
      </c>
      <c r="S7141">
        <v>143.24133399999999</v>
      </c>
      <c r="T7141" s="1095">
        <v>-36.070959999999999</v>
      </c>
    </row>
    <row r="7142" spans="16:20">
      <c r="P7142" s="1094">
        <v>3527</v>
      </c>
      <c r="Q7142" t="s">
        <v>7926</v>
      </c>
      <c r="R7142" t="s">
        <v>616</v>
      </c>
      <c r="S7142">
        <v>143.24133399999999</v>
      </c>
      <c r="T7142" s="1095">
        <v>-36.070959999999999</v>
      </c>
    </row>
    <row r="7143" spans="16:20">
      <c r="P7143" s="1094">
        <v>3527</v>
      </c>
      <c r="Q7143" t="s">
        <v>7927</v>
      </c>
      <c r="R7143" t="s">
        <v>616</v>
      </c>
      <c r="S7143">
        <v>143.24133399999999</v>
      </c>
      <c r="T7143" s="1095">
        <v>-36.070959999999999</v>
      </c>
    </row>
    <row r="7144" spans="16:20">
      <c r="P7144" s="1094">
        <v>3527</v>
      </c>
      <c r="Q7144" t="s">
        <v>7928</v>
      </c>
      <c r="R7144" t="s">
        <v>616</v>
      </c>
      <c r="S7144">
        <v>143.24133399999999</v>
      </c>
      <c r="T7144" s="1095">
        <v>-36.070959999999999</v>
      </c>
    </row>
    <row r="7145" spans="16:20">
      <c r="P7145" s="1094">
        <v>3527</v>
      </c>
      <c r="Q7145" t="s">
        <v>7929</v>
      </c>
      <c r="R7145" t="s">
        <v>616</v>
      </c>
      <c r="S7145">
        <v>143.24133399999999</v>
      </c>
      <c r="T7145" s="1095">
        <v>-36.070959999999999</v>
      </c>
    </row>
    <row r="7146" spans="16:20">
      <c r="P7146" s="1094">
        <v>3527</v>
      </c>
      <c r="Q7146" t="s">
        <v>7930</v>
      </c>
      <c r="R7146" t="s">
        <v>616</v>
      </c>
      <c r="S7146">
        <v>143.24133399999999</v>
      </c>
      <c r="T7146" s="1095">
        <v>-36.070959999999999</v>
      </c>
    </row>
    <row r="7147" spans="16:20">
      <c r="P7147" s="1094">
        <v>3529</v>
      </c>
      <c r="Q7147" t="s">
        <v>7931</v>
      </c>
      <c r="R7147" t="s">
        <v>616</v>
      </c>
      <c r="S7147">
        <v>143.232677</v>
      </c>
      <c r="T7147" s="1095">
        <v>-35.824258999999998</v>
      </c>
    </row>
    <row r="7148" spans="16:20">
      <c r="P7148" s="1094">
        <v>3529</v>
      </c>
      <c r="Q7148" t="s">
        <v>7932</v>
      </c>
      <c r="R7148" t="s">
        <v>616</v>
      </c>
      <c r="S7148">
        <v>143.232677</v>
      </c>
      <c r="T7148" s="1095">
        <v>-35.824258999999998</v>
      </c>
    </row>
    <row r="7149" spans="16:20">
      <c r="P7149" s="1094">
        <v>3530</v>
      </c>
      <c r="Q7149" t="s">
        <v>7933</v>
      </c>
      <c r="R7149" t="s">
        <v>616</v>
      </c>
      <c r="S7149">
        <v>143.15274700000001</v>
      </c>
      <c r="T7149" s="1095">
        <v>-35.701439000000001</v>
      </c>
    </row>
    <row r="7150" spans="16:20">
      <c r="P7150" s="1094">
        <v>3530</v>
      </c>
      <c r="Q7150" t="s">
        <v>7934</v>
      </c>
      <c r="R7150" t="s">
        <v>616</v>
      </c>
      <c r="S7150">
        <v>143.15274700000001</v>
      </c>
      <c r="T7150" s="1095">
        <v>-35.701439000000001</v>
      </c>
    </row>
    <row r="7151" spans="16:20">
      <c r="P7151" s="1094">
        <v>3531</v>
      </c>
      <c r="Q7151" t="s">
        <v>7935</v>
      </c>
      <c r="R7151" t="s">
        <v>616</v>
      </c>
      <c r="S7151">
        <v>142.943814</v>
      </c>
      <c r="T7151" s="1095">
        <v>-35.616408</v>
      </c>
    </row>
    <row r="7152" spans="16:20">
      <c r="P7152" s="1094">
        <v>3531</v>
      </c>
      <c r="Q7152" t="s">
        <v>7936</v>
      </c>
      <c r="R7152" t="s">
        <v>616</v>
      </c>
      <c r="S7152">
        <v>142.943814</v>
      </c>
      <c r="T7152" s="1095">
        <v>-35.616408</v>
      </c>
    </row>
    <row r="7153" spans="16:20">
      <c r="P7153" s="1094">
        <v>3531</v>
      </c>
      <c r="Q7153" t="s">
        <v>2295</v>
      </c>
      <c r="R7153" t="s">
        <v>616</v>
      </c>
      <c r="S7153">
        <v>142.943814</v>
      </c>
      <c r="T7153" s="1095">
        <v>-35.616408</v>
      </c>
    </row>
    <row r="7154" spans="16:20">
      <c r="P7154" s="1094">
        <v>3533</v>
      </c>
      <c r="Q7154" t="s">
        <v>7937</v>
      </c>
      <c r="R7154" t="s">
        <v>616</v>
      </c>
      <c r="S7154">
        <v>142.839304</v>
      </c>
      <c r="T7154" s="1095">
        <v>-35.384557000000001</v>
      </c>
    </row>
    <row r="7155" spans="16:20">
      <c r="P7155" s="1094">
        <v>3533</v>
      </c>
      <c r="Q7155" t="s">
        <v>7938</v>
      </c>
      <c r="R7155" t="s">
        <v>616</v>
      </c>
      <c r="S7155">
        <v>142.839304</v>
      </c>
      <c r="T7155" s="1095">
        <v>-35.384557000000001</v>
      </c>
    </row>
    <row r="7156" spans="16:20">
      <c r="P7156" s="1094">
        <v>3533</v>
      </c>
      <c r="Q7156" t="s">
        <v>7939</v>
      </c>
      <c r="R7156" t="s">
        <v>616</v>
      </c>
      <c r="S7156">
        <v>142.839304</v>
      </c>
      <c r="T7156" s="1095">
        <v>-35.384557000000001</v>
      </c>
    </row>
    <row r="7157" spans="16:20">
      <c r="P7157" s="1094">
        <v>3533</v>
      </c>
      <c r="Q7157" t="s">
        <v>7940</v>
      </c>
      <c r="R7157" t="s">
        <v>616</v>
      </c>
      <c r="S7157">
        <v>142.839304</v>
      </c>
      <c r="T7157" s="1095">
        <v>-35.384557000000001</v>
      </c>
    </row>
    <row r="7158" spans="16:20">
      <c r="P7158" s="1094">
        <v>3533</v>
      </c>
      <c r="Q7158" t="s">
        <v>7941</v>
      </c>
      <c r="R7158" t="s">
        <v>616</v>
      </c>
      <c r="S7158">
        <v>142.839304</v>
      </c>
      <c r="T7158" s="1095">
        <v>-35.384557000000001</v>
      </c>
    </row>
    <row r="7159" spans="16:20">
      <c r="P7159" s="1094">
        <v>3533</v>
      </c>
      <c r="Q7159" t="s">
        <v>7942</v>
      </c>
      <c r="R7159" t="s">
        <v>616</v>
      </c>
      <c r="S7159">
        <v>142.839304</v>
      </c>
      <c r="T7159" s="1095">
        <v>-35.384557000000001</v>
      </c>
    </row>
    <row r="7160" spans="16:20">
      <c r="P7160" s="1094">
        <v>3533</v>
      </c>
      <c r="Q7160" t="s">
        <v>7943</v>
      </c>
      <c r="R7160" t="s">
        <v>616</v>
      </c>
      <c r="S7160">
        <v>142.839304</v>
      </c>
      <c r="T7160" s="1095">
        <v>-35.384557000000001</v>
      </c>
    </row>
    <row r="7161" spans="16:20">
      <c r="P7161" s="1094">
        <v>3533</v>
      </c>
      <c r="Q7161" t="s">
        <v>7944</v>
      </c>
      <c r="R7161" t="s">
        <v>616</v>
      </c>
      <c r="S7161">
        <v>142.839304</v>
      </c>
      <c r="T7161" s="1095">
        <v>-35.384557000000001</v>
      </c>
    </row>
    <row r="7162" spans="16:20">
      <c r="P7162" s="1094">
        <v>3533</v>
      </c>
      <c r="Q7162" t="s">
        <v>7945</v>
      </c>
      <c r="R7162" t="s">
        <v>616</v>
      </c>
      <c r="S7162">
        <v>142.839304</v>
      </c>
      <c r="T7162" s="1095">
        <v>-35.384557000000001</v>
      </c>
    </row>
    <row r="7163" spans="16:20">
      <c r="P7163" s="1094">
        <v>3537</v>
      </c>
      <c r="Q7163" t="s">
        <v>7946</v>
      </c>
      <c r="R7163" t="s">
        <v>616</v>
      </c>
      <c r="S7163">
        <v>143.74445499999999</v>
      </c>
      <c r="T7163" s="1095">
        <v>-36.079335</v>
      </c>
    </row>
    <row r="7164" spans="16:20">
      <c r="P7164" s="1094">
        <v>3537</v>
      </c>
      <c r="Q7164" t="s">
        <v>7947</v>
      </c>
      <c r="R7164" t="s">
        <v>616</v>
      </c>
      <c r="S7164">
        <v>143.74445499999999</v>
      </c>
      <c r="T7164" s="1095">
        <v>-36.079335</v>
      </c>
    </row>
    <row r="7165" spans="16:20">
      <c r="P7165" s="1094">
        <v>3537</v>
      </c>
      <c r="Q7165" t="s">
        <v>7948</v>
      </c>
      <c r="R7165" t="s">
        <v>616</v>
      </c>
      <c r="S7165">
        <v>143.74445499999999</v>
      </c>
      <c r="T7165" s="1095">
        <v>-36.079335</v>
      </c>
    </row>
    <row r="7166" spans="16:20">
      <c r="P7166" s="1094">
        <v>3537</v>
      </c>
      <c r="Q7166" t="s">
        <v>7949</v>
      </c>
      <c r="R7166" t="s">
        <v>616</v>
      </c>
      <c r="S7166">
        <v>143.74445499999999</v>
      </c>
      <c r="T7166" s="1095">
        <v>-36.079335</v>
      </c>
    </row>
    <row r="7167" spans="16:20">
      <c r="P7167" s="1094">
        <v>3537</v>
      </c>
      <c r="Q7167" t="s">
        <v>7950</v>
      </c>
      <c r="R7167" t="s">
        <v>616</v>
      </c>
      <c r="S7167">
        <v>143.74445499999999</v>
      </c>
      <c r="T7167" s="1095">
        <v>-36.079335</v>
      </c>
    </row>
    <row r="7168" spans="16:20">
      <c r="P7168" s="1094">
        <v>3537</v>
      </c>
      <c r="Q7168" t="s">
        <v>7951</v>
      </c>
      <c r="R7168" t="s">
        <v>616</v>
      </c>
      <c r="S7168">
        <v>143.74445499999999</v>
      </c>
      <c r="T7168" s="1095">
        <v>-36.079335</v>
      </c>
    </row>
    <row r="7169" spans="16:20">
      <c r="P7169" s="1094">
        <v>3537</v>
      </c>
      <c r="Q7169" t="s">
        <v>7952</v>
      </c>
      <c r="R7169" t="s">
        <v>616</v>
      </c>
      <c r="S7169">
        <v>143.74445499999999</v>
      </c>
      <c r="T7169" s="1095">
        <v>-36.079335</v>
      </c>
    </row>
    <row r="7170" spans="16:20">
      <c r="P7170" s="1094">
        <v>3537</v>
      </c>
      <c r="Q7170" t="s">
        <v>7953</v>
      </c>
      <c r="R7170" t="s">
        <v>616</v>
      </c>
      <c r="S7170">
        <v>143.74445499999999</v>
      </c>
      <c r="T7170" s="1095">
        <v>-36.079335</v>
      </c>
    </row>
    <row r="7171" spans="16:20">
      <c r="P7171" s="1094">
        <v>3537</v>
      </c>
      <c r="Q7171" t="s">
        <v>7954</v>
      </c>
      <c r="R7171" t="s">
        <v>616</v>
      </c>
      <c r="S7171">
        <v>143.74445499999999</v>
      </c>
      <c r="T7171" s="1095">
        <v>-36.079335</v>
      </c>
    </row>
    <row r="7172" spans="16:20">
      <c r="P7172" s="1094">
        <v>3540</v>
      </c>
      <c r="Q7172" t="s">
        <v>7955</v>
      </c>
      <c r="R7172" t="s">
        <v>616</v>
      </c>
      <c r="S7172">
        <v>143.45008000000001</v>
      </c>
      <c r="T7172" s="1095">
        <v>-35.892769999999999</v>
      </c>
    </row>
    <row r="7173" spans="16:20">
      <c r="P7173" s="1094">
        <v>3540</v>
      </c>
      <c r="Q7173" t="s">
        <v>7956</v>
      </c>
      <c r="R7173" t="s">
        <v>616</v>
      </c>
      <c r="S7173">
        <v>143.45008000000001</v>
      </c>
      <c r="T7173" s="1095">
        <v>-35.892769999999999</v>
      </c>
    </row>
    <row r="7174" spans="16:20">
      <c r="P7174" s="1094">
        <v>3540</v>
      </c>
      <c r="Q7174" t="s">
        <v>7957</v>
      </c>
      <c r="R7174" t="s">
        <v>616</v>
      </c>
      <c r="S7174">
        <v>143.45008000000001</v>
      </c>
      <c r="T7174" s="1095">
        <v>-35.892769999999999</v>
      </c>
    </row>
    <row r="7175" spans="16:20">
      <c r="P7175" s="1094">
        <v>3540</v>
      </c>
      <c r="Q7175" t="s">
        <v>7958</v>
      </c>
      <c r="R7175" t="s">
        <v>616</v>
      </c>
      <c r="S7175">
        <v>143.45008000000001</v>
      </c>
      <c r="T7175" s="1095">
        <v>-35.892769999999999</v>
      </c>
    </row>
    <row r="7176" spans="16:20">
      <c r="P7176" s="1094">
        <v>3542</v>
      </c>
      <c r="Q7176" t="s">
        <v>7959</v>
      </c>
      <c r="R7176" t="s">
        <v>616</v>
      </c>
      <c r="S7176">
        <v>143.406398</v>
      </c>
      <c r="T7176" s="1095">
        <v>-35.700788000000003</v>
      </c>
    </row>
    <row r="7177" spans="16:20">
      <c r="P7177" s="1094">
        <v>3542</v>
      </c>
      <c r="Q7177" t="s">
        <v>7960</v>
      </c>
      <c r="R7177" t="s">
        <v>616</v>
      </c>
      <c r="S7177">
        <v>143.406398</v>
      </c>
      <c r="T7177" s="1095">
        <v>-35.700788000000003</v>
      </c>
    </row>
    <row r="7178" spans="16:20">
      <c r="P7178" s="1094">
        <v>3542</v>
      </c>
      <c r="Q7178" t="s">
        <v>7961</v>
      </c>
      <c r="R7178" t="s">
        <v>616</v>
      </c>
      <c r="S7178">
        <v>143.406398</v>
      </c>
      <c r="T7178" s="1095">
        <v>-35.700788000000003</v>
      </c>
    </row>
    <row r="7179" spans="16:20">
      <c r="P7179" s="1094">
        <v>3544</v>
      </c>
      <c r="Q7179" t="s">
        <v>7962</v>
      </c>
      <c r="R7179" t="s">
        <v>616</v>
      </c>
      <c r="S7179">
        <v>143.14445000000001</v>
      </c>
      <c r="T7179" s="1095">
        <v>-35.487988999999999</v>
      </c>
    </row>
    <row r="7180" spans="16:20">
      <c r="P7180" s="1094">
        <v>3544</v>
      </c>
      <c r="Q7180" t="s">
        <v>7963</v>
      </c>
      <c r="R7180" t="s">
        <v>616</v>
      </c>
      <c r="S7180">
        <v>143.14445000000001</v>
      </c>
      <c r="T7180" s="1095">
        <v>-35.487988999999999</v>
      </c>
    </row>
    <row r="7181" spans="16:20">
      <c r="P7181" s="1094">
        <v>3544</v>
      </c>
      <c r="Q7181" t="s">
        <v>7964</v>
      </c>
      <c r="R7181" t="s">
        <v>616</v>
      </c>
      <c r="S7181">
        <v>143.14445000000001</v>
      </c>
      <c r="T7181" s="1095">
        <v>-35.487988999999999</v>
      </c>
    </row>
    <row r="7182" spans="16:20">
      <c r="P7182" s="1094">
        <v>3546</v>
      </c>
      <c r="Q7182" t="s">
        <v>7965</v>
      </c>
      <c r="R7182" t="s">
        <v>616</v>
      </c>
      <c r="S7182">
        <v>142.85045600000001</v>
      </c>
      <c r="T7182" s="1095">
        <v>-35.060163000000003</v>
      </c>
    </row>
    <row r="7183" spans="16:20">
      <c r="P7183" s="1094">
        <v>3546</v>
      </c>
      <c r="Q7183" t="s">
        <v>7966</v>
      </c>
      <c r="R7183" t="s">
        <v>616</v>
      </c>
      <c r="S7183">
        <v>142.85045600000001</v>
      </c>
      <c r="T7183" s="1095">
        <v>-35.060163000000003</v>
      </c>
    </row>
    <row r="7184" spans="16:20">
      <c r="P7184" s="1094">
        <v>3546</v>
      </c>
      <c r="Q7184" t="s">
        <v>7967</v>
      </c>
      <c r="R7184" t="s">
        <v>616</v>
      </c>
      <c r="S7184">
        <v>142.85045600000001</v>
      </c>
      <c r="T7184" s="1095">
        <v>-35.060163000000003</v>
      </c>
    </row>
    <row r="7185" spans="16:20">
      <c r="P7185" s="1094">
        <v>3546</v>
      </c>
      <c r="Q7185" t="s">
        <v>7968</v>
      </c>
      <c r="R7185" t="s">
        <v>616</v>
      </c>
      <c r="S7185">
        <v>142.85045600000001</v>
      </c>
      <c r="T7185" s="1095">
        <v>-35.060163000000003</v>
      </c>
    </row>
    <row r="7186" spans="16:20">
      <c r="P7186" s="1094">
        <v>3546</v>
      </c>
      <c r="Q7186" t="s">
        <v>7969</v>
      </c>
      <c r="R7186" t="s">
        <v>616</v>
      </c>
      <c r="S7186">
        <v>142.85045600000001</v>
      </c>
      <c r="T7186" s="1095">
        <v>-35.060163000000003</v>
      </c>
    </row>
    <row r="7187" spans="16:20">
      <c r="P7187" s="1094">
        <v>3546</v>
      </c>
      <c r="Q7187" t="s">
        <v>7970</v>
      </c>
      <c r="R7187" t="s">
        <v>616</v>
      </c>
      <c r="S7187">
        <v>142.85045600000001</v>
      </c>
      <c r="T7187" s="1095">
        <v>-35.060163000000003</v>
      </c>
    </row>
    <row r="7188" spans="16:20">
      <c r="P7188" s="1094">
        <v>3549</v>
      </c>
      <c r="Q7188" t="s">
        <v>7971</v>
      </c>
      <c r="R7188" t="s">
        <v>616</v>
      </c>
      <c r="S7188">
        <v>142.82097300000001</v>
      </c>
      <c r="T7188" s="1095">
        <v>-34.766049000000002</v>
      </c>
    </row>
    <row r="7189" spans="16:20">
      <c r="P7189" s="1094">
        <v>3549</v>
      </c>
      <c r="Q7189" t="s">
        <v>7972</v>
      </c>
      <c r="R7189" t="s">
        <v>616</v>
      </c>
      <c r="S7189">
        <v>142.82097300000001</v>
      </c>
      <c r="T7189" s="1095">
        <v>-34.766049000000002</v>
      </c>
    </row>
    <row r="7190" spans="16:20">
      <c r="P7190" s="1094">
        <v>3549</v>
      </c>
      <c r="Q7190" t="s">
        <v>3404</v>
      </c>
      <c r="R7190" t="s">
        <v>616</v>
      </c>
      <c r="S7190">
        <v>142.82097300000001</v>
      </c>
      <c r="T7190" s="1095">
        <v>-34.766049000000002</v>
      </c>
    </row>
    <row r="7191" spans="16:20">
      <c r="P7191" s="1094">
        <v>3549</v>
      </c>
      <c r="Q7191" t="s">
        <v>7973</v>
      </c>
      <c r="R7191" t="s">
        <v>616</v>
      </c>
      <c r="S7191">
        <v>142.82097300000001</v>
      </c>
      <c r="T7191" s="1095">
        <v>-34.766049000000002</v>
      </c>
    </row>
    <row r="7192" spans="16:20">
      <c r="P7192" s="1094">
        <v>3549</v>
      </c>
      <c r="Q7192" t="s">
        <v>7974</v>
      </c>
      <c r="R7192" t="s">
        <v>616</v>
      </c>
      <c r="S7192">
        <v>142.82097300000001</v>
      </c>
      <c r="T7192" s="1095">
        <v>-34.766049000000002</v>
      </c>
    </row>
    <row r="7193" spans="16:20">
      <c r="P7193" s="1094">
        <v>3549</v>
      </c>
      <c r="Q7193" t="s">
        <v>7975</v>
      </c>
      <c r="R7193" t="s">
        <v>616</v>
      </c>
      <c r="S7193">
        <v>142.82097300000001</v>
      </c>
      <c r="T7193" s="1095">
        <v>-34.766049000000002</v>
      </c>
    </row>
    <row r="7194" spans="16:20">
      <c r="P7194" s="1094">
        <v>3549</v>
      </c>
      <c r="Q7194" t="s">
        <v>7976</v>
      </c>
      <c r="R7194" t="s">
        <v>616</v>
      </c>
      <c r="S7194">
        <v>142.82097300000001</v>
      </c>
      <c r="T7194" s="1095">
        <v>-34.766049000000002</v>
      </c>
    </row>
    <row r="7195" spans="16:20">
      <c r="P7195" s="1094">
        <v>3550</v>
      </c>
      <c r="Q7195" t="s">
        <v>7977</v>
      </c>
      <c r="R7195" t="s">
        <v>616</v>
      </c>
      <c r="S7195">
        <v>144.285267</v>
      </c>
      <c r="T7195" s="1095">
        <v>-36.764268999999999</v>
      </c>
    </row>
    <row r="7196" spans="16:20">
      <c r="P7196" s="1094">
        <v>3550</v>
      </c>
      <c r="Q7196" t="s">
        <v>7978</v>
      </c>
      <c r="R7196" t="s">
        <v>616</v>
      </c>
      <c r="S7196">
        <v>144.285267</v>
      </c>
      <c r="T7196" s="1095">
        <v>-36.764268999999999</v>
      </c>
    </row>
    <row r="7197" spans="16:20">
      <c r="P7197" s="1094">
        <v>3550</v>
      </c>
      <c r="Q7197" t="s">
        <v>7979</v>
      </c>
      <c r="R7197" t="s">
        <v>616</v>
      </c>
      <c r="S7197">
        <v>144.285267</v>
      </c>
      <c r="T7197" s="1095">
        <v>-36.764268999999999</v>
      </c>
    </row>
    <row r="7198" spans="16:20">
      <c r="P7198" s="1094">
        <v>3550</v>
      </c>
      <c r="Q7198" t="s">
        <v>7980</v>
      </c>
      <c r="R7198" t="s">
        <v>616</v>
      </c>
      <c r="S7198">
        <v>144.285267</v>
      </c>
      <c r="T7198" s="1095">
        <v>-36.764268999999999</v>
      </c>
    </row>
    <row r="7199" spans="16:20">
      <c r="P7199" s="1094">
        <v>3550</v>
      </c>
      <c r="Q7199" t="s">
        <v>7981</v>
      </c>
      <c r="R7199" t="s">
        <v>616</v>
      </c>
      <c r="S7199">
        <v>144.285267</v>
      </c>
      <c r="T7199" s="1095">
        <v>-36.764268999999999</v>
      </c>
    </row>
    <row r="7200" spans="16:20">
      <c r="P7200" s="1094">
        <v>3550</v>
      </c>
      <c r="Q7200" t="s">
        <v>2935</v>
      </c>
      <c r="R7200" t="s">
        <v>616</v>
      </c>
      <c r="S7200">
        <v>144.285267</v>
      </c>
      <c r="T7200" s="1095">
        <v>-36.764268999999999</v>
      </c>
    </row>
    <row r="7201" spans="16:20">
      <c r="P7201" s="1094">
        <v>3550</v>
      </c>
      <c r="Q7201" t="s">
        <v>7982</v>
      </c>
      <c r="R7201" t="s">
        <v>616</v>
      </c>
      <c r="S7201">
        <v>144.285267</v>
      </c>
      <c r="T7201" s="1095">
        <v>-36.764268999999999</v>
      </c>
    </row>
    <row r="7202" spans="16:20">
      <c r="P7202" s="1094">
        <v>3550</v>
      </c>
      <c r="Q7202" t="s">
        <v>7983</v>
      </c>
      <c r="R7202" t="s">
        <v>616</v>
      </c>
      <c r="S7202">
        <v>144.285267</v>
      </c>
      <c r="T7202" s="1095">
        <v>-36.764268999999999</v>
      </c>
    </row>
    <row r="7203" spans="16:20">
      <c r="P7203" s="1094">
        <v>3550</v>
      </c>
      <c r="Q7203" t="s">
        <v>7984</v>
      </c>
      <c r="R7203" t="s">
        <v>616</v>
      </c>
      <c r="S7203">
        <v>144.285267</v>
      </c>
      <c r="T7203" s="1095">
        <v>-36.764268999999999</v>
      </c>
    </row>
    <row r="7204" spans="16:20">
      <c r="P7204" s="1094">
        <v>3550</v>
      </c>
      <c r="Q7204" t="s">
        <v>7985</v>
      </c>
      <c r="R7204" t="s">
        <v>616</v>
      </c>
      <c r="S7204">
        <v>144.285267</v>
      </c>
      <c r="T7204" s="1095">
        <v>-36.764268999999999</v>
      </c>
    </row>
    <row r="7205" spans="16:20">
      <c r="P7205" s="1094">
        <v>3550</v>
      </c>
      <c r="Q7205" t="s">
        <v>7986</v>
      </c>
      <c r="R7205" t="s">
        <v>616</v>
      </c>
      <c r="S7205">
        <v>144.285267</v>
      </c>
      <c r="T7205" s="1095">
        <v>-36.764268999999999</v>
      </c>
    </row>
    <row r="7206" spans="16:20">
      <c r="P7206" s="1094">
        <v>3550</v>
      </c>
      <c r="Q7206" t="s">
        <v>7987</v>
      </c>
      <c r="R7206" t="s">
        <v>616</v>
      </c>
      <c r="S7206">
        <v>144.285267</v>
      </c>
      <c r="T7206" s="1095">
        <v>-36.764268999999999</v>
      </c>
    </row>
    <row r="7207" spans="16:20">
      <c r="P7207" s="1094">
        <v>3550</v>
      </c>
      <c r="Q7207" t="s">
        <v>7988</v>
      </c>
      <c r="R7207" t="s">
        <v>616</v>
      </c>
      <c r="S7207">
        <v>144.285267</v>
      </c>
      <c r="T7207" s="1095">
        <v>-36.764268999999999</v>
      </c>
    </row>
    <row r="7208" spans="16:20">
      <c r="P7208" s="1094">
        <v>3550</v>
      </c>
      <c r="Q7208" t="s">
        <v>7989</v>
      </c>
      <c r="R7208" t="s">
        <v>616</v>
      </c>
      <c r="S7208">
        <v>144.285267</v>
      </c>
      <c r="T7208" s="1095">
        <v>-36.764268999999999</v>
      </c>
    </row>
    <row r="7209" spans="16:20">
      <c r="P7209" s="1094">
        <v>3550</v>
      </c>
      <c r="Q7209" t="s">
        <v>7990</v>
      </c>
      <c r="R7209" t="s">
        <v>616</v>
      </c>
      <c r="S7209">
        <v>144.285267</v>
      </c>
      <c r="T7209" s="1095">
        <v>-36.764268999999999</v>
      </c>
    </row>
    <row r="7210" spans="16:20">
      <c r="P7210" s="1094">
        <v>3550</v>
      </c>
      <c r="Q7210" t="s">
        <v>7991</v>
      </c>
      <c r="R7210" t="s">
        <v>616</v>
      </c>
      <c r="S7210">
        <v>144.285267</v>
      </c>
      <c r="T7210" s="1095">
        <v>-36.764268999999999</v>
      </c>
    </row>
    <row r="7211" spans="16:20">
      <c r="P7211" s="1094">
        <v>3551</v>
      </c>
      <c r="Q7211" t="s">
        <v>7992</v>
      </c>
      <c r="R7211" t="s">
        <v>616</v>
      </c>
      <c r="S7211">
        <v>144.45793699999999</v>
      </c>
      <c r="T7211" s="1095">
        <v>-36.781370000000003</v>
      </c>
    </row>
    <row r="7212" spans="16:20">
      <c r="P7212" s="1094">
        <v>3551</v>
      </c>
      <c r="Q7212" t="s">
        <v>7993</v>
      </c>
      <c r="R7212" t="s">
        <v>616</v>
      </c>
      <c r="S7212">
        <v>144.45793699999999</v>
      </c>
      <c r="T7212" s="1095">
        <v>-36.781370000000003</v>
      </c>
    </row>
    <row r="7213" spans="16:20">
      <c r="P7213" s="1094">
        <v>3551</v>
      </c>
      <c r="Q7213" t="s">
        <v>7355</v>
      </c>
      <c r="R7213" t="s">
        <v>616</v>
      </c>
      <c r="S7213">
        <v>144.45793699999999</v>
      </c>
      <c r="T7213" s="1095">
        <v>-36.781370000000003</v>
      </c>
    </row>
    <row r="7214" spans="16:20">
      <c r="P7214" s="1094">
        <v>3551</v>
      </c>
      <c r="Q7214" t="s">
        <v>7994</v>
      </c>
      <c r="R7214" t="s">
        <v>616</v>
      </c>
      <c r="S7214">
        <v>144.45793699999999</v>
      </c>
      <c r="T7214" s="1095">
        <v>-36.781370000000003</v>
      </c>
    </row>
    <row r="7215" spans="16:20">
      <c r="P7215" s="1094">
        <v>3551</v>
      </c>
      <c r="Q7215" t="s">
        <v>7995</v>
      </c>
      <c r="R7215" t="s">
        <v>616</v>
      </c>
      <c r="S7215">
        <v>144.45793699999999</v>
      </c>
      <c r="T7215" s="1095">
        <v>-36.781370000000003</v>
      </c>
    </row>
    <row r="7216" spans="16:20">
      <c r="P7216" s="1094">
        <v>3551</v>
      </c>
      <c r="Q7216" t="s">
        <v>7996</v>
      </c>
      <c r="R7216" t="s">
        <v>616</v>
      </c>
      <c r="S7216">
        <v>144.45793699999999</v>
      </c>
      <c r="T7216" s="1095">
        <v>-36.781370000000003</v>
      </c>
    </row>
    <row r="7217" spans="16:20">
      <c r="P7217" s="1094">
        <v>3551</v>
      </c>
      <c r="Q7217" t="s">
        <v>7997</v>
      </c>
      <c r="R7217" t="s">
        <v>616</v>
      </c>
      <c r="S7217">
        <v>144.45793699999999</v>
      </c>
      <c r="T7217" s="1095">
        <v>-36.781370000000003</v>
      </c>
    </row>
    <row r="7218" spans="16:20">
      <c r="P7218" s="1094">
        <v>3551</v>
      </c>
      <c r="Q7218" t="s">
        <v>7998</v>
      </c>
      <c r="R7218" t="s">
        <v>616</v>
      </c>
      <c r="S7218">
        <v>144.45793699999999</v>
      </c>
      <c r="T7218" s="1095">
        <v>-36.781370000000003</v>
      </c>
    </row>
    <row r="7219" spans="16:20">
      <c r="P7219" s="1094">
        <v>3551</v>
      </c>
      <c r="Q7219" t="s">
        <v>7999</v>
      </c>
      <c r="R7219" t="s">
        <v>616</v>
      </c>
      <c r="S7219">
        <v>144.45793699999999</v>
      </c>
      <c r="T7219" s="1095">
        <v>-36.781370000000003</v>
      </c>
    </row>
    <row r="7220" spans="16:20">
      <c r="P7220" s="1094">
        <v>3551</v>
      </c>
      <c r="Q7220" t="s">
        <v>8000</v>
      </c>
      <c r="R7220" t="s">
        <v>616</v>
      </c>
      <c r="S7220">
        <v>144.45793699999999</v>
      </c>
      <c r="T7220" s="1095">
        <v>-36.781370000000003</v>
      </c>
    </row>
    <row r="7221" spans="16:20">
      <c r="P7221" s="1094">
        <v>3551</v>
      </c>
      <c r="Q7221" t="s">
        <v>8001</v>
      </c>
      <c r="R7221" t="s">
        <v>616</v>
      </c>
      <c r="S7221">
        <v>144.45793699999999</v>
      </c>
      <c r="T7221" s="1095">
        <v>-36.781370000000003</v>
      </c>
    </row>
    <row r="7222" spans="16:20">
      <c r="P7222" s="1094">
        <v>3551</v>
      </c>
      <c r="Q7222" t="s">
        <v>8002</v>
      </c>
      <c r="R7222" t="s">
        <v>616</v>
      </c>
      <c r="S7222">
        <v>144.45793699999999</v>
      </c>
      <c r="T7222" s="1095">
        <v>-36.781370000000003</v>
      </c>
    </row>
    <row r="7223" spans="16:20">
      <c r="P7223" s="1094">
        <v>3551</v>
      </c>
      <c r="Q7223" t="s">
        <v>8003</v>
      </c>
      <c r="R7223" t="s">
        <v>616</v>
      </c>
      <c r="S7223">
        <v>144.45793699999999</v>
      </c>
      <c r="T7223" s="1095">
        <v>-36.781370000000003</v>
      </c>
    </row>
    <row r="7224" spans="16:20">
      <c r="P7224" s="1094">
        <v>3551</v>
      </c>
      <c r="Q7224" t="s">
        <v>8004</v>
      </c>
      <c r="R7224" t="s">
        <v>616</v>
      </c>
      <c r="S7224">
        <v>144.45793699999999</v>
      </c>
      <c r="T7224" s="1095">
        <v>-36.781370000000003</v>
      </c>
    </row>
    <row r="7225" spans="16:20">
      <c r="P7225" s="1094">
        <v>3551</v>
      </c>
      <c r="Q7225" t="s">
        <v>8005</v>
      </c>
      <c r="R7225" t="s">
        <v>616</v>
      </c>
      <c r="S7225">
        <v>144.45793699999999</v>
      </c>
      <c r="T7225" s="1095">
        <v>-36.781370000000003</v>
      </c>
    </row>
    <row r="7226" spans="16:20">
      <c r="P7226" s="1094">
        <v>3551</v>
      </c>
      <c r="Q7226" t="s">
        <v>8006</v>
      </c>
      <c r="R7226" t="s">
        <v>616</v>
      </c>
      <c r="S7226">
        <v>144.45793699999999</v>
      </c>
      <c r="T7226" s="1095">
        <v>-36.781370000000003</v>
      </c>
    </row>
    <row r="7227" spans="16:20">
      <c r="P7227" s="1094">
        <v>3551</v>
      </c>
      <c r="Q7227" t="s">
        <v>8007</v>
      </c>
      <c r="R7227" t="s">
        <v>616</v>
      </c>
      <c r="S7227">
        <v>144.45793699999999</v>
      </c>
      <c r="T7227" s="1095">
        <v>-36.781370000000003</v>
      </c>
    </row>
    <row r="7228" spans="16:20">
      <c r="P7228" s="1094">
        <v>3551</v>
      </c>
      <c r="Q7228" t="s">
        <v>8008</v>
      </c>
      <c r="R7228" t="s">
        <v>616</v>
      </c>
      <c r="S7228">
        <v>144.45793699999999</v>
      </c>
      <c r="T7228" s="1095">
        <v>-36.781370000000003</v>
      </c>
    </row>
    <row r="7229" spans="16:20">
      <c r="P7229" s="1094">
        <v>3551</v>
      </c>
      <c r="Q7229" t="s">
        <v>8009</v>
      </c>
      <c r="R7229" t="s">
        <v>616</v>
      </c>
      <c r="S7229">
        <v>144.45793699999999</v>
      </c>
      <c r="T7229" s="1095">
        <v>-36.781370000000003</v>
      </c>
    </row>
    <row r="7230" spans="16:20">
      <c r="P7230" s="1094">
        <v>3551</v>
      </c>
      <c r="Q7230" t="s">
        <v>8010</v>
      </c>
      <c r="R7230" t="s">
        <v>616</v>
      </c>
      <c r="S7230">
        <v>144.45793699999999</v>
      </c>
      <c r="T7230" s="1095">
        <v>-36.781370000000003</v>
      </c>
    </row>
    <row r="7231" spans="16:20">
      <c r="P7231" s="1094">
        <v>3551</v>
      </c>
      <c r="Q7231" t="s">
        <v>8011</v>
      </c>
      <c r="R7231" t="s">
        <v>616</v>
      </c>
      <c r="S7231">
        <v>144.45793699999999</v>
      </c>
      <c r="T7231" s="1095">
        <v>-36.781370000000003</v>
      </c>
    </row>
    <row r="7232" spans="16:20">
      <c r="P7232" s="1094">
        <v>3551</v>
      </c>
      <c r="Q7232" t="s">
        <v>8012</v>
      </c>
      <c r="R7232" t="s">
        <v>616</v>
      </c>
      <c r="S7232">
        <v>144.45793699999999</v>
      </c>
      <c r="T7232" s="1095">
        <v>-36.781370000000003</v>
      </c>
    </row>
    <row r="7233" spans="16:20">
      <c r="P7233" s="1094">
        <v>3551</v>
      </c>
      <c r="Q7233" t="s">
        <v>8013</v>
      </c>
      <c r="R7233" t="s">
        <v>616</v>
      </c>
      <c r="S7233">
        <v>144.45793699999999</v>
      </c>
      <c r="T7233" s="1095">
        <v>-36.781370000000003</v>
      </c>
    </row>
    <row r="7234" spans="16:20">
      <c r="P7234" s="1094">
        <v>3551</v>
      </c>
      <c r="Q7234" t="s">
        <v>4537</v>
      </c>
      <c r="R7234" t="s">
        <v>616</v>
      </c>
      <c r="S7234">
        <v>144.45793699999999</v>
      </c>
      <c r="T7234" s="1095">
        <v>-36.781370000000003</v>
      </c>
    </row>
    <row r="7235" spans="16:20">
      <c r="P7235" s="1094">
        <v>3551</v>
      </c>
      <c r="Q7235" t="s">
        <v>8014</v>
      </c>
      <c r="R7235" t="s">
        <v>616</v>
      </c>
      <c r="S7235">
        <v>144.45793699999999</v>
      </c>
      <c r="T7235" s="1095">
        <v>-36.781370000000003</v>
      </c>
    </row>
    <row r="7236" spans="16:20">
      <c r="P7236" s="1094">
        <v>3551</v>
      </c>
      <c r="Q7236" t="s">
        <v>8015</v>
      </c>
      <c r="R7236" t="s">
        <v>616</v>
      </c>
      <c r="S7236">
        <v>144.45793699999999</v>
      </c>
      <c r="T7236" s="1095">
        <v>-36.781370000000003</v>
      </c>
    </row>
    <row r="7237" spans="16:20">
      <c r="P7237" s="1094">
        <v>3551</v>
      </c>
      <c r="Q7237" t="s">
        <v>4373</v>
      </c>
      <c r="R7237" t="s">
        <v>616</v>
      </c>
      <c r="S7237">
        <v>144.45793699999999</v>
      </c>
      <c r="T7237" s="1095">
        <v>-36.781370000000003</v>
      </c>
    </row>
    <row r="7238" spans="16:20">
      <c r="P7238" s="1094">
        <v>3551</v>
      </c>
      <c r="Q7238" t="s">
        <v>8016</v>
      </c>
      <c r="R7238" t="s">
        <v>616</v>
      </c>
      <c r="S7238">
        <v>144.45793699999999</v>
      </c>
      <c r="T7238" s="1095">
        <v>-36.781370000000003</v>
      </c>
    </row>
    <row r="7239" spans="16:20">
      <c r="P7239" s="1094">
        <v>3551</v>
      </c>
      <c r="Q7239" t="s">
        <v>5812</v>
      </c>
      <c r="R7239" t="s">
        <v>616</v>
      </c>
      <c r="S7239">
        <v>144.45793699999999</v>
      </c>
      <c r="T7239" s="1095">
        <v>-36.781370000000003</v>
      </c>
    </row>
    <row r="7240" spans="16:20">
      <c r="P7240" s="1094">
        <v>3551</v>
      </c>
      <c r="Q7240" t="s">
        <v>8017</v>
      </c>
      <c r="R7240" t="s">
        <v>616</v>
      </c>
      <c r="S7240">
        <v>144.45793699999999</v>
      </c>
      <c r="T7240" s="1095">
        <v>-36.781370000000003</v>
      </c>
    </row>
    <row r="7241" spans="16:20">
      <c r="P7241" s="1094">
        <v>3551</v>
      </c>
      <c r="Q7241" t="s">
        <v>8018</v>
      </c>
      <c r="R7241" t="s">
        <v>616</v>
      </c>
      <c r="S7241">
        <v>144.45793699999999</v>
      </c>
      <c r="T7241" s="1095">
        <v>-36.781370000000003</v>
      </c>
    </row>
    <row r="7242" spans="16:20">
      <c r="P7242" s="1094">
        <v>3551</v>
      </c>
      <c r="Q7242" t="s">
        <v>8019</v>
      </c>
      <c r="R7242" t="s">
        <v>616</v>
      </c>
      <c r="S7242">
        <v>144.45793699999999</v>
      </c>
      <c r="T7242" s="1095">
        <v>-36.781370000000003</v>
      </c>
    </row>
    <row r="7243" spans="16:20">
      <c r="P7243" s="1094">
        <v>3551</v>
      </c>
      <c r="Q7243" t="s">
        <v>8020</v>
      </c>
      <c r="R7243" t="s">
        <v>616</v>
      </c>
      <c r="S7243">
        <v>144.45793699999999</v>
      </c>
      <c r="T7243" s="1095">
        <v>-36.781370000000003</v>
      </c>
    </row>
    <row r="7244" spans="16:20">
      <c r="P7244" s="1094">
        <v>3551</v>
      </c>
      <c r="Q7244" t="s">
        <v>8021</v>
      </c>
      <c r="R7244" t="s">
        <v>616</v>
      </c>
      <c r="S7244">
        <v>144.45793699999999</v>
      </c>
      <c r="T7244" s="1095">
        <v>-36.781370000000003</v>
      </c>
    </row>
    <row r="7245" spans="16:20">
      <c r="P7245" s="1094">
        <v>3551</v>
      </c>
      <c r="Q7245" t="s">
        <v>8022</v>
      </c>
      <c r="R7245" t="s">
        <v>616</v>
      </c>
      <c r="S7245">
        <v>144.45793699999999</v>
      </c>
      <c r="T7245" s="1095">
        <v>-36.781370000000003</v>
      </c>
    </row>
    <row r="7246" spans="16:20">
      <c r="P7246" s="1094">
        <v>3551</v>
      </c>
      <c r="Q7246" t="s">
        <v>8023</v>
      </c>
      <c r="R7246" t="s">
        <v>616</v>
      </c>
      <c r="S7246">
        <v>144.45793699999999</v>
      </c>
      <c r="T7246" s="1095">
        <v>-36.781370000000003</v>
      </c>
    </row>
    <row r="7247" spans="16:20">
      <c r="P7247" s="1094">
        <v>3551</v>
      </c>
      <c r="Q7247" t="s">
        <v>8024</v>
      </c>
      <c r="R7247" t="s">
        <v>616</v>
      </c>
      <c r="S7247">
        <v>144.45793699999999</v>
      </c>
      <c r="T7247" s="1095">
        <v>-36.781370000000003</v>
      </c>
    </row>
    <row r="7248" spans="16:20">
      <c r="P7248" s="1094">
        <v>3551</v>
      </c>
      <c r="Q7248" t="s">
        <v>8025</v>
      </c>
      <c r="R7248" t="s">
        <v>616</v>
      </c>
      <c r="S7248">
        <v>144.45793699999999</v>
      </c>
      <c r="T7248" s="1095">
        <v>-36.781370000000003</v>
      </c>
    </row>
    <row r="7249" spans="16:20">
      <c r="P7249" s="1094">
        <v>3552</v>
      </c>
      <c r="Q7249" t="s">
        <v>7977</v>
      </c>
      <c r="R7249" t="s">
        <v>616</v>
      </c>
      <c r="S7249">
        <v>0</v>
      </c>
      <c r="T7249" s="1095">
        <v>0</v>
      </c>
    </row>
    <row r="7250" spans="16:20">
      <c r="P7250" s="1094">
        <v>3554</v>
      </c>
      <c r="Q7250" t="s">
        <v>8026</v>
      </c>
      <c r="R7250" t="s">
        <v>616</v>
      </c>
      <c r="S7250">
        <v>0</v>
      </c>
      <c r="T7250" s="1095">
        <v>0</v>
      </c>
    </row>
    <row r="7251" spans="16:20">
      <c r="P7251" s="1094">
        <v>3555</v>
      </c>
      <c r="Q7251" t="s">
        <v>4637</v>
      </c>
      <c r="R7251" t="s">
        <v>616</v>
      </c>
      <c r="S7251">
        <v>144.245239</v>
      </c>
      <c r="T7251" s="1095">
        <v>-36.777225999999999</v>
      </c>
    </row>
    <row r="7252" spans="16:20">
      <c r="P7252" s="1094">
        <v>3555</v>
      </c>
      <c r="Q7252" t="s">
        <v>8027</v>
      </c>
      <c r="R7252" t="s">
        <v>616</v>
      </c>
      <c r="S7252">
        <v>144.245239</v>
      </c>
      <c r="T7252" s="1095">
        <v>-36.777225999999999</v>
      </c>
    </row>
    <row r="7253" spans="16:20">
      <c r="P7253" s="1094">
        <v>3555</v>
      </c>
      <c r="Q7253" t="s">
        <v>8028</v>
      </c>
      <c r="R7253" t="s">
        <v>616</v>
      </c>
      <c r="S7253">
        <v>144.245239</v>
      </c>
      <c r="T7253" s="1095">
        <v>-36.777225999999999</v>
      </c>
    </row>
    <row r="7254" spans="16:20">
      <c r="P7254" s="1094">
        <v>3555</v>
      </c>
      <c r="Q7254" t="s">
        <v>6095</v>
      </c>
      <c r="R7254" t="s">
        <v>616</v>
      </c>
      <c r="S7254">
        <v>144.245239</v>
      </c>
      <c r="T7254" s="1095">
        <v>-36.777225999999999</v>
      </c>
    </row>
    <row r="7255" spans="16:20">
      <c r="P7255" s="1094">
        <v>3555</v>
      </c>
      <c r="Q7255" t="s">
        <v>8029</v>
      </c>
      <c r="R7255" t="s">
        <v>616</v>
      </c>
      <c r="S7255">
        <v>144.245239</v>
      </c>
      <c r="T7255" s="1095">
        <v>-36.777225999999999</v>
      </c>
    </row>
    <row r="7256" spans="16:20">
      <c r="P7256" s="1094">
        <v>3555</v>
      </c>
      <c r="Q7256" t="s">
        <v>8030</v>
      </c>
      <c r="R7256" t="s">
        <v>616</v>
      </c>
      <c r="S7256">
        <v>144.245239</v>
      </c>
      <c r="T7256" s="1095">
        <v>-36.777225999999999</v>
      </c>
    </row>
    <row r="7257" spans="16:20">
      <c r="P7257" s="1094">
        <v>3556</v>
      </c>
      <c r="Q7257" t="s">
        <v>8031</v>
      </c>
      <c r="R7257" t="s">
        <v>616</v>
      </c>
      <c r="S7257">
        <v>144.178282</v>
      </c>
      <c r="T7257" s="1095">
        <v>-36.656421999999999</v>
      </c>
    </row>
    <row r="7258" spans="16:20">
      <c r="P7258" s="1094">
        <v>3556</v>
      </c>
      <c r="Q7258" t="s">
        <v>8032</v>
      </c>
      <c r="R7258" t="s">
        <v>616</v>
      </c>
      <c r="S7258">
        <v>144.178282</v>
      </c>
      <c r="T7258" s="1095">
        <v>-36.656421999999999</v>
      </c>
    </row>
    <row r="7259" spans="16:20">
      <c r="P7259" s="1094">
        <v>3556</v>
      </c>
      <c r="Q7259" t="s">
        <v>8033</v>
      </c>
      <c r="R7259" t="s">
        <v>616</v>
      </c>
      <c r="S7259">
        <v>144.178282</v>
      </c>
      <c r="T7259" s="1095">
        <v>-36.656421999999999</v>
      </c>
    </row>
    <row r="7260" spans="16:20">
      <c r="P7260" s="1094">
        <v>3556</v>
      </c>
      <c r="Q7260" t="s">
        <v>8034</v>
      </c>
      <c r="R7260" t="s">
        <v>616</v>
      </c>
      <c r="S7260">
        <v>144.178282</v>
      </c>
      <c r="T7260" s="1095">
        <v>-36.656421999999999</v>
      </c>
    </row>
    <row r="7261" spans="16:20">
      <c r="P7261" s="1094">
        <v>3556</v>
      </c>
      <c r="Q7261" t="s">
        <v>8035</v>
      </c>
      <c r="R7261" t="s">
        <v>616</v>
      </c>
      <c r="S7261">
        <v>144.178282</v>
      </c>
      <c r="T7261" s="1095">
        <v>-36.656421999999999</v>
      </c>
    </row>
    <row r="7262" spans="16:20">
      <c r="P7262" s="1094">
        <v>3556</v>
      </c>
      <c r="Q7262" t="s">
        <v>8036</v>
      </c>
      <c r="R7262" t="s">
        <v>616</v>
      </c>
      <c r="S7262">
        <v>144.178282</v>
      </c>
      <c r="T7262" s="1095">
        <v>-36.656421999999999</v>
      </c>
    </row>
    <row r="7263" spans="16:20">
      <c r="P7263" s="1094">
        <v>3556</v>
      </c>
      <c r="Q7263" t="s">
        <v>8037</v>
      </c>
      <c r="R7263" t="s">
        <v>616</v>
      </c>
      <c r="S7263">
        <v>144.178282</v>
      </c>
      <c r="T7263" s="1095">
        <v>-36.656421999999999</v>
      </c>
    </row>
    <row r="7264" spans="16:20">
      <c r="P7264" s="1094">
        <v>3556</v>
      </c>
      <c r="Q7264" t="s">
        <v>8038</v>
      </c>
      <c r="R7264" t="s">
        <v>616</v>
      </c>
      <c r="S7264">
        <v>144.178282</v>
      </c>
      <c r="T7264" s="1095">
        <v>-36.656421999999999</v>
      </c>
    </row>
    <row r="7265" spans="16:20">
      <c r="P7265" s="1094">
        <v>3556</v>
      </c>
      <c r="Q7265" t="s">
        <v>8039</v>
      </c>
      <c r="R7265" t="s">
        <v>616</v>
      </c>
      <c r="S7265">
        <v>144.178282</v>
      </c>
      <c r="T7265" s="1095">
        <v>-36.656421999999999</v>
      </c>
    </row>
    <row r="7266" spans="16:20">
      <c r="P7266" s="1094">
        <v>3556</v>
      </c>
      <c r="Q7266" t="s">
        <v>8040</v>
      </c>
      <c r="R7266" t="s">
        <v>616</v>
      </c>
      <c r="S7266">
        <v>144.178282</v>
      </c>
      <c r="T7266" s="1095">
        <v>-36.656421999999999</v>
      </c>
    </row>
    <row r="7267" spans="16:20">
      <c r="P7267" s="1094">
        <v>3556</v>
      </c>
      <c r="Q7267" t="s">
        <v>8041</v>
      </c>
      <c r="R7267" t="s">
        <v>616</v>
      </c>
      <c r="S7267">
        <v>144.178282</v>
      </c>
      <c r="T7267" s="1095">
        <v>-36.656421999999999</v>
      </c>
    </row>
    <row r="7268" spans="16:20">
      <c r="P7268" s="1094">
        <v>3557</v>
      </c>
      <c r="Q7268" t="s">
        <v>8042</v>
      </c>
      <c r="R7268" t="s">
        <v>616</v>
      </c>
      <c r="S7268">
        <v>144.576787</v>
      </c>
      <c r="T7268" s="1095">
        <v>-36.635109999999997</v>
      </c>
    </row>
    <row r="7269" spans="16:20">
      <c r="P7269" s="1094">
        <v>3557</v>
      </c>
      <c r="Q7269" t="s">
        <v>8043</v>
      </c>
      <c r="R7269" t="s">
        <v>616</v>
      </c>
      <c r="S7269">
        <v>144.576787</v>
      </c>
      <c r="T7269" s="1095">
        <v>-36.635109999999997</v>
      </c>
    </row>
    <row r="7270" spans="16:20">
      <c r="P7270" s="1094">
        <v>3557</v>
      </c>
      <c r="Q7270" t="s">
        <v>8044</v>
      </c>
      <c r="R7270" t="s">
        <v>616</v>
      </c>
      <c r="S7270">
        <v>144.576787</v>
      </c>
      <c r="T7270" s="1095">
        <v>-36.635109999999997</v>
      </c>
    </row>
    <row r="7271" spans="16:20">
      <c r="P7271" s="1094">
        <v>3557</v>
      </c>
      <c r="Q7271" t="s">
        <v>8045</v>
      </c>
      <c r="R7271" t="s">
        <v>616</v>
      </c>
      <c r="S7271">
        <v>144.576787</v>
      </c>
      <c r="T7271" s="1095">
        <v>-36.635109999999997</v>
      </c>
    </row>
    <row r="7272" spans="16:20">
      <c r="P7272" s="1094">
        <v>3557</v>
      </c>
      <c r="Q7272" t="s">
        <v>8046</v>
      </c>
      <c r="R7272" t="s">
        <v>616</v>
      </c>
      <c r="S7272">
        <v>144.576787</v>
      </c>
      <c r="T7272" s="1095">
        <v>-36.635109999999997</v>
      </c>
    </row>
    <row r="7273" spans="16:20">
      <c r="P7273" s="1094">
        <v>3558</v>
      </c>
      <c r="Q7273" t="s">
        <v>8047</v>
      </c>
      <c r="R7273" t="s">
        <v>616</v>
      </c>
      <c r="S7273">
        <v>144.638363</v>
      </c>
      <c r="T7273" s="1095">
        <v>-36.515529999999998</v>
      </c>
    </row>
    <row r="7274" spans="16:20">
      <c r="P7274" s="1094">
        <v>3558</v>
      </c>
      <c r="Q7274" t="s">
        <v>8048</v>
      </c>
      <c r="R7274" t="s">
        <v>616</v>
      </c>
      <c r="S7274">
        <v>144.638363</v>
      </c>
      <c r="T7274" s="1095">
        <v>-36.515529999999998</v>
      </c>
    </row>
    <row r="7275" spans="16:20">
      <c r="P7275" s="1094">
        <v>3558</v>
      </c>
      <c r="Q7275" t="s">
        <v>8049</v>
      </c>
      <c r="R7275" t="s">
        <v>616</v>
      </c>
      <c r="S7275">
        <v>144.638363</v>
      </c>
      <c r="T7275" s="1095">
        <v>-36.515529999999998</v>
      </c>
    </row>
    <row r="7276" spans="16:20">
      <c r="P7276" s="1094">
        <v>3558</v>
      </c>
      <c r="Q7276" t="s">
        <v>8050</v>
      </c>
      <c r="R7276" t="s">
        <v>616</v>
      </c>
      <c r="S7276">
        <v>144.638363</v>
      </c>
      <c r="T7276" s="1095">
        <v>-36.515529999999998</v>
      </c>
    </row>
    <row r="7277" spans="16:20">
      <c r="P7277" s="1094">
        <v>3558</v>
      </c>
      <c r="Q7277" t="s">
        <v>8051</v>
      </c>
      <c r="R7277" t="s">
        <v>616</v>
      </c>
      <c r="S7277">
        <v>144.638363</v>
      </c>
      <c r="T7277" s="1095">
        <v>-36.515529999999998</v>
      </c>
    </row>
    <row r="7278" spans="16:20">
      <c r="P7278" s="1094">
        <v>3559</v>
      </c>
      <c r="Q7278" t="s">
        <v>8052</v>
      </c>
      <c r="R7278" t="s">
        <v>616</v>
      </c>
      <c r="S7278">
        <v>144.805307</v>
      </c>
      <c r="T7278" s="1095">
        <v>-36.570076999999998</v>
      </c>
    </row>
    <row r="7279" spans="16:20">
      <c r="P7279" s="1094">
        <v>3559</v>
      </c>
      <c r="Q7279" t="s">
        <v>8053</v>
      </c>
      <c r="R7279" t="s">
        <v>616</v>
      </c>
      <c r="S7279">
        <v>144.805307</v>
      </c>
      <c r="T7279" s="1095">
        <v>-36.570076999999998</v>
      </c>
    </row>
    <row r="7280" spans="16:20">
      <c r="P7280" s="1094">
        <v>3559</v>
      </c>
      <c r="Q7280" t="s">
        <v>8054</v>
      </c>
      <c r="R7280" t="s">
        <v>616</v>
      </c>
      <c r="S7280">
        <v>144.805307</v>
      </c>
      <c r="T7280" s="1095">
        <v>-36.570076999999998</v>
      </c>
    </row>
    <row r="7281" spans="16:20">
      <c r="P7281" s="1094">
        <v>3559</v>
      </c>
      <c r="Q7281" t="s">
        <v>8055</v>
      </c>
      <c r="R7281" t="s">
        <v>616</v>
      </c>
      <c r="S7281">
        <v>144.805307</v>
      </c>
      <c r="T7281" s="1095">
        <v>-36.570076999999998</v>
      </c>
    </row>
    <row r="7282" spans="16:20">
      <c r="P7282" s="1094">
        <v>3559</v>
      </c>
      <c r="Q7282" t="s">
        <v>8056</v>
      </c>
      <c r="R7282" t="s">
        <v>616</v>
      </c>
      <c r="S7282">
        <v>144.805307</v>
      </c>
      <c r="T7282" s="1095">
        <v>-36.570076999999998</v>
      </c>
    </row>
    <row r="7283" spans="16:20">
      <c r="P7283" s="1094">
        <v>3559</v>
      </c>
      <c r="Q7283" t="s">
        <v>8057</v>
      </c>
      <c r="R7283" t="s">
        <v>616</v>
      </c>
      <c r="S7283">
        <v>144.805307</v>
      </c>
      <c r="T7283" s="1095">
        <v>-36.570076999999998</v>
      </c>
    </row>
    <row r="7284" spans="16:20">
      <c r="P7284" s="1094">
        <v>3561</v>
      </c>
      <c r="Q7284" t="s">
        <v>8058</v>
      </c>
      <c r="R7284" t="s">
        <v>616</v>
      </c>
      <c r="S7284">
        <v>144.709543</v>
      </c>
      <c r="T7284" s="1095">
        <v>-36.321109</v>
      </c>
    </row>
    <row r="7285" spans="16:20">
      <c r="P7285" s="1094">
        <v>3561</v>
      </c>
      <c r="Q7285" t="s">
        <v>8059</v>
      </c>
      <c r="R7285" t="s">
        <v>616</v>
      </c>
      <c r="S7285">
        <v>144.709543</v>
      </c>
      <c r="T7285" s="1095">
        <v>-36.321109</v>
      </c>
    </row>
    <row r="7286" spans="16:20">
      <c r="P7286" s="1094">
        <v>3561</v>
      </c>
      <c r="Q7286" t="s">
        <v>8060</v>
      </c>
      <c r="R7286" t="s">
        <v>616</v>
      </c>
      <c r="S7286">
        <v>144.709543</v>
      </c>
      <c r="T7286" s="1095">
        <v>-36.321109</v>
      </c>
    </row>
    <row r="7287" spans="16:20">
      <c r="P7287" s="1094">
        <v>3561</v>
      </c>
      <c r="Q7287" t="s">
        <v>8061</v>
      </c>
      <c r="R7287" t="s">
        <v>616</v>
      </c>
      <c r="S7287">
        <v>144.709543</v>
      </c>
      <c r="T7287" s="1095">
        <v>-36.321109</v>
      </c>
    </row>
    <row r="7288" spans="16:20">
      <c r="P7288" s="1094">
        <v>3561</v>
      </c>
      <c r="Q7288" t="s">
        <v>8062</v>
      </c>
      <c r="R7288" t="s">
        <v>616</v>
      </c>
      <c r="S7288">
        <v>144.709543</v>
      </c>
      <c r="T7288" s="1095">
        <v>-36.321109</v>
      </c>
    </row>
    <row r="7289" spans="16:20">
      <c r="P7289" s="1094">
        <v>3561</v>
      </c>
      <c r="Q7289" t="s">
        <v>8063</v>
      </c>
      <c r="R7289" t="s">
        <v>616</v>
      </c>
      <c r="S7289">
        <v>144.709543</v>
      </c>
      <c r="T7289" s="1095">
        <v>-36.321109</v>
      </c>
    </row>
    <row r="7290" spans="16:20">
      <c r="P7290" s="1094">
        <v>3561</v>
      </c>
      <c r="Q7290" t="s">
        <v>8064</v>
      </c>
      <c r="R7290" t="s">
        <v>616</v>
      </c>
      <c r="S7290">
        <v>144.709543</v>
      </c>
      <c r="T7290" s="1095">
        <v>-36.321109</v>
      </c>
    </row>
    <row r="7291" spans="16:20">
      <c r="P7291" s="1094">
        <v>3561</v>
      </c>
      <c r="Q7291" t="s">
        <v>8065</v>
      </c>
      <c r="R7291" t="s">
        <v>616</v>
      </c>
      <c r="S7291">
        <v>144.709543</v>
      </c>
      <c r="T7291" s="1095">
        <v>-36.321109</v>
      </c>
    </row>
    <row r="7292" spans="16:20">
      <c r="P7292" s="1094">
        <v>3561</v>
      </c>
      <c r="Q7292" t="s">
        <v>8066</v>
      </c>
      <c r="R7292" t="s">
        <v>616</v>
      </c>
      <c r="S7292">
        <v>144.709543</v>
      </c>
      <c r="T7292" s="1095">
        <v>-36.321109</v>
      </c>
    </row>
    <row r="7293" spans="16:20">
      <c r="P7293" s="1094">
        <v>3561</v>
      </c>
      <c r="Q7293" t="s">
        <v>8067</v>
      </c>
      <c r="R7293" t="s">
        <v>616</v>
      </c>
      <c r="S7293">
        <v>144.709543</v>
      </c>
      <c r="T7293" s="1095">
        <v>-36.321109</v>
      </c>
    </row>
    <row r="7294" spans="16:20">
      <c r="P7294" s="1094">
        <v>3561</v>
      </c>
      <c r="Q7294" t="s">
        <v>8068</v>
      </c>
      <c r="R7294" t="s">
        <v>616</v>
      </c>
      <c r="S7294">
        <v>144.709543</v>
      </c>
      <c r="T7294" s="1095">
        <v>-36.321109</v>
      </c>
    </row>
    <row r="7295" spans="16:20">
      <c r="P7295" s="1094">
        <v>3562</v>
      </c>
      <c r="Q7295" t="s">
        <v>8069</v>
      </c>
      <c r="R7295" t="s">
        <v>616</v>
      </c>
      <c r="S7295">
        <v>144.46276</v>
      </c>
      <c r="T7295" s="1095">
        <v>-36.062544000000003</v>
      </c>
    </row>
    <row r="7296" spans="16:20">
      <c r="P7296" s="1094">
        <v>3563</v>
      </c>
      <c r="Q7296" t="s">
        <v>8070</v>
      </c>
      <c r="R7296" t="s">
        <v>616</v>
      </c>
      <c r="S7296">
        <v>144.51558900000001</v>
      </c>
      <c r="T7296" s="1095">
        <v>-36.256250999999999</v>
      </c>
    </row>
    <row r="7297" spans="16:20">
      <c r="P7297" s="1094">
        <v>3564</v>
      </c>
      <c r="Q7297" t="s">
        <v>8071</v>
      </c>
      <c r="R7297" t="s">
        <v>616</v>
      </c>
      <c r="S7297">
        <v>144.72880599999999</v>
      </c>
      <c r="T7297" s="1095">
        <v>-36.168996999999997</v>
      </c>
    </row>
    <row r="7298" spans="16:20">
      <c r="P7298" s="1094">
        <v>3564</v>
      </c>
      <c r="Q7298" t="s">
        <v>8072</v>
      </c>
      <c r="R7298" t="s">
        <v>616</v>
      </c>
      <c r="S7298">
        <v>144.72880599999999</v>
      </c>
      <c r="T7298" s="1095">
        <v>-36.168996999999997</v>
      </c>
    </row>
    <row r="7299" spans="16:20">
      <c r="P7299" s="1094">
        <v>3564</v>
      </c>
      <c r="Q7299" t="s">
        <v>8073</v>
      </c>
      <c r="R7299" t="s">
        <v>616</v>
      </c>
      <c r="S7299">
        <v>144.72880599999999</v>
      </c>
      <c r="T7299" s="1095">
        <v>-36.168996999999997</v>
      </c>
    </row>
    <row r="7300" spans="16:20">
      <c r="P7300" s="1094">
        <v>3564</v>
      </c>
      <c r="Q7300" t="s">
        <v>8074</v>
      </c>
      <c r="R7300" t="s">
        <v>616</v>
      </c>
      <c r="S7300">
        <v>144.72880599999999</v>
      </c>
      <c r="T7300" s="1095">
        <v>-36.168996999999997</v>
      </c>
    </row>
    <row r="7301" spans="16:20">
      <c r="P7301" s="1094">
        <v>3564</v>
      </c>
      <c r="Q7301" t="s">
        <v>8075</v>
      </c>
      <c r="R7301" t="s">
        <v>616</v>
      </c>
      <c r="S7301">
        <v>144.72880599999999</v>
      </c>
      <c r="T7301" s="1095">
        <v>-36.168996999999997</v>
      </c>
    </row>
    <row r="7302" spans="16:20">
      <c r="P7302" s="1094">
        <v>3564</v>
      </c>
      <c r="Q7302" t="s">
        <v>8076</v>
      </c>
      <c r="R7302" t="s">
        <v>616</v>
      </c>
      <c r="S7302">
        <v>144.72880599999999</v>
      </c>
      <c r="T7302" s="1095">
        <v>-36.168996999999997</v>
      </c>
    </row>
    <row r="7303" spans="16:20">
      <c r="P7303" s="1094">
        <v>3564</v>
      </c>
      <c r="Q7303" t="s">
        <v>8077</v>
      </c>
      <c r="R7303" t="s">
        <v>616</v>
      </c>
      <c r="S7303">
        <v>144.72880599999999</v>
      </c>
      <c r="T7303" s="1095">
        <v>-36.168996999999997</v>
      </c>
    </row>
    <row r="7304" spans="16:20">
      <c r="P7304" s="1094">
        <v>3564</v>
      </c>
      <c r="Q7304" t="s">
        <v>8078</v>
      </c>
      <c r="R7304" t="s">
        <v>616</v>
      </c>
      <c r="S7304">
        <v>144.72880599999999</v>
      </c>
      <c r="T7304" s="1095">
        <v>-36.168996999999997</v>
      </c>
    </row>
    <row r="7305" spans="16:20">
      <c r="P7305" s="1094">
        <v>3564</v>
      </c>
      <c r="Q7305" t="s">
        <v>8079</v>
      </c>
      <c r="R7305" t="s">
        <v>616</v>
      </c>
      <c r="S7305">
        <v>144.72880599999999</v>
      </c>
      <c r="T7305" s="1095">
        <v>-36.168996999999997</v>
      </c>
    </row>
    <row r="7306" spans="16:20">
      <c r="P7306" s="1094">
        <v>3564</v>
      </c>
      <c r="Q7306" t="s">
        <v>8080</v>
      </c>
      <c r="R7306" t="s">
        <v>616</v>
      </c>
      <c r="S7306">
        <v>144.72880599999999</v>
      </c>
      <c r="T7306" s="1095">
        <v>-36.168996999999997</v>
      </c>
    </row>
    <row r="7307" spans="16:20">
      <c r="P7307" s="1094">
        <v>3564</v>
      </c>
      <c r="Q7307" t="s">
        <v>8081</v>
      </c>
      <c r="R7307" t="s">
        <v>616</v>
      </c>
      <c r="S7307">
        <v>144.72880599999999</v>
      </c>
      <c r="T7307" s="1095">
        <v>-36.168996999999997</v>
      </c>
    </row>
    <row r="7308" spans="16:20">
      <c r="P7308" s="1094">
        <v>3564</v>
      </c>
      <c r="Q7308" t="s">
        <v>8082</v>
      </c>
      <c r="R7308" t="s">
        <v>616</v>
      </c>
      <c r="S7308">
        <v>144.72880599999999</v>
      </c>
      <c r="T7308" s="1095">
        <v>-36.168996999999997</v>
      </c>
    </row>
    <row r="7309" spans="16:20">
      <c r="P7309" s="1094">
        <v>3564</v>
      </c>
      <c r="Q7309" t="s">
        <v>8083</v>
      </c>
      <c r="R7309" t="s">
        <v>616</v>
      </c>
      <c r="S7309">
        <v>144.72880599999999</v>
      </c>
      <c r="T7309" s="1095">
        <v>-36.168996999999997</v>
      </c>
    </row>
    <row r="7310" spans="16:20">
      <c r="P7310" s="1094">
        <v>3565</v>
      </c>
      <c r="Q7310" t="s">
        <v>8084</v>
      </c>
      <c r="R7310" t="s">
        <v>616</v>
      </c>
      <c r="S7310">
        <v>144.51171299999999</v>
      </c>
      <c r="T7310" s="1095">
        <v>-36.182335999999999</v>
      </c>
    </row>
    <row r="7311" spans="16:20">
      <c r="P7311" s="1094">
        <v>3566</v>
      </c>
      <c r="Q7311" t="s">
        <v>8085</v>
      </c>
      <c r="R7311" t="s">
        <v>616</v>
      </c>
      <c r="S7311">
        <v>144.38333399999999</v>
      </c>
      <c r="T7311" s="1095">
        <v>-35.945748000000002</v>
      </c>
    </row>
    <row r="7312" spans="16:20">
      <c r="P7312" s="1094">
        <v>3567</v>
      </c>
      <c r="Q7312" t="s">
        <v>8086</v>
      </c>
      <c r="R7312" t="s">
        <v>616</v>
      </c>
      <c r="S7312">
        <v>144.26294200000001</v>
      </c>
      <c r="T7312" s="1095">
        <v>-35.931668999999999</v>
      </c>
    </row>
    <row r="7313" spans="16:20">
      <c r="P7313" s="1094">
        <v>3567</v>
      </c>
      <c r="Q7313" t="s">
        <v>8087</v>
      </c>
      <c r="R7313" t="s">
        <v>616</v>
      </c>
      <c r="S7313">
        <v>144.26294200000001</v>
      </c>
      <c r="T7313" s="1095">
        <v>-35.931668999999999</v>
      </c>
    </row>
    <row r="7314" spans="16:20">
      <c r="P7314" s="1094">
        <v>3568</v>
      </c>
      <c r="Q7314" t="s">
        <v>8088</v>
      </c>
      <c r="R7314" t="s">
        <v>616</v>
      </c>
      <c r="S7314">
        <v>144.184089</v>
      </c>
      <c r="T7314" s="1095">
        <v>-35.809462000000003</v>
      </c>
    </row>
    <row r="7315" spans="16:20">
      <c r="P7315" s="1094">
        <v>3568</v>
      </c>
      <c r="Q7315" t="s">
        <v>8089</v>
      </c>
      <c r="R7315" t="s">
        <v>616</v>
      </c>
      <c r="S7315">
        <v>144.184089</v>
      </c>
      <c r="T7315" s="1095">
        <v>-35.809462000000003</v>
      </c>
    </row>
    <row r="7316" spans="16:20">
      <c r="P7316" s="1094">
        <v>3568</v>
      </c>
      <c r="Q7316" t="s">
        <v>8090</v>
      </c>
      <c r="R7316" t="s">
        <v>616</v>
      </c>
      <c r="S7316">
        <v>144.184089</v>
      </c>
      <c r="T7316" s="1095">
        <v>-35.809462000000003</v>
      </c>
    </row>
    <row r="7317" spans="16:20">
      <c r="P7317" s="1094">
        <v>3568</v>
      </c>
      <c r="Q7317" t="s">
        <v>8091</v>
      </c>
      <c r="R7317" t="s">
        <v>616</v>
      </c>
      <c r="S7317">
        <v>144.184089</v>
      </c>
      <c r="T7317" s="1095">
        <v>-35.809462000000003</v>
      </c>
    </row>
    <row r="7318" spans="16:20">
      <c r="P7318" s="1094">
        <v>3568</v>
      </c>
      <c r="Q7318" t="s">
        <v>8092</v>
      </c>
      <c r="R7318" t="s">
        <v>616</v>
      </c>
      <c r="S7318">
        <v>144.184089</v>
      </c>
      <c r="T7318" s="1095">
        <v>-35.809462000000003</v>
      </c>
    </row>
    <row r="7319" spans="16:20">
      <c r="P7319" s="1094">
        <v>3568</v>
      </c>
      <c r="Q7319" t="s">
        <v>8093</v>
      </c>
      <c r="R7319" t="s">
        <v>616</v>
      </c>
      <c r="S7319">
        <v>144.184089</v>
      </c>
      <c r="T7319" s="1095">
        <v>-35.809462000000003</v>
      </c>
    </row>
    <row r="7320" spans="16:20">
      <c r="P7320" s="1094">
        <v>3568</v>
      </c>
      <c r="Q7320" t="s">
        <v>8094</v>
      </c>
      <c r="R7320" t="s">
        <v>616</v>
      </c>
      <c r="S7320">
        <v>144.184089</v>
      </c>
      <c r="T7320" s="1095">
        <v>-35.809462000000003</v>
      </c>
    </row>
    <row r="7321" spans="16:20">
      <c r="P7321" s="1094">
        <v>3568</v>
      </c>
      <c r="Q7321" t="s">
        <v>8095</v>
      </c>
      <c r="R7321" t="s">
        <v>616</v>
      </c>
      <c r="S7321">
        <v>144.184089</v>
      </c>
      <c r="T7321" s="1095">
        <v>-35.809462000000003</v>
      </c>
    </row>
    <row r="7322" spans="16:20">
      <c r="P7322" s="1094">
        <v>3568</v>
      </c>
      <c r="Q7322" t="s">
        <v>8096</v>
      </c>
      <c r="R7322" t="s">
        <v>616</v>
      </c>
      <c r="S7322">
        <v>144.184089</v>
      </c>
      <c r="T7322" s="1095">
        <v>-35.809462000000003</v>
      </c>
    </row>
    <row r="7323" spans="16:20">
      <c r="P7323" s="1094">
        <v>3568</v>
      </c>
      <c r="Q7323" t="s">
        <v>8097</v>
      </c>
      <c r="R7323" t="s">
        <v>616</v>
      </c>
      <c r="S7323">
        <v>144.184089</v>
      </c>
      <c r="T7323" s="1095">
        <v>-35.809462000000003</v>
      </c>
    </row>
    <row r="7324" spans="16:20">
      <c r="P7324" s="1094">
        <v>3568</v>
      </c>
      <c r="Q7324" t="s">
        <v>8098</v>
      </c>
      <c r="R7324" t="s">
        <v>616</v>
      </c>
      <c r="S7324">
        <v>144.184089</v>
      </c>
      <c r="T7324" s="1095">
        <v>-35.809462000000003</v>
      </c>
    </row>
    <row r="7325" spans="16:20">
      <c r="P7325" s="1094">
        <v>3570</v>
      </c>
      <c r="Q7325" t="s">
        <v>8099</v>
      </c>
      <c r="R7325" t="s">
        <v>616</v>
      </c>
      <c r="S7325">
        <v>144.28053</v>
      </c>
      <c r="T7325" s="1095">
        <v>-36.515303000000003</v>
      </c>
    </row>
    <row r="7326" spans="16:20">
      <c r="P7326" s="1094">
        <v>3570</v>
      </c>
      <c r="Q7326" t="s">
        <v>8100</v>
      </c>
      <c r="R7326" t="s">
        <v>616</v>
      </c>
      <c r="S7326">
        <v>144.28053</v>
      </c>
      <c r="T7326" s="1095">
        <v>-36.515303000000003</v>
      </c>
    </row>
    <row r="7327" spans="16:20">
      <c r="P7327" s="1094">
        <v>3570</v>
      </c>
      <c r="Q7327" t="s">
        <v>8101</v>
      </c>
      <c r="R7327" t="s">
        <v>616</v>
      </c>
      <c r="S7327">
        <v>144.28053</v>
      </c>
      <c r="T7327" s="1095">
        <v>-36.515303000000003</v>
      </c>
    </row>
    <row r="7328" spans="16:20">
      <c r="P7328" s="1094">
        <v>3570</v>
      </c>
      <c r="Q7328" t="s">
        <v>8102</v>
      </c>
      <c r="R7328" t="s">
        <v>616</v>
      </c>
      <c r="S7328">
        <v>144.28053</v>
      </c>
      <c r="T7328" s="1095">
        <v>-36.515303000000003</v>
      </c>
    </row>
    <row r="7329" spans="16:20">
      <c r="P7329" s="1094">
        <v>3570</v>
      </c>
      <c r="Q7329" t="s">
        <v>8103</v>
      </c>
      <c r="R7329" t="s">
        <v>616</v>
      </c>
      <c r="S7329">
        <v>144.28053</v>
      </c>
      <c r="T7329" s="1095">
        <v>-36.515303000000003</v>
      </c>
    </row>
    <row r="7330" spans="16:20">
      <c r="P7330" s="1094">
        <v>3570</v>
      </c>
      <c r="Q7330" t="s">
        <v>8104</v>
      </c>
      <c r="R7330" t="s">
        <v>616</v>
      </c>
      <c r="S7330">
        <v>144.28053</v>
      </c>
      <c r="T7330" s="1095">
        <v>-36.515303000000003</v>
      </c>
    </row>
    <row r="7331" spans="16:20">
      <c r="P7331" s="1094">
        <v>3571</v>
      </c>
      <c r="Q7331" t="s">
        <v>8105</v>
      </c>
      <c r="R7331" t="s">
        <v>616</v>
      </c>
      <c r="S7331">
        <v>144.20686499999999</v>
      </c>
      <c r="T7331" s="1095">
        <v>-36.368189999999998</v>
      </c>
    </row>
    <row r="7332" spans="16:20">
      <c r="P7332" s="1094">
        <v>3571</v>
      </c>
      <c r="Q7332" t="s">
        <v>8106</v>
      </c>
      <c r="R7332" t="s">
        <v>616</v>
      </c>
      <c r="S7332">
        <v>144.20686499999999</v>
      </c>
      <c r="T7332" s="1095">
        <v>-36.368189999999998</v>
      </c>
    </row>
    <row r="7333" spans="16:20">
      <c r="P7333" s="1094">
        <v>3571</v>
      </c>
      <c r="Q7333" t="s">
        <v>8107</v>
      </c>
      <c r="R7333" t="s">
        <v>616</v>
      </c>
      <c r="S7333">
        <v>144.20686499999999</v>
      </c>
      <c r="T7333" s="1095">
        <v>-36.368189999999998</v>
      </c>
    </row>
    <row r="7334" spans="16:20">
      <c r="P7334" s="1094">
        <v>3571</v>
      </c>
      <c r="Q7334" t="s">
        <v>8108</v>
      </c>
      <c r="R7334" t="s">
        <v>616</v>
      </c>
      <c r="S7334">
        <v>144.20686499999999</v>
      </c>
      <c r="T7334" s="1095">
        <v>-36.368189999999998</v>
      </c>
    </row>
    <row r="7335" spans="16:20">
      <c r="P7335" s="1094">
        <v>3571</v>
      </c>
      <c r="Q7335" t="s">
        <v>8109</v>
      </c>
      <c r="R7335" t="s">
        <v>616</v>
      </c>
      <c r="S7335">
        <v>144.20686499999999</v>
      </c>
      <c r="T7335" s="1095">
        <v>-36.368189999999998</v>
      </c>
    </row>
    <row r="7336" spans="16:20">
      <c r="P7336" s="1094">
        <v>3572</v>
      </c>
      <c r="Q7336" t="s">
        <v>8110</v>
      </c>
      <c r="R7336" t="s">
        <v>616</v>
      </c>
      <c r="S7336">
        <v>144.25713500000001</v>
      </c>
      <c r="T7336" s="1095">
        <v>-36.266641999999997</v>
      </c>
    </row>
    <row r="7337" spans="16:20">
      <c r="P7337" s="1094">
        <v>3572</v>
      </c>
      <c r="Q7337" t="s">
        <v>8111</v>
      </c>
      <c r="R7337" t="s">
        <v>616</v>
      </c>
      <c r="S7337">
        <v>144.25713500000001</v>
      </c>
      <c r="T7337" s="1095">
        <v>-36.266641999999997</v>
      </c>
    </row>
    <row r="7338" spans="16:20">
      <c r="P7338" s="1094">
        <v>3572</v>
      </c>
      <c r="Q7338" t="s">
        <v>8112</v>
      </c>
      <c r="R7338" t="s">
        <v>616</v>
      </c>
      <c r="S7338">
        <v>144.25713500000001</v>
      </c>
      <c r="T7338" s="1095">
        <v>-36.266641999999997</v>
      </c>
    </row>
    <row r="7339" spans="16:20">
      <c r="P7339" s="1094">
        <v>3572</v>
      </c>
      <c r="Q7339" t="s">
        <v>5576</v>
      </c>
      <c r="R7339" t="s">
        <v>616</v>
      </c>
      <c r="S7339">
        <v>144.25713500000001</v>
      </c>
      <c r="T7339" s="1095">
        <v>-36.266641999999997</v>
      </c>
    </row>
    <row r="7340" spans="16:20">
      <c r="P7340" s="1094">
        <v>3573</v>
      </c>
      <c r="Q7340" t="s">
        <v>8113</v>
      </c>
      <c r="R7340" t="s">
        <v>616</v>
      </c>
      <c r="S7340">
        <v>144.29795799999999</v>
      </c>
      <c r="T7340" s="1095">
        <v>-36.164864999999999</v>
      </c>
    </row>
    <row r="7341" spans="16:20">
      <c r="P7341" s="1094">
        <v>3573</v>
      </c>
      <c r="Q7341" t="s">
        <v>8114</v>
      </c>
      <c r="R7341" t="s">
        <v>616</v>
      </c>
      <c r="S7341">
        <v>144.29795799999999</v>
      </c>
      <c r="T7341" s="1095">
        <v>-36.164864999999999</v>
      </c>
    </row>
    <row r="7342" spans="16:20">
      <c r="P7342" s="1094">
        <v>3573</v>
      </c>
      <c r="Q7342" t="s">
        <v>8115</v>
      </c>
      <c r="R7342" t="s">
        <v>616</v>
      </c>
      <c r="S7342">
        <v>144.29795799999999</v>
      </c>
      <c r="T7342" s="1095">
        <v>-36.164864999999999</v>
      </c>
    </row>
    <row r="7343" spans="16:20">
      <c r="P7343" s="1094">
        <v>3573</v>
      </c>
      <c r="Q7343" t="s">
        <v>8116</v>
      </c>
      <c r="R7343" t="s">
        <v>616</v>
      </c>
      <c r="S7343">
        <v>144.29795799999999</v>
      </c>
      <c r="T7343" s="1095">
        <v>-36.164864999999999</v>
      </c>
    </row>
    <row r="7344" spans="16:20">
      <c r="P7344" s="1094">
        <v>3573</v>
      </c>
      <c r="Q7344" t="s">
        <v>8117</v>
      </c>
      <c r="R7344" t="s">
        <v>616</v>
      </c>
      <c r="S7344">
        <v>144.29795799999999</v>
      </c>
      <c r="T7344" s="1095">
        <v>-36.164864999999999</v>
      </c>
    </row>
    <row r="7345" spans="16:20">
      <c r="P7345" s="1094">
        <v>3575</v>
      </c>
      <c r="Q7345" t="s">
        <v>8118</v>
      </c>
      <c r="R7345" t="s">
        <v>616</v>
      </c>
      <c r="S7345">
        <v>144.15902800000001</v>
      </c>
      <c r="T7345" s="1095">
        <v>-36.055725000000002</v>
      </c>
    </row>
    <row r="7346" spans="16:20">
      <c r="P7346" s="1094">
        <v>3575</v>
      </c>
      <c r="Q7346" t="s">
        <v>8119</v>
      </c>
      <c r="R7346" t="s">
        <v>616</v>
      </c>
      <c r="S7346">
        <v>144.15902800000001</v>
      </c>
      <c r="T7346" s="1095">
        <v>-36.055725000000002</v>
      </c>
    </row>
    <row r="7347" spans="16:20">
      <c r="P7347" s="1094">
        <v>3575</v>
      </c>
      <c r="Q7347" t="s">
        <v>8120</v>
      </c>
      <c r="R7347" t="s">
        <v>616</v>
      </c>
      <c r="S7347">
        <v>144.15902800000001</v>
      </c>
      <c r="T7347" s="1095">
        <v>-36.055725000000002</v>
      </c>
    </row>
    <row r="7348" spans="16:20">
      <c r="P7348" s="1094">
        <v>3575</v>
      </c>
      <c r="Q7348" t="s">
        <v>8121</v>
      </c>
      <c r="R7348" t="s">
        <v>616</v>
      </c>
      <c r="S7348">
        <v>144.15902800000001</v>
      </c>
      <c r="T7348" s="1095">
        <v>-36.055725000000002</v>
      </c>
    </row>
    <row r="7349" spans="16:20">
      <c r="P7349" s="1094">
        <v>3575</v>
      </c>
      <c r="Q7349" t="s">
        <v>8122</v>
      </c>
      <c r="R7349" t="s">
        <v>616</v>
      </c>
      <c r="S7349">
        <v>144.15902800000001</v>
      </c>
      <c r="T7349" s="1095">
        <v>-36.055725000000002</v>
      </c>
    </row>
    <row r="7350" spans="16:20">
      <c r="P7350" s="1094">
        <v>3575</v>
      </c>
      <c r="Q7350" t="s">
        <v>8123</v>
      </c>
      <c r="R7350" t="s">
        <v>616</v>
      </c>
      <c r="S7350">
        <v>144.15902800000001</v>
      </c>
      <c r="T7350" s="1095">
        <v>-36.055725000000002</v>
      </c>
    </row>
    <row r="7351" spans="16:20">
      <c r="P7351" s="1094">
        <v>3575</v>
      </c>
      <c r="Q7351" t="s">
        <v>8124</v>
      </c>
      <c r="R7351" t="s">
        <v>616</v>
      </c>
      <c r="S7351">
        <v>144.15902800000001</v>
      </c>
      <c r="T7351" s="1095">
        <v>-36.055725000000002</v>
      </c>
    </row>
    <row r="7352" spans="16:20">
      <c r="P7352" s="1094">
        <v>3575</v>
      </c>
      <c r="Q7352" t="s">
        <v>8125</v>
      </c>
      <c r="R7352" t="s">
        <v>616</v>
      </c>
      <c r="S7352">
        <v>144.15902800000001</v>
      </c>
      <c r="T7352" s="1095">
        <v>-36.055725000000002</v>
      </c>
    </row>
    <row r="7353" spans="16:20">
      <c r="P7353" s="1094">
        <v>3575</v>
      </c>
      <c r="Q7353" t="s">
        <v>8126</v>
      </c>
      <c r="R7353" t="s">
        <v>616</v>
      </c>
      <c r="S7353">
        <v>144.15902800000001</v>
      </c>
      <c r="T7353" s="1095">
        <v>-36.055725000000002</v>
      </c>
    </row>
    <row r="7354" spans="16:20">
      <c r="P7354" s="1094">
        <v>3575</v>
      </c>
      <c r="Q7354" t="s">
        <v>8127</v>
      </c>
      <c r="R7354" t="s">
        <v>616</v>
      </c>
      <c r="S7354">
        <v>144.15902800000001</v>
      </c>
      <c r="T7354" s="1095">
        <v>-36.055725000000002</v>
      </c>
    </row>
    <row r="7355" spans="16:20">
      <c r="P7355" s="1094">
        <v>3576</v>
      </c>
      <c r="Q7355" t="s">
        <v>8128</v>
      </c>
      <c r="R7355" t="s">
        <v>616</v>
      </c>
      <c r="S7355">
        <v>143.91751500000001</v>
      </c>
      <c r="T7355" s="1095">
        <v>-36.128028999999998</v>
      </c>
    </row>
    <row r="7356" spans="16:20">
      <c r="P7356" s="1094">
        <v>3579</v>
      </c>
      <c r="Q7356" t="s">
        <v>4515</v>
      </c>
      <c r="R7356" t="s">
        <v>616</v>
      </c>
      <c r="S7356">
        <v>143.76944499999999</v>
      </c>
      <c r="T7356" s="1095">
        <v>-35.767974000000002</v>
      </c>
    </row>
    <row r="7357" spans="16:20">
      <c r="P7357" s="1094">
        <v>3579</v>
      </c>
      <c r="Q7357" t="s">
        <v>8129</v>
      </c>
      <c r="R7357" t="s">
        <v>616</v>
      </c>
      <c r="S7357">
        <v>143.76944499999999</v>
      </c>
      <c r="T7357" s="1095">
        <v>-35.767974000000002</v>
      </c>
    </row>
    <row r="7358" spans="16:20">
      <c r="P7358" s="1094">
        <v>3579</v>
      </c>
      <c r="Q7358" t="s">
        <v>8130</v>
      </c>
      <c r="R7358" t="s">
        <v>616</v>
      </c>
      <c r="S7358">
        <v>143.76944499999999</v>
      </c>
      <c r="T7358" s="1095">
        <v>-35.767974000000002</v>
      </c>
    </row>
    <row r="7359" spans="16:20">
      <c r="P7359" s="1094">
        <v>3579</v>
      </c>
      <c r="Q7359" t="s">
        <v>8131</v>
      </c>
      <c r="R7359" t="s">
        <v>616</v>
      </c>
      <c r="S7359">
        <v>143.76944499999999</v>
      </c>
      <c r="T7359" s="1095">
        <v>-35.767974000000002</v>
      </c>
    </row>
    <row r="7360" spans="16:20">
      <c r="P7360" s="1094">
        <v>3579</v>
      </c>
      <c r="Q7360" t="s">
        <v>8132</v>
      </c>
      <c r="R7360" t="s">
        <v>616</v>
      </c>
      <c r="S7360">
        <v>143.76944499999999</v>
      </c>
      <c r="T7360" s="1095">
        <v>-35.767974000000002</v>
      </c>
    </row>
    <row r="7361" spans="16:20">
      <c r="P7361" s="1094">
        <v>3579</v>
      </c>
      <c r="Q7361" t="s">
        <v>8133</v>
      </c>
      <c r="R7361" t="s">
        <v>616</v>
      </c>
      <c r="S7361">
        <v>143.76944499999999</v>
      </c>
      <c r="T7361" s="1095">
        <v>-35.767974000000002</v>
      </c>
    </row>
    <row r="7362" spans="16:20">
      <c r="P7362" s="1094">
        <v>3579</v>
      </c>
      <c r="Q7362" t="s">
        <v>8134</v>
      </c>
      <c r="R7362" t="s">
        <v>616</v>
      </c>
      <c r="S7362">
        <v>143.76944499999999</v>
      </c>
      <c r="T7362" s="1095">
        <v>-35.767974000000002</v>
      </c>
    </row>
    <row r="7363" spans="16:20">
      <c r="P7363" s="1094">
        <v>3579</v>
      </c>
      <c r="Q7363" t="s">
        <v>8135</v>
      </c>
      <c r="R7363" t="s">
        <v>616</v>
      </c>
      <c r="S7363">
        <v>143.76944499999999</v>
      </c>
      <c r="T7363" s="1095">
        <v>-35.767974000000002</v>
      </c>
    </row>
    <row r="7364" spans="16:20">
      <c r="P7364" s="1094">
        <v>3579</v>
      </c>
      <c r="Q7364" t="s">
        <v>8136</v>
      </c>
      <c r="R7364" t="s">
        <v>616</v>
      </c>
      <c r="S7364">
        <v>143.76944499999999</v>
      </c>
      <c r="T7364" s="1095">
        <v>-35.767974000000002</v>
      </c>
    </row>
    <row r="7365" spans="16:20">
      <c r="P7365" s="1094">
        <v>3579</v>
      </c>
      <c r="Q7365" t="s">
        <v>8137</v>
      </c>
      <c r="R7365" t="s">
        <v>616</v>
      </c>
      <c r="S7365">
        <v>143.76944499999999</v>
      </c>
      <c r="T7365" s="1095">
        <v>-35.767974000000002</v>
      </c>
    </row>
    <row r="7366" spans="16:20">
      <c r="P7366" s="1094">
        <v>3579</v>
      </c>
      <c r="Q7366" t="s">
        <v>8138</v>
      </c>
      <c r="R7366" t="s">
        <v>616</v>
      </c>
      <c r="S7366">
        <v>143.76944499999999</v>
      </c>
      <c r="T7366" s="1095">
        <v>-35.767974000000002</v>
      </c>
    </row>
    <row r="7367" spans="16:20">
      <c r="P7367" s="1094">
        <v>3579</v>
      </c>
      <c r="Q7367" t="s">
        <v>8139</v>
      </c>
      <c r="R7367" t="s">
        <v>616</v>
      </c>
      <c r="S7367">
        <v>143.76944499999999</v>
      </c>
      <c r="T7367" s="1095">
        <v>-35.767974000000002</v>
      </c>
    </row>
    <row r="7368" spans="16:20">
      <c r="P7368" s="1094">
        <v>3579</v>
      </c>
      <c r="Q7368" t="s">
        <v>8140</v>
      </c>
      <c r="R7368" t="s">
        <v>616</v>
      </c>
      <c r="S7368">
        <v>143.76944499999999</v>
      </c>
      <c r="T7368" s="1095">
        <v>-35.767974000000002</v>
      </c>
    </row>
    <row r="7369" spans="16:20">
      <c r="P7369" s="1094">
        <v>3579</v>
      </c>
      <c r="Q7369" t="s">
        <v>8141</v>
      </c>
      <c r="R7369" t="s">
        <v>616</v>
      </c>
      <c r="S7369">
        <v>143.76944499999999</v>
      </c>
      <c r="T7369" s="1095">
        <v>-35.767974000000002</v>
      </c>
    </row>
    <row r="7370" spans="16:20">
      <c r="P7370" s="1094">
        <v>3579</v>
      </c>
      <c r="Q7370" t="s">
        <v>8142</v>
      </c>
      <c r="R7370" t="s">
        <v>616</v>
      </c>
      <c r="S7370">
        <v>143.76944499999999</v>
      </c>
      <c r="T7370" s="1095">
        <v>-35.767974000000002</v>
      </c>
    </row>
    <row r="7371" spans="16:20">
      <c r="P7371" s="1094">
        <v>3579</v>
      </c>
      <c r="Q7371" t="s">
        <v>8143</v>
      </c>
      <c r="R7371" t="s">
        <v>616</v>
      </c>
      <c r="S7371">
        <v>143.76944499999999</v>
      </c>
      <c r="T7371" s="1095">
        <v>-35.767974000000002</v>
      </c>
    </row>
    <row r="7372" spans="16:20">
      <c r="P7372" s="1094">
        <v>3579</v>
      </c>
      <c r="Q7372" t="s">
        <v>8144</v>
      </c>
      <c r="R7372" t="s">
        <v>616</v>
      </c>
      <c r="S7372">
        <v>143.76944499999999</v>
      </c>
      <c r="T7372" s="1095">
        <v>-35.767974000000002</v>
      </c>
    </row>
    <row r="7373" spans="16:20">
      <c r="P7373" s="1094">
        <v>3579</v>
      </c>
      <c r="Q7373" t="s">
        <v>8145</v>
      </c>
      <c r="R7373" t="s">
        <v>616</v>
      </c>
      <c r="S7373">
        <v>143.76944499999999</v>
      </c>
      <c r="T7373" s="1095">
        <v>-35.767974000000002</v>
      </c>
    </row>
    <row r="7374" spans="16:20">
      <c r="P7374" s="1094">
        <v>3579</v>
      </c>
      <c r="Q7374" t="s">
        <v>8146</v>
      </c>
      <c r="R7374" t="s">
        <v>616</v>
      </c>
      <c r="S7374">
        <v>143.76944499999999</v>
      </c>
      <c r="T7374" s="1095">
        <v>-35.767974000000002</v>
      </c>
    </row>
    <row r="7375" spans="16:20">
      <c r="P7375" s="1094">
        <v>3579</v>
      </c>
      <c r="Q7375" t="s">
        <v>8147</v>
      </c>
      <c r="R7375" t="s">
        <v>616</v>
      </c>
      <c r="S7375">
        <v>143.76944499999999</v>
      </c>
      <c r="T7375" s="1095">
        <v>-35.767974000000002</v>
      </c>
    </row>
    <row r="7376" spans="16:20">
      <c r="P7376" s="1094">
        <v>3579</v>
      </c>
      <c r="Q7376" t="s">
        <v>8148</v>
      </c>
      <c r="R7376" t="s">
        <v>616</v>
      </c>
      <c r="S7376">
        <v>143.76944499999999</v>
      </c>
      <c r="T7376" s="1095">
        <v>-35.767974000000002</v>
      </c>
    </row>
    <row r="7377" spans="16:20">
      <c r="P7377" s="1094">
        <v>3579</v>
      </c>
      <c r="Q7377" t="s">
        <v>8149</v>
      </c>
      <c r="R7377" t="s">
        <v>616</v>
      </c>
      <c r="S7377">
        <v>143.76944499999999</v>
      </c>
      <c r="T7377" s="1095">
        <v>-35.767974000000002</v>
      </c>
    </row>
    <row r="7378" spans="16:20">
      <c r="P7378" s="1094">
        <v>3579</v>
      </c>
      <c r="Q7378" t="s">
        <v>8150</v>
      </c>
      <c r="R7378" t="s">
        <v>616</v>
      </c>
      <c r="S7378">
        <v>143.76944499999999</v>
      </c>
      <c r="T7378" s="1095">
        <v>-35.767974000000002</v>
      </c>
    </row>
    <row r="7379" spans="16:20">
      <c r="P7379" s="1094">
        <v>3579</v>
      </c>
      <c r="Q7379" t="s">
        <v>8151</v>
      </c>
      <c r="R7379" t="s">
        <v>616</v>
      </c>
      <c r="S7379">
        <v>143.76944499999999</v>
      </c>
      <c r="T7379" s="1095">
        <v>-35.767974000000002</v>
      </c>
    </row>
    <row r="7380" spans="16:20">
      <c r="P7380" s="1094">
        <v>3579</v>
      </c>
      <c r="Q7380" t="s">
        <v>8152</v>
      </c>
      <c r="R7380" t="s">
        <v>616</v>
      </c>
      <c r="S7380">
        <v>143.76944499999999</v>
      </c>
      <c r="T7380" s="1095">
        <v>-35.767974000000002</v>
      </c>
    </row>
    <row r="7381" spans="16:20">
      <c r="P7381" s="1094">
        <v>3579</v>
      </c>
      <c r="Q7381" t="s">
        <v>8153</v>
      </c>
      <c r="R7381" t="s">
        <v>616</v>
      </c>
      <c r="S7381">
        <v>143.76944499999999</v>
      </c>
      <c r="T7381" s="1095">
        <v>-35.767974000000002</v>
      </c>
    </row>
    <row r="7382" spans="16:20">
      <c r="P7382" s="1094">
        <v>3579</v>
      </c>
      <c r="Q7382" t="s">
        <v>8154</v>
      </c>
      <c r="R7382" t="s">
        <v>616</v>
      </c>
      <c r="S7382">
        <v>143.76944499999999</v>
      </c>
      <c r="T7382" s="1095">
        <v>-35.767974000000002</v>
      </c>
    </row>
    <row r="7383" spans="16:20">
      <c r="P7383" s="1094">
        <v>3579</v>
      </c>
      <c r="Q7383" t="s">
        <v>4486</v>
      </c>
      <c r="R7383" t="s">
        <v>616</v>
      </c>
      <c r="S7383">
        <v>143.76944499999999</v>
      </c>
      <c r="T7383" s="1095">
        <v>-35.767974000000002</v>
      </c>
    </row>
    <row r="7384" spans="16:20">
      <c r="P7384" s="1094">
        <v>3579</v>
      </c>
      <c r="Q7384" t="s">
        <v>5209</v>
      </c>
      <c r="R7384" t="s">
        <v>616</v>
      </c>
      <c r="S7384">
        <v>143.76944499999999</v>
      </c>
      <c r="T7384" s="1095">
        <v>-35.767974000000002</v>
      </c>
    </row>
    <row r="7385" spans="16:20">
      <c r="P7385" s="1094">
        <v>3580</v>
      </c>
      <c r="Q7385" t="s">
        <v>8155</v>
      </c>
      <c r="R7385" t="s">
        <v>616</v>
      </c>
      <c r="S7385">
        <v>144.094672</v>
      </c>
      <c r="T7385" s="1095">
        <v>-35.639761</v>
      </c>
    </row>
    <row r="7386" spans="16:20">
      <c r="P7386" s="1094">
        <v>3581</v>
      </c>
      <c r="Q7386" t="s">
        <v>8156</v>
      </c>
      <c r="R7386" t="s">
        <v>616</v>
      </c>
      <c r="S7386">
        <v>143.78521000000001</v>
      </c>
      <c r="T7386" s="1095">
        <v>-35.628332999999998</v>
      </c>
    </row>
    <row r="7387" spans="16:20">
      <c r="P7387" s="1094">
        <v>3581</v>
      </c>
      <c r="Q7387" t="s">
        <v>8157</v>
      </c>
      <c r="R7387" t="s">
        <v>616</v>
      </c>
      <c r="S7387">
        <v>143.78521000000001</v>
      </c>
      <c r="T7387" s="1095">
        <v>-35.628332999999998</v>
      </c>
    </row>
    <row r="7388" spans="16:20">
      <c r="P7388" s="1094">
        <v>3583</v>
      </c>
      <c r="Q7388" t="s">
        <v>8158</v>
      </c>
      <c r="R7388" t="s">
        <v>616</v>
      </c>
      <c r="S7388">
        <v>143.66458</v>
      </c>
      <c r="T7388" s="1095">
        <v>-35.509635000000003</v>
      </c>
    </row>
    <row r="7389" spans="16:20">
      <c r="P7389" s="1094">
        <v>3584</v>
      </c>
      <c r="Q7389" t="s">
        <v>8159</v>
      </c>
      <c r="R7389" t="s">
        <v>616</v>
      </c>
      <c r="S7389">
        <v>143.63761700000001</v>
      </c>
      <c r="T7389" s="1095">
        <v>-35.431026000000003</v>
      </c>
    </row>
    <row r="7390" spans="16:20">
      <c r="P7390" s="1094">
        <v>3584</v>
      </c>
      <c r="Q7390" t="s">
        <v>8160</v>
      </c>
      <c r="R7390" t="s">
        <v>616</v>
      </c>
      <c r="S7390">
        <v>143.63761700000001</v>
      </c>
      <c r="T7390" s="1095">
        <v>-35.431026000000003</v>
      </c>
    </row>
    <row r="7391" spans="16:20">
      <c r="P7391" s="1094">
        <v>3585</v>
      </c>
      <c r="Q7391" t="s">
        <v>8161</v>
      </c>
      <c r="R7391" t="s">
        <v>616</v>
      </c>
      <c r="S7391">
        <v>143.336906</v>
      </c>
      <c r="T7391" s="1095">
        <v>-35.348388</v>
      </c>
    </row>
    <row r="7392" spans="16:20">
      <c r="P7392" s="1094">
        <v>3585</v>
      </c>
      <c r="Q7392" t="s">
        <v>8162</v>
      </c>
      <c r="R7392" t="s">
        <v>616</v>
      </c>
      <c r="S7392">
        <v>143.336906</v>
      </c>
      <c r="T7392" s="1095">
        <v>-35.348388</v>
      </c>
    </row>
    <row r="7393" spans="16:20">
      <c r="P7393" s="1094">
        <v>3585</v>
      </c>
      <c r="Q7393" t="s">
        <v>8163</v>
      </c>
      <c r="R7393" t="s">
        <v>616</v>
      </c>
      <c r="S7393">
        <v>143.336906</v>
      </c>
      <c r="T7393" s="1095">
        <v>-35.348388</v>
      </c>
    </row>
    <row r="7394" spans="16:20">
      <c r="P7394" s="1094">
        <v>3585</v>
      </c>
      <c r="Q7394" t="s">
        <v>8164</v>
      </c>
      <c r="R7394" t="s">
        <v>616</v>
      </c>
      <c r="S7394">
        <v>143.336906</v>
      </c>
      <c r="T7394" s="1095">
        <v>-35.348388</v>
      </c>
    </row>
    <row r="7395" spans="16:20">
      <c r="P7395" s="1094">
        <v>3585</v>
      </c>
      <c r="Q7395" t="s">
        <v>8165</v>
      </c>
      <c r="R7395" t="s">
        <v>616</v>
      </c>
      <c r="S7395">
        <v>143.336906</v>
      </c>
      <c r="T7395" s="1095">
        <v>-35.348388</v>
      </c>
    </row>
    <row r="7396" spans="16:20">
      <c r="P7396" s="1094">
        <v>3585</v>
      </c>
      <c r="Q7396" t="s">
        <v>8166</v>
      </c>
      <c r="R7396" t="s">
        <v>616</v>
      </c>
      <c r="S7396">
        <v>143.336906</v>
      </c>
      <c r="T7396" s="1095">
        <v>-35.348388</v>
      </c>
    </row>
    <row r="7397" spans="16:20">
      <c r="P7397" s="1094">
        <v>3585</v>
      </c>
      <c r="Q7397" t="s">
        <v>8167</v>
      </c>
      <c r="R7397" t="s">
        <v>248</v>
      </c>
      <c r="S7397">
        <v>143.336906</v>
      </c>
      <c r="T7397" s="1095">
        <v>-35.348388</v>
      </c>
    </row>
    <row r="7398" spans="16:20">
      <c r="P7398" s="1094">
        <v>3585</v>
      </c>
      <c r="Q7398" t="s">
        <v>8168</v>
      </c>
      <c r="R7398" t="s">
        <v>616</v>
      </c>
      <c r="S7398">
        <v>143.336906</v>
      </c>
      <c r="T7398" s="1095">
        <v>-35.348388</v>
      </c>
    </row>
    <row r="7399" spans="16:20">
      <c r="P7399" s="1094">
        <v>3585</v>
      </c>
      <c r="Q7399" t="s">
        <v>8169</v>
      </c>
      <c r="R7399" t="s">
        <v>616</v>
      </c>
      <c r="S7399">
        <v>143.336906</v>
      </c>
      <c r="T7399" s="1095">
        <v>-35.348388</v>
      </c>
    </row>
    <row r="7400" spans="16:20">
      <c r="P7400" s="1094">
        <v>3585</v>
      </c>
      <c r="Q7400" t="s">
        <v>8170</v>
      </c>
      <c r="R7400" t="s">
        <v>616</v>
      </c>
      <c r="S7400">
        <v>143.336906</v>
      </c>
      <c r="T7400" s="1095">
        <v>-35.348388</v>
      </c>
    </row>
    <row r="7401" spans="16:20">
      <c r="P7401" s="1094">
        <v>3585</v>
      </c>
      <c r="Q7401" t="s">
        <v>8171</v>
      </c>
      <c r="R7401" t="s">
        <v>248</v>
      </c>
      <c r="S7401">
        <v>143.336906</v>
      </c>
      <c r="T7401" s="1095">
        <v>-35.348388</v>
      </c>
    </row>
    <row r="7402" spans="16:20">
      <c r="P7402" s="1094">
        <v>3585</v>
      </c>
      <c r="Q7402" t="s">
        <v>8172</v>
      </c>
      <c r="R7402" t="s">
        <v>616</v>
      </c>
      <c r="S7402">
        <v>143.336906</v>
      </c>
      <c r="T7402" s="1095">
        <v>-35.348388</v>
      </c>
    </row>
    <row r="7403" spans="16:20">
      <c r="P7403" s="1094">
        <v>3585</v>
      </c>
      <c r="Q7403" t="s">
        <v>8173</v>
      </c>
      <c r="R7403" t="s">
        <v>616</v>
      </c>
      <c r="S7403">
        <v>143.336906</v>
      </c>
      <c r="T7403" s="1095">
        <v>-35.348388</v>
      </c>
    </row>
    <row r="7404" spans="16:20">
      <c r="P7404" s="1094">
        <v>3585</v>
      </c>
      <c r="Q7404" t="s">
        <v>8174</v>
      </c>
      <c r="R7404" t="s">
        <v>616</v>
      </c>
      <c r="S7404">
        <v>143.336906</v>
      </c>
      <c r="T7404" s="1095">
        <v>-35.348388</v>
      </c>
    </row>
    <row r="7405" spans="16:20">
      <c r="P7405" s="1094">
        <v>3586</v>
      </c>
      <c r="Q7405" t="s">
        <v>2737</v>
      </c>
      <c r="R7405" t="s">
        <v>616</v>
      </c>
      <c r="S7405">
        <v>0</v>
      </c>
      <c r="T7405" s="1095">
        <v>0</v>
      </c>
    </row>
    <row r="7406" spans="16:20">
      <c r="P7406" s="1094">
        <v>3586</v>
      </c>
      <c r="Q7406" t="s">
        <v>8175</v>
      </c>
      <c r="R7406" t="s">
        <v>248</v>
      </c>
      <c r="S7406">
        <v>0</v>
      </c>
      <c r="T7406" s="1095">
        <v>0</v>
      </c>
    </row>
    <row r="7407" spans="16:20">
      <c r="P7407" s="1094">
        <v>3586</v>
      </c>
      <c r="Q7407" t="s">
        <v>8176</v>
      </c>
      <c r="R7407" t="s">
        <v>616</v>
      </c>
      <c r="S7407">
        <v>0</v>
      </c>
      <c r="T7407" s="1095">
        <v>0</v>
      </c>
    </row>
    <row r="7408" spans="16:20">
      <c r="P7408" s="1094">
        <v>3586</v>
      </c>
      <c r="Q7408" t="s">
        <v>8177</v>
      </c>
      <c r="R7408" t="s">
        <v>616</v>
      </c>
      <c r="S7408">
        <v>0</v>
      </c>
      <c r="T7408" s="1095">
        <v>0</v>
      </c>
    </row>
    <row r="7409" spans="16:20">
      <c r="P7409" s="1094">
        <v>3586</v>
      </c>
      <c r="Q7409" t="s">
        <v>8178</v>
      </c>
      <c r="R7409" t="s">
        <v>616</v>
      </c>
      <c r="S7409">
        <v>0</v>
      </c>
      <c r="T7409" s="1095">
        <v>0</v>
      </c>
    </row>
    <row r="7410" spans="16:20">
      <c r="P7410" s="1094">
        <v>3586</v>
      </c>
      <c r="Q7410" t="s">
        <v>8179</v>
      </c>
      <c r="R7410" t="s">
        <v>616</v>
      </c>
      <c r="S7410">
        <v>0</v>
      </c>
      <c r="T7410" s="1095">
        <v>0</v>
      </c>
    </row>
    <row r="7411" spans="16:20">
      <c r="P7411" s="1094">
        <v>3586</v>
      </c>
      <c r="Q7411" t="s">
        <v>8180</v>
      </c>
      <c r="R7411" t="s">
        <v>616</v>
      </c>
      <c r="S7411">
        <v>0</v>
      </c>
      <c r="T7411" s="1095">
        <v>0</v>
      </c>
    </row>
    <row r="7412" spans="16:20">
      <c r="P7412" s="1094">
        <v>3586</v>
      </c>
      <c r="Q7412" t="s">
        <v>8181</v>
      </c>
      <c r="R7412" t="s">
        <v>616</v>
      </c>
      <c r="S7412">
        <v>0</v>
      </c>
      <c r="T7412" s="1095">
        <v>0</v>
      </c>
    </row>
    <row r="7413" spans="16:20">
      <c r="P7413" s="1094">
        <v>3588</v>
      </c>
      <c r="Q7413" t="s">
        <v>8182</v>
      </c>
      <c r="R7413" t="s">
        <v>616</v>
      </c>
      <c r="S7413">
        <v>143.470325</v>
      </c>
      <c r="T7413" s="1095">
        <v>-35.294289999999997</v>
      </c>
    </row>
    <row r="7414" spans="16:20">
      <c r="P7414" s="1094">
        <v>3589</v>
      </c>
      <c r="Q7414" t="s">
        <v>8183</v>
      </c>
      <c r="R7414" t="s">
        <v>616</v>
      </c>
      <c r="S7414">
        <v>143.441248</v>
      </c>
      <c r="T7414" s="1095">
        <v>-35.228436000000002</v>
      </c>
    </row>
    <row r="7415" spans="16:20">
      <c r="P7415" s="1094">
        <v>3589</v>
      </c>
      <c r="Q7415" t="s">
        <v>8184</v>
      </c>
      <c r="R7415" t="s">
        <v>616</v>
      </c>
      <c r="S7415">
        <v>143.441248</v>
      </c>
      <c r="T7415" s="1095">
        <v>-35.228436000000002</v>
      </c>
    </row>
    <row r="7416" spans="16:20">
      <c r="P7416" s="1094">
        <v>3590</v>
      </c>
      <c r="Q7416" t="s">
        <v>8185</v>
      </c>
      <c r="R7416" t="s">
        <v>616</v>
      </c>
      <c r="S7416">
        <v>143.49352500000001</v>
      </c>
      <c r="T7416" s="1095">
        <v>-35.235708000000002</v>
      </c>
    </row>
    <row r="7417" spans="16:20">
      <c r="P7417" s="1094">
        <v>3591</v>
      </c>
      <c r="Q7417" t="s">
        <v>8186</v>
      </c>
      <c r="R7417" t="s">
        <v>616</v>
      </c>
      <c r="S7417">
        <v>143.394092</v>
      </c>
      <c r="T7417" s="1095">
        <v>-35.202209000000003</v>
      </c>
    </row>
    <row r="7418" spans="16:20">
      <c r="P7418" s="1094">
        <v>3594</v>
      </c>
      <c r="Q7418" t="s">
        <v>8187</v>
      </c>
      <c r="R7418" t="s">
        <v>616</v>
      </c>
      <c r="S7418">
        <v>143.34602799999999</v>
      </c>
      <c r="T7418" s="1095">
        <v>-35.138154999999998</v>
      </c>
    </row>
    <row r="7419" spans="16:20">
      <c r="P7419" s="1094">
        <v>3595</v>
      </c>
      <c r="Q7419" t="s">
        <v>8188</v>
      </c>
      <c r="R7419" t="s">
        <v>616</v>
      </c>
      <c r="S7419">
        <v>143.35168200000001</v>
      </c>
      <c r="T7419" s="1095">
        <v>-35.202751999999997</v>
      </c>
    </row>
    <row r="7420" spans="16:20">
      <c r="P7420" s="1094">
        <v>3596</v>
      </c>
      <c r="Q7420" t="s">
        <v>8189</v>
      </c>
      <c r="R7420" t="s">
        <v>616</v>
      </c>
      <c r="S7420">
        <v>0</v>
      </c>
      <c r="T7420" s="1095">
        <v>0</v>
      </c>
    </row>
    <row r="7421" spans="16:20">
      <c r="P7421" s="1094">
        <v>3596</v>
      </c>
      <c r="Q7421" t="s">
        <v>8190</v>
      </c>
      <c r="R7421" t="s">
        <v>616</v>
      </c>
      <c r="S7421">
        <v>0</v>
      </c>
      <c r="T7421" s="1095">
        <v>0</v>
      </c>
    </row>
    <row r="7422" spans="16:20">
      <c r="P7422" s="1094">
        <v>3596</v>
      </c>
      <c r="Q7422" t="s">
        <v>8191</v>
      </c>
      <c r="R7422" t="s">
        <v>616</v>
      </c>
      <c r="S7422">
        <v>0</v>
      </c>
      <c r="T7422" s="1095">
        <v>0</v>
      </c>
    </row>
    <row r="7423" spans="16:20">
      <c r="P7423" s="1094">
        <v>3597</v>
      </c>
      <c r="Q7423" t="s">
        <v>8192</v>
      </c>
      <c r="R7423" t="s">
        <v>616</v>
      </c>
      <c r="S7423">
        <v>143.189786</v>
      </c>
      <c r="T7423" s="1095">
        <v>-34.965358999999999</v>
      </c>
    </row>
    <row r="7424" spans="16:20">
      <c r="P7424" s="1094">
        <v>3597</v>
      </c>
      <c r="Q7424" t="s">
        <v>8193</v>
      </c>
      <c r="R7424" t="s">
        <v>616</v>
      </c>
      <c r="S7424">
        <v>143.189786</v>
      </c>
      <c r="T7424" s="1095">
        <v>-34.965358999999999</v>
      </c>
    </row>
    <row r="7425" spans="16:20">
      <c r="P7425" s="1094">
        <v>3597</v>
      </c>
      <c r="Q7425" t="s">
        <v>8194</v>
      </c>
      <c r="R7425" t="s">
        <v>616</v>
      </c>
      <c r="S7425">
        <v>143.189786</v>
      </c>
      <c r="T7425" s="1095">
        <v>-34.965358999999999</v>
      </c>
    </row>
    <row r="7426" spans="16:20">
      <c r="P7426" s="1094">
        <v>3597</v>
      </c>
      <c r="Q7426" t="s">
        <v>8195</v>
      </c>
      <c r="R7426" t="s">
        <v>616</v>
      </c>
      <c r="S7426">
        <v>143.189786</v>
      </c>
      <c r="T7426" s="1095">
        <v>-34.965358999999999</v>
      </c>
    </row>
    <row r="7427" spans="16:20">
      <c r="P7427" s="1094">
        <v>3597</v>
      </c>
      <c r="Q7427" t="s">
        <v>8196</v>
      </c>
      <c r="R7427" t="s">
        <v>616</v>
      </c>
      <c r="S7427">
        <v>143.189786</v>
      </c>
      <c r="T7427" s="1095">
        <v>-34.965358999999999</v>
      </c>
    </row>
    <row r="7428" spans="16:20">
      <c r="P7428" s="1094">
        <v>3597</v>
      </c>
      <c r="Q7428" t="s">
        <v>8197</v>
      </c>
      <c r="R7428" t="s">
        <v>616</v>
      </c>
      <c r="S7428">
        <v>143.189786</v>
      </c>
      <c r="T7428" s="1095">
        <v>-34.965358999999999</v>
      </c>
    </row>
    <row r="7429" spans="16:20">
      <c r="P7429" s="1094">
        <v>3599</v>
      </c>
      <c r="Q7429" t="s">
        <v>8198</v>
      </c>
      <c r="R7429" t="s">
        <v>616</v>
      </c>
      <c r="S7429">
        <v>143.14323099999999</v>
      </c>
      <c r="T7429" s="1095">
        <v>-34.729742000000002</v>
      </c>
    </row>
    <row r="7430" spans="16:20">
      <c r="P7430" s="1094">
        <v>3607</v>
      </c>
      <c r="Q7430" t="s">
        <v>8199</v>
      </c>
      <c r="R7430" t="s">
        <v>616</v>
      </c>
      <c r="S7430">
        <v>145.17976200000001</v>
      </c>
      <c r="T7430" s="1095">
        <v>-36.839706999999997</v>
      </c>
    </row>
    <row r="7431" spans="16:20">
      <c r="P7431" s="1094">
        <v>3608</v>
      </c>
      <c r="Q7431" t="s">
        <v>8200</v>
      </c>
      <c r="R7431" t="s">
        <v>616</v>
      </c>
      <c r="S7431">
        <v>145.095753</v>
      </c>
      <c r="T7431" s="1095">
        <v>-36.740713</v>
      </c>
    </row>
    <row r="7432" spans="16:20">
      <c r="P7432" s="1094">
        <v>3608</v>
      </c>
      <c r="Q7432" t="s">
        <v>8201</v>
      </c>
      <c r="R7432" t="s">
        <v>616</v>
      </c>
      <c r="S7432">
        <v>145.095753</v>
      </c>
      <c r="T7432" s="1095">
        <v>-36.740713</v>
      </c>
    </row>
    <row r="7433" spans="16:20">
      <c r="P7433" s="1094">
        <v>3608</v>
      </c>
      <c r="Q7433" t="s">
        <v>8202</v>
      </c>
      <c r="R7433" t="s">
        <v>616</v>
      </c>
      <c r="S7433">
        <v>145.095753</v>
      </c>
      <c r="T7433" s="1095">
        <v>-36.740713</v>
      </c>
    </row>
    <row r="7434" spans="16:20">
      <c r="P7434" s="1094">
        <v>3608</v>
      </c>
      <c r="Q7434" t="s">
        <v>8203</v>
      </c>
      <c r="R7434" t="s">
        <v>616</v>
      </c>
      <c r="S7434">
        <v>145.095753</v>
      </c>
      <c r="T7434" s="1095">
        <v>-36.740713</v>
      </c>
    </row>
    <row r="7435" spans="16:20">
      <c r="P7435" s="1094">
        <v>3608</v>
      </c>
      <c r="Q7435" t="s">
        <v>8204</v>
      </c>
      <c r="R7435" t="s">
        <v>616</v>
      </c>
      <c r="S7435">
        <v>145.095753</v>
      </c>
      <c r="T7435" s="1095">
        <v>-36.740713</v>
      </c>
    </row>
    <row r="7436" spans="16:20">
      <c r="P7436" s="1094">
        <v>3608</v>
      </c>
      <c r="Q7436" t="s">
        <v>8205</v>
      </c>
      <c r="R7436" t="s">
        <v>616</v>
      </c>
      <c r="S7436">
        <v>145.095753</v>
      </c>
      <c r="T7436" s="1095">
        <v>-36.740713</v>
      </c>
    </row>
    <row r="7437" spans="16:20">
      <c r="P7437" s="1094">
        <v>3608</v>
      </c>
      <c r="Q7437" t="s">
        <v>8206</v>
      </c>
      <c r="R7437" t="s">
        <v>616</v>
      </c>
      <c r="S7437">
        <v>145.095753</v>
      </c>
      <c r="T7437" s="1095">
        <v>-36.740713</v>
      </c>
    </row>
    <row r="7438" spans="16:20">
      <c r="P7438" s="1094">
        <v>3608</v>
      </c>
      <c r="Q7438" t="s">
        <v>8207</v>
      </c>
      <c r="R7438" t="s">
        <v>616</v>
      </c>
      <c r="S7438">
        <v>145.095753</v>
      </c>
      <c r="T7438" s="1095">
        <v>-36.740713</v>
      </c>
    </row>
    <row r="7439" spans="16:20">
      <c r="P7439" s="1094">
        <v>3610</v>
      </c>
      <c r="Q7439" t="s">
        <v>8208</v>
      </c>
      <c r="R7439" t="s">
        <v>616</v>
      </c>
      <c r="S7439">
        <v>145.22934900000001</v>
      </c>
      <c r="T7439" s="1095">
        <v>-36.577627999999997</v>
      </c>
    </row>
    <row r="7440" spans="16:20">
      <c r="P7440" s="1094">
        <v>3610</v>
      </c>
      <c r="Q7440" t="s">
        <v>8209</v>
      </c>
      <c r="R7440" t="s">
        <v>616</v>
      </c>
      <c r="S7440">
        <v>145.22934900000001</v>
      </c>
      <c r="T7440" s="1095">
        <v>-36.577627999999997</v>
      </c>
    </row>
    <row r="7441" spans="16:20">
      <c r="P7441" s="1094">
        <v>3610</v>
      </c>
      <c r="Q7441" t="s">
        <v>8210</v>
      </c>
      <c r="R7441" t="s">
        <v>616</v>
      </c>
      <c r="S7441">
        <v>145.22934900000001</v>
      </c>
      <c r="T7441" s="1095">
        <v>-36.577627999999997</v>
      </c>
    </row>
    <row r="7442" spans="16:20">
      <c r="P7442" s="1094">
        <v>3610</v>
      </c>
      <c r="Q7442" t="s">
        <v>8211</v>
      </c>
      <c r="R7442" t="s">
        <v>616</v>
      </c>
      <c r="S7442">
        <v>145.22934900000001</v>
      </c>
      <c r="T7442" s="1095">
        <v>-36.577627999999997</v>
      </c>
    </row>
    <row r="7443" spans="16:20">
      <c r="P7443" s="1094">
        <v>3610</v>
      </c>
      <c r="Q7443" t="s">
        <v>8212</v>
      </c>
      <c r="R7443" t="s">
        <v>616</v>
      </c>
      <c r="S7443">
        <v>145.22934900000001</v>
      </c>
      <c r="T7443" s="1095">
        <v>-36.577627999999997</v>
      </c>
    </row>
    <row r="7444" spans="16:20">
      <c r="P7444" s="1094">
        <v>3612</v>
      </c>
      <c r="Q7444" t="s">
        <v>8213</v>
      </c>
      <c r="R7444" t="s">
        <v>616</v>
      </c>
      <c r="S7444">
        <v>145.01931200000001</v>
      </c>
      <c r="T7444" s="1095">
        <v>-36.575935999999999</v>
      </c>
    </row>
    <row r="7445" spans="16:20">
      <c r="P7445" s="1094">
        <v>3612</v>
      </c>
      <c r="Q7445" t="s">
        <v>8214</v>
      </c>
      <c r="R7445" t="s">
        <v>616</v>
      </c>
      <c r="S7445">
        <v>145.01931200000001</v>
      </c>
      <c r="T7445" s="1095">
        <v>-36.575935999999999</v>
      </c>
    </row>
    <row r="7446" spans="16:20">
      <c r="P7446" s="1094">
        <v>3612</v>
      </c>
      <c r="Q7446" t="s">
        <v>8215</v>
      </c>
      <c r="R7446" t="s">
        <v>616</v>
      </c>
      <c r="S7446">
        <v>145.01931200000001</v>
      </c>
      <c r="T7446" s="1095">
        <v>-36.575935999999999</v>
      </c>
    </row>
    <row r="7447" spans="16:20">
      <c r="P7447" s="1094">
        <v>3612</v>
      </c>
      <c r="Q7447" t="s">
        <v>8216</v>
      </c>
      <c r="R7447" t="s">
        <v>616</v>
      </c>
      <c r="S7447">
        <v>145.01931200000001</v>
      </c>
      <c r="T7447" s="1095">
        <v>-36.575935999999999</v>
      </c>
    </row>
    <row r="7448" spans="16:20">
      <c r="P7448" s="1094">
        <v>3612</v>
      </c>
      <c r="Q7448" t="s">
        <v>8217</v>
      </c>
      <c r="R7448" t="s">
        <v>616</v>
      </c>
      <c r="S7448">
        <v>145.01931200000001</v>
      </c>
      <c r="T7448" s="1095">
        <v>-36.575935999999999</v>
      </c>
    </row>
    <row r="7449" spans="16:20">
      <c r="P7449" s="1094">
        <v>3614</v>
      </c>
      <c r="Q7449" t="s">
        <v>8218</v>
      </c>
      <c r="R7449" t="s">
        <v>616</v>
      </c>
      <c r="S7449">
        <v>145.30098000000001</v>
      </c>
      <c r="T7449" s="1095">
        <v>-36.479193000000002</v>
      </c>
    </row>
    <row r="7450" spans="16:20">
      <c r="P7450" s="1094">
        <v>3616</v>
      </c>
      <c r="Q7450" t="s">
        <v>5019</v>
      </c>
      <c r="R7450" t="s">
        <v>616</v>
      </c>
      <c r="S7450">
        <v>145.145217</v>
      </c>
      <c r="T7450" s="1095">
        <v>-36.464117999999999</v>
      </c>
    </row>
    <row r="7451" spans="16:20">
      <c r="P7451" s="1094">
        <v>3616</v>
      </c>
      <c r="Q7451" t="s">
        <v>8219</v>
      </c>
      <c r="R7451" t="s">
        <v>616</v>
      </c>
      <c r="S7451">
        <v>145.145217</v>
      </c>
      <c r="T7451" s="1095">
        <v>-36.464117999999999</v>
      </c>
    </row>
    <row r="7452" spans="16:20">
      <c r="P7452" s="1094">
        <v>3616</v>
      </c>
      <c r="Q7452" t="s">
        <v>8220</v>
      </c>
      <c r="R7452" t="s">
        <v>616</v>
      </c>
      <c r="S7452">
        <v>145.145217</v>
      </c>
      <c r="T7452" s="1095">
        <v>-36.464117999999999</v>
      </c>
    </row>
    <row r="7453" spans="16:20">
      <c r="P7453" s="1094">
        <v>3616</v>
      </c>
      <c r="Q7453" t="s">
        <v>8221</v>
      </c>
      <c r="R7453" t="s">
        <v>616</v>
      </c>
      <c r="S7453">
        <v>145.145217</v>
      </c>
      <c r="T7453" s="1095">
        <v>-36.464117999999999</v>
      </c>
    </row>
    <row r="7454" spans="16:20">
      <c r="P7454" s="1094">
        <v>3616</v>
      </c>
      <c r="Q7454" t="s">
        <v>8222</v>
      </c>
      <c r="R7454" t="s">
        <v>616</v>
      </c>
      <c r="S7454">
        <v>145.145217</v>
      </c>
      <c r="T7454" s="1095">
        <v>-36.464117999999999</v>
      </c>
    </row>
    <row r="7455" spans="16:20">
      <c r="P7455" s="1094">
        <v>3616</v>
      </c>
      <c r="Q7455" t="s">
        <v>8223</v>
      </c>
      <c r="R7455" t="s">
        <v>616</v>
      </c>
      <c r="S7455">
        <v>145.145217</v>
      </c>
      <c r="T7455" s="1095">
        <v>-36.464117999999999</v>
      </c>
    </row>
    <row r="7456" spans="16:20">
      <c r="P7456" s="1094">
        <v>3616</v>
      </c>
      <c r="Q7456" t="s">
        <v>8224</v>
      </c>
      <c r="R7456" t="s">
        <v>616</v>
      </c>
      <c r="S7456">
        <v>145.145217</v>
      </c>
      <c r="T7456" s="1095">
        <v>-36.464117999999999</v>
      </c>
    </row>
    <row r="7457" spans="16:20">
      <c r="P7457" s="1094">
        <v>3616</v>
      </c>
      <c r="Q7457" t="s">
        <v>8225</v>
      </c>
      <c r="R7457" t="s">
        <v>616</v>
      </c>
      <c r="S7457">
        <v>145.145217</v>
      </c>
      <c r="T7457" s="1095">
        <v>-36.464117999999999</v>
      </c>
    </row>
    <row r="7458" spans="16:20">
      <c r="P7458" s="1094">
        <v>3617</v>
      </c>
      <c r="Q7458" t="s">
        <v>8226</v>
      </c>
      <c r="R7458" t="s">
        <v>616</v>
      </c>
      <c r="S7458">
        <v>145.178369</v>
      </c>
      <c r="T7458" s="1095">
        <v>-36.423822999999999</v>
      </c>
    </row>
    <row r="7459" spans="16:20">
      <c r="P7459" s="1094">
        <v>3618</v>
      </c>
      <c r="Q7459" t="s">
        <v>8227</v>
      </c>
      <c r="R7459" t="s">
        <v>616</v>
      </c>
      <c r="S7459">
        <v>145.12501399999999</v>
      </c>
      <c r="T7459" s="1095">
        <v>-36.377079999999999</v>
      </c>
    </row>
    <row r="7460" spans="16:20">
      <c r="P7460" s="1094">
        <v>3619</v>
      </c>
      <c r="Q7460" t="s">
        <v>8228</v>
      </c>
      <c r="R7460" t="s">
        <v>616</v>
      </c>
      <c r="S7460">
        <v>0</v>
      </c>
      <c r="T7460" s="1095">
        <v>0</v>
      </c>
    </row>
    <row r="7461" spans="16:20">
      <c r="P7461" s="1094">
        <v>3620</v>
      </c>
      <c r="Q7461" t="s">
        <v>8228</v>
      </c>
      <c r="R7461" t="s">
        <v>616</v>
      </c>
      <c r="S7461">
        <v>145.08273500000001</v>
      </c>
      <c r="T7461" s="1095">
        <v>-36.284584000000002</v>
      </c>
    </row>
    <row r="7462" spans="16:20">
      <c r="P7462" s="1094">
        <v>3620</v>
      </c>
      <c r="Q7462" t="s">
        <v>8229</v>
      </c>
      <c r="R7462" t="s">
        <v>616</v>
      </c>
      <c r="S7462">
        <v>145.08273500000001</v>
      </c>
      <c r="T7462" s="1095">
        <v>-36.284584000000002</v>
      </c>
    </row>
    <row r="7463" spans="16:20">
      <c r="P7463" s="1094">
        <v>3620</v>
      </c>
      <c r="Q7463" t="s">
        <v>8230</v>
      </c>
      <c r="R7463" t="s">
        <v>616</v>
      </c>
      <c r="S7463">
        <v>145.08273500000001</v>
      </c>
      <c r="T7463" s="1095">
        <v>-36.284584000000002</v>
      </c>
    </row>
    <row r="7464" spans="16:20">
      <c r="P7464" s="1094">
        <v>3620</v>
      </c>
      <c r="Q7464" t="s">
        <v>8231</v>
      </c>
      <c r="R7464" t="s">
        <v>616</v>
      </c>
      <c r="S7464">
        <v>145.08273500000001</v>
      </c>
      <c r="T7464" s="1095">
        <v>-36.284584000000002</v>
      </c>
    </row>
    <row r="7465" spans="16:20">
      <c r="P7465" s="1094">
        <v>3620</v>
      </c>
      <c r="Q7465" t="s">
        <v>8232</v>
      </c>
      <c r="R7465" t="s">
        <v>616</v>
      </c>
      <c r="S7465">
        <v>145.08273500000001</v>
      </c>
      <c r="T7465" s="1095">
        <v>-36.284584000000002</v>
      </c>
    </row>
    <row r="7466" spans="16:20">
      <c r="P7466" s="1094">
        <v>3620</v>
      </c>
      <c r="Q7466" t="s">
        <v>8233</v>
      </c>
      <c r="R7466" t="s">
        <v>616</v>
      </c>
      <c r="S7466">
        <v>145.08273500000001</v>
      </c>
      <c r="T7466" s="1095">
        <v>-36.284584000000002</v>
      </c>
    </row>
    <row r="7467" spans="16:20">
      <c r="P7467" s="1094">
        <v>3620</v>
      </c>
      <c r="Q7467" t="s">
        <v>8234</v>
      </c>
      <c r="R7467" t="s">
        <v>616</v>
      </c>
      <c r="S7467">
        <v>145.08273500000001</v>
      </c>
      <c r="T7467" s="1095">
        <v>-36.284584000000002</v>
      </c>
    </row>
    <row r="7468" spans="16:20">
      <c r="P7468" s="1094">
        <v>3621</v>
      </c>
      <c r="Q7468" t="s">
        <v>8235</v>
      </c>
      <c r="R7468" t="s">
        <v>616</v>
      </c>
      <c r="S7468">
        <v>144.96118300000001</v>
      </c>
      <c r="T7468" s="1095">
        <v>-36.206054999999999</v>
      </c>
    </row>
    <row r="7469" spans="16:20">
      <c r="P7469" s="1094">
        <v>3621</v>
      </c>
      <c r="Q7469" t="s">
        <v>8236</v>
      </c>
      <c r="R7469" t="s">
        <v>616</v>
      </c>
      <c r="S7469">
        <v>144.96118300000001</v>
      </c>
      <c r="T7469" s="1095">
        <v>-36.206054999999999</v>
      </c>
    </row>
    <row r="7470" spans="16:20">
      <c r="P7470" s="1094">
        <v>3621</v>
      </c>
      <c r="Q7470" t="s">
        <v>8237</v>
      </c>
      <c r="R7470" t="s">
        <v>616</v>
      </c>
      <c r="S7470">
        <v>144.96118300000001</v>
      </c>
      <c r="T7470" s="1095">
        <v>-36.206054999999999</v>
      </c>
    </row>
    <row r="7471" spans="16:20">
      <c r="P7471" s="1094">
        <v>3621</v>
      </c>
      <c r="Q7471" t="s">
        <v>8238</v>
      </c>
      <c r="R7471" t="s">
        <v>616</v>
      </c>
      <c r="S7471">
        <v>144.96118300000001</v>
      </c>
      <c r="T7471" s="1095">
        <v>-36.206054999999999</v>
      </c>
    </row>
    <row r="7472" spans="16:20">
      <c r="P7472" s="1094">
        <v>3621</v>
      </c>
      <c r="Q7472" t="s">
        <v>8239</v>
      </c>
      <c r="R7472" t="s">
        <v>616</v>
      </c>
      <c r="S7472">
        <v>144.96118300000001</v>
      </c>
      <c r="T7472" s="1095">
        <v>-36.206054999999999</v>
      </c>
    </row>
    <row r="7473" spans="16:20">
      <c r="P7473" s="1094">
        <v>3622</v>
      </c>
      <c r="Q7473" t="s">
        <v>8240</v>
      </c>
      <c r="R7473" t="s">
        <v>616</v>
      </c>
      <c r="S7473">
        <v>144.87573</v>
      </c>
      <c r="T7473" s="1095">
        <v>-36.231960999999998</v>
      </c>
    </row>
    <row r="7474" spans="16:20">
      <c r="P7474" s="1094">
        <v>3622</v>
      </c>
      <c r="Q7474" t="s">
        <v>8241</v>
      </c>
      <c r="R7474" t="s">
        <v>616</v>
      </c>
      <c r="S7474">
        <v>144.87573</v>
      </c>
      <c r="T7474" s="1095">
        <v>-36.231960999999998</v>
      </c>
    </row>
    <row r="7475" spans="16:20">
      <c r="P7475" s="1094">
        <v>3622</v>
      </c>
      <c r="Q7475" t="s">
        <v>8242</v>
      </c>
      <c r="R7475" t="s">
        <v>616</v>
      </c>
      <c r="S7475">
        <v>144.87573</v>
      </c>
      <c r="T7475" s="1095">
        <v>-36.231960999999998</v>
      </c>
    </row>
    <row r="7476" spans="16:20">
      <c r="P7476" s="1094">
        <v>3623</v>
      </c>
      <c r="Q7476" t="s">
        <v>8243</v>
      </c>
      <c r="R7476" t="s">
        <v>616</v>
      </c>
      <c r="S7476">
        <v>144.97681299999999</v>
      </c>
      <c r="T7476" s="1095">
        <v>-36.461381000000003</v>
      </c>
    </row>
    <row r="7477" spans="16:20">
      <c r="P7477" s="1094">
        <v>3623</v>
      </c>
      <c r="Q7477" t="s">
        <v>2816</v>
      </c>
      <c r="R7477" t="s">
        <v>616</v>
      </c>
      <c r="S7477">
        <v>144.97681299999999</v>
      </c>
      <c r="T7477" s="1095">
        <v>-36.461381000000003</v>
      </c>
    </row>
    <row r="7478" spans="16:20">
      <c r="P7478" s="1094">
        <v>3623</v>
      </c>
      <c r="Q7478" t="s">
        <v>8244</v>
      </c>
      <c r="R7478" t="s">
        <v>616</v>
      </c>
      <c r="S7478">
        <v>144.97681299999999</v>
      </c>
      <c r="T7478" s="1095">
        <v>-36.461381000000003</v>
      </c>
    </row>
    <row r="7479" spans="16:20">
      <c r="P7479" s="1094">
        <v>3624</v>
      </c>
      <c r="Q7479" t="s">
        <v>8245</v>
      </c>
      <c r="R7479" t="s">
        <v>616</v>
      </c>
      <c r="S7479">
        <v>144.96576300000001</v>
      </c>
      <c r="T7479" s="1095">
        <v>-36.410186000000003</v>
      </c>
    </row>
    <row r="7480" spans="16:20">
      <c r="P7480" s="1094">
        <v>3629</v>
      </c>
      <c r="Q7480" t="s">
        <v>8246</v>
      </c>
      <c r="R7480" t="s">
        <v>616</v>
      </c>
      <c r="S7480">
        <v>145.26065299999999</v>
      </c>
      <c r="T7480" s="1095">
        <v>-36.287306000000001</v>
      </c>
    </row>
    <row r="7481" spans="16:20">
      <c r="P7481" s="1094">
        <v>3629</v>
      </c>
      <c r="Q7481" t="s">
        <v>8247</v>
      </c>
      <c r="R7481" t="s">
        <v>616</v>
      </c>
      <c r="S7481">
        <v>145.26065299999999</v>
      </c>
      <c r="T7481" s="1095">
        <v>-36.287306000000001</v>
      </c>
    </row>
    <row r="7482" spans="16:20">
      <c r="P7482" s="1094">
        <v>3629</v>
      </c>
      <c r="Q7482" t="s">
        <v>8248</v>
      </c>
      <c r="R7482" t="s">
        <v>616</v>
      </c>
      <c r="S7482">
        <v>145.26065299999999</v>
      </c>
      <c r="T7482" s="1095">
        <v>-36.287306000000001</v>
      </c>
    </row>
    <row r="7483" spans="16:20">
      <c r="P7483" s="1094">
        <v>3629</v>
      </c>
      <c r="Q7483" t="s">
        <v>8249</v>
      </c>
      <c r="R7483" t="s">
        <v>616</v>
      </c>
      <c r="S7483">
        <v>145.26065299999999</v>
      </c>
      <c r="T7483" s="1095">
        <v>-36.287306000000001</v>
      </c>
    </row>
    <row r="7484" spans="16:20">
      <c r="P7484" s="1094">
        <v>3629</v>
      </c>
      <c r="Q7484" t="s">
        <v>8250</v>
      </c>
      <c r="R7484" t="s">
        <v>616</v>
      </c>
      <c r="S7484">
        <v>145.26065299999999</v>
      </c>
      <c r="T7484" s="1095">
        <v>-36.287306000000001</v>
      </c>
    </row>
    <row r="7485" spans="16:20">
      <c r="P7485" s="1094">
        <v>3630</v>
      </c>
      <c r="Q7485" t="s">
        <v>8251</v>
      </c>
      <c r="R7485" t="s">
        <v>616</v>
      </c>
      <c r="S7485">
        <v>145.403176</v>
      </c>
      <c r="T7485" s="1095">
        <v>-36.380853000000002</v>
      </c>
    </row>
    <row r="7486" spans="16:20">
      <c r="P7486" s="1094">
        <v>3630</v>
      </c>
      <c r="Q7486" t="s">
        <v>8252</v>
      </c>
      <c r="R7486" t="s">
        <v>616</v>
      </c>
      <c r="S7486">
        <v>145.403176</v>
      </c>
      <c r="T7486" s="1095">
        <v>-36.380853000000002</v>
      </c>
    </row>
    <row r="7487" spans="16:20">
      <c r="P7487" s="1094">
        <v>3630</v>
      </c>
      <c r="Q7487" t="s">
        <v>8253</v>
      </c>
      <c r="R7487" t="s">
        <v>616</v>
      </c>
      <c r="S7487">
        <v>145.403176</v>
      </c>
      <c r="T7487" s="1095">
        <v>-36.380853000000002</v>
      </c>
    </row>
    <row r="7488" spans="16:20">
      <c r="P7488" s="1094">
        <v>3630</v>
      </c>
      <c r="Q7488" t="s">
        <v>8254</v>
      </c>
      <c r="R7488" t="s">
        <v>616</v>
      </c>
      <c r="S7488">
        <v>145.403176</v>
      </c>
      <c r="T7488" s="1095">
        <v>-36.380853000000002</v>
      </c>
    </row>
    <row r="7489" spans="16:20">
      <c r="P7489" s="1094">
        <v>3630</v>
      </c>
      <c r="Q7489" t="s">
        <v>8255</v>
      </c>
      <c r="R7489" t="s">
        <v>616</v>
      </c>
      <c r="S7489">
        <v>145.403176</v>
      </c>
      <c r="T7489" s="1095">
        <v>-36.380853000000002</v>
      </c>
    </row>
    <row r="7490" spans="16:20">
      <c r="P7490" s="1094">
        <v>3630</v>
      </c>
      <c r="Q7490" t="s">
        <v>8256</v>
      </c>
      <c r="R7490" t="s">
        <v>616</v>
      </c>
      <c r="S7490">
        <v>145.403176</v>
      </c>
      <c r="T7490" s="1095">
        <v>-36.380853000000002</v>
      </c>
    </row>
    <row r="7491" spans="16:20">
      <c r="P7491" s="1094">
        <v>3630</v>
      </c>
      <c r="Q7491" t="s">
        <v>8257</v>
      </c>
      <c r="R7491" t="s">
        <v>616</v>
      </c>
      <c r="S7491">
        <v>145.403176</v>
      </c>
      <c r="T7491" s="1095">
        <v>-36.380853000000002</v>
      </c>
    </row>
    <row r="7492" spans="16:20">
      <c r="P7492" s="1094">
        <v>3631</v>
      </c>
      <c r="Q7492" t="s">
        <v>2078</v>
      </c>
      <c r="R7492" t="s">
        <v>616</v>
      </c>
      <c r="S7492">
        <v>145.52669299999999</v>
      </c>
      <c r="T7492" s="1095">
        <v>-36.428694</v>
      </c>
    </row>
    <row r="7493" spans="16:20">
      <c r="P7493" s="1094">
        <v>3631</v>
      </c>
      <c r="Q7493" t="s">
        <v>8258</v>
      </c>
      <c r="R7493" t="s">
        <v>616</v>
      </c>
      <c r="S7493">
        <v>145.52669299999999</v>
      </c>
      <c r="T7493" s="1095">
        <v>-36.428694</v>
      </c>
    </row>
    <row r="7494" spans="16:20">
      <c r="P7494" s="1094">
        <v>3631</v>
      </c>
      <c r="Q7494" t="s">
        <v>8259</v>
      </c>
      <c r="R7494" t="s">
        <v>616</v>
      </c>
      <c r="S7494">
        <v>145.52669299999999</v>
      </c>
      <c r="T7494" s="1095">
        <v>-36.428694</v>
      </c>
    </row>
    <row r="7495" spans="16:20">
      <c r="P7495" s="1094">
        <v>3631</v>
      </c>
      <c r="Q7495" t="s">
        <v>8260</v>
      </c>
      <c r="R7495" t="s">
        <v>616</v>
      </c>
      <c r="S7495">
        <v>145.52669299999999</v>
      </c>
      <c r="T7495" s="1095">
        <v>-36.428694</v>
      </c>
    </row>
    <row r="7496" spans="16:20">
      <c r="P7496" s="1094">
        <v>3631</v>
      </c>
      <c r="Q7496" t="s">
        <v>8261</v>
      </c>
      <c r="R7496" t="s">
        <v>616</v>
      </c>
      <c r="S7496">
        <v>145.52669299999999</v>
      </c>
      <c r="T7496" s="1095">
        <v>-36.428694</v>
      </c>
    </row>
    <row r="7497" spans="16:20">
      <c r="P7497" s="1094">
        <v>3631</v>
      </c>
      <c r="Q7497" t="s">
        <v>8262</v>
      </c>
      <c r="R7497" t="s">
        <v>616</v>
      </c>
      <c r="S7497">
        <v>145.52669299999999</v>
      </c>
      <c r="T7497" s="1095">
        <v>-36.428694</v>
      </c>
    </row>
    <row r="7498" spans="16:20">
      <c r="P7498" s="1094">
        <v>3631</v>
      </c>
      <c r="Q7498" t="s">
        <v>4734</v>
      </c>
      <c r="R7498" t="s">
        <v>616</v>
      </c>
      <c r="S7498">
        <v>145.52669299999999</v>
      </c>
      <c r="T7498" s="1095">
        <v>-36.428694</v>
      </c>
    </row>
    <row r="7499" spans="16:20">
      <c r="P7499" s="1094">
        <v>3631</v>
      </c>
      <c r="Q7499" t="s">
        <v>8263</v>
      </c>
      <c r="R7499" t="s">
        <v>616</v>
      </c>
      <c r="S7499">
        <v>145.52669299999999</v>
      </c>
      <c r="T7499" s="1095">
        <v>-36.428694</v>
      </c>
    </row>
    <row r="7500" spans="16:20">
      <c r="P7500" s="1094">
        <v>3631</v>
      </c>
      <c r="Q7500" t="s">
        <v>8264</v>
      </c>
      <c r="R7500" t="s">
        <v>616</v>
      </c>
      <c r="S7500">
        <v>145.52669299999999</v>
      </c>
      <c r="T7500" s="1095">
        <v>-36.428694</v>
      </c>
    </row>
    <row r="7501" spans="16:20">
      <c r="P7501" s="1094">
        <v>3631</v>
      </c>
      <c r="Q7501" t="s">
        <v>8265</v>
      </c>
      <c r="R7501" t="s">
        <v>616</v>
      </c>
      <c r="S7501">
        <v>145.52669299999999</v>
      </c>
      <c r="T7501" s="1095">
        <v>-36.428694</v>
      </c>
    </row>
    <row r="7502" spans="16:20">
      <c r="P7502" s="1094">
        <v>3631</v>
      </c>
      <c r="Q7502" t="s">
        <v>8266</v>
      </c>
      <c r="R7502" t="s">
        <v>616</v>
      </c>
      <c r="S7502">
        <v>145.52669299999999</v>
      </c>
      <c r="T7502" s="1095">
        <v>-36.428694</v>
      </c>
    </row>
    <row r="7503" spans="16:20">
      <c r="P7503" s="1094">
        <v>3631</v>
      </c>
      <c r="Q7503" t="s">
        <v>5424</v>
      </c>
      <c r="R7503" t="s">
        <v>616</v>
      </c>
      <c r="S7503">
        <v>145.52669299999999</v>
      </c>
      <c r="T7503" s="1095">
        <v>-36.428694</v>
      </c>
    </row>
    <row r="7504" spans="16:20">
      <c r="P7504" s="1094">
        <v>3631</v>
      </c>
      <c r="Q7504" t="s">
        <v>8267</v>
      </c>
      <c r="R7504" t="s">
        <v>616</v>
      </c>
      <c r="S7504">
        <v>145.52669299999999</v>
      </c>
      <c r="T7504" s="1095">
        <v>-36.428694</v>
      </c>
    </row>
    <row r="7505" spans="16:20">
      <c r="P7505" s="1094">
        <v>3631</v>
      </c>
      <c r="Q7505" t="s">
        <v>8268</v>
      </c>
      <c r="R7505" t="s">
        <v>616</v>
      </c>
      <c r="S7505">
        <v>145.52669299999999</v>
      </c>
      <c r="T7505" s="1095">
        <v>-36.428694</v>
      </c>
    </row>
    <row r="7506" spans="16:20">
      <c r="P7506" s="1094">
        <v>3631</v>
      </c>
      <c r="Q7506" t="s">
        <v>8269</v>
      </c>
      <c r="R7506" t="s">
        <v>616</v>
      </c>
      <c r="S7506">
        <v>145.52669299999999</v>
      </c>
      <c r="T7506" s="1095">
        <v>-36.428694</v>
      </c>
    </row>
    <row r="7507" spans="16:20">
      <c r="P7507" s="1094">
        <v>3632</v>
      </c>
      <c r="Q7507" t="s">
        <v>8256</v>
      </c>
      <c r="R7507" t="s">
        <v>616</v>
      </c>
      <c r="S7507">
        <v>0</v>
      </c>
      <c r="T7507" s="1095">
        <v>0</v>
      </c>
    </row>
    <row r="7508" spans="16:20">
      <c r="P7508" s="1094">
        <v>3633</v>
      </c>
      <c r="Q7508" t="s">
        <v>8270</v>
      </c>
      <c r="R7508" t="s">
        <v>616</v>
      </c>
      <c r="S7508">
        <v>145.46296000000001</v>
      </c>
      <c r="T7508" s="1095">
        <v>-36.307935999999998</v>
      </c>
    </row>
    <row r="7509" spans="16:20">
      <c r="P7509" s="1094">
        <v>3634</v>
      </c>
      <c r="Q7509" t="s">
        <v>8271</v>
      </c>
      <c r="R7509" t="s">
        <v>616</v>
      </c>
      <c r="S7509">
        <v>145.440315</v>
      </c>
      <c r="T7509" s="1095">
        <v>-36.224186000000003</v>
      </c>
    </row>
    <row r="7510" spans="16:20">
      <c r="P7510" s="1094">
        <v>3634</v>
      </c>
      <c r="Q7510" t="s">
        <v>8272</v>
      </c>
      <c r="R7510" t="s">
        <v>616</v>
      </c>
      <c r="S7510">
        <v>145.440315</v>
      </c>
      <c r="T7510" s="1095">
        <v>-36.224186000000003</v>
      </c>
    </row>
    <row r="7511" spans="16:20">
      <c r="P7511" s="1094">
        <v>3634</v>
      </c>
      <c r="Q7511" t="s">
        <v>8273</v>
      </c>
      <c r="R7511" t="s">
        <v>616</v>
      </c>
      <c r="S7511">
        <v>145.440315</v>
      </c>
      <c r="T7511" s="1095">
        <v>-36.224186000000003</v>
      </c>
    </row>
    <row r="7512" spans="16:20">
      <c r="P7512" s="1094">
        <v>3634</v>
      </c>
      <c r="Q7512" t="s">
        <v>8274</v>
      </c>
      <c r="R7512" t="s">
        <v>616</v>
      </c>
      <c r="S7512">
        <v>145.440315</v>
      </c>
      <c r="T7512" s="1095">
        <v>-36.224186000000003</v>
      </c>
    </row>
    <row r="7513" spans="16:20">
      <c r="P7513" s="1094">
        <v>3634</v>
      </c>
      <c r="Q7513" t="s">
        <v>8275</v>
      </c>
      <c r="R7513" t="s">
        <v>616</v>
      </c>
      <c r="S7513">
        <v>145.440315</v>
      </c>
      <c r="T7513" s="1095">
        <v>-36.224186000000003</v>
      </c>
    </row>
    <row r="7514" spans="16:20">
      <c r="P7514" s="1094">
        <v>3634</v>
      </c>
      <c r="Q7514" t="s">
        <v>8276</v>
      </c>
      <c r="R7514" t="s">
        <v>616</v>
      </c>
      <c r="S7514">
        <v>145.440315</v>
      </c>
      <c r="T7514" s="1095">
        <v>-36.224186000000003</v>
      </c>
    </row>
    <row r="7515" spans="16:20">
      <c r="P7515" s="1094">
        <v>3634</v>
      </c>
      <c r="Q7515" t="s">
        <v>8277</v>
      </c>
      <c r="R7515" t="s">
        <v>616</v>
      </c>
      <c r="S7515">
        <v>145.440315</v>
      </c>
      <c r="T7515" s="1095">
        <v>-36.224186000000003</v>
      </c>
    </row>
    <row r="7516" spans="16:20">
      <c r="P7516" s="1094">
        <v>3634</v>
      </c>
      <c r="Q7516" t="s">
        <v>8278</v>
      </c>
      <c r="R7516" t="s">
        <v>616</v>
      </c>
      <c r="S7516">
        <v>145.440315</v>
      </c>
      <c r="T7516" s="1095">
        <v>-36.224186000000003</v>
      </c>
    </row>
    <row r="7517" spans="16:20">
      <c r="P7517" s="1094">
        <v>3635</v>
      </c>
      <c r="Q7517" t="s">
        <v>8279</v>
      </c>
      <c r="R7517" t="s">
        <v>616</v>
      </c>
      <c r="S7517">
        <v>145.30826999999999</v>
      </c>
      <c r="T7517" s="1095">
        <v>-36.142595999999998</v>
      </c>
    </row>
    <row r="7518" spans="16:20">
      <c r="P7518" s="1094">
        <v>3635</v>
      </c>
      <c r="Q7518" t="s">
        <v>8280</v>
      </c>
      <c r="R7518" t="s">
        <v>616</v>
      </c>
      <c r="S7518">
        <v>145.30826999999999</v>
      </c>
      <c r="T7518" s="1095">
        <v>-36.142595999999998</v>
      </c>
    </row>
    <row r="7519" spans="16:20">
      <c r="P7519" s="1094">
        <v>3635</v>
      </c>
      <c r="Q7519" t="s">
        <v>8281</v>
      </c>
      <c r="R7519" t="s">
        <v>616</v>
      </c>
      <c r="S7519">
        <v>145.30826999999999</v>
      </c>
      <c r="T7519" s="1095">
        <v>-36.142595999999998</v>
      </c>
    </row>
    <row r="7520" spans="16:20">
      <c r="P7520" s="1094">
        <v>3636</v>
      </c>
      <c r="Q7520" t="s">
        <v>8282</v>
      </c>
      <c r="R7520" t="s">
        <v>616</v>
      </c>
      <c r="S7520">
        <v>145.47947099999999</v>
      </c>
      <c r="T7520" s="1095">
        <v>-36.093877999999997</v>
      </c>
    </row>
    <row r="7521" spans="16:20">
      <c r="P7521" s="1094">
        <v>3636</v>
      </c>
      <c r="Q7521" t="s">
        <v>3283</v>
      </c>
      <c r="R7521" t="s">
        <v>616</v>
      </c>
      <c r="S7521">
        <v>145.47947099999999</v>
      </c>
      <c r="T7521" s="1095">
        <v>-36.093877999999997</v>
      </c>
    </row>
    <row r="7522" spans="16:20">
      <c r="P7522" s="1094">
        <v>3636</v>
      </c>
      <c r="Q7522" t="s">
        <v>8283</v>
      </c>
      <c r="R7522" t="s">
        <v>616</v>
      </c>
      <c r="S7522">
        <v>145.47947099999999</v>
      </c>
      <c r="T7522" s="1095">
        <v>-36.093877999999997</v>
      </c>
    </row>
    <row r="7523" spans="16:20">
      <c r="P7523" s="1094">
        <v>3636</v>
      </c>
      <c r="Q7523" t="s">
        <v>8284</v>
      </c>
      <c r="R7523" t="s">
        <v>616</v>
      </c>
      <c r="S7523">
        <v>145.47947099999999</v>
      </c>
      <c r="T7523" s="1095">
        <v>-36.093877999999997</v>
      </c>
    </row>
    <row r="7524" spans="16:20">
      <c r="P7524" s="1094">
        <v>3637</v>
      </c>
      <c r="Q7524" t="s">
        <v>8285</v>
      </c>
      <c r="R7524" t="s">
        <v>616</v>
      </c>
      <c r="S7524">
        <v>145.329026</v>
      </c>
      <c r="T7524" s="1095">
        <v>-36.050685999999999</v>
      </c>
    </row>
    <row r="7525" spans="16:20">
      <c r="P7525" s="1094">
        <v>3637</v>
      </c>
      <c r="Q7525" t="s">
        <v>8286</v>
      </c>
      <c r="R7525" t="s">
        <v>616</v>
      </c>
      <c r="S7525">
        <v>145.329026</v>
      </c>
      <c r="T7525" s="1095">
        <v>-36.050685999999999</v>
      </c>
    </row>
    <row r="7526" spans="16:20">
      <c r="P7526" s="1094">
        <v>3638</v>
      </c>
      <c r="Q7526" t="s">
        <v>8287</v>
      </c>
      <c r="R7526" t="s">
        <v>616</v>
      </c>
      <c r="S7526">
        <v>145.24657199999999</v>
      </c>
      <c r="T7526" s="1095">
        <v>-36.032020000000003</v>
      </c>
    </row>
    <row r="7527" spans="16:20">
      <c r="P7527" s="1094">
        <v>3638</v>
      </c>
      <c r="Q7527" t="s">
        <v>8288</v>
      </c>
      <c r="R7527" t="s">
        <v>616</v>
      </c>
      <c r="S7527">
        <v>145.24657199999999</v>
      </c>
      <c r="T7527" s="1095">
        <v>-36.032020000000003</v>
      </c>
    </row>
    <row r="7528" spans="16:20">
      <c r="P7528" s="1094">
        <v>3638</v>
      </c>
      <c r="Q7528" t="s">
        <v>8289</v>
      </c>
      <c r="R7528" t="s">
        <v>616</v>
      </c>
      <c r="S7528">
        <v>145.24657199999999</v>
      </c>
      <c r="T7528" s="1095">
        <v>-36.032020000000003</v>
      </c>
    </row>
    <row r="7529" spans="16:20">
      <c r="P7529" s="1094">
        <v>3639</v>
      </c>
      <c r="Q7529" t="s">
        <v>8290</v>
      </c>
      <c r="R7529" t="s">
        <v>616</v>
      </c>
      <c r="S7529">
        <v>145.04725300000001</v>
      </c>
      <c r="T7529" s="1095">
        <v>-36.021295000000002</v>
      </c>
    </row>
    <row r="7530" spans="16:20">
      <c r="P7530" s="1094">
        <v>3639</v>
      </c>
      <c r="Q7530" t="s">
        <v>8291</v>
      </c>
      <c r="R7530" t="s">
        <v>616</v>
      </c>
      <c r="S7530">
        <v>145.04725300000001</v>
      </c>
      <c r="T7530" s="1095">
        <v>-36.021295000000002</v>
      </c>
    </row>
    <row r="7531" spans="16:20">
      <c r="P7531" s="1094">
        <v>3639</v>
      </c>
      <c r="Q7531" t="s">
        <v>8292</v>
      </c>
      <c r="R7531" t="s">
        <v>616</v>
      </c>
      <c r="S7531">
        <v>145.04725300000001</v>
      </c>
      <c r="T7531" s="1095">
        <v>-36.021295000000002</v>
      </c>
    </row>
    <row r="7532" spans="16:20">
      <c r="P7532" s="1094">
        <v>3639</v>
      </c>
      <c r="Q7532" t="s">
        <v>8293</v>
      </c>
      <c r="R7532" t="s">
        <v>616</v>
      </c>
      <c r="S7532">
        <v>145.04725300000001</v>
      </c>
      <c r="T7532" s="1095">
        <v>-36.021295000000002</v>
      </c>
    </row>
    <row r="7533" spans="16:20">
      <c r="P7533" s="1094">
        <v>3640</v>
      </c>
      <c r="Q7533" t="s">
        <v>8294</v>
      </c>
      <c r="R7533" t="s">
        <v>616</v>
      </c>
      <c r="S7533">
        <v>145.48601500000001</v>
      </c>
      <c r="T7533" s="1095">
        <v>-36.009779999999999</v>
      </c>
    </row>
    <row r="7534" spans="16:20">
      <c r="P7534" s="1094">
        <v>3641</v>
      </c>
      <c r="Q7534" t="s">
        <v>8295</v>
      </c>
      <c r="R7534" t="s">
        <v>616</v>
      </c>
      <c r="S7534">
        <v>145.42830599999999</v>
      </c>
      <c r="T7534" s="1095">
        <v>-35.897179999999999</v>
      </c>
    </row>
    <row r="7535" spans="16:20">
      <c r="P7535" s="1094">
        <v>3641</v>
      </c>
      <c r="Q7535" t="s">
        <v>8296</v>
      </c>
      <c r="R7535" t="s">
        <v>616</v>
      </c>
      <c r="S7535">
        <v>145.42830599999999</v>
      </c>
      <c r="T7535" s="1095">
        <v>-35.897179999999999</v>
      </c>
    </row>
    <row r="7536" spans="16:20">
      <c r="P7536" s="1094">
        <v>3641</v>
      </c>
      <c r="Q7536" t="s">
        <v>8297</v>
      </c>
      <c r="R7536" t="s">
        <v>616</v>
      </c>
      <c r="S7536">
        <v>145.42830599999999</v>
      </c>
      <c r="T7536" s="1095">
        <v>-35.897179999999999</v>
      </c>
    </row>
    <row r="7537" spans="16:20">
      <c r="P7537" s="1094">
        <v>3641</v>
      </c>
      <c r="Q7537" t="s">
        <v>8298</v>
      </c>
      <c r="R7537" t="s">
        <v>616</v>
      </c>
      <c r="S7537">
        <v>145.42830599999999</v>
      </c>
      <c r="T7537" s="1095">
        <v>-35.897179999999999</v>
      </c>
    </row>
    <row r="7538" spans="16:20">
      <c r="P7538" s="1094">
        <v>3643</v>
      </c>
      <c r="Q7538" t="s">
        <v>8299</v>
      </c>
      <c r="R7538" t="s">
        <v>616</v>
      </c>
      <c r="S7538">
        <v>0</v>
      </c>
      <c r="T7538" s="1095">
        <v>0</v>
      </c>
    </row>
    <row r="7539" spans="16:20">
      <c r="P7539" s="1094">
        <v>3644</v>
      </c>
      <c r="Q7539" t="s">
        <v>8300</v>
      </c>
      <c r="R7539" t="s">
        <v>248</v>
      </c>
      <c r="S7539">
        <v>145.63268199999999</v>
      </c>
      <c r="T7539" s="1095">
        <v>-35.945352999999997</v>
      </c>
    </row>
    <row r="7540" spans="16:20">
      <c r="P7540" s="1094">
        <v>3644</v>
      </c>
      <c r="Q7540" t="s">
        <v>8299</v>
      </c>
      <c r="R7540" t="s">
        <v>616</v>
      </c>
      <c r="S7540">
        <v>145.63268199999999</v>
      </c>
      <c r="T7540" s="1095">
        <v>-35.945352999999997</v>
      </c>
    </row>
    <row r="7541" spans="16:20">
      <c r="P7541" s="1094">
        <v>3644</v>
      </c>
      <c r="Q7541" t="s">
        <v>8301</v>
      </c>
      <c r="R7541" t="s">
        <v>616</v>
      </c>
      <c r="S7541">
        <v>145.63268199999999</v>
      </c>
      <c r="T7541" s="1095">
        <v>-35.945352999999997</v>
      </c>
    </row>
    <row r="7542" spans="16:20">
      <c r="P7542" s="1094">
        <v>3644</v>
      </c>
      <c r="Q7542" t="s">
        <v>8302</v>
      </c>
      <c r="R7542" t="s">
        <v>616</v>
      </c>
      <c r="S7542">
        <v>145.63268199999999</v>
      </c>
      <c r="T7542" s="1095">
        <v>-35.945352999999997</v>
      </c>
    </row>
    <row r="7543" spans="16:20">
      <c r="P7543" s="1094">
        <v>3644</v>
      </c>
      <c r="Q7543" t="s">
        <v>8303</v>
      </c>
      <c r="R7543" t="s">
        <v>616</v>
      </c>
      <c r="S7543">
        <v>145.63268199999999</v>
      </c>
      <c r="T7543" s="1095">
        <v>-35.945352999999997</v>
      </c>
    </row>
    <row r="7544" spans="16:20">
      <c r="P7544" s="1094">
        <v>3644</v>
      </c>
      <c r="Q7544" t="s">
        <v>8304</v>
      </c>
      <c r="R7544" t="s">
        <v>616</v>
      </c>
      <c r="S7544">
        <v>145.63268199999999</v>
      </c>
      <c r="T7544" s="1095">
        <v>-35.945352999999997</v>
      </c>
    </row>
    <row r="7545" spans="16:20">
      <c r="P7545" s="1094">
        <v>3646</v>
      </c>
      <c r="Q7545" t="s">
        <v>8305</v>
      </c>
      <c r="R7545" t="s">
        <v>616</v>
      </c>
      <c r="S7545">
        <v>145.70404199999999</v>
      </c>
      <c r="T7545" s="1095">
        <v>-36.247445999999997</v>
      </c>
    </row>
    <row r="7546" spans="16:20">
      <c r="P7546" s="1094">
        <v>3646</v>
      </c>
      <c r="Q7546" t="s">
        <v>8306</v>
      </c>
      <c r="R7546" t="s">
        <v>616</v>
      </c>
      <c r="S7546">
        <v>145.70404199999999</v>
      </c>
      <c r="T7546" s="1095">
        <v>-36.247445999999997</v>
      </c>
    </row>
    <row r="7547" spans="16:20">
      <c r="P7547" s="1094">
        <v>3646</v>
      </c>
      <c r="Q7547" t="s">
        <v>8307</v>
      </c>
      <c r="R7547" t="s">
        <v>616</v>
      </c>
      <c r="S7547">
        <v>145.70404199999999</v>
      </c>
      <c r="T7547" s="1095">
        <v>-36.247445999999997</v>
      </c>
    </row>
    <row r="7548" spans="16:20">
      <c r="P7548" s="1094">
        <v>3646</v>
      </c>
      <c r="Q7548" t="s">
        <v>8308</v>
      </c>
      <c r="R7548" t="s">
        <v>616</v>
      </c>
      <c r="S7548">
        <v>145.70404199999999</v>
      </c>
      <c r="T7548" s="1095">
        <v>-36.247445999999997</v>
      </c>
    </row>
    <row r="7549" spans="16:20">
      <c r="P7549" s="1094">
        <v>3646</v>
      </c>
      <c r="Q7549" t="s">
        <v>8309</v>
      </c>
      <c r="R7549" t="s">
        <v>616</v>
      </c>
      <c r="S7549">
        <v>145.70404199999999</v>
      </c>
      <c r="T7549" s="1095">
        <v>-36.247445999999997</v>
      </c>
    </row>
    <row r="7550" spans="16:20">
      <c r="P7550" s="1094">
        <v>3646</v>
      </c>
      <c r="Q7550" t="s">
        <v>8310</v>
      </c>
      <c r="R7550" t="s">
        <v>616</v>
      </c>
      <c r="S7550">
        <v>145.70404199999999</v>
      </c>
      <c r="T7550" s="1095">
        <v>-36.247445999999997</v>
      </c>
    </row>
    <row r="7551" spans="16:20">
      <c r="P7551" s="1094">
        <v>3646</v>
      </c>
      <c r="Q7551" t="s">
        <v>8311</v>
      </c>
      <c r="R7551" t="s">
        <v>616</v>
      </c>
      <c r="S7551">
        <v>145.70404199999999</v>
      </c>
      <c r="T7551" s="1095">
        <v>-36.247445999999997</v>
      </c>
    </row>
    <row r="7552" spans="16:20">
      <c r="P7552" s="1094">
        <v>3647</v>
      </c>
      <c r="Q7552" t="s">
        <v>8312</v>
      </c>
      <c r="R7552" t="s">
        <v>616</v>
      </c>
      <c r="S7552">
        <v>145.70447300000001</v>
      </c>
      <c r="T7552" s="1095">
        <v>-36.385331000000001</v>
      </c>
    </row>
    <row r="7553" spans="16:20">
      <c r="P7553" s="1094">
        <v>3649</v>
      </c>
      <c r="Q7553" t="s">
        <v>8313</v>
      </c>
      <c r="R7553" t="s">
        <v>616</v>
      </c>
      <c r="S7553">
        <v>145.688671</v>
      </c>
      <c r="T7553" s="1095">
        <v>-36.082664999999999</v>
      </c>
    </row>
    <row r="7554" spans="16:20">
      <c r="P7554" s="1094">
        <v>3649</v>
      </c>
      <c r="Q7554" t="s">
        <v>8314</v>
      </c>
      <c r="R7554" t="s">
        <v>616</v>
      </c>
      <c r="S7554">
        <v>145.688671</v>
      </c>
      <c r="T7554" s="1095">
        <v>-36.082664999999999</v>
      </c>
    </row>
    <row r="7555" spans="16:20">
      <c r="P7555" s="1094">
        <v>3658</v>
      </c>
      <c r="Q7555" t="s">
        <v>8315</v>
      </c>
      <c r="R7555" t="s">
        <v>616</v>
      </c>
      <c r="S7555">
        <v>145.11185399999999</v>
      </c>
      <c r="T7555" s="1095">
        <v>-37.241401000000003</v>
      </c>
    </row>
    <row r="7556" spans="16:20">
      <c r="P7556" s="1094">
        <v>3658</v>
      </c>
      <c r="Q7556" t="s">
        <v>8316</v>
      </c>
      <c r="R7556" t="s">
        <v>616</v>
      </c>
      <c r="S7556">
        <v>145.11185399999999</v>
      </c>
      <c r="T7556" s="1095">
        <v>-37.241401000000003</v>
      </c>
    </row>
    <row r="7557" spans="16:20">
      <c r="P7557" s="1094">
        <v>3658</v>
      </c>
      <c r="Q7557" t="s">
        <v>8317</v>
      </c>
      <c r="R7557" t="s">
        <v>616</v>
      </c>
      <c r="S7557">
        <v>145.11185399999999</v>
      </c>
      <c r="T7557" s="1095">
        <v>-37.241401000000003</v>
      </c>
    </row>
    <row r="7558" spans="16:20">
      <c r="P7558" s="1094">
        <v>3658</v>
      </c>
      <c r="Q7558" t="s">
        <v>8318</v>
      </c>
      <c r="R7558" t="s">
        <v>616</v>
      </c>
      <c r="S7558">
        <v>145.11185399999999</v>
      </c>
      <c r="T7558" s="1095">
        <v>-37.241401000000003</v>
      </c>
    </row>
    <row r="7559" spans="16:20">
      <c r="P7559" s="1094">
        <v>3658</v>
      </c>
      <c r="Q7559" t="s">
        <v>2778</v>
      </c>
      <c r="R7559" t="s">
        <v>616</v>
      </c>
      <c r="S7559">
        <v>145.11185399999999</v>
      </c>
      <c r="T7559" s="1095">
        <v>-37.241401000000003</v>
      </c>
    </row>
    <row r="7560" spans="16:20">
      <c r="P7560" s="1094">
        <v>3658</v>
      </c>
      <c r="Q7560" t="s">
        <v>8319</v>
      </c>
      <c r="R7560" t="s">
        <v>616</v>
      </c>
      <c r="S7560">
        <v>145.11185399999999</v>
      </c>
      <c r="T7560" s="1095">
        <v>-37.241401000000003</v>
      </c>
    </row>
    <row r="7561" spans="16:20">
      <c r="P7561" s="1094">
        <v>3658</v>
      </c>
      <c r="Q7561" t="s">
        <v>8320</v>
      </c>
      <c r="R7561" t="s">
        <v>616</v>
      </c>
      <c r="S7561">
        <v>145.11185399999999</v>
      </c>
      <c r="T7561" s="1095">
        <v>-37.241401000000003</v>
      </c>
    </row>
    <row r="7562" spans="16:20">
      <c r="P7562" s="1094">
        <v>3658</v>
      </c>
      <c r="Q7562" t="s">
        <v>8321</v>
      </c>
      <c r="R7562" t="s">
        <v>616</v>
      </c>
      <c r="S7562">
        <v>145.11185399999999</v>
      </c>
      <c r="T7562" s="1095">
        <v>-37.241401000000003</v>
      </c>
    </row>
    <row r="7563" spans="16:20">
      <c r="P7563" s="1094">
        <v>3658</v>
      </c>
      <c r="Q7563" t="s">
        <v>8322</v>
      </c>
      <c r="R7563" t="s">
        <v>616</v>
      </c>
      <c r="S7563">
        <v>145.11185399999999</v>
      </c>
      <c r="T7563" s="1095">
        <v>-37.241401000000003</v>
      </c>
    </row>
    <row r="7564" spans="16:20">
      <c r="P7564" s="1094">
        <v>3659</v>
      </c>
      <c r="Q7564" t="s">
        <v>8323</v>
      </c>
      <c r="R7564" t="s">
        <v>616</v>
      </c>
      <c r="S7564">
        <v>145.07087999999999</v>
      </c>
      <c r="T7564" s="1095">
        <v>-37.110343999999998</v>
      </c>
    </row>
    <row r="7565" spans="16:20">
      <c r="P7565" s="1094">
        <v>3659</v>
      </c>
      <c r="Q7565" t="s">
        <v>8324</v>
      </c>
      <c r="R7565" t="s">
        <v>616</v>
      </c>
      <c r="S7565">
        <v>145.07087999999999</v>
      </c>
      <c r="T7565" s="1095">
        <v>-37.110343999999998</v>
      </c>
    </row>
    <row r="7566" spans="16:20">
      <c r="P7566" s="1094">
        <v>3660</v>
      </c>
      <c r="Q7566" t="s">
        <v>8325</v>
      </c>
      <c r="R7566" t="s">
        <v>616</v>
      </c>
      <c r="S7566">
        <v>145.257867</v>
      </c>
      <c r="T7566" s="1095">
        <v>-37.035924999999999</v>
      </c>
    </row>
    <row r="7567" spans="16:20">
      <c r="P7567" s="1094">
        <v>3660</v>
      </c>
      <c r="Q7567" t="s">
        <v>8326</v>
      </c>
      <c r="R7567" t="s">
        <v>616</v>
      </c>
      <c r="S7567">
        <v>145.257867</v>
      </c>
      <c r="T7567" s="1095">
        <v>-37.035924999999999</v>
      </c>
    </row>
    <row r="7568" spans="16:20">
      <c r="P7568" s="1094">
        <v>3660</v>
      </c>
      <c r="Q7568" t="s">
        <v>8327</v>
      </c>
      <c r="R7568" t="s">
        <v>616</v>
      </c>
      <c r="S7568">
        <v>145.257867</v>
      </c>
      <c r="T7568" s="1095">
        <v>-37.035924999999999</v>
      </c>
    </row>
    <row r="7569" spans="16:20">
      <c r="P7569" s="1094">
        <v>3660</v>
      </c>
      <c r="Q7569" t="s">
        <v>8328</v>
      </c>
      <c r="R7569" t="s">
        <v>616</v>
      </c>
      <c r="S7569">
        <v>145.257867</v>
      </c>
      <c r="T7569" s="1095">
        <v>-37.035924999999999</v>
      </c>
    </row>
    <row r="7570" spans="16:20">
      <c r="P7570" s="1094">
        <v>3660</v>
      </c>
      <c r="Q7570" t="s">
        <v>8329</v>
      </c>
      <c r="R7570" t="s">
        <v>616</v>
      </c>
      <c r="S7570">
        <v>145.257867</v>
      </c>
      <c r="T7570" s="1095">
        <v>-37.035924999999999</v>
      </c>
    </row>
    <row r="7571" spans="16:20">
      <c r="P7571" s="1094">
        <v>3660</v>
      </c>
      <c r="Q7571" t="s">
        <v>8330</v>
      </c>
      <c r="R7571" t="s">
        <v>616</v>
      </c>
      <c r="S7571">
        <v>145.257867</v>
      </c>
      <c r="T7571" s="1095">
        <v>-37.035924999999999</v>
      </c>
    </row>
    <row r="7572" spans="16:20">
      <c r="P7572" s="1094">
        <v>3660</v>
      </c>
      <c r="Q7572" t="s">
        <v>1843</v>
      </c>
      <c r="R7572" t="s">
        <v>616</v>
      </c>
      <c r="S7572">
        <v>145.257867</v>
      </c>
      <c r="T7572" s="1095">
        <v>-37.035924999999999</v>
      </c>
    </row>
    <row r="7573" spans="16:20">
      <c r="P7573" s="1094">
        <v>3660</v>
      </c>
      <c r="Q7573" t="s">
        <v>8331</v>
      </c>
      <c r="R7573" t="s">
        <v>616</v>
      </c>
      <c r="S7573">
        <v>145.257867</v>
      </c>
      <c r="T7573" s="1095">
        <v>-37.035924999999999</v>
      </c>
    </row>
    <row r="7574" spans="16:20">
      <c r="P7574" s="1094">
        <v>3660</v>
      </c>
      <c r="Q7574" t="s">
        <v>8332</v>
      </c>
      <c r="R7574" t="s">
        <v>616</v>
      </c>
      <c r="S7574">
        <v>145.257867</v>
      </c>
      <c r="T7574" s="1095">
        <v>-37.035924999999999</v>
      </c>
    </row>
    <row r="7575" spans="16:20">
      <c r="P7575" s="1094">
        <v>3660</v>
      </c>
      <c r="Q7575" t="s">
        <v>8333</v>
      </c>
      <c r="R7575" t="s">
        <v>616</v>
      </c>
      <c r="S7575">
        <v>145.257867</v>
      </c>
      <c r="T7575" s="1095">
        <v>-37.035924999999999</v>
      </c>
    </row>
    <row r="7576" spans="16:20">
      <c r="P7576" s="1094">
        <v>3660</v>
      </c>
      <c r="Q7576" t="s">
        <v>8334</v>
      </c>
      <c r="R7576" t="s">
        <v>616</v>
      </c>
      <c r="S7576">
        <v>145.257867</v>
      </c>
      <c r="T7576" s="1095">
        <v>-37.035924999999999</v>
      </c>
    </row>
    <row r="7577" spans="16:20">
      <c r="P7577" s="1094">
        <v>3661</v>
      </c>
      <c r="Q7577" t="s">
        <v>8331</v>
      </c>
      <c r="R7577" t="s">
        <v>616</v>
      </c>
      <c r="S7577">
        <v>0</v>
      </c>
      <c r="T7577" s="1095">
        <v>0</v>
      </c>
    </row>
    <row r="7578" spans="16:20">
      <c r="P7578" s="1094">
        <v>3662</v>
      </c>
      <c r="Q7578" t="s">
        <v>8335</v>
      </c>
      <c r="R7578" t="s">
        <v>616</v>
      </c>
      <c r="S7578">
        <v>144.96021400000001</v>
      </c>
      <c r="T7578" s="1095">
        <v>-36.939203999999997</v>
      </c>
    </row>
    <row r="7579" spans="16:20">
      <c r="P7579" s="1094">
        <v>3663</v>
      </c>
      <c r="Q7579" t="s">
        <v>8336</v>
      </c>
      <c r="R7579" t="s">
        <v>616</v>
      </c>
      <c r="S7579">
        <v>145.158863</v>
      </c>
      <c r="T7579" s="1095">
        <v>-36.910877999999997</v>
      </c>
    </row>
    <row r="7580" spans="16:20">
      <c r="P7580" s="1094">
        <v>3664</v>
      </c>
      <c r="Q7580" t="s">
        <v>8337</v>
      </c>
      <c r="R7580" t="s">
        <v>616</v>
      </c>
      <c r="S7580">
        <v>145.298203</v>
      </c>
      <c r="T7580" s="1095">
        <v>-36.927250999999998</v>
      </c>
    </row>
    <row r="7581" spans="16:20">
      <c r="P7581" s="1094">
        <v>3665</v>
      </c>
      <c r="Q7581" t="s">
        <v>5803</v>
      </c>
      <c r="R7581" t="s">
        <v>616</v>
      </c>
      <c r="S7581">
        <v>145.35762700000001</v>
      </c>
      <c r="T7581" s="1095">
        <v>-36.844090999999999</v>
      </c>
    </row>
    <row r="7582" spans="16:20">
      <c r="P7582" s="1094">
        <v>3665</v>
      </c>
      <c r="Q7582" t="s">
        <v>8338</v>
      </c>
      <c r="R7582" t="s">
        <v>616</v>
      </c>
      <c r="S7582">
        <v>145.35762700000001</v>
      </c>
      <c r="T7582" s="1095">
        <v>-36.844090999999999</v>
      </c>
    </row>
    <row r="7583" spans="16:20">
      <c r="P7583" s="1094">
        <v>3665</v>
      </c>
      <c r="Q7583" t="s">
        <v>8339</v>
      </c>
      <c r="R7583" t="s">
        <v>616</v>
      </c>
      <c r="S7583">
        <v>145.35762700000001</v>
      </c>
      <c r="T7583" s="1095">
        <v>-36.844090999999999</v>
      </c>
    </row>
    <row r="7584" spans="16:20">
      <c r="P7584" s="1094">
        <v>3666</v>
      </c>
      <c r="Q7584" t="s">
        <v>8340</v>
      </c>
      <c r="R7584" t="s">
        <v>616</v>
      </c>
      <c r="S7584">
        <v>145.56551200000001</v>
      </c>
      <c r="T7584" s="1095">
        <v>-36.786777000000001</v>
      </c>
    </row>
    <row r="7585" spans="16:20">
      <c r="P7585" s="1094">
        <v>3666</v>
      </c>
      <c r="Q7585" t="s">
        <v>8341</v>
      </c>
      <c r="R7585" t="s">
        <v>616</v>
      </c>
      <c r="S7585">
        <v>145.56551200000001</v>
      </c>
      <c r="T7585" s="1095">
        <v>-36.786777000000001</v>
      </c>
    </row>
    <row r="7586" spans="16:20">
      <c r="P7586" s="1094">
        <v>3666</v>
      </c>
      <c r="Q7586" t="s">
        <v>8342</v>
      </c>
      <c r="R7586" t="s">
        <v>616</v>
      </c>
      <c r="S7586">
        <v>145.56551200000001</v>
      </c>
      <c r="T7586" s="1095">
        <v>-36.786777000000001</v>
      </c>
    </row>
    <row r="7587" spans="16:20">
      <c r="P7587" s="1094">
        <v>3666</v>
      </c>
      <c r="Q7587" t="s">
        <v>8343</v>
      </c>
      <c r="R7587" t="s">
        <v>616</v>
      </c>
      <c r="S7587">
        <v>145.56551200000001</v>
      </c>
      <c r="T7587" s="1095">
        <v>-36.786777000000001</v>
      </c>
    </row>
    <row r="7588" spans="16:20">
      <c r="P7588" s="1094">
        <v>3666</v>
      </c>
      <c r="Q7588" t="s">
        <v>8344</v>
      </c>
      <c r="R7588" t="s">
        <v>616</v>
      </c>
      <c r="S7588">
        <v>145.56551200000001</v>
      </c>
      <c r="T7588" s="1095">
        <v>-36.786777000000001</v>
      </c>
    </row>
    <row r="7589" spans="16:20">
      <c r="P7589" s="1094">
        <v>3666</v>
      </c>
      <c r="Q7589" t="s">
        <v>8345</v>
      </c>
      <c r="R7589" t="s">
        <v>616</v>
      </c>
      <c r="S7589">
        <v>145.56551200000001</v>
      </c>
      <c r="T7589" s="1095">
        <v>-36.786777000000001</v>
      </c>
    </row>
    <row r="7590" spans="16:20">
      <c r="P7590" s="1094">
        <v>3666</v>
      </c>
      <c r="Q7590" t="s">
        <v>8346</v>
      </c>
      <c r="R7590" t="s">
        <v>616</v>
      </c>
      <c r="S7590">
        <v>145.56551200000001</v>
      </c>
      <c r="T7590" s="1095">
        <v>-36.786777000000001</v>
      </c>
    </row>
    <row r="7591" spans="16:20">
      <c r="P7591" s="1094">
        <v>3666</v>
      </c>
      <c r="Q7591" t="s">
        <v>8347</v>
      </c>
      <c r="R7591" t="s">
        <v>616</v>
      </c>
      <c r="S7591">
        <v>145.56551200000001</v>
      </c>
      <c r="T7591" s="1095">
        <v>-36.786777000000001</v>
      </c>
    </row>
    <row r="7592" spans="16:20">
      <c r="P7592" s="1094">
        <v>3666</v>
      </c>
      <c r="Q7592" t="s">
        <v>8348</v>
      </c>
      <c r="R7592" t="s">
        <v>616</v>
      </c>
      <c r="S7592">
        <v>145.56551200000001</v>
      </c>
      <c r="T7592" s="1095">
        <v>-36.786777000000001</v>
      </c>
    </row>
    <row r="7593" spans="16:20">
      <c r="P7593" s="1094">
        <v>3666</v>
      </c>
      <c r="Q7593" t="s">
        <v>8349</v>
      </c>
      <c r="R7593" t="s">
        <v>616</v>
      </c>
      <c r="S7593">
        <v>145.56551200000001</v>
      </c>
      <c r="T7593" s="1095">
        <v>-36.786777000000001</v>
      </c>
    </row>
    <row r="7594" spans="16:20">
      <c r="P7594" s="1094">
        <v>3666</v>
      </c>
      <c r="Q7594" t="s">
        <v>8350</v>
      </c>
      <c r="R7594" t="s">
        <v>616</v>
      </c>
      <c r="S7594">
        <v>145.56551200000001</v>
      </c>
      <c r="T7594" s="1095">
        <v>-36.786777000000001</v>
      </c>
    </row>
    <row r="7595" spans="16:20">
      <c r="P7595" s="1094">
        <v>3666</v>
      </c>
      <c r="Q7595" t="s">
        <v>8351</v>
      </c>
      <c r="R7595" t="s">
        <v>616</v>
      </c>
      <c r="S7595">
        <v>145.56551200000001</v>
      </c>
      <c r="T7595" s="1095">
        <v>-36.786777000000001</v>
      </c>
    </row>
    <row r="7596" spans="16:20">
      <c r="P7596" s="1094">
        <v>3666</v>
      </c>
      <c r="Q7596" t="s">
        <v>8352</v>
      </c>
      <c r="R7596" t="s">
        <v>616</v>
      </c>
      <c r="S7596">
        <v>145.56551200000001</v>
      </c>
      <c r="T7596" s="1095">
        <v>-36.786777000000001</v>
      </c>
    </row>
    <row r="7597" spans="16:20">
      <c r="P7597" s="1094">
        <v>3666</v>
      </c>
      <c r="Q7597" t="s">
        <v>8353</v>
      </c>
      <c r="R7597" t="s">
        <v>616</v>
      </c>
      <c r="S7597">
        <v>145.56551200000001</v>
      </c>
      <c r="T7597" s="1095">
        <v>-36.786777000000001</v>
      </c>
    </row>
    <row r="7598" spans="16:20">
      <c r="P7598" s="1094">
        <v>3666</v>
      </c>
      <c r="Q7598" t="s">
        <v>8354</v>
      </c>
      <c r="R7598" t="s">
        <v>616</v>
      </c>
      <c r="S7598">
        <v>145.56551200000001</v>
      </c>
      <c r="T7598" s="1095">
        <v>-36.786777000000001</v>
      </c>
    </row>
    <row r="7599" spans="16:20">
      <c r="P7599" s="1094">
        <v>3669</v>
      </c>
      <c r="Q7599" t="s">
        <v>8355</v>
      </c>
      <c r="R7599" t="s">
        <v>616</v>
      </c>
      <c r="S7599">
        <v>145.70866799999999</v>
      </c>
      <c r="T7599" s="1095">
        <v>-36.625332999999998</v>
      </c>
    </row>
    <row r="7600" spans="16:20">
      <c r="P7600" s="1094">
        <v>3669</v>
      </c>
      <c r="Q7600" t="s">
        <v>8356</v>
      </c>
      <c r="R7600" t="s">
        <v>616</v>
      </c>
      <c r="S7600">
        <v>145.70866799999999</v>
      </c>
      <c r="T7600" s="1095">
        <v>-36.625332999999998</v>
      </c>
    </row>
    <row r="7601" spans="16:20">
      <c r="P7601" s="1094">
        <v>3669</v>
      </c>
      <c r="Q7601" t="s">
        <v>8357</v>
      </c>
      <c r="R7601" t="s">
        <v>616</v>
      </c>
      <c r="S7601">
        <v>145.70866799999999</v>
      </c>
      <c r="T7601" s="1095">
        <v>-36.625332999999998</v>
      </c>
    </row>
    <row r="7602" spans="16:20">
      <c r="P7602" s="1094">
        <v>3669</v>
      </c>
      <c r="Q7602" t="s">
        <v>8358</v>
      </c>
      <c r="R7602" t="s">
        <v>616</v>
      </c>
      <c r="S7602">
        <v>145.70866799999999</v>
      </c>
      <c r="T7602" s="1095">
        <v>-36.625332999999998</v>
      </c>
    </row>
    <row r="7603" spans="16:20">
      <c r="P7603" s="1094">
        <v>3669</v>
      </c>
      <c r="Q7603" t="s">
        <v>8359</v>
      </c>
      <c r="R7603" t="s">
        <v>616</v>
      </c>
      <c r="S7603">
        <v>145.70866799999999</v>
      </c>
      <c r="T7603" s="1095">
        <v>-36.625332999999998</v>
      </c>
    </row>
    <row r="7604" spans="16:20">
      <c r="P7604" s="1094">
        <v>3669</v>
      </c>
      <c r="Q7604" t="s">
        <v>8360</v>
      </c>
      <c r="R7604" t="s">
        <v>616</v>
      </c>
      <c r="S7604">
        <v>145.70866799999999</v>
      </c>
      <c r="T7604" s="1095">
        <v>-36.625332999999998</v>
      </c>
    </row>
    <row r="7605" spans="16:20">
      <c r="P7605" s="1094">
        <v>3669</v>
      </c>
      <c r="Q7605" t="s">
        <v>8361</v>
      </c>
      <c r="R7605" t="s">
        <v>616</v>
      </c>
      <c r="S7605">
        <v>145.70866799999999</v>
      </c>
      <c r="T7605" s="1095">
        <v>-36.625332999999998</v>
      </c>
    </row>
    <row r="7606" spans="16:20">
      <c r="P7606" s="1094">
        <v>3669</v>
      </c>
      <c r="Q7606" t="s">
        <v>8362</v>
      </c>
      <c r="R7606" t="s">
        <v>616</v>
      </c>
      <c r="S7606">
        <v>145.70866799999999</v>
      </c>
      <c r="T7606" s="1095">
        <v>-36.625332999999998</v>
      </c>
    </row>
    <row r="7607" spans="16:20">
      <c r="P7607" s="1094">
        <v>3669</v>
      </c>
      <c r="Q7607" t="s">
        <v>8363</v>
      </c>
      <c r="R7607" t="s">
        <v>616</v>
      </c>
      <c r="S7607">
        <v>145.70866799999999</v>
      </c>
      <c r="T7607" s="1095">
        <v>-36.625332999999998</v>
      </c>
    </row>
    <row r="7608" spans="16:20">
      <c r="P7608" s="1094">
        <v>3669</v>
      </c>
      <c r="Q7608" t="s">
        <v>8364</v>
      </c>
      <c r="R7608" t="s">
        <v>616</v>
      </c>
      <c r="S7608">
        <v>145.70866799999999</v>
      </c>
      <c r="T7608" s="1095">
        <v>-36.625332999999998</v>
      </c>
    </row>
    <row r="7609" spans="16:20">
      <c r="P7609" s="1094">
        <v>3670</v>
      </c>
      <c r="Q7609" t="s">
        <v>8365</v>
      </c>
      <c r="R7609" t="s">
        <v>616</v>
      </c>
      <c r="S7609">
        <v>145.85244900000001</v>
      </c>
      <c r="T7609" s="1095">
        <v>-36.623747999999999</v>
      </c>
    </row>
    <row r="7610" spans="16:20">
      <c r="P7610" s="1094">
        <v>3670</v>
      </c>
      <c r="Q7610" t="s">
        <v>8366</v>
      </c>
      <c r="R7610" t="s">
        <v>616</v>
      </c>
      <c r="S7610">
        <v>145.85244900000001</v>
      </c>
      <c r="T7610" s="1095">
        <v>-36.623747999999999</v>
      </c>
    </row>
    <row r="7611" spans="16:20">
      <c r="P7611" s="1094">
        <v>3670</v>
      </c>
      <c r="Q7611" t="s">
        <v>8367</v>
      </c>
      <c r="R7611" t="s">
        <v>616</v>
      </c>
      <c r="S7611">
        <v>145.85244900000001</v>
      </c>
      <c r="T7611" s="1095">
        <v>-36.623747999999999</v>
      </c>
    </row>
    <row r="7612" spans="16:20">
      <c r="P7612" s="1094">
        <v>3671</v>
      </c>
      <c r="Q7612" t="s">
        <v>8368</v>
      </c>
      <c r="R7612" t="s">
        <v>616</v>
      </c>
      <c r="S7612">
        <v>0</v>
      </c>
      <c r="T7612" s="1095">
        <v>0</v>
      </c>
    </row>
    <row r="7613" spans="16:20">
      <c r="P7613" s="1094">
        <v>3672</v>
      </c>
      <c r="Q7613" t="s">
        <v>8368</v>
      </c>
      <c r="R7613" t="s">
        <v>616</v>
      </c>
      <c r="S7613">
        <v>145.97776099999999</v>
      </c>
      <c r="T7613" s="1095">
        <v>-36.554935999999998</v>
      </c>
    </row>
    <row r="7614" spans="16:20">
      <c r="P7614" s="1094">
        <v>3672</v>
      </c>
      <c r="Q7614" t="s">
        <v>8369</v>
      </c>
      <c r="R7614" t="s">
        <v>616</v>
      </c>
      <c r="S7614">
        <v>145.97776099999999</v>
      </c>
      <c r="T7614" s="1095">
        <v>-36.554935999999998</v>
      </c>
    </row>
    <row r="7615" spans="16:20">
      <c r="P7615" s="1094">
        <v>3673</v>
      </c>
      <c r="Q7615" t="s">
        <v>8368</v>
      </c>
      <c r="R7615" t="s">
        <v>616</v>
      </c>
      <c r="S7615">
        <v>146.06251399999999</v>
      </c>
      <c r="T7615" s="1095">
        <v>-36.669929000000003</v>
      </c>
    </row>
    <row r="7616" spans="16:20">
      <c r="P7616" s="1094">
        <v>3673</v>
      </c>
      <c r="Q7616" t="s">
        <v>8370</v>
      </c>
      <c r="R7616" t="s">
        <v>616</v>
      </c>
      <c r="S7616">
        <v>146.06251399999999</v>
      </c>
      <c r="T7616" s="1095">
        <v>-36.669929000000003</v>
      </c>
    </row>
    <row r="7617" spans="16:20">
      <c r="P7617" s="1094">
        <v>3673</v>
      </c>
      <c r="Q7617" t="s">
        <v>8371</v>
      </c>
      <c r="R7617" t="s">
        <v>616</v>
      </c>
      <c r="S7617">
        <v>146.06251399999999</v>
      </c>
      <c r="T7617" s="1095">
        <v>-36.669929000000003</v>
      </c>
    </row>
    <row r="7618" spans="16:20">
      <c r="P7618" s="1094">
        <v>3673</v>
      </c>
      <c r="Q7618" t="s">
        <v>8372</v>
      </c>
      <c r="R7618" t="s">
        <v>616</v>
      </c>
      <c r="S7618">
        <v>146.06251399999999</v>
      </c>
      <c r="T7618" s="1095">
        <v>-36.669929000000003</v>
      </c>
    </row>
    <row r="7619" spans="16:20">
      <c r="P7619" s="1094">
        <v>3673</v>
      </c>
      <c r="Q7619" t="s">
        <v>8373</v>
      </c>
      <c r="R7619" t="s">
        <v>616</v>
      </c>
      <c r="S7619">
        <v>146.06251399999999</v>
      </c>
      <c r="T7619" s="1095">
        <v>-36.669929000000003</v>
      </c>
    </row>
    <row r="7620" spans="16:20">
      <c r="P7620" s="1094">
        <v>3673</v>
      </c>
      <c r="Q7620" t="s">
        <v>8374</v>
      </c>
      <c r="R7620" t="s">
        <v>616</v>
      </c>
      <c r="S7620">
        <v>146.06251399999999</v>
      </c>
      <c r="T7620" s="1095">
        <v>-36.669929000000003</v>
      </c>
    </row>
    <row r="7621" spans="16:20">
      <c r="P7621" s="1094">
        <v>3673</v>
      </c>
      <c r="Q7621" t="s">
        <v>8375</v>
      </c>
      <c r="R7621" t="s">
        <v>616</v>
      </c>
      <c r="S7621">
        <v>146.06251399999999</v>
      </c>
      <c r="T7621" s="1095">
        <v>-36.669929000000003</v>
      </c>
    </row>
    <row r="7622" spans="16:20">
      <c r="P7622" s="1094">
        <v>3673</v>
      </c>
      <c r="Q7622" t="s">
        <v>8376</v>
      </c>
      <c r="R7622" t="s">
        <v>616</v>
      </c>
      <c r="S7622">
        <v>146.06251399999999</v>
      </c>
      <c r="T7622" s="1095">
        <v>-36.669929000000003</v>
      </c>
    </row>
    <row r="7623" spans="16:20">
      <c r="P7623" s="1094">
        <v>3673</v>
      </c>
      <c r="Q7623" t="s">
        <v>8377</v>
      </c>
      <c r="R7623" t="s">
        <v>616</v>
      </c>
      <c r="S7623">
        <v>146.06251399999999</v>
      </c>
      <c r="T7623" s="1095">
        <v>-36.669929000000003</v>
      </c>
    </row>
    <row r="7624" spans="16:20">
      <c r="P7624" s="1094">
        <v>3673</v>
      </c>
      <c r="Q7624" t="s">
        <v>8378</v>
      </c>
      <c r="R7624" t="s">
        <v>616</v>
      </c>
      <c r="S7624">
        <v>146.06251399999999</v>
      </c>
      <c r="T7624" s="1095">
        <v>-36.669929000000003</v>
      </c>
    </row>
    <row r="7625" spans="16:20">
      <c r="P7625" s="1094">
        <v>3673</v>
      </c>
      <c r="Q7625" t="s">
        <v>8379</v>
      </c>
      <c r="R7625" t="s">
        <v>616</v>
      </c>
      <c r="S7625">
        <v>146.06251399999999</v>
      </c>
      <c r="T7625" s="1095">
        <v>-36.669929000000003</v>
      </c>
    </row>
    <row r="7626" spans="16:20">
      <c r="P7626" s="1094">
        <v>3673</v>
      </c>
      <c r="Q7626" t="s">
        <v>8380</v>
      </c>
      <c r="R7626" t="s">
        <v>616</v>
      </c>
      <c r="S7626">
        <v>146.06251399999999</v>
      </c>
      <c r="T7626" s="1095">
        <v>-36.669929000000003</v>
      </c>
    </row>
    <row r="7627" spans="16:20">
      <c r="P7627" s="1094">
        <v>3673</v>
      </c>
      <c r="Q7627" t="s">
        <v>8381</v>
      </c>
      <c r="R7627" t="s">
        <v>616</v>
      </c>
      <c r="S7627">
        <v>146.06251399999999</v>
      </c>
      <c r="T7627" s="1095">
        <v>-36.669929000000003</v>
      </c>
    </row>
    <row r="7628" spans="16:20">
      <c r="P7628" s="1094">
        <v>3673</v>
      </c>
      <c r="Q7628" t="s">
        <v>8382</v>
      </c>
      <c r="R7628" t="s">
        <v>616</v>
      </c>
      <c r="S7628">
        <v>146.06251399999999</v>
      </c>
      <c r="T7628" s="1095">
        <v>-36.669929000000003</v>
      </c>
    </row>
    <row r="7629" spans="16:20">
      <c r="P7629" s="1094">
        <v>3673</v>
      </c>
      <c r="Q7629" t="s">
        <v>8383</v>
      </c>
      <c r="R7629" t="s">
        <v>616</v>
      </c>
      <c r="S7629">
        <v>146.06251399999999</v>
      </c>
      <c r="T7629" s="1095">
        <v>-36.669929000000003</v>
      </c>
    </row>
    <row r="7630" spans="16:20">
      <c r="P7630" s="1094">
        <v>3673</v>
      </c>
      <c r="Q7630" t="s">
        <v>8384</v>
      </c>
      <c r="R7630" t="s">
        <v>616</v>
      </c>
      <c r="S7630">
        <v>146.06251399999999</v>
      </c>
      <c r="T7630" s="1095">
        <v>-36.669929000000003</v>
      </c>
    </row>
    <row r="7631" spans="16:20">
      <c r="P7631" s="1094">
        <v>3673</v>
      </c>
      <c r="Q7631" t="s">
        <v>8385</v>
      </c>
      <c r="R7631" t="s">
        <v>616</v>
      </c>
      <c r="S7631">
        <v>146.06251399999999</v>
      </c>
      <c r="T7631" s="1095">
        <v>-36.669929000000003</v>
      </c>
    </row>
    <row r="7632" spans="16:20">
      <c r="P7632" s="1094">
        <v>3673</v>
      </c>
      <c r="Q7632" t="s">
        <v>2921</v>
      </c>
      <c r="R7632" t="s">
        <v>616</v>
      </c>
      <c r="S7632">
        <v>146.06251399999999</v>
      </c>
      <c r="T7632" s="1095">
        <v>-36.669929000000003</v>
      </c>
    </row>
    <row r="7633" spans="16:20">
      <c r="P7633" s="1094">
        <v>3673</v>
      </c>
      <c r="Q7633" t="s">
        <v>8386</v>
      </c>
      <c r="R7633" t="s">
        <v>616</v>
      </c>
      <c r="S7633">
        <v>146.06251399999999</v>
      </c>
      <c r="T7633" s="1095">
        <v>-36.669929000000003</v>
      </c>
    </row>
    <row r="7634" spans="16:20">
      <c r="P7634" s="1094">
        <v>3675</v>
      </c>
      <c r="Q7634" t="s">
        <v>8387</v>
      </c>
      <c r="R7634" t="s">
        <v>616</v>
      </c>
      <c r="S7634">
        <v>146.26683499999999</v>
      </c>
      <c r="T7634" s="1095">
        <v>-36.565078</v>
      </c>
    </row>
    <row r="7635" spans="16:20">
      <c r="P7635" s="1094">
        <v>3675</v>
      </c>
      <c r="Q7635" t="s">
        <v>8388</v>
      </c>
      <c r="R7635" t="s">
        <v>616</v>
      </c>
      <c r="S7635">
        <v>146.26683499999999</v>
      </c>
      <c r="T7635" s="1095">
        <v>-36.565078</v>
      </c>
    </row>
    <row r="7636" spans="16:20">
      <c r="P7636" s="1094">
        <v>3675</v>
      </c>
      <c r="Q7636" t="s">
        <v>8389</v>
      </c>
      <c r="R7636" t="s">
        <v>616</v>
      </c>
      <c r="S7636">
        <v>146.26683499999999</v>
      </c>
      <c r="T7636" s="1095">
        <v>-36.565078</v>
      </c>
    </row>
    <row r="7637" spans="16:20">
      <c r="P7637" s="1094">
        <v>3675</v>
      </c>
      <c r="Q7637" t="s">
        <v>8390</v>
      </c>
      <c r="R7637" t="s">
        <v>616</v>
      </c>
      <c r="S7637">
        <v>146.26683499999999</v>
      </c>
      <c r="T7637" s="1095">
        <v>-36.565078</v>
      </c>
    </row>
    <row r="7638" spans="16:20">
      <c r="P7638" s="1094">
        <v>3675</v>
      </c>
      <c r="Q7638" t="s">
        <v>2807</v>
      </c>
      <c r="R7638" t="s">
        <v>616</v>
      </c>
      <c r="S7638">
        <v>146.26683499999999</v>
      </c>
      <c r="T7638" s="1095">
        <v>-36.565078</v>
      </c>
    </row>
    <row r="7639" spans="16:20">
      <c r="P7639" s="1094">
        <v>3675</v>
      </c>
      <c r="Q7639" t="s">
        <v>8391</v>
      </c>
      <c r="R7639" t="s">
        <v>616</v>
      </c>
      <c r="S7639">
        <v>146.26683499999999</v>
      </c>
      <c r="T7639" s="1095">
        <v>-36.565078</v>
      </c>
    </row>
    <row r="7640" spans="16:20">
      <c r="P7640" s="1094">
        <v>3675</v>
      </c>
      <c r="Q7640" t="s">
        <v>8392</v>
      </c>
      <c r="R7640" t="s">
        <v>616</v>
      </c>
      <c r="S7640">
        <v>146.26683499999999</v>
      </c>
      <c r="T7640" s="1095">
        <v>-36.565078</v>
      </c>
    </row>
    <row r="7641" spans="16:20">
      <c r="P7641" s="1094">
        <v>3675</v>
      </c>
      <c r="Q7641" t="s">
        <v>8393</v>
      </c>
      <c r="R7641" t="s">
        <v>616</v>
      </c>
      <c r="S7641">
        <v>146.26683499999999</v>
      </c>
      <c r="T7641" s="1095">
        <v>-36.565078</v>
      </c>
    </row>
    <row r="7642" spans="16:20">
      <c r="P7642" s="1094">
        <v>3675</v>
      </c>
      <c r="Q7642" t="s">
        <v>8394</v>
      </c>
      <c r="R7642" t="s">
        <v>616</v>
      </c>
      <c r="S7642">
        <v>146.26683499999999</v>
      </c>
      <c r="T7642" s="1095">
        <v>-36.565078</v>
      </c>
    </row>
    <row r="7643" spans="16:20">
      <c r="P7643" s="1094">
        <v>3675</v>
      </c>
      <c r="Q7643" t="s">
        <v>8395</v>
      </c>
      <c r="R7643" t="s">
        <v>616</v>
      </c>
      <c r="S7643">
        <v>146.26683499999999</v>
      </c>
      <c r="T7643" s="1095">
        <v>-36.565078</v>
      </c>
    </row>
    <row r="7644" spans="16:20">
      <c r="P7644" s="1094">
        <v>3676</v>
      </c>
      <c r="Q7644" t="s">
        <v>8396</v>
      </c>
      <c r="R7644" t="s">
        <v>616</v>
      </c>
      <c r="S7644">
        <v>0</v>
      </c>
      <c r="T7644" s="1095">
        <v>0</v>
      </c>
    </row>
    <row r="7645" spans="16:20">
      <c r="P7645" s="1094">
        <v>3677</v>
      </c>
      <c r="Q7645" t="s">
        <v>8397</v>
      </c>
      <c r="R7645" t="s">
        <v>616</v>
      </c>
      <c r="S7645">
        <v>146.33056400000001</v>
      </c>
      <c r="T7645" s="1095">
        <v>-36.358016999999997</v>
      </c>
    </row>
    <row r="7646" spans="16:20">
      <c r="P7646" s="1094">
        <v>3677</v>
      </c>
      <c r="Q7646" t="s">
        <v>8396</v>
      </c>
      <c r="R7646" t="s">
        <v>616</v>
      </c>
      <c r="S7646">
        <v>146.33056400000001</v>
      </c>
      <c r="T7646" s="1095">
        <v>-36.358016999999997</v>
      </c>
    </row>
    <row r="7647" spans="16:20">
      <c r="P7647" s="1094">
        <v>3677</v>
      </c>
      <c r="Q7647" t="s">
        <v>8398</v>
      </c>
      <c r="R7647" t="s">
        <v>616</v>
      </c>
      <c r="S7647">
        <v>146.33056400000001</v>
      </c>
      <c r="T7647" s="1095">
        <v>-36.358016999999997</v>
      </c>
    </row>
    <row r="7648" spans="16:20">
      <c r="P7648" s="1094">
        <v>3677</v>
      </c>
      <c r="Q7648" t="s">
        <v>4635</v>
      </c>
      <c r="R7648" t="s">
        <v>616</v>
      </c>
      <c r="S7648">
        <v>146.33056400000001</v>
      </c>
      <c r="T7648" s="1095">
        <v>-36.358016999999997</v>
      </c>
    </row>
    <row r="7649" spans="16:20">
      <c r="P7649" s="1094">
        <v>3678</v>
      </c>
      <c r="Q7649" t="s">
        <v>8399</v>
      </c>
      <c r="R7649" t="s">
        <v>616</v>
      </c>
      <c r="S7649">
        <v>146.482439</v>
      </c>
      <c r="T7649" s="1095">
        <v>-36.688920000000003</v>
      </c>
    </row>
    <row r="7650" spans="16:20">
      <c r="P7650" s="1094">
        <v>3678</v>
      </c>
      <c r="Q7650" t="s">
        <v>8400</v>
      </c>
      <c r="R7650" t="s">
        <v>616</v>
      </c>
      <c r="S7650">
        <v>146.482439</v>
      </c>
      <c r="T7650" s="1095">
        <v>-36.688920000000003</v>
      </c>
    </row>
    <row r="7651" spans="16:20">
      <c r="P7651" s="1094">
        <v>3678</v>
      </c>
      <c r="Q7651" t="s">
        <v>8401</v>
      </c>
      <c r="R7651" t="s">
        <v>616</v>
      </c>
      <c r="S7651">
        <v>146.482439</v>
      </c>
      <c r="T7651" s="1095">
        <v>-36.688920000000003</v>
      </c>
    </row>
    <row r="7652" spans="16:20">
      <c r="P7652" s="1094">
        <v>3678</v>
      </c>
      <c r="Q7652" t="s">
        <v>8402</v>
      </c>
      <c r="R7652" t="s">
        <v>616</v>
      </c>
      <c r="S7652">
        <v>146.482439</v>
      </c>
      <c r="T7652" s="1095">
        <v>-36.688920000000003</v>
      </c>
    </row>
    <row r="7653" spans="16:20">
      <c r="P7653" s="1094">
        <v>3678</v>
      </c>
      <c r="Q7653" t="s">
        <v>8403</v>
      </c>
      <c r="R7653" t="s">
        <v>616</v>
      </c>
      <c r="S7653">
        <v>146.482439</v>
      </c>
      <c r="T7653" s="1095">
        <v>-36.688920000000003</v>
      </c>
    </row>
    <row r="7654" spans="16:20">
      <c r="P7654" s="1094">
        <v>3678</v>
      </c>
      <c r="Q7654" t="s">
        <v>8404</v>
      </c>
      <c r="R7654" t="s">
        <v>616</v>
      </c>
      <c r="S7654">
        <v>146.482439</v>
      </c>
      <c r="T7654" s="1095">
        <v>-36.688920000000003</v>
      </c>
    </row>
    <row r="7655" spans="16:20">
      <c r="P7655" s="1094">
        <v>3678</v>
      </c>
      <c r="Q7655" t="s">
        <v>8405</v>
      </c>
      <c r="R7655" t="s">
        <v>616</v>
      </c>
      <c r="S7655">
        <v>146.482439</v>
      </c>
      <c r="T7655" s="1095">
        <v>-36.688920000000003</v>
      </c>
    </row>
    <row r="7656" spans="16:20">
      <c r="P7656" s="1094">
        <v>3678</v>
      </c>
      <c r="Q7656" t="s">
        <v>8406</v>
      </c>
      <c r="R7656" t="s">
        <v>616</v>
      </c>
      <c r="S7656">
        <v>146.482439</v>
      </c>
      <c r="T7656" s="1095">
        <v>-36.688920000000003</v>
      </c>
    </row>
    <row r="7657" spans="16:20">
      <c r="P7657" s="1094">
        <v>3678</v>
      </c>
      <c r="Q7657" t="s">
        <v>8407</v>
      </c>
      <c r="R7657" t="s">
        <v>616</v>
      </c>
      <c r="S7657">
        <v>146.482439</v>
      </c>
      <c r="T7657" s="1095">
        <v>-36.688920000000003</v>
      </c>
    </row>
    <row r="7658" spans="16:20">
      <c r="P7658" s="1094">
        <v>3678</v>
      </c>
      <c r="Q7658" t="s">
        <v>8408</v>
      </c>
      <c r="R7658" t="s">
        <v>616</v>
      </c>
      <c r="S7658">
        <v>146.482439</v>
      </c>
      <c r="T7658" s="1095">
        <v>-36.688920000000003</v>
      </c>
    </row>
    <row r="7659" spans="16:20">
      <c r="P7659" s="1094">
        <v>3678</v>
      </c>
      <c r="Q7659" t="s">
        <v>8409</v>
      </c>
      <c r="R7659" t="s">
        <v>616</v>
      </c>
      <c r="S7659">
        <v>146.482439</v>
      </c>
      <c r="T7659" s="1095">
        <v>-36.688920000000003</v>
      </c>
    </row>
    <row r="7660" spans="16:20">
      <c r="P7660" s="1094">
        <v>3678</v>
      </c>
      <c r="Q7660" t="s">
        <v>8410</v>
      </c>
      <c r="R7660" t="s">
        <v>616</v>
      </c>
      <c r="S7660">
        <v>146.482439</v>
      </c>
      <c r="T7660" s="1095">
        <v>-36.688920000000003</v>
      </c>
    </row>
    <row r="7661" spans="16:20">
      <c r="P7661" s="1094">
        <v>3678</v>
      </c>
      <c r="Q7661" t="s">
        <v>8411</v>
      </c>
      <c r="R7661" t="s">
        <v>616</v>
      </c>
      <c r="S7661">
        <v>146.482439</v>
      </c>
      <c r="T7661" s="1095">
        <v>-36.688920000000003</v>
      </c>
    </row>
    <row r="7662" spans="16:20">
      <c r="P7662" s="1094">
        <v>3678</v>
      </c>
      <c r="Q7662" t="s">
        <v>8412</v>
      </c>
      <c r="R7662" t="s">
        <v>616</v>
      </c>
      <c r="S7662">
        <v>146.482439</v>
      </c>
      <c r="T7662" s="1095">
        <v>-36.688920000000003</v>
      </c>
    </row>
    <row r="7663" spans="16:20">
      <c r="P7663" s="1094">
        <v>3678</v>
      </c>
      <c r="Q7663" t="s">
        <v>8413</v>
      </c>
      <c r="R7663" t="s">
        <v>616</v>
      </c>
      <c r="S7663">
        <v>146.482439</v>
      </c>
      <c r="T7663" s="1095">
        <v>-36.688920000000003</v>
      </c>
    </row>
    <row r="7664" spans="16:20">
      <c r="P7664" s="1094">
        <v>3678</v>
      </c>
      <c r="Q7664" t="s">
        <v>3376</v>
      </c>
      <c r="R7664" t="s">
        <v>616</v>
      </c>
      <c r="S7664">
        <v>146.482439</v>
      </c>
      <c r="T7664" s="1095">
        <v>-36.688920000000003</v>
      </c>
    </row>
    <row r="7665" spans="16:20">
      <c r="P7665" s="1094">
        <v>3678</v>
      </c>
      <c r="Q7665" t="s">
        <v>8414</v>
      </c>
      <c r="R7665" t="s">
        <v>616</v>
      </c>
      <c r="S7665">
        <v>146.482439</v>
      </c>
      <c r="T7665" s="1095">
        <v>-36.688920000000003</v>
      </c>
    </row>
    <row r="7666" spans="16:20">
      <c r="P7666" s="1094">
        <v>3678</v>
      </c>
      <c r="Q7666" t="s">
        <v>8415</v>
      </c>
      <c r="R7666" t="s">
        <v>616</v>
      </c>
      <c r="S7666">
        <v>146.482439</v>
      </c>
      <c r="T7666" s="1095">
        <v>-36.688920000000003</v>
      </c>
    </row>
    <row r="7667" spans="16:20">
      <c r="P7667" s="1094">
        <v>3678</v>
      </c>
      <c r="Q7667" t="s">
        <v>8416</v>
      </c>
      <c r="R7667" t="s">
        <v>616</v>
      </c>
      <c r="S7667">
        <v>146.482439</v>
      </c>
      <c r="T7667" s="1095">
        <v>-36.688920000000003</v>
      </c>
    </row>
    <row r="7668" spans="16:20">
      <c r="P7668" s="1094">
        <v>3678</v>
      </c>
      <c r="Q7668" t="s">
        <v>8417</v>
      </c>
      <c r="R7668" t="s">
        <v>616</v>
      </c>
      <c r="S7668">
        <v>146.482439</v>
      </c>
      <c r="T7668" s="1095">
        <v>-36.688920000000003</v>
      </c>
    </row>
    <row r="7669" spans="16:20">
      <c r="P7669" s="1094">
        <v>3678</v>
      </c>
      <c r="Q7669" t="s">
        <v>8418</v>
      </c>
      <c r="R7669" t="s">
        <v>616</v>
      </c>
      <c r="S7669">
        <v>146.482439</v>
      </c>
      <c r="T7669" s="1095">
        <v>-36.688920000000003</v>
      </c>
    </row>
    <row r="7670" spans="16:20">
      <c r="P7670" s="1094">
        <v>3678</v>
      </c>
      <c r="Q7670" t="s">
        <v>8419</v>
      </c>
      <c r="R7670" t="s">
        <v>616</v>
      </c>
      <c r="S7670">
        <v>146.482439</v>
      </c>
      <c r="T7670" s="1095">
        <v>-36.688920000000003</v>
      </c>
    </row>
    <row r="7671" spans="16:20">
      <c r="P7671" s="1094">
        <v>3678</v>
      </c>
      <c r="Q7671" t="s">
        <v>8420</v>
      </c>
      <c r="R7671" t="s">
        <v>616</v>
      </c>
      <c r="S7671">
        <v>146.482439</v>
      </c>
      <c r="T7671" s="1095">
        <v>-36.688920000000003</v>
      </c>
    </row>
    <row r="7672" spans="16:20">
      <c r="P7672" s="1094">
        <v>3678</v>
      </c>
      <c r="Q7672" t="s">
        <v>5417</v>
      </c>
      <c r="R7672" t="s">
        <v>616</v>
      </c>
      <c r="S7672">
        <v>146.482439</v>
      </c>
      <c r="T7672" s="1095">
        <v>-36.688920000000003</v>
      </c>
    </row>
    <row r="7673" spans="16:20">
      <c r="P7673" s="1094">
        <v>3678</v>
      </c>
      <c r="Q7673" t="s">
        <v>8421</v>
      </c>
      <c r="R7673" t="s">
        <v>616</v>
      </c>
      <c r="S7673">
        <v>146.482439</v>
      </c>
      <c r="T7673" s="1095">
        <v>-36.688920000000003</v>
      </c>
    </row>
    <row r="7674" spans="16:20">
      <c r="P7674" s="1094">
        <v>3678</v>
      </c>
      <c r="Q7674" t="s">
        <v>8422</v>
      </c>
      <c r="R7674" t="s">
        <v>616</v>
      </c>
      <c r="S7674">
        <v>146.482439</v>
      </c>
      <c r="T7674" s="1095">
        <v>-36.688920000000003</v>
      </c>
    </row>
    <row r="7675" spans="16:20">
      <c r="P7675" s="1094">
        <v>3678</v>
      </c>
      <c r="Q7675" t="s">
        <v>8423</v>
      </c>
      <c r="R7675" t="s">
        <v>616</v>
      </c>
      <c r="S7675">
        <v>146.482439</v>
      </c>
      <c r="T7675" s="1095">
        <v>-36.688920000000003</v>
      </c>
    </row>
    <row r="7676" spans="16:20">
      <c r="P7676" s="1094">
        <v>3678</v>
      </c>
      <c r="Q7676" t="s">
        <v>8424</v>
      </c>
      <c r="R7676" t="s">
        <v>616</v>
      </c>
      <c r="S7676">
        <v>146.482439</v>
      </c>
      <c r="T7676" s="1095">
        <v>-36.688920000000003</v>
      </c>
    </row>
    <row r="7677" spans="16:20">
      <c r="P7677" s="1094">
        <v>3678</v>
      </c>
      <c r="Q7677" t="s">
        <v>8425</v>
      </c>
      <c r="R7677" t="s">
        <v>616</v>
      </c>
      <c r="S7677">
        <v>146.482439</v>
      </c>
      <c r="T7677" s="1095">
        <v>-36.688920000000003</v>
      </c>
    </row>
    <row r="7678" spans="16:20">
      <c r="P7678" s="1094">
        <v>3678</v>
      </c>
      <c r="Q7678" t="s">
        <v>8426</v>
      </c>
      <c r="R7678" t="s">
        <v>616</v>
      </c>
      <c r="S7678">
        <v>146.482439</v>
      </c>
      <c r="T7678" s="1095">
        <v>-36.688920000000003</v>
      </c>
    </row>
    <row r="7679" spans="16:20">
      <c r="P7679" s="1094">
        <v>3678</v>
      </c>
      <c r="Q7679" t="s">
        <v>8427</v>
      </c>
      <c r="R7679" t="s">
        <v>616</v>
      </c>
      <c r="S7679">
        <v>146.482439</v>
      </c>
      <c r="T7679" s="1095">
        <v>-36.688920000000003</v>
      </c>
    </row>
    <row r="7680" spans="16:20">
      <c r="P7680" s="1094">
        <v>3678</v>
      </c>
      <c r="Q7680" t="s">
        <v>8428</v>
      </c>
      <c r="R7680" t="s">
        <v>616</v>
      </c>
      <c r="S7680">
        <v>146.482439</v>
      </c>
      <c r="T7680" s="1095">
        <v>-36.688920000000003</v>
      </c>
    </row>
    <row r="7681" spans="16:20">
      <c r="P7681" s="1094">
        <v>3678</v>
      </c>
      <c r="Q7681" t="s">
        <v>8429</v>
      </c>
      <c r="R7681" t="s">
        <v>616</v>
      </c>
      <c r="S7681">
        <v>146.482439</v>
      </c>
      <c r="T7681" s="1095">
        <v>-36.688920000000003</v>
      </c>
    </row>
    <row r="7682" spans="16:20">
      <c r="P7682" s="1094">
        <v>3678</v>
      </c>
      <c r="Q7682" t="s">
        <v>8430</v>
      </c>
      <c r="R7682" t="s">
        <v>616</v>
      </c>
      <c r="S7682">
        <v>146.482439</v>
      </c>
      <c r="T7682" s="1095">
        <v>-36.688920000000003</v>
      </c>
    </row>
    <row r="7683" spans="16:20">
      <c r="P7683" s="1094">
        <v>3678</v>
      </c>
      <c r="Q7683" t="s">
        <v>8431</v>
      </c>
      <c r="R7683" t="s">
        <v>616</v>
      </c>
      <c r="S7683">
        <v>146.482439</v>
      </c>
      <c r="T7683" s="1095">
        <v>-36.688920000000003</v>
      </c>
    </row>
    <row r="7684" spans="16:20">
      <c r="P7684" s="1094">
        <v>3682</v>
      </c>
      <c r="Q7684" t="s">
        <v>8432</v>
      </c>
      <c r="R7684" t="s">
        <v>616</v>
      </c>
      <c r="S7684">
        <v>146.42865599999999</v>
      </c>
      <c r="T7684" s="1095">
        <v>-36.174270999999997</v>
      </c>
    </row>
    <row r="7685" spans="16:20">
      <c r="P7685" s="1094">
        <v>3682</v>
      </c>
      <c r="Q7685" t="s">
        <v>8433</v>
      </c>
      <c r="R7685" t="s">
        <v>616</v>
      </c>
      <c r="S7685">
        <v>146.42865599999999</v>
      </c>
      <c r="T7685" s="1095">
        <v>-36.174270999999997</v>
      </c>
    </row>
    <row r="7686" spans="16:20">
      <c r="P7686" s="1094">
        <v>3682</v>
      </c>
      <c r="Q7686" t="s">
        <v>8434</v>
      </c>
      <c r="R7686" t="s">
        <v>616</v>
      </c>
      <c r="S7686">
        <v>146.42865599999999</v>
      </c>
      <c r="T7686" s="1095">
        <v>-36.174270999999997</v>
      </c>
    </row>
    <row r="7687" spans="16:20">
      <c r="P7687" s="1094">
        <v>3682</v>
      </c>
      <c r="Q7687" t="s">
        <v>8435</v>
      </c>
      <c r="R7687" t="s">
        <v>616</v>
      </c>
      <c r="S7687">
        <v>146.42865599999999</v>
      </c>
      <c r="T7687" s="1095">
        <v>-36.174270999999997</v>
      </c>
    </row>
    <row r="7688" spans="16:20">
      <c r="P7688" s="1094">
        <v>3683</v>
      </c>
      <c r="Q7688" t="s">
        <v>8436</v>
      </c>
      <c r="R7688" t="s">
        <v>616</v>
      </c>
      <c r="S7688">
        <v>146.60462200000001</v>
      </c>
      <c r="T7688" s="1095">
        <v>-36.180787000000002</v>
      </c>
    </row>
    <row r="7689" spans="16:20">
      <c r="P7689" s="1094">
        <v>3683</v>
      </c>
      <c r="Q7689" t="s">
        <v>8437</v>
      </c>
      <c r="R7689" t="s">
        <v>616</v>
      </c>
      <c r="S7689">
        <v>146.60462200000001</v>
      </c>
      <c r="T7689" s="1095">
        <v>-36.180787000000002</v>
      </c>
    </row>
    <row r="7690" spans="16:20">
      <c r="P7690" s="1094">
        <v>3683</v>
      </c>
      <c r="Q7690" t="s">
        <v>8438</v>
      </c>
      <c r="R7690" t="s">
        <v>616</v>
      </c>
      <c r="S7690">
        <v>146.60462200000001</v>
      </c>
      <c r="T7690" s="1095">
        <v>-36.180787000000002</v>
      </c>
    </row>
    <row r="7691" spans="16:20">
      <c r="P7691" s="1094">
        <v>3683</v>
      </c>
      <c r="Q7691" t="s">
        <v>8439</v>
      </c>
      <c r="R7691" t="s">
        <v>616</v>
      </c>
      <c r="S7691">
        <v>146.60462200000001</v>
      </c>
      <c r="T7691" s="1095">
        <v>-36.180787000000002</v>
      </c>
    </row>
    <row r="7692" spans="16:20">
      <c r="P7692" s="1094">
        <v>3685</v>
      </c>
      <c r="Q7692" t="s">
        <v>8440</v>
      </c>
      <c r="R7692" t="s">
        <v>616</v>
      </c>
      <c r="S7692">
        <v>146.47063800000001</v>
      </c>
      <c r="T7692" s="1095">
        <v>-36.056449000000001</v>
      </c>
    </row>
    <row r="7693" spans="16:20">
      <c r="P7693" s="1094">
        <v>3685</v>
      </c>
      <c r="Q7693" t="s">
        <v>8441</v>
      </c>
      <c r="R7693" t="s">
        <v>616</v>
      </c>
      <c r="S7693">
        <v>146.47063800000001</v>
      </c>
      <c r="T7693" s="1095">
        <v>-36.056449000000001</v>
      </c>
    </row>
    <row r="7694" spans="16:20">
      <c r="P7694" s="1094">
        <v>3685</v>
      </c>
      <c r="Q7694" t="s">
        <v>8442</v>
      </c>
      <c r="R7694" t="s">
        <v>616</v>
      </c>
      <c r="S7694">
        <v>146.47063800000001</v>
      </c>
      <c r="T7694" s="1095">
        <v>-36.056449000000001</v>
      </c>
    </row>
    <row r="7695" spans="16:20">
      <c r="P7695" s="1094">
        <v>3685</v>
      </c>
      <c r="Q7695" t="s">
        <v>8443</v>
      </c>
      <c r="R7695" t="s">
        <v>616</v>
      </c>
      <c r="S7695">
        <v>146.47063800000001</v>
      </c>
      <c r="T7695" s="1095">
        <v>-36.056449000000001</v>
      </c>
    </row>
    <row r="7696" spans="16:20">
      <c r="P7696" s="1094">
        <v>3685</v>
      </c>
      <c r="Q7696" t="s">
        <v>8444</v>
      </c>
      <c r="R7696" t="s">
        <v>616</v>
      </c>
      <c r="S7696">
        <v>146.47063800000001</v>
      </c>
      <c r="T7696" s="1095">
        <v>-36.056449000000001</v>
      </c>
    </row>
    <row r="7697" spans="16:20">
      <c r="P7697" s="1094">
        <v>3685</v>
      </c>
      <c r="Q7697" t="s">
        <v>8445</v>
      </c>
      <c r="R7697" t="s">
        <v>616</v>
      </c>
      <c r="S7697">
        <v>146.47063800000001</v>
      </c>
      <c r="T7697" s="1095">
        <v>-36.056449000000001</v>
      </c>
    </row>
    <row r="7698" spans="16:20">
      <c r="P7698" s="1094">
        <v>3685</v>
      </c>
      <c r="Q7698" t="s">
        <v>8446</v>
      </c>
      <c r="R7698" t="s">
        <v>616</v>
      </c>
      <c r="S7698">
        <v>146.47063800000001</v>
      </c>
      <c r="T7698" s="1095">
        <v>-36.056449000000001</v>
      </c>
    </row>
    <row r="7699" spans="16:20">
      <c r="P7699" s="1094">
        <v>3685</v>
      </c>
      <c r="Q7699" t="s">
        <v>8447</v>
      </c>
      <c r="R7699" t="s">
        <v>616</v>
      </c>
      <c r="S7699">
        <v>146.47063800000001</v>
      </c>
      <c r="T7699" s="1095">
        <v>-36.056449000000001</v>
      </c>
    </row>
    <row r="7700" spans="16:20">
      <c r="P7700" s="1094">
        <v>3685</v>
      </c>
      <c r="Q7700" t="s">
        <v>8448</v>
      </c>
      <c r="R7700" t="s">
        <v>616</v>
      </c>
      <c r="S7700">
        <v>146.47063800000001</v>
      </c>
      <c r="T7700" s="1095">
        <v>-36.056449000000001</v>
      </c>
    </row>
    <row r="7701" spans="16:20">
      <c r="P7701" s="1094">
        <v>3685</v>
      </c>
      <c r="Q7701" t="s">
        <v>8449</v>
      </c>
      <c r="R7701" t="s">
        <v>616</v>
      </c>
      <c r="S7701">
        <v>146.47063800000001</v>
      </c>
      <c r="T7701" s="1095">
        <v>-36.056449000000001</v>
      </c>
    </row>
    <row r="7702" spans="16:20">
      <c r="P7702" s="1094">
        <v>3687</v>
      </c>
      <c r="Q7702" t="s">
        <v>8450</v>
      </c>
      <c r="R7702" t="s">
        <v>616</v>
      </c>
      <c r="S7702">
        <v>146.41592700000001</v>
      </c>
      <c r="T7702" s="1095">
        <v>-36.018771000000001</v>
      </c>
    </row>
    <row r="7703" spans="16:20">
      <c r="P7703" s="1094">
        <v>3687</v>
      </c>
      <c r="Q7703" t="s">
        <v>8451</v>
      </c>
      <c r="R7703" t="s">
        <v>616</v>
      </c>
      <c r="S7703">
        <v>146.41592700000001</v>
      </c>
      <c r="T7703" s="1095">
        <v>-36.018771000000001</v>
      </c>
    </row>
    <row r="7704" spans="16:20">
      <c r="P7704" s="1094">
        <v>3688</v>
      </c>
      <c r="Q7704" t="s">
        <v>8452</v>
      </c>
      <c r="R7704" t="s">
        <v>616</v>
      </c>
      <c r="S7704">
        <v>146.71719300000001</v>
      </c>
      <c r="T7704" s="1095">
        <v>-36.119194999999998</v>
      </c>
    </row>
    <row r="7705" spans="16:20">
      <c r="P7705" s="1094">
        <v>3688</v>
      </c>
      <c r="Q7705" t="s">
        <v>8453</v>
      </c>
      <c r="R7705" t="s">
        <v>616</v>
      </c>
      <c r="S7705">
        <v>146.71719300000001</v>
      </c>
      <c r="T7705" s="1095">
        <v>-36.119194999999998</v>
      </c>
    </row>
    <row r="7706" spans="16:20">
      <c r="P7706" s="1094">
        <v>3688</v>
      </c>
      <c r="Q7706" t="s">
        <v>8454</v>
      </c>
      <c r="R7706" t="s">
        <v>616</v>
      </c>
      <c r="S7706">
        <v>146.71719300000001</v>
      </c>
      <c r="T7706" s="1095">
        <v>-36.119194999999998</v>
      </c>
    </row>
    <row r="7707" spans="16:20">
      <c r="P7707" s="1094">
        <v>3688</v>
      </c>
      <c r="Q7707" t="s">
        <v>8455</v>
      </c>
      <c r="R7707" t="s">
        <v>616</v>
      </c>
      <c r="S7707">
        <v>146.71719300000001</v>
      </c>
      <c r="T7707" s="1095">
        <v>-36.119194999999998</v>
      </c>
    </row>
    <row r="7708" spans="16:20">
      <c r="P7708" s="1094">
        <v>3689</v>
      </c>
      <c r="Q7708" t="s">
        <v>8456</v>
      </c>
      <c r="R7708" t="s">
        <v>616</v>
      </c>
      <c r="S7708">
        <v>0</v>
      </c>
      <c r="T7708" s="1095">
        <v>0</v>
      </c>
    </row>
    <row r="7709" spans="16:20">
      <c r="P7709" s="1094">
        <v>3690</v>
      </c>
      <c r="Q7709" t="s">
        <v>8457</v>
      </c>
      <c r="R7709" t="s">
        <v>616</v>
      </c>
      <c r="S7709">
        <v>146.864361</v>
      </c>
      <c r="T7709" s="1095">
        <v>-36.135717</v>
      </c>
    </row>
    <row r="7710" spans="16:20">
      <c r="P7710" s="1094">
        <v>3690</v>
      </c>
      <c r="Q7710" t="s">
        <v>8456</v>
      </c>
      <c r="R7710" t="s">
        <v>616</v>
      </c>
      <c r="S7710">
        <v>146.864361</v>
      </c>
      <c r="T7710" s="1095">
        <v>-36.135717</v>
      </c>
    </row>
    <row r="7711" spans="16:20">
      <c r="P7711" s="1094">
        <v>3690</v>
      </c>
      <c r="Q7711" t="s">
        <v>8458</v>
      </c>
      <c r="R7711" t="s">
        <v>616</v>
      </c>
      <c r="S7711">
        <v>146.864361</v>
      </c>
      <c r="T7711" s="1095">
        <v>-36.135717</v>
      </c>
    </row>
    <row r="7712" spans="16:20">
      <c r="P7712" s="1094">
        <v>3691</v>
      </c>
      <c r="Q7712" t="s">
        <v>8459</v>
      </c>
      <c r="R7712" t="s">
        <v>616</v>
      </c>
      <c r="S7712">
        <v>147.88099099999999</v>
      </c>
      <c r="T7712" s="1095">
        <v>-36.027154000000003</v>
      </c>
    </row>
    <row r="7713" spans="16:20">
      <c r="P7713" s="1094">
        <v>3691</v>
      </c>
      <c r="Q7713" t="s">
        <v>8460</v>
      </c>
      <c r="R7713" t="s">
        <v>616</v>
      </c>
      <c r="S7713">
        <v>147.88099099999999</v>
      </c>
      <c r="T7713" s="1095">
        <v>-36.027154000000003</v>
      </c>
    </row>
    <row r="7714" spans="16:20">
      <c r="P7714" s="1094">
        <v>3691</v>
      </c>
      <c r="Q7714" t="s">
        <v>8461</v>
      </c>
      <c r="R7714" t="s">
        <v>616</v>
      </c>
      <c r="S7714">
        <v>147.88099099999999</v>
      </c>
      <c r="T7714" s="1095">
        <v>-36.027154000000003</v>
      </c>
    </row>
    <row r="7715" spans="16:20">
      <c r="P7715" s="1094">
        <v>3691</v>
      </c>
      <c r="Q7715" t="s">
        <v>8462</v>
      </c>
      <c r="R7715" t="s">
        <v>616</v>
      </c>
      <c r="S7715">
        <v>147.88099099999999</v>
      </c>
      <c r="T7715" s="1095">
        <v>-36.027154000000003</v>
      </c>
    </row>
    <row r="7716" spans="16:20">
      <c r="P7716" s="1094">
        <v>3691</v>
      </c>
      <c r="Q7716" t="s">
        <v>8463</v>
      </c>
      <c r="R7716" t="s">
        <v>616</v>
      </c>
      <c r="S7716">
        <v>147.88099099999999</v>
      </c>
      <c r="T7716" s="1095">
        <v>-36.027154000000003</v>
      </c>
    </row>
    <row r="7717" spans="16:20">
      <c r="P7717" s="1094">
        <v>3691</v>
      </c>
      <c r="Q7717" t="s">
        <v>8464</v>
      </c>
      <c r="R7717" t="s">
        <v>616</v>
      </c>
      <c r="S7717">
        <v>147.88099099999999</v>
      </c>
      <c r="T7717" s="1095">
        <v>-36.027154000000003</v>
      </c>
    </row>
    <row r="7718" spans="16:20">
      <c r="P7718" s="1094">
        <v>3691</v>
      </c>
      <c r="Q7718" t="s">
        <v>8465</v>
      </c>
      <c r="R7718" t="s">
        <v>616</v>
      </c>
      <c r="S7718">
        <v>147.88099099999999</v>
      </c>
      <c r="T7718" s="1095">
        <v>-36.027154000000003</v>
      </c>
    </row>
    <row r="7719" spans="16:20">
      <c r="P7719" s="1094">
        <v>3691</v>
      </c>
      <c r="Q7719" t="s">
        <v>8466</v>
      </c>
      <c r="R7719" t="s">
        <v>616</v>
      </c>
      <c r="S7719">
        <v>147.88099099999999</v>
      </c>
      <c r="T7719" s="1095">
        <v>-36.027154000000003</v>
      </c>
    </row>
    <row r="7720" spans="16:20">
      <c r="P7720" s="1094">
        <v>3691</v>
      </c>
      <c r="Q7720" t="s">
        <v>8467</v>
      </c>
      <c r="R7720" t="s">
        <v>616</v>
      </c>
      <c r="S7720">
        <v>147.88099099999999</v>
      </c>
      <c r="T7720" s="1095">
        <v>-36.027154000000003</v>
      </c>
    </row>
    <row r="7721" spans="16:20">
      <c r="P7721" s="1094">
        <v>3691</v>
      </c>
      <c r="Q7721" t="s">
        <v>8468</v>
      </c>
      <c r="R7721" t="s">
        <v>616</v>
      </c>
      <c r="S7721">
        <v>147.88099099999999</v>
      </c>
      <c r="T7721" s="1095">
        <v>-36.027154000000003</v>
      </c>
    </row>
    <row r="7722" spans="16:20">
      <c r="P7722" s="1094">
        <v>3691</v>
      </c>
      <c r="Q7722" t="s">
        <v>8469</v>
      </c>
      <c r="R7722" t="s">
        <v>616</v>
      </c>
      <c r="S7722">
        <v>147.88099099999999</v>
      </c>
      <c r="T7722" s="1095">
        <v>-36.027154000000003</v>
      </c>
    </row>
    <row r="7723" spans="16:20">
      <c r="P7723" s="1094">
        <v>3691</v>
      </c>
      <c r="Q7723" t="s">
        <v>8470</v>
      </c>
      <c r="R7723" t="s">
        <v>616</v>
      </c>
      <c r="S7723">
        <v>147.88099099999999</v>
      </c>
      <c r="T7723" s="1095">
        <v>-36.027154000000003</v>
      </c>
    </row>
    <row r="7724" spans="16:20">
      <c r="P7724" s="1094">
        <v>3691</v>
      </c>
      <c r="Q7724" t="s">
        <v>8471</v>
      </c>
      <c r="R7724" t="s">
        <v>616</v>
      </c>
      <c r="S7724">
        <v>147.88099099999999</v>
      </c>
      <c r="T7724" s="1095">
        <v>-36.027154000000003</v>
      </c>
    </row>
    <row r="7725" spans="16:20">
      <c r="P7725" s="1094">
        <v>3691</v>
      </c>
      <c r="Q7725" t="s">
        <v>8472</v>
      </c>
      <c r="R7725" t="s">
        <v>616</v>
      </c>
      <c r="S7725">
        <v>147.88099099999999</v>
      </c>
      <c r="T7725" s="1095">
        <v>-36.027154000000003</v>
      </c>
    </row>
    <row r="7726" spans="16:20">
      <c r="P7726" s="1094">
        <v>3691</v>
      </c>
      <c r="Q7726" t="s">
        <v>8473</v>
      </c>
      <c r="R7726" t="s">
        <v>616</v>
      </c>
      <c r="S7726">
        <v>147.88099099999999</v>
      </c>
      <c r="T7726" s="1095">
        <v>-36.027154000000003</v>
      </c>
    </row>
    <row r="7727" spans="16:20">
      <c r="P7727" s="1094">
        <v>3691</v>
      </c>
      <c r="Q7727" t="s">
        <v>8474</v>
      </c>
      <c r="R7727" t="s">
        <v>616</v>
      </c>
      <c r="S7727">
        <v>147.88099099999999</v>
      </c>
      <c r="T7727" s="1095">
        <v>-36.027154000000003</v>
      </c>
    </row>
    <row r="7728" spans="16:20">
      <c r="P7728" s="1094">
        <v>3691</v>
      </c>
      <c r="Q7728" t="s">
        <v>8475</v>
      </c>
      <c r="R7728" t="s">
        <v>616</v>
      </c>
      <c r="S7728">
        <v>147.88099099999999</v>
      </c>
      <c r="T7728" s="1095">
        <v>-36.027154000000003</v>
      </c>
    </row>
    <row r="7729" spans="16:20">
      <c r="P7729" s="1094">
        <v>3691</v>
      </c>
      <c r="Q7729" t="s">
        <v>8476</v>
      </c>
      <c r="R7729" t="s">
        <v>616</v>
      </c>
      <c r="S7729">
        <v>147.88099099999999</v>
      </c>
      <c r="T7729" s="1095">
        <v>-36.027154000000003</v>
      </c>
    </row>
    <row r="7730" spans="16:20">
      <c r="P7730" s="1094">
        <v>3691</v>
      </c>
      <c r="Q7730" t="s">
        <v>8477</v>
      </c>
      <c r="R7730" t="s">
        <v>616</v>
      </c>
      <c r="S7730">
        <v>147.88099099999999</v>
      </c>
      <c r="T7730" s="1095">
        <v>-36.027154000000003</v>
      </c>
    </row>
    <row r="7731" spans="16:20">
      <c r="P7731" s="1094">
        <v>3691</v>
      </c>
      <c r="Q7731" t="s">
        <v>8478</v>
      </c>
      <c r="R7731" t="s">
        <v>616</v>
      </c>
      <c r="S7731">
        <v>147.88099099999999</v>
      </c>
      <c r="T7731" s="1095">
        <v>-36.027154000000003</v>
      </c>
    </row>
    <row r="7732" spans="16:20">
      <c r="P7732" s="1094">
        <v>3691</v>
      </c>
      <c r="Q7732" t="s">
        <v>1857</v>
      </c>
      <c r="R7732" t="s">
        <v>616</v>
      </c>
      <c r="S7732">
        <v>147.88099099999999</v>
      </c>
      <c r="T7732" s="1095">
        <v>-36.027154000000003</v>
      </c>
    </row>
    <row r="7733" spans="16:20">
      <c r="P7733" s="1094">
        <v>3691</v>
      </c>
      <c r="Q7733" t="s">
        <v>8479</v>
      </c>
      <c r="R7733" t="s">
        <v>616</v>
      </c>
      <c r="S7733">
        <v>147.88099099999999</v>
      </c>
      <c r="T7733" s="1095">
        <v>-36.027154000000003</v>
      </c>
    </row>
    <row r="7734" spans="16:20">
      <c r="P7734" s="1094">
        <v>3691</v>
      </c>
      <c r="Q7734" t="s">
        <v>8480</v>
      </c>
      <c r="R7734" t="s">
        <v>616</v>
      </c>
      <c r="S7734">
        <v>147.88099099999999</v>
      </c>
      <c r="T7734" s="1095">
        <v>-36.027154000000003</v>
      </c>
    </row>
    <row r="7735" spans="16:20">
      <c r="P7735" s="1094">
        <v>3691</v>
      </c>
      <c r="Q7735" t="s">
        <v>8481</v>
      </c>
      <c r="R7735" t="s">
        <v>616</v>
      </c>
      <c r="S7735">
        <v>147.88099099999999</v>
      </c>
      <c r="T7735" s="1095">
        <v>-36.027154000000003</v>
      </c>
    </row>
    <row r="7736" spans="16:20">
      <c r="P7736" s="1094">
        <v>3691</v>
      </c>
      <c r="Q7736" t="s">
        <v>8482</v>
      </c>
      <c r="R7736" t="s">
        <v>616</v>
      </c>
      <c r="S7736">
        <v>147.88099099999999</v>
      </c>
      <c r="T7736" s="1095">
        <v>-36.027154000000003</v>
      </c>
    </row>
    <row r="7737" spans="16:20">
      <c r="P7737" s="1094">
        <v>3691</v>
      </c>
      <c r="Q7737" t="s">
        <v>8483</v>
      </c>
      <c r="R7737" t="s">
        <v>616</v>
      </c>
      <c r="S7737">
        <v>147.88099099999999</v>
      </c>
      <c r="T7737" s="1095">
        <v>-36.027154000000003</v>
      </c>
    </row>
    <row r="7738" spans="16:20">
      <c r="P7738" s="1094">
        <v>3691</v>
      </c>
      <c r="Q7738" t="s">
        <v>8484</v>
      </c>
      <c r="R7738" t="s">
        <v>616</v>
      </c>
      <c r="S7738">
        <v>147.88099099999999</v>
      </c>
      <c r="T7738" s="1095">
        <v>-36.027154000000003</v>
      </c>
    </row>
    <row r="7739" spans="16:20">
      <c r="P7739" s="1094">
        <v>3691</v>
      </c>
      <c r="Q7739" t="s">
        <v>8485</v>
      </c>
      <c r="R7739" t="s">
        <v>616</v>
      </c>
      <c r="S7739">
        <v>147.88099099999999</v>
      </c>
      <c r="T7739" s="1095">
        <v>-36.027154000000003</v>
      </c>
    </row>
    <row r="7740" spans="16:20">
      <c r="P7740" s="1094">
        <v>3691</v>
      </c>
      <c r="Q7740" t="s">
        <v>8486</v>
      </c>
      <c r="R7740" t="s">
        <v>616</v>
      </c>
      <c r="S7740">
        <v>147.88099099999999</v>
      </c>
      <c r="T7740" s="1095">
        <v>-36.027154000000003</v>
      </c>
    </row>
    <row r="7741" spans="16:20">
      <c r="P7741" s="1094">
        <v>3691</v>
      </c>
      <c r="Q7741" t="s">
        <v>8487</v>
      </c>
      <c r="R7741" t="s">
        <v>616</v>
      </c>
      <c r="S7741">
        <v>147.88099099999999</v>
      </c>
      <c r="T7741" s="1095">
        <v>-36.027154000000003</v>
      </c>
    </row>
    <row r="7742" spans="16:20">
      <c r="P7742" s="1094">
        <v>3691</v>
      </c>
      <c r="Q7742" t="s">
        <v>8488</v>
      </c>
      <c r="R7742" t="s">
        <v>616</v>
      </c>
      <c r="S7742">
        <v>147.88099099999999</v>
      </c>
      <c r="T7742" s="1095">
        <v>-36.027154000000003</v>
      </c>
    </row>
    <row r="7743" spans="16:20">
      <c r="P7743" s="1094">
        <v>3691</v>
      </c>
      <c r="Q7743" t="s">
        <v>8489</v>
      </c>
      <c r="R7743" t="s">
        <v>616</v>
      </c>
      <c r="S7743">
        <v>147.88099099999999</v>
      </c>
      <c r="T7743" s="1095">
        <v>-36.027154000000003</v>
      </c>
    </row>
    <row r="7744" spans="16:20">
      <c r="P7744" s="1094">
        <v>3691</v>
      </c>
      <c r="Q7744" t="s">
        <v>8490</v>
      </c>
      <c r="R7744" t="s">
        <v>616</v>
      </c>
      <c r="S7744">
        <v>147.88099099999999</v>
      </c>
      <c r="T7744" s="1095">
        <v>-36.027154000000003</v>
      </c>
    </row>
    <row r="7745" spans="16:20">
      <c r="P7745" s="1094">
        <v>3694</v>
      </c>
      <c r="Q7745" t="s">
        <v>8491</v>
      </c>
      <c r="R7745" t="s">
        <v>616</v>
      </c>
      <c r="S7745">
        <v>146.91949299999999</v>
      </c>
      <c r="T7745" s="1095">
        <v>-36.150677999999999</v>
      </c>
    </row>
    <row r="7746" spans="16:20">
      <c r="P7746" s="1094">
        <v>3694</v>
      </c>
      <c r="Q7746" t="s">
        <v>8492</v>
      </c>
      <c r="R7746" t="s">
        <v>616</v>
      </c>
      <c r="S7746">
        <v>146.91949299999999</v>
      </c>
      <c r="T7746" s="1095">
        <v>-36.150677999999999</v>
      </c>
    </row>
    <row r="7747" spans="16:20">
      <c r="P7747" s="1094">
        <v>3695</v>
      </c>
      <c r="Q7747" t="s">
        <v>8493</v>
      </c>
      <c r="R7747" t="s">
        <v>616</v>
      </c>
      <c r="S7747">
        <v>147.12367399999999</v>
      </c>
      <c r="T7747" s="1095">
        <v>-36.304285</v>
      </c>
    </row>
    <row r="7748" spans="16:20">
      <c r="P7748" s="1094">
        <v>3695</v>
      </c>
      <c r="Q7748" t="s">
        <v>8494</v>
      </c>
      <c r="R7748" t="s">
        <v>616</v>
      </c>
      <c r="S7748">
        <v>147.12367399999999</v>
      </c>
      <c r="T7748" s="1095">
        <v>-36.304285</v>
      </c>
    </row>
    <row r="7749" spans="16:20">
      <c r="P7749" s="1094">
        <v>3695</v>
      </c>
      <c r="Q7749" t="s">
        <v>8495</v>
      </c>
      <c r="R7749" t="s">
        <v>616</v>
      </c>
      <c r="S7749">
        <v>147.12367399999999</v>
      </c>
      <c r="T7749" s="1095">
        <v>-36.304285</v>
      </c>
    </row>
    <row r="7750" spans="16:20">
      <c r="P7750" s="1094">
        <v>3695</v>
      </c>
      <c r="Q7750" t="s">
        <v>2856</v>
      </c>
      <c r="R7750" t="s">
        <v>616</v>
      </c>
      <c r="S7750">
        <v>147.12367399999999</v>
      </c>
      <c r="T7750" s="1095">
        <v>-36.304285</v>
      </c>
    </row>
    <row r="7751" spans="16:20">
      <c r="P7751" s="1094">
        <v>3697</v>
      </c>
      <c r="Q7751" t="s">
        <v>8496</v>
      </c>
      <c r="R7751" t="s">
        <v>616</v>
      </c>
      <c r="S7751">
        <v>147.17925</v>
      </c>
      <c r="T7751" s="1095">
        <v>-36.687530000000002</v>
      </c>
    </row>
    <row r="7752" spans="16:20">
      <c r="P7752" s="1094">
        <v>3698</v>
      </c>
      <c r="Q7752" t="s">
        <v>8497</v>
      </c>
      <c r="R7752" t="s">
        <v>616</v>
      </c>
      <c r="S7752">
        <v>147.14946800000001</v>
      </c>
      <c r="T7752" s="1095">
        <v>-36.722034000000001</v>
      </c>
    </row>
    <row r="7753" spans="16:20">
      <c r="P7753" s="1094">
        <v>3699</v>
      </c>
      <c r="Q7753" t="s">
        <v>8498</v>
      </c>
      <c r="R7753" t="s">
        <v>616</v>
      </c>
      <c r="S7753">
        <v>147.29925700000001</v>
      </c>
      <c r="T7753" s="1095">
        <v>-36.844307000000001</v>
      </c>
    </row>
    <row r="7754" spans="16:20">
      <c r="P7754" s="1094">
        <v>3699</v>
      </c>
      <c r="Q7754" t="s">
        <v>4363</v>
      </c>
      <c r="R7754" t="s">
        <v>616</v>
      </c>
      <c r="S7754">
        <v>147.29925700000001</v>
      </c>
      <c r="T7754" s="1095">
        <v>-36.844307000000001</v>
      </c>
    </row>
    <row r="7755" spans="16:20">
      <c r="P7755" s="1094">
        <v>3699</v>
      </c>
      <c r="Q7755" t="s">
        <v>8499</v>
      </c>
      <c r="R7755" t="s">
        <v>616</v>
      </c>
      <c r="S7755">
        <v>147.29925700000001</v>
      </c>
      <c r="T7755" s="1095">
        <v>-36.844307000000001</v>
      </c>
    </row>
    <row r="7756" spans="16:20">
      <c r="P7756" s="1094">
        <v>3700</v>
      </c>
      <c r="Q7756" t="s">
        <v>8500</v>
      </c>
      <c r="R7756" t="s">
        <v>616</v>
      </c>
      <c r="S7756">
        <v>147.35526999999999</v>
      </c>
      <c r="T7756" s="1095">
        <v>-36.335898</v>
      </c>
    </row>
    <row r="7757" spans="16:20">
      <c r="P7757" s="1094">
        <v>3700</v>
      </c>
      <c r="Q7757" t="s">
        <v>8501</v>
      </c>
      <c r="R7757" t="s">
        <v>616</v>
      </c>
      <c r="S7757">
        <v>147.35526999999999</v>
      </c>
      <c r="T7757" s="1095">
        <v>-36.335898</v>
      </c>
    </row>
    <row r="7758" spans="16:20">
      <c r="P7758" s="1094">
        <v>3700</v>
      </c>
      <c r="Q7758" t="s">
        <v>8502</v>
      </c>
      <c r="R7758" t="s">
        <v>616</v>
      </c>
      <c r="S7758">
        <v>147.35526999999999</v>
      </c>
      <c r="T7758" s="1095">
        <v>-36.335898</v>
      </c>
    </row>
    <row r="7759" spans="16:20">
      <c r="P7759" s="1094">
        <v>3700</v>
      </c>
      <c r="Q7759" t="s">
        <v>8503</v>
      </c>
      <c r="R7759" t="s">
        <v>616</v>
      </c>
      <c r="S7759">
        <v>147.35526999999999</v>
      </c>
      <c r="T7759" s="1095">
        <v>-36.335898</v>
      </c>
    </row>
    <row r="7760" spans="16:20">
      <c r="P7760" s="1094">
        <v>3701</v>
      </c>
      <c r="Q7760" t="s">
        <v>8504</v>
      </c>
      <c r="R7760" t="s">
        <v>616</v>
      </c>
      <c r="S7760">
        <v>147.47681900000001</v>
      </c>
      <c r="T7760" s="1095">
        <v>-36.638769000000003</v>
      </c>
    </row>
    <row r="7761" spans="16:20">
      <c r="P7761" s="1094">
        <v>3701</v>
      </c>
      <c r="Q7761" t="s">
        <v>8505</v>
      </c>
      <c r="R7761" t="s">
        <v>616</v>
      </c>
      <c r="S7761">
        <v>147.47681900000001</v>
      </c>
      <c r="T7761" s="1095">
        <v>-36.638769000000003</v>
      </c>
    </row>
    <row r="7762" spans="16:20">
      <c r="P7762" s="1094">
        <v>3701</v>
      </c>
      <c r="Q7762" t="s">
        <v>4097</v>
      </c>
      <c r="R7762" t="s">
        <v>616</v>
      </c>
      <c r="S7762">
        <v>147.47681900000001</v>
      </c>
      <c r="T7762" s="1095">
        <v>-36.638769000000003</v>
      </c>
    </row>
    <row r="7763" spans="16:20">
      <c r="P7763" s="1094">
        <v>3701</v>
      </c>
      <c r="Q7763" t="s">
        <v>8506</v>
      </c>
      <c r="R7763" t="s">
        <v>616</v>
      </c>
      <c r="S7763">
        <v>147.47681900000001</v>
      </c>
      <c r="T7763" s="1095">
        <v>-36.638769000000003</v>
      </c>
    </row>
    <row r="7764" spans="16:20">
      <c r="P7764" s="1094">
        <v>3701</v>
      </c>
      <c r="Q7764" t="s">
        <v>8507</v>
      </c>
      <c r="R7764" t="s">
        <v>616</v>
      </c>
      <c r="S7764">
        <v>147.47681900000001</v>
      </c>
      <c r="T7764" s="1095">
        <v>-36.638769000000003</v>
      </c>
    </row>
    <row r="7765" spans="16:20">
      <c r="P7765" s="1094">
        <v>3701</v>
      </c>
      <c r="Q7765" t="s">
        <v>8508</v>
      </c>
      <c r="R7765" t="s">
        <v>616</v>
      </c>
      <c r="S7765">
        <v>147.47681900000001</v>
      </c>
      <c r="T7765" s="1095">
        <v>-36.638769000000003</v>
      </c>
    </row>
    <row r="7766" spans="16:20">
      <c r="P7766" s="1094">
        <v>3701</v>
      </c>
      <c r="Q7766" t="s">
        <v>8509</v>
      </c>
      <c r="R7766" t="s">
        <v>616</v>
      </c>
      <c r="S7766">
        <v>147.47681900000001</v>
      </c>
      <c r="T7766" s="1095">
        <v>-36.638769000000003</v>
      </c>
    </row>
    <row r="7767" spans="16:20">
      <c r="P7767" s="1094">
        <v>3701</v>
      </c>
      <c r="Q7767" t="s">
        <v>8510</v>
      </c>
      <c r="R7767" t="s">
        <v>616</v>
      </c>
      <c r="S7767">
        <v>147.47681900000001</v>
      </c>
      <c r="T7767" s="1095">
        <v>-36.638769000000003</v>
      </c>
    </row>
    <row r="7768" spans="16:20">
      <c r="P7768" s="1094">
        <v>3704</v>
      </c>
      <c r="Q7768" t="s">
        <v>8511</v>
      </c>
      <c r="R7768" t="s">
        <v>616</v>
      </c>
      <c r="S7768">
        <v>147.49343999999999</v>
      </c>
      <c r="T7768" s="1095">
        <v>-36.132612999999999</v>
      </c>
    </row>
    <row r="7769" spans="16:20">
      <c r="P7769" s="1094">
        <v>3705</v>
      </c>
      <c r="Q7769" t="s">
        <v>8512</v>
      </c>
      <c r="R7769" t="s">
        <v>616</v>
      </c>
      <c r="S7769">
        <v>147.76991100000001</v>
      </c>
      <c r="T7769" s="1095">
        <v>-36.322884000000002</v>
      </c>
    </row>
    <row r="7770" spans="16:20">
      <c r="P7770" s="1094">
        <v>3705</v>
      </c>
      <c r="Q7770" t="s">
        <v>8513</v>
      </c>
      <c r="R7770" t="s">
        <v>616</v>
      </c>
      <c r="S7770">
        <v>147.76991100000001</v>
      </c>
      <c r="T7770" s="1095">
        <v>-36.322884000000002</v>
      </c>
    </row>
    <row r="7771" spans="16:20">
      <c r="P7771" s="1094">
        <v>3707</v>
      </c>
      <c r="Q7771" t="s">
        <v>8514</v>
      </c>
      <c r="R7771" t="s">
        <v>616</v>
      </c>
      <c r="S7771">
        <v>148.037958</v>
      </c>
      <c r="T7771" s="1095">
        <v>-36.586315999999997</v>
      </c>
    </row>
    <row r="7772" spans="16:20">
      <c r="P7772" s="1094">
        <v>3707</v>
      </c>
      <c r="Q7772" t="s">
        <v>8515</v>
      </c>
      <c r="R7772" t="s">
        <v>248</v>
      </c>
      <c r="S7772">
        <v>148.037958</v>
      </c>
      <c r="T7772" s="1095">
        <v>-36.586315999999997</v>
      </c>
    </row>
    <row r="7773" spans="16:20">
      <c r="P7773" s="1094">
        <v>3707</v>
      </c>
      <c r="Q7773" t="s">
        <v>8516</v>
      </c>
      <c r="R7773" t="s">
        <v>616</v>
      </c>
      <c r="S7773">
        <v>148.037958</v>
      </c>
      <c r="T7773" s="1095">
        <v>-36.586315999999997</v>
      </c>
    </row>
    <row r="7774" spans="16:20">
      <c r="P7774" s="1094">
        <v>3707</v>
      </c>
      <c r="Q7774" t="s">
        <v>8517</v>
      </c>
      <c r="R7774" t="s">
        <v>616</v>
      </c>
      <c r="S7774">
        <v>148.037958</v>
      </c>
      <c r="T7774" s="1095">
        <v>-36.586315999999997</v>
      </c>
    </row>
    <row r="7775" spans="16:20">
      <c r="P7775" s="1094">
        <v>3707</v>
      </c>
      <c r="Q7775" t="s">
        <v>8518</v>
      </c>
      <c r="R7775" t="s">
        <v>616</v>
      </c>
      <c r="S7775">
        <v>148.037958</v>
      </c>
      <c r="T7775" s="1095">
        <v>-36.586315999999997</v>
      </c>
    </row>
    <row r="7776" spans="16:20">
      <c r="P7776" s="1094">
        <v>3707</v>
      </c>
      <c r="Q7776" t="s">
        <v>8519</v>
      </c>
      <c r="R7776" t="s">
        <v>616</v>
      </c>
      <c r="S7776">
        <v>148.037958</v>
      </c>
      <c r="T7776" s="1095">
        <v>-36.586315999999997</v>
      </c>
    </row>
    <row r="7777" spans="16:20">
      <c r="P7777" s="1094">
        <v>3707</v>
      </c>
      <c r="Q7777" t="s">
        <v>8520</v>
      </c>
      <c r="R7777" t="s">
        <v>616</v>
      </c>
      <c r="S7777">
        <v>148.037958</v>
      </c>
      <c r="T7777" s="1095">
        <v>-36.586315999999997</v>
      </c>
    </row>
    <row r="7778" spans="16:20">
      <c r="P7778" s="1094">
        <v>3708</v>
      </c>
      <c r="Q7778" t="s">
        <v>8521</v>
      </c>
      <c r="R7778" t="s">
        <v>616</v>
      </c>
      <c r="S7778">
        <v>147.942058</v>
      </c>
      <c r="T7778" s="1095">
        <v>-36.070928000000002</v>
      </c>
    </row>
    <row r="7779" spans="16:20">
      <c r="P7779" s="1094">
        <v>3709</v>
      </c>
      <c r="Q7779" t="s">
        <v>8522</v>
      </c>
      <c r="R7779" t="s">
        <v>616</v>
      </c>
      <c r="S7779">
        <v>147.667373</v>
      </c>
      <c r="T7779" s="1095">
        <v>-36.035907999999999</v>
      </c>
    </row>
    <row r="7780" spans="16:20">
      <c r="P7780" s="1094">
        <v>3709</v>
      </c>
      <c r="Q7780" t="s">
        <v>8523</v>
      </c>
      <c r="R7780" t="s">
        <v>616</v>
      </c>
      <c r="S7780">
        <v>147.667373</v>
      </c>
      <c r="T7780" s="1095">
        <v>-36.035907999999999</v>
      </c>
    </row>
    <row r="7781" spans="16:20">
      <c r="P7781" s="1094">
        <v>3709</v>
      </c>
      <c r="Q7781" t="s">
        <v>8524</v>
      </c>
      <c r="R7781" t="s">
        <v>616</v>
      </c>
      <c r="S7781">
        <v>147.667373</v>
      </c>
      <c r="T7781" s="1095">
        <v>-36.035907999999999</v>
      </c>
    </row>
    <row r="7782" spans="16:20">
      <c r="P7782" s="1094">
        <v>3711</v>
      </c>
      <c r="Q7782" t="s">
        <v>4575</v>
      </c>
      <c r="R7782" t="s">
        <v>616</v>
      </c>
      <c r="S7782">
        <v>145.68216100000001</v>
      </c>
      <c r="T7782" s="1095">
        <v>-37.410469999999997</v>
      </c>
    </row>
    <row r="7783" spans="16:20">
      <c r="P7783" s="1094">
        <v>3712</v>
      </c>
      <c r="Q7783" t="s">
        <v>8525</v>
      </c>
      <c r="R7783" t="s">
        <v>616</v>
      </c>
      <c r="S7783">
        <v>145.839057</v>
      </c>
      <c r="T7783" s="1095">
        <v>-37.320900000000002</v>
      </c>
    </row>
    <row r="7784" spans="16:20">
      <c r="P7784" s="1094">
        <v>3712</v>
      </c>
      <c r="Q7784" t="s">
        <v>2642</v>
      </c>
      <c r="R7784" t="s">
        <v>616</v>
      </c>
      <c r="S7784">
        <v>145.839057</v>
      </c>
      <c r="T7784" s="1095">
        <v>-37.320900000000002</v>
      </c>
    </row>
    <row r="7785" spans="16:20">
      <c r="P7785" s="1094">
        <v>3713</v>
      </c>
      <c r="Q7785" t="s">
        <v>8526</v>
      </c>
      <c r="R7785" t="s">
        <v>616</v>
      </c>
      <c r="S7785">
        <v>145.90622999999999</v>
      </c>
      <c r="T7785" s="1095">
        <v>-37.241526999999998</v>
      </c>
    </row>
    <row r="7786" spans="16:20">
      <c r="P7786" s="1094">
        <v>3713</v>
      </c>
      <c r="Q7786" t="s">
        <v>8527</v>
      </c>
      <c r="R7786" t="s">
        <v>616</v>
      </c>
      <c r="S7786">
        <v>145.90622999999999</v>
      </c>
      <c r="T7786" s="1095">
        <v>-37.241526999999998</v>
      </c>
    </row>
    <row r="7787" spans="16:20">
      <c r="P7787" s="1094">
        <v>3714</v>
      </c>
      <c r="Q7787" t="s">
        <v>8528</v>
      </c>
      <c r="R7787" t="s">
        <v>616</v>
      </c>
      <c r="S7787">
        <v>145.68788900000001</v>
      </c>
      <c r="T7787" s="1095">
        <v>-37.210538</v>
      </c>
    </row>
    <row r="7788" spans="16:20">
      <c r="P7788" s="1094">
        <v>3714</v>
      </c>
      <c r="Q7788" t="s">
        <v>8529</v>
      </c>
      <c r="R7788" t="s">
        <v>616</v>
      </c>
      <c r="S7788">
        <v>145.68788900000001</v>
      </c>
      <c r="T7788" s="1095">
        <v>-37.210538</v>
      </c>
    </row>
    <row r="7789" spans="16:20">
      <c r="P7789" s="1094">
        <v>3714</v>
      </c>
      <c r="Q7789" t="s">
        <v>8530</v>
      </c>
      <c r="R7789" t="s">
        <v>616</v>
      </c>
      <c r="S7789">
        <v>145.68788900000001</v>
      </c>
      <c r="T7789" s="1095">
        <v>-37.210538</v>
      </c>
    </row>
    <row r="7790" spans="16:20">
      <c r="P7790" s="1094">
        <v>3714</v>
      </c>
      <c r="Q7790" t="s">
        <v>4087</v>
      </c>
      <c r="R7790" t="s">
        <v>616</v>
      </c>
      <c r="S7790">
        <v>145.68788900000001</v>
      </c>
      <c r="T7790" s="1095">
        <v>-37.210538</v>
      </c>
    </row>
    <row r="7791" spans="16:20">
      <c r="P7791" s="1094">
        <v>3714</v>
      </c>
      <c r="Q7791" t="s">
        <v>8531</v>
      </c>
      <c r="R7791" t="s">
        <v>616</v>
      </c>
      <c r="S7791">
        <v>145.68788900000001</v>
      </c>
      <c r="T7791" s="1095">
        <v>-37.210538</v>
      </c>
    </row>
    <row r="7792" spans="16:20">
      <c r="P7792" s="1094">
        <v>3714</v>
      </c>
      <c r="Q7792" t="s">
        <v>8532</v>
      </c>
      <c r="R7792" t="s">
        <v>616</v>
      </c>
      <c r="S7792">
        <v>145.68788900000001</v>
      </c>
      <c r="T7792" s="1095">
        <v>-37.210538</v>
      </c>
    </row>
    <row r="7793" spans="16:20">
      <c r="P7793" s="1094">
        <v>3714</v>
      </c>
      <c r="Q7793" t="s">
        <v>8533</v>
      </c>
      <c r="R7793" t="s">
        <v>616</v>
      </c>
      <c r="S7793">
        <v>145.68788900000001</v>
      </c>
      <c r="T7793" s="1095">
        <v>-37.210538</v>
      </c>
    </row>
    <row r="7794" spans="16:20">
      <c r="P7794" s="1094">
        <v>3715</v>
      </c>
      <c r="Q7794" t="s">
        <v>8534</v>
      </c>
      <c r="R7794" t="s">
        <v>616</v>
      </c>
      <c r="S7794">
        <v>145.739419</v>
      </c>
      <c r="T7794" s="1095">
        <v>-36.985747000000003</v>
      </c>
    </row>
    <row r="7795" spans="16:20">
      <c r="P7795" s="1094">
        <v>3715</v>
      </c>
      <c r="Q7795" t="s">
        <v>8535</v>
      </c>
      <c r="R7795" t="s">
        <v>616</v>
      </c>
      <c r="S7795">
        <v>145.739419</v>
      </c>
      <c r="T7795" s="1095">
        <v>-36.985747000000003</v>
      </c>
    </row>
    <row r="7796" spans="16:20">
      <c r="P7796" s="1094">
        <v>3715</v>
      </c>
      <c r="Q7796" t="s">
        <v>8536</v>
      </c>
      <c r="R7796" t="s">
        <v>616</v>
      </c>
      <c r="S7796">
        <v>145.739419</v>
      </c>
      <c r="T7796" s="1095">
        <v>-36.985747000000003</v>
      </c>
    </row>
    <row r="7797" spans="16:20">
      <c r="P7797" s="1094">
        <v>3717</v>
      </c>
      <c r="Q7797" t="s">
        <v>8317</v>
      </c>
      <c r="R7797" t="s">
        <v>616</v>
      </c>
      <c r="S7797">
        <v>145.435776</v>
      </c>
      <c r="T7797" s="1095">
        <v>-37.286611000000001</v>
      </c>
    </row>
    <row r="7798" spans="16:20">
      <c r="P7798" s="1094">
        <v>3717</v>
      </c>
      <c r="Q7798" t="s">
        <v>8537</v>
      </c>
      <c r="R7798" t="s">
        <v>616</v>
      </c>
      <c r="S7798">
        <v>145.435776</v>
      </c>
      <c r="T7798" s="1095">
        <v>-37.286611000000001</v>
      </c>
    </row>
    <row r="7799" spans="16:20">
      <c r="P7799" s="1094">
        <v>3717</v>
      </c>
      <c r="Q7799" t="s">
        <v>8538</v>
      </c>
      <c r="R7799" t="s">
        <v>616</v>
      </c>
      <c r="S7799">
        <v>145.435776</v>
      </c>
      <c r="T7799" s="1095">
        <v>-37.286611000000001</v>
      </c>
    </row>
    <row r="7800" spans="16:20">
      <c r="P7800" s="1094">
        <v>3717</v>
      </c>
      <c r="Q7800" t="s">
        <v>8539</v>
      </c>
      <c r="R7800" t="s">
        <v>616</v>
      </c>
      <c r="S7800">
        <v>145.435776</v>
      </c>
      <c r="T7800" s="1095">
        <v>-37.286611000000001</v>
      </c>
    </row>
    <row r="7801" spans="16:20">
      <c r="P7801" s="1094">
        <v>3717</v>
      </c>
      <c r="Q7801" t="s">
        <v>2427</v>
      </c>
      <c r="R7801" t="s">
        <v>616</v>
      </c>
      <c r="S7801">
        <v>145.435776</v>
      </c>
      <c r="T7801" s="1095">
        <v>-37.286611000000001</v>
      </c>
    </row>
    <row r="7802" spans="16:20">
      <c r="P7802" s="1094">
        <v>3717</v>
      </c>
      <c r="Q7802" t="s">
        <v>3046</v>
      </c>
      <c r="R7802" t="s">
        <v>616</v>
      </c>
      <c r="S7802">
        <v>145.435776</v>
      </c>
      <c r="T7802" s="1095">
        <v>-37.286611000000001</v>
      </c>
    </row>
    <row r="7803" spans="16:20">
      <c r="P7803" s="1094">
        <v>3717</v>
      </c>
      <c r="Q7803" t="s">
        <v>8540</v>
      </c>
      <c r="R7803" t="s">
        <v>616</v>
      </c>
      <c r="S7803">
        <v>145.435776</v>
      </c>
      <c r="T7803" s="1095">
        <v>-37.286611000000001</v>
      </c>
    </row>
    <row r="7804" spans="16:20">
      <c r="P7804" s="1094">
        <v>3717</v>
      </c>
      <c r="Q7804" t="s">
        <v>8541</v>
      </c>
      <c r="R7804" t="s">
        <v>616</v>
      </c>
      <c r="S7804">
        <v>145.435776</v>
      </c>
      <c r="T7804" s="1095">
        <v>-37.286611000000001</v>
      </c>
    </row>
    <row r="7805" spans="16:20">
      <c r="P7805" s="1094">
        <v>3718</v>
      </c>
      <c r="Q7805" t="s">
        <v>8542</v>
      </c>
      <c r="R7805" t="s">
        <v>616</v>
      </c>
      <c r="S7805">
        <v>145.54096000000001</v>
      </c>
      <c r="T7805" s="1095">
        <v>-37.144067</v>
      </c>
    </row>
    <row r="7806" spans="16:20">
      <c r="P7806" s="1094">
        <v>3719</v>
      </c>
      <c r="Q7806" t="s">
        <v>8543</v>
      </c>
      <c r="R7806" t="s">
        <v>616</v>
      </c>
      <c r="S7806">
        <v>145.60849099999999</v>
      </c>
      <c r="T7806" s="1095">
        <v>-37.041215000000001</v>
      </c>
    </row>
    <row r="7807" spans="16:20">
      <c r="P7807" s="1094">
        <v>3719</v>
      </c>
      <c r="Q7807" t="s">
        <v>8544</v>
      </c>
      <c r="R7807" t="s">
        <v>616</v>
      </c>
      <c r="S7807">
        <v>145.60849099999999</v>
      </c>
      <c r="T7807" s="1095">
        <v>-37.041215000000001</v>
      </c>
    </row>
    <row r="7808" spans="16:20">
      <c r="P7808" s="1094">
        <v>3719</v>
      </c>
      <c r="Q7808" t="s">
        <v>8545</v>
      </c>
      <c r="R7808" t="s">
        <v>616</v>
      </c>
      <c r="S7808">
        <v>145.60849099999999</v>
      </c>
      <c r="T7808" s="1095">
        <v>-37.041215000000001</v>
      </c>
    </row>
    <row r="7809" spans="16:20">
      <c r="P7809" s="1094">
        <v>3719</v>
      </c>
      <c r="Q7809" t="s">
        <v>8546</v>
      </c>
      <c r="R7809" t="s">
        <v>616</v>
      </c>
      <c r="S7809">
        <v>145.60849099999999</v>
      </c>
      <c r="T7809" s="1095">
        <v>-37.041215000000001</v>
      </c>
    </row>
    <row r="7810" spans="16:20">
      <c r="P7810" s="1094">
        <v>3720</v>
      </c>
      <c r="Q7810" t="s">
        <v>8547</v>
      </c>
      <c r="R7810" t="s">
        <v>616</v>
      </c>
      <c r="S7810">
        <v>145.85030399999999</v>
      </c>
      <c r="T7810" s="1095">
        <v>-37.017240999999999</v>
      </c>
    </row>
    <row r="7811" spans="16:20">
      <c r="P7811" s="1094">
        <v>3722</v>
      </c>
      <c r="Q7811" t="s">
        <v>8548</v>
      </c>
      <c r="R7811" t="s">
        <v>616</v>
      </c>
      <c r="S7811">
        <v>146.25326799999999</v>
      </c>
      <c r="T7811" s="1095">
        <v>-37.202634000000003</v>
      </c>
    </row>
    <row r="7812" spans="16:20">
      <c r="P7812" s="1094">
        <v>3722</v>
      </c>
      <c r="Q7812" t="s">
        <v>8549</v>
      </c>
      <c r="R7812" t="s">
        <v>616</v>
      </c>
      <c r="S7812">
        <v>146.25326799999999</v>
      </c>
      <c r="T7812" s="1095">
        <v>-37.202634000000003</v>
      </c>
    </row>
    <row r="7813" spans="16:20">
      <c r="P7813" s="1094">
        <v>3722</v>
      </c>
      <c r="Q7813" t="s">
        <v>8550</v>
      </c>
      <c r="R7813" t="s">
        <v>616</v>
      </c>
      <c r="S7813">
        <v>146.25326799999999</v>
      </c>
      <c r="T7813" s="1095">
        <v>-37.202634000000003</v>
      </c>
    </row>
    <row r="7814" spans="16:20">
      <c r="P7814" s="1094">
        <v>3723</v>
      </c>
      <c r="Q7814" t="s">
        <v>8551</v>
      </c>
      <c r="R7814" t="s">
        <v>616</v>
      </c>
      <c r="S7814">
        <v>0</v>
      </c>
      <c r="T7814" s="1095">
        <v>0</v>
      </c>
    </row>
    <row r="7815" spans="16:20">
      <c r="P7815" s="1094">
        <v>3723</v>
      </c>
      <c r="Q7815" t="s">
        <v>8552</v>
      </c>
      <c r="R7815" t="s">
        <v>616</v>
      </c>
      <c r="S7815">
        <v>0</v>
      </c>
      <c r="T7815" s="1095">
        <v>0</v>
      </c>
    </row>
    <row r="7816" spans="16:20">
      <c r="P7816" s="1094">
        <v>3723</v>
      </c>
      <c r="Q7816" t="s">
        <v>8553</v>
      </c>
      <c r="R7816" t="s">
        <v>616</v>
      </c>
      <c r="S7816">
        <v>0</v>
      </c>
      <c r="T7816" s="1095">
        <v>0</v>
      </c>
    </row>
    <row r="7817" spans="16:20">
      <c r="P7817" s="1094">
        <v>3723</v>
      </c>
      <c r="Q7817" t="s">
        <v>8554</v>
      </c>
      <c r="R7817" t="s">
        <v>616</v>
      </c>
      <c r="S7817">
        <v>0</v>
      </c>
      <c r="T7817" s="1095">
        <v>0</v>
      </c>
    </row>
    <row r="7818" spans="16:20">
      <c r="P7818" s="1094">
        <v>3723</v>
      </c>
      <c r="Q7818" t="s">
        <v>8555</v>
      </c>
      <c r="R7818" t="s">
        <v>616</v>
      </c>
      <c r="S7818">
        <v>0</v>
      </c>
      <c r="T7818" s="1095">
        <v>0</v>
      </c>
    </row>
    <row r="7819" spans="16:20">
      <c r="P7819" s="1094">
        <v>3723</v>
      </c>
      <c r="Q7819" t="s">
        <v>8556</v>
      </c>
      <c r="R7819" t="s">
        <v>616</v>
      </c>
      <c r="S7819">
        <v>0</v>
      </c>
      <c r="T7819" s="1095">
        <v>0</v>
      </c>
    </row>
    <row r="7820" spans="16:20">
      <c r="P7820" s="1094">
        <v>3723</v>
      </c>
      <c r="Q7820" t="s">
        <v>8557</v>
      </c>
      <c r="R7820" t="s">
        <v>616</v>
      </c>
      <c r="S7820">
        <v>0</v>
      </c>
      <c r="T7820" s="1095">
        <v>0</v>
      </c>
    </row>
    <row r="7821" spans="16:20">
      <c r="P7821" s="1094">
        <v>3723</v>
      </c>
      <c r="Q7821" t="s">
        <v>8558</v>
      </c>
      <c r="R7821" t="s">
        <v>616</v>
      </c>
      <c r="S7821">
        <v>0</v>
      </c>
      <c r="T7821" s="1095">
        <v>0</v>
      </c>
    </row>
    <row r="7822" spans="16:20">
      <c r="P7822" s="1094">
        <v>3723</v>
      </c>
      <c r="Q7822" t="s">
        <v>8559</v>
      </c>
      <c r="R7822" t="s">
        <v>616</v>
      </c>
      <c r="S7822">
        <v>0</v>
      </c>
      <c r="T7822" s="1095">
        <v>0</v>
      </c>
    </row>
    <row r="7823" spans="16:20">
      <c r="P7823" s="1094">
        <v>3723</v>
      </c>
      <c r="Q7823" t="s">
        <v>8560</v>
      </c>
      <c r="R7823" t="s">
        <v>616</v>
      </c>
      <c r="S7823">
        <v>0</v>
      </c>
      <c r="T7823" s="1095">
        <v>0</v>
      </c>
    </row>
    <row r="7824" spans="16:20">
      <c r="P7824" s="1094">
        <v>3723</v>
      </c>
      <c r="Q7824" t="s">
        <v>8561</v>
      </c>
      <c r="R7824" t="s">
        <v>616</v>
      </c>
      <c r="S7824">
        <v>0</v>
      </c>
      <c r="T7824" s="1095">
        <v>0</v>
      </c>
    </row>
    <row r="7825" spans="16:20">
      <c r="P7825" s="1094">
        <v>3723</v>
      </c>
      <c r="Q7825" t="s">
        <v>8562</v>
      </c>
      <c r="R7825" t="s">
        <v>616</v>
      </c>
      <c r="S7825">
        <v>0</v>
      </c>
      <c r="T7825" s="1095">
        <v>0</v>
      </c>
    </row>
    <row r="7826" spans="16:20">
      <c r="P7826" s="1094">
        <v>3723</v>
      </c>
      <c r="Q7826" t="s">
        <v>8563</v>
      </c>
      <c r="R7826" t="s">
        <v>616</v>
      </c>
      <c r="S7826">
        <v>0</v>
      </c>
      <c r="T7826" s="1095">
        <v>0</v>
      </c>
    </row>
    <row r="7827" spans="16:20">
      <c r="P7827" s="1094">
        <v>3723</v>
      </c>
      <c r="Q7827" t="s">
        <v>8564</v>
      </c>
      <c r="R7827" t="s">
        <v>616</v>
      </c>
      <c r="S7827">
        <v>0</v>
      </c>
      <c r="T7827" s="1095">
        <v>0</v>
      </c>
    </row>
    <row r="7828" spans="16:20">
      <c r="P7828" s="1094">
        <v>3723</v>
      </c>
      <c r="Q7828" t="s">
        <v>8565</v>
      </c>
      <c r="R7828" t="s">
        <v>616</v>
      </c>
      <c r="S7828">
        <v>0</v>
      </c>
      <c r="T7828" s="1095">
        <v>0</v>
      </c>
    </row>
    <row r="7829" spans="16:20">
      <c r="P7829" s="1094">
        <v>3723</v>
      </c>
      <c r="Q7829" t="s">
        <v>8566</v>
      </c>
      <c r="R7829" t="s">
        <v>616</v>
      </c>
      <c r="S7829">
        <v>0</v>
      </c>
      <c r="T7829" s="1095">
        <v>0</v>
      </c>
    </row>
    <row r="7830" spans="16:20">
      <c r="P7830" s="1094">
        <v>3723</v>
      </c>
      <c r="Q7830" t="s">
        <v>8567</v>
      </c>
      <c r="R7830" t="s">
        <v>616</v>
      </c>
      <c r="S7830">
        <v>0</v>
      </c>
      <c r="T7830" s="1095">
        <v>0</v>
      </c>
    </row>
    <row r="7831" spans="16:20">
      <c r="P7831" s="1094">
        <v>3723</v>
      </c>
      <c r="Q7831" t="s">
        <v>8568</v>
      </c>
      <c r="R7831" t="s">
        <v>616</v>
      </c>
      <c r="S7831">
        <v>0</v>
      </c>
      <c r="T7831" s="1095">
        <v>0</v>
      </c>
    </row>
    <row r="7832" spans="16:20">
      <c r="P7832" s="1094">
        <v>3723</v>
      </c>
      <c r="Q7832" t="s">
        <v>8569</v>
      </c>
      <c r="R7832" t="s">
        <v>616</v>
      </c>
      <c r="S7832">
        <v>0</v>
      </c>
      <c r="T7832" s="1095">
        <v>0</v>
      </c>
    </row>
    <row r="7833" spans="16:20">
      <c r="P7833" s="1094">
        <v>3723</v>
      </c>
      <c r="Q7833" t="s">
        <v>8570</v>
      </c>
      <c r="R7833" t="s">
        <v>616</v>
      </c>
      <c r="S7833">
        <v>0</v>
      </c>
      <c r="T7833" s="1095">
        <v>0</v>
      </c>
    </row>
    <row r="7834" spans="16:20">
      <c r="P7834" s="1094">
        <v>3723</v>
      </c>
      <c r="Q7834" t="s">
        <v>8571</v>
      </c>
      <c r="R7834" t="s">
        <v>616</v>
      </c>
      <c r="S7834">
        <v>0</v>
      </c>
      <c r="T7834" s="1095">
        <v>0</v>
      </c>
    </row>
    <row r="7835" spans="16:20">
      <c r="P7835" s="1094">
        <v>3723</v>
      </c>
      <c r="Q7835" t="s">
        <v>8572</v>
      </c>
      <c r="R7835" t="s">
        <v>616</v>
      </c>
      <c r="S7835">
        <v>0</v>
      </c>
      <c r="T7835" s="1095">
        <v>0</v>
      </c>
    </row>
    <row r="7836" spans="16:20">
      <c r="P7836" s="1094">
        <v>3723</v>
      </c>
      <c r="Q7836" t="s">
        <v>8573</v>
      </c>
      <c r="R7836" t="s">
        <v>616</v>
      </c>
      <c r="S7836">
        <v>0</v>
      </c>
      <c r="T7836" s="1095">
        <v>0</v>
      </c>
    </row>
    <row r="7837" spans="16:20">
      <c r="P7837" s="1094">
        <v>3723</v>
      </c>
      <c r="Q7837" t="s">
        <v>8574</v>
      </c>
      <c r="R7837" t="s">
        <v>616</v>
      </c>
      <c r="S7837">
        <v>0</v>
      </c>
      <c r="T7837" s="1095">
        <v>0</v>
      </c>
    </row>
    <row r="7838" spans="16:20">
      <c r="P7838" s="1094">
        <v>3724</v>
      </c>
      <c r="Q7838" t="s">
        <v>8549</v>
      </c>
      <c r="R7838" t="s">
        <v>616</v>
      </c>
      <c r="S7838">
        <v>0</v>
      </c>
      <c r="T7838" s="1095">
        <v>0</v>
      </c>
    </row>
    <row r="7839" spans="16:20">
      <c r="P7839" s="1094">
        <v>3725</v>
      </c>
      <c r="Q7839" t="s">
        <v>8575</v>
      </c>
      <c r="R7839" t="s">
        <v>616</v>
      </c>
      <c r="S7839">
        <v>145.93732600000001</v>
      </c>
      <c r="T7839" s="1095">
        <v>-36.414358999999997</v>
      </c>
    </row>
    <row r="7840" spans="16:20">
      <c r="P7840" s="1094">
        <v>3725</v>
      </c>
      <c r="Q7840" t="s">
        <v>8576</v>
      </c>
      <c r="R7840" t="s">
        <v>616</v>
      </c>
      <c r="S7840">
        <v>145.93732600000001</v>
      </c>
      <c r="T7840" s="1095">
        <v>-36.414358999999997</v>
      </c>
    </row>
    <row r="7841" spans="16:20">
      <c r="P7841" s="1094">
        <v>3725</v>
      </c>
      <c r="Q7841" t="s">
        <v>8577</v>
      </c>
      <c r="R7841" t="s">
        <v>616</v>
      </c>
      <c r="S7841">
        <v>145.93732600000001</v>
      </c>
      <c r="T7841" s="1095">
        <v>-36.414358999999997</v>
      </c>
    </row>
    <row r="7842" spans="16:20">
      <c r="P7842" s="1094">
        <v>3725</v>
      </c>
      <c r="Q7842" t="s">
        <v>8578</v>
      </c>
      <c r="R7842" t="s">
        <v>616</v>
      </c>
      <c r="S7842">
        <v>145.93732600000001</v>
      </c>
      <c r="T7842" s="1095">
        <v>-36.414358999999997</v>
      </c>
    </row>
    <row r="7843" spans="16:20">
      <c r="P7843" s="1094">
        <v>3725</v>
      </c>
      <c r="Q7843" t="s">
        <v>8579</v>
      </c>
      <c r="R7843" t="s">
        <v>616</v>
      </c>
      <c r="S7843">
        <v>145.93732600000001</v>
      </c>
      <c r="T7843" s="1095">
        <v>-36.414358999999997</v>
      </c>
    </row>
    <row r="7844" spans="16:20">
      <c r="P7844" s="1094">
        <v>3726</v>
      </c>
      <c r="Q7844" t="s">
        <v>8580</v>
      </c>
      <c r="R7844" t="s">
        <v>616</v>
      </c>
      <c r="S7844">
        <v>145.96020899999999</v>
      </c>
      <c r="T7844" s="1095">
        <v>-36.332253999999999</v>
      </c>
    </row>
    <row r="7845" spans="16:20">
      <c r="P7845" s="1094">
        <v>3726</v>
      </c>
      <c r="Q7845" t="s">
        <v>8581</v>
      </c>
      <c r="R7845" t="s">
        <v>616</v>
      </c>
      <c r="S7845">
        <v>145.96020899999999</v>
      </c>
      <c r="T7845" s="1095">
        <v>-36.332253999999999</v>
      </c>
    </row>
    <row r="7846" spans="16:20">
      <c r="P7846" s="1094">
        <v>3726</v>
      </c>
      <c r="Q7846" t="s">
        <v>8582</v>
      </c>
      <c r="R7846" t="s">
        <v>616</v>
      </c>
      <c r="S7846">
        <v>145.96020899999999</v>
      </c>
      <c r="T7846" s="1095">
        <v>-36.332253999999999</v>
      </c>
    </row>
    <row r="7847" spans="16:20">
      <c r="P7847" s="1094">
        <v>3726</v>
      </c>
      <c r="Q7847" t="s">
        <v>8583</v>
      </c>
      <c r="R7847" t="s">
        <v>616</v>
      </c>
      <c r="S7847">
        <v>145.96020899999999</v>
      </c>
      <c r="T7847" s="1095">
        <v>-36.332253999999999</v>
      </c>
    </row>
    <row r="7848" spans="16:20">
      <c r="P7848" s="1094">
        <v>3727</v>
      </c>
      <c r="Q7848" t="s">
        <v>8584</v>
      </c>
      <c r="R7848" t="s">
        <v>616</v>
      </c>
      <c r="S7848">
        <v>145.957776</v>
      </c>
      <c r="T7848" s="1095">
        <v>-36.242443000000002</v>
      </c>
    </row>
    <row r="7849" spans="16:20">
      <c r="P7849" s="1094">
        <v>3727</v>
      </c>
      <c r="Q7849" t="s">
        <v>8585</v>
      </c>
      <c r="R7849" t="s">
        <v>616</v>
      </c>
      <c r="S7849">
        <v>145.957776</v>
      </c>
      <c r="T7849" s="1095">
        <v>-36.242443000000002</v>
      </c>
    </row>
    <row r="7850" spans="16:20">
      <c r="P7850" s="1094">
        <v>3727</v>
      </c>
      <c r="Q7850" t="s">
        <v>8586</v>
      </c>
      <c r="R7850" t="s">
        <v>616</v>
      </c>
      <c r="S7850">
        <v>145.957776</v>
      </c>
      <c r="T7850" s="1095">
        <v>-36.242443000000002</v>
      </c>
    </row>
    <row r="7851" spans="16:20">
      <c r="P7851" s="1094">
        <v>3727</v>
      </c>
      <c r="Q7851" t="s">
        <v>8587</v>
      </c>
      <c r="R7851" t="s">
        <v>616</v>
      </c>
      <c r="S7851">
        <v>145.957776</v>
      </c>
      <c r="T7851" s="1095">
        <v>-36.242443000000002</v>
      </c>
    </row>
    <row r="7852" spans="16:20">
      <c r="P7852" s="1094">
        <v>3727</v>
      </c>
      <c r="Q7852" t="s">
        <v>8588</v>
      </c>
      <c r="R7852" t="s">
        <v>616</v>
      </c>
      <c r="S7852">
        <v>145.957776</v>
      </c>
      <c r="T7852" s="1095">
        <v>-36.242443000000002</v>
      </c>
    </row>
    <row r="7853" spans="16:20">
      <c r="P7853" s="1094">
        <v>3727</v>
      </c>
      <c r="Q7853" t="s">
        <v>8589</v>
      </c>
      <c r="R7853" t="s">
        <v>616</v>
      </c>
      <c r="S7853">
        <v>145.957776</v>
      </c>
      <c r="T7853" s="1095">
        <v>-36.242443000000002</v>
      </c>
    </row>
    <row r="7854" spans="16:20">
      <c r="P7854" s="1094">
        <v>3728</v>
      </c>
      <c r="Q7854" t="s">
        <v>8590</v>
      </c>
      <c r="R7854" t="s">
        <v>616</v>
      </c>
      <c r="S7854">
        <v>145.95901499999999</v>
      </c>
      <c r="T7854" s="1095">
        <v>-36.148921999999999</v>
      </c>
    </row>
    <row r="7855" spans="16:20">
      <c r="P7855" s="1094">
        <v>3728</v>
      </c>
      <c r="Q7855" t="s">
        <v>8591</v>
      </c>
      <c r="R7855" t="s">
        <v>616</v>
      </c>
      <c r="S7855">
        <v>145.95901499999999</v>
      </c>
      <c r="T7855" s="1095">
        <v>-36.148921999999999</v>
      </c>
    </row>
    <row r="7856" spans="16:20">
      <c r="P7856" s="1094">
        <v>3728</v>
      </c>
      <c r="Q7856" t="s">
        <v>8592</v>
      </c>
      <c r="R7856" t="s">
        <v>616</v>
      </c>
      <c r="S7856">
        <v>145.95901499999999</v>
      </c>
      <c r="T7856" s="1095">
        <v>-36.148921999999999</v>
      </c>
    </row>
    <row r="7857" spans="16:20">
      <c r="P7857" s="1094">
        <v>3728</v>
      </c>
      <c r="Q7857" t="s">
        <v>8593</v>
      </c>
      <c r="R7857" t="s">
        <v>616</v>
      </c>
      <c r="S7857">
        <v>145.95901499999999</v>
      </c>
      <c r="T7857" s="1095">
        <v>-36.148921999999999</v>
      </c>
    </row>
    <row r="7858" spans="16:20">
      <c r="P7858" s="1094">
        <v>3730</v>
      </c>
      <c r="Q7858" t="s">
        <v>8594</v>
      </c>
      <c r="R7858" t="s">
        <v>616</v>
      </c>
      <c r="S7858">
        <v>145.97475499999999</v>
      </c>
      <c r="T7858" s="1095">
        <v>-36.051782000000003</v>
      </c>
    </row>
    <row r="7859" spans="16:20">
      <c r="P7859" s="1094">
        <v>3730</v>
      </c>
      <c r="Q7859" t="s">
        <v>8595</v>
      </c>
      <c r="R7859" t="s">
        <v>616</v>
      </c>
      <c r="S7859">
        <v>145.97475499999999</v>
      </c>
      <c r="T7859" s="1095">
        <v>-36.051782000000003</v>
      </c>
    </row>
    <row r="7860" spans="16:20">
      <c r="P7860" s="1094">
        <v>3730</v>
      </c>
      <c r="Q7860" t="s">
        <v>8596</v>
      </c>
      <c r="R7860" t="s">
        <v>616</v>
      </c>
      <c r="S7860">
        <v>145.97475499999999</v>
      </c>
      <c r="T7860" s="1095">
        <v>-36.051782000000003</v>
      </c>
    </row>
    <row r="7861" spans="16:20">
      <c r="P7861" s="1094">
        <v>3730</v>
      </c>
      <c r="Q7861" t="s">
        <v>8597</v>
      </c>
      <c r="R7861" t="s">
        <v>616</v>
      </c>
      <c r="S7861">
        <v>145.97475499999999</v>
      </c>
      <c r="T7861" s="1095">
        <v>-36.051782000000003</v>
      </c>
    </row>
    <row r="7862" spans="16:20">
      <c r="P7862" s="1094">
        <v>3730</v>
      </c>
      <c r="Q7862" t="s">
        <v>8598</v>
      </c>
      <c r="R7862" t="s">
        <v>616</v>
      </c>
      <c r="S7862">
        <v>145.97475499999999</v>
      </c>
      <c r="T7862" s="1095">
        <v>-36.051782000000003</v>
      </c>
    </row>
    <row r="7863" spans="16:20">
      <c r="P7863" s="1094">
        <v>3730</v>
      </c>
      <c r="Q7863" t="s">
        <v>8599</v>
      </c>
      <c r="R7863" t="s">
        <v>616</v>
      </c>
      <c r="S7863">
        <v>145.97475499999999</v>
      </c>
      <c r="T7863" s="1095">
        <v>-36.051782000000003</v>
      </c>
    </row>
    <row r="7864" spans="16:20">
      <c r="P7864" s="1094">
        <v>3730</v>
      </c>
      <c r="Q7864" t="s">
        <v>1525</v>
      </c>
      <c r="R7864" t="s">
        <v>616</v>
      </c>
      <c r="S7864">
        <v>145.97475499999999</v>
      </c>
      <c r="T7864" s="1095">
        <v>-36.051782000000003</v>
      </c>
    </row>
    <row r="7865" spans="16:20">
      <c r="P7865" s="1094">
        <v>3730</v>
      </c>
      <c r="Q7865" t="s">
        <v>8600</v>
      </c>
      <c r="R7865" t="s">
        <v>616</v>
      </c>
      <c r="S7865">
        <v>145.97475499999999</v>
      </c>
      <c r="T7865" s="1095">
        <v>-36.051782000000003</v>
      </c>
    </row>
    <row r="7866" spans="16:20">
      <c r="P7866" s="1094">
        <v>3732</v>
      </c>
      <c r="Q7866" t="s">
        <v>8601</v>
      </c>
      <c r="R7866" t="s">
        <v>616</v>
      </c>
      <c r="S7866">
        <v>146.313751</v>
      </c>
      <c r="T7866" s="1095">
        <v>-36.686813999999998</v>
      </c>
    </row>
    <row r="7867" spans="16:20">
      <c r="P7867" s="1094">
        <v>3732</v>
      </c>
      <c r="Q7867" t="s">
        <v>8602</v>
      </c>
      <c r="R7867" t="s">
        <v>616</v>
      </c>
      <c r="S7867">
        <v>146.313751</v>
      </c>
      <c r="T7867" s="1095">
        <v>-36.686813999999998</v>
      </c>
    </row>
    <row r="7868" spans="16:20">
      <c r="P7868" s="1094">
        <v>3733</v>
      </c>
      <c r="Q7868" t="s">
        <v>8603</v>
      </c>
      <c r="R7868" t="s">
        <v>616</v>
      </c>
      <c r="S7868">
        <v>146.316338</v>
      </c>
      <c r="T7868" s="1095">
        <v>-36.812086999999998</v>
      </c>
    </row>
    <row r="7869" spans="16:20">
      <c r="P7869" s="1094">
        <v>3735</v>
      </c>
      <c r="Q7869" t="s">
        <v>8604</v>
      </c>
      <c r="R7869" t="s">
        <v>616</v>
      </c>
      <c r="S7869">
        <v>146.60357400000001</v>
      </c>
      <c r="T7869" s="1095">
        <v>-36.515712000000001</v>
      </c>
    </row>
    <row r="7870" spans="16:20">
      <c r="P7870" s="1094">
        <v>3735</v>
      </c>
      <c r="Q7870" t="s">
        <v>8605</v>
      </c>
      <c r="R7870" t="s">
        <v>616</v>
      </c>
      <c r="S7870">
        <v>146.60357400000001</v>
      </c>
      <c r="T7870" s="1095">
        <v>-36.515712000000001</v>
      </c>
    </row>
    <row r="7871" spans="16:20">
      <c r="P7871" s="1094">
        <v>3735</v>
      </c>
      <c r="Q7871" t="s">
        <v>8606</v>
      </c>
      <c r="R7871" t="s">
        <v>616</v>
      </c>
      <c r="S7871">
        <v>146.60357400000001</v>
      </c>
      <c r="T7871" s="1095">
        <v>-36.515712000000001</v>
      </c>
    </row>
    <row r="7872" spans="16:20">
      <c r="P7872" s="1094">
        <v>3735</v>
      </c>
      <c r="Q7872" t="s">
        <v>8607</v>
      </c>
      <c r="R7872" t="s">
        <v>616</v>
      </c>
      <c r="S7872">
        <v>146.60357400000001</v>
      </c>
      <c r="T7872" s="1095">
        <v>-36.515712000000001</v>
      </c>
    </row>
    <row r="7873" spans="16:20">
      <c r="P7873" s="1094">
        <v>3736</v>
      </c>
      <c r="Q7873" t="s">
        <v>8608</v>
      </c>
      <c r="R7873" t="s">
        <v>616</v>
      </c>
      <c r="S7873">
        <v>0</v>
      </c>
      <c r="T7873" s="1095">
        <v>0</v>
      </c>
    </row>
    <row r="7874" spans="16:20">
      <c r="P7874" s="1094">
        <v>3737</v>
      </c>
      <c r="Q7874" t="s">
        <v>8609</v>
      </c>
      <c r="R7874" t="s">
        <v>616</v>
      </c>
      <c r="S7874">
        <v>146.82758999999999</v>
      </c>
      <c r="T7874" s="1095">
        <v>-36.554037000000001</v>
      </c>
    </row>
    <row r="7875" spans="16:20">
      <c r="P7875" s="1094">
        <v>3737</v>
      </c>
      <c r="Q7875" t="s">
        <v>8610</v>
      </c>
      <c r="R7875" t="s">
        <v>616</v>
      </c>
      <c r="S7875">
        <v>146.82758999999999</v>
      </c>
      <c r="T7875" s="1095">
        <v>-36.554037000000001</v>
      </c>
    </row>
    <row r="7876" spans="16:20">
      <c r="P7876" s="1094">
        <v>3737</v>
      </c>
      <c r="Q7876" t="s">
        <v>8611</v>
      </c>
      <c r="R7876" t="s">
        <v>616</v>
      </c>
      <c r="S7876">
        <v>146.82758999999999</v>
      </c>
      <c r="T7876" s="1095">
        <v>-36.554037000000001</v>
      </c>
    </row>
    <row r="7877" spans="16:20">
      <c r="P7877" s="1094">
        <v>3737</v>
      </c>
      <c r="Q7877" t="s">
        <v>8612</v>
      </c>
      <c r="R7877" t="s">
        <v>616</v>
      </c>
      <c r="S7877">
        <v>146.82758999999999</v>
      </c>
      <c r="T7877" s="1095">
        <v>-36.554037000000001</v>
      </c>
    </row>
    <row r="7878" spans="16:20">
      <c r="P7878" s="1094">
        <v>3737</v>
      </c>
      <c r="Q7878" t="s">
        <v>8613</v>
      </c>
      <c r="R7878" t="s">
        <v>616</v>
      </c>
      <c r="S7878">
        <v>146.82758999999999</v>
      </c>
      <c r="T7878" s="1095">
        <v>-36.554037000000001</v>
      </c>
    </row>
    <row r="7879" spans="16:20">
      <c r="P7879" s="1094">
        <v>3737</v>
      </c>
      <c r="Q7879" t="s">
        <v>8614</v>
      </c>
      <c r="R7879" t="s">
        <v>616</v>
      </c>
      <c r="S7879">
        <v>146.82758999999999</v>
      </c>
      <c r="T7879" s="1095">
        <v>-36.554037000000001</v>
      </c>
    </row>
    <row r="7880" spans="16:20">
      <c r="P7880" s="1094">
        <v>3737</v>
      </c>
      <c r="Q7880" t="s">
        <v>8615</v>
      </c>
      <c r="R7880" t="s">
        <v>616</v>
      </c>
      <c r="S7880">
        <v>146.82758999999999</v>
      </c>
      <c r="T7880" s="1095">
        <v>-36.554037000000001</v>
      </c>
    </row>
    <row r="7881" spans="16:20">
      <c r="P7881" s="1094">
        <v>3737</v>
      </c>
      <c r="Q7881" t="s">
        <v>8616</v>
      </c>
      <c r="R7881" t="s">
        <v>616</v>
      </c>
      <c r="S7881">
        <v>146.82758999999999</v>
      </c>
      <c r="T7881" s="1095">
        <v>-36.554037000000001</v>
      </c>
    </row>
    <row r="7882" spans="16:20">
      <c r="P7882" s="1094">
        <v>3737</v>
      </c>
      <c r="Q7882" t="s">
        <v>8617</v>
      </c>
      <c r="R7882" t="s">
        <v>616</v>
      </c>
      <c r="S7882">
        <v>146.82758999999999</v>
      </c>
      <c r="T7882" s="1095">
        <v>-36.554037000000001</v>
      </c>
    </row>
    <row r="7883" spans="16:20">
      <c r="P7883" s="1094">
        <v>3737</v>
      </c>
      <c r="Q7883" t="s">
        <v>8608</v>
      </c>
      <c r="R7883" t="s">
        <v>616</v>
      </c>
      <c r="S7883">
        <v>146.82758999999999</v>
      </c>
      <c r="T7883" s="1095">
        <v>-36.554037000000001</v>
      </c>
    </row>
    <row r="7884" spans="16:20">
      <c r="P7884" s="1094">
        <v>3737</v>
      </c>
      <c r="Q7884" t="s">
        <v>8618</v>
      </c>
      <c r="R7884" t="s">
        <v>616</v>
      </c>
      <c r="S7884">
        <v>146.82758999999999</v>
      </c>
      <c r="T7884" s="1095">
        <v>-36.554037000000001</v>
      </c>
    </row>
    <row r="7885" spans="16:20">
      <c r="P7885" s="1094">
        <v>3737</v>
      </c>
      <c r="Q7885" t="s">
        <v>8619</v>
      </c>
      <c r="R7885" t="s">
        <v>616</v>
      </c>
      <c r="S7885">
        <v>146.82758999999999</v>
      </c>
      <c r="T7885" s="1095">
        <v>-36.554037000000001</v>
      </c>
    </row>
    <row r="7886" spans="16:20">
      <c r="P7886" s="1094">
        <v>3738</v>
      </c>
      <c r="Q7886" t="s">
        <v>8620</v>
      </c>
      <c r="R7886" t="s">
        <v>616</v>
      </c>
      <c r="S7886">
        <v>146.75397000000001</v>
      </c>
      <c r="T7886" s="1095">
        <v>-36.587921999999999</v>
      </c>
    </row>
    <row r="7887" spans="16:20">
      <c r="P7887" s="1094">
        <v>3739</v>
      </c>
      <c r="Q7887" t="s">
        <v>8621</v>
      </c>
      <c r="R7887" t="s">
        <v>616</v>
      </c>
      <c r="S7887">
        <v>146.864194</v>
      </c>
      <c r="T7887" s="1095">
        <v>-36.641016</v>
      </c>
    </row>
    <row r="7888" spans="16:20">
      <c r="P7888" s="1094">
        <v>3740</v>
      </c>
      <c r="Q7888" t="s">
        <v>8622</v>
      </c>
      <c r="R7888" t="s">
        <v>616</v>
      </c>
      <c r="S7888">
        <v>146.83456100000001</v>
      </c>
      <c r="T7888" s="1095">
        <v>-36.731686000000003</v>
      </c>
    </row>
    <row r="7889" spans="16:20">
      <c r="P7889" s="1094">
        <v>3740</v>
      </c>
      <c r="Q7889" t="s">
        <v>8623</v>
      </c>
      <c r="R7889" t="s">
        <v>616</v>
      </c>
      <c r="S7889">
        <v>146.83456100000001</v>
      </c>
      <c r="T7889" s="1095">
        <v>-36.731686000000003</v>
      </c>
    </row>
    <row r="7890" spans="16:20">
      <c r="P7890" s="1094">
        <v>3740</v>
      </c>
      <c r="Q7890" t="s">
        <v>8624</v>
      </c>
      <c r="R7890" t="s">
        <v>616</v>
      </c>
      <c r="S7890">
        <v>146.83456100000001</v>
      </c>
      <c r="T7890" s="1095">
        <v>-36.731686000000003</v>
      </c>
    </row>
    <row r="7891" spans="16:20">
      <c r="P7891" s="1094">
        <v>3741</v>
      </c>
      <c r="Q7891" t="s">
        <v>8625</v>
      </c>
      <c r="R7891" t="s">
        <v>616</v>
      </c>
      <c r="S7891">
        <v>147.063163</v>
      </c>
      <c r="T7891" s="1095">
        <v>-36.962316000000001</v>
      </c>
    </row>
    <row r="7892" spans="16:20">
      <c r="P7892" s="1094">
        <v>3741</v>
      </c>
      <c r="Q7892" t="s">
        <v>8626</v>
      </c>
      <c r="R7892" t="s">
        <v>616</v>
      </c>
      <c r="S7892">
        <v>147.063163</v>
      </c>
      <c r="T7892" s="1095">
        <v>-36.962316000000001</v>
      </c>
    </row>
    <row r="7893" spans="16:20">
      <c r="P7893" s="1094">
        <v>3741</v>
      </c>
      <c r="Q7893" t="s">
        <v>8627</v>
      </c>
      <c r="R7893" t="s">
        <v>616</v>
      </c>
      <c r="S7893">
        <v>147.063163</v>
      </c>
      <c r="T7893" s="1095">
        <v>-36.962316000000001</v>
      </c>
    </row>
    <row r="7894" spans="16:20">
      <c r="P7894" s="1094">
        <v>3741</v>
      </c>
      <c r="Q7894" t="s">
        <v>8628</v>
      </c>
      <c r="R7894" t="s">
        <v>616</v>
      </c>
      <c r="S7894">
        <v>147.063163</v>
      </c>
      <c r="T7894" s="1095">
        <v>-36.962316000000001</v>
      </c>
    </row>
    <row r="7895" spans="16:20">
      <c r="P7895" s="1094">
        <v>3741</v>
      </c>
      <c r="Q7895" t="s">
        <v>8629</v>
      </c>
      <c r="R7895" t="s">
        <v>616</v>
      </c>
      <c r="S7895">
        <v>147.063163</v>
      </c>
      <c r="T7895" s="1095">
        <v>-36.962316000000001</v>
      </c>
    </row>
    <row r="7896" spans="16:20">
      <c r="P7896" s="1094">
        <v>3741</v>
      </c>
      <c r="Q7896" t="s">
        <v>8630</v>
      </c>
      <c r="R7896" t="s">
        <v>616</v>
      </c>
      <c r="S7896">
        <v>147.063163</v>
      </c>
      <c r="T7896" s="1095">
        <v>-36.962316000000001</v>
      </c>
    </row>
    <row r="7897" spans="16:20">
      <c r="P7897" s="1094">
        <v>3741</v>
      </c>
      <c r="Q7897" t="s">
        <v>8631</v>
      </c>
      <c r="R7897" t="s">
        <v>616</v>
      </c>
      <c r="S7897">
        <v>147.063163</v>
      </c>
      <c r="T7897" s="1095">
        <v>-36.962316000000001</v>
      </c>
    </row>
    <row r="7898" spans="16:20">
      <c r="P7898" s="1094">
        <v>3744</v>
      </c>
      <c r="Q7898" t="s">
        <v>8632</v>
      </c>
      <c r="R7898" t="s">
        <v>616</v>
      </c>
      <c r="S7898">
        <v>146.95979</v>
      </c>
      <c r="T7898" s="1095">
        <v>-36.788479000000002</v>
      </c>
    </row>
    <row r="7899" spans="16:20">
      <c r="P7899" s="1094">
        <v>3746</v>
      </c>
      <c r="Q7899" t="s">
        <v>8633</v>
      </c>
      <c r="R7899" t="s">
        <v>616</v>
      </c>
      <c r="S7899">
        <v>146.51767000000001</v>
      </c>
      <c r="T7899" s="1095">
        <v>-36.313960000000002</v>
      </c>
    </row>
    <row r="7900" spans="16:20">
      <c r="P7900" s="1094">
        <v>3747</v>
      </c>
      <c r="Q7900" t="s">
        <v>8634</v>
      </c>
      <c r="R7900" t="s">
        <v>616</v>
      </c>
      <c r="S7900">
        <v>146.725705</v>
      </c>
      <c r="T7900" s="1095">
        <v>-36.361055999999998</v>
      </c>
    </row>
    <row r="7901" spans="16:20">
      <c r="P7901" s="1094">
        <v>3747</v>
      </c>
      <c r="Q7901" t="s">
        <v>8635</v>
      </c>
      <c r="R7901" t="s">
        <v>616</v>
      </c>
      <c r="S7901">
        <v>146.725705</v>
      </c>
      <c r="T7901" s="1095">
        <v>-36.361055999999998</v>
      </c>
    </row>
    <row r="7902" spans="16:20">
      <c r="P7902" s="1094">
        <v>3747</v>
      </c>
      <c r="Q7902" t="s">
        <v>8636</v>
      </c>
      <c r="R7902" t="s">
        <v>616</v>
      </c>
      <c r="S7902">
        <v>146.725705</v>
      </c>
      <c r="T7902" s="1095">
        <v>-36.361055999999998</v>
      </c>
    </row>
    <row r="7903" spans="16:20">
      <c r="P7903" s="1094">
        <v>3747</v>
      </c>
      <c r="Q7903" t="s">
        <v>8637</v>
      </c>
      <c r="R7903" t="s">
        <v>616</v>
      </c>
      <c r="S7903">
        <v>146.725705</v>
      </c>
      <c r="T7903" s="1095">
        <v>-36.361055999999998</v>
      </c>
    </row>
    <row r="7904" spans="16:20">
      <c r="P7904" s="1094">
        <v>3747</v>
      </c>
      <c r="Q7904" t="s">
        <v>8638</v>
      </c>
      <c r="R7904" t="s">
        <v>616</v>
      </c>
      <c r="S7904">
        <v>146.725705</v>
      </c>
      <c r="T7904" s="1095">
        <v>-36.361055999999998</v>
      </c>
    </row>
    <row r="7905" spans="16:20">
      <c r="P7905" s="1094">
        <v>3747</v>
      </c>
      <c r="Q7905" t="s">
        <v>8639</v>
      </c>
      <c r="R7905" t="s">
        <v>616</v>
      </c>
      <c r="S7905">
        <v>146.725705</v>
      </c>
      <c r="T7905" s="1095">
        <v>-36.361055999999998</v>
      </c>
    </row>
    <row r="7906" spans="16:20">
      <c r="P7906" s="1094">
        <v>3747</v>
      </c>
      <c r="Q7906" t="s">
        <v>8640</v>
      </c>
      <c r="R7906" t="s">
        <v>616</v>
      </c>
      <c r="S7906">
        <v>146.725705</v>
      </c>
      <c r="T7906" s="1095">
        <v>-36.361055999999998</v>
      </c>
    </row>
    <row r="7907" spans="16:20">
      <c r="P7907" s="1094">
        <v>3747</v>
      </c>
      <c r="Q7907" t="s">
        <v>8641</v>
      </c>
      <c r="R7907" t="s">
        <v>616</v>
      </c>
      <c r="S7907">
        <v>146.725705</v>
      </c>
      <c r="T7907" s="1095">
        <v>-36.361055999999998</v>
      </c>
    </row>
    <row r="7908" spans="16:20">
      <c r="P7908" s="1094">
        <v>3749</v>
      </c>
      <c r="Q7908" t="s">
        <v>8642</v>
      </c>
      <c r="R7908" t="s">
        <v>616</v>
      </c>
      <c r="S7908">
        <v>146.84207499999999</v>
      </c>
      <c r="T7908" s="1095">
        <v>-36.357399000000001</v>
      </c>
    </row>
    <row r="7909" spans="16:20">
      <c r="P7909" s="1094">
        <v>3750</v>
      </c>
      <c r="Q7909" t="s">
        <v>8643</v>
      </c>
      <c r="R7909" t="s">
        <v>616</v>
      </c>
      <c r="S7909">
        <v>145.00557800000001</v>
      </c>
      <c r="T7909" s="1095">
        <v>-37.596077999999999</v>
      </c>
    </row>
    <row r="7910" spans="16:20">
      <c r="P7910" s="1094">
        <v>3751</v>
      </c>
      <c r="Q7910" t="s">
        <v>4327</v>
      </c>
      <c r="R7910" t="s">
        <v>616</v>
      </c>
      <c r="S7910">
        <v>145.05290400000001</v>
      </c>
      <c r="T7910" s="1095">
        <v>-37.554654999999997</v>
      </c>
    </row>
    <row r="7911" spans="16:20">
      <c r="P7911" s="1094">
        <v>3752</v>
      </c>
      <c r="Q7911" t="s">
        <v>8644</v>
      </c>
      <c r="R7911" t="s">
        <v>616</v>
      </c>
      <c r="S7911">
        <v>145.074353</v>
      </c>
      <c r="T7911" s="1095">
        <v>-37.619101999999998</v>
      </c>
    </row>
    <row r="7912" spans="16:20">
      <c r="P7912" s="1094">
        <v>3752</v>
      </c>
      <c r="Q7912" t="s">
        <v>8645</v>
      </c>
      <c r="R7912" t="s">
        <v>616</v>
      </c>
      <c r="S7912">
        <v>145.074353</v>
      </c>
      <c r="T7912" s="1095">
        <v>-37.619101999999998</v>
      </c>
    </row>
    <row r="7913" spans="16:20">
      <c r="P7913" s="1094">
        <v>3753</v>
      </c>
      <c r="Q7913" t="s">
        <v>8646</v>
      </c>
      <c r="R7913" t="s">
        <v>616</v>
      </c>
      <c r="S7913">
        <v>144.95951199999999</v>
      </c>
      <c r="T7913" s="1095">
        <v>-37.476474000000003</v>
      </c>
    </row>
    <row r="7914" spans="16:20">
      <c r="P7914" s="1094">
        <v>3754</v>
      </c>
      <c r="Q7914" t="s">
        <v>8647</v>
      </c>
      <c r="R7914" t="s">
        <v>616</v>
      </c>
      <c r="S7914">
        <v>145.11298500000001</v>
      </c>
      <c r="T7914" s="1095">
        <v>-37.593553999999997</v>
      </c>
    </row>
    <row r="7915" spans="16:20">
      <c r="P7915" s="1094">
        <v>3754</v>
      </c>
      <c r="Q7915" t="s">
        <v>8648</v>
      </c>
      <c r="R7915" t="s">
        <v>616</v>
      </c>
      <c r="S7915">
        <v>145.11298500000001</v>
      </c>
      <c r="T7915" s="1095">
        <v>-37.593553999999997</v>
      </c>
    </row>
    <row r="7916" spans="16:20">
      <c r="P7916" s="1094">
        <v>3755</v>
      </c>
      <c r="Q7916" t="s">
        <v>8649</v>
      </c>
      <c r="R7916" t="s">
        <v>616</v>
      </c>
      <c r="S7916">
        <v>145.14203499999999</v>
      </c>
      <c r="T7916" s="1095">
        <v>-37.563904999999998</v>
      </c>
    </row>
    <row r="7917" spans="16:20">
      <c r="P7917" s="1094">
        <v>3756</v>
      </c>
      <c r="Q7917" t="s">
        <v>8650</v>
      </c>
      <c r="R7917" t="s">
        <v>616</v>
      </c>
      <c r="S7917">
        <v>144.95664099999999</v>
      </c>
      <c r="T7917" s="1095">
        <v>-37.412329999999997</v>
      </c>
    </row>
    <row r="7918" spans="16:20">
      <c r="P7918" s="1094">
        <v>3756</v>
      </c>
      <c r="Q7918" t="s">
        <v>8651</v>
      </c>
      <c r="R7918" t="s">
        <v>616</v>
      </c>
      <c r="S7918">
        <v>144.95664099999999</v>
      </c>
      <c r="T7918" s="1095">
        <v>-37.412329999999997</v>
      </c>
    </row>
    <row r="7919" spans="16:20">
      <c r="P7919" s="1094">
        <v>3756</v>
      </c>
      <c r="Q7919" t="s">
        <v>8652</v>
      </c>
      <c r="R7919" t="s">
        <v>616</v>
      </c>
      <c r="S7919">
        <v>144.95664099999999</v>
      </c>
      <c r="T7919" s="1095">
        <v>-37.412329999999997</v>
      </c>
    </row>
    <row r="7920" spans="16:20">
      <c r="P7920" s="1094">
        <v>3756</v>
      </c>
      <c r="Q7920" t="s">
        <v>8653</v>
      </c>
      <c r="R7920" t="s">
        <v>616</v>
      </c>
      <c r="S7920">
        <v>144.95664099999999</v>
      </c>
      <c r="T7920" s="1095">
        <v>-37.412329999999997</v>
      </c>
    </row>
    <row r="7921" spans="16:20">
      <c r="P7921" s="1094">
        <v>3756</v>
      </c>
      <c r="Q7921" t="s">
        <v>8654</v>
      </c>
      <c r="R7921" t="s">
        <v>616</v>
      </c>
      <c r="S7921">
        <v>144.95664099999999</v>
      </c>
      <c r="T7921" s="1095">
        <v>-37.412329999999997</v>
      </c>
    </row>
    <row r="7922" spans="16:20">
      <c r="P7922" s="1094">
        <v>3756</v>
      </c>
      <c r="Q7922" t="s">
        <v>8655</v>
      </c>
      <c r="R7922" t="s">
        <v>616</v>
      </c>
      <c r="S7922">
        <v>144.95664099999999</v>
      </c>
      <c r="T7922" s="1095">
        <v>-37.412329999999997</v>
      </c>
    </row>
    <row r="7923" spans="16:20">
      <c r="P7923" s="1094">
        <v>3757</v>
      </c>
      <c r="Q7923" t="s">
        <v>8656</v>
      </c>
      <c r="R7923" t="s">
        <v>616</v>
      </c>
      <c r="S7923">
        <v>145.182221</v>
      </c>
      <c r="T7923" s="1095">
        <v>-37.469783999999997</v>
      </c>
    </row>
    <row r="7924" spans="16:20">
      <c r="P7924" s="1094">
        <v>3757</v>
      </c>
      <c r="Q7924" t="s">
        <v>8657</v>
      </c>
      <c r="R7924" t="s">
        <v>616</v>
      </c>
      <c r="S7924">
        <v>145.182221</v>
      </c>
      <c r="T7924" s="1095">
        <v>-37.469783999999997</v>
      </c>
    </row>
    <row r="7925" spans="16:20">
      <c r="P7925" s="1094">
        <v>3757</v>
      </c>
      <c r="Q7925" t="s">
        <v>8658</v>
      </c>
      <c r="R7925" t="s">
        <v>616</v>
      </c>
      <c r="S7925">
        <v>145.182221</v>
      </c>
      <c r="T7925" s="1095">
        <v>-37.469783999999997</v>
      </c>
    </row>
    <row r="7926" spans="16:20">
      <c r="P7926" s="1094">
        <v>3757</v>
      </c>
      <c r="Q7926" t="s">
        <v>8659</v>
      </c>
      <c r="R7926" t="s">
        <v>616</v>
      </c>
      <c r="S7926">
        <v>145.182221</v>
      </c>
      <c r="T7926" s="1095">
        <v>-37.469783999999997</v>
      </c>
    </row>
    <row r="7927" spans="16:20">
      <c r="P7927" s="1094">
        <v>3757</v>
      </c>
      <c r="Q7927" t="s">
        <v>8660</v>
      </c>
      <c r="R7927" t="s">
        <v>616</v>
      </c>
      <c r="S7927">
        <v>145.182221</v>
      </c>
      <c r="T7927" s="1095">
        <v>-37.469783999999997</v>
      </c>
    </row>
    <row r="7928" spans="16:20">
      <c r="P7928" s="1094">
        <v>3757</v>
      </c>
      <c r="Q7928" t="s">
        <v>8661</v>
      </c>
      <c r="R7928" t="s">
        <v>616</v>
      </c>
      <c r="S7928">
        <v>145.182221</v>
      </c>
      <c r="T7928" s="1095">
        <v>-37.469783999999997</v>
      </c>
    </row>
    <row r="7929" spans="16:20">
      <c r="P7929" s="1094">
        <v>3757</v>
      </c>
      <c r="Q7929" t="s">
        <v>8662</v>
      </c>
      <c r="R7929" t="s">
        <v>616</v>
      </c>
      <c r="S7929">
        <v>145.182221</v>
      </c>
      <c r="T7929" s="1095">
        <v>-37.469783999999997</v>
      </c>
    </row>
    <row r="7930" spans="16:20">
      <c r="P7930" s="1094">
        <v>3758</v>
      </c>
      <c r="Q7930" t="s">
        <v>8663</v>
      </c>
      <c r="R7930" t="s">
        <v>616</v>
      </c>
      <c r="S7930">
        <v>145.05255199999999</v>
      </c>
      <c r="T7930" s="1095">
        <v>-37.354647</v>
      </c>
    </row>
    <row r="7931" spans="16:20">
      <c r="P7931" s="1094">
        <v>3758</v>
      </c>
      <c r="Q7931" t="s">
        <v>8664</v>
      </c>
      <c r="R7931" t="s">
        <v>616</v>
      </c>
      <c r="S7931">
        <v>145.05255199999999</v>
      </c>
      <c r="T7931" s="1095">
        <v>-37.354647</v>
      </c>
    </row>
    <row r="7932" spans="16:20">
      <c r="P7932" s="1094">
        <v>3759</v>
      </c>
      <c r="Q7932" t="s">
        <v>8665</v>
      </c>
      <c r="R7932" t="s">
        <v>616</v>
      </c>
      <c r="S7932">
        <v>145.247277</v>
      </c>
      <c r="T7932" s="1095">
        <v>-37.650385</v>
      </c>
    </row>
    <row r="7933" spans="16:20">
      <c r="P7933" s="1094">
        <v>3760</v>
      </c>
      <c r="Q7933" t="s">
        <v>8666</v>
      </c>
      <c r="R7933" t="s">
        <v>616</v>
      </c>
      <c r="S7933">
        <v>145.288073</v>
      </c>
      <c r="T7933" s="1095">
        <v>-37.624929000000002</v>
      </c>
    </row>
    <row r="7934" spans="16:20">
      <c r="P7934" s="1094">
        <v>3761</v>
      </c>
      <c r="Q7934" t="s">
        <v>4541</v>
      </c>
      <c r="R7934" t="s">
        <v>616</v>
      </c>
      <c r="S7934">
        <v>145.29238100000001</v>
      </c>
      <c r="T7934" s="1095">
        <v>-37.585625</v>
      </c>
    </row>
    <row r="7935" spans="16:20">
      <c r="P7935" s="1094">
        <v>3762</v>
      </c>
      <c r="Q7935" t="s">
        <v>8667</v>
      </c>
      <c r="R7935" t="s">
        <v>616</v>
      </c>
      <c r="S7935">
        <v>144.93670700000001</v>
      </c>
      <c r="T7935" s="1095">
        <v>-37.354143000000001</v>
      </c>
    </row>
    <row r="7936" spans="16:20">
      <c r="P7936" s="1094">
        <v>3763</v>
      </c>
      <c r="Q7936" t="s">
        <v>8668</v>
      </c>
      <c r="R7936" t="s">
        <v>616</v>
      </c>
      <c r="S7936">
        <v>145.35337799999999</v>
      </c>
      <c r="T7936" s="1095">
        <v>-37.521863000000003</v>
      </c>
    </row>
    <row r="7937" spans="16:20">
      <c r="P7937" s="1094">
        <v>3763</v>
      </c>
      <c r="Q7937" t="s">
        <v>8669</v>
      </c>
      <c r="R7937" t="s">
        <v>616</v>
      </c>
      <c r="S7937">
        <v>145.35337799999999</v>
      </c>
      <c r="T7937" s="1095">
        <v>-37.521863000000003</v>
      </c>
    </row>
    <row r="7938" spans="16:20">
      <c r="P7938" s="1094">
        <v>3764</v>
      </c>
      <c r="Q7938" t="s">
        <v>6270</v>
      </c>
      <c r="R7938" t="s">
        <v>616</v>
      </c>
      <c r="S7938">
        <v>144.900644</v>
      </c>
      <c r="T7938" s="1095">
        <v>-37.263736000000002</v>
      </c>
    </row>
    <row r="7939" spans="16:20">
      <c r="P7939" s="1094">
        <v>3764</v>
      </c>
      <c r="Q7939" t="s">
        <v>8670</v>
      </c>
      <c r="R7939" t="s">
        <v>616</v>
      </c>
      <c r="S7939">
        <v>144.900644</v>
      </c>
      <c r="T7939" s="1095">
        <v>-37.263736000000002</v>
      </c>
    </row>
    <row r="7940" spans="16:20">
      <c r="P7940" s="1094">
        <v>3764</v>
      </c>
      <c r="Q7940" t="s">
        <v>8671</v>
      </c>
      <c r="R7940" t="s">
        <v>616</v>
      </c>
      <c r="S7940">
        <v>144.900644</v>
      </c>
      <c r="T7940" s="1095">
        <v>-37.263736000000002</v>
      </c>
    </row>
    <row r="7941" spans="16:20">
      <c r="P7941" s="1094">
        <v>3764</v>
      </c>
      <c r="Q7941" t="s">
        <v>8672</v>
      </c>
      <c r="R7941" t="s">
        <v>616</v>
      </c>
      <c r="S7941">
        <v>144.900644</v>
      </c>
      <c r="T7941" s="1095">
        <v>-37.263736000000002</v>
      </c>
    </row>
    <row r="7942" spans="16:20">
      <c r="P7942" s="1094">
        <v>3764</v>
      </c>
      <c r="Q7942" t="s">
        <v>8673</v>
      </c>
      <c r="R7942" t="s">
        <v>616</v>
      </c>
      <c r="S7942">
        <v>144.900644</v>
      </c>
      <c r="T7942" s="1095">
        <v>-37.263736000000002</v>
      </c>
    </row>
    <row r="7943" spans="16:20">
      <c r="P7943" s="1094">
        <v>3764</v>
      </c>
      <c r="Q7943" t="s">
        <v>8674</v>
      </c>
      <c r="R7943" t="s">
        <v>616</v>
      </c>
      <c r="S7943">
        <v>144.900644</v>
      </c>
      <c r="T7943" s="1095">
        <v>-37.263736000000002</v>
      </c>
    </row>
    <row r="7944" spans="16:20">
      <c r="P7944" s="1094">
        <v>3764</v>
      </c>
      <c r="Q7944" t="s">
        <v>8675</v>
      </c>
      <c r="R7944" t="s">
        <v>616</v>
      </c>
      <c r="S7944">
        <v>144.900644</v>
      </c>
      <c r="T7944" s="1095">
        <v>-37.263736000000002</v>
      </c>
    </row>
    <row r="7945" spans="16:20">
      <c r="P7945" s="1094">
        <v>3764</v>
      </c>
      <c r="Q7945" t="s">
        <v>8676</v>
      </c>
      <c r="R7945" t="s">
        <v>616</v>
      </c>
      <c r="S7945">
        <v>144.900644</v>
      </c>
      <c r="T7945" s="1095">
        <v>-37.263736000000002</v>
      </c>
    </row>
    <row r="7946" spans="16:20">
      <c r="P7946" s="1094">
        <v>3765</v>
      </c>
      <c r="Q7946" t="s">
        <v>8677</v>
      </c>
      <c r="R7946" t="s">
        <v>616</v>
      </c>
      <c r="S7946">
        <v>145.346621</v>
      </c>
      <c r="T7946" s="1095">
        <v>-37.814771</v>
      </c>
    </row>
    <row r="7947" spans="16:20">
      <c r="P7947" s="1094">
        <v>3766</v>
      </c>
      <c r="Q7947" t="s">
        <v>8678</v>
      </c>
      <c r="R7947" t="s">
        <v>616</v>
      </c>
      <c r="S7947">
        <v>145.38495499999999</v>
      </c>
      <c r="T7947" s="1095">
        <v>-37.817818000000003</v>
      </c>
    </row>
    <row r="7948" spans="16:20">
      <c r="P7948" s="1094">
        <v>3767</v>
      </c>
      <c r="Q7948" t="s">
        <v>8679</v>
      </c>
      <c r="R7948" t="s">
        <v>616</v>
      </c>
      <c r="S7948">
        <v>145.34750500000001</v>
      </c>
      <c r="T7948" s="1095">
        <v>-37.839387000000002</v>
      </c>
    </row>
    <row r="7949" spans="16:20">
      <c r="P7949" s="1094">
        <v>3770</v>
      </c>
      <c r="Q7949" t="s">
        <v>3770</v>
      </c>
      <c r="R7949" t="s">
        <v>616</v>
      </c>
      <c r="S7949">
        <v>145.41600399999999</v>
      </c>
      <c r="T7949" s="1095">
        <v>-37.708784000000001</v>
      </c>
    </row>
    <row r="7950" spans="16:20">
      <c r="P7950" s="1094">
        <v>3770</v>
      </c>
      <c r="Q7950" t="s">
        <v>8680</v>
      </c>
      <c r="R7950" t="s">
        <v>616</v>
      </c>
      <c r="S7950">
        <v>145.41600399999999</v>
      </c>
      <c r="T7950" s="1095">
        <v>-37.708784000000001</v>
      </c>
    </row>
    <row r="7951" spans="16:20">
      <c r="P7951" s="1094">
        <v>3770</v>
      </c>
      <c r="Q7951" t="s">
        <v>8681</v>
      </c>
      <c r="R7951" t="s">
        <v>616</v>
      </c>
      <c r="S7951">
        <v>145.41600399999999</v>
      </c>
      <c r="T7951" s="1095">
        <v>-37.708784000000001</v>
      </c>
    </row>
    <row r="7952" spans="16:20">
      <c r="P7952" s="1094">
        <v>3775</v>
      </c>
      <c r="Q7952" t="s">
        <v>8682</v>
      </c>
      <c r="R7952" t="s">
        <v>616</v>
      </c>
      <c r="S7952">
        <v>145.365993</v>
      </c>
      <c r="T7952" s="1095">
        <v>-37.642851999999998</v>
      </c>
    </row>
    <row r="7953" spans="16:20">
      <c r="P7953" s="1094">
        <v>3775</v>
      </c>
      <c r="Q7953" t="s">
        <v>8683</v>
      </c>
      <c r="R7953" t="s">
        <v>616</v>
      </c>
      <c r="S7953">
        <v>145.365993</v>
      </c>
      <c r="T7953" s="1095">
        <v>-37.642851999999998</v>
      </c>
    </row>
    <row r="7954" spans="16:20">
      <c r="P7954" s="1094">
        <v>3775</v>
      </c>
      <c r="Q7954" t="s">
        <v>8684</v>
      </c>
      <c r="R7954" t="s">
        <v>616</v>
      </c>
      <c r="S7954">
        <v>145.365993</v>
      </c>
      <c r="T7954" s="1095">
        <v>-37.642851999999998</v>
      </c>
    </row>
    <row r="7955" spans="16:20">
      <c r="P7955" s="1094">
        <v>3775</v>
      </c>
      <c r="Q7955" t="s">
        <v>8685</v>
      </c>
      <c r="R7955" t="s">
        <v>616</v>
      </c>
      <c r="S7955">
        <v>145.365993</v>
      </c>
      <c r="T7955" s="1095">
        <v>-37.642851999999998</v>
      </c>
    </row>
    <row r="7956" spans="16:20">
      <c r="P7956" s="1094">
        <v>3775</v>
      </c>
      <c r="Q7956" t="s">
        <v>8686</v>
      </c>
      <c r="R7956" t="s">
        <v>616</v>
      </c>
      <c r="S7956">
        <v>145.365993</v>
      </c>
      <c r="T7956" s="1095">
        <v>-37.642851999999998</v>
      </c>
    </row>
    <row r="7957" spans="16:20">
      <c r="P7957" s="1094">
        <v>3777</v>
      </c>
      <c r="Q7957" t="s">
        <v>8687</v>
      </c>
      <c r="R7957" t="s">
        <v>616</v>
      </c>
      <c r="S7957">
        <v>145.51380399999999</v>
      </c>
      <c r="T7957" s="1095">
        <v>-37.606088</v>
      </c>
    </row>
    <row r="7958" spans="16:20">
      <c r="P7958" s="1094">
        <v>3777</v>
      </c>
      <c r="Q7958" t="s">
        <v>8688</v>
      </c>
      <c r="R7958" t="s">
        <v>616</v>
      </c>
      <c r="S7958">
        <v>145.51380399999999</v>
      </c>
      <c r="T7958" s="1095">
        <v>-37.606088</v>
      </c>
    </row>
    <row r="7959" spans="16:20">
      <c r="P7959" s="1094">
        <v>3777</v>
      </c>
      <c r="Q7959" t="s">
        <v>8689</v>
      </c>
      <c r="R7959" t="s">
        <v>616</v>
      </c>
      <c r="S7959">
        <v>145.51380399999999</v>
      </c>
      <c r="T7959" s="1095">
        <v>-37.606088</v>
      </c>
    </row>
    <row r="7960" spans="16:20">
      <c r="P7960" s="1094">
        <v>3777</v>
      </c>
      <c r="Q7960" t="s">
        <v>8690</v>
      </c>
      <c r="R7960" t="s">
        <v>616</v>
      </c>
      <c r="S7960">
        <v>145.51380399999999</v>
      </c>
      <c r="T7960" s="1095">
        <v>-37.606088</v>
      </c>
    </row>
    <row r="7961" spans="16:20">
      <c r="P7961" s="1094">
        <v>3777</v>
      </c>
      <c r="Q7961" t="s">
        <v>8691</v>
      </c>
      <c r="R7961" t="s">
        <v>616</v>
      </c>
      <c r="S7961">
        <v>145.51380399999999</v>
      </c>
      <c r="T7961" s="1095">
        <v>-37.606088</v>
      </c>
    </row>
    <row r="7962" spans="16:20">
      <c r="P7962" s="1094">
        <v>3777</v>
      </c>
      <c r="Q7962" t="s">
        <v>8692</v>
      </c>
      <c r="R7962" t="s">
        <v>616</v>
      </c>
      <c r="S7962">
        <v>145.51380399999999</v>
      </c>
      <c r="T7962" s="1095">
        <v>-37.606088</v>
      </c>
    </row>
    <row r="7963" spans="16:20">
      <c r="P7963" s="1094">
        <v>3777</v>
      </c>
      <c r="Q7963" t="s">
        <v>8693</v>
      </c>
      <c r="R7963" t="s">
        <v>616</v>
      </c>
      <c r="S7963">
        <v>145.51380399999999</v>
      </c>
      <c r="T7963" s="1095">
        <v>-37.606088</v>
      </c>
    </row>
    <row r="7964" spans="16:20">
      <c r="P7964" s="1094">
        <v>3777</v>
      </c>
      <c r="Q7964" t="s">
        <v>8694</v>
      </c>
      <c r="R7964" t="s">
        <v>616</v>
      </c>
      <c r="S7964">
        <v>145.51380399999999</v>
      </c>
      <c r="T7964" s="1095">
        <v>-37.606088</v>
      </c>
    </row>
    <row r="7965" spans="16:20">
      <c r="P7965" s="1094">
        <v>3778</v>
      </c>
      <c r="Q7965" t="s">
        <v>8695</v>
      </c>
      <c r="R7965" t="s">
        <v>616</v>
      </c>
      <c r="S7965">
        <v>145.62301099999999</v>
      </c>
      <c r="T7965" s="1095">
        <v>-37.537492</v>
      </c>
    </row>
    <row r="7966" spans="16:20">
      <c r="P7966" s="1094">
        <v>3778</v>
      </c>
      <c r="Q7966" t="s">
        <v>8696</v>
      </c>
      <c r="R7966" t="s">
        <v>616</v>
      </c>
      <c r="S7966">
        <v>145.62301099999999</v>
      </c>
      <c r="T7966" s="1095">
        <v>-37.537492</v>
      </c>
    </row>
    <row r="7967" spans="16:20">
      <c r="P7967" s="1094">
        <v>3779</v>
      </c>
      <c r="Q7967" t="s">
        <v>8697</v>
      </c>
      <c r="R7967" t="s">
        <v>616</v>
      </c>
      <c r="S7967">
        <v>145.784751</v>
      </c>
      <c r="T7967" s="1095">
        <v>-37.539267000000002</v>
      </c>
    </row>
    <row r="7968" spans="16:20">
      <c r="P7968" s="1094">
        <v>3779</v>
      </c>
      <c r="Q7968" t="s">
        <v>8698</v>
      </c>
      <c r="R7968" t="s">
        <v>616</v>
      </c>
      <c r="S7968">
        <v>145.784751</v>
      </c>
      <c r="T7968" s="1095">
        <v>-37.539267000000002</v>
      </c>
    </row>
    <row r="7969" spans="16:20">
      <c r="P7969" s="1094">
        <v>3781</v>
      </c>
      <c r="Q7969" t="s">
        <v>8699</v>
      </c>
      <c r="R7969" t="s">
        <v>616</v>
      </c>
      <c r="S7969">
        <v>145.48786200000001</v>
      </c>
      <c r="T7969" s="1095">
        <v>-37.938471</v>
      </c>
    </row>
    <row r="7970" spans="16:20">
      <c r="P7970" s="1094">
        <v>3781</v>
      </c>
      <c r="Q7970" t="s">
        <v>8700</v>
      </c>
      <c r="R7970" t="s">
        <v>616</v>
      </c>
      <c r="S7970">
        <v>145.48786200000001</v>
      </c>
      <c r="T7970" s="1095">
        <v>-37.938471</v>
      </c>
    </row>
    <row r="7971" spans="16:20">
      <c r="P7971" s="1094">
        <v>3781</v>
      </c>
      <c r="Q7971" t="s">
        <v>8701</v>
      </c>
      <c r="R7971" t="s">
        <v>616</v>
      </c>
      <c r="S7971">
        <v>145.48786200000001</v>
      </c>
      <c r="T7971" s="1095">
        <v>-37.938471</v>
      </c>
    </row>
    <row r="7972" spans="16:20">
      <c r="P7972" s="1094">
        <v>3782</v>
      </c>
      <c r="Q7972" t="s">
        <v>8702</v>
      </c>
      <c r="R7972" t="s">
        <v>616</v>
      </c>
      <c r="S7972">
        <v>145.43302399999999</v>
      </c>
      <c r="T7972" s="1095">
        <v>-37.938068000000001</v>
      </c>
    </row>
    <row r="7973" spans="16:20">
      <c r="P7973" s="1094">
        <v>3782</v>
      </c>
      <c r="Q7973" t="s">
        <v>8703</v>
      </c>
      <c r="R7973" t="s">
        <v>616</v>
      </c>
      <c r="S7973">
        <v>145.43302399999999</v>
      </c>
      <c r="T7973" s="1095">
        <v>-37.938068000000001</v>
      </c>
    </row>
    <row r="7974" spans="16:20">
      <c r="P7974" s="1094">
        <v>3782</v>
      </c>
      <c r="Q7974" t="s">
        <v>8704</v>
      </c>
      <c r="R7974" t="s">
        <v>616</v>
      </c>
      <c r="S7974">
        <v>145.43302399999999</v>
      </c>
      <c r="T7974" s="1095">
        <v>-37.938068000000001</v>
      </c>
    </row>
    <row r="7975" spans="16:20">
      <c r="P7975" s="1094">
        <v>3782</v>
      </c>
      <c r="Q7975" t="s">
        <v>8705</v>
      </c>
      <c r="R7975" t="s">
        <v>616</v>
      </c>
      <c r="S7975">
        <v>145.43302399999999</v>
      </c>
      <c r="T7975" s="1095">
        <v>-37.938068000000001</v>
      </c>
    </row>
    <row r="7976" spans="16:20">
      <c r="P7976" s="1094">
        <v>3783</v>
      </c>
      <c r="Q7976" t="s">
        <v>8706</v>
      </c>
      <c r="R7976" t="s">
        <v>616</v>
      </c>
      <c r="S7976">
        <v>145.596576</v>
      </c>
      <c r="T7976" s="1095">
        <v>-37.947378999999998</v>
      </c>
    </row>
    <row r="7977" spans="16:20">
      <c r="P7977" s="1094">
        <v>3785</v>
      </c>
      <c r="Q7977" t="s">
        <v>8707</v>
      </c>
      <c r="R7977" t="s">
        <v>616</v>
      </c>
      <c r="S7977">
        <v>145.316734</v>
      </c>
      <c r="T7977" s="1095">
        <v>-37.885137999999998</v>
      </c>
    </row>
    <row r="7978" spans="16:20">
      <c r="P7978" s="1094">
        <v>3786</v>
      </c>
      <c r="Q7978" t="s">
        <v>8708</v>
      </c>
      <c r="R7978" t="s">
        <v>616</v>
      </c>
      <c r="S7978">
        <v>145.33243100000001</v>
      </c>
      <c r="T7978" s="1095">
        <v>-37.878188000000002</v>
      </c>
    </row>
    <row r="7979" spans="16:20">
      <c r="P7979" s="1094">
        <v>3787</v>
      </c>
      <c r="Q7979" t="s">
        <v>4957</v>
      </c>
      <c r="R7979" t="s">
        <v>616</v>
      </c>
      <c r="S7979">
        <v>145.350888</v>
      </c>
      <c r="T7979" s="1095">
        <v>-37.866785999999998</v>
      </c>
    </row>
    <row r="7980" spans="16:20">
      <c r="P7980" s="1094">
        <v>3787</v>
      </c>
      <c r="Q7980" t="s">
        <v>8709</v>
      </c>
      <c r="R7980" t="s">
        <v>616</v>
      </c>
      <c r="S7980">
        <v>145.350888</v>
      </c>
      <c r="T7980" s="1095">
        <v>-37.866785999999998</v>
      </c>
    </row>
    <row r="7981" spans="16:20">
      <c r="P7981" s="1094">
        <v>3788</v>
      </c>
      <c r="Q7981" t="s">
        <v>6123</v>
      </c>
      <c r="R7981" t="s">
        <v>616</v>
      </c>
      <c r="S7981">
        <v>145.377128</v>
      </c>
      <c r="T7981" s="1095">
        <v>-37.848036</v>
      </c>
    </row>
    <row r="7982" spans="16:20">
      <c r="P7982" s="1094">
        <v>3789</v>
      </c>
      <c r="Q7982" t="s">
        <v>8710</v>
      </c>
      <c r="R7982" t="s">
        <v>616</v>
      </c>
      <c r="S7982">
        <v>145.357336</v>
      </c>
      <c r="T7982" s="1095">
        <v>-37.889766999999999</v>
      </c>
    </row>
    <row r="7983" spans="16:20">
      <c r="P7983" s="1094">
        <v>3791</v>
      </c>
      <c r="Q7983" t="s">
        <v>8711</v>
      </c>
      <c r="R7983" t="s">
        <v>616</v>
      </c>
      <c r="S7983">
        <v>145.37962200000001</v>
      </c>
      <c r="T7983" s="1095">
        <v>-37.896917000000002</v>
      </c>
    </row>
    <row r="7984" spans="16:20">
      <c r="P7984" s="1094">
        <v>3792</v>
      </c>
      <c r="Q7984" t="s">
        <v>8712</v>
      </c>
      <c r="R7984" t="s">
        <v>616</v>
      </c>
      <c r="S7984">
        <v>145.40538799999999</v>
      </c>
      <c r="T7984" s="1095">
        <v>-37.894240000000003</v>
      </c>
    </row>
    <row r="7985" spans="16:20">
      <c r="P7985" s="1094">
        <v>3793</v>
      </c>
      <c r="Q7985" t="s">
        <v>8713</v>
      </c>
      <c r="R7985" t="s">
        <v>616</v>
      </c>
      <c r="S7985">
        <v>145.42971499999999</v>
      </c>
      <c r="T7985" s="1095">
        <v>-37.874533</v>
      </c>
    </row>
    <row r="7986" spans="16:20">
      <c r="P7986" s="1094">
        <v>3795</v>
      </c>
      <c r="Q7986" t="s">
        <v>8714</v>
      </c>
      <c r="R7986" t="s">
        <v>616</v>
      </c>
      <c r="S7986">
        <v>145.43031099999999</v>
      </c>
      <c r="T7986" s="1095">
        <v>-37.836663000000001</v>
      </c>
    </row>
    <row r="7987" spans="16:20">
      <c r="P7987" s="1094">
        <v>3796</v>
      </c>
      <c r="Q7987" t="s">
        <v>8715</v>
      </c>
      <c r="R7987" t="s">
        <v>616</v>
      </c>
      <c r="S7987">
        <v>145.38492199999999</v>
      </c>
      <c r="T7987" s="1095">
        <v>-37.786977</v>
      </c>
    </row>
    <row r="7988" spans="16:20">
      <c r="P7988" s="1094">
        <v>3797</v>
      </c>
      <c r="Q7988" t="s">
        <v>8716</v>
      </c>
      <c r="R7988" t="s">
        <v>616</v>
      </c>
      <c r="S7988">
        <v>145.78634299999999</v>
      </c>
      <c r="T7988" s="1095">
        <v>-37.867809000000001</v>
      </c>
    </row>
    <row r="7989" spans="16:20">
      <c r="P7989" s="1094">
        <v>3797</v>
      </c>
      <c r="Q7989" t="s">
        <v>8717</v>
      </c>
      <c r="R7989" t="s">
        <v>616</v>
      </c>
      <c r="S7989">
        <v>145.78634299999999</v>
      </c>
      <c r="T7989" s="1095">
        <v>-37.867809000000001</v>
      </c>
    </row>
    <row r="7990" spans="16:20">
      <c r="P7990" s="1094">
        <v>3797</v>
      </c>
      <c r="Q7990" t="s">
        <v>8718</v>
      </c>
      <c r="R7990" t="s">
        <v>616</v>
      </c>
      <c r="S7990">
        <v>145.78634299999999</v>
      </c>
      <c r="T7990" s="1095">
        <v>-37.867809000000001</v>
      </c>
    </row>
    <row r="7991" spans="16:20">
      <c r="P7991" s="1094">
        <v>3797</v>
      </c>
      <c r="Q7991" t="s">
        <v>8719</v>
      </c>
      <c r="R7991" t="s">
        <v>616</v>
      </c>
      <c r="S7991">
        <v>145.78634299999999</v>
      </c>
      <c r="T7991" s="1095">
        <v>-37.867809000000001</v>
      </c>
    </row>
    <row r="7992" spans="16:20">
      <c r="P7992" s="1094">
        <v>3797</v>
      </c>
      <c r="Q7992" t="s">
        <v>8720</v>
      </c>
      <c r="R7992" t="s">
        <v>616</v>
      </c>
      <c r="S7992">
        <v>145.78634299999999</v>
      </c>
      <c r="T7992" s="1095">
        <v>-37.867809000000001</v>
      </c>
    </row>
    <row r="7993" spans="16:20">
      <c r="P7993" s="1094">
        <v>3799</v>
      </c>
      <c r="Q7993" t="s">
        <v>8721</v>
      </c>
      <c r="R7993" t="s">
        <v>616</v>
      </c>
      <c r="S7993">
        <v>145.818512</v>
      </c>
      <c r="T7993" s="1095">
        <v>-37.727566000000003</v>
      </c>
    </row>
    <row r="7994" spans="16:20">
      <c r="P7994" s="1094">
        <v>3799</v>
      </c>
      <c r="Q7994" t="s">
        <v>8722</v>
      </c>
      <c r="R7994" t="s">
        <v>616</v>
      </c>
      <c r="S7994">
        <v>145.818512</v>
      </c>
      <c r="T7994" s="1095">
        <v>-37.727566000000003</v>
      </c>
    </row>
    <row r="7995" spans="16:20">
      <c r="P7995" s="1094">
        <v>3799</v>
      </c>
      <c r="Q7995" t="s">
        <v>8723</v>
      </c>
      <c r="R7995" t="s">
        <v>616</v>
      </c>
      <c r="S7995">
        <v>145.818512</v>
      </c>
      <c r="T7995" s="1095">
        <v>-37.727566000000003</v>
      </c>
    </row>
    <row r="7996" spans="16:20">
      <c r="P7996" s="1094">
        <v>3799</v>
      </c>
      <c r="Q7996" t="s">
        <v>8724</v>
      </c>
      <c r="R7996" t="s">
        <v>616</v>
      </c>
      <c r="S7996">
        <v>145.818512</v>
      </c>
      <c r="T7996" s="1095">
        <v>-37.727566000000003</v>
      </c>
    </row>
    <row r="7997" spans="16:20">
      <c r="P7997" s="1094">
        <v>3799</v>
      </c>
      <c r="Q7997" t="s">
        <v>5291</v>
      </c>
      <c r="R7997" t="s">
        <v>616</v>
      </c>
      <c r="S7997">
        <v>145.818512</v>
      </c>
      <c r="T7997" s="1095">
        <v>-37.727566000000003</v>
      </c>
    </row>
    <row r="7998" spans="16:20">
      <c r="P7998" s="1094">
        <v>3799</v>
      </c>
      <c r="Q7998" t="s">
        <v>8725</v>
      </c>
      <c r="R7998" t="s">
        <v>616</v>
      </c>
      <c r="S7998">
        <v>145.818512</v>
      </c>
      <c r="T7998" s="1095">
        <v>-37.727566000000003</v>
      </c>
    </row>
    <row r="7999" spans="16:20">
      <c r="P7999" s="1094">
        <v>3799</v>
      </c>
      <c r="Q7999" t="s">
        <v>8726</v>
      </c>
      <c r="R7999" t="s">
        <v>616</v>
      </c>
      <c r="S7999">
        <v>145.818512</v>
      </c>
      <c r="T7999" s="1095">
        <v>-37.727566000000003</v>
      </c>
    </row>
    <row r="8000" spans="16:20">
      <c r="P8000" s="1094">
        <v>3800</v>
      </c>
      <c r="Q8000" t="s">
        <v>8727</v>
      </c>
      <c r="R8000" t="s">
        <v>616</v>
      </c>
      <c r="S8000">
        <v>0</v>
      </c>
      <c r="T8000" s="1095">
        <v>0</v>
      </c>
    </row>
    <row r="8001" spans="16:20">
      <c r="P8001" s="1094">
        <v>3802</v>
      </c>
      <c r="Q8001" t="s">
        <v>8728</v>
      </c>
      <c r="R8001" t="s">
        <v>616</v>
      </c>
      <c r="S8001">
        <v>145.25559899999999</v>
      </c>
      <c r="T8001" s="1095">
        <v>-37.971763000000003</v>
      </c>
    </row>
    <row r="8002" spans="16:20">
      <c r="P8002" s="1094">
        <v>3803</v>
      </c>
      <c r="Q8002" t="s">
        <v>8729</v>
      </c>
      <c r="R8002" t="s">
        <v>616</v>
      </c>
      <c r="S8002">
        <v>145.265524</v>
      </c>
      <c r="T8002" s="1095">
        <v>-38.009435000000003</v>
      </c>
    </row>
    <row r="8003" spans="16:20">
      <c r="P8003" s="1094">
        <v>3804</v>
      </c>
      <c r="Q8003" t="s">
        <v>8730</v>
      </c>
      <c r="R8003" t="s">
        <v>616</v>
      </c>
      <c r="S8003">
        <v>145.32599400000001</v>
      </c>
      <c r="T8003" s="1095">
        <v>-37.980058999999997</v>
      </c>
    </row>
    <row r="8004" spans="16:20">
      <c r="P8004" s="1094">
        <v>3804</v>
      </c>
      <c r="Q8004" t="s">
        <v>8731</v>
      </c>
      <c r="R8004" t="s">
        <v>616</v>
      </c>
      <c r="S8004">
        <v>145.32599400000001</v>
      </c>
      <c r="T8004" s="1095">
        <v>-37.980058999999997</v>
      </c>
    </row>
    <row r="8005" spans="16:20">
      <c r="P8005" s="1094">
        <v>3805</v>
      </c>
      <c r="Q8005" t="s">
        <v>8732</v>
      </c>
      <c r="R8005" t="s">
        <v>616</v>
      </c>
      <c r="S8005">
        <v>145.30419800000001</v>
      </c>
      <c r="T8005" s="1095">
        <v>-38.037025999999997</v>
      </c>
    </row>
    <row r="8006" spans="16:20">
      <c r="P8006" s="1094">
        <v>3805</v>
      </c>
      <c r="Q8006" t="s">
        <v>8733</v>
      </c>
      <c r="R8006" t="s">
        <v>616</v>
      </c>
      <c r="S8006">
        <v>145.30419800000001</v>
      </c>
      <c r="T8006" s="1095">
        <v>-38.037025999999997</v>
      </c>
    </row>
    <row r="8007" spans="16:20">
      <c r="P8007" s="1094">
        <v>3805</v>
      </c>
      <c r="Q8007" t="s">
        <v>8734</v>
      </c>
      <c r="R8007" t="s">
        <v>616</v>
      </c>
      <c r="S8007">
        <v>145.30419800000001</v>
      </c>
      <c r="T8007" s="1095">
        <v>-38.037025999999997</v>
      </c>
    </row>
    <row r="8008" spans="16:20">
      <c r="P8008" s="1094">
        <v>3806</v>
      </c>
      <c r="Q8008" t="s">
        <v>8735</v>
      </c>
      <c r="R8008" t="s">
        <v>616</v>
      </c>
      <c r="S8008">
        <v>145.34948800000001</v>
      </c>
      <c r="T8008" s="1095">
        <v>-38.025018000000003</v>
      </c>
    </row>
    <row r="8009" spans="16:20">
      <c r="P8009" s="1094">
        <v>3806</v>
      </c>
      <c r="Q8009" t="s">
        <v>8736</v>
      </c>
      <c r="R8009" t="s">
        <v>616</v>
      </c>
      <c r="S8009">
        <v>145.34948800000001</v>
      </c>
      <c r="T8009" s="1095">
        <v>-38.025018000000003</v>
      </c>
    </row>
    <row r="8010" spans="16:20">
      <c r="P8010" s="1094">
        <v>3807</v>
      </c>
      <c r="Q8010" t="s">
        <v>1744</v>
      </c>
      <c r="R8010" t="s">
        <v>616</v>
      </c>
      <c r="S8010">
        <v>145.371635</v>
      </c>
      <c r="T8010" s="1095">
        <v>-38.048316</v>
      </c>
    </row>
    <row r="8011" spans="16:20">
      <c r="P8011" s="1094">
        <v>3807</v>
      </c>
      <c r="Q8011" t="s">
        <v>8737</v>
      </c>
      <c r="R8011" t="s">
        <v>616</v>
      </c>
      <c r="S8011">
        <v>145.371635</v>
      </c>
      <c r="T8011" s="1095">
        <v>-38.048316</v>
      </c>
    </row>
    <row r="8012" spans="16:20">
      <c r="P8012" s="1094">
        <v>3808</v>
      </c>
      <c r="Q8012" t="s">
        <v>8738</v>
      </c>
      <c r="R8012" t="s">
        <v>616</v>
      </c>
      <c r="S8012">
        <v>145.42327</v>
      </c>
      <c r="T8012" s="1095">
        <v>-38.002518000000002</v>
      </c>
    </row>
    <row r="8013" spans="16:20">
      <c r="P8013" s="1094">
        <v>3808</v>
      </c>
      <c r="Q8013" t="s">
        <v>8739</v>
      </c>
      <c r="R8013" t="s">
        <v>616</v>
      </c>
      <c r="S8013">
        <v>145.42327</v>
      </c>
      <c r="T8013" s="1095">
        <v>-38.002518000000002</v>
      </c>
    </row>
    <row r="8014" spans="16:20">
      <c r="P8014" s="1094">
        <v>3809</v>
      </c>
      <c r="Q8014" t="s">
        <v>8740</v>
      </c>
      <c r="R8014" t="s">
        <v>616</v>
      </c>
      <c r="S8014">
        <v>145.40688700000001</v>
      </c>
      <c r="T8014" s="1095">
        <v>-38.069094</v>
      </c>
    </row>
    <row r="8015" spans="16:20">
      <c r="P8015" s="1094">
        <v>3809</v>
      </c>
      <c r="Q8015" t="s">
        <v>8741</v>
      </c>
      <c r="R8015" t="s">
        <v>616</v>
      </c>
      <c r="S8015">
        <v>145.40688700000001</v>
      </c>
      <c r="T8015" s="1095">
        <v>-38.069094</v>
      </c>
    </row>
    <row r="8016" spans="16:20">
      <c r="P8016" s="1094">
        <v>3810</v>
      </c>
      <c r="Q8016" t="s">
        <v>8742</v>
      </c>
      <c r="R8016" t="s">
        <v>616</v>
      </c>
      <c r="S8016">
        <v>145.47251399999999</v>
      </c>
      <c r="T8016" s="1095">
        <v>-38.046579999999999</v>
      </c>
    </row>
    <row r="8017" spans="16:20">
      <c r="P8017" s="1094">
        <v>3810</v>
      </c>
      <c r="Q8017" t="s">
        <v>8743</v>
      </c>
      <c r="R8017" t="s">
        <v>616</v>
      </c>
      <c r="S8017">
        <v>145.47251399999999</v>
      </c>
      <c r="T8017" s="1095">
        <v>-38.046579999999999</v>
      </c>
    </row>
    <row r="8018" spans="16:20">
      <c r="P8018" s="1094">
        <v>3810</v>
      </c>
      <c r="Q8018" t="s">
        <v>8744</v>
      </c>
      <c r="R8018" t="s">
        <v>616</v>
      </c>
      <c r="S8018">
        <v>145.47251399999999</v>
      </c>
      <c r="T8018" s="1095">
        <v>-38.046579999999999</v>
      </c>
    </row>
    <row r="8019" spans="16:20">
      <c r="P8019" s="1094">
        <v>3810</v>
      </c>
      <c r="Q8019" t="s">
        <v>8745</v>
      </c>
      <c r="R8019" t="s">
        <v>616</v>
      </c>
      <c r="S8019">
        <v>145.47251399999999</v>
      </c>
      <c r="T8019" s="1095">
        <v>-38.046579999999999</v>
      </c>
    </row>
    <row r="8020" spans="16:20">
      <c r="P8020" s="1094">
        <v>3812</v>
      </c>
      <c r="Q8020" t="s">
        <v>8746</v>
      </c>
      <c r="R8020" t="s">
        <v>616</v>
      </c>
      <c r="S8020">
        <v>145.565304</v>
      </c>
      <c r="T8020" s="1095">
        <v>-38.070135000000001</v>
      </c>
    </row>
    <row r="8021" spans="16:20">
      <c r="P8021" s="1094">
        <v>3812</v>
      </c>
      <c r="Q8021" t="s">
        <v>8747</v>
      </c>
      <c r="R8021" t="s">
        <v>616</v>
      </c>
      <c r="S8021">
        <v>145.565304</v>
      </c>
      <c r="T8021" s="1095">
        <v>-38.070135000000001</v>
      </c>
    </row>
    <row r="8022" spans="16:20">
      <c r="P8022" s="1094">
        <v>3812</v>
      </c>
      <c r="Q8022" t="s">
        <v>8748</v>
      </c>
      <c r="R8022" t="s">
        <v>616</v>
      </c>
      <c r="S8022">
        <v>145.565304</v>
      </c>
      <c r="T8022" s="1095">
        <v>-38.070135000000001</v>
      </c>
    </row>
    <row r="8023" spans="16:20">
      <c r="P8023" s="1094">
        <v>3813</v>
      </c>
      <c r="Q8023" t="s">
        <v>8749</v>
      </c>
      <c r="R8023" t="s">
        <v>616</v>
      </c>
      <c r="S8023">
        <v>145.63433900000001</v>
      </c>
      <c r="T8023" s="1095">
        <v>-38.064252000000003</v>
      </c>
    </row>
    <row r="8024" spans="16:20">
      <c r="P8024" s="1094">
        <v>3813</v>
      </c>
      <c r="Q8024" t="s">
        <v>8750</v>
      </c>
      <c r="R8024" t="s">
        <v>616</v>
      </c>
      <c r="S8024">
        <v>145.63433900000001</v>
      </c>
      <c r="T8024" s="1095">
        <v>-38.064252000000003</v>
      </c>
    </row>
    <row r="8025" spans="16:20">
      <c r="P8025" s="1094">
        <v>3814</v>
      </c>
      <c r="Q8025" t="s">
        <v>8751</v>
      </c>
      <c r="R8025" t="s">
        <v>616</v>
      </c>
      <c r="S8025">
        <v>145.66911200000001</v>
      </c>
      <c r="T8025" s="1095">
        <v>-38.10718</v>
      </c>
    </row>
    <row r="8026" spans="16:20">
      <c r="P8026" s="1094">
        <v>3814</v>
      </c>
      <c r="Q8026" t="s">
        <v>8752</v>
      </c>
      <c r="R8026" t="s">
        <v>616</v>
      </c>
      <c r="S8026">
        <v>145.66911200000001</v>
      </c>
      <c r="T8026" s="1095">
        <v>-38.10718</v>
      </c>
    </row>
    <row r="8027" spans="16:20">
      <c r="P8027" s="1094">
        <v>3814</v>
      </c>
      <c r="Q8027" t="s">
        <v>8753</v>
      </c>
      <c r="R8027" t="s">
        <v>616</v>
      </c>
      <c r="S8027">
        <v>145.66911200000001</v>
      </c>
      <c r="T8027" s="1095">
        <v>-38.10718</v>
      </c>
    </row>
    <row r="8028" spans="16:20">
      <c r="P8028" s="1094">
        <v>3814</v>
      </c>
      <c r="Q8028" t="s">
        <v>8754</v>
      </c>
      <c r="R8028" t="s">
        <v>616</v>
      </c>
      <c r="S8028">
        <v>145.66911200000001</v>
      </c>
      <c r="T8028" s="1095">
        <v>-38.10718</v>
      </c>
    </row>
    <row r="8029" spans="16:20">
      <c r="P8029" s="1094">
        <v>3815</v>
      </c>
      <c r="Q8029" t="s">
        <v>8755</v>
      </c>
      <c r="R8029" t="s">
        <v>616</v>
      </c>
      <c r="S8029">
        <v>145.72631100000001</v>
      </c>
      <c r="T8029" s="1095">
        <v>-38.013779999999997</v>
      </c>
    </row>
    <row r="8030" spans="16:20">
      <c r="P8030" s="1094">
        <v>3815</v>
      </c>
      <c r="Q8030" t="s">
        <v>8756</v>
      </c>
      <c r="R8030" t="s">
        <v>616</v>
      </c>
      <c r="S8030">
        <v>145.72631100000001</v>
      </c>
      <c r="T8030" s="1095">
        <v>-38.013779999999997</v>
      </c>
    </row>
    <row r="8031" spans="16:20">
      <c r="P8031" s="1094">
        <v>3815</v>
      </c>
      <c r="Q8031" t="s">
        <v>2626</v>
      </c>
      <c r="R8031" t="s">
        <v>616</v>
      </c>
      <c r="S8031">
        <v>145.72631100000001</v>
      </c>
      <c r="T8031" s="1095">
        <v>-38.013779999999997</v>
      </c>
    </row>
    <row r="8032" spans="16:20">
      <c r="P8032" s="1094">
        <v>3815</v>
      </c>
      <c r="Q8032" t="s">
        <v>8757</v>
      </c>
      <c r="R8032" t="s">
        <v>616</v>
      </c>
      <c r="S8032">
        <v>145.72631100000001</v>
      </c>
      <c r="T8032" s="1095">
        <v>-38.013779999999997</v>
      </c>
    </row>
    <row r="8033" spans="16:20">
      <c r="P8033" s="1094">
        <v>3816</v>
      </c>
      <c r="Q8033" t="s">
        <v>8758</v>
      </c>
      <c r="R8033" t="s">
        <v>616</v>
      </c>
      <c r="S8033">
        <v>145.78799100000001</v>
      </c>
      <c r="T8033" s="1095">
        <v>-38.043542000000002</v>
      </c>
    </row>
    <row r="8034" spans="16:20">
      <c r="P8034" s="1094">
        <v>3816</v>
      </c>
      <c r="Q8034" t="s">
        <v>8759</v>
      </c>
      <c r="R8034" t="s">
        <v>616</v>
      </c>
      <c r="S8034">
        <v>145.78799100000001</v>
      </c>
      <c r="T8034" s="1095">
        <v>-38.043542000000002</v>
      </c>
    </row>
    <row r="8035" spans="16:20">
      <c r="P8035" s="1094">
        <v>3816</v>
      </c>
      <c r="Q8035" t="s">
        <v>8760</v>
      </c>
      <c r="R8035" t="s">
        <v>616</v>
      </c>
      <c r="S8035">
        <v>145.78799100000001</v>
      </c>
      <c r="T8035" s="1095">
        <v>-38.043542000000002</v>
      </c>
    </row>
    <row r="8036" spans="16:20">
      <c r="P8036" s="1094">
        <v>3816</v>
      </c>
      <c r="Q8036" t="s">
        <v>8761</v>
      </c>
      <c r="R8036" t="s">
        <v>616</v>
      </c>
      <c r="S8036">
        <v>145.78799100000001</v>
      </c>
      <c r="T8036" s="1095">
        <v>-38.043542000000002</v>
      </c>
    </row>
    <row r="8037" spans="16:20">
      <c r="P8037" s="1094">
        <v>3818</v>
      </c>
      <c r="Q8037" t="s">
        <v>8762</v>
      </c>
      <c r="R8037" t="s">
        <v>616</v>
      </c>
      <c r="S8037">
        <v>145.86733699999999</v>
      </c>
      <c r="T8037" s="1095">
        <v>-38.096288999999999</v>
      </c>
    </row>
    <row r="8038" spans="16:20">
      <c r="P8038" s="1094">
        <v>3818</v>
      </c>
      <c r="Q8038" t="s">
        <v>8763</v>
      </c>
      <c r="R8038" t="s">
        <v>616</v>
      </c>
      <c r="S8038">
        <v>145.86733699999999</v>
      </c>
      <c r="T8038" s="1095">
        <v>-38.096288999999999</v>
      </c>
    </row>
    <row r="8039" spans="16:20">
      <c r="P8039" s="1094">
        <v>3818</v>
      </c>
      <c r="Q8039" t="s">
        <v>8764</v>
      </c>
      <c r="R8039" t="s">
        <v>616</v>
      </c>
      <c r="S8039">
        <v>145.86733699999999</v>
      </c>
      <c r="T8039" s="1095">
        <v>-38.096288999999999</v>
      </c>
    </row>
    <row r="8040" spans="16:20">
      <c r="P8040" s="1094">
        <v>3818</v>
      </c>
      <c r="Q8040" t="s">
        <v>8765</v>
      </c>
      <c r="R8040" t="s">
        <v>616</v>
      </c>
      <c r="S8040">
        <v>145.86733699999999</v>
      </c>
      <c r="T8040" s="1095">
        <v>-38.096288999999999</v>
      </c>
    </row>
    <row r="8041" spans="16:20">
      <c r="P8041" s="1094">
        <v>3818</v>
      </c>
      <c r="Q8041" t="s">
        <v>8766</v>
      </c>
      <c r="R8041" t="s">
        <v>616</v>
      </c>
      <c r="S8041">
        <v>145.86733699999999</v>
      </c>
      <c r="T8041" s="1095">
        <v>-38.096288999999999</v>
      </c>
    </row>
    <row r="8042" spans="16:20">
      <c r="P8042" s="1094">
        <v>3818</v>
      </c>
      <c r="Q8042" t="s">
        <v>8767</v>
      </c>
      <c r="R8042" t="s">
        <v>616</v>
      </c>
      <c r="S8042">
        <v>145.86733699999999</v>
      </c>
      <c r="T8042" s="1095">
        <v>-38.096288999999999</v>
      </c>
    </row>
    <row r="8043" spans="16:20">
      <c r="P8043" s="1094">
        <v>3818</v>
      </c>
      <c r="Q8043" t="s">
        <v>8768</v>
      </c>
      <c r="R8043" t="s">
        <v>616</v>
      </c>
      <c r="S8043">
        <v>145.86733699999999</v>
      </c>
      <c r="T8043" s="1095">
        <v>-38.096288999999999</v>
      </c>
    </row>
    <row r="8044" spans="16:20">
      <c r="P8044" s="1094">
        <v>3818</v>
      </c>
      <c r="Q8044" t="s">
        <v>8769</v>
      </c>
      <c r="R8044" t="s">
        <v>616</v>
      </c>
      <c r="S8044">
        <v>145.86733699999999</v>
      </c>
      <c r="T8044" s="1095">
        <v>-38.096288999999999</v>
      </c>
    </row>
    <row r="8045" spans="16:20">
      <c r="P8045" s="1094">
        <v>3818</v>
      </c>
      <c r="Q8045" t="s">
        <v>4673</v>
      </c>
      <c r="R8045" t="s">
        <v>616</v>
      </c>
      <c r="S8045">
        <v>145.86733699999999</v>
      </c>
      <c r="T8045" s="1095">
        <v>-38.096288999999999</v>
      </c>
    </row>
    <row r="8046" spans="16:20">
      <c r="P8046" s="1094">
        <v>3820</v>
      </c>
      <c r="Q8046" t="s">
        <v>2949</v>
      </c>
      <c r="R8046" t="s">
        <v>616</v>
      </c>
      <c r="S8046">
        <v>145.922212</v>
      </c>
      <c r="T8046" s="1095">
        <v>-38.207476</v>
      </c>
    </row>
    <row r="8047" spans="16:20">
      <c r="P8047" s="1094">
        <v>3820</v>
      </c>
      <c r="Q8047" t="s">
        <v>8770</v>
      </c>
      <c r="R8047" t="s">
        <v>616</v>
      </c>
      <c r="S8047">
        <v>145.922212</v>
      </c>
      <c r="T8047" s="1095">
        <v>-38.207476</v>
      </c>
    </row>
    <row r="8048" spans="16:20">
      <c r="P8048" s="1094">
        <v>3820</v>
      </c>
      <c r="Q8048" t="s">
        <v>8771</v>
      </c>
      <c r="R8048" t="s">
        <v>616</v>
      </c>
      <c r="S8048">
        <v>145.922212</v>
      </c>
      <c r="T8048" s="1095">
        <v>-38.207476</v>
      </c>
    </row>
    <row r="8049" spans="16:20">
      <c r="P8049" s="1094">
        <v>3821</v>
      </c>
      <c r="Q8049" t="s">
        <v>8772</v>
      </c>
      <c r="R8049" t="s">
        <v>616</v>
      </c>
      <c r="S8049">
        <v>145.94521399999999</v>
      </c>
      <c r="T8049" s="1095">
        <v>-37.919936999999997</v>
      </c>
    </row>
    <row r="8050" spans="16:20">
      <c r="P8050" s="1094">
        <v>3821</v>
      </c>
      <c r="Q8050" t="s">
        <v>8773</v>
      </c>
      <c r="R8050" t="s">
        <v>616</v>
      </c>
      <c r="S8050">
        <v>145.94521399999999</v>
      </c>
      <c r="T8050" s="1095">
        <v>-37.919936999999997</v>
      </c>
    </row>
    <row r="8051" spans="16:20">
      <c r="P8051" s="1094">
        <v>3821</v>
      </c>
      <c r="Q8051" t="s">
        <v>8774</v>
      </c>
      <c r="R8051" t="s">
        <v>616</v>
      </c>
      <c r="S8051">
        <v>145.94521399999999</v>
      </c>
      <c r="T8051" s="1095">
        <v>-37.919936999999997</v>
      </c>
    </row>
    <row r="8052" spans="16:20">
      <c r="P8052" s="1094">
        <v>3821</v>
      </c>
      <c r="Q8052" t="s">
        <v>8775</v>
      </c>
      <c r="R8052" t="s">
        <v>616</v>
      </c>
      <c r="S8052">
        <v>145.94521399999999</v>
      </c>
      <c r="T8052" s="1095">
        <v>-37.919936999999997</v>
      </c>
    </row>
    <row r="8053" spans="16:20">
      <c r="P8053" s="1094">
        <v>3821</v>
      </c>
      <c r="Q8053" t="s">
        <v>8776</v>
      </c>
      <c r="R8053" t="s">
        <v>616</v>
      </c>
      <c r="S8053">
        <v>145.94521399999999</v>
      </c>
      <c r="T8053" s="1095">
        <v>-37.919936999999997</v>
      </c>
    </row>
    <row r="8054" spans="16:20">
      <c r="P8054" s="1094">
        <v>3821</v>
      </c>
      <c r="Q8054" t="s">
        <v>8777</v>
      </c>
      <c r="R8054" t="s">
        <v>616</v>
      </c>
      <c r="S8054">
        <v>145.94521399999999</v>
      </c>
      <c r="T8054" s="1095">
        <v>-37.919936999999997</v>
      </c>
    </row>
    <row r="8055" spans="16:20">
      <c r="P8055" s="1094">
        <v>3821</v>
      </c>
      <c r="Q8055" t="s">
        <v>8778</v>
      </c>
      <c r="R8055" t="s">
        <v>616</v>
      </c>
      <c r="S8055">
        <v>145.94521399999999</v>
      </c>
      <c r="T8055" s="1095">
        <v>-37.919936999999997</v>
      </c>
    </row>
    <row r="8056" spans="16:20">
      <c r="P8056" s="1094">
        <v>3821</v>
      </c>
      <c r="Q8056" t="s">
        <v>8779</v>
      </c>
      <c r="R8056" t="s">
        <v>616</v>
      </c>
      <c r="S8056">
        <v>145.94521399999999</v>
      </c>
      <c r="T8056" s="1095">
        <v>-37.919936999999997</v>
      </c>
    </row>
    <row r="8057" spans="16:20">
      <c r="P8057" s="1094">
        <v>3821</v>
      </c>
      <c r="Q8057" t="s">
        <v>8780</v>
      </c>
      <c r="R8057" t="s">
        <v>616</v>
      </c>
      <c r="S8057">
        <v>145.94521399999999</v>
      </c>
      <c r="T8057" s="1095">
        <v>-37.919936999999997</v>
      </c>
    </row>
    <row r="8058" spans="16:20">
      <c r="P8058" s="1094">
        <v>3821</v>
      </c>
      <c r="Q8058" t="s">
        <v>8781</v>
      </c>
      <c r="R8058" t="s">
        <v>616</v>
      </c>
      <c r="S8058">
        <v>145.94521399999999</v>
      </c>
      <c r="T8058" s="1095">
        <v>-37.919936999999997</v>
      </c>
    </row>
    <row r="8059" spans="16:20">
      <c r="P8059" s="1094">
        <v>3821</v>
      </c>
      <c r="Q8059" t="s">
        <v>8782</v>
      </c>
      <c r="R8059" t="s">
        <v>616</v>
      </c>
      <c r="S8059">
        <v>145.94521399999999</v>
      </c>
      <c r="T8059" s="1095">
        <v>-37.919936999999997</v>
      </c>
    </row>
    <row r="8060" spans="16:20">
      <c r="P8060" s="1094">
        <v>3821</v>
      </c>
      <c r="Q8060" t="s">
        <v>8783</v>
      </c>
      <c r="R8060" t="s">
        <v>616</v>
      </c>
      <c r="S8060">
        <v>145.94521399999999</v>
      </c>
      <c r="T8060" s="1095">
        <v>-37.919936999999997</v>
      </c>
    </row>
    <row r="8061" spans="16:20">
      <c r="P8061" s="1094">
        <v>3821</v>
      </c>
      <c r="Q8061" t="s">
        <v>8784</v>
      </c>
      <c r="R8061" t="s">
        <v>616</v>
      </c>
      <c r="S8061">
        <v>145.94521399999999</v>
      </c>
      <c r="T8061" s="1095">
        <v>-37.919936999999997</v>
      </c>
    </row>
    <row r="8062" spans="16:20">
      <c r="P8062" s="1094">
        <v>3821</v>
      </c>
      <c r="Q8062" t="s">
        <v>8785</v>
      </c>
      <c r="R8062" t="s">
        <v>616</v>
      </c>
      <c r="S8062">
        <v>145.94521399999999</v>
      </c>
      <c r="T8062" s="1095">
        <v>-37.919936999999997</v>
      </c>
    </row>
    <row r="8063" spans="16:20">
      <c r="P8063" s="1094">
        <v>3821</v>
      </c>
      <c r="Q8063" t="s">
        <v>8786</v>
      </c>
      <c r="R8063" t="s">
        <v>616</v>
      </c>
      <c r="S8063">
        <v>145.94521399999999</v>
      </c>
      <c r="T8063" s="1095">
        <v>-37.919936999999997</v>
      </c>
    </row>
    <row r="8064" spans="16:20">
      <c r="P8064" s="1094">
        <v>3821</v>
      </c>
      <c r="Q8064" t="s">
        <v>8787</v>
      </c>
      <c r="R8064" t="s">
        <v>616</v>
      </c>
      <c r="S8064">
        <v>145.94521399999999</v>
      </c>
      <c r="T8064" s="1095">
        <v>-37.919936999999997</v>
      </c>
    </row>
    <row r="8065" spans="16:20">
      <c r="P8065" s="1094">
        <v>3821</v>
      </c>
      <c r="Q8065" t="s">
        <v>8788</v>
      </c>
      <c r="R8065" t="s">
        <v>616</v>
      </c>
      <c r="S8065">
        <v>145.94521399999999</v>
      </c>
      <c r="T8065" s="1095">
        <v>-37.919936999999997</v>
      </c>
    </row>
    <row r="8066" spans="16:20">
      <c r="P8066" s="1094">
        <v>3821</v>
      </c>
      <c r="Q8066" t="s">
        <v>8789</v>
      </c>
      <c r="R8066" t="s">
        <v>616</v>
      </c>
      <c r="S8066">
        <v>145.94521399999999</v>
      </c>
      <c r="T8066" s="1095">
        <v>-37.919936999999997</v>
      </c>
    </row>
    <row r="8067" spans="16:20">
      <c r="P8067" s="1094">
        <v>3822</v>
      </c>
      <c r="Q8067" t="s">
        <v>8790</v>
      </c>
      <c r="R8067" t="s">
        <v>616</v>
      </c>
      <c r="S8067">
        <v>145.989901</v>
      </c>
      <c r="T8067" s="1095">
        <v>-38.194378999999998</v>
      </c>
    </row>
    <row r="8068" spans="16:20">
      <c r="P8068" s="1094">
        <v>3822</v>
      </c>
      <c r="Q8068" t="s">
        <v>8791</v>
      </c>
      <c r="R8068" t="s">
        <v>616</v>
      </c>
      <c r="S8068">
        <v>145.989901</v>
      </c>
      <c r="T8068" s="1095">
        <v>-38.194378999999998</v>
      </c>
    </row>
    <row r="8069" spans="16:20">
      <c r="P8069" s="1094">
        <v>3822</v>
      </c>
      <c r="Q8069" t="s">
        <v>8792</v>
      </c>
      <c r="R8069" t="s">
        <v>616</v>
      </c>
      <c r="S8069">
        <v>145.989901</v>
      </c>
      <c r="T8069" s="1095">
        <v>-38.194378999999998</v>
      </c>
    </row>
    <row r="8070" spans="16:20">
      <c r="P8070" s="1094">
        <v>3823</v>
      </c>
      <c r="Q8070" t="s">
        <v>8793</v>
      </c>
      <c r="R8070" t="s">
        <v>616</v>
      </c>
      <c r="S8070">
        <v>146.06565599999999</v>
      </c>
      <c r="T8070" s="1095">
        <v>-38.210382000000003</v>
      </c>
    </row>
    <row r="8071" spans="16:20">
      <c r="P8071" s="1094">
        <v>3823</v>
      </c>
      <c r="Q8071" t="s">
        <v>8794</v>
      </c>
      <c r="R8071" t="s">
        <v>616</v>
      </c>
      <c r="S8071">
        <v>146.06565599999999</v>
      </c>
      <c r="T8071" s="1095">
        <v>-38.210382000000003</v>
      </c>
    </row>
    <row r="8072" spans="16:20">
      <c r="P8072" s="1094">
        <v>3823</v>
      </c>
      <c r="Q8072" t="s">
        <v>8795</v>
      </c>
      <c r="R8072" t="s">
        <v>616</v>
      </c>
      <c r="S8072">
        <v>146.06565599999999</v>
      </c>
      <c r="T8072" s="1095">
        <v>-38.210382000000003</v>
      </c>
    </row>
    <row r="8073" spans="16:20">
      <c r="P8073" s="1094">
        <v>3824</v>
      </c>
      <c r="Q8073" t="s">
        <v>8796</v>
      </c>
      <c r="R8073" t="s">
        <v>616</v>
      </c>
      <c r="S8073">
        <v>146.16397000000001</v>
      </c>
      <c r="T8073" s="1095">
        <v>-38.245649</v>
      </c>
    </row>
    <row r="8074" spans="16:20">
      <c r="P8074" s="1094">
        <v>3824</v>
      </c>
      <c r="Q8074" t="s">
        <v>8797</v>
      </c>
      <c r="R8074" t="s">
        <v>616</v>
      </c>
      <c r="S8074">
        <v>146.16397000000001</v>
      </c>
      <c r="T8074" s="1095">
        <v>-38.245649</v>
      </c>
    </row>
    <row r="8075" spans="16:20">
      <c r="P8075" s="1094">
        <v>3824</v>
      </c>
      <c r="Q8075" t="s">
        <v>8798</v>
      </c>
      <c r="R8075" t="s">
        <v>616</v>
      </c>
      <c r="S8075">
        <v>146.16397000000001</v>
      </c>
      <c r="T8075" s="1095">
        <v>-38.245649</v>
      </c>
    </row>
    <row r="8076" spans="16:20">
      <c r="P8076" s="1094">
        <v>3824</v>
      </c>
      <c r="Q8076" t="s">
        <v>8799</v>
      </c>
      <c r="R8076" t="s">
        <v>616</v>
      </c>
      <c r="S8076">
        <v>146.16397000000001</v>
      </c>
      <c r="T8076" s="1095">
        <v>-38.245649</v>
      </c>
    </row>
    <row r="8077" spans="16:20">
      <c r="P8077" s="1094">
        <v>3824</v>
      </c>
      <c r="Q8077" t="s">
        <v>8800</v>
      </c>
      <c r="R8077" t="s">
        <v>616</v>
      </c>
      <c r="S8077">
        <v>146.16397000000001</v>
      </c>
      <c r="T8077" s="1095">
        <v>-38.245649</v>
      </c>
    </row>
    <row r="8078" spans="16:20">
      <c r="P8078" s="1094">
        <v>3824</v>
      </c>
      <c r="Q8078" t="s">
        <v>8801</v>
      </c>
      <c r="R8078" t="s">
        <v>616</v>
      </c>
      <c r="S8078">
        <v>146.16397000000001</v>
      </c>
      <c r="T8078" s="1095">
        <v>-38.245649</v>
      </c>
    </row>
    <row r="8079" spans="16:20">
      <c r="P8079" s="1094">
        <v>3825</v>
      </c>
      <c r="Q8079" t="s">
        <v>8802</v>
      </c>
      <c r="R8079" t="s">
        <v>616</v>
      </c>
      <c r="S8079">
        <v>146.34293199999999</v>
      </c>
      <c r="T8079" s="1095">
        <v>-37.978861999999999</v>
      </c>
    </row>
    <row r="8080" spans="16:20">
      <c r="P8080" s="1094">
        <v>3825</v>
      </c>
      <c r="Q8080" t="s">
        <v>8803</v>
      </c>
      <c r="R8080" t="s">
        <v>616</v>
      </c>
      <c r="S8080">
        <v>146.34293199999999</v>
      </c>
      <c r="T8080" s="1095">
        <v>-37.978861999999999</v>
      </c>
    </row>
    <row r="8081" spans="16:20">
      <c r="P8081" s="1094">
        <v>3825</v>
      </c>
      <c r="Q8081" t="s">
        <v>8804</v>
      </c>
      <c r="R8081" t="s">
        <v>616</v>
      </c>
      <c r="S8081">
        <v>146.34293199999999</v>
      </c>
      <c r="T8081" s="1095">
        <v>-37.978861999999999</v>
      </c>
    </row>
    <row r="8082" spans="16:20">
      <c r="P8082" s="1094">
        <v>3825</v>
      </c>
      <c r="Q8082" t="s">
        <v>8805</v>
      </c>
      <c r="R8082" t="s">
        <v>616</v>
      </c>
      <c r="S8082">
        <v>146.34293199999999</v>
      </c>
      <c r="T8082" s="1095">
        <v>-37.978861999999999</v>
      </c>
    </row>
    <row r="8083" spans="16:20">
      <c r="P8083" s="1094">
        <v>3825</v>
      </c>
      <c r="Q8083" t="s">
        <v>8806</v>
      </c>
      <c r="R8083" t="s">
        <v>616</v>
      </c>
      <c r="S8083">
        <v>146.34293199999999</v>
      </c>
      <c r="T8083" s="1095">
        <v>-37.978861999999999</v>
      </c>
    </row>
    <row r="8084" spans="16:20">
      <c r="P8084" s="1094">
        <v>3825</v>
      </c>
      <c r="Q8084" t="s">
        <v>8807</v>
      </c>
      <c r="R8084" t="s">
        <v>616</v>
      </c>
      <c r="S8084">
        <v>146.34293199999999</v>
      </c>
      <c r="T8084" s="1095">
        <v>-37.978861999999999</v>
      </c>
    </row>
    <row r="8085" spans="16:20">
      <c r="P8085" s="1094">
        <v>3825</v>
      </c>
      <c r="Q8085" t="s">
        <v>8808</v>
      </c>
      <c r="R8085" t="s">
        <v>616</v>
      </c>
      <c r="S8085">
        <v>146.34293199999999</v>
      </c>
      <c r="T8085" s="1095">
        <v>-37.978861999999999</v>
      </c>
    </row>
    <row r="8086" spans="16:20">
      <c r="P8086" s="1094">
        <v>3825</v>
      </c>
      <c r="Q8086" t="s">
        <v>8809</v>
      </c>
      <c r="R8086" t="s">
        <v>616</v>
      </c>
      <c r="S8086">
        <v>146.34293199999999</v>
      </c>
      <c r="T8086" s="1095">
        <v>-37.978861999999999</v>
      </c>
    </row>
    <row r="8087" spans="16:20">
      <c r="P8087" s="1094">
        <v>3825</v>
      </c>
      <c r="Q8087" t="s">
        <v>8810</v>
      </c>
      <c r="R8087" t="s">
        <v>616</v>
      </c>
      <c r="S8087">
        <v>146.34293199999999</v>
      </c>
      <c r="T8087" s="1095">
        <v>-37.978861999999999</v>
      </c>
    </row>
    <row r="8088" spans="16:20">
      <c r="P8088" s="1094">
        <v>3825</v>
      </c>
      <c r="Q8088" t="s">
        <v>6164</v>
      </c>
      <c r="R8088" t="s">
        <v>616</v>
      </c>
      <c r="S8088">
        <v>146.34293199999999</v>
      </c>
      <c r="T8088" s="1095">
        <v>-37.978861999999999</v>
      </c>
    </row>
    <row r="8089" spans="16:20">
      <c r="P8089" s="1094">
        <v>3825</v>
      </c>
      <c r="Q8089" t="s">
        <v>8811</v>
      </c>
      <c r="R8089" t="s">
        <v>616</v>
      </c>
      <c r="S8089">
        <v>146.34293199999999</v>
      </c>
      <c r="T8089" s="1095">
        <v>-37.978861999999999</v>
      </c>
    </row>
    <row r="8090" spans="16:20">
      <c r="P8090" s="1094">
        <v>3825</v>
      </c>
      <c r="Q8090" t="s">
        <v>8812</v>
      </c>
      <c r="R8090" t="s">
        <v>616</v>
      </c>
      <c r="S8090">
        <v>146.34293199999999</v>
      </c>
      <c r="T8090" s="1095">
        <v>-37.978861999999999</v>
      </c>
    </row>
    <row r="8091" spans="16:20">
      <c r="P8091" s="1094">
        <v>3825</v>
      </c>
      <c r="Q8091" t="s">
        <v>8813</v>
      </c>
      <c r="R8091" t="s">
        <v>616</v>
      </c>
      <c r="S8091">
        <v>146.34293199999999</v>
      </c>
      <c r="T8091" s="1095">
        <v>-37.978861999999999</v>
      </c>
    </row>
    <row r="8092" spans="16:20">
      <c r="P8092" s="1094">
        <v>3825</v>
      </c>
      <c r="Q8092" t="s">
        <v>8814</v>
      </c>
      <c r="R8092" t="s">
        <v>616</v>
      </c>
      <c r="S8092">
        <v>146.34293199999999</v>
      </c>
      <c r="T8092" s="1095">
        <v>-37.978861999999999</v>
      </c>
    </row>
    <row r="8093" spans="16:20">
      <c r="P8093" s="1094">
        <v>3825</v>
      </c>
      <c r="Q8093" t="s">
        <v>8815</v>
      </c>
      <c r="R8093" t="s">
        <v>616</v>
      </c>
      <c r="S8093">
        <v>146.34293199999999</v>
      </c>
      <c r="T8093" s="1095">
        <v>-37.978861999999999</v>
      </c>
    </row>
    <row r="8094" spans="16:20">
      <c r="P8094" s="1094">
        <v>3825</v>
      </c>
      <c r="Q8094" t="s">
        <v>8816</v>
      </c>
      <c r="R8094" t="s">
        <v>616</v>
      </c>
      <c r="S8094">
        <v>146.34293199999999</v>
      </c>
      <c r="T8094" s="1095">
        <v>-37.978861999999999</v>
      </c>
    </row>
    <row r="8095" spans="16:20">
      <c r="P8095" s="1094">
        <v>3825</v>
      </c>
      <c r="Q8095" t="s">
        <v>8817</v>
      </c>
      <c r="R8095" t="s">
        <v>616</v>
      </c>
      <c r="S8095">
        <v>146.34293199999999</v>
      </c>
      <c r="T8095" s="1095">
        <v>-37.978861999999999</v>
      </c>
    </row>
    <row r="8096" spans="16:20">
      <c r="P8096" s="1094">
        <v>3825</v>
      </c>
      <c r="Q8096" t="s">
        <v>8818</v>
      </c>
      <c r="R8096" t="s">
        <v>616</v>
      </c>
      <c r="S8096">
        <v>146.34293199999999</v>
      </c>
      <c r="T8096" s="1095">
        <v>-37.978861999999999</v>
      </c>
    </row>
    <row r="8097" spans="16:20">
      <c r="P8097" s="1094">
        <v>3825</v>
      </c>
      <c r="Q8097" t="s">
        <v>8819</v>
      </c>
      <c r="R8097" t="s">
        <v>616</v>
      </c>
      <c r="S8097">
        <v>146.34293199999999</v>
      </c>
      <c r="T8097" s="1095">
        <v>-37.978861999999999</v>
      </c>
    </row>
    <row r="8098" spans="16:20">
      <c r="P8098" s="1094">
        <v>3825</v>
      </c>
      <c r="Q8098" t="s">
        <v>8820</v>
      </c>
      <c r="R8098" t="s">
        <v>616</v>
      </c>
      <c r="S8098">
        <v>146.34293199999999</v>
      </c>
      <c r="T8098" s="1095">
        <v>-37.978861999999999</v>
      </c>
    </row>
    <row r="8099" spans="16:20">
      <c r="P8099" s="1094">
        <v>3825</v>
      </c>
      <c r="Q8099" t="s">
        <v>6819</v>
      </c>
      <c r="R8099" t="s">
        <v>616</v>
      </c>
      <c r="S8099">
        <v>146.34293199999999</v>
      </c>
      <c r="T8099" s="1095">
        <v>-37.978861999999999</v>
      </c>
    </row>
    <row r="8100" spans="16:20">
      <c r="P8100" s="1094">
        <v>3825</v>
      </c>
      <c r="Q8100" t="s">
        <v>8821</v>
      </c>
      <c r="R8100" t="s">
        <v>616</v>
      </c>
      <c r="S8100">
        <v>146.34293199999999</v>
      </c>
      <c r="T8100" s="1095">
        <v>-37.978861999999999</v>
      </c>
    </row>
    <row r="8101" spans="16:20">
      <c r="P8101" s="1094">
        <v>3825</v>
      </c>
      <c r="Q8101" t="s">
        <v>8822</v>
      </c>
      <c r="R8101" t="s">
        <v>616</v>
      </c>
      <c r="S8101">
        <v>146.34293199999999</v>
      </c>
      <c r="T8101" s="1095">
        <v>-37.978861999999999</v>
      </c>
    </row>
    <row r="8102" spans="16:20">
      <c r="P8102" s="1094">
        <v>3825</v>
      </c>
      <c r="Q8102" t="s">
        <v>8823</v>
      </c>
      <c r="R8102" t="s">
        <v>616</v>
      </c>
      <c r="S8102">
        <v>146.34293199999999</v>
      </c>
      <c r="T8102" s="1095">
        <v>-37.978861999999999</v>
      </c>
    </row>
    <row r="8103" spans="16:20">
      <c r="P8103" s="1094">
        <v>3825</v>
      </c>
      <c r="Q8103" t="s">
        <v>8824</v>
      </c>
      <c r="R8103" t="s">
        <v>616</v>
      </c>
      <c r="S8103">
        <v>146.34293199999999</v>
      </c>
      <c r="T8103" s="1095">
        <v>-37.978861999999999</v>
      </c>
    </row>
    <row r="8104" spans="16:20">
      <c r="P8104" s="1094">
        <v>3825</v>
      </c>
      <c r="Q8104" t="s">
        <v>8825</v>
      </c>
      <c r="R8104" t="s">
        <v>616</v>
      </c>
      <c r="S8104">
        <v>146.34293199999999</v>
      </c>
      <c r="T8104" s="1095">
        <v>-37.978861999999999</v>
      </c>
    </row>
    <row r="8105" spans="16:20">
      <c r="P8105" s="1094">
        <v>3831</v>
      </c>
      <c r="Q8105" t="s">
        <v>8826</v>
      </c>
      <c r="R8105" t="s">
        <v>616</v>
      </c>
      <c r="S8105">
        <v>146.013136</v>
      </c>
      <c r="T8105" s="1095">
        <v>-37.993257999999997</v>
      </c>
    </row>
    <row r="8106" spans="16:20">
      <c r="P8106" s="1094">
        <v>3831</v>
      </c>
      <c r="Q8106" t="s">
        <v>8827</v>
      </c>
      <c r="R8106" t="s">
        <v>616</v>
      </c>
      <c r="S8106">
        <v>146.013136</v>
      </c>
      <c r="T8106" s="1095">
        <v>-37.993257999999997</v>
      </c>
    </row>
    <row r="8107" spans="16:20">
      <c r="P8107" s="1094">
        <v>3831</v>
      </c>
      <c r="Q8107" t="s">
        <v>8828</v>
      </c>
      <c r="R8107" t="s">
        <v>616</v>
      </c>
      <c r="S8107">
        <v>146.013136</v>
      </c>
      <c r="T8107" s="1095">
        <v>-37.993257999999997</v>
      </c>
    </row>
    <row r="8108" spans="16:20">
      <c r="P8108" s="1094">
        <v>3832</v>
      </c>
      <c r="Q8108" t="s">
        <v>8779</v>
      </c>
      <c r="R8108" t="s">
        <v>616</v>
      </c>
      <c r="S8108">
        <v>0</v>
      </c>
      <c r="T8108" s="1095">
        <v>0</v>
      </c>
    </row>
    <row r="8109" spans="16:20">
      <c r="P8109" s="1094">
        <v>3832</v>
      </c>
      <c r="Q8109" t="s">
        <v>8780</v>
      </c>
      <c r="R8109" t="s">
        <v>616</v>
      </c>
      <c r="S8109">
        <v>0</v>
      </c>
      <c r="T8109" s="1095">
        <v>0</v>
      </c>
    </row>
    <row r="8110" spans="16:20">
      <c r="P8110" s="1094">
        <v>3832</v>
      </c>
      <c r="Q8110" t="s">
        <v>8781</v>
      </c>
      <c r="R8110" t="s">
        <v>616</v>
      </c>
      <c r="S8110">
        <v>0</v>
      </c>
      <c r="T8110" s="1095">
        <v>0</v>
      </c>
    </row>
    <row r="8111" spans="16:20">
      <c r="P8111" s="1094">
        <v>3833</v>
      </c>
      <c r="Q8111" t="s">
        <v>8829</v>
      </c>
      <c r="R8111" t="s">
        <v>616</v>
      </c>
      <c r="S8111">
        <v>146.07788600000001</v>
      </c>
      <c r="T8111" s="1095">
        <v>-37.829346999999999</v>
      </c>
    </row>
    <row r="8112" spans="16:20">
      <c r="P8112" s="1094">
        <v>3833</v>
      </c>
      <c r="Q8112" t="s">
        <v>8830</v>
      </c>
      <c r="R8112" t="s">
        <v>616</v>
      </c>
      <c r="S8112">
        <v>146.07788600000001</v>
      </c>
      <c r="T8112" s="1095">
        <v>-37.829346999999999</v>
      </c>
    </row>
    <row r="8113" spans="16:20">
      <c r="P8113" s="1094">
        <v>3833</v>
      </c>
      <c r="Q8113" t="s">
        <v>8831</v>
      </c>
      <c r="R8113" t="s">
        <v>616</v>
      </c>
      <c r="S8113">
        <v>146.07788600000001</v>
      </c>
      <c r="T8113" s="1095">
        <v>-37.829346999999999</v>
      </c>
    </row>
    <row r="8114" spans="16:20">
      <c r="P8114" s="1094">
        <v>3833</v>
      </c>
      <c r="Q8114" t="s">
        <v>8832</v>
      </c>
      <c r="R8114" t="s">
        <v>616</v>
      </c>
      <c r="S8114">
        <v>146.07788600000001</v>
      </c>
      <c r="T8114" s="1095">
        <v>-37.829346999999999</v>
      </c>
    </row>
    <row r="8115" spans="16:20">
      <c r="P8115" s="1094">
        <v>3833</v>
      </c>
      <c r="Q8115" t="s">
        <v>8833</v>
      </c>
      <c r="R8115" t="s">
        <v>616</v>
      </c>
      <c r="S8115">
        <v>146.07788600000001</v>
      </c>
      <c r="T8115" s="1095">
        <v>-37.829346999999999</v>
      </c>
    </row>
    <row r="8116" spans="16:20">
      <c r="P8116" s="1094">
        <v>3833</v>
      </c>
      <c r="Q8116" t="s">
        <v>8834</v>
      </c>
      <c r="R8116" t="s">
        <v>616</v>
      </c>
      <c r="S8116">
        <v>146.07788600000001</v>
      </c>
      <c r="T8116" s="1095">
        <v>-37.829346999999999</v>
      </c>
    </row>
    <row r="8117" spans="16:20">
      <c r="P8117" s="1094">
        <v>3833</v>
      </c>
      <c r="Q8117" t="s">
        <v>8835</v>
      </c>
      <c r="R8117" t="s">
        <v>616</v>
      </c>
      <c r="S8117">
        <v>146.07788600000001</v>
      </c>
      <c r="T8117" s="1095">
        <v>-37.829346999999999</v>
      </c>
    </row>
    <row r="8118" spans="16:20">
      <c r="P8118" s="1094">
        <v>3833</v>
      </c>
      <c r="Q8118" t="s">
        <v>8836</v>
      </c>
      <c r="R8118" t="s">
        <v>616</v>
      </c>
      <c r="S8118">
        <v>146.07788600000001</v>
      </c>
      <c r="T8118" s="1095">
        <v>-37.829346999999999</v>
      </c>
    </row>
    <row r="8119" spans="16:20">
      <c r="P8119" s="1094">
        <v>3833</v>
      </c>
      <c r="Q8119" t="s">
        <v>8837</v>
      </c>
      <c r="R8119" t="s">
        <v>616</v>
      </c>
      <c r="S8119">
        <v>146.07788600000001</v>
      </c>
      <c r="T8119" s="1095">
        <v>-37.829346999999999</v>
      </c>
    </row>
    <row r="8120" spans="16:20">
      <c r="P8120" s="1094">
        <v>3833</v>
      </c>
      <c r="Q8120" t="s">
        <v>8838</v>
      </c>
      <c r="R8120" t="s">
        <v>616</v>
      </c>
      <c r="S8120">
        <v>146.07788600000001</v>
      </c>
      <c r="T8120" s="1095">
        <v>-37.829346999999999</v>
      </c>
    </row>
    <row r="8121" spans="16:20">
      <c r="P8121" s="1094">
        <v>3835</v>
      </c>
      <c r="Q8121" t="s">
        <v>8839</v>
      </c>
      <c r="R8121" t="s">
        <v>616</v>
      </c>
      <c r="S8121">
        <v>146.17527100000001</v>
      </c>
      <c r="T8121" s="1095">
        <v>-38.290636999999997</v>
      </c>
    </row>
    <row r="8122" spans="16:20">
      <c r="P8122" s="1094">
        <v>3840</v>
      </c>
      <c r="Q8122" t="s">
        <v>8840</v>
      </c>
      <c r="R8122" t="s">
        <v>616</v>
      </c>
      <c r="S8122">
        <v>146.42445699999999</v>
      </c>
      <c r="T8122" s="1095">
        <v>-38.245215000000002</v>
      </c>
    </row>
    <row r="8123" spans="16:20">
      <c r="P8123" s="1094">
        <v>3840</v>
      </c>
      <c r="Q8123" t="s">
        <v>8841</v>
      </c>
      <c r="R8123" t="s">
        <v>616</v>
      </c>
      <c r="S8123">
        <v>146.42445699999999</v>
      </c>
      <c r="T8123" s="1095">
        <v>-38.245215000000002</v>
      </c>
    </row>
    <row r="8124" spans="16:20">
      <c r="P8124" s="1094">
        <v>3840</v>
      </c>
      <c r="Q8124" t="s">
        <v>8842</v>
      </c>
      <c r="R8124" t="s">
        <v>616</v>
      </c>
      <c r="S8124">
        <v>146.42445699999999</v>
      </c>
      <c r="T8124" s="1095">
        <v>-38.245215000000002</v>
      </c>
    </row>
    <row r="8125" spans="16:20">
      <c r="P8125" s="1094">
        <v>3840</v>
      </c>
      <c r="Q8125" t="s">
        <v>8843</v>
      </c>
      <c r="R8125" t="s">
        <v>616</v>
      </c>
      <c r="S8125">
        <v>146.42445699999999</v>
      </c>
      <c r="T8125" s="1095">
        <v>-38.245215000000002</v>
      </c>
    </row>
    <row r="8126" spans="16:20">
      <c r="P8126" s="1094">
        <v>3840</v>
      </c>
      <c r="Q8126" t="s">
        <v>8844</v>
      </c>
      <c r="R8126" t="s">
        <v>616</v>
      </c>
      <c r="S8126">
        <v>146.42445699999999</v>
      </c>
      <c r="T8126" s="1095">
        <v>-38.245215000000002</v>
      </c>
    </row>
    <row r="8127" spans="16:20">
      <c r="P8127" s="1094">
        <v>3840</v>
      </c>
      <c r="Q8127" t="s">
        <v>8845</v>
      </c>
      <c r="R8127" t="s">
        <v>616</v>
      </c>
      <c r="S8127">
        <v>146.42445699999999</v>
      </c>
      <c r="T8127" s="1095">
        <v>-38.245215000000002</v>
      </c>
    </row>
    <row r="8128" spans="16:20">
      <c r="P8128" s="1094">
        <v>3840</v>
      </c>
      <c r="Q8128" t="s">
        <v>5935</v>
      </c>
      <c r="R8128" t="s">
        <v>616</v>
      </c>
      <c r="S8128">
        <v>146.42445699999999</v>
      </c>
      <c r="T8128" s="1095">
        <v>-38.245215000000002</v>
      </c>
    </row>
    <row r="8129" spans="16:20">
      <c r="P8129" s="1094">
        <v>3840</v>
      </c>
      <c r="Q8129" t="s">
        <v>8846</v>
      </c>
      <c r="R8129" t="s">
        <v>616</v>
      </c>
      <c r="S8129">
        <v>146.42445699999999</v>
      </c>
      <c r="T8129" s="1095">
        <v>-38.245215000000002</v>
      </c>
    </row>
    <row r="8130" spans="16:20">
      <c r="P8130" s="1094">
        <v>3840</v>
      </c>
      <c r="Q8130" t="s">
        <v>8847</v>
      </c>
      <c r="R8130" t="s">
        <v>616</v>
      </c>
      <c r="S8130">
        <v>146.42445699999999</v>
      </c>
      <c r="T8130" s="1095">
        <v>-38.245215000000002</v>
      </c>
    </row>
    <row r="8131" spans="16:20">
      <c r="P8131" s="1094">
        <v>3840</v>
      </c>
      <c r="Q8131" t="s">
        <v>8848</v>
      </c>
      <c r="R8131" t="s">
        <v>616</v>
      </c>
      <c r="S8131">
        <v>146.42445699999999</v>
      </c>
      <c r="T8131" s="1095">
        <v>-38.245215000000002</v>
      </c>
    </row>
    <row r="8132" spans="16:20">
      <c r="P8132" s="1094">
        <v>3840</v>
      </c>
      <c r="Q8132" t="s">
        <v>8849</v>
      </c>
      <c r="R8132" t="s">
        <v>616</v>
      </c>
      <c r="S8132">
        <v>146.42445699999999</v>
      </c>
      <c r="T8132" s="1095">
        <v>-38.245215000000002</v>
      </c>
    </row>
    <row r="8133" spans="16:20">
      <c r="P8133" s="1094">
        <v>3841</v>
      </c>
      <c r="Q8133" t="s">
        <v>8850</v>
      </c>
      <c r="R8133" t="s">
        <v>616</v>
      </c>
      <c r="S8133">
        <v>0</v>
      </c>
      <c r="T8133" s="1095">
        <v>0</v>
      </c>
    </row>
    <row r="8134" spans="16:20">
      <c r="P8134" s="1094">
        <v>3842</v>
      </c>
      <c r="Q8134" t="s">
        <v>8851</v>
      </c>
      <c r="R8134" t="s">
        <v>616</v>
      </c>
      <c r="S8134">
        <v>146.41435799999999</v>
      </c>
      <c r="T8134" s="1095">
        <v>-38.315452000000001</v>
      </c>
    </row>
    <row r="8135" spans="16:20">
      <c r="P8135" s="1094">
        <v>3844</v>
      </c>
      <c r="Q8135" t="s">
        <v>8852</v>
      </c>
      <c r="R8135" t="s">
        <v>616</v>
      </c>
      <c r="S8135">
        <v>146.607101</v>
      </c>
      <c r="T8135" s="1095">
        <v>-38.316868999999997</v>
      </c>
    </row>
    <row r="8136" spans="16:20">
      <c r="P8136" s="1094">
        <v>3844</v>
      </c>
      <c r="Q8136" t="s">
        <v>8853</v>
      </c>
      <c r="R8136" t="s">
        <v>616</v>
      </c>
      <c r="S8136">
        <v>146.607101</v>
      </c>
      <c r="T8136" s="1095">
        <v>-38.316868999999997</v>
      </c>
    </row>
    <row r="8137" spans="16:20">
      <c r="P8137" s="1094">
        <v>3844</v>
      </c>
      <c r="Q8137" t="s">
        <v>8854</v>
      </c>
      <c r="R8137" t="s">
        <v>616</v>
      </c>
      <c r="S8137">
        <v>146.607101</v>
      </c>
      <c r="T8137" s="1095">
        <v>-38.316868999999997</v>
      </c>
    </row>
    <row r="8138" spans="16:20">
      <c r="P8138" s="1094">
        <v>3844</v>
      </c>
      <c r="Q8138" t="s">
        <v>8855</v>
      </c>
      <c r="R8138" t="s">
        <v>616</v>
      </c>
      <c r="S8138">
        <v>146.607101</v>
      </c>
      <c r="T8138" s="1095">
        <v>-38.316868999999997</v>
      </c>
    </row>
    <row r="8139" spans="16:20">
      <c r="P8139" s="1094">
        <v>3844</v>
      </c>
      <c r="Q8139" t="s">
        <v>4862</v>
      </c>
      <c r="R8139" t="s">
        <v>616</v>
      </c>
      <c r="S8139">
        <v>146.607101</v>
      </c>
      <c r="T8139" s="1095">
        <v>-38.316868999999997</v>
      </c>
    </row>
    <row r="8140" spans="16:20">
      <c r="P8140" s="1094">
        <v>3844</v>
      </c>
      <c r="Q8140" t="s">
        <v>8856</v>
      </c>
      <c r="R8140" t="s">
        <v>616</v>
      </c>
      <c r="S8140">
        <v>146.607101</v>
      </c>
      <c r="T8140" s="1095">
        <v>-38.316868999999997</v>
      </c>
    </row>
    <row r="8141" spans="16:20">
      <c r="P8141" s="1094">
        <v>3844</v>
      </c>
      <c r="Q8141" t="s">
        <v>8857</v>
      </c>
      <c r="R8141" t="s">
        <v>616</v>
      </c>
      <c r="S8141">
        <v>146.607101</v>
      </c>
      <c r="T8141" s="1095">
        <v>-38.316868999999997</v>
      </c>
    </row>
    <row r="8142" spans="16:20">
      <c r="P8142" s="1094">
        <v>3844</v>
      </c>
      <c r="Q8142" t="s">
        <v>8858</v>
      </c>
      <c r="R8142" t="s">
        <v>616</v>
      </c>
      <c r="S8142">
        <v>146.607101</v>
      </c>
      <c r="T8142" s="1095">
        <v>-38.316868999999997</v>
      </c>
    </row>
    <row r="8143" spans="16:20">
      <c r="P8143" s="1094">
        <v>3844</v>
      </c>
      <c r="Q8143" t="s">
        <v>8859</v>
      </c>
      <c r="R8143" t="s">
        <v>616</v>
      </c>
      <c r="S8143">
        <v>146.607101</v>
      </c>
      <c r="T8143" s="1095">
        <v>-38.316868999999997</v>
      </c>
    </row>
    <row r="8144" spans="16:20">
      <c r="P8144" s="1094">
        <v>3844</v>
      </c>
      <c r="Q8144" t="s">
        <v>8860</v>
      </c>
      <c r="R8144" t="s">
        <v>616</v>
      </c>
      <c r="S8144">
        <v>146.607101</v>
      </c>
      <c r="T8144" s="1095">
        <v>-38.316868999999997</v>
      </c>
    </row>
    <row r="8145" spans="16:20">
      <c r="P8145" s="1094">
        <v>3844</v>
      </c>
      <c r="Q8145" t="s">
        <v>8861</v>
      </c>
      <c r="R8145" t="s">
        <v>616</v>
      </c>
      <c r="S8145">
        <v>146.607101</v>
      </c>
      <c r="T8145" s="1095">
        <v>-38.316868999999997</v>
      </c>
    </row>
    <row r="8146" spans="16:20">
      <c r="P8146" s="1094">
        <v>3844</v>
      </c>
      <c r="Q8146" t="s">
        <v>8862</v>
      </c>
      <c r="R8146" t="s">
        <v>616</v>
      </c>
      <c r="S8146">
        <v>146.607101</v>
      </c>
      <c r="T8146" s="1095">
        <v>-38.316868999999997</v>
      </c>
    </row>
    <row r="8147" spans="16:20">
      <c r="P8147" s="1094">
        <v>3844</v>
      </c>
      <c r="Q8147" t="s">
        <v>8863</v>
      </c>
      <c r="R8147" t="s">
        <v>616</v>
      </c>
      <c r="S8147">
        <v>146.607101</v>
      </c>
      <c r="T8147" s="1095">
        <v>-38.316868999999997</v>
      </c>
    </row>
    <row r="8148" spans="16:20">
      <c r="P8148" s="1094">
        <v>3847</v>
      </c>
      <c r="Q8148" t="s">
        <v>8864</v>
      </c>
      <c r="R8148" t="s">
        <v>616</v>
      </c>
      <c r="S8148">
        <v>146.77299099999999</v>
      </c>
      <c r="T8148" s="1095">
        <v>-38.166212999999999</v>
      </c>
    </row>
    <row r="8149" spans="16:20">
      <c r="P8149" s="1094">
        <v>3847</v>
      </c>
      <c r="Q8149" t="s">
        <v>8865</v>
      </c>
      <c r="R8149" t="s">
        <v>616</v>
      </c>
      <c r="S8149">
        <v>146.77299099999999</v>
      </c>
      <c r="T8149" s="1095">
        <v>-38.166212999999999</v>
      </c>
    </row>
    <row r="8150" spans="16:20">
      <c r="P8150" s="1094">
        <v>3847</v>
      </c>
      <c r="Q8150" t="s">
        <v>4299</v>
      </c>
      <c r="R8150" t="s">
        <v>616</v>
      </c>
      <c r="S8150">
        <v>146.77299099999999</v>
      </c>
      <c r="T8150" s="1095">
        <v>-38.166212999999999</v>
      </c>
    </row>
    <row r="8151" spans="16:20">
      <c r="P8151" s="1094">
        <v>3847</v>
      </c>
      <c r="Q8151" t="s">
        <v>8866</v>
      </c>
      <c r="R8151" t="s">
        <v>616</v>
      </c>
      <c r="S8151">
        <v>146.77299099999999</v>
      </c>
      <c r="T8151" s="1095">
        <v>-38.166212999999999</v>
      </c>
    </row>
    <row r="8152" spans="16:20">
      <c r="P8152" s="1094">
        <v>3850</v>
      </c>
      <c r="Q8152" t="s">
        <v>8867</v>
      </c>
      <c r="R8152" t="s">
        <v>616</v>
      </c>
      <c r="S8152">
        <v>147.10618099999999</v>
      </c>
      <c r="T8152" s="1095">
        <v>-38.224190999999998</v>
      </c>
    </row>
    <row r="8153" spans="16:20">
      <c r="P8153" s="1094">
        <v>3850</v>
      </c>
      <c r="Q8153" t="s">
        <v>8868</v>
      </c>
      <c r="R8153" t="s">
        <v>616</v>
      </c>
      <c r="S8153">
        <v>147.10618099999999</v>
      </c>
      <c r="T8153" s="1095">
        <v>-38.224190999999998</v>
      </c>
    </row>
    <row r="8154" spans="16:20">
      <c r="P8154" s="1094">
        <v>3850</v>
      </c>
      <c r="Q8154" t="s">
        <v>8869</v>
      </c>
      <c r="R8154" t="s">
        <v>616</v>
      </c>
      <c r="S8154">
        <v>147.10618099999999</v>
      </c>
      <c r="T8154" s="1095">
        <v>-38.224190999999998</v>
      </c>
    </row>
    <row r="8155" spans="16:20">
      <c r="P8155" s="1094">
        <v>3850</v>
      </c>
      <c r="Q8155" t="s">
        <v>8870</v>
      </c>
      <c r="R8155" t="s">
        <v>616</v>
      </c>
      <c r="S8155">
        <v>147.10618099999999</v>
      </c>
      <c r="T8155" s="1095">
        <v>-38.224190999999998</v>
      </c>
    </row>
    <row r="8156" spans="16:20">
      <c r="P8156" s="1094">
        <v>3850</v>
      </c>
      <c r="Q8156" t="s">
        <v>8871</v>
      </c>
      <c r="R8156" t="s">
        <v>616</v>
      </c>
      <c r="S8156">
        <v>147.10618099999999</v>
      </c>
      <c r="T8156" s="1095">
        <v>-38.224190999999998</v>
      </c>
    </row>
    <row r="8157" spans="16:20">
      <c r="P8157" s="1094">
        <v>3851</v>
      </c>
      <c r="Q8157" t="s">
        <v>6092</v>
      </c>
      <c r="R8157" t="s">
        <v>616</v>
      </c>
      <c r="S8157">
        <v>0</v>
      </c>
      <c r="T8157" s="1095">
        <v>0</v>
      </c>
    </row>
    <row r="8158" spans="16:20">
      <c r="P8158" s="1094">
        <v>3851</v>
      </c>
      <c r="Q8158" t="s">
        <v>8872</v>
      </c>
      <c r="R8158" t="s">
        <v>616</v>
      </c>
      <c r="S8158">
        <v>0</v>
      </c>
      <c r="T8158" s="1095">
        <v>0</v>
      </c>
    </row>
    <row r="8159" spans="16:20">
      <c r="P8159" s="1094">
        <v>3851</v>
      </c>
      <c r="Q8159" t="s">
        <v>8873</v>
      </c>
      <c r="R8159" t="s">
        <v>616</v>
      </c>
      <c r="S8159">
        <v>0</v>
      </c>
      <c r="T8159" s="1095">
        <v>0</v>
      </c>
    </row>
    <row r="8160" spans="16:20">
      <c r="P8160" s="1094">
        <v>3851</v>
      </c>
      <c r="Q8160" t="s">
        <v>8874</v>
      </c>
      <c r="R8160" t="s">
        <v>616</v>
      </c>
      <c r="S8160">
        <v>0</v>
      </c>
      <c r="T8160" s="1095">
        <v>0</v>
      </c>
    </row>
    <row r="8161" spans="16:20">
      <c r="P8161" s="1094">
        <v>3851</v>
      </c>
      <c r="Q8161" t="s">
        <v>8875</v>
      </c>
      <c r="R8161" t="s">
        <v>616</v>
      </c>
      <c r="S8161">
        <v>0</v>
      </c>
      <c r="T8161" s="1095">
        <v>0</v>
      </c>
    </row>
    <row r="8162" spans="16:20">
      <c r="P8162" s="1094">
        <v>3851</v>
      </c>
      <c r="Q8162" t="s">
        <v>8876</v>
      </c>
      <c r="R8162" t="s">
        <v>616</v>
      </c>
      <c r="S8162">
        <v>0</v>
      </c>
      <c r="T8162" s="1095">
        <v>0</v>
      </c>
    </row>
    <row r="8163" spans="16:20">
      <c r="P8163" s="1094">
        <v>3851</v>
      </c>
      <c r="Q8163" t="s">
        <v>8877</v>
      </c>
      <c r="R8163" t="s">
        <v>616</v>
      </c>
      <c r="S8163">
        <v>0</v>
      </c>
      <c r="T8163" s="1095">
        <v>0</v>
      </c>
    </row>
    <row r="8164" spans="16:20">
      <c r="P8164" s="1094">
        <v>3851</v>
      </c>
      <c r="Q8164" t="s">
        <v>8878</v>
      </c>
      <c r="R8164" t="s">
        <v>616</v>
      </c>
      <c r="S8164">
        <v>0</v>
      </c>
      <c r="T8164" s="1095">
        <v>0</v>
      </c>
    </row>
    <row r="8165" spans="16:20">
      <c r="P8165" s="1094">
        <v>3851</v>
      </c>
      <c r="Q8165" t="s">
        <v>8879</v>
      </c>
      <c r="R8165" t="s">
        <v>616</v>
      </c>
      <c r="S8165">
        <v>0</v>
      </c>
      <c r="T8165" s="1095">
        <v>0</v>
      </c>
    </row>
    <row r="8166" spans="16:20">
      <c r="P8166" s="1094">
        <v>3851</v>
      </c>
      <c r="Q8166" t="s">
        <v>8880</v>
      </c>
      <c r="R8166" t="s">
        <v>616</v>
      </c>
      <c r="S8166">
        <v>0</v>
      </c>
      <c r="T8166" s="1095">
        <v>0</v>
      </c>
    </row>
    <row r="8167" spans="16:20">
      <c r="P8167" s="1094">
        <v>3851</v>
      </c>
      <c r="Q8167" t="s">
        <v>8881</v>
      </c>
      <c r="R8167" t="s">
        <v>616</v>
      </c>
      <c r="S8167">
        <v>0</v>
      </c>
      <c r="T8167" s="1095">
        <v>0</v>
      </c>
    </row>
    <row r="8168" spans="16:20">
      <c r="P8168" s="1094">
        <v>3851</v>
      </c>
      <c r="Q8168" t="s">
        <v>8882</v>
      </c>
      <c r="R8168" t="s">
        <v>616</v>
      </c>
      <c r="S8168">
        <v>0</v>
      </c>
      <c r="T8168" s="1095">
        <v>0</v>
      </c>
    </row>
    <row r="8169" spans="16:20">
      <c r="P8169" s="1094">
        <v>3851</v>
      </c>
      <c r="Q8169" t="s">
        <v>8883</v>
      </c>
      <c r="R8169" t="s">
        <v>616</v>
      </c>
      <c r="S8169">
        <v>0</v>
      </c>
      <c r="T8169" s="1095">
        <v>0</v>
      </c>
    </row>
    <row r="8170" spans="16:20">
      <c r="P8170" s="1094">
        <v>3851</v>
      </c>
      <c r="Q8170" t="s">
        <v>8884</v>
      </c>
      <c r="R8170" t="s">
        <v>616</v>
      </c>
      <c r="S8170">
        <v>0</v>
      </c>
      <c r="T8170" s="1095">
        <v>0</v>
      </c>
    </row>
    <row r="8171" spans="16:20">
      <c r="P8171" s="1094">
        <v>3851</v>
      </c>
      <c r="Q8171" t="s">
        <v>8885</v>
      </c>
      <c r="R8171" t="s">
        <v>616</v>
      </c>
      <c r="S8171">
        <v>0</v>
      </c>
      <c r="T8171" s="1095">
        <v>0</v>
      </c>
    </row>
    <row r="8172" spans="16:20">
      <c r="P8172" s="1094">
        <v>3851</v>
      </c>
      <c r="Q8172" t="s">
        <v>8886</v>
      </c>
      <c r="R8172" t="s">
        <v>616</v>
      </c>
      <c r="S8172">
        <v>0</v>
      </c>
      <c r="T8172" s="1095">
        <v>0</v>
      </c>
    </row>
    <row r="8173" spans="16:20">
      <c r="P8173" s="1094">
        <v>3851</v>
      </c>
      <c r="Q8173" t="s">
        <v>8887</v>
      </c>
      <c r="R8173" t="s">
        <v>616</v>
      </c>
      <c r="S8173">
        <v>0</v>
      </c>
      <c r="T8173" s="1095">
        <v>0</v>
      </c>
    </row>
    <row r="8174" spans="16:20">
      <c r="P8174" s="1094">
        <v>3851</v>
      </c>
      <c r="Q8174" t="s">
        <v>8888</v>
      </c>
      <c r="R8174" t="s">
        <v>616</v>
      </c>
      <c r="S8174">
        <v>0</v>
      </c>
      <c r="T8174" s="1095">
        <v>0</v>
      </c>
    </row>
    <row r="8175" spans="16:20">
      <c r="P8175" s="1094">
        <v>3851</v>
      </c>
      <c r="Q8175" t="s">
        <v>1954</v>
      </c>
      <c r="R8175" t="s">
        <v>616</v>
      </c>
      <c r="S8175">
        <v>0</v>
      </c>
      <c r="T8175" s="1095">
        <v>0</v>
      </c>
    </row>
    <row r="8176" spans="16:20">
      <c r="P8176" s="1094">
        <v>3851</v>
      </c>
      <c r="Q8176" t="s">
        <v>8889</v>
      </c>
      <c r="R8176" t="s">
        <v>616</v>
      </c>
      <c r="S8176">
        <v>0</v>
      </c>
      <c r="T8176" s="1095">
        <v>0</v>
      </c>
    </row>
    <row r="8177" spans="16:20">
      <c r="P8177" s="1094">
        <v>3851</v>
      </c>
      <c r="Q8177" t="s">
        <v>8890</v>
      </c>
      <c r="R8177" t="s">
        <v>616</v>
      </c>
      <c r="S8177">
        <v>0</v>
      </c>
      <c r="T8177" s="1095">
        <v>0</v>
      </c>
    </row>
    <row r="8178" spans="16:20">
      <c r="P8178" s="1094">
        <v>3851</v>
      </c>
      <c r="Q8178" t="s">
        <v>8891</v>
      </c>
      <c r="R8178" t="s">
        <v>616</v>
      </c>
      <c r="S8178">
        <v>0</v>
      </c>
      <c r="T8178" s="1095">
        <v>0</v>
      </c>
    </row>
    <row r="8179" spans="16:20">
      <c r="P8179" s="1094">
        <v>3851</v>
      </c>
      <c r="Q8179" t="s">
        <v>8892</v>
      </c>
      <c r="R8179" t="s">
        <v>616</v>
      </c>
      <c r="S8179">
        <v>0</v>
      </c>
      <c r="T8179" s="1095">
        <v>0</v>
      </c>
    </row>
    <row r="8180" spans="16:20">
      <c r="P8180" s="1094">
        <v>3851</v>
      </c>
      <c r="Q8180" t="s">
        <v>8893</v>
      </c>
      <c r="R8180" t="s">
        <v>616</v>
      </c>
      <c r="S8180">
        <v>0</v>
      </c>
      <c r="T8180" s="1095">
        <v>0</v>
      </c>
    </row>
    <row r="8181" spans="16:20">
      <c r="P8181" s="1094">
        <v>3851</v>
      </c>
      <c r="Q8181" t="s">
        <v>8894</v>
      </c>
      <c r="R8181" t="s">
        <v>616</v>
      </c>
      <c r="S8181">
        <v>0</v>
      </c>
      <c r="T8181" s="1095">
        <v>0</v>
      </c>
    </row>
    <row r="8182" spans="16:20">
      <c r="P8182" s="1094">
        <v>3851</v>
      </c>
      <c r="Q8182" t="s">
        <v>8895</v>
      </c>
      <c r="R8182" t="s">
        <v>616</v>
      </c>
      <c r="S8182">
        <v>0</v>
      </c>
      <c r="T8182" s="1095">
        <v>0</v>
      </c>
    </row>
    <row r="8183" spans="16:20">
      <c r="P8183" s="1094">
        <v>3852</v>
      </c>
      <c r="Q8183" t="s">
        <v>8896</v>
      </c>
      <c r="R8183" t="s">
        <v>616</v>
      </c>
      <c r="S8183">
        <v>0</v>
      </c>
      <c r="T8183" s="1095">
        <v>0</v>
      </c>
    </row>
    <row r="8184" spans="16:20">
      <c r="P8184" s="1094">
        <v>3853</v>
      </c>
      <c r="Q8184" t="s">
        <v>8869</v>
      </c>
      <c r="R8184" t="s">
        <v>616</v>
      </c>
      <c r="S8184">
        <v>0</v>
      </c>
      <c r="T8184" s="1095">
        <v>0</v>
      </c>
    </row>
    <row r="8185" spans="16:20">
      <c r="P8185" s="1094">
        <v>3854</v>
      </c>
      <c r="Q8185" t="s">
        <v>8897</v>
      </c>
      <c r="R8185" t="s">
        <v>616</v>
      </c>
      <c r="S8185">
        <v>146.59687700000001</v>
      </c>
      <c r="T8185" s="1095">
        <v>-38.124130000000001</v>
      </c>
    </row>
    <row r="8186" spans="16:20">
      <c r="P8186" s="1094">
        <v>3854</v>
      </c>
      <c r="Q8186" t="s">
        <v>8898</v>
      </c>
      <c r="R8186" t="s">
        <v>616</v>
      </c>
      <c r="S8186">
        <v>146.59687700000001</v>
      </c>
      <c r="T8186" s="1095">
        <v>-38.124130000000001</v>
      </c>
    </row>
    <row r="8187" spans="16:20">
      <c r="P8187" s="1094">
        <v>3854</v>
      </c>
      <c r="Q8187" t="s">
        <v>8899</v>
      </c>
      <c r="R8187" t="s">
        <v>616</v>
      </c>
      <c r="S8187">
        <v>146.59687700000001</v>
      </c>
      <c r="T8187" s="1095">
        <v>-38.124130000000001</v>
      </c>
    </row>
    <row r="8188" spans="16:20">
      <c r="P8188" s="1094">
        <v>3856</v>
      </c>
      <c r="Q8188" t="s">
        <v>2045</v>
      </c>
      <c r="R8188" t="s">
        <v>616</v>
      </c>
      <c r="S8188">
        <v>146.67220599999999</v>
      </c>
      <c r="T8188" s="1095">
        <v>-38.063907</v>
      </c>
    </row>
    <row r="8189" spans="16:20">
      <c r="P8189" s="1094">
        <v>3857</v>
      </c>
      <c r="Q8189" t="s">
        <v>8900</v>
      </c>
      <c r="R8189" t="s">
        <v>616</v>
      </c>
      <c r="S8189">
        <v>146.69489400000001</v>
      </c>
      <c r="T8189" s="1095">
        <v>-38.018616000000002</v>
      </c>
    </row>
    <row r="8190" spans="16:20">
      <c r="P8190" s="1094">
        <v>3858</v>
      </c>
      <c r="Q8190" t="s">
        <v>8901</v>
      </c>
      <c r="R8190" t="s">
        <v>616</v>
      </c>
      <c r="S8190">
        <v>146.57610099999999</v>
      </c>
      <c r="T8190" s="1095">
        <v>-37.821756000000001</v>
      </c>
    </row>
    <row r="8191" spans="16:20">
      <c r="P8191" s="1094">
        <v>3858</v>
      </c>
      <c r="Q8191" t="s">
        <v>8902</v>
      </c>
      <c r="R8191" t="s">
        <v>616</v>
      </c>
      <c r="S8191">
        <v>146.57610099999999</v>
      </c>
      <c r="T8191" s="1095">
        <v>-37.821756000000001</v>
      </c>
    </row>
    <row r="8192" spans="16:20">
      <c r="P8192" s="1094">
        <v>3858</v>
      </c>
      <c r="Q8192" t="s">
        <v>8903</v>
      </c>
      <c r="R8192" t="s">
        <v>616</v>
      </c>
      <c r="S8192">
        <v>146.57610099999999</v>
      </c>
      <c r="T8192" s="1095">
        <v>-37.821756000000001</v>
      </c>
    </row>
    <row r="8193" spans="16:20">
      <c r="P8193" s="1094">
        <v>3858</v>
      </c>
      <c r="Q8193" t="s">
        <v>8904</v>
      </c>
      <c r="R8193" t="s">
        <v>616</v>
      </c>
      <c r="S8193">
        <v>146.57610099999999</v>
      </c>
      <c r="T8193" s="1095">
        <v>-37.821756000000001</v>
      </c>
    </row>
    <row r="8194" spans="16:20">
      <c r="P8194" s="1094">
        <v>3858</v>
      </c>
      <c r="Q8194" t="s">
        <v>8905</v>
      </c>
      <c r="R8194" t="s">
        <v>616</v>
      </c>
      <c r="S8194">
        <v>146.57610099999999</v>
      </c>
      <c r="T8194" s="1095">
        <v>-37.821756000000001</v>
      </c>
    </row>
    <row r="8195" spans="16:20">
      <c r="P8195" s="1094">
        <v>3858</v>
      </c>
      <c r="Q8195" t="s">
        <v>8906</v>
      </c>
      <c r="R8195" t="s">
        <v>616</v>
      </c>
      <c r="S8195">
        <v>146.57610099999999</v>
      </c>
      <c r="T8195" s="1095">
        <v>-37.821756000000001</v>
      </c>
    </row>
    <row r="8196" spans="16:20">
      <c r="P8196" s="1094">
        <v>3858</v>
      </c>
      <c r="Q8196" t="s">
        <v>8907</v>
      </c>
      <c r="R8196" t="s">
        <v>616</v>
      </c>
      <c r="S8196">
        <v>146.57610099999999</v>
      </c>
      <c r="T8196" s="1095">
        <v>-37.821756000000001</v>
      </c>
    </row>
    <row r="8197" spans="16:20">
      <c r="P8197" s="1094">
        <v>3858</v>
      </c>
      <c r="Q8197" t="s">
        <v>8908</v>
      </c>
      <c r="R8197" t="s">
        <v>616</v>
      </c>
      <c r="S8197">
        <v>146.57610099999999</v>
      </c>
      <c r="T8197" s="1095">
        <v>-37.821756000000001</v>
      </c>
    </row>
    <row r="8198" spans="16:20">
      <c r="P8198" s="1094">
        <v>3858</v>
      </c>
      <c r="Q8198" t="s">
        <v>8909</v>
      </c>
      <c r="R8198" t="s">
        <v>616</v>
      </c>
      <c r="S8198">
        <v>146.57610099999999</v>
      </c>
      <c r="T8198" s="1095">
        <v>-37.821756000000001</v>
      </c>
    </row>
    <row r="8199" spans="16:20">
      <c r="P8199" s="1094">
        <v>3858</v>
      </c>
      <c r="Q8199" t="s">
        <v>8910</v>
      </c>
      <c r="R8199" t="s">
        <v>616</v>
      </c>
      <c r="S8199">
        <v>146.57610099999999</v>
      </c>
      <c r="T8199" s="1095">
        <v>-37.821756000000001</v>
      </c>
    </row>
    <row r="8200" spans="16:20">
      <c r="P8200" s="1094">
        <v>3859</v>
      </c>
      <c r="Q8200" t="s">
        <v>8911</v>
      </c>
      <c r="R8200" t="s">
        <v>616</v>
      </c>
      <c r="S8200">
        <v>0</v>
      </c>
      <c r="T8200" s="1095">
        <v>0</v>
      </c>
    </row>
    <row r="8201" spans="16:20">
      <c r="P8201" s="1094">
        <v>3859</v>
      </c>
      <c r="Q8201" t="s">
        <v>8912</v>
      </c>
      <c r="R8201" t="s">
        <v>616</v>
      </c>
      <c r="S8201">
        <v>0</v>
      </c>
      <c r="T8201" s="1095">
        <v>0</v>
      </c>
    </row>
    <row r="8202" spans="16:20">
      <c r="P8202" s="1094">
        <v>3859</v>
      </c>
      <c r="Q8202" t="s">
        <v>8913</v>
      </c>
      <c r="R8202" t="s">
        <v>616</v>
      </c>
      <c r="S8202">
        <v>0</v>
      </c>
      <c r="T8202" s="1095">
        <v>0</v>
      </c>
    </row>
    <row r="8203" spans="16:20">
      <c r="P8203" s="1094">
        <v>3859</v>
      </c>
      <c r="Q8203" t="s">
        <v>8914</v>
      </c>
      <c r="R8203" t="s">
        <v>616</v>
      </c>
      <c r="S8203">
        <v>0</v>
      </c>
      <c r="T8203" s="1095">
        <v>0</v>
      </c>
    </row>
    <row r="8204" spans="16:20">
      <c r="P8204" s="1094">
        <v>3859</v>
      </c>
      <c r="Q8204" t="s">
        <v>8915</v>
      </c>
      <c r="R8204" t="s">
        <v>616</v>
      </c>
      <c r="S8204">
        <v>0</v>
      </c>
      <c r="T8204" s="1095">
        <v>0</v>
      </c>
    </row>
    <row r="8205" spans="16:20">
      <c r="P8205" s="1094">
        <v>3860</v>
      </c>
      <c r="Q8205" t="s">
        <v>8916</v>
      </c>
      <c r="R8205" t="s">
        <v>616</v>
      </c>
      <c r="S8205">
        <v>146.80517499999999</v>
      </c>
      <c r="T8205" s="1095">
        <v>-37.571707000000004</v>
      </c>
    </row>
    <row r="8206" spans="16:20">
      <c r="P8206" s="1094">
        <v>3860</v>
      </c>
      <c r="Q8206" t="s">
        <v>8917</v>
      </c>
      <c r="R8206" t="s">
        <v>616</v>
      </c>
      <c r="S8206">
        <v>146.80517499999999</v>
      </c>
      <c r="T8206" s="1095">
        <v>-37.571707000000004</v>
      </c>
    </row>
    <row r="8207" spans="16:20">
      <c r="P8207" s="1094">
        <v>3860</v>
      </c>
      <c r="Q8207" t="s">
        <v>8918</v>
      </c>
      <c r="R8207" t="s">
        <v>616</v>
      </c>
      <c r="S8207">
        <v>146.80517499999999</v>
      </c>
      <c r="T8207" s="1095">
        <v>-37.571707000000004</v>
      </c>
    </row>
    <row r="8208" spans="16:20">
      <c r="P8208" s="1094">
        <v>3860</v>
      </c>
      <c r="Q8208" t="s">
        <v>8919</v>
      </c>
      <c r="R8208" t="s">
        <v>616</v>
      </c>
      <c r="S8208">
        <v>146.80517499999999</v>
      </c>
      <c r="T8208" s="1095">
        <v>-37.571707000000004</v>
      </c>
    </row>
    <row r="8209" spans="16:20">
      <c r="P8209" s="1094">
        <v>3860</v>
      </c>
      <c r="Q8209" t="s">
        <v>5031</v>
      </c>
      <c r="R8209" t="s">
        <v>616</v>
      </c>
      <c r="S8209">
        <v>146.80517499999999</v>
      </c>
      <c r="T8209" s="1095">
        <v>-37.571707000000004</v>
      </c>
    </row>
    <row r="8210" spans="16:20">
      <c r="P8210" s="1094">
        <v>3860</v>
      </c>
      <c r="Q8210" t="s">
        <v>8920</v>
      </c>
      <c r="R8210" t="s">
        <v>616</v>
      </c>
      <c r="S8210">
        <v>146.80517499999999</v>
      </c>
      <c r="T8210" s="1095">
        <v>-37.571707000000004</v>
      </c>
    </row>
    <row r="8211" spans="16:20">
      <c r="P8211" s="1094">
        <v>3860</v>
      </c>
      <c r="Q8211" t="s">
        <v>8921</v>
      </c>
      <c r="R8211" t="s">
        <v>616</v>
      </c>
      <c r="S8211">
        <v>146.80517499999999</v>
      </c>
      <c r="T8211" s="1095">
        <v>-37.571707000000004</v>
      </c>
    </row>
    <row r="8212" spans="16:20">
      <c r="P8212" s="1094">
        <v>3860</v>
      </c>
      <c r="Q8212" t="s">
        <v>8922</v>
      </c>
      <c r="R8212" t="s">
        <v>616</v>
      </c>
      <c r="S8212">
        <v>146.80517499999999</v>
      </c>
      <c r="T8212" s="1095">
        <v>-37.571707000000004</v>
      </c>
    </row>
    <row r="8213" spans="16:20">
      <c r="P8213" s="1094">
        <v>3862</v>
      </c>
      <c r="Q8213" t="s">
        <v>8923</v>
      </c>
      <c r="R8213" t="s">
        <v>616</v>
      </c>
      <c r="S8213">
        <v>147.22845599999999</v>
      </c>
      <c r="T8213" s="1095">
        <v>-37.597551000000003</v>
      </c>
    </row>
    <row r="8214" spans="16:20">
      <c r="P8214" s="1094">
        <v>3862</v>
      </c>
      <c r="Q8214" t="s">
        <v>8924</v>
      </c>
      <c r="R8214" t="s">
        <v>616</v>
      </c>
      <c r="S8214">
        <v>147.22845599999999</v>
      </c>
      <c r="T8214" s="1095">
        <v>-37.597551000000003</v>
      </c>
    </row>
    <row r="8215" spans="16:20">
      <c r="P8215" s="1094">
        <v>3862</v>
      </c>
      <c r="Q8215" t="s">
        <v>8925</v>
      </c>
      <c r="R8215" t="s">
        <v>616</v>
      </c>
      <c r="S8215">
        <v>147.22845599999999</v>
      </c>
      <c r="T8215" s="1095">
        <v>-37.597551000000003</v>
      </c>
    </row>
    <row r="8216" spans="16:20">
      <c r="P8216" s="1094">
        <v>3862</v>
      </c>
      <c r="Q8216" t="s">
        <v>8926</v>
      </c>
      <c r="R8216" t="s">
        <v>616</v>
      </c>
      <c r="S8216">
        <v>147.22845599999999</v>
      </c>
      <c r="T8216" s="1095">
        <v>-37.597551000000003</v>
      </c>
    </row>
    <row r="8217" spans="16:20">
      <c r="P8217" s="1094">
        <v>3862</v>
      </c>
      <c r="Q8217" t="s">
        <v>8927</v>
      </c>
      <c r="R8217" t="s">
        <v>616</v>
      </c>
      <c r="S8217">
        <v>147.22845599999999</v>
      </c>
      <c r="T8217" s="1095">
        <v>-37.597551000000003</v>
      </c>
    </row>
    <row r="8218" spans="16:20">
      <c r="P8218" s="1094">
        <v>3862</v>
      </c>
      <c r="Q8218" t="s">
        <v>8928</v>
      </c>
      <c r="R8218" t="s">
        <v>616</v>
      </c>
      <c r="S8218">
        <v>147.22845599999999</v>
      </c>
      <c r="T8218" s="1095">
        <v>-37.597551000000003</v>
      </c>
    </row>
    <row r="8219" spans="16:20">
      <c r="P8219" s="1094">
        <v>3862</v>
      </c>
      <c r="Q8219" t="s">
        <v>8929</v>
      </c>
      <c r="R8219" t="s">
        <v>616</v>
      </c>
      <c r="S8219">
        <v>147.22845599999999</v>
      </c>
      <c r="T8219" s="1095">
        <v>-37.597551000000003</v>
      </c>
    </row>
    <row r="8220" spans="16:20">
      <c r="P8220" s="1094">
        <v>3862</v>
      </c>
      <c r="Q8220" t="s">
        <v>8930</v>
      </c>
      <c r="R8220" t="s">
        <v>616</v>
      </c>
      <c r="S8220">
        <v>147.22845599999999</v>
      </c>
      <c r="T8220" s="1095">
        <v>-37.597551000000003</v>
      </c>
    </row>
    <row r="8221" spans="16:20">
      <c r="P8221" s="1094">
        <v>3862</v>
      </c>
      <c r="Q8221" t="s">
        <v>8931</v>
      </c>
      <c r="R8221" t="s">
        <v>616</v>
      </c>
      <c r="S8221">
        <v>147.22845599999999</v>
      </c>
      <c r="T8221" s="1095">
        <v>-37.597551000000003</v>
      </c>
    </row>
    <row r="8222" spans="16:20">
      <c r="P8222" s="1094">
        <v>3862</v>
      </c>
      <c r="Q8222" t="s">
        <v>8932</v>
      </c>
      <c r="R8222" t="s">
        <v>616</v>
      </c>
      <c r="S8222">
        <v>147.22845599999999</v>
      </c>
      <c r="T8222" s="1095">
        <v>-37.597551000000003</v>
      </c>
    </row>
    <row r="8223" spans="16:20">
      <c r="P8223" s="1094">
        <v>3862</v>
      </c>
      <c r="Q8223" t="s">
        <v>3293</v>
      </c>
      <c r="R8223" t="s">
        <v>616</v>
      </c>
      <c r="S8223">
        <v>147.22845599999999</v>
      </c>
      <c r="T8223" s="1095">
        <v>-37.597551000000003</v>
      </c>
    </row>
    <row r="8224" spans="16:20">
      <c r="P8224" s="1094">
        <v>3862</v>
      </c>
      <c r="Q8224" t="s">
        <v>8933</v>
      </c>
      <c r="R8224" t="s">
        <v>616</v>
      </c>
      <c r="S8224">
        <v>147.22845599999999</v>
      </c>
      <c r="T8224" s="1095">
        <v>-37.597551000000003</v>
      </c>
    </row>
    <row r="8225" spans="16:20">
      <c r="P8225" s="1094">
        <v>3864</v>
      </c>
      <c r="Q8225" t="s">
        <v>8934</v>
      </c>
      <c r="R8225" t="s">
        <v>616</v>
      </c>
      <c r="S8225">
        <v>0</v>
      </c>
      <c r="T8225" s="1095">
        <v>0</v>
      </c>
    </row>
    <row r="8226" spans="16:20">
      <c r="P8226" s="1094">
        <v>3864</v>
      </c>
      <c r="Q8226" t="s">
        <v>8935</v>
      </c>
      <c r="R8226" t="s">
        <v>616</v>
      </c>
      <c r="S8226">
        <v>0</v>
      </c>
      <c r="T8226" s="1095">
        <v>0</v>
      </c>
    </row>
    <row r="8227" spans="16:20">
      <c r="P8227" s="1094">
        <v>3864</v>
      </c>
      <c r="Q8227" t="s">
        <v>8936</v>
      </c>
      <c r="R8227" t="s">
        <v>616</v>
      </c>
      <c r="S8227">
        <v>0</v>
      </c>
      <c r="T8227" s="1095">
        <v>0</v>
      </c>
    </row>
    <row r="8228" spans="16:20">
      <c r="P8228" s="1094">
        <v>3865</v>
      </c>
      <c r="Q8228" t="s">
        <v>8937</v>
      </c>
      <c r="R8228" t="s">
        <v>616</v>
      </c>
      <c r="S8228">
        <v>147.45594600000001</v>
      </c>
      <c r="T8228" s="1095">
        <v>-37.796742999999999</v>
      </c>
    </row>
    <row r="8229" spans="16:20">
      <c r="P8229" s="1094">
        <v>3869</v>
      </c>
      <c r="Q8229" t="s">
        <v>8938</v>
      </c>
      <c r="R8229" t="s">
        <v>616</v>
      </c>
      <c r="S8229">
        <v>146.359836</v>
      </c>
      <c r="T8229" s="1095">
        <v>-38.364688999999998</v>
      </c>
    </row>
    <row r="8230" spans="16:20">
      <c r="P8230" s="1094">
        <v>3869</v>
      </c>
      <c r="Q8230" t="s">
        <v>8939</v>
      </c>
      <c r="R8230" t="s">
        <v>616</v>
      </c>
      <c r="S8230">
        <v>146.359836</v>
      </c>
      <c r="T8230" s="1095">
        <v>-38.364688999999998</v>
      </c>
    </row>
    <row r="8231" spans="16:20">
      <c r="P8231" s="1094">
        <v>3869</v>
      </c>
      <c r="Q8231" t="s">
        <v>8940</v>
      </c>
      <c r="R8231" t="s">
        <v>616</v>
      </c>
      <c r="S8231">
        <v>146.359836</v>
      </c>
      <c r="T8231" s="1095">
        <v>-38.364688999999998</v>
      </c>
    </row>
    <row r="8232" spans="16:20">
      <c r="P8232" s="1094">
        <v>3870</v>
      </c>
      <c r="Q8232" t="s">
        <v>8941</v>
      </c>
      <c r="R8232" t="s">
        <v>616</v>
      </c>
      <c r="S8232">
        <v>146.31935100000001</v>
      </c>
      <c r="T8232" s="1095">
        <v>-38.437945999999997</v>
      </c>
    </row>
    <row r="8233" spans="16:20">
      <c r="P8233" s="1094">
        <v>3870</v>
      </c>
      <c r="Q8233" t="s">
        <v>8942</v>
      </c>
      <c r="R8233" t="s">
        <v>616</v>
      </c>
      <c r="S8233">
        <v>146.31935100000001</v>
      </c>
      <c r="T8233" s="1095">
        <v>-38.437945999999997</v>
      </c>
    </row>
    <row r="8234" spans="16:20">
      <c r="P8234" s="1094">
        <v>3870</v>
      </c>
      <c r="Q8234" t="s">
        <v>8943</v>
      </c>
      <c r="R8234" t="s">
        <v>616</v>
      </c>
      <c r="S8234">
        <v>146.31935100000001</v>
      </c>
      <c r="T8234" s="1095">
        <v>-38.437945999999997</v>
      </c>
    </row>
    <row r="8235" spans="16:20">
      <c r="P8235" s="1094">
        <v>3870</v>
      </c>
      <c r="Q8235" t="s">
        <v>8944</v>
      </c>
      <c r="R8235" t="s">
        <v>616</v>
      </c>
      <c r="S8235">
        <v>146.31935100000001</v>
      </c>
      <c r="T8235" s="1095">
        <v>-38.437945999999997</v>
      </c>
    </row>
    <row r="8236" spans="16:20">
      <c r="P8236" s="1094">
        <v>3870</v>
      </c>
      <c r="Q8236" t="s">
        <v>8945</v>
      </c>
      <c r="R8236" t="s">
        <v>616</v>
      </c>
      <c r="S8236">
        <v>146.31935100000001</v>
      </c>
      <c r="T8236" s="1095">
        <v>-38.437945999999997</v>
      </c>
    </row>
    <row r="8237" spans="16:20">
      <c r="P8237" s="1094">
        <v>3870</v>
      </c>
      <c r="Q8237" t="s">
        <v>8946</v>
      </c>
      <c r="R8237" t="s">
        <v>616</v>
      </c>
      <c r="S8237">
        <v>146.31935100000001</v>
      </c>
      <c r="T8237" s="1095">
        <v>-38.437945999999997</v>
      </c>
    </row>
    <row r="8238" spans="16:20">
      <c r="P8238" s="1094">
        <v>3871</v>
      </c>
      <c r="Q8238" t="s">
        <v>8947</v>
      </c>
      <c r="R8238" t="s">
        <v>616</v>
      </c>
      <c r="S8238">
        <v>146.15886599999999</v>
      </c>
      <c r="T8238" s="1095">
        <v>-38.422069999999998</v>
      </c>
    </row>
    <row r="8239" spans="16:20">
      <c r="P8239" s="1094">
        <v>3871</v>
      </c>
      <c r="Q8239" t="s">
        <v>8948</v>
      </c>
      <c r="R8239" t="s">
        <v>616</v>
      </c>
      <c r="S8239">
        <v>146.15886599999999</v>
      </c>
      <c r="T8239" s="1095">
        <v>-38.422069999999998</v>
      </c>
    </row>
    <row r="8240" spans="16:20">
      <c r="P8240" s="1094">
        <v>3871</v>
      </c>
      <c r="Q8240" t="s">
        <v>8949</v>
      </c>
      <c r="R8240" t="s">
        <v>616</v>
      </c>
      <c r="S8240">
        <v>146.15886599999999</v>
      </c>
      <c r="T8240" s="1095">
        <v>-38.422069999999998</v>
      </c>
    </row>
    <row r="8241" spans="16:20">
      <c r="P8241" s="1094">
        <v>3871</v>
      </c>
      <c r="Q8241" t="s">
        <v>8950</v>
      </c>
      <c r="R8241" t="s">
        <v>616</v>
      </c>
      <c r="S8241">
        <v>146.15886599999999</v>
      </c>
      <c r="T8241" s="1095">
        <v>-38.422069999999998</v>
      </c>
    </row>
    <row r="8242" spans="16:20">
      <c r="P8242" s="1094">
        <v>3871</v>
      </c>
      <c r="Q8242" t="s">
        <v>8951</v>
      </c>
      <c r="R8242" t="s">
        <v>616</v>
      </c>
      <c r="S8242">
        <v>146.15886599999999</v>
      </c>
      <c r="T8242" s="1095">
        <v>-38.422069999999998</v>
      </c>
    </row>
    <row r="8243" spans="16:20">
      <c r="P8243" s="1094">
        <v>3871</v>
      </c>
      <c r="Q8243" t="s">
        <v>8952</v>
      </c>
      <c r="R8243" t="s">
        <v>616</v>
      </c>
      <c r="S8243">
        <v>146.15886599999999</v>
      </c>
      <c r="T8243" s="1095">
        <v>-38.422069999999998</v>
      </c>
    </row>
    <row r="8244" spans="16:20">
      <c r="P8244" s="1094">
        <v>3871</v>
      </c>
      <c r="Q8244" t="s">
        <v>8953</v>
      </c>
      <c r="R8244" t="s">
        <v>616</v>
      </c>
      <c r="S8244">
        <v>146.15886599999999</v>
      </c>
      <c r="T8244" s="1095">
        <v>-38.422069999999998</v>
      </c>
    </row>
    <row r="8245" spans="16:20">
      <c r="P8245" s="1094">
        <v>3871</v>
      </c>
      <c r="Q8245" t="s">
        <v>8954</v>
      </c>
      <c r="R8245" t="s">
        <v>616</v>
      </c>
      <c r="S8245">
        <v>146.15886599999999</v>
      </c>
      <c r="T8245" s="1095">
        <v>-38.422069999999998</v>
      </c>
    </row>
    <row r="8246" spans="16:20">
      <c r="P8246" s="1094">
        <v>3871</v>
      </c>
      <c r="Q8246" t="s">
        <v>8955</v>
      </c>
      <c r="R8246" t="s">
        <v>616</v>
      </c>
      <c r="S8246">
        <v>146.15886599999999</v>
      </c>
      <c r="T8246" s="1095">
        <v>-38.422069999999998</v>
      </c>
    </row>
    <row r="8247" spans="16:20">
      <c r="P8247" s="1094">
        <v>3873</v>
      </c>
      <c r="Q8247" t="s">
        <v>8956</v>
      </c>
      <c r="R8247" t="s">
        <v>616</v>
      </c>
      <c r="S8247">
        <v>146.708775</v>
      </c>
      <c r="T8247" s="1095">
        <v>-38.298267000000003</v>
      </c>
    </row>
    <row r="8248" spans="16:20">
      <c r="P8248" s="1094">
        <v>3874</v>
      </c>
      <c r="Q8248" t="s">
        <v>8957</v>
      </c>
      <c r="R8248" t="s">
        <v>616</v>
      </c>
      <c r="S8248">
        <v>146.83624800000001</v>
      </c>
      <c r="T8248" s="1095">
        <v>-38.514437999999998</v>
      </c>
    </row>
    <row r="8249" spans="16:20">
      <c r="P8249" s="1094">
        <v>3874</v>
      </c>
      <c r="Q8249" t="s">
        <v>8958</v>
      </c>
      <c r="R8249" t="s">
        <v>616</v>
      </c>
      <c r="S8249">
        <v>146.83624800000001</v>
      </c>
      <c r="T8249" s="1095">
        <v>-38.514437999999998</v>
      </c>
    </row>
    <row r="8250" spans="16:20">
      <c r="P8250" s="1094">
        <v>3874</v>
      </c>
      <c r="Q8250" t="s">
        <v>8959</v>
      </c>
      <c r="R8250" t="s">
        <v>616</v>
      </c>
      <c r="S8250">
        <v>146.83624800000001</v>
      </c>
      <c r="T8250" s="1095">
        <v>-38.514437999999998</v>
      </c>
    </row>
    <row r="8251" spans="16:20">
      <c r="P8251" s="1094">
        <v>3874</v>
      </c>
      <c r="Q8251" t="s">
        <v>3330</v>
      </c>
      <c r="R8251" t="s">
        <v>616</v>
      </c>
      <c r="S8251">
        <v>146.83624800000001</v>
      </c>
      <c r="T8251" s="1095">
        <v>-38.514437999999998</v>
      </c>
    </row>
    <row r="8252" spans="16:20">
      <c r="P8252" s="1094">
        <v>3874</v>
      </c>
      <c r="Q8252" t="s">
        <v>8960</v>
      </c>
      <c r="R8252" t="s">
        <v>616</v>
      </c>
      <c r="S8252">
        <v>146.83624800000001</v>
      </c>
      <c r="T8252" s="1095">
        <v>-38.514437999999998</v>
      </c>
    </row>
    <row r="8253" spans="16:20">
      <c r="P8253" s="1094">
        <v>3874</v>
      </c>
      <c r="Q8253" t="s">
        <v>8961</v>
      </c>
      <c r="R8253" t="s">
        <v>616</v>
      </c>
      <c r="S8253">
        <v>146.83624800000001</v>
      </c>
      <c r="T8253" s="1095">
        <v>-38.514437999999998</v>
      </c>
    </row>
    <row r="8254" spans="16:20">
      <c r="P8254" s="1094">
        <v>3875</v>
      </c>
      <c r="Q8254" t="s">
        <v>8962</v>
      </c>
      <c r="R8254" t="s">
        <v>616</v>
      </c>
      <c r="S8254">
        <v>147.56111200000001</v>
      </c>
      <c r="T8254" s="1095">
        <v>-37.670456000000001</v>
      </c>
    </row>
    <row r="8255" spans="16:20">
      <c r="P8255" s="1094">
        <v>3875</v>
      </c>
      <c r="Q8255" t="s">
        <v>8963</v>
      </c>
      <c r="R8255" t="s">
        <v>616</v>
      </c>
      <c r="S8255">
        <v>147.56111200000001</v>
      </c>
      <c r="T8255" s="1095">
        <v>-37.670456000000001</v>
      </c>
    </row>
    <row r="8256" spans="16:20">
      <c r="P8256" s="1094">
        <v>3875</v>
      </c>
      <c r="Q8256" t="s">
        <v>8964</v>
      </c>
      <c r="R8256" t="s">
        <v>616</v>
      </c>
      <c r="S8256">
        <v>147.56111200000001</v>
      </c>
      <c r="T8256" s="1095">
        <v>-37.670456000000001</v>
      </c>
    </row>
    <row r="8257" spans="16:20">
      <c r="P8257" s="1094">
        <v>3875</v>
      </c>
      <c r="Q8257" t="s">
        <v>8965</v>
      </c>
      <c r="R8257" t="s">
        <v>616</v>
      </c>
      <c r="S8257">
        <v>147.56111200000001</v>
      </c>
      <c r="T8257" s="1095">
        <v>-37.670456000000001</v>
      </c>
    </row>
    <row r="8258" spans="16:20">
      <c r="P8258" s="1094">
        <v>3875</v>
      </c>
      <c r="Q8258" t="s">
        <v>8966</v>
      </c>
      <c r="R8258" t="s">
        <v>616</v>
      </c>
      <c r="S8258">
        <v>147.56111200000001</v>
      </c>
      <c r="T8258" s="1095">
        <v>-37.670456000000001</v>
      </c>
    </row>
    <row r="8259" spans="16:20">
      <c r="P8259" s="1094">
        <v>3875</v>
      </c>
      <c r="Q8259" t="s">
        <v>8967</v>
      </c>
      <c r="R8259" t="s">
        <v>616</v>
      </c>
      <c r="S8259">
        <v>147.56111200000001</v>
      </c>
      <c r="T8259" s="1095">
        <v>-37.670456000000001</v>
      </c>
    </row>
    <row r="8260" spans="16:20">
      <c r="P8260" s="1094">
        <v>3875</v>
      </c>
      <c r="Q8260" t="s">
        <v>8968</v>
      </c>
      <c r="R8260" t="s">
        <v>616</v>
      </c>
      <c r="S8260">
        <v>147.56111200000001</v>
      </c>
      <c r="T8260" s="1095">
        <v>-37.670456000000001</v>
      </c>
    </row>
    <row r="8261" spans="16:20">
      <c r="P8261" s="1094">
        <v>3875</v>
      </c>
      <c r="Q8261" t="s">
        <v>8969</v>
      </c>
      <c r="R8261" t="s">
        <v>616</v>
      </c>
      <c r="S8261">
        <v>147.56111200000001</v>
      </c>
      <c r="T8261" s="1095">
        <v>-37.670456000000001</v>
      </c>
    </row>
    <row r="8262" spans="16:20">
      <c r="P8262" s="1094">
        <v>3875</v>
      </c>
      <c r="Q8262" t="s">
        <v>8970</v>
      </c>
      <c r="R8262" t="s">
        <v>616</v>
      </c>
      <c r="S8262">
        <v>147.56111200000001</v>
      </c>
      <c r="T8262" s="1095">
        <v>-37.670456000000001</v>
      </c>
    </row>
    <row r="8263" spans="16:20">
      <c r="P8263" s="1094">
        <v>3875</v>
      </c>
      <c r="Q8263" t="s">
        <v>8063</v>
      </c>
      <c r="R8263" t="s">
        <v>616</v>
      </c>
      <c r="S8263">
        <v>147.56111200000001</v>
      </c>
      <c r="T8263" s="1095">
        <v>-37.670456000000001</v>
      </c>
    </row>
    <row r="8264" spans="16:20">
      <c r="P8264" s="1094">
        <v>3875</v>
      </c>
      <c r="Q8264" t="s">
        <v>8971</v>
      </c>
      <c r="R8264" t="s">
        <v>616</v>
      </c>
      <c r="S8264">
        <v>147.56111200000001</v>
      </c>
      <c r="T8264" s="1095">
        <v>-37.670456000000001</v>
      </c>
    </row>
    <row r="8265" spans="16:20">
      <c r="P8265" s="1094">
        <v>3875</v>
      </c>
      <c r="Q8265" t="s">
        <v>8972</v>
      </c>
      <c r="R8265" t="s">
        <v>616</v>
      </c>
      <c r="S8265">
        <v>147.56111200000001</v>
      </c>
      <c r="T8265" s="1095">
        <v>-37.670456000000001</v>
      </c>
    </row>
    <row r="8266" spans="16:20">
      <c r="P8266" s="1094">
        <v>3875</v>
      </c>
      <c r="Q8266" t="s">
        <v>8973</v>
      </c>
      <c r="R8266" t="s">
        <v>616</v>
      </c>
      <c r="S8266">
        <v>147.56111200000001</v>
      </c>
      <c r="T8266" s="1095">
        <v>-37.670456000000001</v>
      </c>
    </row>
    <row r="8267" spans="16:20">
      <c r="P8267" s="1094">
        <v>3875</v>
      </c>
      <c r="Q8267" t="s">
        <v>8974</v>
      </c>
      <c r="R8267" t="s">
        <v>616</v>
      </c>
      <c r="S8267">
        <v>147.56111200000001</v>
      </c>
      <c r="T8267" s="1095">
        <v>-37.670456000000001</v>
      </c>
    </row>
    <row r="8268" spans="16:20">
      <c r="P8268" s="1094">
        <v>3875</v>
      </c>
      <c r="Q8268" t="s">
        <v>2074</v>
      </c>
      <c r="R8268" t="s">
        <v>616</v>
      </c>
      <c r="S8268">
        <v>147.56111200000001</v>
      </c>
      <c r="T8268" s="1095">
        <v>-37.670456000000001</v>
      </c>
    </row>
    <row r="8269" spans="16:20">
      <c r="P8269" s="1094">
        <v>3875</v>
      </c>
      <c r="Q8269" t="s">
        <v>8975</v>
      </c>
      <c r="R8269" t="s">
        <v>616</v>
      </c>
      <c r="S8269">
        <v>147.56111200000001</v>
      </c>
      <c r="T8269" s="1095">
        <v>-37.670456000000001</v>
      </c>
    </row>
    <row r="8270" spans="16:20">
      <c r="P8270" s="1094">
        <v>3875</v>
      </c>
      <c r="Q8270" t="s">
        <v>8976</v>
      </c>
      <c r="R8270" t="s">
        <v>616</v>
      </c>
      <c r="S8270">
        <v>147.56111200000001</v>
      </c>
      <c r="T8270" s="1095">
        <v>-37.670456000000001</v>
      </c>
    </row>
    <row r="8271" spans="16:20">
      <c r="P8271" s="1094">
        <v>3875</v>
      </c>
      <c r="Q8271" t="s">
        <v>8977</v>
      </c>
      <c r="R8271" t="s">
        <v>616</v>
      </c>
      <c r="S8271">
        <v>147.56111200000001</v>
      </c>
      <c r="T8271" s="1095">
        <v>-37.670456000000001</v>
      </c>
    </row>
    <row r="8272" spans="16:20">
      <c r="P8272" s="1094">
        <v>3875</v>
      </c>
      <c r="Q8272" t="s">
        <v>5885</v>
      </c>
      <c r="R8272" t="s">
        <v>616</v>
      </c>
      <c r="S8272">
        <v>147.56111200000001</v>
      </c>
      <c r="T8272" s="1095">
        <v>-37.670456000000001</v>
      </c>
    </row>
    <row r="8273" spans="16:20">
      <c r="P8273" s="1094">
        <v>3875</v>
      </c>
      <c r="Q8273" t="s">
        <v>8978</v>
      </c>
      <c r="R8273" t="s">
        <v>616</v>
      </c>
      <c r="S8273">
        <v>147.56111200000001</v>
      </c>
      <c r="T8273" s="1095">
        <v>-37.670456000000001</v>
      </c>
    </row>
    <row r="8274" spans="16:20">
      <c r="P8274" s="1094">
        <v>3875</v>
      </c>
      <c r="Q8274" t="s">
        <v>8567</v>
      </c>
      <c r="R8274" t="s">
        <v>616</v>
      </c>
      <c r="S8274">
        <v>147.56111200000001</v>
      </c>
      <c r="T8274" s="1095">
        <v>-37.670456000000001</v>
      </c>
    </row>
    <row r="8275" spans="16:20">
      <c r="P8275" s="1094">
        <v>3875</v>
      </c>
      <c r="Q8275" t="s">
        <v>8979</v>
      </c>
      <c r="R8275" t="s">
        <v>616</v>
      </c>
      <c r="S8275">
        <v>147.56111200000001</v>
      </c>
      <c r="T8275" s="1095">
        <v>-37.670456000000001</v>
      </c>
    </row>
    <row r="8276" spans="16:20">
      <c r="P8276" s="1094">
        <v>3875</v>
      </c>
      <c r="Q8276" t="s">
        <v>8980</v>
      </c>
      <c r="R8276" t="s">
        <v>616</v>
      </c>
      <c r="S8276">
        <v>147.56111200000001</v>
      </c>
      <c r="T8276" s="1095">
        <v>-37.670456000000001</v>
      </c>
    </row>
    <row r="8277" spans="16:20">
      <c r="P8277" s="1094">
        <v>3875</v>
      </c>
      <c r="Q8277" t="s">
        <v>8981</v>
      </c>
      <c r="R8277" t="s">
        <v>616</v>
      </c>
      <c r="S8277">
        <v>147.56111200000001</v>
      </c>
      <c r="T8277" s="1095">
        <v>-37.670456000000001</v>
      </c>
    </row>
    <row r="8278" spans="16:20">
      <c r="P8278" s="1094">
        <v>3875</v>
      </c>
      <c r="Q8278" t="s">
        <v>8982</v>
      </c>
      <c r="R8278" t="s">
        <v>616</v>
      </c>
      <c r="S8278">
        <v>147.56111200000001</v>
      </c>
      <c r="T8278" s="1095">
        <v>-37.670456000000001</v>
      </c>
    </row>
    <row r="8279" spans="16:20">
      <c r="P8279" s="1094">
        <v>3875</v>
      </c>
      <c r="Q8279" t="s">
        <v>8983</v>
      </c>
      <c r="R8279" t="s">
        <v>616</v>
      </c>
      <c r="S8279">
        <v>147.56111200000001</v>
      </c>
      <c r="T8279" s="1095">
        <v>-37.670456000000001</v>
      </c>
    </row>
    <row r="8280" spans="16:20">
      <c r="P8280" s="1094">
        <v>3875</v>
      </c>
      <c r="Q8280" t="s">
        <v>8984</v>
      </c>
      <c r="R8280" t="s">
        <v>616</v>
      </c>
      <c r="S8280">
        <v>147.56111200000001</v>
      </c>
      <c r="T8280" s="1095">
        <v>-37.670456000000001</v>
      </c>
    </row>
    <row r="8281" spans="16:20">
      <c r="P8281" s="1094">
        <v>3875</v>
      </c>
      <c r="Q8281" t="s">
        <v>8985</v>
      </c>
      <c r="R8281" t="s">
        <v>616</v>
      </c>
      <c r="S8281">
        <v>147.56111200000001</v>
      </c>
      <c r="T8281" s="1095">
        <v>-37.670456000000001</v>
      </c>
    </row>
    <row r="8282" spans="16:20">
      <c r="P8282" s="1094">
        <v>3875</v>
      </c>
      <c r="Q8282" t="s">
        <v>8986</v>
      </c>
      <c r="R8282" t="s">
        <v>616</v>
      </c>
      <c r="S8282">
        <v>147.56111200000001</v>
      </c>
      <c r="T8282" s="1095">
        <v>-37.670456000000001</v>
      </c>
    </row>
    <row r="8283" spans="16:20">
      <c r="P8283" s="1094">
        <v>3875</v>
      </c>
      <c r="Q8283" t="s">
        <v>8987</v>
      </c>
      <c r="R8283" t="s">
        <v>616</v>
      </c>
      <c r="S8283">
        <v>147.56111200000001</v>
      </c>
      <c r="T8283" s="1095">
        <v>-37.670456000000001</v>
      </c>
    </row>
    <row r="8284" spans="16:20">
      <c r="P8284" s="1094">
        <v>3878</v>
      </c>
      <c r="Q8284" t="s">
        <v>8988</v>
      </c>
      <c r="R8284" t="s">
        <v>616</v>
      </c>
      <c r="S8284">
        <v>147.68012100000001</v>
      </c>
      <c r="T8284" s="1095">
        <v>-37.898544000000001</v>
      </c>
    </row>
    <row r="8285" spans="16:20">
      <c r="P8285" s="1094">
        <v>3880</v>
      </c>
      <c r="Q8285" t="s">
        <v>8989</v>
      </c>
      <c r="R8285" t="s">
        <v>616</v>
      </c>
      <c r="S8285">
        <v>147.72738899999999</v>
      </c>
      <c r="T8285" s="1095">
        <v>-37.914727999999997</v>
      </c>
    </row>
    <row r="8286" spans="16:20">
      <c r="P8286" s="1094">
        <v>3880</v>
      </c>
      <c r="Q8286" t="s">
        <v>8990</v>
      </c>
      <c r="R8286" t="s">
        <v>616</v>
      </c>
      <c r="S8286">
        <v>147.72738899999999</v>
      </c>
      <c r="T8286" s="1095">
        <v>-37.914727999999997</v>
      </c>
    </row>
    <row r="8287" spans="16:20">
      <c r="P8287" s="1094">
        <v>3880</v>
      </c>
      <c r="Q8287" t="s">
        <v>8991</v>
      </c>
      <c r="R8287" t="s">
        <v>616</v>
      </c>
      <c r="S8287">
        <v>147.72738899999999</v>
      </c>
      <c r="T8287" s="1095">
        <v>-37.914727999999997</v>
      </c>
    </row>
    <row r="8288" spans="16:20">
      <c r="P8288" s="1094">
        <v>3880</v>
      </c>
      <c r="Q8288" t="s">
        <v>8992</v>
      </c>
      <c r="R8288" t="s">
        <v>616</v>
      </c>
      <c r="S8288">
        <v>147.72738899999999</v>
      </c>
      <c r="T8288" s="1095">
        <v>-37.914727999999997</v>
      </c>
    </row>
    <row r="8289" spans="16:20">
      <c r="P8289" s="1094">
        <v>3882</v>
      </c>
      <c r="Q8289" t="s">
        <v>8993</v>
      </c>
      <c r="R8289" t="s">
        <v>616</v>
      </c>
      <c r="S8289">
        <v>147.764385</v>
      </c>
      <c r="T8289" s="1095">
        <v>-37.812016999999997</v>
      </c>
    </row>
    <row r="8290" spans="16:20">
      <c r="P8290" s="1094">
        <v>3885</v>
      </c>
      <c r="Q8290" t="s">
        <v>8994</v>
      </c>
      <c r="R8290" t="s">
        <v>616</v>
      </c>
      <c r="S8290">
        <v>148.11851100000001</v>
      </c>
      <c r="T8290" s="1095">
        <v>-37.291806999999999</v>
      </c>
    </row>
    <row r="8291" spans="16:20">
      <c r="P8291" s="1094">
        <v>3885</v>
      </c>
      <c r="Q8291" t="s">
        <v>8995</v>
      </c>
      <c r="R8291" t="s">
        <v>616</v>
      </c>
      <c r="S8291">
        <v>148.11851100000001</v>
      </c>
      <c r="T8291" s="1095">
        <v>-37.291806999999999</v>
      </c>
    </row>
    <row r="8292" spans="16:20">
      <c r="P8292" s="1094">
        <v>3885</v>
      </c>
      <c r="Q8292" t="s">
        <v>8996</v>
      </c>
      <c r="R8292" t="s">
        <v>616</v>
      </c>
      <c r="S8292">
        <v>148.11851100000001</v>
      </c>
      <c r="T8292" s="1095">
        <v>-37.291806999999999</v>
      </c>
    </row>
    <row r="8293" spans="16:20">
      <c r="P8293" s="1094">
        <v>3885</v>
      </c>
      <c r="Q8293" t="s">
        <v>8997</v>
      </c>
      <c r="R8293" t="s">
        <v>616</v>
      </c>
      <c r="S8293">
        <v>148.11851100000001</v>
      </c>
      <c r="T8293" s="1095">
        <v>-37.291806999999999</v>
      </c>
    </row>
    <row r="8294" spans="16:20">
      <c r="P8294" s="1094">
        <v>3885</v>
      </c>
      <c r="Q8294" t="s">
        <v>8998</v>
      </c>
      <c r="R8294" t="s">
        <v>616</v>
      </c>
      <c r="S8294">
        <v>148.11851100000001</v>
      </c>
      <c r="T8294" s="1095">
        <v>-37.291806999999999</v>
      </c>
    </row>
    <row r="8295" spans="16:20">
      <c r="P8295" s="1094">
        <v>3885</v>
      </c>
      <c r="Q8295" t="s">
        <v>8999</v>
      </c>
      <c r="R8295" t="s">
        <v>616</v>
      </c>
      <c r="S8295">
        <v>148.11851100000001</v>
      </c>
      <c r="T8295" s="1095">
        <v>-37.291806999999999</v>
      </c>
    </row>
    <row r="8296" spans="16:20">
      <c r="P8296" s="1094">
        <v>3885</v>
      </c>
      <c r="Q8296" t="s">
        <v>9000</v>
      </c>
      <c r="R8296" t="s">
        <v>616</v>
      </c>
      <c r="S8296">
        <v>148.11851100000001</v>
      </c>
      <c r="T8296" s="1095">
        <v>-37.291806999999999</v>
      </c>
    </row>
    <row r="8297" spans="16:20">
      <c r="P8297" s="1094">
        <v>3885</v>
      </c>
      <c r="Q8297" t="s">
        <v>9001</v>
      </c>
      <c r="R8297" t="s">
        <v>616</v>
      </c>
      <c r="S8297">
        <v>148.11851100000001</v>
      </c>
      <c r="T8297" s="1095">
        <v>-37.291806999999999</v>
      </c>
    </row>
    <row r="8298" spans="16:20">
      <c r="P8298" s="1094">
        <v>3885</v>
      </c>
      <c r="Q8298" t="s">
        <v>9002</v>
      </c>
      <c r="R8298" t="s">
        <v>616</v>
      </c>
      <c r="S8298">
        <v>148.11851100000001</v>
      </c>
      <c r="T8298" s="1095">
        <v>-37.291806999999999</v>
      </c>
    </row>
    <row r="8299" spans="16:20">
      <c r="P8299" s="1094">
        <v>3885</v>
      </c>
      <c r="Q8299" t="s">
        <v>9003</v>
      </c>
      <c r="R8299" t="s">
        <v>616</v>
      </c>
      <c r="S8299">
        <v>148.11851100000001</v>
      </c>
      <c r="T8299" s="1095">
        <v>-37.291806999999999</v>
      </c>
    </row>
    <row r="8300" spans="16:20">
      <c r="P8300" s="1094">
        <v>3885</v>
      </c>
      <c r="Q8300" t="s">
        <v>9004</v>
      </c>
      <c r="R8300" t="s">
        <v>616</v>
      </c>
      <c r="S8300">
        <v>148.11851100000001</v>
      </c>
      <c r="T8300" s="1095">
        <v>-37.291806999999999</v>
      </c>
    </row>
    <row r="8301" spans="16:20">
      <c r="P8301" s="1094">
        <v>3885</v>
      </c>
      <c r="Q8301" t="s">
        <v>9005</v>
      </c>
      <c r="R8301" t="s">
        <v>616</v>
      </c>
      <c r="S8301">
        <v>148.11851100000001</v>
      </c>
      <c r="T8301" s="1095">
        <v>-37.291806999999999</v>
      </c>
    </row>
    <row r="8302" spans="16:20">
      <c r="P8302" s="1094">
        <v>3885</v>
      </c>
      <c r="Q8302" t="s">
        <v>9006</v>
      </c>
      <c r="R8302" t="s">
        <v>616</v>
      </c>
      <c r="S8302">
        <v>148.11851100000001</v>
      </c>
      <c r="T8302" s="1095">
        <v>-37.291806999999999</v>
      </c>
    </row>
    <row r="8303" spans="16:20">
      <c r="P8303" s="1094">
        <v>3885</v>
      </c>
      <c r="Q8303" t="s">
        <v>9007</v>
      </c>
      <c r="R8303" t="s">
        <v>616</v>
      </c>
      <c r="S8303">
        <v>148.11851100000001</v>
      </c>
      <c r="T8303" s="1095">
        <v>-37.291806999999999</v>
      </c>
    </row>
    <row r="8304" spans="16:20">
      <c r="P8304" s="1094">
        <v>3885</v>
      </c>
      <c r="Q8304" t="s">
        <v>9008</v>
      </c>
      <c r="R8304" t="s">
        <v>616</v>
      </c>
      <c r="S8304">
        <v>148.11851100000001</v>
      </c>
      <c r="T8304" s="1095">
        <v>-37.291806999999999</v>
      </c>
    </row>
    <row r="8305" spans="16:20">
      <c r="P8305" s="1094">
        <v>3885</v>
      </c>
      <c r="Q8305" t="s">
        <v>9009</v>
      </c>
      <c r="R8305" t="s">
        <v>616</v>
      </c>
      <c r="S8305">
        <v>148.11851100000001</v>
      </c>
      <c r="T8305" s="1095">
        <v>-37.291806999999999</v>
      </c>
    </row>
    <row r="8306" spans="16:20">
      <c r="P8306" s="1094">
        <v>3886</v>
      </c>
      <c r="Q8306" t="s">
        <v>9010</v>
      </c>
      <c r="R8306" t="s">
        <v>616</v>
      </c>
      <c r="S8306">
        <v>148.426851</v>
      </c>
      <c r="T8306" s="1095">
        <v>-37.770977000000002</v>
      </c>
    </row>
    <row r="8307" spans="16:20">
      <c r="P8307" s="1094">
        <v>3887</v>
      </c>
      <c r="Q8307" t="s">
        <v>9011</v>
      </c>
      <c r="R8307" t="s">
        <v>616</v>
      </c>
      <c r="S8307">
        <v>148.11664099999999</v>
      </c>
      <c r="T8307" s="1095">
        <v>-37.757894999999998</v>
      </c>
    </row>
    <row r="8308" spans="16:20">
      <c r="P8308" s="1094">
        <v>3887</v>
      </c>
      <c r="Q8308" t="s">
        <v>9012</v>
      </c>
      <c r="R8308" t="s">
        <v>616</v>
      </c>
      <c r="S8308">
        <v>148.11664099999999</v>
      </c>
      <c r="T8308" s="1095">
        <v>-37.757894999999998</v>
      </c>
    </row>
    <row r="8309" spans="16:20">
      <c r="P8309" s="1094">
        <v>3887</v>
      </c>
      <c r="Q8309" t="s">
        <v>9013</v>
      </c>
      <c r="R8309" t="s">
        <v>616</v>
      </c>
      <c r="S8309">
        <v>148.11664099999999</v>
      </c>
      <c r="T8309" s="1095">
        <v>-37.757894999999998</v>
      </c>
    </row>
    <row r="8310" spans="16:20">
      <c r="P8310" s="1094">
        <v>3888</v>
      </c>
      <c r="Q8310" t="s">
        <v>9014</v>
      </c>
      <c r="R8310" t="s">
        <v>616</v>
      </c>
      <c r="S8310">
        <v>148.660943</v>
      </c>
      <c r="T8310" s="1095">
        <v>-37.390509999999999</v>
      </c>
    </row>
    <row r="8311" spans="16:20">
      <c r="P8311" s="1094">
        <v>3888</v>
      </c>
      <c r="Q8311" t="s">
        <v>9015</v>
      </c>
      <c r="R8311" t="s">
        <v>616</v>
      </c>
      <c r="S8311">
        <v>148.660943</v>
      </c>
      <c r="T8311" s="1095">
        <v>-37.390509999999999</v>
      </c>
    </row>
    <row r="8312" spans="16:20">
      <c r="P8312" s="1094">
        <v>3888</v>
      </c>
      <c r="Q8312" t="s">
        <v>9016</v>
      </c>
      <c r="R8312" t="s">
        <v>616</v>
      </c>
      <c r="S8312">
        <v>148.660943</v>
      </c>
      <c r="T8312" s="1095">
        <v>-37.390509999999999</v>
      </c>
    </row>
    <row r="8313" spans="16:20">
      <c r="P8313" s="1094">
        <v>3888</v>
      </c>
      <c r="Q8313" t="s">
        <v>9017</v>
      </c>
      <c r="R8313" t="s">
        <v>616</v>
      </c>
      <c r="S8313">
        <v>148.660943</v>
      </c>
      <c r="T8313" s="1095">
        <v>-37.390509999999999</v>
      </c>
    </row>
    <row r="8314" spans="16:20">
      <c r="P8314" s="1094">
        <v>3888</v>
      </c>
      <c r="Q8314" t="s">
        <v>9018</v>
      </c>
      <c r="R8314" t="s">
        <v>616</v>
      </c>
      <c r="S8314">
        <v>148.660943</v>
      </c>
      <c r="T8314" s="1095">
        <v>-37.390509999999999</v>
      </c>
    </row>
    <row r="8315" spans="16:20">
      <c r="P8315" s="1094">
        <v>3888</v>
      </c>
      <c r="Q8315" t="s">
        <v>9019</v>
      </c>
      <c r="R8315" t="s">
        <v>616</v>
      </c>
      <c r="S8315">
        <v>148.660943</v>
      </c>
      <c r="T8315" s="1095">
        <v>-37.390509999999999</v>
      </c>
    </row>
    <row r="8316" spans="16:20">
      <c r="P8316" s="1094">
        <v>3888</v>
      </c>
      <c r="Q8316" t="s">
        <v>9020</v>
      </c>
      <c r="R8316" t="s">
        <v>616</v>
      </c>
      <c r="S8316">
        <v>148.660943</v>
      </c>
      <c r="T8316" s="1095">
        <v>-37.390509999999999</v>
      </c>
    </row>
    <row r="8317" spans="16:20">
      <c r="P8317" s="1094">
        <v>3888</v>
      </c>
      <c r="Q8317" t="s">
        <v>9021</v>
      </c>
      <c r="R8317" t="s">
        <v>616</v>
      </c>
      <c r="S8317">
        <v>148.660943</v>
      </c>
      <c r="T8317" s="1095">
        <v>-37.390509999999999</v>
      </c>
    </row>
    <row r="8318" spans="16:20">
      <c r="P8318" s="1094">
        <v>3888</v>
      </c>
      <c r="Q8318" t="s">
        <v>9022</v>
      </c>
      <c r="R8318" t="s">
        <v>616</v>
      </c>
      <c r="S8318">
        <v>148.660943</v>
      </c>
      <c r="T8318" s="1095">
        <v>-37.390509999999999</v>
      </c>
    </row>
    <row r="8319" spans="16:20">
      <c r="P8319" s="1094">
        <v>3888</v>
      </c>
      <c r="Q8319" t="s">
        <v>9023</v>
      </c>
      <c r="R8319" t="s">
        <v>616</v>
      </c>
      <c r="S8319">
        <v>148.660943</v>
      </c>
      <c r="T8319" s="1095">
        <v>-37.390509999999999</v>
      </c>
    </row>
    <row r="8320" spans="16:20">
      <c r="P8320" s="1094">
        <v>3888</v>
      </c>
      <c r="Q8320" t="s">
        <v>9024</v>
      </c>
      <c r="R8320" t="s">
        <v>616</v>
      </c>
      <c r="S8320">
        <v>148.660943</v>
      </c>
      <c r="T8320" s="1095">
        <v>-37.390509999999999</v>
      </c>
    </row>
    <row r="8321" spans="16:20">
      <c r="P8321" s="1094">
        <v>3888</v>
      </c>
      <c r="Q8321" t="s">
        <v>9025</v>
      </c>
      <c r="R8321" t="s">
        <v>616</v>
      </c>
      <c r="S8321">
        <v>148.660943</v>
      </c>
      <c r="T8321" s="1095">
        <v>-37.390509999999999</v>
      </c>
    </row>
    <row r="8322" spans="16:20">
      <c r="P8322" s="1094">
        <v>3888</v>
      </c>
      <c r="Q8322" t="s">
        <v>9026</v>
      </c>
      <c r="R8322" t="s">
        <v>616</v>
      </c>
      <c r="S8322">
        <v>148.660943</v>
      </c>
      <c r="T8322" s="1095">
        <v>-37.390509999999999</v>
      </c>
    </row>
    <row r="8323" spans="16:20">
      <c r="P8323" s="1094">
        <v>3888</v>
      </c>
      <c r="Q8323" t="s">
        <v>9027</v>
      </c>
      <c r="R8323" t="s">
        <v>616</v>
      </c>
      <c r="S8323">
        <v>148.660943</v>
      </c>
      <c r="T8323" s="1095">
        <v>-37.390509999999999</v>
      </c>
    </row>
    <row r="8324" spans="16:20">
      <c r="P8324" s="1094">
        <v>3888</v>
      </c>
      <c r="Q8324" t="s">
        <v>9028</v>
      </c>
      <c r="R8324" t="s">
        <v>616</v>
      </c>
      <c r="S8324">
        <v>148.660943</v>
      </c>
      <c r="T8324" s="1095">
        <v>-37.390509999999999</v>
      </c>
    </row>
    <row r="8325" spans="16:20">
      <c r="P8325" s="1094">
        <v>3888</v>
      </c>
      <c r="Q8325" t="s">
        <v>3244</v>
      </c>
      <c r="R8325" t="s">
        <v>616</v>
      </c>
      <c r="S8325">
        <v>148.660943</v>
      </c>
      <c r="T8325" s="1095">
        <v>-37.390509999999999</v>
      </c>
    </row>
    <row r="8326" spans="16:20">
      <c r="P8326" s="1094">
        <v>3888</v>
      </c>
      <c r="Q8326" t="s">
        <v>9029</v>
      </c>
      <c r="R8326" t="s">
        <v>616</v>
      </c>
      <c r="S8326">
        <v>148.660943</v>
      </c>
      <c r="T8326" s="1095">
        <v>-37.390509999999999</v>
      </c>
    </row>
    <row r="8327" spans="16:20">
      <c r="P8327" s="1094">
        <v>3888</v>
      </c>
      <c r="Q8327" t="s">
        <v>9030</v>
      </c>
      <c r="R8327" t="s">
        <v>616</v>
      </c>
      <c r="S8327">
        <v>148.660943</v>
      </c>
      <c r="T8327" s="1095">
        <v>-37.390509999999999</v>
      </c>
    </row>
    <row r="8328" spans="16:20">
      <c r="P8328" s="1094">
        <v>3888</v>
      </c>
      <c r="Q8328" t="s">
        <v>9031</v>
      </c>
      <c r="R8328" t="s">
        <v>616</v>
      </c>
      <c r="S8328">
        <v>148.660943</v>
      </c>
      <c r="T8328" s="1095">
        <v>-37.390509999999999</v>
      </c>
    </row>
    <row r="8329" spans="16:20">
      <c r="P8329" s="1094">
        <v>3888</v>
      </c>
      <c r="Q8329" t="s">
        <v>9032</v>
      </c>
      <c r="R8329" t="s">
        <v>616</v>
      </c>
      <c r="S8329">
        <v>148.660943</v>
      </c>
      <c r="T8329" s="1095">
        <v>-37.390509999999999</v>
      </c>
    </row>
    <row r="8330" spans="16:20">
      <c r="P8330" s="1094">
        <v>3888</v>
      </c>
      <c r="Q8330" t="s">
        <v>9033</v>
      </c>
      <c r="R8330" t="s">
        <v>616</v>
      </c>
      <c r="S8330">
        <v>148.660943</v>
      </c>
      <c r="T8330" s="1095">
        <v>-37.390509999999999</v>
      </c>
    </row>
    <row r="8331" spans="16:20">
      <c r="P8331" s="1094">
        <v>3888</v>
      </c>
      <c r="Q8331" t="s">
        <v>9034</v>
      </c>
      <c r="R8331" t="s">
        <v>616</v>
      </c>
      <c r="S8331">
        <v>148.660943</v>
      </c>
      <c r="T8331" s="1095">
        <v>-37.390509999999999</v>
      </c>
    </row>
    <row r="8332" spans="16:20">
      <c r="P8332" s="1094">
        <v>3888</v>
      </c>
      <c r="Q8332" t="s">
        <v>9035</v>
      </c>
      <c r="R8332" t="s">
        <v>616</v>
      </c>
      <c r="S8332">
        <v>148.660943</v>
      </c>
      <c r="T8332" s="1095">
        <v>-37.390509999999999</v>
      </c>
    </row>
    <row r="8333" spans="16:20">
      <c r="P8333" s="1094">
        <v>3888</v>
      </c>
      <c r="Q8333" t="s">
        <v>3768</v>
      </c>
      <c r="R8333" t="s">
        <v>616</v>
      </c>
      <c r="S8333">
        <v>148.660943</v>
      </c>
      <c r="T8333" s="1095">
        <v>-37.390509999999999</v>
      </c>
    </row>
    <row r="8334" spans="16:20">
      <c r="P8334" s="1094">
        <v>3889</v>
      </c>
      <c r="Q8334" t="s">
        <v>9036</v>
      </c>
      <c r="R8334" t="s">
        <v>616</v>
      </c>
      <c r="S8334">
        <v>148.873952</v>
      </c>
      <c r="T8334" s="1095">
        <v>-37.610841000000001</v>
      </c>
    </row>
    <row r="8335" spans="16:20">
      <c r="P8335" s="1094">
        <v>3889</v>
      </c>
      <c r="Q8335" t="s">
        <v>9037</v>
      </c>
      <c r="R8335" t="s">
        <v>616</v>
      </c>
      <c r="S8335">
        <v>148.873952</v>
      </c>
      <c r="T8335" s="1095">
        <v>-37.610841000000001</v>
      </c>
    </row>
    <row r="8336" spans="16:20">
      <c r="P8336" s="1094">
        <v>3889</v>
      </c>
      <c r="Q8336" t="s">
        <v>9038</v>
      </c>
      <c r="R8336" t="s">
        <v>616</v>
      </c>
      <c r="S8336">
        <v>148.873952</v>
      </c>
      <c r="T8336" s="1095">
        <v>-37.610841000000001</v>
      </c>
    </row>
    <row r="8337" spans="16:20">
      <c r="P8337" s="1094">
        <v>3889</v>
      </c>
      <c r="Q8337" t="s">
        <v>9039</v>
      </c>
      <c r="R8337" t="s">
        <v>616</v>
      </c>
      <c r="S8337">
        <v>148.873952</v>
      </c>
      <c r="T8337" s="1095">
        <v>-37.610841000000001</v>
      </c>
    </row>
    <row r="8338" spans="16:20">
      <c r="P8338" s="1094">
        <v>3889</v>
      </c>
      <c r="Q8338" t="s">
        <v>9040</v>
      </c>
      <c r="R8338" t="s">
        <v>616</v>
      </c>
      <c r="S8338">
        <v>148.873952</v>
      </c>
      <c r="T8338" s="1095">
        <v>-37.610841000000001</v>
      </c>
    </row>
    <row r="8339" spans="16:20">
      <c r="P8339" s="1094">
        <v>3889</v>
      </c>
      <c r="Q8339" t="s">
        <v>9041</v>
      </c>
      <c r="R8339" t="s">
        <v>616</v>
      </c>
      <c r="S8339">
        <v>148.873952</v>
      </c>
      <c r="T8339" s="1095">
        <v>-37.610841000000001</v>
      </c>
    </row>
    <row r="8340" spans="16:20">
      <c r="P8340" s="1094">
        <v>3889</v>
      </c>
      <c r="Q8340" t="s">
        <v>9042</v>
      </c>
      <c r="R8340" t="s">
        <v>616</v>
      </c>
      <c r="S8340">
        <v>148.873952</v>
      </c>
      <c r="T8340" s="1095">
        <v>-37.610841000000001</v>
      </c>
    </row>
    <row r="8341" spans="16:20">
      <c r="P8341" s="1094">
        <v>3890</v>
      </c>
      <c r="Q8341" t="s">
        <v>9043</v>
      </c>
      <c r="R8341" t="s">
        <v>616</v>
      </c>
      <c r="S8341">
        <v>149.21721600000001</v>
      </c>
      <c r="T8341" s="1095">
        <v>-37.566488999999997</v>
      </c>
    </row>
    <row r="8342" spans="16:20">
      <c r="P8342" s="1094">
        <v>3890</v>
      </c>
      <c r="Q8342" t="s">
        <v>9044</v>
      </c>
      <c r="R8342" t="s">
        <v>616</v>
      </c>
      <c r="S8342">
        <v>149.21721600000001</v>
      </c>
      <c r="T8342" s="1095">
        <v>-37.566488999999997</v>
      </c>
    </row>
    <row r="8343" spans="16:20">
      <c r="P8343" s="1094">
        <v>3890</v>
      </c>
      <c r="Q8343" t="s">
        <v>9045</v>
      </c>
      <c r="R8343" t="s">
        <v>616</v>
      </c>
      <c r="S8343">
        <v>149.21721600000001</v>
      </c>
      <c r="T8343" s="1095">
        <v>-37.566488999999997</v>
      </c>
    </row>
    <row r="8344" spans="16:20">
      <c r="P8344" s="1094">
        <v>3890</v>
      </c>
      <c r="Q8344" t="s">
        <v>9046</v>
      </c>
      <c r="R8344" t="s">
        <v>616</v>
      </c>
      <c r="S8344">
        <v>149.21721600000001</v>
      </c>
      <c r="T8344" s="1095">
        <v>-37.566488999999997</v>
      </c>
    </row>
    <row r="8345" spans="16:20">
      <c r="P8345" s="1094">
        <v>3890</v>
      </c>
      <c r="Q8345" t="s">
        <v>9047</v>
      </c>
      <c r="R8345" t="s">
        <v>616</v>
      </c>
      <c r="S8345">
        <v>149.21721600000001</v>
      </c>
      <c r="T8345" s="1095">
        <v>-37.566488999999997</v>
      </c>
    </row>
    <row r="8346" spans="16:20">
      <c r="P8346" s="1094">
        <v>3890</v>
      </c>
      <c r="Q8346" t="s">
        <v>9048</v>
      </c>
      <c r="R8346" t="s">
        <v>616</v>
      </c>
      <c r="S8346">
        <v>149.21721600000001</v>
      </c>
      <c r="T8346" s="1095">
        <v>-37.566488999999997</v>
      </c>
    </row>
    <row r="8347" spans="16:20">
      <c r="P8347" s="1094">
        <v>3890</v>
      </c>
      <c r="Q8347" t="s">
        <v>9049</v>
      </c>
      <c r="R8347" t="s">
        <v>616</v>
      </c>
      <c r="S8347">
        <v>149.21721600000001</v>
      </c>
      <c r="T8347" s="1095">
        <v>-37.566488999999997</v>
      </c>
    </row>
    <row r="8348" spans="16:20">
      <c r="P8348" s="1094">
        <v>3890</v>
      </c>
      <c r="Q8348" t="s">
        <v>9050</v>
      </c>
      <c r="R8348" t="s">
        <v>616</v>
      </c>
      <c r="S8348">
        <v>149.21721600000001</v>
      </c>
      <c r="T8348" s="1095">
        <v>-37.566488999999997</v>
      </c>
    </row>
    <row r="8349" spans="16:20">
      <c r="P8349" s="1094">
        <v>3891</v>
      </c>
      <c r="Q8349" t="s">
        <v>9051</v>
      </c>
      <c r="R8349" t="s">
        <v>616</v>
      </c>
      <c r="S8349">
        <v>149.53890699999999</v>
      </c>
      <c r="T8349" s="1095">
        <v>-37.567684</v>
      </c>
    </row>
    <row r="8350" spans="16:20">
      <c r="P8350" s="1094">
        <v>3891</v>
      </c>
      <c r="Q8350" t="s">
        <v>9052</v>
      </c>
      <c r="R8350" t="s">
        <v>616</v>
      </c>
      <c r="S8350">
        <v>149.53890699999999</v>
      </c>
      <c r="T8350" s="1095">
        <v>-37.567684</v>
      </c>
    </row>
    <row r="8351" spans="16:20">
      <c r="P8351" s="1094">
        <v>3891</v>
      </c>
      <c r="Q8351" t="s">
        <v>9053</v>
      </c>
      <c r="R8351" t="s">
        <v>616</v>
      </c>
      <c r="S8351">
        <v>149.53890699999999</v>
      </c>
      <c r="T8351" s="1095">
        <v>-37.567684</v>
      </c>
    </row>
    <row r="8352" spans="16:20">
      <c r="P8352" s="1094">
        <v>3891</v>
      </c>
      <c r="Q8352" t="s">
        <v>9054</v>
      </c>
      <c r="R8352" t="s">
        <v>616</v>
      </c>
      <c r="S8352">
        <v>149.53890699999999</v>
      </c>
      <c r="T8352" s="1095">
        <v>-37.567684</v>
      </c>
    </row>
    <row r="8353" spans="16:20">
      <c r="P8353" s="1094">
        <v>3891</v>
      </c>
      <c r="Q8353" t="s">
        <v>9055</v>
      </c>
      <c r="R8353" t="s">
        <v>616</v>
      </c>
      <c r="S8353">
        <v>149.53890699999999</v>
      </c>
      <c r="T8353" s="1095">
        <v>-37.567684</v>
      </c>
    </row>
    <row r="8354" spans="16:20">
      <c r="P8354" s="1094">
        <v>3891</v>
      </c>
      <c r="Q8354" t="s">
        <v>9056</v>
      </c>
      <c r="R8354" t="s">
        <v>616</v>
      </c>
      <c r="S8354">
        <v>149.53890699999999</v>
      </c>
      <c r="T8354" s="1095">
        <v>-37.567684</v>
      </c>
    </row>
    <row r="8355" spans="16:20">
      <c r="P8355" s="1094">
        <v>3891</v>
      </c>
      <c r="Q8355" t="s">
        <v>9057</v>
      </c>
      <c r="R8355" t="s">
        <v>616</v>
      </c>
      <c r="S8355">
        <v>149.53890699999999</v>
      </c>
      <c r="T8355" s="1095">
        <v>-37.567684</v>
      </c>
    </row>
    <row r="8356" spans="16:20">
      <c r="P8356" s="1094">
        <v>3892</v>
      </c>
      <c r="Q8356" t="s">
        <v>9058</v>
      </c>
      <c r="R8356" t="s">
        <v>616</v>
      </c>
      <c r="S8356">
        <v>149.90986799999999</v>
      </c>
      <c r="T8356" s="1095">
        <v>-37.563775</v>
      </c>
    </row>
    <row r="8357" spans="16:20">
      <c r="P8357" s="1094">
        <v>3893</v>
      </c>
      <c r="Q8357" t="s">
        <v>9059</v>
      </c>
      <c r="R8357" t="s">
        <v>616</v>
      </c>
      <c r="S8357">
        <v>147.86606699999999</v>
      </c>
      <c r="T8357" s="1095">
        <v>-37.495348999999997</v>
      </c>
    </row>
    <row r="8358" spans="16:20">
      <c r="P8358" s="1094">
        <v>3893</v>
      </c>
      <c r="Q8358" t="s">
        <v>4842</v>
      </c>
      <c r="R8358" t="s">
        <v>616</v>
      </c>
      <c r="S8358">
        <v>147.86606699999999</v>
      </c>
      <c r="T8358" s="1095">
        <v>-37.495348999999997</v>
      </c>
    </row>
    <row r="8359" spans="16:20">
      <c r="P8359" s="1094">
        <v>3893</v>
      </c>
      <c r="Q8359" t="s">
        <v>9060</v>
      </c>
      <c r="R8359" t="s">
        <v>616</v>
      </c>
      <c r="S8359">
        <v>147.86606699999999</v>
      </c>
      <c r="T8359" s="1095">
        <v>-37.495348999999997</v>
      </c>
    </row>
    <row r="8360" spans="16:20">
      <c r="P8360" s="1094">
        <v>3895</v>
      </c>
      <c r="Q8360" t="s">
        <v>9061</v>
      </c>
      <c r="R8360" t="s">
        <v>616</v>
      </c>
      <c r="S8360">
        <v>147.88751500000001</v>
      </c>
      <c r="T8360" s="1095">
        <v>-37.379331000000001</v>
      </c>
    </row>
    <row r="8361" spans="16:20">
      <c r="P8361" s="1094">
        <v>3895</v>
      </c>
      <c r="Q8361" t="s">
        <v>9062</v>
      </c>
      <c r="R8361" t="s">
        <v>616</v>
      </c>
      <c r="S8361">
        <v>147.88751500000001</v>
      </c>
      <c r="T8361" s="1095">
        <v>-37.379331000000001</v>
      </c>
    </row>
    <row r="8362" spans="16:20">
      <c r="P8362" s="1094">
        <v>3895</v>
      </c>
      <c r="Q8362" t="s">
        <v>9063</v>
      </c>
      <c r="R8362" t="s">
        <v>616</v>
      </c>
      <c r="S8362">
        <v>147.88751500000001</v>
      </c>
      <c r="T8362" s="1095">
        <v>-37.379331000000001</v>
      </c>
    </row>
    <row r="8363" spans="16:20">
      <c r="P8363" s="1094">
        <v>3895</v>
      </c>
      <c r="Q8363" t="s">
        <v>2778</v>
      </c>
      <c r="R8363" t="s">
        <v>616</v>
      </c>
      <c r="S8363">
        <v>147.88751500000001</v>
      </c>
      <c r="T8363" s="1095">
        <v>-37.379331000000001</v>
      </c>
    </row>
    <row r="8364" spans="16:20">
      <c r="P8364" s="1094">
        <v>3896</v>
      </c>
      <c r="Q8364" t="s">
        <v>9064</v>
      </c>
      <c r="R8364" t="s">
        <v>616</v>
      </c>
      <c r="S8364">
        <v>147.70796200000001</v>
      </c>
      <c r="T8364" s="1095">
        <v>-37.264671</v>
      </c>
    </row>
    <row r="8365" spans="16:20">
      <c r="P8365" s="1094">
        <v>3896</v>
      </c>
      <c r="Q8365" t="s">
        <v>9065</v>
      </c>
      <c r="R8365" t="s">
        <v>616</v>
      </c>
      <c r="S8365">
        <v>147.70796200000001</v>
      </c>
      <c r="T8365" s="1095">
        <v>-37.264671</v>
      </c>
    </row>
    <row r="8366" spans="16:20">
      <c r="P8366" s="1094">
        <v>3896</v>
      </c>
      <c r="Q8366" t="s">
        <v>9066</v>
      </c>
      <c r="R8366" t="s">
        <v>616</v>
      </c>
      <c r="S8366">
        <v>147.70796200000001</v>
      </c>
      <c r="T8366" s="1095">
        <v>-37.264671</v>
      </c>
    </row>
    <row r="8367" spans="16:20">
      <c r="P8367" s="1094">
        <v>3896</v>
      </c>
      <c r="Q8367" t="s">
        <v>9067</v>
      </c>
      <c r="R8367" t="s">
        <v>616</v>
      </c>
      <c r="S8367">
        <v>147.70796200000001</v>
      </c>
      <c r="T8367" s="1095">
        <v>-37.264671</v>
      </c>
    </row>
    <row r="8368" spans="16:20">
      <c r="P8368" s="1094">
        <v>3896</v>
      </c>
      <c r="Q8368" t="s">
        <v>9068</v>
      </c>
      <c r="R8368" t="s">
        <v>616</v>
      </c>
      <c r="S8368">
        <v>147.70796200000001</v>
      </c>
      <c r="T8368" s="1095">
        <v>-37.264671</v>
      </c>
    </row>
    <row r="8369" spans="16:20">
      <c r="P8369" s="1094">
        <v>3898</v>
      </c>
      <c r="Q8369" t="s">
        <v>9069</v>
      </c>
      <c r="R8369" t="s">
        <v>616</v>
      </c>
      <c r="S8369">
        <v>147.464799</v>
      </c>
      <c r="T8369" s="1095">
        <v>-37.066169000000002</v>
      </c>
    </row>
    <row r="8370" spans="16:20">
      <c r="P8370" s="1094">
        <v>3898</v>
      </c>
      <c r="Q8370" t="s">
        <v>9070</v>
      </c>
      <c r="R8370" t="s">
        <v>616</v>
      </c>
      <c r="S8370">
        <v>147.464799</v>
      </c>
      <c r="T8370" s="1095">
        <v>-37.066169000000002</v>
      </c>
    </row>
    <row r="8371" spans="16:20">
      <c r="P8371" s="1094">
        <v>3898</v>
      </c>
      <c r="Q8371" t="s">
        <v>9071</v>
      </c>
      <c r="R8371" t="s">
        <v>616</v>
      </c>
      <c r="S8371">
        <v>147.464799</v>
      </c>
      <c r="T8371" s="1095">
        <v>-37.066169000000002</v>
      </c>
    </row>
    <row r="8372" spans="16:20">
      <c r="P8372" s="1094">
        <v>3898</v>
      </c>
      <c r="Q8372" t="s">
        <v>9072</v>
      </c>
      <c r="R8372" t="s">
        <v>616</v>
      </c>
      <c r="S8372">
        <v>147.464799</v>
      </c>
      <c r="T8372" s="1095">
        <v>-37.066169000000002</v>
      </c>
    </row>
    <row r="8373" spans="16:20">
      <c r="P8373" s="1094">
        <v>3898</v>
      </c>
      <c r="Q8373" t="s">
        <v>2729</v>
      </c>
      <c r="R8373" t="s">
        <v>616</v>
      </c>
      <c r="S8373">
        <v>147.464799</v>
      </c>
      <c r="T8373" s="1095">
        <v>-37.066169000000002</v>
      </c>
    </row>
    <row r="8374" spans="16:20">
      <c r="P8374" s="1094">
        <v>3898</v>
      </c>
      <c r="Q8374" t="s">
        <v>9073</v>
      </c>
      <c r="R8374" t="s">
        <v>616</v>
      </c>
      <c r="S8374">
        <v>147.464799</v>
      </c>
      <c r="T8374" s="1095">
        <v>-37.066169000000002</v>
      </c>
    </row>
    <row r="8375" spans="16:20">
      <c r="P8375" s="1094">
        <v>3898</v>
      </c>
      <c r="Q8375" t="s">
        <v>9074</v>
      </c>
      <c r="R8375" t="s">
        <v>616</v>
      </c>
      <c r="S8375">
        <v>147.464799</v>
      </c>
      <c r="T8375" s="1095">
        <v>-37.066169000000002</v>
      </c>
    </row>
    <row r="8376" spans="16:20">
      <c r="P8376" s="1094">
        <v>3898</v>
      </c>
      <c r="Q8376" t="s">
        <v>9075</v>
      </c>
      <c r="R8376" t="s">
        <v>616</v>
      </c>
      <c r="S8376">
        <v>147.464799</v>
      </c>
      <c r="T8376" s="1095">
        <v>-37.066169000000002</v>
      </c>
    </row>
    <row r="8377" spans="16:20">
      <c r="P8377" s="1094">
        <v>3898</v>
      </c>
      <c r="Q8377" t="s">
        <v>9076</v>
      </c>
      <c r="R8377" t="s">
        <v>616</v>
      </c>
      <c r="S8377">
        <v>147.464799</v>
      </c>
      <c r="T8377" s="1095">
        <v>-37.066169000000002</v>
      </c>
    </row>
    <row r="8378" spans="16:20">
      <c r="P8378" s="1094">
        <v>3898</v>
      </c>
      <c r="Q8378" t="s">
        <v>9077</v>
      </c>
      <c r="R8378" t="s">
        <v>616</v>
      </c>
      <c r="S8378">
        <v>147.464799</v>
      </c>
      <c r="T8378" s="1095">
        <v>-37.066169000000002</v>
      </c>
    </row>
    <row r="8379" spans="16:20">
      <c r="P8379" s="1094">
        <v>3898</v>
      </c>
      <c r="Q8379" t="s">
        <v>9078</v>
      </c>
      <c r="R8379" t="s">
        <v>616</v>
      </c>
      <c r="S8379">
        <v>147.464799</v>
      </c>
      <c r="T8379" s="1095">
        <v>-37.066169000000002</v>
      </c>
    </row>
    <row r="8380" spans="16:20">
      <c r="P8380" s="1094">
        <v>3898</v>
      </c>
      <c r="Q8380" t="s">
        <v>9079</v>
      </c>
      <c r="R8380" t="s">
        <v>616</v>
      </c>
      <c r="S8380">
        <v>147.464799</v>
      </c>
      <c r="T8380" s="1095">
        <v>-37.066169000000002</v>
      </c>
    </row>
    <row r="8381" spans="16:20">
      <c r="P8381" s="1094">
        <v>3900</v>
      </c>
      <c r="Q8381" t="s">
        <v>9080</v>
      </c>
      <c r="R8381" t="s">
        <v>616</v>
      </c>
      <c r="S8381">
        <v>147.826143</v>
      </c>
      <c r="T8381" s="1095">
        <v>-36.88053</v>
      </c>
    </row>
    <row r="8382" spans="16:20">
      <c r="P8382" s="1094">
        <v>3900</v>
      </c>
      <c r="Q8382" t="s">
        <v>9081</v>
      </c>
      <c r="R8382" t="s">
        <v>616</v>
      </c>
      <c r="S8382">
        <v>147.826143</v>
      </c>
      <c r="T8382" s="1095">
        <v>-36.88053</v>
      </c>
    </row>
    <row r="8383" spans="16:20">
      <c r="P8383" s="1094">
        <v>3900</v>
      </c>
      <c r="Q8383" t="s">
        <v>9082</v>
      </c>
      <c r="R8383" t="s">
        <v>616</v>
      </c>
      <c r="S8383">
        <v>147.826143</v>
      </c>
      <c r="T8383" s="1095">
        <v>-36.88053</v>
      </c>
    </row>
    <row r="8384" spans="16:20">
      <c r="P8384" s="1094">
        <v>3902</v>
      </c>
      <c r="Q8384" t="s">
        <v>9083</v>
      </c>
      <c r="R8384" t="s">
        <v>616</v>
      </c>
      <c r="S8384">
        <v>147.81489400000001</v>
      </c>
      <c r="T8384" s="1095">
        <v>-37.797041999999998</v>
      </c>
    </row>
    <row r="8385" spans="16:20">
      <c r="P8385" s="1094">
        <v>3902</v>
      </c>
      <c r="Q8385" t="s">
        <v>9084</v>
      </c>
      <c r="R8385" t="s">
        <v>616</v>
      </c>
      <c r="S8385">
        <v>147.81489400000001</v>
      </c>
      <c r="T8385" s="1095">
        <v>-37.797041999999998</v>
      </c>
    </row>
    <row r="8386" spans="16:20">
      <c r="P8386" s="1094">
        <v>3903</v>
      </c>
      <c r="Q8386" t="s">
        <v>9085</v>
      </c>
      <c r="R8386" t="s">
        <v>616</v>
      </c>
      <c r="S8386">
        <v>147.86753300000001</v>
      </c>
      <c r="T8386" s="1095">
        <v>-37.811303000000002</v>
      </c>
    </row>
    <row r="8387" spans="16:20">
      <c r="P8387" s="1094">
        <v>3904</v>
      </c>
      <c r="Q8387" t="s">
        <v>9086</v>
      </c>
      <c r="R8387" t="s">
        <v>616</v>
      </c>
      <c r="S8387">
        <v>147.83936700000001</v>
      </c>
      <c r="T8387" s="1095">
        <v>-37.881041000000003</v>
      </c>
    </row>
    <row r="8388" spans="16:20">
      <c r="P8388" s="1094">
        <v>3909</v>
      </c>
      <c r="Q8388" t="s">
        <v>9087</v>
      </c>
      <c r="R8388" t="s">
        <v>616</v>
      </c>
      <c r="S8388">
        <v>147.970237</v>
      </c>
      <c r="T8388" s="1095">
        <v>-37.821921000000003</v>
      </c>
    </row>
    <row r="8389" spans="16:20">
      <c r="P8389" s="1094">
        <v>3909</v>
      </c>
      <c r="Q8389" t="s">
        <v>9088</v>
      </c>
      <c r="R8389" t="s">
        <v>616</v>
      </c>
      <c r="S8389">
        <v>147.970237</v>
      </c>
      <c r="T8389" s="1095">
        <v>-37.821921000000003</v>
      </c>
    </row>
    <row r="8390" spans="16:20">
      <c r="P8390" s="1094">
        <v>3909</v>
      </c>
      <c r="Q8390" t="s">
        <v>9089</v>
      </c>
      <c r="R8390" t="s">
        <v>616</v>
      </c>
      <c r="S8390">
        <v>147.970237</v>
      </c>
      <c r="T8390" s="1095">
        <v>-37.821921000000003</v>
      </c>
    </row>
    <row r="8391" spans="16:20">
      <c r="P8391" s="1094">
        <v>3909</v>
      </c>
      <c r="Q8391" t="s">
        <v>9090</v>
      </c>
      <c r="R8391" t="s">
        <v>616</v>
      </c>
      <c r="S8391">
        <v>147.970237</v>
      </c>
      <c r="T8391" s="1095">
        <v>-37.821921000000003</v>
      </c>
    </row>
    <row r="8392" spans="16:20">
      <c r="P8392" s="1094">
        <v>3909</v>
      </c>
      <c r="Q8392" t="s">
        <v>9091</v>
      </c>
      <c r="R8392" t="s">
        <v>616</v>
      </c>
      <c r="S8392">
        <v>147.970237</v>
      </c>
      <c r="T8392" s="1095">
        <v>-37.821921000000003</v>
      </c>
    </row>
    <row r="8393" spans="16:20">
      <c r="P8393" s="1094">
        <v>3909</v>
      </c>
      <c r="Q8393" t="s">
        <v>9092</v>
      </c>
      <c r="R8393" t="s">
        <v>616</v>
      </c>
      <c r="S8393">
        <v>147.970237</v>
      </c>
      <c r="T8393" s="1095">
        <v>-37.821921000000003</v>
      </c>
    </row>
    <row r="8394" spans="16:20">
      <c r="P8394" s="1094">
        <v>3909</v>
      </c>
      <c r="Q8394" t="s">
        <v>9093</v>
      </c>
      <c r="R8394" t="s">
        <v>616</v>
      </c>
      <c r="S8394">
        <v>147.970237</v>
      </c>
      <c r="T8394" s="1095">
        <v>-37.821921000000003</v>
      </c>
    </row>
    <row r="8395" spans="16:20">
      <c r="P8395" s="1094">
        <v>3909</v>
      </c>
      <c r="Q8395" t="s">
        <v>9094</v>
      </c>
      <c r="R8395" t="s">
        <v>616</v>
      </c>
      <c r="S8395">
        <v>147.970237</v>
      </c>
      <c r="T8395" s="1095">
        <v>-37.821921000000003</v>
      </c>
    </row>
    <row r="8396" spans="16:20">
      <c r="P8396" s="1094">
        <v>3910</v>
      </c>
      <c r="Q8396" t="s">
        <v>9095</v>
      </c>
      <c r="R8396" t="s">
        <v>616</v>
      </c>
      <c r="S8396">
        <v>145.198328</v>
      </c>
      <c r="T8396" s="1095">
        <v>-38.156368999999998</v>
      </c>
    </row>
    <row r="8397" spans="16:20">
      <c r="P8397" s="1094">
        <v>3911</v>
      </c>
      <c r="Q8397" t="s">
        <v>9096</v>
      </c>
      <c r="R8397" t="s">
        <v>616</v>
      </c>
      <c r="S8397">
        <v>145.169556</v>
      </c>
      <c r="T8397" s="1095">
        <v>-38.196908000000001</v>
      </c>
    </row>
    <row r="8398" spans="16:20">
      <c r="P8398" s="1094">
        <v>3911</v>
      </c>
      <c r="Q8398" t="s">
        <v>9097</v>
      </c>
      <c r="R8398" t="s">
        <v>616</v>
      </c>
      <c r="S8398">
        <v>145.169556</v>
      </c>
      <c r="T8398" s="1095">
        <v>-38.196908000000001</v>
      </c>
    </row>
    <row r="8399" spans="16:20">
      <c r="P8399" s="1094">
        <v>3912</v>
      </c>
      <c r="Q8399" t="s">
        <v>9098</v>
      </c>
      <c r="R8399" t="s">
        <v>616</v>
      </c>
      <c r="S8399">
        <v>145.227373</v>
      </c>
      <c r="T8399" s="1095">
        <v>-38.217990999999998</v>
      </c>
    </row>
    <row r="8400" spans="16:20">
      <c r="P8400" s="1094">
        <v>3912</v>
      </c>
      <c r="Q8400" t="s">
        <v>9099</v>
      </c>
      <c r="R8400" t="s">
        <v>616</v>
      </c>
      <c r="S8400">
        <v>145.227373</v>
      </c>
      <c r="T8400" s="1095">
        <v>-38.217990999999998</v>
      </c>
    </row>
    <row r="8401" spans="16:20">
      <c r="P8401" s="1094">
        <v>3913</v>
      </c>
      <c r="Q8401" t="s">
        <v>9100</v>
      </c>
      <c r="R8401" t="s">
        <v>616</v>
      </c>
      <c r="S8401">
        <v>145.166426</v>
      </c>
      <c r="T8401" s="1095">
        <v>-38.262273</v>
      </c>
    </row>
    <row r="8402" spans="16:20">
      <c r="P8402" s="1094">
        <v>3915</v>
      </c>
      <c r="Q8402" t="s">
        <v>9101</v>
      </c>
      <c r="R8402" t="s">
        <v>616</v>
      </c>
      <c r="S8402">
        <v>145.13662199999999</v>
      </c>
      <c r="T8402" s="1095">
        <v>-38.305805999999997</v>
      </c>
    </row>
    <row r="8403" spans="16:20">
      <c r="P8403" s="1094">
        <v>3915</v>
      </c>
      <c r="Q8403" t="s">
        <v>9102</v>
      </c>
      <c r="R8403" t="s">
        <v>616</v>
      </c>
      <c r="S8403">
        <v>145.13662199999999</v>
      </c>
      <c r="T8403" s="1095">
        <v>-38.305805999999997</v>
      </c>
    </row>
    <row r="8404" spans="16:20">
      <c r="P8404" s="1094">
        <v>3916</v>
      </c>
      <c r="Q8404" t="s">
        <v>9103</v>
      </c>
      <c r="R8404" t="s">
        <v>616</v>
      </c>
      <c r="S8404">
        <v>145.05058700000001</v>
      </c>
      <c r="T8404" s="1095">
        <v>-38.415199000000001</v>
      </c>
    </row>
    <row r="8405" spans="16:20">
      <c r="P8405" s="1094">
        <v>3916</v>
      </c>
      <c r="Q8405" t="s">
        <v>9104</v>
      </c>
      <c r="R8405" t="s">
        <v>616</v>
      </c>
      <c r="S8405">
        <v>145.05058700000001</v>
      </c>
      <c r="T8405" s="1095">
        <v>-38.415199000000001</v>
      </c>
    </row>
    <row r="8406" spans="16:20">
      <c r="P8406" s="1094">
        <v>3916</v>
      </c>
      <c r="Q8406" t="s">
        <v>9105</v>
      </c>
      <c r="R8406" t="s">
        <v>616</v>
      </c>
      <c r="S8406">
        <v>145.05058700000001</v>
      </c>
      <c r="T8406" s="1095">
        <v>-38.415199000000001</v>
      </c>
    </row>
    <row r="8407" spans="16:20">
      <c r="P8407" s="1094">
        <v>3918</v>
      </c>
      <c r="Q8407" t="s">
        <v>9106</v>
      </c>
      <c r="R8407" t="s">
        <v>616</v>
      </c>
      <c r="S8407">
        <v>145.15554599999999</v>
      </c>
      <c r="T8407" s="1095">
        <v>-38.339871000000002</v>
      </c>
    </row>
    <row r="8408" spans="16:20">
      <c r="P8408" s="1094">
        <v>3919</v>
      </c>
      <c r="Q8408" t="s">
        <v>9107</v>
      </c>
      <c r="R8408" t="s">
        <v>616</v>
      </c>
      <c r="S8408">
        <v>145.19977700000001</v>
      </c>
      <c r="T8408" s="1095">
        <v>-38.352327000000002</v>
      </c>
    </row>
    <row r="8409" spans="16:20">
      <c r="P8409" s="1094">
        <v>3920</v>
      </c>
      <c r="Q8409" t="s">
        <v>9108</v>
      </c>
      <c r="R8409" t="s">
        <v>616</v>
      </c>
      <c r="S8409">
        <v>145.19304</v>
      </c>
      <c r="T8409" s="1095">
        <v>-38.387520000000002</v>
      </c>
    </row>
    <row r="8410" spans="16:20">
      <c r="P8410" s="1094">
        <v>3920</v>
      </c>
      <c r="Q8410" t="s">
        <v>9109</v>
      </c>
      <c r="R8410" t="s">
        <v>616</v>
      </c>
      <c r="S8410">
        <v>145.19304</v>
      </c>
      <c r="T8410" s="1095">
        <v>-38.387520000000002</v>
      </c>
    </row>
    <row r="8411" spans="16:20">
      <c r="P8411" s="1094">
        <v>3921</v>
      </c>
      <c r="Q8411" t="s">
        <v>9110</v>
      </c>
      <c r="R8411" t="s">
        <v>616</v>
      </c>
      <c r="S8411">
        <v>145.36707899999999</v>
      </c>
      <c r="T8411" s="1095">
        <v>-38.419488000000001</v>
      </c>
    </row>
    <row r="8412" spans="16:20">
      <c r="P8412" s="1094">
        <v>3921</v>
      </c>
      <c r="Q8412" t="s">
        <v>9111</v>
      </c>
      <c r="R8412" t="s">
        <v>616</v>
      </c>
      <c r="S8412">
        <v>145.36707899999999</v>
      </c>
      <c r="T8412" s="1095">
        <v>-38.419488000000001</v>
      </c>
    </row>
    <row r="8413" spans="16:20">
      <c r="P8413" s="1094">
        <v>3922</v>
      </c>
      <c r="Q8413" t="s">
        <v>9112</v>
      </c>
      <c r="R8413" t="s">
        <v>616</v>
      </c>
      <c r="S8413">
        <v>145.23197400000001</v>
      </c>
      <c r="T8413" s="1095">
        <v>-38.482182000000002</v>
      </c>
    </row>
    <row r="8414" spans="16:20">
      <c r="P8414" s="1094">
        <v>3922</v>
      </c>
      <c r="Q8414" t="s">
        <v>9113</v>
      </c>
      <c r="R8414" t="s">
        <v>616</v>
      </c>
      <c r="S8414">
        <v>145.23197400000001</v>
      </c>
      <c r="T8414" s="1095">
        <v>-38.482182000000002</v>
      </c>
    </row>
    <row r="8415" spans="16:20">
      <c r="P8415" s="1094">
        <v>3922</v>
      </c>
      <c r="Q8415" t="s">
        <v>9114</v>
      </c>
      <c r="R8415" t="s">
        <v>616</v>
      </c>
      <c r="S8415">
        <v>145.23197400000001</v>
      </c>
      <c r="T8415" s="1095">
        <v>-38.482182000000002</v>
      </c>
    </row>
    <row r="8416" spans="16:20">
      <c r="P8416" s="1094">
        <v>3922</v>
      </c>
      <c r="Q8416" t="s">
        <v>9115</v>
      </c>
      <c r="R8416" t="s">
        <v>616</v>
      </c>
      <c r="S8416">
        <v>145.23197400000001</v>
      </c>
      <c r="T8416" s="1095">
        <v>-38.482182000000002</v>
      </c>
    </row>
    <row r="8417" spans="16:20">
      <c r="P8417" s="1094">
        <v>3922</v>
      </c>
      <c r="Q8417" t="s">
        <v>9116</v>
      </c>
      <c r="R8417" t="s">
        <v>616</v>
      </c>
      <c r="S8417">
        <v>145.23197400000001</v>
      </c>
      <c r="T8417" s="1095">
        <v>-38.482182000000002</v>
      </c>
    </row>
    <row r="8418" spans="16:20">
      <c r="P8418" s="1094">
        <v>3922</v>
      </c>
      <c r="Q8418" t="s">
        <v>9117</v>
      </c>
      <c r="R8418" t="s">
        <v>616</v>
      </c>
      <c r="S8418">
        <v>145.23197400000001</v>
      </c>
      <c r="T8418" s="1095">
        <v>-38.482182000000002</v>
      </c>
    </row>
    <row r="8419" spans="16:20">
      <c r="P8419" s="1094">
        <v>3922</v>
      </c>
      <c r="Q8419" t="s">
        <v>4303</v>
      </c>
      <c r="R8419" t="s">
        <v>616</v>
      </c>
      <c r="S8419">
        <v>145.23197400000001</v>
      </c>
      <c r="T8419" s="1095">
        <v>-38.482182000000002</v>
      </c>
    </row>
    <row r="8420" spans="16:20">
      <c r="P8420" s="1094">
        <v>3922</v>
      </c>
      <c r="Q8420" t="s">
        <v>9118</v>
      </c>
      <c r="R8420" t="s">
        <v>616</v>
      </c>
      <c r="S8420">
        <v>145.23197400000001</v>
      </c>
      <c r="T8420" s="1095">
        <v>-38.482182000000002</v>
      </c>
    </row>
    <row r="8421" spans="16:20">
      <c r="P8421" s="1094">
        <v>3922</v>
      </c>
      <c r="Q8421" t="s">
        <v>9119</v>
      </c>
      <c r="R8421" t="s">
        <v>616</v>
      </c>
      <c r="S8421">
        <v>145.23197400000001</v>
      </c>
      <c r="T8421" s="1095">
        <v>-38.482182000000002</v>
      </c>
    </row>
    <row r="8422" spans="16:20">
      <c r="P8422" s="1094">
        <v>3923</v>
      </c>
      <c r="Q8422" t="s">
        <v>9120</v>
      </c>
      <c r="R8422" t="s">
        <v>616</v>
      </c>
      <c r="S8422">
        <v>145.293632</v>
      </c>
      <c r="T8422" s="1095">
        <v>-38.465552000000002</v>
      </c>
    </row>
    <row r="8423" spans="16:20">
      <c r="P8423" s="1094">
        <v>3925</v>
      </c>
      <c r="Q8423" t="s">
        <v>9121</v>
      </c>
      <c r="R8423" t="s">
        <v>616</v>
      </c>
      <c r="S8423">
        <v>145.379683</v>
      </c>
      <c r="T8423" s="1095">
        <v>-38.528213000000001</v>
      </c>
    </row>
    <row r="8424" spans="16:20">
      <c r="P8424" s="1094">
        <v>3925</v>
      </c>
      <c r="Q8424" t="s">
        <v>9122</v>
      </c>
      <c r="R8424" t="s">
        <v>616</v>
      </c>
      <c r="S8424">
        <v>145.379683</v>
      </c>
      <c r="T8424" s="1095">
        <v>-38.528213000000001</v>
      </c>
    </row>
    <row r="8425" spans="16:20">
      <c r="P8425" s="1094">
        <v>3925</v>
      </c>
      <c r="Q8425" t="s">
        <v>9123</v>
      </c>
      <c r="R8425" t="s">
        <v>616</v>
      </c>
      <c r="S8425">
        <v>145.379683</v>
      </c>
      <c r="T8425" s="1095">
        <v>-38.528213000000001</v>
      </c>
    </row>
    <row r="8426" spans="16:20">
      <c r="P8426" s="1094">
        <v>3925</v>
      </c>
      <c r="Q8426" t="s">
        <v>2402</v>
      </c>
      <c r="R8426" t="s">
        <v>616</v>
      </c>
      <c r="S8426">
        <v>145.379683</v>
      </c>
      <c r="T8426" s="1095">
        <v>-38.528213000000001</v>
      </c>
    </row>
    <row r="8427" spans="16:20">
      <c r="P8427" s="1094">
        <v>3926</v>
      </c>
      <c r="Q8427" t="s">
        <v>9124</v>
      </c>
      <c r="R8427" t="s">
        <v>616</v>
      </c>
      <c r="S8427">
        <v>145.09450200000001</v>
      </c>
      <c r="T8427" s="1095">
        <v>-38.355231000000003</v>
      </c>
    </row>
    <row r="8428" spans="16:20">
      <c r="P8428" s="1094">
        <v>3926</v>
      </c>
      <c r="Q8428" t="s">
        <v>9125</v>
      </c>
      <c r="R8428" t="s">
        <v>616</v>
      </c>
      <c r="S8428">
        <v>145.09450200000001</v>
      </c>
      <c r="T8428" s="1095">
        <v>-38.355231000000003</v>
      </c>
    </row>
    <row r="8429" spans="16:20">
      <c r="P8429" s="1094">
        <v>3926</v>
      </c>
      <c r="Q8429" t="s">
        <v>9126</v>
      </c>
      <c r="R8429" t="s">
        <v>616</v>
      </c>
      <c r="S8429">
        <v>145.09450200000001</v>
      </c>
      <c r="T8429" s="1095">
        <v>-38.355231000000003</v>
      </c>
    </row>
    <row r="8430" spans="16:20">
      <c r="P8430" s="1094">
        <v>3926</v>
      </c>
      <c r="Q8430" t="s">
        <v>9127</v>
      </c>
      <c r="R8430" t="s">
        <v>616</v>
      </c>
      <c r="S8430">
        <v>145.09450200000001</v>
      </c>
      <c r="T8430" s="1095">
        <v>-38.355231000000003</v>
      </c>
    </row>
    <row r="8431" spans="16:20">
      <c r="P8431" s="1094">
        <v>3927</v>
      </c>
      <c r="Q8431" t="s">
        <v>9128</v>
      </c>
      <c r="R8431" t="s">
        <v>616</v>
      </c>
      <c r="S8431">
        <v>145.15326899999999</v>
      </c>
      <c r="T8431" s="1095">
        <v>-38.383367999999997</v>
      </c>
    </row>
    <row r="8432" spans="16:20">
      <c r="P8432" s="1094">
        <v>3928</v>
      </c>
      <c r="Q8432" t="s">
        <v>9129</v>
      </c>
      <c r="R8432" t="s">
        <v>616</v>
      </c>
      <c r="S8432">
        <v>144.975131</v>
      </c>
      <c r="T8432" s="1095">
        <v>-38.407828000000002</v>
      </c>
    </row>
    <row r="8433" spans="16:20">
      <c r="P8433" s="1094">
        <v>3929</v>
      </c>
      <c r="Q8433" t="s">
        <v>4233</v>
      </c>
      <c r="R8433" t="s">
        <v>616</v>
      </c>
      <c r="S8433">
        <v>144.97667300000001</v>
      </c>
      <c r="T8433" s="1095">
        <v>-38.460965000000002</v>
      </c>
    </row>
    <row r="8434" spans="16:20">
      <c r="P8434" s="1094">
        <v>3930</v>
      </c>
      <c r="Q8434" t="s">
        <v>9130</v>
      </c>
      <c r="R8434" t="s">
        <v>616</v>
      </c>
      <c r="S8434">
        <v>145.09374299999999</v>
      </c>
      <c r="T8434" s="1095">
        <v>-38.195017</v>
      </c>
    </row>
    <row r="8435" spans="16:20">
      <c r="P8435" s="1094">
        <v>3930</v>
      </c>
      <c r="Q8435" t="s">
        <v>9131</v>
      </c>
      <c r="R8435" t="s">
        <v>616</v>
      </c>
      <c r="S8435">
        <v>145.09374299999999</v>
      </c>
      <c r="T8435" s="1095">
        <v>-38.195017</v>
      </c>
    </row>
    <row r="8436" spans="16:20">
      <c r="P8436" s="1094">
        <v>3931</v>
      </c>
      <c r="Q8436" t="s">
        <v>9132</v>
      </c>
      <c r="R8436" t="s">
        <v>616</v>
      </c>
      <c r="S8436">
        <v>145.04950299999999</v>
      </c>
      <c r="T8436" s="1095">
        <v>-38.230038</v>
      </c>
    </row>
    <row r="8437" spans="16:20">
      <c r="P8437" s="1094">
        <v>3933</v>
      </c>
      <c r="Q8437" t="s">
        <v>9133</v>
      </c>
      <c r="R8437" t="s">
        <v>616</v>
      </c>
      <c r="S8437">
        <v>145.096992</v>
      </c>
      <c r="T8437" s="1095">
        <v>-38.261167999999998</v>
      </c>
    </row>
    <row r="8438" spans="16:20">
      <c r="P8438" s="1094">
        <v>3934</v>
      </c>
      <c r="Q8438" t="s">
        <v>9134</v>
      </c>
      <c r="R8438" t="s">
        <v>616</v>
      </c>
      <c r="S8438">
        <v>145.031598</v>
      </c>
      <c r="T8438" s="1095">
        <v>-38.278300000000002</v>
      </c>
    </row>
    <row r="8439" spans="16:20">
      <c r="P8439" s="1094">
        <v>3936</v>
      </c>
      <c r="Q8439" t="s">
        <v>9135</v>
      </c>
      <c r="R8439" t="s">
        <v>616</v>
      </c>
      <c r="S8439">
        <v>145.00762599999999</v>
      </c>
      <c r="T8439" s="1095">
        <v>-38.326447000000002</v>
      </c>
    </row>
    <row r="8440" spans="16:20">
      <c r="P8440" s="1094">
        <v>3936</v>
      </c>
      <c r="Q8440" t="s">
        <v>9136</v>
      </c>
      <c r="R8440" t="s">
        <v>616</v>
      </c>
      <c r="S8440">
        <v>145.00762599999999</v>
      </c>
      <c r="T8440" s="1095">
        <v>-38.326447000000002</v>
      </c>
    </row>
    <row r="8441" spans="16:20">
      <c r="P8441" s="1094">
        <v>3936</v>
      </c>
      <c r="Q8441" t="s">
        <v>3678</v>
      </c>
      <c r="R8441" t="s">
        <v>616</v>
      </c>
      <c r="S8441">
        <v>145.00762599999999</v>
      </c>
      <c r="T8441" s="1095">
        <v>-38.326447000000002</v>
      </c>
    </row>
    <row r="8442" spans="16:20">
      <c r="P8442" s="1094">
        <v>3937</v>
      </c>
      <c r="Q8442" t="s">
        <v>2939</v>
      </c>
      <c r="R8442" t="s">
        <v>616</v>
      </c>
      <c r="S8442">
        <v>145.01993999999999</v>
      </c>
      <c r="T8442" s="1095">
        <v>-38.373694</v>
      </c>
    </row>
    <row r="8443" spans="16:20">
      <c r="P8443" s="1094">
        <v>3937</v>
      </c>
      <c r="Q8443" t="s">
        <v>9137</v>
      </c>
      <c r="R8443" t="s">
        <v>616</v>
      </c>
      <c r="S8443">
        <v>145.01993999999999</v>
      </c>
      <c r="T8443" s="1095">
        <v>-38.373694</v>
      </c>
    </row>
    <row r="8444" spans="16:20">
      <c r="P8444" s="1094">
        <v>3938</v>
      </c>
      <c r="Q8444" t="s">
        <v>9138</v>
      </c>
      <c r="R8444" t="s">
        <v>616</v>
      </c>
      <c r="S8444">
        <v>144.93183400000001</v>
      </c>
      <c r="T8444" s="1095">
        <v>-38.354320999999999</v>
      </c>
    </row>
    <row r="8445" spans="16:20">
      <c r="P8445" s="1094">
        <v>3939</v>
      </c>
      <c r="Q8445" t="s">
        <v>9139</v>
      </c>
      <c r="R8445" t="s">
        <v>616</v>
      </c>
      <c r="S8445">
        <v>144.90041299999999</v>
      </c>
      <c r="T8445" s="1095">
        <v>-38.427759999999999</v>
      </c>
    </row>
    <row r="8446" spans="16:20">
      <c r="P8446" s="1094">
        <v>3939</v>
      </c>
      <c r="Q8446" t="s">
        <v>9140</v>
      </c>
      <c r="R8446" t="s">
        <v>616</v>
      </c>
      <c r="S8446">
        <v>144.90041299999999</v>
      </c>
      <c r="T8446" s="1095">
        <v>-38.427759999999999</v>
      </c>
    </row>
    <row r="8447" spans="16:20">
      <c r="P8447" s="1094">
        <v>3939</v>
      </c>
      <c r="Q8447" t="s">
        <v>9141</v>
      </c>
      <c r="R8447" t="s">
        <v>616</v>
      </c>
      <c r="S8447">
        <v>144.90041299999999</v>
      </c>
      <c r="T8447" s="1095">
        <v>-38.427759999999999</v>
      </c>
    </row>
    <row r="8448" spans="16:20">
      <c r="P8448" s="1094">
        <v>3939</v>
      </c>
      <c r="Q8448" t="s">
        <v>9142</v>
      </c>
      <c r="R8448" t="s">
        <v>616</v>
      </c>
      <c r="S8448">
        <v>144.90041299999999</v>
      </c>
      <c r="T8448" s="1095">
        <v>-38.427759999999999</v>
      </c>
    </row>
    <row r="8449" spans="16:20">
      <c r="P8449" s="1094">
        <v>3939</v>
      </c>
      <c r="Q8449" t="s">
        <v>9143</v>
      </c>
      <c r="R8449" t="s">
        <v>616</v>
      </c>
      <c r="S8449">
        <v>144.90041299999999</v>
      </c>
      <c r="T8449" s="1095">
        <v>-38.427759999999999</v>
      </c>
    </row>
    <row r="8450" spans="16:20">
      <c r="P8450" s="1094">
        <v>3940</v>
      </c>
      <c r="Q8450" t="s">
        <v>9144</v>
      </c>
      <c r="R8450" t="s">
        <v>616</v>
      </c>
      <c r="S8450">
        <v>144.87311500000001</v>
      </c>
      <c r="T8450" s="1095">
        <v>-38.383367</v>
      </c>
    </row>
    <row r="8451" spans="16:20">
      <c r="P8451" s="1094">
        <v>3941</v>
      </c>
      <c r="Q8451" t="s">
        <v>9145</v>
      </c>
      <c r="R8451" t="s">
        <v>616</v>
      </c>
      <c r="S8451">
        <v>144.827203</v>
      </c>
      <c r="T8451" s="1095">
        <v>-38.396076999999998</v>
      </c>
    </row>
    <row r="8452" spans="16:20">
      <c r="P8452" s="1094">
        <v>3941</v>
      </c>
      <c r="Q8452" t="s">
        <v>9146</v>
      </c>
      <c r="R8452" t="s">
        <v>616</v>
      </c>
      <c r="S8452">
        <v>144.827203</v>
      </c>
      <c r="T8452" s="1095">
        <v>-38.396076999999998</v>
      </c>
    </row>
    <row r="8453" spans="16:20">
      <c r="P8453" s="1094">
        <v>3941</v>
      </c>
      <c r="Q8453" t="s">
        <v>9147</v>
      </c>
      <c r="R8453" t="s">
        <v>616</v>
      </c>
      <c r="S8453">
        <v>144.827203</v>
      </c>
      <c r="T8453" s="1095">
        <v>-38.396076999999998</v>
      </c>
    </row>
    <row r="8454" spans="16:20">
      <c r="P8454" s="1094">
        <v>3942</v>
      </c>
      <c r="Q8454" t="s">
        <v>9148</v>
      </c>
      <c r="R8454" t="s">
        <v>616</v>
      </c>
      <c r="S8454">
        <v>144.76830100000001</v>
      </c>
      <c r="T8454" s="1095">
        <v>-38.367874</v>
      </c>
    </row>
    <row r="8455" spans="16:20">
      <c r="P8455" s="1094">
        <v>3943</v>
      </c>
      <c r="Q8455" t="s">
        <v>9149</v>
      </c>
      <c r="R8455" t="s">
        <v>616</v>
      </c>
      <c r="S8455">
        <v>144.73910100000001</v>
      </c>
      <c r="T8455" s="1095">
        <v>-38.345526999999997</v>
      </c>
    </row>
    <row r="8456" spans="16:20">
      <c r="P8456" s="1094">
        <v>3944</v>
      </c>
      <c r="Q8456" t="s">
        <v>9150</v>
      </c>
      <c r="R8456" t="s">
        <v>616</v>
      </c>
      <c r="S8456">
        <v>144.69270800000001</v>
      </c>
      <c r="T8456" s="1095">
        <v>-38.321871000000002</v>
      </c>
    </row>
    <row r="8457" spans="16:20">
      <c r="P8457" s="1094">
        <v>3945</v>
      </c>
      <c r="Q8457" t="s">
        <v>9151</v>
      </c>
      <c r="R8457" t="s">
        <v>616</v>
      </c>
      <c r="S8457">
        <v>145.69705300000001</v>
      </c>
      <c r="T8457" s="1095">
        <v>-38.381582000000002</v>
      </c>
    </row>
    <row r="8458" spans="16:20">
      <c r="P8458" s="1094">
        <v>3945</v>
      </c>
      <c r="Q8458" t="s">
        <v>9152</v>
      </c>
      <c r="R8458" t="s">
        <v>616</v>
      </c>
      <c r="S8458">
        <v>145.69705300000001</v>
      </c>
      <c r="T8458" s="1095">
        <v>-38.381582000000002</v>
      </c>
    </row>
    <row r="8459" spans="16:20">
      <c r="P8459" s="1094">
        <v>3945</v>
      </c>
      <c r="Q8459" t="s">
        <v>9153</v>
      </c>
      <c r="R8459" t="s">
        <v>616</v>
      </c>
      <c r="S8459">
        <v>145.69705300000001</v>
      </c>
      <c r="T8459" s="1095">
        <v>-38.381582000000002</v>
      </c>
    </row>
    <row r="8460" spans="16:20">
      <c r="P8460" s="1094">
        <v>3945</v>
      </c>
      <c r="Q8460" t="s">
        <v>9154</v>
      </c>
      <c r="R8460" t="s">
        <v>616</v>
      </c>
      <c r="S8460">
        <v>145.69705300000001</v>
      </c>
      <c r="T8460" s="1095">
        <v>-38.381582000000002</v>
      </c>
    </row>
    <row r="8461" spans="16:20">
      <c r="P8461" s="1094">
        <v>3945</v>
      </c>
      <c r="Q8461" t="s">
        <v>9155</v>
      </c>
      <c r="R8461" t="s">
        <v>616</v>
      </c>
      <c r="S8461">
        <v>145.69705300000001</v>
      </c>
      <c r="T8461" s="1095">
        <v>-38.381582000000002</v>
      </c>
    </row>
    <row r="8462" spans="16:20">
      <c r="P8462" s="1094">
        <v>3946</v>
      </c>
      <c r="Q8462" t="s">
        <v>9156</v>
      </c>
      <c r="R8462" t="s">
        <v>616</v>
      </c>
      <c r="S8462">
        <v>145.72353699999999</v>
      </c>
      <c r="T8462" s="1095">
        <v>-38.448155</v>
      </c>
    </row>
    <row r="8463" spans="16:20">
      <c r="P8463" s="1094">
        <v>3950</v>
      </c>
      <c r="Q8463" t="s">
        <v>9157</v>
      </c>
      <c r="R8463" t="s">
        <v>616</v>
      </c>
      <c r="S8463">
        <v>145.81294500000001</v>
      </c>
      <c r="T8463" s="1095">
        <v>-38.435217000000002</v>
      </c>
    </row>
    <row r="8464" spans="16:20">
      <c r="P8464" s="1094">
        <v>3950</v>
      </c>
      <c r="Q8464" t="s">
        <v>9158</v>
      </c>
      <c r="R8464" t="s">
        <v>616</v>
      </c>
      <c r="S8464">
        <v>145.81294500000001</v>
      </c>
      <c r="T8464" s="1095">
        <v>-38.435217000000002</v>
      </c>
    </row>
    <row r="8465" spans="16:20">
      <c r="P8465" s="1094">
        <v>3950</v>
      </c>
      <c r="Q8465" t="s">
        <v>9159</v>
      </c>
      <c r="R8465" t="s">
        <v>616</v>
      </c>
      <c r="S8465">
        <v>145.81294500000001</v>
      </c>
      <c r="T8465" s="1095">
        <v>-38.435217000000002</v>
      </c>
    </row>
    <row r="8466" spans="16:20">
      <c r="P8466" s="1094">
        <v>3950</v>
      </c>
      <c r="Q8466" t="s">
        <v>9160</v>
      </c>
      <c r="R8466" t="s">
        <v>616</v>
      </c>
      <c r="S8466">
        <v>145.81294500000001</v>
      </c>
      <c r="T8466" s="1095">
        <v>-38.435217000000002</v>
      </c>
    </row>
    <row r="8467" spans="16:20">
      <c r="P8467" s="1094">
        <v>3950</v>
      </c>
      <c r="Q8467" t="s">
        <v>9161</v>
      </c>
      <c r="R8467" t="s">
        <v>616</v>
      </c>
      <c r="S8467">
        <v>145.81294500000001</v>
      </c>
      <c r="T8467" s="1095">
        <v>-38.435217000000002</v>
      </c>
    </row>
    <row r="8468" spans="16:20">
      <c r="P8468" s="1094">
        <v>3951</v>
      </c>
      <c r="Q8468" t="s">
        <v>9162</v>
      </c>
      <c r="R8468" t="s">
        <v>616</v>
      </c>
      <c r="S8468">
        <v>145.798419</v>
      </c>
      <c r="T8468" s="1095">
        <v>-38.47372</v>
      </c>
    </row>
    <row r="8469" spans="16:20">
      <c r="P8469" s="1094">
        <v>3951</v>
      </c>
      <c r="Q8469" t="s">
        <v>9163</v>
      </c>
      <c r="R8469" t="s">
        <v>616</v>
      </c>
      <c r="S8469">
        <v>145.798419</v>
      </c>
      <c r="T8469" s="1095">
        <v>-38.47372</v>
      </c>
    </row>
    <row r="8470" spans="16:20">
      <c r="P8470" s="1094">
        <v>3951</v>
      </c>
      <c r="Q8470" t="s">
        <v>9164</v>
      </c>
      <c r="R8470" t="s">
        <v>616</v>
      </c>
      <c r="S8470">
        <v>145.798419</v>
      </c>
      <c r="T8470" s="1095">
        <v>-38.47372</v>
      </c>
    </row>
    <row r="8471" spans="16:20">
      <c r="P8471" s="1094">
        <v>3951</v>
      </c>
      <c r="Q8471" t="s">
        <v>9165</v>
      </c>
      <c r="R8471" t="s">
        <v>616</v>
      </c>
      <c r="S8471">
        <v>145.798419</v>
      </c>
      <c r="T8471" s="1095">
        <v>-38.47372</v>
      </c>
    </row>
    <row r="8472" spans="16:20">
      <c r="P8472" s="1094">
        <v>3951</v>
      </c>
      <c r="Q8472" t="s">
        <v>9166</v>
      </c>
      <c r="R8472" t="s">
        <v>616</v>
      </c>
      <c r="S8472">
        <v>145.798419</v>
      </c>
      <c r="T8472" s="1095">
        <v>-38.47372</v>
      </c>
    </row>
    <row r="8473" spans="16:20">
      <c r="P8473" s="1094">
        <v>3951</v>
      </c>
      <c r="Q8473" t="s">
        <v>9167</v>
      </c>
      <c r="R8473" t="s">
        <v>616</v>
      </c>
      <c r="S8473">
        <v>145.798419</v>
      </c>
      <c r="T8473" s="1095">
        <v>-38.47372</v>
      </c>
    </row>
    <row r="8474" spans="16:20">
      <c r="P8474" s="1094">
        <v>3951</v>
      </c>
      <c r="Q8474" t="s">
        <v>9168</v>
      </c>
      <c r="R8474" t="s">
        <v>616</v>
      </c>
      <c r="S8474">
        <v>145.798419</v>
      </c>
      <c r="T8474" s="1095">
        <v>-38.47372</v>
      </c>
    </row>
    <row r="8475" spans="16:20">
      <c r="P8475" s="1094">
        <v>3951</v>
      </c>
      <c r="Q8475" t="s">
        <v>9169</v>
      </c>
      <c r="R8475" t="s">
        <v>616</v>
      </c>
      <c r="S8475">
        <v>145.798419</v>
      </c>
      <c r="T8475" s="1095">
        <v>-38.47372</v>
      </c>
    </row>
    <row r="8476" spans="16:20">
      <c r="P8476" s="1094">
        <v>3953</v>
      </c>
      <c r="Q8476" t="s">
        <v>9170</v>
      </c>
      <c r="R8476" t="s">
        <v>616</v>
      </c>
      <c r="S8476">
        <v>145.99517399999999</v>
      </c>
      <c r="T8476" s="1095">
        <v>-38.460127</v>
      </c>
    </row>
    <row r="8477" spans="16:20">
      <c r="P8477" s="1094">
        <v>3953</v>
      </c>
      <c r="Q8477" t="s">
        <v>9171</v>
      </c>
      <c r="R8477" t="s">
        <v>616</v>
      </c>
      <c r="S8477">
        <v>145.99517399999999</v>
      </c>
      <c r="T8477" s="1095">
        <v>-38.460127</v>
      </c>
    </row>
    <row r="8478" spans="16:20">
      <c r="P8478" s="1094">
        <v>3953</v>
      </c>
      <c r="Q8478" t="s">
        <v>9172</v>
      </c>
      <c r="R8478" t="s">
        <v>616</v>
      </c>
      <c r="S8478">
        <v>145.99517399999999</v>
      </c>
      <c r="T8478" s="1095">
        <v>-38.460127</v>
      </c>
    </row>
    <row r="8479" spans="16:20">
      <c r="P8479" s="1094">
        <v>3953</v>
      </c>
      <c r="Q8479" t="s">
        <v>9173</v>
      </c>
      <c r="R8479" t="s">
        <v>616</v>
      </c>
      <c r="S8479">
        <v>145.99517399999999</v>
      </c>
      <c r="T8479" s="1095">
        <v>-38.460127</v>
      </c>
    </row>
    <row r="8480" spans="16:20">
      <c r="P8480" s="1094">
        <v>3953</v>
      </c>
      <c r="Q8480" t="s">
        <v>9174</v>
      </c>
      <c r="R8480" t="s">
        <v>616</v>
      </c>
      <c r="S8480">
        <v>145.99517399999999</v>
      </c>
      <c r="T8480" s="1095">
        <v>-38.460127</v>
      </c>
    </row>
    <row r="8481" spans="16:20">
      <c r="P8481" s="1094">
        <v>3953</v>
      </c>
      <c r="Q8481" t="s">
        <v>9175</v>
      </c>
      <c r="R8481" t="s">
        <v>616</v>
      </c>
      <c r="S8481">
        <v>145.99517399999999</v>
      </c>
      <c r="T8481" s="1095">
        <v>-38.460127</v>
      </c>
    </row>
    <row r="8482" spans="16:20">
      <c r="P8482" s="1094">
        <v>3953</v>
      </c>
      <c r="Q8482" t="s">
        <v>9176</v>
      </c>
      <c r="R8482" t="s">
        <v>616</v>
      </c>
      <c r="S8482">
        <v>145.99517399999999</v>
      </c>
      <c r="T8482" s="1095">
        <v>-38.460127</v>
      </c>
    </row>
    <row r="8483" spans="16:20">
      <c r="P8483" s="1094">
        <v>3953</v>
      </c>
      <c r="Q8483" t="s">
        <v>9177</v>
      </c>
      <c r="R8483" t="s">
        <v>616</v>
      </c>
      <c r="S8483">
        <v>145.99517399999999</v>
      </c>
      <c r="T8483" s="1095">
        <v>-38.460127</v>
      </c>
    </row>
    <row r="8484" spans="16:20">
      <c r="P8484" s="1094">
        <v>3953</v>
      </c>
      <c r="Q8484" t="s">
        <v>9178</v>
      </c>
      <c r="R8484" t="s">
        <v>616</v>
      </c>
      <c r="S8484">
        <v>145.99517399999999</v>
      </c>
      <c r="T8484" s="1095">
        <v>-38.460127</v>
      </c>
    </row>
    <row r="8485" spans="16:20">
      <c r="P8485" s="1094">
        <v>3953</v>
      </c>
      <c r="Q8485" t="s">
        <v>9179</v>
      </c>
      <c r="R8485" t="s">
        <v>616</v>
      </c>
      <c r="S8485">
        <v>145.99517399999999</v>
      </c>
      <c r="T8485" s="1095">
        <v>-38.460127</v>
      </c>
    </row>
    <row r="8486" spans="16:20">
      <c r="P8486" s="1094">
        <v>3953</v>
      </c>
      <c r="Q8486" t="s">
        <v>9180</v>
      </c>
      <c r="R8486" t="s">
        <v>616</v>
      </c>
      <c r="S8486">
        <v>145.99517399999999</v>
      </c>
      <c r="T8486" s="1095">
        <v>-38.460127</v>
      </c>
    </row>
    <row r="8487" spans="16:20">
      <c r="P8487" s="1094">
        <v>3953</v>
      </c>
      <c r="Q8487" t="s">
        <v>9181</v>
      </c>
      <c r="R8487" t="s">
        <v>616</v>
      </c>
      <c r="S8487">
        <v>145.99517399999999</v>
      </c>
      <c r="T8487" s="1095">
        <v>-38.460127</v>
      </c>
    </row>
    <row r="8488" spans="16:20">
      <c r="P8488" s="1094">
        <v>3953</v>
      </c>
      <c r="Q8488" t="s">
        <v>6309</v>
      </c>
      <c r="R8488" t="s">
        <v>616</v>
      </c>
      <c r="S8488">
        <v>145.99517399999999</v>
      </c>
      <c r="T8488" s="1095">
        <v>-38.460127</v>
      </c>
    </row>
    <row r="8489" spans="16:20">
      <c r="P8489" s="1094">
        <v>3953</v>
      </c>
      <c r="Q8489" t="s">
        <v>9182</v>
      </c>
      <c r="R8489" t="s">
        <v>616</v>
      </c>
      <c r="S8489">
        <v>145.99517399999999</v>
      </c>
      <c r="T8489" s="1095">
        <v>-38.460127</v>
      </c>
    </row>
    <row r="8490" spans="16:20">
      <c r="P8490" s="1094">
        <v>3954</v>
      </c>
      <c r="Q8490" t="s">
        <v>9183</v>
      </c>
      <c r="R8490" t="s">
        <v>616</v>
      </c>
      <c r="S8490">
        <v>145.937973</v>
      </c>
      <c r="T8490" s="1095">
        <v>-38.550379</v>
      </c>
    </row>
    <row r="8491" spans="16:20">
      <c r="P8491" s="1094">
        <v>3956</v>
      </c>
      <c r="Q8491" t="s">
        <v>9184</v>
      </c>
      <c r="R8491" t="s">
        <v>616</v>
      </c>
      <c r="S8491">
        <v>145.955341</v>
      </c>
      <c r="T8491" s="1095">
        <v>-38.597017999999998</v>
      </c>
    </row>
    <row r="8492" spans="16:20">
      <c r="P8492" s="1094">
        <v>3956</v>
      </c>
      <c r="Q8492" t="s">
        <v>9185</v>
      </c>
      <c r="R8492" t="s">
        <v>616</v>
      </c>
      <c r="S8492">
        <v>145.955341</v>
      </c>
      <c r="T8492" s="1095">
        <v>-38.597017999999998</v>
      </c>
    </row>
    <row r="8493" spans="16:20">
      <c r="P8493" s="1094">
        <v>3956</v>
      </c>
      <c r="Q8493" t="s">
        <v>9186</v>
      </c>
      <c r="R8493" t="s">
        <v>616</v>
      </c>
      <c r="S8493">
        <v>145.955341</v>
      </c>
      <c r="T8493" s="1095">
        <v>-38.597017999999998</v>
      </c>
    </row>
    <row r="8494" spans="16:20">
      <c r="P8494" s="1094">
        <v>3956</v>
      </c>
      <c r="Q8494" t="s">
        <v>9187</v>
      </c>
      <c r="R8494" t="s">
        <v>616</v>
      </c>
      <c r="S8494">
        <v>145.955341</v>
      </c>
      <c r="T8494" s="1095">
        <v>-38.597017999999998</v>
      </c>
    </row>
    <row r="8495" spans="16:20">
      <c r="P8495" s="1094">
        <v>3956</v>
      </c>
      <c r="Q8495" t="s">
        <v>9188</v>
      </c>
      <c r="R8495" t="s">
        <v>616</v>
      </c>
      <c r="S8495">
        <v>145.955341</v>
      </c>
      <c r="T8495" s="1095">
        <v>-38.597017999999998</v>
      </c>
    </row>
    <row r="8496" spans="16:20">
      <c r="P8496" s="1094">
        <v>3956</v>
      </c>
      <c r="Q8496" t="s">
        <v>9189</v>
      </c>
      <c r="R8496" t="s">
        <v>616</v>
      </c>
      <c r="S8496">
        <v>145.955341</v>
      </c>
      <c r="T8496" s="1095">
        <v>-38.597017999999998</v>
      </c>
    </row>
    <row r="8497" spans="16:20">
      <c r="P8497" s="1094">
        <v>3956</v>
      </c>
      <c r="Q8497" t="s">
        <v>9190</v>
      </c>
      <c r="R8497" t="s">
        <v>616</v>
      </c>
      <c r="S8497">
        <v>145.955341</v>
      </c>
      <c r="T8497" s="1095">
        <v>-38.597017999999998</v>
      </c>
    </row>
    <row r="8498" spans="16:20">
      <c r="P8498" s="1094">
        <v>3956</v>
      </c>
      <c r="Q8498" t="s">
        <v>9191</v>
      </c>
      <c r="R8498" t="s">
        <v>616</v>
      </c>
      <c r="S8498">
        <v>145.955341</v>
      </c>
      <c r="T8498" s="1095">
        <v>-38.597017999999998</v>
      </c>
    </row>
    <row r="8499" spans="16:20">
      <c r="P8499" s="1094">
        <v>3957</v>
      </c>
      <c r="Q8499" t="s">
        <v>9192</v>
      </c>
      <c r="R8499" t="s">
        <v>616</v>
      </c>
      <c r="S8499">
        <v>146.12671800000001</v>
      </c>
      <c r="T8499" s="1095">
        <v>-38.589302000000004</v>
      </c>
    </row>
    <row r="8500" spans="16:20">
      <c r="P8500" s="1094">
        <v>3957</v>
      </c>
      <c r="Q8500" t="s">
        <v>4409</v>
      </c>
      <c r="R8500" t="s">
        <v>616</v>
      </c>
      <c r="S8500">
        <v>146.12671800000001</v>
      </c>
      <c r="T8500" s="1095">
        <v>-38.589302000000004</v>
      </c>
    </row>
    <row r="8501" spans="16:20">
      <c r="P8501" s="1094">
        <v>3958</v>
      </c>
      <c r="Q8501" t="s">
        <v>9193</v>
      </c>
      <c r="R8501" t="s">
        <v>616</v>
      </c>
      <c r="S8501">
        <v>145.98705899999999</v>
      </c>
      <c r="T8501" s="1095">
        <v>-38.673841000000003</v>
      </c>
    </row>
    <row r="8502" spans="16:20">
      <c r="P8502" s="1094">
        <v>3958</v>
      </c>
      <c r="Q8502" t="s">
        <v>9194</v>
      </c>
      <c r="R8502" t="s">
        <v>616</v>
      </c>
      <c r="S8502">
        <v>145.98705899999999</v>
      </c>
      <c r="T8502" s="1095">
        <v>-38.673841000000003</v>
      </c>
    </row>
    <row r="8503" spans="16:20">
      <c r="P8503" s="1094">
        <v>3959</v>
      </c>
      <c r="Q8503" t="s">
        <v>9195</v>
      </c>
      <c r="R8503" t="s">
        <v>616</v>
      </c>
      <c r="S8503">
        <v>146.066529</v>
      </c>
      <c r="T8503" s="1095">
        <v>-38.734636000000002</v>
      </c>
    </row>
    <row r="8504" spans="16:20">
      <c r="P8504" s="1094">
        <v>3959</v>
      </c>
      <c r="Q8504" t="s">
        <v>9196</v>
      </c>
      <c r="R8504" t="s">
        <v>616</v>
      </c>
      <c r="S8504">
        <v>146.066529</v>
      </c>
      <c r="T8504" s="1095">
        <v>-38.734636000000002</v>
      </c>
    </row>
    <row r="8505" spans="16:20">
      <c r="P8505" s="1094">
        <v>3959</v>
      </c>
      <c r="Q8505" t="s">
        <v>2128</v>
      </c>
      <c r="R8505" t="s">
        <v>616</v>
      </c>
      <c r="S8505">
        <v>146.066529</v>
      </c>
      <c r="T8505" s="1095">
        <v>-38.734636000000002</v>
      </c>
    </row>
    <row r="8506" spans="16:20">
      <c r="P8506" s="1094">
        <v>3959</v>
      </c>
      <c r="Q8506" t="s">
        <v>9197</v>
      </c>
      <c r="R8506" t="s">
        <v>616</v>
      </c>
      <c r="S8506">
        <v>146.066529</v>
      </c>
      <c r="T8506" s="1095">
        <v>-38.734636000000002</v>
      </c>
    </row>
    <row r="8507" spans="16:20">
      <c r="P8507" s="1094">
        <v>3959</v>
      </c>
      <c r="Q8507" t="s">
        <v>9198</v>
      </c>
      <c r="R8507" t="s">
        <v>616</v>
      </c>
      <c r="S8507">
        <v>146.066529</v>
      </c>
      <c r="T8507" s="1095">
        <v>-38.734636000000002</v>
      </c>
    </row>
    <row r="8508" spans="16:20">
      <c r="P8508" s="1094">
        <v>3960</v>
      </c>
      <c r="Q8508" t="s">
        <v>9199</v>
      </c>
      <c r="R8508" t="s">
        <v>616</v>
      </c>
      <c r="S8508">
        <v>146.360412</v>
      </c>
      <c r="T8508" s="1095">
        <v>-39.140760999999998</v>
      </c>
    </row>
    <row r="8509" spans="16:20">
      <c r="P8509" s="1094">
        <v>3960</v>
      </c>
      <c r="Q8509" t="s">
        <v>9200</v>
      </c>
      <c r="R8509" t="s">
        <v>616</v>
      </c>
      <c r="S8509">
        <v>146.360412</v>
      </c>
      <c r="T8509" s="1095">
        <v>-39.140760999999998</v>
      </c>
    </row>
    <row r="8510" spans="16:20">
      <c r="P8510" s="1094">
        <v>3960</v>
      </c>
      <c r="Q8510" t="s">
        <v>9201</v>
      </c>
      <c r="R8510" t="s">
        <v>616</v>
      </c>
      <c r="S8510">
        <v>146.360412</v>
      </c>
      <c r="T8510" s="1095">
        <v>-39.140760999999998</v>
      </c>
    </row>
    <row r="8511" spans="16:20">
      <c r="P8511" s="1094">
        <v>3960</v>
      </c>
      <c r="Q8511" t="s">
        <v>9202</v>
      </c>
      <c r="R8511" t="s">
        <v>616</v>
      </c>
      <c r="S8511">
        <v>146.360412</v>
      </c>
      <c r="T8511" s="1095">
        <v>-39.140760999999998</v>
      </c>
    </row>
    <row r="8512" spans="16:20">
      <c r="P8512" s="1094">
        <v>3960</v>
      </c>
      <c r="Q8512" t="s">
        <v>9203</v>
      </c>
      <c r="R8512" t="s">
        <v>616</v>
      </c>
      <c r="S8512">
        <v>146.360412</v>
      </c>
      <c r="T8512" s="1095">
        <v>-39.140760999999998</v>
      </c>
    </row>
    <row r="8513" spans="16:20">
      <c r="P8513" s="1094">
        <v>3960</v>
      </c>
      <c r="Q8513" t="s">
        <v>9204</v>
      </c>
      <c r="R8513" t="s">
        <v>616</v>
      </c>
      <c r="S8513">
        <v>146.360412</v>
      </c>
      <c r="T8513" s="1095">
        <v>-39.140760999999998</v>
      </c>
    </row>
    <row r="8514" spans="16:20">
      <c r="P8514" s="1094">
        <v>3960</v>
      </c>
      <c r="Q8514" t="s">
        <v>9205</v>
      </c>
      <c r="R8514" t="s">
        <v>616</v>
      </c>
      <c r="S8514">
        <v>146.360412</v>
      </c>
      <c r="T8514" s="1095">
        <v>-39.140760999999998</v>
      </c>
    </row>
    <row r="8515" spans="16:20">
      <c r="P8515" s="1094">
        <v>3960</v>
      </c>
      <c r="Q8515" t="s">
        <v>9206</v>
      </c>
      <c r="R8515" t="s">
        <v>616</v>
      </c>
      <c r="S8515">
        <v>146.360412</v>
      </c>
      <c r="T8515" s="1095">
        <v>-39.140760999999998</v>
      </c>
    </row>
    <row r="8516" spans="16:20">
      <c r="P8516" s="1094">
        <v>3960</v>
      </c>
      <c r="Q8516" t="s">
        <v>9207</v>
      </c>
      <c r="R8516" t="s">
        <v>616</v>
      </c>
      <c r="S8516">
        <v>146.360412</v>
      </c>
      <c r="T8516" s="1095">
        <v>-39.140760999999998</v>
      </c>
    </row>
    <row r="8517" spans="16:20">
      <c r="P8517" s="1094">
        <v>3960</v>
      </c>
      <c r="Q8517" t="s">
        <v>9208</v>
      </c>
      <c r="R8517" t="s">
        <v>616</v>
      </c>
      <c r="S8517">
        <v>146.360412</v>
      </c>
      <c r="T8517" s="1095">
        <v>-39.140760999999998</v>
      </c>
    </row>
    <row r="8518" spans="16:20">
      <c r="P8518" s="1094">
        <v>3960</v>
      </c>
      <c r="Q8518" t="s">
        <v>9209</v>
      </c>
      <c r="R8518" t="s">
        <v>616</v>
      </c>
      <c r="S8518">
        <v>146.360412</v>
      </c>
      <c r="T8518" s="1095">
        <v>-39.140760999999998</v>
      </c>
    </row>
    <row r="8519" spans="16:20">
      <c r="P8519" s="1094">
        <v>3960</v>
      </c>
      <c r="Q8519" t="s">
        <v>9210</v>
      </c>
      <c r="R8519" t="s">
        <v>616</v>
      </c>
      <c r="S8519">
        <v>146.360412</v>
      </c>
      <c r="T8519" s="1095">
        <v>-39.140760999999998</v>
      </c>
    </row>
    <row r="8520" spans="16:20">
      <c r="P8520" s="1094">
        <v>3960</v>
      </c>
      <c r="Q8520" t="s">
        <v>9211</v>
      </c>
      <c r="R8520" t="s">
        <v>616</v>
      </c>
      <c r="S8520">
        <v>146.360412</v>
      </c>
      <c r="T8520" s="1095">
        <v>-39.140760999999998</v>
      </c>
    </row>
    <row r="8521" spans="16:20">
      <c r="P8521" s="1094">
        <v>3960</v>
      </c>
      <c r="Q8521" t="s">
        <v>9212</v>
      </c>
      <c r="R8521" t="s">
        <v>616</v>
      </c>
      <c r="S8521">
        <v>146.360412</v>
      </c>
      <c r="T8521" s="1095">
        <v>-39.140760999999998</v>
      </c>
    </row>
    <row r="8522" spans="16:20">
      <c r="P8522" s="1094">
        <v>3962</v>
      </c>
      <c r="Q8522" t="s">
        <v>9213</v>
      </c>
      <c r="R8522" t="s">
        <v>616</v>
      </c>
      <c r="S8522">
        <v>146.359804</v>
      </c>
      <c r="T8522" s="1095">
        <v>-38.603569999999998</v>
      </c>
    </row>
    <row r="8523" spans="16:20">
      <c r="P8523" s="1094">
        <v>3962</v>
      </c>
      <c r="Q8523" t="s">
        <v>9214</v>
      </c>
      <c r="R8523" t="s">
        <v>616</v>
      </c>
      <c r="S8523">
        <v>146.359804</v>
      </c>
      <c r="T8523" s="1095">
        <v>-38.603569999999998</v>
      </c>
    </row>
    <row r="8524" spans="16:20">
      <c r="P8524" s="1094">
        <v>3962</v>
      </c>
      <c r="Q8524" t="s">
        <v>9215</v>
      </c>
      <c r="R8524" t="s">
        <v>616</v>
      </c>
      <c r="S8524">
        <v>146.359804</v>
      </c>
      <c r="T8524" s="1095">
        <v>-38.603569999999998</v>
      </c>
    </row>
    <row r="8525" spans="16:20">
      <c r="P8525" s="1094">
        <v>3962</v>
      </c>
      <c r="Q8525" t="s">
        <v>9216</v>
      </c>
      <c r="R8525" t="s">
        <v>616</v>
      </c>
      <c r="S8525">
        <v>146.359804</v>
      </c>
      <c r="T8525" s="1095">
        <v>-38.603569999999998</v>
      </c>
    </row>
    <row r="8526" spans="16:20">
      <c r="P8526" s="1094">
        <v>3962</v>
      </c>
      <c r="Q8526" t="s">
        <v>9217</v>
      </c>
      <c r="R8526" t="s">
        <v>616</v>
      </c>
      <c r="S8526">
        <v>146.359804</v>
      </c>
      <c r="T8526" s="1095">
        <v>-38.603569999999998</v>
      </c>
    </row>
    <row r="8527" spans="16:20">
      <c r="P8527" s="1094">
        <v>3962</v>
      </c>
      <c r="Q8527" t="s">
        <v>9218</v>
      </c>
      <c r="R8527" t="s">
        <v>616</v>
      </c>
      <c r="S8527">
        <v>146.359804</v>
      </c>
      <c r="T8527" s="1095">
        <v>-38.603569999999998</v>
      </c>
    </row>
    <row r="8528" spans="16:20">
      <c r="P8528" s="1094">
        <v>3962</v>
      </c>
      <c r="Q8528" t="s">
        <v>9219</v>
      </c>
      <c r="R8528" t="s">
        <v>616</v>
      </c>
      <c r="S8528">
        <v>146.359804</v>
      </c>
      <c r="T8528" s="1095">
        <v>-38.603569999999998</v>
      </c>
    </row>
    <row r="8529" spans="16:20">
      <c r="P8529" s="1094">
        <v>3962</v>
      </c>
      <c r="Q8529" t="s">
        <v>9220</v>
      </c>
      <c r="R8529" t="s">
        <v>616</v>
      </c>
      <c r="S8529">
        <v>146.359804</v>
      </c>
      <c r="T8529" s="1095">
        <v>-38.603569999999998</v>
      </c>
    </row>
    <row r="8530" spans="16:20">
      <c r="P8530" s="1094">
        <v>3964</v>
      </c>
      <c r="Q8530" t="s">
        <v>9221</v>
      </c>
      <c r="R8530" t="s">
        <v>616</v>
      </c>
      <c r="S8530">
        <v>146.27880400000001</v>
      </c>
      <c r="T8530" s="1095">
        <v>-38.685115000000003</v>
      </c>
    </row>
    <row r="8531" spans="16:20">
      <c r="P8531" s="1094">
        <v>3965</v>
      </c>
      <c r="Q8531" t="s">
        <v>9222</v>
      </c>
      <c r="R8531" t="s">
        <v>616</v>
      </c>
      <c r="S8531">
        <v>146.47213199999999</v>
      </c>
      <c r="T8531" s="1095">
        <v>-38.693437000000003</v>
      </c>
    </row>
    <row r="8532" spans="16:20">
      <c r="P8532" s="1094">
        <v>3966</v>
      </c>
      <c r="Q8532" t="s">
        <v>9223</v>
      </c>
      <c r="R8532" t="s">
        <v>616</v>
      </c>
      <c r="S8532">
        <v>146.43658300000001</v>
      </c>
      <c r="T8532" s="1095">
        <v>-38.630567999999997</v>
      </c>
    </row>
    <row r="8533" spans="16:20">
      <c r="P8533" s="1094">
        <v>3966</v>
      </c>
      <c r="Q8533" t="s">
        <v>9224</v>
      </c>
      <c r="R8533" t="s">
        <v>616</v>
      </c>
      <c r="S8533">
        <v>146.43658300000001</v>
      </c>
      <c r="T8533" s="1095">
        <v>-38.630567999999997</v>
      </c>
    </row>
    <row r="8534" spans="16:20">
      <c r="P8534" s="1094">
        <v>3966</v>
      </c>
      <c r="Q8534" t="s">
        <v>9225</v>
      </c>
      <c r="R8534" t="s">
        <v>616</v>
      </c>
      <c r="S8534">
        <v>146.43658300000001</v>
      </c>
      <c r="T8534" s="1095">
        <v>-38.630567999999997</v>
      </c>
    </row>
    <row r="8535" spans="16:20">
      <c r="P8535" s="1094">
        <v>3967</v>
      </c>
      <c r="Q8535" t="s">
        <v>9226</v>
      </c>
      <c r="R8535" t="s">
        <v>616</v>
      </c>
      <c r="S8535">
        <v>146.50792899999999</v>
      </c>
      <c r="T8535" s="1095">
        <v>-38.647562000000001</v>
      </c>
    </row>
    <row r="8536" spans="16:20">
      <c r="P8536" s="1094">
        <v>3971</v>
      </c>
      <c r="Q8536" t="s">
        <v>9227</v>
      </c>
      <c r="R8536" t="s">
        <v>616</v>
      </c>
      <c r="S8536">
        <v>146.81572299999999</v>
      </c>
      <c r="T8536" s="1095">
        <v>-38.631942000000002</v>
      </c>
    </row>
    <row r="8537" spans="16:20">
      <c r="P8537" s="1094">
        <v>3971</v>
      </c>
      <c r="Q8537" t="s">
        <v>9228</v>
      </c>
      <c r="R8537" t="s">
        <v>616</v>
      </c>
      <c r="S8537">
        <v>146.81572299999999</v>
      </c>
      <c r="T8537" s="1095">
        <v>-38.631942000000002</v>
      </c>
    </row>
    <row r="8538" spans="16:20">
      <c r="P8538" s="1094">
        <v>3971</v>
      </c>
      <c r="Q8538" t="s">
        <v>9229</v>
      </c>
      <c r="R8538" t="s">
        <v>616</v>
      </c>
      <c r="S8538">
        <v>146.81572299999999</v>
      </c>
      <c r="T8538" s="1095">
        <v>-38.631942000000002</v>
      </c>
    </row>
    <row r="8539" spans="16:20">
      <c r="P8539" s="1094">
        <v>3971</v>
      </c>
      <c r="Q8539" t="s">
        <v>9230</v>
      </c>
      <c r="R8539" t="s">
        <v>616</v>
      </c>
      <c r="S8539">
        <v>146.81572299999999</v>
      </c>
      <c r="T8539" s="1095">
        <v>-38.631942000000002</v>
      </c>
    </row>
    <row r="8540" spans="16:20">
      <c r="P8540" s="1094">
        <v>3971</v>
      </c>
      <c r="Q8540" t="s">
        <v>9231</v>
      </c>
      <c r="R8540" t="s">
        <v>616</v>
      </c>
      <c r="S8540">
        <v>146.81572299999999</v>
      </c>
      <c r="T8540" s="1095">
        <v>-38.631942000000002</v>
      </c>
    </row>
    <row r="8541" spans="16:20">
      <c r="P8541" s="1094">
        <v>3971</v>
      </c>
      <c r="Q8541" t="s">
        <v>9232</v>
      </c>
      <c r="R8541" t="s">
        <v>616</v>
      </c>
      <c r="S8541">
        <v>146.81572299999999</v>
      </c>
      <c r="T8541" s="1095">
        <v>-38.631942000000002</v>
      </c>
    </row>
    <row r="8542" spans="16:20">
      <c r="P8542" s="1094">
        <v>3971</v>
      </c>
      <c r="Q8542" t="s">
        <v>9233</v>
      </c>
      <c r="R8542" t="s">
        <v>616</v>
      </c>
      <c r="S8542">
        <v>146.81572299999999</v>
      </c>
      <c r="T8542" s="1095">
        <v>-38.631942000000002</v>
      </c>
    </row>
    <row r="8543" spans="16:20">
      <c r="P8543" s="1094">
        <v>3971</v>
      </c>
      <c r="Q8543" t="s">
        <v>9234</v>
      </c>
      <c r="R8543" t="s">
        <v>616</v>
      </c>
      <c r="S8543">
        <v>146.81572299999999</v>
      </c>
      <c r="T8543" s="1095">
        <v>-38.631942000000002</v>
      </c>
    </row>
    <row r="8544" spans="16:20">
      <c r="P8544" s="1094">
        <v>3971</v>
      </c>
      <c r="Q8544" t="s">
        <v>9235</v>
      </c>
      <c r="R8544" t="s">
        <v>616</v>
      </c>
      <c r="S8544">
        <v>146.81572299999999</v>
      </c>
      <c r="T8544" s="1095">
        <v>-38.631942000000002</v>
      </c>
    </row>
    <row r="8545" spans="16:20">
      <c r="P8545" s="1094">
        <v>3971</v>
      </c>
      <c r="Q8545" t="s">
        <v>9236</v>
      </c>
      <c r="R8545" t="s">
        <v>616</v>
      </c>
      <c r="S8545">
        <v>146.81572299999999</v>
      </c>
      <c r="T8545" s="1095">
        <v>-38.631942000000002</v>
      </c>
    </row>
    <row r="8546" spans="16:20">
      <c r="P8546" s="1094">
        <v>3971</v>
      </c>
      <c r="Q8546" t="s">
        <v>9237</v>
      </c>
      <c r="R8546" t="s">
        <v>616</v>
      </c>
      <c r="S8546">
        <v>146.81572299999999</v>
      </c>
      <c r="T8546" s="1095">
        <v>-38.631942000000002</v>
      </c>
    </row>
    <row r="8547" spans="16:20">
      <c r="P8547" s="1094">
        <v>3971</v>
      </c>
      <c r="Q8547" t="s">
        <v>9238</v>
      </c>
      <c r="R8547" t="s">
        <v>616</v>
      </c>
      <c r="S8547">
        <v>146.81572299999999</v>
      </c>
      <c r="T8547" s="1095">
        <v>-38.631942000000002</v>
      </c>
    </row>
    <row r="8548" spans="16:20">
      <c r="P8548" s="1094">
        <v>3971</v>
      </c>
      <c r="Q8548" t="s">
        <v>9239</v>
      </c>
      <c r="R8548" t="s">
        <v>616</v>
      </c>
      <c r="S8548">
        <v>146.81572299999999</v>
      </c>
      <c r="T8548" s="1095">
        <v>-38.631942000000002</v>
      </c>
    </row>
    <row r="8549" spans="16:20">
      <c r="P8549" s="1094">
        <v>3971</v>
      </c>
      <c r="Q8549" t="s">
        <v>9240</v>
      </c>
      <c r="R8549" t="s">
        <v>616</v>
      </c>
      <c r="S8549">
        <v>146.81572299999999</v>
      </c>
      <c r="T8549" s="1095">
        <v>-38.631942000000002</v>
      </c>
    </row>
    <row r="8550" spans="16:20">
      <c r="P8550" s="1094">
        <v>3971</v>
      </c>
      <c r="Q8550" t="s">
        <v>9241</v>
      </c>
      <c r="R8550" t="s">
        <v>616</v>
      </c>
      <c r="S8550">
        <v>146.81572299999999</v>
      </c>
      <c r="T8550" s="1095">
        <v>-38.631942000000002</v>
      </c>
    </row>
    <row r="8551" spans="16:20">
      <c r="P8551" s="1094">
        <v>3971</v>
      </c>
      <c r="Q8551" t="s">
        <v>9242</v>
      </c>
      <c r="R8551" t="s">
        <v>616</v>
      </c>
      <c r="S8551">
        <v>146.81572299999999</v>
      </c>
      <c r="T8551" s="1095">
        <v>-38.631942000000002</v>
      </c>
    </row>
    <row r="8552" spans="16:20">
      <c r="P8552" s="1094">
        <v>3971</v>
      </c>
      <c r="Q8552" t="s">
        <v>9243</v>
      </c>
      <c r="R8552" t="s">
        <v>616</v>
      </c>
      <c r="S8552">
        <v>146.81572299999999</v>
      </c>
      <c r="T8552" s="1095">
        <v>-38.631942000000002</v>
      </c>
    </row>
    <row r="8553" spans="16:20">
      <c r="P8553" s="1094">
        <v>3971</v>
      </c>
      <c r="Q8553" t="s">
        <v>9244</v>
      </c>
      <c r="R8553" t="s">
        <v>616</v>
      </c>
      <c r="S8553">
        <v>146.81572299999999</v>
      </c>
      <c r="T8553" s="1095">
        <v>-38.631942000000002</v>
      </c>
    </row>
    <row r="8554" spans="16:20">
      <c r="P8554" s="1094">
        <v>3971</v>
      </c>
      <c r="Q8554" t="s">
        <v>9245</v>
      </c>
      <c r="R8554" t="s">
        <v>616</v>
      </c>
      <c r="S8554">
        <v>146.81572299999999</v>
      </c>
      <c r="T8554" s="1095">
        <v>-38.631942000000002</v>
      </c>
    </row>
    <row r="8555" spans="16:20">
      <c r="P8555" s="1094">
        <v>3971</v>
      </c>
      <c r="Q8555" t="s">
        <v>9246</v>
      </c>
      <c r="R8555" t="s">
        <v>616</v>
      </c>
      <c r="S8555">
        <v>146.81572299999999</v>
      </c>
      <c r="T8555" s="1095">
        <v>-38.631942000000002</v>
      </c>
    </row>
    <row r="8556" spans="16:20">
      <c r="P8556" s="1094">
        <v>3971</v>
      </c>
      <c r="Q8556" t="s">
        <v>9247</v>
      </c>
      <c r="R8556" t="s">
        <v>616</v>
      </c>
      <c r="S8556">
        <v>146.81572299999999</v>
      </c>
      <c r="T8556" s="1095">
        <v>-38.631942000000002</v>
      </c>
    </row>
    <row r="8557" spans="16:20">
      <c r="P8557" s="1094">
        <v>3975</v>
      </c>
      <c r="Q8557" t="s">
        <v>9248</v>
      </c>
      <c r="R8557" t="s">
        <v>616</v>
      </c>
      <c r="S8557">
        <v>145.23111399999999</v>
      </c>
      <c r="T8557" s="1095">
        <v>-38.053539999999998</v>
      </c>
    </row>
    <row r="8558" spans="16:20">
      <c r="P8558" s="1094">
        <v>3975</v>
      </c>
      <c r="Q8558" t="s">
        <v>2962</v>
      </c>
      <c r="R8558" t="s">
        <v>616</v>
      </c>
      <c r="S8558">
        <v>145.23111399999999</v>
      </c>
      <c r="T8558" s="1095">
        <v>-38.053539999999998</v>
      </c>
    </row>
    <row r="8559" spans="16:20">
      <c r="P8559" s="1094">
        <v>3976</v>
      </c>
      <c r="Q8559" t="s">
        <v>9249</v>
      </c>
      <c r="R8559" t="s">
        <v>616</v>
      </c>
      <c r="S8559">
        <v>145.264296</v>
      </c>
      <c r="T8559" s="1095">
        <v>-38.043995000000002</v>
      </c>
    </row>
    <row r="8560" spans="16:20">
      <c r="P8560" s="1094">
        <v>3977</v>
      </c>
      <c r="Q8560" t="s">
        <v>9250</v>
      </c>
      <c r="R8560" t="s">
        <v>616</v>
      </c>
      <c r="S8560">
        <v>145.268888</v>
      </c>
      <c r="T8560" s="1095">
        <v>-38.135252999999999</v>
      </c>
    </row>
    <row r="8561" spans="16:20">
      <c r="P8561" s="1094">
        <v>3977</v>
      </c>
      <c r="Q8561" t="s">
        <v>9251</v>
      </c>
      <c r="R8561" t="s">
        <v>616</v>
      </c>
      <c r="S8561">
        <v>145.268888</v>
      </c>
      <c r="T8561" s="1095">
        <v>-38.135252999999999</v>
      </c>
    </row>
    <row r="8562" spans="16:20">
      <c r="P8562" s="1094">
        <v>3977</v>
      </c>
      <c r="Q8562" t="s">
        <v>9252</v>
      </c>
      <c r="R8562" t="s">
        <v>616</v>
      </c>
      <c r="S8562">
        <v>145.268888</v>
      </c>
      <c r="T8562" s="1095">
        <v>-38.135252999999999</v>
      </c>
    </row>
    <row r="8563" spans="16:20">
      <c r="P8563" s="1094">
        <v>3977</v>
      </c>
      <c r="Q8563" t="s">
        <v>9253</v>
      </c>
      <c r="R8563" t="s">
        <v>616</v>
      </c>
      <c r="S8563">
        <v>145.268888</v>
      </c>
      <c r="T8563" s="1095">
        <v>-38.135252999999999</v>
      </c>
    </row>
    <row r="8564" spans="16:20">
      <c r="P8564" s="1094">
        <v>3977</v>
      </c>
      <c r="Q8564" t="s">
        <v>9254</v>
      </c>
      <c r="R8564" t="s">
        <v>616</v>
      </c>
      <c r="S8564">
        <v>145.268888</v>
      </c>
      <c r="T8564" s="1095">
        <v>-38.135252999999999</v>
      </c>
    </row>
    <row r="8565" spans="16:20">
      <c r="P8565" s="1094">
        <v>3977</v>
      </c>
      <c r="Q8565" t="s">
        <v>9255</v>
      </c>
      <c r="R8565" t="s">
        <v>616</v>
      </c>
      <c r="S8565">
        <v>145.268888</v>
      </c>
      <c r="T8565" s="1095">
        <v>-38.135252999999999</v>
      </c>
    </row>
    <row r="8566" spans="16:20">
      <c r="P8566" s="1094">
        <v>3977</v>
      </c>
      <c r="Q8566" t="s">
        <v>9256</v>
      </c>
      <c r="R8566" t="s">
        <v>616</v>
      </c>
      <c r="S8566">
        <v>145.268888</v>
      </c>
      <c r="T8566" s="1095">
        <v>-38.135252999999999</v>
      </c>
    </row>
    <row r="8567" spans="16:20">
      <c r="P8567" s="1094">
        <v>3977</v>
      </c>
      <c r="Q8567" t="s">
        <v>9257</v>
      </c>
      <c r="R8567" t="s">
        <v>616</v>
      </c>
      <c r="S8567">
        <v>145.268888</v>
      </c>
      <c r="T8567" s="1095">
        <v>-38.135252999999999</v>
      </c>
    </row>
    <row r="8568" spans="16:20">
      <c r="P8568" s="1094">
        <v>3977</v>
      </c>
      <c r="Q8568" t="s">
        <v>9258</v>
      </c>
      <c r="R8568" t="s">
        <v>616</v>
      </c>
      <c r="S8568">
        <v>145.268888</v>
      </c>
      <c r="T8568" s="1095">
        <v>-38.135252999999999</v>
      </c>
    </row>
    <row r="8569" spans="16:20">
      <c r="P8569" s="1094">
        <v>3977</v>
      </c>
      <c r="Q8569" t="s">
        <v>9259</v>
      </c>
      <c r="R8569" t="s">
        <v>616</v>
      </c>
      <c r="S8569">
        <v>145.268888</v>
      </c>
      <c r="T8569" s="1095">
        <v>-38.135252999999999</v>
      </c>
    </row>
    <row r="8570" spans="16:20">
      <c r="P8570" s="1094">
        <v>3978</v>
      </c>
      <c r="Q8570" t="s">
        <v>9260</v>
      </c>
      <c r="R8570" t="s">
        <v>616</v>
      </c>
      <c r="S8570">
        <v>145.38460599999999</v>
      </c>
      <c r="T8570" s="1095">
        <v>-38.135008999999997</v>
      </c>
    </row>
    <row r="8571" spans="16:20">
      <c r="P8571" s="1094">
        <v>3978</v>
      </c>
      <c r="Q8571" t="s">
        <v>9261</v>
      </c>
      <c r="R8571" t="s">
        <v>616</v>
      </c>
      <c r="S8571">
        <v>145.38460599999999</v>
      </c>
      <c r="T8571" s="1095">
        <v>-38.135008999999997</v>
      </c>
    </row>
    <row r="8572" spans="16:20">
      <c r="P8572" s="1094">
        <v>3978</v>
      </c>
      <c r="Q8572" t="s">
        <v>9262</v>
      </c>
      <c r="R8572" t="s">
        <v>616</v>
      </c>
      <c r="S8572">
        <v>145.38460599999999</v>
      </c>
      <c r="T8572" s="1095">
        <v>-38.135008999999997</v>
      </c>
    </row>
    <row r="8573" spans="16:20">
      <c r="P8573" s="1094">
        <v>3979</v>
      </c>
      <c r="Q8573" t="s">
        <v>9263</v>
      </c>
      <c r="R8573" t="s">
        <v>616</v>
      </c>
      <c r="S8573">
        <v>145.591284</v>
      </c>
      <c r="T8573" s="1095">
        <v>-38.448180000000001</v>
      </c>
    </row>
    <row r="8574" spans="16:20">
      <c r="P8574" s="1094">
        <v>3979</v>
      </c>
      <c r="Q8574" t="s">
        <v>9264</v>
      </c>
      <c r="R8574" t="s">
        <v>616</v>
      </c>
      <c r="S8574">
        <v>145.591284</v>
      </c>
      <c r="T8574" s="1095">
        <v>-38.448180000000001</v>
      </c>
    </row>
    <row r="8575" spans="16:20">
      <c r="P8575" s="1094">
        <v>3979</v>
      </c>
      <c r="Q8575" t="s">
        <v>9265</v>
      </c>
      <c r="R8575" t="s">
        <v>616</v>
      </c>
      <c r="S8575">
        <v>145.591284</v>
      </c>
      <c r="T8575" s="1095">
        <v>-38.448180000000001</v>
      </c>
    </row>
    <row r="8576" spans="16:20">
      <c r="P8576" s="1094">
        <v>3979</v>
      </c>
      <c r="Q8576" t="s">
        <v>9266</v>
      </c>
      <c r="R8576" t="s">
        <v>616</v>
      </c>
      <c r="S8576">
        <v>145.591284</v>
      </c>
      <c r="T8576" s="1095">
        <v>-38.448180000000001</v>
      </c>
    </row>
    <row r="8577" spans="16:20">
      <c r="P8577" s="1094">
        <v>3980</v>
      </c>
      <c r="Q8577" t="s">
        <v>9267</v>
      </c>
      <c r="R8577" t="s">
        <v>616</v>
      </c>
      <c r="S8577">
        <v>145.35693699999999</v>
      </c>
      <c r="T8577" s="1095">
        <v>-38.204447999999999</v>
      </c>
    </row>
    <row r="8578" spans="16:20">
      <c r="P8578" s="1094">
        <v>3980</v>
      </c>
      <c r="Q8578" t="s">
        <v>9268</v>
      </c>
      <c r="R8578" t="s">
        <v>616</v>
      </c>
      <c r="S8578">
        <v>145.35693699999999</v>
      </c>
      <c r="T8578" s="1095">
        <v>-38.204447999999999</v>
      </c>
    </row>
    <row r="8579" spans="16:20">
      <c r="P8579" s="1094">
        <v>3980</v>
      </c>
      <c r="Q8579" t="s">
        <v>9269</v>
      </c>
      <c r="R8579" t="s">
        <v>616</v>
      </c>
      <c r="S8579">
        <v>145.35693699999999</v>
      </c>
      <c r="T8579" s="1095">
        <v>-38.204447999999999</v>
      </c>
    </row>
    <row r="8580" spans="16:20">
      <c r="P8580" s="1094">
        <v>3981</v>
      </c>
      <c r="Q8580" t="s">
        <v>9270</v>
      </c>
      <c r="R8580" t="s">
        <v>616</v>
      </c>
      <c r="S8580">
        <v>145.57499999999999</v>
      </c>
      <c r="T8580" s="1095">
        <v>-38.207298000000002</v>
      </c>
    </row>
    <row r="8581" spans="16:20">
      <c r="P8581" s="1094">
        <v>3981</v>
      </c>
      <c r="Q8581" t="s">
        <v>9271</v>
      </c>
      <c r="R8581" t="s">
        <v>616</v>
      </c>
      <c r="S8581">
        <v>145.57499999999999</v>
      </c>
      <c r="T8581" s="1095">
        <v>-38.207298000000002</v>
      </c>
    </row>
    <row r="8582" spans="16:20">
      <c r="P8582" s="1094">
        <v>3981</v>
      </c>
      <c r="Q8582" t="s">
        <v>9272</v>
      </c>
      <c r="R8582" t="s">
        <v>616</v>
      </c>
      <c r="S8582">
        <v>145.57499999999999</v>
      </c>
      <c r="T8582" s="1095">
        <v>-38.207298000000002</v>
      </c>
    </row>
    <row r="8583" spans="16:20">
      <c r="P8583" s="1094">
        <v>3981</v>
      </c>
      <c r="Q8583" t="s">
        <v>9273</v>
      </c>
      <c r="R8583" t="s">
        <v>616</v>
      </c>
      <c r="S8583">
        <v>145.57499999999999</v>
      </c>
      <c r="T8583" s="1095">
        <v>-38.207298000000002</v>
      </c>
    </row>
    <row r="8584" spans="16:20">
      <c r="P8584" s="1094">
        <v>3981</v>
      </c>
      <c r="Q8584" t="s">
        <v>9274</v>
      </c>
      <c r="R8584" t="s">
        <v>616</v>
      </c>
      <c r="S8584">
        <v>145.57499999999999</v>
      </c>
      <c r="T8584" s="1095">
        <v>-38.207298000000002</v>
      </c>
    </row>
    <row r="8585" spans="16:20">
      <c r="P8585" s="1094">
        <v>3981</v>
      </c>
      <c r="Q8585" t="s">
        <v>9275</v>
      </c>
      <c r="R8585" t="s">
        <v>616</v>
      </c>
      <c r="S8585">
        <v>145.57499999999999</v>
      </c>
      <c r="T8585" s="1095">
        <v>-38.207298000000002</v>
      </c>
    </row>
    <row r="8586" spans="16:20">
      <c r="P8586" s="1094">
        <v>3981</v>
      </c>
      <c r="Q8586" t="s">
        <v>9276</v>
      </c>
      <c r="R8586" t="s">
        <v>616</v>
      </c>
      <c r="S8586">
        <v>145.57499999999999</v>
      </c>
      <c r="T8586" s="1095">
        <v>-38.207298000000002</v>
      </c>
    </row>
    <row r="8587" spans="16:20">
      <c r="P8587" s="1094">
        <v>3984</v>
      </c>
      <c r="Q8587" t="s">
        <v>9277</v>
      </c>
      <c r="R8587" t="s">
        <v>616</v>
      </c>
      <c r="S8587">
        <v>145.56397899999999</v>
      </c>
      <c r="T8587" s="1095">
        <v>-38.312646999999998</v>
      </c>
    </row>
    <row r="8588" spans="16:20">
      <c r="P8588" s="1094">
        <v>3984</v>
      </c>
      <c r="Q8588" t="s">
        <v>9278</v>
      </c>
      <c r="R8588" t="s">
        <v>616</v>
      </c>
      <c r="S8588">
        <v>145.56397899999999</v>
      </c>
      <c r="T8588" s="1095">
        <v>-38.312646999999998</v>
      </c>
    </row>
    <row r="8589" spans="16:20">
      <c r="P8589" s="1094">
        <v>3984</v>
      </c>
      <c r="Q8589" t="s">
        <v>6267</v>
      </c>
      <c r="R8589" t="s">
        <v>616</v>
      </c>
      <c r="S8589">
        <v>145.56397899999999</v>
      </c>
      <c r="T8589" s="1095">
        <v>-38.312646999999998</v>
      </c>
    </row>
    <row r="8590" spans="16:20">
      <c r="P8590" s="1094">
        <v>3984</v>
      </c>
      <c r="Q8590" t="s">
        <v>9279</v>
      </c>
      <c r="R8590" t="s">
        <v>616</v>
      </c>
      <c r="S8590">
        <v>145.56397899999999</v>
      </c>
      <c r="T8590" s="1095">
        <v>-38.312646999999998</v>
      </c>
    </row>
    <row r="8591" spans="16:20">
      <c r="P8591" s="1094">
        <v>3984</v>
      </c>
      <c r="Q8591" t="s">
        <v>9280</v>
      </c>
      <c r="R8591" t="s">
        <v>616</v>
      </c>
      <c r="S8591">
        <v>145.56397899999999</v>
      </c>
      <c r="T8591" s="1095">
        <v>-38.312646999999998</v>
      </c>
    </row>
    <row r="8592" spans="16:20">
      <c r="P8592" s="1094">
        <v>3984</v>
      </c>
      <c r="Q8592" t="s">
        <v>9281</v>
      </c>
      <c r="R8592" t="s">
        <v>616</v>
      </c>
      <c r="S8592">
        <v>145.56397899999999</v>
      </c>
      <c r="T8592" s="1095">
        <v>-38.312646999999998</v>
      </c>
    </row>
    <row r="8593" spans="16:20">
      <c r="P8593" s="1094">
        <v>3984</v>
      </c>
      <c r="Q8593" t="s">
        <v>9282</v>
      </c>
      <c r="R8593" t="s">
        <v>616</v>
      </c>
      <c r="S8593">
        <v>145.56397899999999</v>
      </c>
      <c r="T8593" s="1095">
        <v>-38.312646999999998</v>
      </c>
    </row>
    <row r="8594" spans="16:20">
      <c r="P8594" s="1094">
        <v>3984</v>
      </c>
      <c r="Q8594" t="s">
        <v>9283</v>
      </c>
      <c r="R8594" t="s">
        <v>616</v>
      </c>
      <c r="S8594">
        <v>145.56397899999999</v>
      </c>
      <c r="T8594" s="1095">
        <v>-38.312646999999998</v>
      </c>
    </row>
    <row r="8595" spans="16:20">
      <c r="P8595" s="1094">
        <v>3984</v>
      </c>
      <c r="Q8595" t="s">
        <v>9284</v>
      </c>
      <c r="R8595" t="s">
        <v>616</v>
      </c>
      <c r="S8595">
        <v>145.56397899999999</v>
      </c>
      <c r="T8595" s="1095">
        <v>-38.312646999999998</v>
      </c>
    </row>
    <row r="8596" spans="16:20">
      <c r="P8596" s="1094">
        <v>3984</v>
      </c>
      <c r="Q8596" t="s">
        <v>9285</v>
      </c>
      <c r="R8596" t="s">
        <v>616</v>
      </c>
      <c r="S8596">
        <v>145.56397899999999</v>
      </c>
      <c r="T8596" s="1095">
        <v>-38.312646999999998</v>
      </c>
    </row>
    <row r="8597" spans="16:20">
      <c r="P8597" s="1094">
        <v>3984</v>
      </c>
      <c r="Q8597" t="s">
        <v>9286</v>
      </c>
      <c r="R8597" t="s">
        <v>616</v>
      </c>
      <c r="S8597">
        <v>145.56397899999999</v>
      </c>
      <c r="T8597" s="1095">
        <v>-38.312646999999998</v>
      </c>
    </row>
    <row r="8598" spans="16:20">
      <c r="P8598" s="1094">
        <v>3984</v>
      </c>
      <c r="Q8598" t="s">
        <v>9287</v>
      </c>
      <c r="R8598" t="s">
        <v>616</v>
      </c>
      <c r="S8598">
        <v>145.56397899999999</v>
      </c>
      <c r="T8598" s="1095">
        <v>-38.312646999999998</v>
      </c>
    </row>
    <row r="8599" spans="16:20">
      <c r="P8599" s="1094">
        <v>3984</v>
      </c>
      <c r="Q8599" t="s">
        <v>9288</v>
      </c>
      <c r="R8599" t="s">
        <v>616</v>
      </c>
      <c r="S8599">
        <v>145.56397899999999</v>
      </c>
      <c r="T8599" s="1095">
        <v>-38.312646999999998</v>
      </c>
    </row>
    <row r="8600" spans="16:20">
      <c r="P8600" s="1094">
        <v>3987</v>
      </c>
      <c r="Q8600" t="s">
        <v>9289</v>
      </c>
      <c r="R8600" t="s">
        <v>616</v>
      </c>
      <c r="S8600">
        <v>145.689142</v>
      </c>
      <c r="T8600" s="1095">
        <v>-38.309047999999997</v>
      </c>
    </row>
    <row r="8601" spans="16:20">
      <c r="P8601" s="1094">
        <v>3988</v>
      </c>
      <c r="Q8601" t="s">
        <v>3742</v>
      </c>
      <c r="R8601" t="s">
        <v>616</v>
      </c>
      <c r="S8601">
        <v>145.81186299999999</v>
      </c>
      <c r="T8601" s="1095">
        <v>-38.313446999999996</v>
      </c>
    </row>
    <row r="8602" spans="16:20">
      <c r="P8602" s="1094">
        <v>3988</v>
      </c>
      <c r="Q8602" t="s">
        <v>9290</v>
      </c>
      <c r="R8602" t="s">
        <v>616</v>
      </c>
      <c r="S8602">
        <v>145.81186299999999</v>
      </c>
      <c r="T8602" s="1095">
        <v>-38.313446999999996</v>
      </c>
    </row>
    <row r="8603" spans="16:20">
      <c r="P8603" s="1094">
        <v>3988</v>
      </c>
      <c r="Q8603" t="s">
        <v>9291</v>
      </c>
      <c r="R8603" t="s">
        <v>616</v>
      </c>
      <c r="S8603">
        <v>145.81186299999999</v>
      </c>
      <c r="T8603" s="1095">
        <v>-38.313446999999996</v>
      </c>
    </row>
    <row r="8604" spans="16:20">
      <c r="P8604" s="1094">
        <v>3988</v>
      </c>
      <c r="Q8604" t="s">
        <v>9292</v>
      </c>
      <c r="R8604" t="s">
        <v>616</v>
      </c>
      <c r="S8604">
        <v>145.81186299999999</v>
      </c>
      <c r="T8604" s="1095">
        <v>-38.313446999999996</v>
      </c>
    </row>
    <row r="8605" spans="16:20">
      <c r="P8605" s="1094">
        <v>3989</v>
      </c>
      <c r="Q8605" t="s">
        <v>9293</v>
      </c>
      <c r="R8605" t="s">
        <v>616</v>
      </c>
      <c r="S8605">
        <v>0</v>
      </c>
      <c r="T8605" s="1095">
        <v>0</v>
      </c>
    </row>
    <row r="8606" spans="16:20">
      <c r="P8606" s="1094">
        <v>3990</v>
      </c>
      <c r="Q8606" t="s">
        <v>9294</v>
      </c>
      <c r="R8606" t="s">
        <v>616</v>
      </c>
      <c r="S8606">
        <v>145.50127900000001</v>
      </c>
      <c r="T8606" s="1095">
        <v>-38.455399</v>
      </c>
    </row>
    <row r="8607" spans="16:20">
      <c r="P8607" s="1094">
        <v>3991</v>
      </c>
      <c r="Q8607" t="s">
        <v>9295</v>
      </c>
      <c r="R8607" t="s">
        <v>616</v>
      </c>
      <c r="S8607">
        <v>145.466781</v>
      </c>
      <c r="T8607" s="1095">
        <v>-38.483041</v>
      </c>
    </row>
    <row r="8608" spans="16:20">
      <c r="P8608" s="1094">
        <v>3992</v>
      </c>
      <c r="Q8608" t="s">
        <v>9296</v>
      </c>
      <c r="R8608" t="s">
        <v>616</v>
      </c>
      <c r="S8608">
        <v>145.53431499999999</v>
      </c>
      <c r="T8608" s="1095">
        <v>-38.569135000000003</v>
      </c>
    </row>
    <row r="8609" spans="16:20">
      <c r="P8609" s="1094">
        <v>3992</v>
      </c>
      <c r="Q8609" t="s">
        <v>9297</v>
      </c>
      <c r="R8609" t="s">
        <v>616</v>
      </c>
      <c r="S8609">
        <v>145.53431499999999</v>
      </c>
      <c r="T8609" s="1095">
        <v>-38.569135000000003</v>
      </c>
    </row>
    <row r="8610" spans="16:20">
      <c r="P8610" s="1094">
        <v>3992</v>
      </c>
      <c r="Q8610" t="s">
        <v>9298</v>
      </c>
      <c r="R8610" t="s">
        <v>616</v>
      </c>
      <c r="S8610">
        <v>145.53431499999999</v>
      </c>
      <c r="T8610" s="1095">
        <v>-38.569135000000003</v>
      </c>
    </row>
    <row r="8611" spans="16:20">
      <c r="P8611" s="1094">
        <v>3992</v>
      </c>
      <c r="Q8611" t="s">
        <v>9299</v>
      </c>
      <c r="R8611" t="s">
        <v>616</v>
      </c>
      <c r="S8611">
        <v>145.53431499999999</v>
      </c>
      <c r="T8611" s="1095">
        <v>-38.569135000000003</v>
      </c>
    </row>
    <row r="8612" spans="16:20">
      <c r="P8612" s="1094">
        <v>3995</v>
      </c>
      <c r="Q8612" t="s">
        <v>9300</v>
      </c>
      <c r="R8612" t="s">
        <v>616</v>
      </c>
      <c r="S8612">
        <v>145.63071299999999</v>
      </c>
      <c r="T8612" s="1095">
        <v>-38.578071000000001</v>
      </c>
    </row>
    <row r="8613" spans="16:20">
      <c r="P8613" s="1094">
        <v>3995</v>
      </c>
      <c r="Q8613" t="s">
        <v>9301</v>
      </c>
      <c r="R8613" t="s">
        <v>616</v>
      </c>
      <c r="S8613">
        <v>145.63071299999999</v>
      </c>
      <c r="T8613" s="1095">
        <v>-38.578071000000001</v>
      </c>
    </row>
    <row r="8614" spans="16:20">
      <c r="P8614" s="1094">
        <v>3995</v>
      </c>
      <c r="Q8614" t="s">
        <v>9302</v>
      </c>
      <c r="R8614" t="s">
        <v>616</v>
      </c>
      <c r="S8614">
        <v>145.63071299999999</v>
      </c>
      <c r="T8614" s="1095">
        <v>-38.578071000000001</v>
      </c>
    </row>
    <row r="8615" spans="16:20">
      <c r="P8615" s="1094">
        <v>3995</v>
      </c>
      <c r="Q8615" t="s">
        <v>9303</v>
      </c>
      <c r="R8615" t="s">
        <v>616</v>
      </c>
      <c r="S8615">
        <v>145.63071299999999</v>
      </c>
      <c r="T8615" s="1095">
        <v>-38.578071000000001</v>
      </c>
    </row>
    <row r="8616" spans="16:20">
      <c r="P8616" s="1094">
        <v>3995</v>
      </c>
      <c r="Q8616" t="s">
        <v>9304</v>
      </c>
      <c r="R8616" t="s">
        <v>616</v>
      </c>
      <c r="S8616">
        <v>145.63071299999999</v>
      </c>
      <c r="T8616" s="1095">
        <v>-38.578071000000001</v>
      </c>
    </row>
    <row r="8617" spans="16:20">
      <c r="P8617" s="1094">
        <v>3995</v>
      </c>
      <c r="Q8617" t="s">
        <v>9305</v>
      </c>
      <c r="R8617" t="s">
        <v>616</v>
      </c>
      <c r="S8617">
        <v>145.63071299999999</v>
      </c>
      <c r="T8617" s="1095">
        <v>-38.578071000000001</v>
      </c>
    </row>
    <row r="8618" spans="16:20">
      <c r="P8618" s="1094">
        <v>3995</v>
      </c>
      <c r="Q8618" t="s">
        <v>9306</v>
      </c>
      <c r="R8618" t="s">
        <v>616</v>
      </c>
      <c r="S8618">
        <v>145.63071299999999</v>
      </c>
      <c r="T8618" s="1095">
        <v>-38.578071000000001</v>
      </c>
    </row>
    <row r="8619" spans="16:20">
      <c r="P8619" s="1094">
        <v>3995</v>
      </c>
      <c r="Q8619" t="s">
        <v>9307</v>
      </c>
      <c r="R8619" t="s">
        <v>616</v>
      </c>
      <c r="S8619">
        <v>145.63071299999999</v>
      </c>
      <c r="T8619" s="1095">
        <v>-38.578071000000001</v>
      </c>
    </row>
    <row r="8620" spans="16:20">
      <c r="P8620" s="1094">
        <v>3995</v>
      </c>
      <c r="Q8620" t="s">
        <v>9308</v>
      </c>
      <c r="R8620" t="s">
        <v>616</v>
      </c>
      <c r="S8620">
        <v>145.63071299999999</v>
      </c>
      <c r="T8620" s="1095">
        <v>-38.578071000000001</v>
      </c>
    </row>
    <row r="8621" spans="16:20">
      <c r="P8621" s="1094">
        <v>3995</v>
      </c>
      <c r="Q8621" t="s">
        <v>9309</v>
      </c>
      <c r="R8621" t="s">
        <v>616</v>
      </c>
      <c r="S8621">
        <v>145.63071299999999</v>
      </c>
      <c r="T8621" s="1095">
        <v>-38.578071000000001</v>
      </c>
    </row>
    <row r="8622" spans="16:20">
      <c r="P8622" s="1094">
        <v>3995</v>
      </c>
      <c r="Q8622" t="s">
        <v>2785</v>
      </c>
      <c r="R8622" t="s">
        <v>616</v>
      </c>
      <c r="S8622">
        <v>145.63071299999999</v>
      </c>
      <c r="T8622" s="1095">
        <v>-38.578071000000001</v>
      </c>
    </row>
    <row r="8623" spans="16:20">
      <c r="P8623" s="1094">
        <v>3995</v>
      </c>
      <c r="Q8623" t="s">
        <v>9310</v>
      </c>
      <c r="R8623" t="s">
        <v>616</v>
      </c>
      <c r="S8623">
        <v>145.63071299999999</v>
      </c>
      <c r="T8623" s="1095">
        <v>-38.578071000000001</v>
      </c>
    </row>
    <row r="8624" spans="16:20">
      <c r="P8624" s="1094">
        <v>3995</v>
      </c>
      <c r="Q8624" t="s">
        <v>9311</v>
      </c>
      <c r="R8624" t="s">
        <v>616</v>
      </c>
      <c r="S8624">
        <v>145.63071299999999</v>
      </c>
      <c r="T8624" s="1095">
        <v>-38.578071000000001</v>
      </c>
    </row>
    <row r="8625" spans="16:20">
      <c r="P8625" s="1094">
        <v>3995</v>
      </c>
      <c r="Q8625" t="s">
        <v>9312</v>
      </c>
      <c r="R8625" t="s">
        <v>616</v>
      </c>
      <c r="S8625">
        <v>145.63071299999999</v>
      </c>
      <c r="T8625" s="1095">
        <v>-38.578071000000001</v>
      </c>
    </row>
    <row r="8626" spans="16:20">
      <c r="P8626" s="1094">
        <v>3996</v>
      </c>
      <c r="Q8626" t="s">
        <v>9313</v>
      </c>
      <c r="R8626" t="s">
        <v>616</v>
      </c>
      <c r="S8626">
        <v>145.745609</v>
      </c>
      <c r="T8626" s="1095">
        <v>-38.629561000000002</v>
      </c>
    </row>
    <row r="8627" spans="16:20">
      <c r="P8627" s="1094">
        <v>3996</v>
      </c>
      <c r="Q8627" t="s">
        <v>9314</v>
      </c>
      <c r="R8627" t="s">
        <v>616</v>
      </c>
      <c r="S8627">
        <v>145.745609</v>
      </c>
      <c r="T8627" s="1095">
        <v>-38.629561000000002</v>
      </c>
    </row>
    <row r="8628" spans="16:20">
      <c r="P8628" s="1094">
        <v>4000</v>
      </c>
      <c r="Q8628" t="s">
        <v>9315</v>
      </c>
      <c r="R8628" t="s">
        <v>614</v>
      </c>
      <c r="S8628">
        <v>153.02212599999999</v>
      </c>
      <c r="T8628" s="1095">
        <v>-27.468391</v>
      </c>
    </row>
    <row r="8629" spans="16:20">
      <c r="P8629" s="1094">
        <v>4000</v>
      </c>
      <c r="Q8629" t="s">
        <v>9316</v>
      </c>
      <c r="R8629" t="s">
        <v>614</v>
      </c>
      <c r="S8629">
        <v>153.02212599999999</v>
      </c>
      <c r="T8629" s="1095">
        <v>-27.468391</v>
      </c>
    </row>
    <row r="8630" spans="16:20">
      <c r="P8630" s="1094">
        <v>4000</v>
      </c>
      <c r="Q8630" t="s">
        <v>9317</v>
      </c>
      <c r="R8630" t="s">
        <v>614</v>
      </c>
      <c r="S8630">
        <v>153.02212599999999</v>
      </c>
      <c r="T8630" s="1095">
        <v>-27.468391</v>
      </c>
    </row>
    <row r="8631" spans="16:20">
      <c r="P8631" s="1094">
        <v>4000</v>
      </c>
      <c r="Q8631" t="s">
        <v>9318</v>
      </c>
      <c r="R8631" t="s">
        <v>614</v>
      </c>
      <c r="S8631">
        <v>153.02212599999999</v>
      </c>
      <c r="T8631" s="1095">
        <v>-27.468391</v>
      </c>
    </row>
    <row r="8632" spans="16:20">
      <c r="P8632" s="1094">
        <v>4000</v>
      </c>
      <c r="Q8632" t="s">
        <v>9319</v>
      </c>
      <c r="R8632" t="s">
        <v>614</v>
      </c>
      <c r="S8632">
        <v>153.02212599999999</v>
      </c>
      <c r="T8632" s="1095">
        <v>-27.468391</v>
      </c>
    </row>
    <row r="8633" spans="16:20">
      <c r="P8633" s="1094">
        <v>4000</v>
      </c>
      <c r="Q8633" t="s">
        <v>1727</v>
      </c>
      <c r="R8633" t="s">
        <v>614</v>
      </c>
      <c r="S8633">
        <v>153.02212599999999</v>
      </c>
      <c r="T8633" s="1095">
        <v>-27.468391</v>
      </c>
    </row>
    <row r="8634" spans="16:20">
      <c r="P8634" s="1094">
        <v>4000</v>
      </c>
      <c r="Q8634" t="s">
        <v>9320</v>
      </c>
      <c r="R8634" t="s">
        <v>614</v>
      </c>
      <c r="S8634">
        <v>153.02212599999999</v>
      </c>
      <c r="T8634" s="1095">
        <v>-27.468391</v>
      </c>
    </row>
    <row r="8635" spans="16:20">
      <c r="P8635" s="1094">
        <v>4000</v>
      </c>
      <c r="Q8635" t="s">
        <v>5898</v>
      </c>
      <c r="R8635" t="s">
        <v>614</v>
      </c>
      <c r="S8635">
        <v>153.02212599999999</v>
      </c>
      <c r="T8635" s="1095">
        <v>-27.468391</v>
      </c>
    </row>
    <row r="8636" spans="16:20">
      <c r="P8636" s="1094">
        <v>4001</v>
      </c>
      <c r="Q8636" t="s">
        <v>9315</v>
      </c>
      <c r="R8636" t="s">
        <v>614</v>
      </c>
      <c r="S8636">
        <v>0</v>
      </c>
      <c r="T8636" s="1095">
        <v>0</v>
      </c>
    </row>
    <row r="8637" spans="16:20">
      <c r="P8637" s="1094">
        <v>4001</v>
      </c>
      <c r="Q8637" t="s">
        <v>9321</v>
      </c>
      <c r="R8637" t="s">
        <v>614</v>
      </c>
      <c r="S8637">
        <v>0</v>
      </c>
      <c r="T8637" s="1095">
        <v>0</v>
      </c>
    </row>
    <row r="8638" spans="16:20">
      <c r="P8638" s="1094">
        <v>4001</v>
      </c>
      <c r="Q8638" t="s">
        <v>9322</v>
      </c>
      <c r="R8638" t="s">
        <v>614</v>
      </c>
      <c r="S8638">
        <v>0</v>
      </c>
      <c r="T8638" s="1095">
        <v>0</v>
      </c>
    </row>
    <row r="8639" spans="16:20">
      <c r="P8639" s="1094">
        <v>4001</v>
      </c>
      <c r="Q8639" t="s">
        <v>9323</v>
      </c>
      <c r="R8639" t="s">
        <v>614</v>
      </c>
      <c r="S8639">
        <v>0</v>
      </c>
      <c r="T8639" s="1095">
        <v>0</v>
      </c>
    </row>
    <row r="8640" spans="16:20">
      <c r="P8640" s="1094">
        <v>4002</v>
      </c>
      <c r="Q8640" t="s">
        <v>9324</v>
      </c>
      <c r="R8640" t="s">
        <v>614</v>
      </c>
      <c r="S8640">
        <v>0</v>
      </c>
      <c r="T8640" s="1095">
        <v>0</v>
      </c>
    </row>
    <row r="8641" spans="16:20">
      <c r="P8641" s="1094">
        <v>4002</v>
      </c>
      <c r="Q8641" t="s">
        <v>9325</v>
      </c>
      <c r="R8641" t="s">
        <v>614</v>
      </c>
      <c r="S8641">
        <v>0</v>
      </c>
      <c r="T8641" s="1095">
        <v>0</v>
      </c>
    </row>
    <row r="8642" spans="16:20">
      <c r="P8642" s="1094">
        <v>4003</v>
      </c>
      <c r="Q8642" t="s">
        <v>9326</v>
      </c>
      <c r="R8642" t="s">
        <v>614</v>
      </c>
      <c r="S8642">
        <v>0</v>
      </c>
      <c r="T8642" s="1095">
        <v>0</v>
      </c>
    </row>
    <row r="8643" spans="16:20">
      <c r="P8643" s="1094">
        <v>4004</v>
      </c>
      <c r="Q8643" t="s">
        <v>5898</v>
      </c>
      <c r="R8643" t="s">
        <v>614</v>
      </c>
      <c r="S8643">
        <v>0</v>
      </c>
      <c r="T8643" s="1095">
        <v>0</v>
      </c>
    </row>
    <row r="8644" spans="16:20">
      <c r="P8644" s="1094">
        <v>4005</v>
      </c>
      <c r="Q8644" t="s">
        <v>9327</v>
      </c>
      <c r="R8644" t="s">
        <v>614</v>
      </c>
      <c r="S8644">
        <v>153.04519400000001</v>
      </c>
      <c r="T8644" s="1095">
        <v>-27.470078000000001</v>
      </c>
    </row>
    <row r="8645" spans="16:20">
      <c r="P8645" s="1094">
        <v>4006</v>
      </c>
      <c r="Q8645" t="s">
        <v>9328</v>
      </c>
      <c r="R8645" t="s">
        <v>614</v>
      </c>
      <c r="S8645">
        <v>153.175242</v>
      </c>
      <c r="T8645" s="1095">
        <v>-27.36618</v>
      </c>
    </row>
    <row r="8646" spans="16:20">
      <c r="P8646" s="1094">
        <v>4006</v>
      </c>
      <c r="Q8646" t="s">
        <v>9329</v>
      </c>
      <c r="R8646" t="s">
        <v>614</v>
      </c>
      <c r="S8646">
        <v>153.175242</v>
      </c>
      <c r="T8646" s="1095">
        <v>-27.36618</v>
      </c>
    </row>
    <row r="8647" spans="16:20">
      <c r="P8647" s="1094">
        <v>4006</v>
      </c>
      <c r="Q8647" t="s">
        <v>9330</v>
      </c>
      <c r="R8647" t="s">
        <v>614</v>
      </c>
      <c r="S8647">
        <v>153.175242</v>
      </c>
      <c r="T8647" s="1095">
        <v>-27.36618</v>
      </c>
    </row>
    <row r="8648" spans="16:20">
      <c r="P8648" s="1094">
        <v>4006</v>
      </c>
      <c r="Q8648" t="s">
        <v>9331</v>
      </c>
      <c r="R8648" t="s">
        <v>614</v>
      </c>
      <c r="S8648">
        <v>153.175242</v>
      </c>
      <c r="T8648" s="1095">
        <v>-27.36618</v>
      </c>
    </row>
    <row r="8649" spans="16:20">
      <c r="P8649" s="1094">
        <v>4006</v>
      </c>
      <c r="Q8649" t="s">
        <v>9332</v>
      </c>
      <c r="R8649" t="s">
        <v>614</v>
      </c>
      <c r="S8649">
        <v>153.175242</v>
      </c>
      <c r="T8649" s="1095">
        <v>-27.36618</v>
      </c>
    </row>
    <row r="8650" spans="16:20">
      <c r="P8650" s="1094">
        <v>4006</v>
      </c>
      <c r="Q8650" t="s">
        <v>9333</v>
      </c>
      <c r="R8650" t="s">
        <v>614</v>
      </c>
      <c r="S8650">
        <v>153.175242</v>
      </c>
      <c r="T8650" s="1095">
        <v>-27.36618</v>
      </c>
    </row>
    <row r="8651" spans="16:20">
      <c r="P8651" s="1094">
        <v>4006</v>
      </c>
      <c r="Q8651" t="s">
        <v>9334</v>
      </c>
      <c r="R8651" t="s">
        <v>614</v>
      </c>
      <c r="S8651">
        <v>153.175242</v>
      </c>
      <c r="T8651" s="1095">
        <v>-27.36618</v>
      </c>
    </row>
    <row r="8652" spans="16:20">
      <c r="P8652" s="1094">
        <v>4006</v>
      </c>
      <c r="Q8652" t="s">
        <v>3033</v>
      </c>
      <c r="R8652" t="s">
        <v>614</v>
      </c>
      <c r="S8652">
        <v>153.175242</v>
      </c>
      <c r="T8652" s="1095">
        <v>-27.36618</v>
      </c>
    </row>
    <row r="8653" spans="16:20">
      <c r="P8653" s="1094">
        <v>4007</v>
      </c>
      <c r="Q8653" t="s">
        <v>7355</v>
      </c>
      <c r="R8653" t="s">
        <v>614</v>
      </c>
      <c r="S8653">
        <v>153.061914</v>
      </c>
      <c r="T8653" s="1095">
        <v>-27.436088000000002</v>
      </c>
    </row>
    <row r="8654" spans="16:20">
      <c r="P8654" s="1094">
        <v>4007</v>
      </c>
      <c r="Q8654" t="s">
        <v>9335</v>
      </c>
      <c r="R8654" t="s">
        <v>614</v>
      </c>
      <c r="S8654">
        <v>153.061914</v>
      </c>
      <c r="T8654" s="1095">
        <v>-27.436088000000002</v>
      </c>
    </row>
    <row r="8655" spans="16:20">
      <c r="P8655" s="1094">
        <v>4007</v>
      </c>
      <c r="Q8655" t="s">
        <v>9336</v>
      </c>
      <c r="R8655" t="s">
        <v>614</v>
      </c>
      <c r="S8655">
        <v>153.061914</v>
      </c>
      <c r="T8655" s="1095">
        <v>-27.436088000000002</v>
      </c>
    </row>
    <row r="8656" spans="16:20">
      <c r="P8656" s="1094">
        <v>4007</v>
      </c>
      <c r="Q8656" t="s">
        <v>2531</v>
      </c>
      <c r="R8656" t="s">
        <v>614</v>
      </c>
      <c r="S8656">
        <v>153.061914</v>
      </c>
      <c r="T8656" s="1095">
        <v>-27.436088000000002</v>
      </c>
    </row>
    <row r="8657" spans="16:20">
      <c r="P8657" s="1094">
        <v>4007</v>
      </c>
      <c r="Q8657" t="s">
        <v>9337</v>
      </c>
      <c r="R8657" t="s">
        <v>614</v>
      </c>
      <c r="S8657">
        <v>153.061914</v>
      </c>
      <c r="T8657" s="1095">
        <v>-27.436088000000002</v>
      </c>
    </row>
    <row r="8658" spans="16:20">
      <c r="P8658" s="1094">
        <v>4007</v>
      </c>
      <c r="Q8658" t="s">
        <v>9338</v>
      </c>
      <c r="R8658" t="s">
        <v>614</v>
      </c>
      <c r="S8658">
        <v>153.061914</v>
      </c>
      <c r="T8658" s="1095">
        <v>-27.436088000000002</v>
      </c>
    </row>
    <row r="8659" spans="16:20">
      <c r="P8659" s="1094">
        <v>4008</v>
      </c>
      <c r="Q8659" t="s">
        <v>9339</v>
      </c>
      <c r="R8659" t="s">
        <v>614</v>
      </c>
      <c r="S8659">
        <v>153.14232000000001</v>
      </c>
      <c r="T8659" s="1095">
        <v>-27.399839</v>
      </c>
    </row>
    <row r="8660" spans="16:20">
      <c r="P8660" s="1094">
        <v>4008</v>
      </c>
      <c r="Q8660" t="s">
        <v>9340</v>
      </c>
      <c r="R8660" t="s">
        <v>614</v>
      </c>
      <c r="S8660">
        <v>153.14232000000001</v>
      </c>
      <c r="T8660" s="1095">
        <v>-27.399839</v>
      </c>
    </row>
    <row r="8661" spans="16:20">
      <c r="P8661" s="1094">
        <v>4008</v>
      </c>
      <c r="Q8661" t="s">
        <v>9341</v>
      </c>
      <c r="R8661" t="s">
        <v>614</v>
      </c>
      <c r="S8661">
        <v>153.14232000000001</v>
      </c>
      <c r="T8661" s="1095">
        <v>-27.399839</v>
      </c>
    </row>
    <row r="8662" spans="16:20">
      <c r="P8662" s="1094">
        <v>4008</v>
      </c>
      <c r="Q8662" t="s">
        <v>9342</v>
      </c>
      <c r="R8662" t="s">
        <v>614</v>
      </c>
      <c r="S8662">
        <v>153.14232000000001</v>
      </c>
      <c r="T8662" s="1095">
        <v>-27.399839</v>
      </c>
    </row>
    <row r="8663" spans="16:20">
      <c r="P8663" s="1094">
        <v>4009</v>
      </c>
      <c r="Q8663" t="s">
        <v>9343</v>
      </c>
      <c r="R8663" t="s">
        <v>614</v>
      </c>
      <c r="S8663">
        <v>153.10524699999999</v>
      </c>
      <c r="T8663" s="1095">
        <v>-27.405747000000002</v>
      </c>
    </row>
    <row r="8664" spans="16:20">
      <c r="P8664" s="1094">
        <v>4009</v>
      </c>
      <c r="Q8664" t="s">
        <v>9344</v>
      </c>
      <c r="R8664" t="s">
        <v>614</v>
      </c>
      <c r="S8664">
        <v>153.10524699999999</v>
      </c>
      <c r="T8664" s="1095">
        <v>-27.405747000000002</v>
      </c>
    </row>
    <row r="8665" spans="16:20">
      <c r="P8665" s="1094">
        <v>4010</v>
      </c>
      <c r="Q8665" t="s">
        <v>6381</v>
      </c>
      <c r="R8665" t="s">
        <v>614</v>
      </c>
      <c r="S8665">
        <v>153.04354000000001</v>
      </c>
      <c r="T8665" s="1095">
        <v>-27.433236999999998</v>
      </c>
    </row>
    <row r="8666" spans="16:20">
      <c r="P8666" s="1094">
        <v>4010</v>
      </c>
      <c r="Q8666" t="s">
        <v>9345</v>
      </c>
      <c r="R8666" t="s">
        <v>614</v>
      </c>
      <c r="S8666">
        <v>153.04354000000001</v>
      </c>
      <c r="T8666" s="1095">
        <v>-27.433236999999998</v>
      </c>
    </row>
    <row r="8667" spans="16:20">
      <c r="P8667" s="1094">
        <v>4010</v>
      </c>
      <c r="Q8667" t="s">
        <v>9346</v>
      </c>
      <c r="R8667" t="s">
        <v>614</v>
      </c>
      <c r="S8667">
        <v>153.04354000000001</v>
      </c>
      <c r="T8667" s="1095">
        <v>-27.433236999999998</v>
      </c>
    </row>
    <row r="8668" spans="16:20">
      <c r="P8668" s="1094">
        <v>4010</v>
      </c>
      <c r="Q8668" t="s">
        <v>6104</v>
      </c>
      <c r="R8668" t="s">
        <v>614</v>
      </c>
      <c r="S8668">
        <v>153.04354000000001</v>
      </c>
      <c r="T8668" s="1095">
        <v>-27.433236999999998</v>
      </c>
    </row>
    <row r="8669" spans="16:20">
      <c r="P8669" s="1094">
        <v>4011</v>
      </c>
      <c r="Q8669" t="s">
        <v>9347</v>
      </c>
      <c r="R8669" t="s">
        <v>614</v>
      </c>
      <c r="S8669">
        <v>153.05974900000001</v>
      </c>
      <c r="T8669" s="1095">
        <v>-27.419484000000001</v>
      </c>
    </row>
    <row r="8670" spans="16:20">
      <c r="P8670" s="1094">
        <v>4011</v>
      </c>
      <c r="Q8670" t="s">
        <v>9348</v>
      </c>
      <c r="R8670" t="s">
        <v>614</v>
      </c>
      <c r="S8670">
        <v>153.05974900000001</v>
      </c>
      <c r="T8670" s="1095">
        <v>-27.419484000000001</v>
      </c>
    </row>
    <row r="8671" spans="16:20">
      <c r="P8671" s="1094">
        <v>4011</v>
      </c>
      <c r="Q8671" t="s">
        <v>9349</v>
      </c>
      <c r="R8671" t="s">
        <v>614</v>
      </c>
      <c r="S8671">
        <v>153.05974900000001</v>
      </c>
      <c r="T8671" s="1095">
        <v>-27.419484000000001</v>
      </c>
    </row>
    <row r="8672" spans="16:20">
      <c r="P8672" s="1094">
        <v>4012</v>
      </c>
      <c r="Q8672" t="s">
        <v>9350</v>
      </c>
      <c r="R8672" t="s">
        <v>614</v>
      </c>
      <c r="S8672">
        <v>153.05355</v>
      </c>
      <c r="T8672" s="1095">
        <v>-27.399335000000001</v>
      </c>
    </row>
    <row r="8673" spans="16:20">
      <c r="P8673" s="1094">
        <v>4012</v>
      </c>
      <c r="Q8673" t="s">
        <v>9351</v>
      </c>
      <c r="R8673" t="s">
        <v>614</v>
      </c>
      <c r="S8673">
        <v>153.05355</v>
      </c>
      <c r="T8673" s="1095">
        <v>-27.399335000000001</v>
      </c>
    </row>
    <row r="8674" spans="16:20">
      <c r="P8674" s="1094">
        <v>4012</v>
      </c>
      <c r="Q8674" t="s">
        <v>9352</v>
      </c>
      <c r="R8674" t="s">
        <v>614</v>
      </c>
      <c r="S8674">
        <v>153.05355</v>
      </c>
      <c r="T8674" s="1095">
        <v>-27.399335000000001</v>
      </c>
    </row>
    <row r="8675" spans="16:20">
      <c r="P8675" s="1094">
        <v>4012</v>
      </c>
      <c r="Q8675" t="s">
        <v>9353</v>
      </c>
      <c r="R8675" t="s">
        <v>614</v>
      </c>
      <c r="S8675">
        <v>153.05355</v>
      </c>
      <c r="T8675" s="1095">
        <v>-27.399335000000001</v>
      </c>
    </row>
    <row r="8676" spans="16:20">
      <c r="P8676" s="1094">
        <v>4013</v>
      </c>
      <c r="Q8676" t="s">
        <v>9354</v>
      </c>
      <c r="R8676" t="s">
        <v>614</v>
      </c>
      <c r="S8676">
        <v>153.07498200000001</v>
      </c>
      <c r="T8676" s="1095">
        <v>-27.397055000000002</v>
      </c>
    </row>
    <row r="8677" spans="16:20">
      <c r="P8677" s="1094">
        <v>4013</v>
      </c>
      <c r="Q8677" t="s">
        <v>9355</v>
      </c>
      <c r="R8677" t="s">
        <v>614</v>
      </c>
      <c r="S8677">
        <v>153.07498200000001</v>
      </c>
      <c r="T8677" s="1095">
        <v>-27.397055000000002</v>
      </c>
    </row>
    <row r="8678" spans="16:20">
      <c r="P8678" s="1094">
        <v>4014</v>
      </c>
      <c r="Q8678" t="s">
        <v>9356</v>
      </c>
      <c r="R8678" t="s">
        <v>614</v>
      </c>
      <c r="S8678">
        <v>153.08478400000001</v>
      </c>
      <c r="T8678" s="1095">
        <v>-27.373947000000001</v>
      </c>
    </row>
    <row r="8679" spans="16:20">
      <c r="P8679" s="1094">
        <v>4014</v>
      </c>
      <c r="Q8679" t="s">
        <v>9357</v>
      </c>
      <c r="R8679" t="s">
        <v>614</v>
      </c>
      <c r="S8679">
        <v>153.08478400000001</v>
      </c>
      <c r="T8679" s="1095">
        <v>-27.373947000000001</v>
      </c>
    </row>
    <row r="8680" spans="16:20">
      <c r="P8680" s="1094">
        <v>4014</v>
      </c>
      <c r="Q8680" t="s">
        <v>9358</v>
      </c>
      <c r="R8680" t="s">
        <v>614</v>
      </c>
      <c r="S8680">
        <v>153.08478400000001</v>
      </c>
      <c r="T8680" s="1095">
        <v>-27.373947000000001</v>
      </c>
    </row>
    <row r="8681" spans="16:20">
      <c r="P8681" s="1094">
        <v>4014</v>
      </c>
      <c r="Q8681" t="s">
        <v>1507</v>
      </c>
      <c r="R8681" t="s">
        <v>614</v>
      </c>
      <c r="S8681">
        <v>153.08478400000001</v>
      </c>
      <c r="T8681" s="1095">
        <v>-27.373947000000001</v>
      </c>
    </row>
    <row r="8682" spans="16:20">
      <c r="P8682" s="1094">
        <v>4014</v>
      </c>
      <c r="Q8682" t="s">
        <v>9359</v>
      </c>
      <c r="R8682" t="s">
        <v>614</v>
      </c>
      <c r="S8682">
        <v>153.08478400000001</v>
      </c>
      <c r="T8682" s="1095">
        <v>-27.373947000000001</v>
      </c>
    </row>
    <row r="8683" spans="16:20">
      <c r="P8683" s="1094">
        <v>4014</v>
      </c>
      <c r="Q8683" t="s">
        <v>9360</v>
      </c>
      <c r="R8683" t="s">
        <v>614</v>
      </c>
      <c r="S8683">
        <v>153.08478400000001</v>
      </c>
      <c r="T8683" s="1095">
        <v>-27.373947000000001</v>
      </c>
    </row>
    <row r="8684" spans="16:20">
      <c r="P8684" s="1094">
        <v>4017</v>
      </c>
      <c r="Q8684" t="s">
        <v>9361</v>
      </c>
      <c r="R8684" t="s">
        <v>614</v>
      </c>
      <c r="S8684">
        <v>153.04733899999999</v>
      </c>
      <c r="T8684" s="1095">
        <v>-27.318073999999999</v>
      </c>
    </row>
    <row r="8685" spans="16:20">
      <c r="P8685" s="1094">
        <v>4017</v>
      </c>
      <c r="Q8685" t="s">
        <v>6736</v>
      </c>
      <c r="R8685" t="s">
        <v>614</v>
      </c>
      <c r="S8685">
        <v>153.04733899999999</v>
      </c>
      <c r="T8685" s="1095">
        <v>-27.318073999999999</v>
      </c>
    </row>
    <row r="8686" spans="16:20">
      <c r="P8686" s="1094">
        <v>4017</v>
      </c>
      <c r="Q8686" t="s">
        <v>9362</v>
      </c>
      <c r="R8686" t="s">
        <v>614</v>
      </c>
      <c r="S8686">
        <v>153.04733899999999</v>
      </c>
      <c r="T8686" s="1095">
        <v>-27.318073999999999</v>
      </c>
    </row>
    <row r="8687" spans="16:20">
      <c r="P8687" s="1094">
        <v>4017</v>
      </c>
      <c r="Q8687" t="s">
        <v>9363</v>
      </c>
      <c r="R8687" t="s">
        <v>614</v>
      </c>
      <c r="S8687">
        <v>153.04733899999999</v>
      </c>
      <c r="T8687" s="1095">
        <v>-27.318073999999999</v>
      </c>
    </row>
    <row r="8688" spans="16:20">
      <c r="P8688" s="1094">
        <v>4017</v>
      </c>
      <c r="Q8688" t="s">
        <v>9364</v>
      </c>
      <c r="R8688" t="s">
        <v>614</v>
      </c>
      <c r="S8688">
        <v>153.04733899999999</v>
      </c>
      <c r="T8688" s="1095">
        <v>-27.318073999999999</v>
      </c>
    </row>
    <row r="8689" spans="16:20">
      <c r="P8689" s="1094">
        <v>4017</v>
      </c>
      <c r="Q8689" t="s">
        <v>9365</v>
      </c>
      <c r="R8689" t="s">
        <v>614</v>
      </c>
      <c r="S8689">
        <v>153.04733899999999</v>
      </c>
      <c r="T8689" s="1095">
        <v>-27.318073999999999</v>
      </c>
    </row>
    <row r="8690" spans="16:20">
      <c r="P8690" s="1094">
        <v>4017</v>
      </c>
      <c r="Q8690" t="s">
        <v>2539</v>
      </c>
      <c r="R8690" t="s">
        <v>614</v>
      </c>
      <c r="S8690">
        <v>153.04733899999999</v>
      </c>
      <c r="T8690" s="1095">
        <v>-27.318073999999999</v>
      </c>
    </row>
    <row r="8691" spans="16:20">
      <c r="P8691" s="1094">
        <v>4017</v>
      </c>
      <c r="Q8691" t="s">
        <v>9366</v>
      </c>
      <c r="R8691" t="s">
        <v>614</v>
      </c>
      <c r="S8691">
        <v>153.04733899999999</v>
      </c>
      <c r="T8691" s="1095">
        <v>-27.318073999999999</v>
      </c>
    </row>
    <row r="8692" spans="16:20">
      <c r="P8692" s="1094">
        <v>4017</v>
      </c>
      <c r="Q8692" t="s">
        <v>9367</v>
      </c>
      <c r="R8692" t="s">
        <v>614</v>
      </c>
      <c r="S8692">
        <v>153.04733899999999</v>
      </c>
      <c r="T8692" s="1095">
        <v>-27.318073999999999</v>
      </c>
    </row>
    <row r="8693" spans="16:20">
      <c r="P8693" s="1094">
        <v>4018</v>
      </c>
      <c r="Q8693" t="s">
        <v>9368</v>
      </c>
      <c r="R8693" t="s">
        <v>614</v>
      </c>
      <c r="S8693">
        <v>0</v>
      </c>
      <c r="T8693" s="1095">
        <v>0</v>
      </c>
    </row>
    <row r="8694" spans="16:20">
      <c r="P8694" s="1094">
        <v>4018</v>
      </c>
      <c r="Q8694" t="s">
        <v>9369</v>
      </c>
      <c r="R8694" t="s">
        <v>614</v>
      </c>
      <c r="S8694">
        <v>0</v>
      </c>
      <c r="T8694" s="1095">
        <v>0</v>
      </c>
    </row>
    <row r="8695" spans="16:20">
      <c r="P8695" s="1094">
        <v>4019</v>
      </c>
      <c r="Q8695" t="s">
        <v>1907</v>
      </c>
      <c r="R8695" t="s">
        <v>614</v>
      </c>
      <c r="S8695">
        <v>153.08849799999999</v>
      </c>
      <c r="T8695" s="1095">
        <v>-27.248336999999999</v>
      </c>
    </row>
    <row r="8696" spans="16:20">
      <c r="P8696" s="1094">
        <v>4019</v>
      </c>
      <c r="Q8696" t="s">
        <v>9370</v>
      </c>
      <c r="R8696" t="s">
        <v>614</v>
      </c>
      <c r="S8696">
        <v>153.08849799999999</v>
      </c>
      <c r="T8696" s="1095">
        <v>-27.248336999999999</v>
      </c>
    </row>
    <row r="8697" spans="16:20">
      <c r="P8697" s="1094">
        <v>4019</v>
      </c>
      <c r="Q8697" t="s">
        <v>9371</v>
      </c>
      <c r="R8697" t="s">
        <v>614</v>
      </c>
      <c r="S8697">
        <v>153.08849799999999</v>
      </c>
      <c r="T8697" s="1095">
        <v>-27.248336999999999</v>
      </c>
    </row>
    <row r="8698" spans="16:20">
      <c r="P8698" s="1094">
        <v>4019</v>
      </c>
      <c r="Q8698" t="s">
        <v>9372</v>
      </c>
      <c r="R8698" t="s">
        <v>614</v>
      </c>
      <c r="S8698">
        <v>153.08849799999999</v>
      </c>
      <c r="T8698" s="1095">
        <v>-27.248336999999999</v>
      </c>
    </row>
    <row r="8699" spans="16:20">
      <c r="P8699" s="1094">
        <v>4019</v>
      </c>
      <c r="Q8699" t="s">
        <v>9373</v>
      </c>
      <c r="R8699" t="s">
        <v>614</v>
      </c>
      <c r="S8699">
        <v>153.08849799999999</v>
      </c>
      <c r="T8699" s="1095">
        <v>-27.248336999999999</v>
      </c>
    </row>
    <row r="8700" spans="16:20">
      <c r="P8700" s="1094">
        <v>4019</v>
      </c>
      <c r="Q8700" t="s">
        <v>9374</v>
      </c>
      <c r="R8700" t="s">
        <v>614</v>
      </c>
      <c r="S8700">
        <v>153.08849799999999</v>
      </c>
      <c r="T8700" s="1095">
        <v>-27.248336999999999</v>
      </c>
    </row>
    <row r="8701" spans="16:20">
      <c r="P8701" s="1094">
        <v>4019</v>
      </c>
      <c r="Q8701" t="s">
        <v>9375</v>
      </c>
      <c r="R8701" t="s">
        <v>614</v>
      </c>
      <c r="S8701">
        <v>153.08849799999999</v>
      </c>
      <c r="T8701" s="1095">
        <v>-27.248336999999999</v>
      </c>
    </row>
    <row r="8702" spans="16:20">
      <c r="P8702" s="1094">
        <v>4019</v>
      </c>
      <c r="Q8702" t="s">
        <v>9376</v>
      </c>
      <c r="R8702" t="s">
        <v>614</v>
      </c>
      <c r="S8702">
        <v>153.08849799999999</v>
      </c>
      <c r="T8702" s="1095">
        <v>-27.248336999999999</v>
      </c>
    </row>
    <row r="8703" spans="16:20">
      <c r="P8703" s="1094">
        <v>4020</v>
      </c>
      <c r="Q8703" t="s">
        <v>9377</v>
      </c>
      <c r="R8703" t="s">
        <v>614</v>
      </c>
      <c r="S8703">
        <v>153.10637800000001</v>
      </c>
      <c r="T8703" s="1095">
        <v>-27.214362000000001</v>
      </c>
    </row>
    <row r="8704" spans="16:20">
      <c r="P8704" s="1094">
        <v>4020</v>
      </c>
      <c r="Q8704" t="s">
        <v>9378</v>
      </c>
      <c r="R8704" t="s">
        <v>614</v>
      </c>
      <c r="S8704">
        <v>153.10637800000001</v>
      </c>
      <c r="T8704" s="1095">
        <v>-27.214362000000001</v>
      </c>
    </row>
    <row r="8705" spans="16:20">
      <c r="P8705" s="1094">
        <v>4020</v>
      </c>
      <c r="Q8705" t="s">
        <v>4187</v>
      </c>
      <c r="R8705" t="s">
        <v>614</v>
      </c>
      <c r="S8705">
        <v>153.10637800000001</v>
      </c>
      <c r="T8705" s="1095">
        <v>-27.214362000000001</v>
      </c>
    </row>
    <row r="8706" spans="16:20">
      <c r="P8706" s="1094">
        <v>4021</v>
      </c>
      <c r="Q8706" t="s">
        <v>9379</v>
      </c>
      <c r="R8706" t="s">
        <v>614</v>
      </c>
      <c r="S8706">
        <v>153.07529</v>
      </c>
      <c r="T8706" s="1095">
        <v>-27.220098</v>
      </c>
    </row>
    <row r="8707" spans="16:20">
      <c r="P8707" s="1094">
        <v>4022</v>
      </c>
      <c r="Q8707" t="s">
        <v>9380</v>
      </c>
      <c r="R8707" t="s">
        <v>614</v>
      </c>
      <c r="S8707">
        <v>153.046414</v>
      </c>
      <c r="T8707" s="1095">
        <v>-27.211886</v>
      </c>
    </row>
    <row r="8708" spans="16:20">
      <c r="P8708" s="1094">
        <v>4025</v>
      </c>
      <c r="Q8708" t="s">
        <v>9381</v>
      </c>
      <c r="R8708" t="s">
        <v>614</v>
      </c>
      <c r="S8708">
        <v>153.393497</v>
      </c>
      <c r="T8708" s="1095">
        <v>-27.162277</v>
      </c>
    </row>
    <row r="8709" spans="16:20">
      <c r="P8709" s="1094">
        <v>4025</v>
      </c>
      <c r="Q8709" t="s">
        <v>9382</v>
      </c>
      <c r="R8709" t="s">
        <v>614</v>
      </c>
      <c r="S8709">
        <v>153.393497</v>
      </c>
      <c r="T8709" s="1095">
        <v>-27.162277</v>
      </c>
    </row>
    <row r="8710" spans="16:20">
      <c r="P8710" s="1094">
        <v>4025</v>
      </c>
      <c r="Q8710" t="s">
        <v>9383</v>
      </c>
      <c r="R8710" t="s">
        <v>614</v>
      </c>
      <c r="S8710">
        <v>153.393497</v>
      </c>
      <c r="T8710" s="1095">
        <v>-27.162277</v>
      </c>
    </row>
    <row r="8711" spans="16:20">
      <c r="P8711" s="1094">
        <v>4025</v>
      </c>
      <c r="Q8711" t="s">
        <v>5186</v>
      </c>
      <c r="R8711" t="s">
        <v>614</v>
      </c>
      <c r="S8711">
        <v>153.393497</v>
      </c>
      <c r="T8711" s="1095">
        <v>-27.162277</v>
      </c>
    </row>
    <row r="8712" spans="16:20">
      <c r="P8712" s="1094">
        <v>4025</v>
      </c>
      <c r="Q8712" t="s">
        <v>9384</v>
      </c>
      <c r="R8712" t="s">
        <v>614</v>
      </c>
      <c r="S8712">
        <v>153.393497</v>
      </c>
      <c r="T8712" s="1095">
        <v>-27.162277</v>
      </c>
    </row>
    <row r="8713" spans="16:20">
      <c r="P8713" s="1094">
        <v>4029</v>
      </c>
      <c r="Q8713" t="s">
        <v>9385</v>
      </c>
      <c r="R8713" t="s">
        <v>614</v>
      </c>
      <c r="S8713">
        <v>153.026443</v>
      </c>
      <c r="T8713" s="1095">
        <v>-27.449335999999999</v>
      </c>
    </row>
    <row r="8714" spans="16:20">
      <c r="P8714" s="1094">
        <v>4030</v>
      </c>
      <c r="Q8714" t="s">
        <v>9386</v>
      </c>
      <c r="R8714" t="s">
        <v>614</v>
      </c>
      <c r="S8714">
        <v>153.02968100000001</v>
      </c>
      <c r="T8714" s="1095">
        <v>-27.426870000000001</v>
      </c>
    </row>
    <row r="8715" spans="16:20">
      <c r="P8715" s="1094">
        <v>4030</v>
      </c>
      <c r="Q8715" t="s">
        <v>9387</v>
      </c>
      <c r="R8715" t="s">
        <v>614</v>
      </c>
      <c r="S8715">
        <v>153.02968100000001</v>
      </c>
      <c r="T8715" s="1095">
        <v>-27.426870000000001</v>
      </c>
    </row>
    <row r="8716" spans="16:20">
      <c r="P8716" s="1094">
        <v>4030</v>
      </c>
      <c r="Q8716" t="s">
        <v>9388</v>
      </c>
      <c r="R8716" t="s">
        <v>614</v>
      </c>
      <c r="S8716">
        <v>153.02968100000001</v>
      </c>
      <c r="T8716" s="1095">
        <v>-27.426870000000001</v>
      </c>
    </row>
    <row r="8717" spans="16:20">
      <c r="P8717" s="1094">
        <v>4030</v>
      </c>
      <c r="Q8717" t="s">
        <v>5602</v>
      </c>
      <c r="R8717" t="s">
        <v>614</v>
      </c>
      <c r="S8717">
        <v>153.02968100000001</v>
      </c>
      <c r="T8717" s="1095">
        <v>-27.426870000000001</v>
      </c>
    </row>
    <row r="8718" spans="16:20">
      <c r="P8718" s="1094">
        <v>4030</v>
      </c>
      <c r="Q8718" t="s">
        <v>9389</v>
      </c>
      <c r="R8718" t="s">
        <v>614</v>
      </c>
      <c r="S8718">
        <v>153.02968100000001</v>
      </c>
      <c r="T8718" s="1095">
        <v>-27.426870000000001</v>
      </c>
    </row>
    <row r="8719" spans="16:20">
      <c r="P8719" s="1094">
        <v>4031</v>
      </c>
      <c r="Q8719" t="s">
        <v>9390</v>
      </c>
      <c r="R8719" t="s">
        <v>614</v>
      </c>
      <c r="S8719">
        <v>153.03069500000001</v>
      </c>
      <c r="T8719" s="1095">
        <v>-27.408542000000001</v>
      </c>
    </row>
    <row r="8720" spans="16:20">
      <c r="P8720" s="1094">
        <v>4031</v>
      </c>
      <c r="Q8720" t="s">
        <v>9391</v>
      </c>
      <c r="R8720" t="s">
        <v>614</v>
      </c>
      <c r="S8720">
        <v>153.03069500000001</v>
      </c>
      <c r="T8720" s="1095">
        <v>-27.408542000000001</v>
      </c>
    </row>
    <row r="8721" spans="16:20">
      <c r="P8721" s="1094">
        <v>4031</v>
      </c>
      <c r="Q8721" t="s">
        <v>9392</v>
      </c>
      <c r="R8721" t="s">
        <v>614</v>
      </c>
      <c r="S8721">
        <v>153.03069500000001</v>
      </c>
      <c r="T8721" s="1095">
        <v>-27.408542000000001</v>
      </c>
    </row>
    <row r="8722" spans="16:20">
      <c r="P8722" s="1094">
        <v>4032</v>
      </c>
      <c r="Q8722" t="s">
        <v>9393</v>
      </c>
      <c r="R8722" t="s">
        <v>614</v>
      </c>
      <c r="S8722">
        <v>153.01944900000001</v>
      </c>
      <c r="T8722" s="1095">
        <v>-27.385605000000002</v>
      </c>
    </row>
    <row r="8723" spans="16:20">
      <c r="P8723" s="1094">
        <v>4032</v>
      </c>
      <c r="Q8723" t="s">
        <v>9394</v>
      </c>
      <c r="R8723" t="s">
        <v>614</v>
      </c>
      <c r="S8723">
        <v>153.01944900000001</v>
      </c>
      <c r="T8723" s="1095">
        <v>-27.385605000000002</v>
      </c>
    </row>
    <row r="8724" spans="16:20">
      <c r="P8724" s="1094">
        <v>4032</v>
      </c>
      <c r="Q8724" t="s">
        <v>9395</v>
      </c>
      <c r="R8724" t="s">
        <v>614</v>
      </c>
      <c r="S8724">
        <v>153.01944900000001</v>
      </c>
      <c r="T8724" s="1095">
        <v>-27.385605000000002</v>
      </c>
    </row>
    <row r="8725" spans="16:20">
      <c r="P8725" s="1094">
        <v>4032</v>
      </c>
      <c r="Q8725" t="s">
        <v>9396</v>
      </c>
      <c r="R8725" t="s">
        <v>614</v>
      </c>
      <c r="S8725">
        <v>153.01944900000001</v>
      </c>
      <c r="T8725" s="1095">
        <v>-27.385605000000002</v>
      </c>
    </row>
    <row r="8726" spans="16:20">
      <c r="P8726" s="1094">
        <v>4032</v>
      </c>
      <c r="Q8726" t="s">
        <v>9397</v>
      </c>
      <c r="R8726" t="s">
        <v>614</v>
      </c>
      <c r="S8726">
        <v>153.01944900000001</v>
      </c>
      <c r="T8726" s="1095">
        <v>-27.385605000000002</v>
      </c>
    </row>
    <row r="8727" spans="16:20">
      <c r="P8727" s="1094">
        <v>4032</v>
      </c>
      <c r="Q8727" t="s">
        <v>9398</v>
      </c>
      <c r="R8727" t="s">
        <v>614</v>
      </c>
      <c r="S8727">
        <v>153.01944900000001</v>
      </c>
      <c r="T8727" s="1095">
        <v>-27.385605000000002</v>
      </c>
    </row>
    <row r="8728" spans="16:20">
      <c r="P8728" s="1094">
        <v>4034</v>
      </c>
      <c r="Q8728" t="s">
        <v>9399</v>
      </c>
      <c r="R8728" t="s">
        <v>614</v>
      </c>
      <c r="S8728">
        <v>153.04005100000001</v>
      </c>
      <c r="T8728" s="1095">
        <v>-27.354711000000002</v>
      </c>
    </row>
    <row r="8729" spans="16:20">
      <c r="P8729" s="1094">
        <v>4034</v>
      </c>
      <c r="Q8729" t="s">
        <v>9400</v>
      </c>
      <c r="R8729" t="s">
        <v>614</v>
      </c>
      <c r="S8729">
        <v>153.04005100000001</v>
      </c>
      <c r="T8729" s="1095">
        <v>-27.354711000000002</v>
      </c>
    </row>
    <row r="8730" spans="16:20">
      <c r="P8730" s="1094">
        <v>4034</v>
      </c>
      <c r="Q8730" t="s">
        <v>9401</v>
      </c>
      <c r="R8730" t="s">
        <v>614</v>
      </c>
      <c r="S8730">
        <v>153.04005100000001</v>
      </c>
      <c r="T8730" s="1095">
        <v>-27.354711000000002</v>
      </c>
    </row>
    <row r="8731" spans="16:20">
      <c r="P8731" s="1094">
        <v>4034</v>
      </c>
      <c r="Q8731" t="s">
        <v>9402</v>
      </c>
      <c r="R8731" t="s">
        <v>614</v>
      </c>
      <c r="S8731">
        <v>153.04005100000001</v>
      </c>
      <c r="T8731" s="1095">
        <v>-27.354711000000002</v>
      </c>
    </row>
    <row r="8732" spans="16:20">
      <c r="P8732" s="1094">
        <v>4034</v>
      </c>
      <c r="Q8732" t="s">
        <v>9403</v>
      </c>
      <c r="R8732" t="s">
        <v>614</v>
      </c>
      <c r="S8732">
        <v>153.04005100000001</v>
      </c>
      <c r="T8732" s="1095">
        <v>-27.354711000000002</v>
      </c>
    </row>
    <row r="8733" spans="16:20">
      <c r="P8733" s="1094">
        <v>4035</v>
      </c>
      <c r="Q8733" t="s">
        <v>9404</v>
      </c>
      <c r="R8733" t="s">
        <v>614</v>
      </c>
      <c r="S8733">
        <v>152.979085</v>
      </c>
      <c r="T8733" s="1095">
        <v>-27.356024999999999</v>
      </c>
    </row>
    <row r="8734" spans="16:20">
      <c r="P8734" s="1094">
        <v>4035</v>
      </c>
      <c r="Q8734" t="s">
        <v>9405</v>
      </c>
      <c r="R8734" t="s">
        <v>614</v>
      </c>
      <c r="S8734">
        <v>152.979085</v>
      </c>
      <c r="T8734" s="1095">
        <v>-27.356024999999999</v>
      </c>
    </row>
    <row r="8735" spans="16:20">
      <c r="P8735" s="1094">
        <v>4035</v>
      </c>
      <c r="Q8735" t="s">
        <v>9406</v>
      </c>
      <c r="R8735" t="s">
        <v>614</v>
      </c>
      <c r="S8735">
        <v>152.979085</v>
      </c>
      <c r="T8735" s="1095">
        <v>-27.356024999999999</v>
      </c>
    </row>
    <row r="8736" spans="16:20">
      <c r="P8736" s="1094">
        <v>4036</v>
      </c>
      <c r="Q8736" t="s">
        <v>4434</v>
      </c>
      <c r="R8736" t="s">
        <v>614</v>
      </c>
      <c r="S8736">
        <v>153.00873100000001</v>
      </c>
      <c r="T8736" s="1095">
        <v>-27.314022000000001</v>
      </c>
    </row>
    <row r="8737" spans="16:20">
      <c r="P8737" s="1094">
        <v>4037</v>
      </c>
      <c r="Q8737" t="s">
        <v>9407</v>
      </c>
      <c r="R8737" t="s">
        <v>614</v>
      </c>
      <c r="S8737">
        <v>152.936519</v>
      </c>
      <c r="T8737" s="1095">
        <v>-27.341128000000001</v>
      </c>
    </row>
    <row r="8738" spans="16:20">
      <c r="P8738" s="1094">
        <v>4051</v>
      </c>
      <c r="Q8738" t="s">
        <v>9408</v>
      </c>
      <c r="R8738" t="s">
        <v>614</v>
      </c>
      <c r="S8738">
        <v>153.00029699999999</v>
      </c>
      <c r="T8738" s="1095">
        <v>-27.427508</v>
      </c>
    </row>
    <row r="8739" spans="16:20">
      <c r="P8739" s="1094">
        <v>4051</v>
      </c>
      <c r="Q8739" t="s">
        <v>9409</v>
      </c>
      <c r="R8739" t="s">
        <v>614</v>
      </c>
      <c r="S8739">
        <v>153.00029699999999</v>
      </c>
      <c r="T8739" s="1095">
        <v>-27.427508</v>
      </c>
    </row>
    <row r="8740" spans="16:20">
      <c r="P8740" s="1094">
        <v>4051</v>
      </c>
      <c r="Q8740" t="s">
        <v>9410</v>
      </c>
      <c r="R8740" t="s">
        <v>614</v>
      </c>
      <c r="S8740">
        <v>153.00029699999999</v>
      </c>
      <c r="T8740" s="1095">
        <v>-27.427508</v>
      </c>
    </row>
    <row r="8741" spans="16:20">
      <c r="P8741" s="1094">
        <v>4051</v>
      </c>
      <c r="Q8741" t="s">
        <v>9411</v>
      </c>
      <c r="R8741" t="s">
        <v>614</v>
      </c>
      <c r="S8741">
        <v>153.00029699999999</v>
      </c>
      <c r="T8741" s="1095">
        <v>-27.427508</v>
      </c>
    </row>
    <row r="8742" spans="16:20">
      <c r="P8742" s="1094">
        <v>4051</v>
      </c>
      <c r="Q8742" t="s">
        <v>9412</v>
      </c>
      <c r="R8742" t="s">
        <v>614</v>
      </c>
      <c r="S8742">
        <v>153.00029699999999</v>
      </c>
      <c r="T8742" s="1095">
        <v>-27.427508</v>
      </c>
    </row>
    <row r="8743" spans="16:20">
      <c r="P8743" s="1094">
        <v>4051</v>
      </c>
      <c r="Q8743" t="s">
        <v>9413</v>
      </c>
      <c r="R8743" t="s">
        <v>614</v>
      </c>
      <c r="S8743">
        <v>153.00029699999999</v>
      </c>
      <c r="T8743" s="1095">
        <v>-27.427508</v>
      </c>
    </row>
    <row r="8744" spans="16:20">
      <c r="P8744" s="1094">
        <v>4051</v>
      </c>
      <c r="Q8744" t="s">
        <v>9414</v>
      </c>
      <c r="R8744" t="s">
        <v>614</v>
      </c>
      <c r="S8744">
        <v>153.00029699999999</v>
      </c>
      <c r="T8744" s="1095">
        <v>-27.427508</v>
      </c>
    </row>
    <row r="8745" spans="16:20">
      <c r="P8745" s="1094">
        <v>4053</v>
      </c>
      <c r="Q8745" t="s">
        <v>9415</v>
      </c>
      <c r="R8745" t="s">
        <v>614</v>
      </c>
      <c r="S8745">
        <v>152.98724999999999</v>
      </c>
      <c r="T8745" s="1095">
        <v>-27.399573</v>
      </c>
    </row>
    <row r="8746" spans="16:20">
      <c r="P8746" s="1094">
        <v>4053</v>
      </c>
      <c r="Q8746" t="s">
        <v>9416</v>
      </c>
      <c r="R8746" t="s">
        <v>614</v>
      </c>
      <c r="S8746">
        <v>152.98724999999999</v>
      </c>
      <c r="T8746" s="1095">
        <v>-27.399573</v>
      </c>
    </row>
    <row r="8747" spans="16:20">
      <c r="P8747" s="1094">
        <v>4053</v>
      </c>
      <c r="Q8747" t="s">
        <v>9417</v>
      </c>
      <c r="R8747" t="s">
        <v>614</v>
      </c>
      <c r="S8747">
        <v>152.98724999999999</v>
      </c>
      <c r="T8747" s="1095">
        <v>-27.399573</v>
      </c>
    </row>
    <row r="8748" spans="16:20">
      <c r="P8748" s="1094">
        <v>4053</v>
      </c>
      <c r="Q8748" t="s">
        <v>9418</v>
      </c>
      <c r="R8748" t="s">
        <v>614</v>
      </c>
      <c r="S8748">
        <v>152.98724999999999</v>
      </c>
      <c r="T8748" s="1095">
        <v>-27.399573</v>
      </c>
    </row>
    <row r="8749" spans="16:20">
      <c r="P8749" s="1094">
        <v>4053</v>
      </c>
      <c r="Q8749" t="s">
        <v>9419</v>
      </c>
      <c r="R8749" t="s">
        <v>614</v>
      </c>
      <c r="S8749">
        <v>152.98724999999999</v>
      </c>
      <c r="T8749" s="1095">
        <v>-27.399573</v>
      </c>
    </row>
    <row r="8750" spans="16:20">
      <c r="P8750" s="1094">
        <v>4053</v>
      </c>
      <c r="Q8750" t="s">
        <v>9420</v>
      </c>
      <c r="R8750" t="s">
        <v>614</v>
      </c>
      <c r="S8750">
        <v>152.98724999999999</v>
      </c>
      <c r="T8750" s="1095">
        <v>-27.399573</v>
      </c>
    </row>
    <row r="8751" spans="16:20">
      <c r="P8751" s="1094">
        <v>4053</v>
      </c>
      <c r="Q8751" t="s">
        <v>9421</v>
      </c>
      <c r="R8751" t="s">
        <v>614</v>
      </c>
      <c r="S8751">
        <v>152.98724999999999</v>
      </c>
      <c r="T8751" s="1095">
        <v>-27.399573</v>
      </c>
    </row>
    <row r="8752" spans="16:20">
      <c r="P8752" s="1094">
        <v>4053</v>
      </c>
      <c r="Q8752" t="s">
        <v>9422</v>
      </c>
      <c r="R8752" t="s">
        <v>614</v>
      </c>
      <c r="S8752">
        <v>152.98724999999999</v>
      </c>
      <c r="T8752" s="1095">
        <v>-27.399573</v>
      </c>
    </row>
    <row r="8753" spans="16:20">
      <c r="P8753" s="1094">
        <v>4053</v>
      </c>
      <c r="Q8753" t="s">
        <v>9423</v>
      </c>
      <c r="R8753" t="s">
        <v>614</v>
      </c>
      <c r="S8753">
        <v>152.98724999999999</v>
      </c>
      <c r="T8753" s="1095">
        <v>-27.399573</v>
      </c>
    </row>
    <row r="8754" spans="16:20">
      <c r="P8754" s="1094">
        <v>4053</v>
      </c>
      <c r="Q8754" t="s">
        <v>9424</v>
      </c>
      <c r="R8754" t="s">
        <v>614</v>
      </c>
      <c r="S8754">
        <v>152.98724999999999</v>
      </c>
      <c r="T8754" s="1095">
        <v>-27.399573</v>
      </c>
    </row>
    <row r="8755" spans="16:20">
      <c r="P8755" s="1094">
        <v>4053</v>
      </c>
      <c r="Q8755" t="s">
        <v>9425</v>
      </c>
      <c r="R8755" t="s">
        <v>614</v>
      </c>
      <c r="S8755">
        <v>152.98724999999999</v>
      </c>
      <c r="T8755" s="1095">
        <v>-27.399573</v>
      </c>
    </row>
    <row r="8756" spans="16:20">
      <c r="P8756" s="1094">
        <v>4053</v>
      </c>
      <c r="Q8756" t="s">
        <v>9426</v>
      </c>
      <c r="R8756" t="s">
        <v>614</v>
      </c>
      <c r="S8756">
        <v>152.98724999999999</v>
      </c>
      <c r="T8756" s="1095">
        <v>-27.399573</v>
      </c>
    </row>
    <row r="8757" spans="16:20">
      <c r="P8757" s="1094">
        <v>4054</v>
      </c>
      <c r="Q8757" t="s">
        <v>9427</v>
      </c>
      <c r="R8757" t="s">
        <v>614</v>
      </c>
      <c r="S8757">
        <v>152.95601400000001</v>
      </c>
      <c r="T8757" s="1095">
        <v>-27.409817</v>
      </c>
    </row>
    <row r="8758" spans="16:20">
      <c r="P8758" s="1094">
        <v>4054</v>
      </c>
      <c r="Q8758" t="s">
        <v>9428</v>
      </c>
      <c r="R8758" t="s">
        <v>614</v>
      </c>
      <c r="S8758">
        <v>152.95601400000001</v>
      </c>
      <c r="T8758" s="1095">
        <v>-27.409817</v>
      </c>
    </row>
    <row r="8759" spans="16:20">
      <c r="P8759" s="1094">
        <v>4054</v>
      </c>
      <c r="Q8759" t="s">
        <v>9429</v>
      </c>
      <c r="R8759" t="s">
        <v>614</v>
      </c>
      <c r="S8759">
        <v>152.95601400000001</v>
      </c>
      <c r="T8759" s="1095">
        <v>-27.409817</v>
      </c>
    </row>
    <row r="8760" spans="16:20">
      <c r="P8760" s="1094">
        <v>4055</v>
      </c>
      <c r="Q8760" t="s">
        <v>9430</v>
      </c>
      <c r="R8760" t="s">
        <v>614</v>
      </c>
      <c r="S8760">
        <v>152.92424</v>
      </c>
      <c r="T8760" s="1095">
        <v>-27.393675999999999</v>
      </c>
    </row>
    <row r="8761" spans="16:20">
      <c r="P8761" s="1094">
        <v>4055</v>
      </c>
      <c r="Q8761" t="s">
        <v>9431</v>
      </c>
      <c r="R8761" t="s">
        <v>614</v>
      </c>
      <c r="S8761">
        <v>152.92424</v>
      </c>
      <c r="T8761" s="1095">
        <v>-27.393675999999999</v>
      </c>
    </row>
    <row r="8762" spans="16:20">
      <c r="P8762" s="1094">
        <v>4055</v>
      </c>
      <c r="Q8762" t="s">
        <v>9432</v>
      </c>
      <c r="R8762" t="s">
        <v>614</v>
      </c>
      <c r="S8762">
        <v>152.92424</v>
      </c>
      <c r="T8762" s="1095">
        <v>-27.393675999999999</v>
      </c>
    </row>
    <row r="8763" spans="16:20">
      <c r="P8763" s="1094">
        <v>4055</v>
      </c>
      <c r="Q8763" t="s">
        <v>9433</v>
      </c>
      <c r="R8763" t="s">
        <v>614</v>
      </c>
      <c r="S8763">
        <v>152.92424</v>
      </c>
      <c r="T8763" s="1095">
        <v>-27.393675999999999</v>
      </c>
    </row>
    <row r="8764" spans="16:20">
      <c r="P8764" s="1094">
        <v>4055</v>
      </c>
      <c r="Q8764" t="s">
        <v>9434</v>
      </c>
      <c r="R8764" t="s">
        <v>614</v>
      </c>
      <c r="S8764">
        <v>152.92424</v>
      </c>
      <c r="T8764" s="1095">
        <v>-27.393675999999999</v>
      </c>
    </row>
    <row r="8765" spans="16:20">
      <c r="P8765" s="1094">
        <v>4055</v>
      </c>
      <c r="Q8765" t="s">
        <v>9435</v>
      </c>
      <c r="R8765" t="s">
        <v>614</v>
      </c>
      <c r="S8765">
        <v>152.92424</v>
      </c>
      <c r="T8765" s="1095">
        <v>-27.393675999999999</v>
      </c>
    </row>
    <row r="8766" spans="16:20">
      <c r="P8766" s="1094">
        <v>4059</v>
      </c>
      <c r="Q8766" t="s">
        <v>9436</v>
      </c>
      <c r="R8766" t="s">
        <v>614</v>
      </c>
      <c r="S8766">
        <v>153.008893</v>
      </c>
      <c r="T8766" s="1095">
        <v>-27.452067</v>
      </c>
    </row>
    <row r="8767" spans="16:20">
      <c r="P8767" s="1094">
        <v>4059</v>
      </c>
      <c r="Q8767" t="s">
        <v>9437</v>
      </c>
      <c r="R8767" t="s">
        <v>614</v>
      </c>
      <c r="S8767">
        <v>153.008893</v>
      </c>
      <c r="T8767" s="1095">
        <v>-27.452067</v>
      </c>
    </row>
    <row r="8768" spans="16:20">
      <c r="P8768" s="1094">
        <v>4059</v>
      </c>
      <c r="Q8768" t="s">
        <v>9438</v>
      </c>
      <c r="R8768" t="s">
        <v>614</v>
      </c>
      <c r="S8768">
        <v>153.008893</v>
      </c>
      <c r="T8768" s="1095">
        <v>-27.452067</v>
      </c>
    </row>
    <row r="8769" spans="16:20">
      <c r="P8769" s="1094">
        <v>4059</v>
      </c>
      <c r="Q8769" t="s">
        <v>9439</v>
      </c>
      <c r="R8769" t="s">
        <v>614</v>
      </c>
      <c r="S8769">
        <v>153.008893</v>
      </c>
      <c r="T8769" s="1095">
        <v>-27.452067</v>
      </c>
    </row>
    <row r="8770" spans="16:20">
      <c r="P8770" s="1094">
        <v>4059</v>
      </c>
      <c r="Q8770" t="s">
        <v>9440</v>
      </c>
      <c r="R8770" t="s">
        <v>614</v>
      </c>
      <c r="S8770">
        <v>153.008893</v>
      </c>
      <c r="T8770" s="1095">
        <v>-27.452067</v>
      </c>
    </row>
    <row r="8771" spans="16:20">
      <c r="P8771" s="1094">
        <v>4059</v>
      </c>
      <c r="Q8771" t="s">
        <v>9441</v>
      </c>
      <c r="R8771" t="s">
        <v>614</v>
      </c>
      <c r="S8771">
        <v>153.008893</v>
      </c>
      <c r="T8771" s="1095">
        <v>-27.452067</v>
      </c>
    </row>
    <row r="8772" spans="16:20">
      <c r="P8772" s="1094">
        <v>4059</v>
      </c>
      <c r="Q8772" t="s">
        <v>2939</v>
      </c>
      <c r="R8772" t="s">
        <v>614</v>
      </c>
      <c r="S8772">
        <v>153.008893</v>
      </c>
      <c r="T8772" s="1095">
        <v>-27.452067</v>
      </c>
    </row>
    <row r="8773" spans="16:20">
      <c r="P8773" s="1094">
        <v>4060</v>
      </c>
      <c r="Q8773" t="s">
        <v>9442</v>
      </c>
      <c r="R8773" t="s">
        <v>614</v>
      </c>
      <c r="S8773">
        <v>152.985176</v>
      </c>
      <c r="T8773" s="1095">
        <v>-27.445107</v>
      </c>
    </row>
    <row r="8774" spans="16:20">
      <c r="P8774" s="1094">
        <v>4060</v>
      </c>
      <c r="Q8774" t="s">
        <v>9443</v>
      </c>
      <c r="R8774" t="s">
        <v>614</v>
      </c>
      <c r="S8774">
        <v>152.985176</v>
      </c>
      <c r="T8774" s="1095">
        <v>-27.445107</v>
      </c>
    </row>
    <row r="8775" spans="16:20">
      <c r="P8775" s="1094">
        <v>4060</v>
      </c>
      <c r="Q8775" t="s">
        <v>9444</v>
      </c>
      <c r="R8775" t="s">
        <v>614</v>
      </c>
      <c r="S8775">
        <v>152.985176</v>
      </c>
      <c r="T8775" s="1095">
        <v>-27.445107</v>
      </c>
    </row>
    <row r="8776" spans="16:20">
      <c r="P8776" s="1094">
        <v>4060</v>
      </c>
      <c r="Q8776" t="s">
        <v>9445</v>
      </c>
      <c r="R8776" t="s">
        <v>614</v>
      </c>
      <c r="S8776">
        <v>152.985176</v>
      </c>
      <c r="T8776" s="1095">
        <v>-27.445107</v>
      </c>
    </row>
    <row r="8777" spans="16:20">
      <c r="P8777" s="1094">
        <v>4061</v>
      </c>
      <c r="Q8777" t="s">
        <v>5200</v>
      </c>
      <c r="R8777" t="s">
        <v>614</v>
      </c>
      <c r="S8777">
        <v>152.94425799999999</v>
      </c>
      <c r="T8777" s="1095">
        <v>-27.450849999999999</v>
      </c>
    </row>
    <row r="8778" spans="16:20">
      <c r="P8778" s="1094">
        <v>4064</v>
      </c>
      <c r="Q8778" t="s">
        <v>9446</v>
      </c>
      <c r="R8778" t="s">
        <v>614</v>
      </c>
      <c r="S8778">
        <v>152.99903900000001</v>
      </c>
      <c r="T8778" s="1095">
        <v>-27.464676000000001</v>
      </c>
    </row>
    <row r="8779" spans="16:20">
      <c r="P8779" s="1094">
        <v>4064</v>
      </c>
      <c r="Q8779" t="s">
        <v>4325</v>
      </c>
      <c r="R8779" t="s">
        <v>614</v>
      </c>
      <c r="S8779">
        <v>152.99903900000001</v>
      </c>
      <c r="T8779" s="1095">
        <v>-27.464676000000001</v>
      </c>
    </row>
    <row r="8780" spans="16:20">
      <c r="P8780" s="1094">
        <v>4064</v>
      </c>
      <c r="Q8780" t="s">
        <v>9447</v>
      </c>
      <c r="R8780" t="s">
        <v>614</v>
      </c>
      <c r="S8780">
        <v>152.99903900000001</v>
      </c>
      <c r="T8780" s="1095">
        <v>-27.464676000000001</v>
      </c>
    </row>
    <row r="8781" spans="16:20">
      <c r="P8781" s="1094">
        <v>4064</v>
      </c>
      <c r="Q8781" t="s">
        <v>1752</v>
      </c>
      <c r="R8781" t="s">
        <v>614</v>
      </c>
      <c r="S8781">
        <v>152.99903900000001</v>
      </c>
      <c r="T8781" s="1095">
        <v>-27.464676000000001</v>
      </c>
    </row>
    <row r="8782" spans="16:20">
      <c r="P8782" s="1094">
        <v>4064</v>
      </c>
      <c r="Q8782" t="s">
        <v>9448</v>
      </c>
      <c r="R8782" t="s">
        <v>614</v>
      </c>
      <c r="S8782">
        <v>152.99903900000001</v>
      </c>
      <c r="T8782" s="1095">
        <v>-27.464676000000001</v>
      </c>
    </row>
    <row r="8783" spans="16:20">
      <c r="P8783" s="1094">
        <v>4065</v>
      </c>
      <c r="Q8783" t="s">
        <v>9449</v>
      </c>
      <c r="R8783" t="s">
        <v>614</v>
      </c>
      <c r="S8783">
        <v>152.97599199999999</v>
      </c>
      <c r="T8783" s="1095">
        <v>-27.462503999999999</v>
      </c>
    </row>
    <row r="8784" spans="16:20">
      <c r="P8784" s="1094">
        <v>4065</v>
      </c>
      <c r="Q8784" t="s">
        <v>9450</v>
      </c>
      <c r="R8784" t="s">
        <v>614</v>
      </c>
      <c r="S8784">
        <v>152.97599199999999</v>
      </c>
      <c r="T8784" s="1095">
        <v>-27.462503999999999</v>
      </c>
    </row>
    <row r="8785" spans="16:20">
      <c r="P8785" s="1094">
        <v>4065</v>
      </c>
      <c r="Q8785" t="s">
        <v>9451</v>
      </c>
      <c r="R8785" t="s">
        <v>614</v>
      </c>
      <c r="S8785">
        <v>152.97599199999999</v>
      </c>
      <c r="T8785" s="1095">
        <v>-27.462503999999999</v>
      </c>
    </row>
    <row r="8786" spans="16:20">
      <c r="P8786" s="1094">
        <v>4065</v>
      </c>
      <c r="Q8786" t="s">
        <v>9452</v>
      </c>
      <c r="R8786" t="s">
        <v>614</v>
      </c>
      <c r="S8786">
        <v>152.97599199999999</v>
      </c>
      <c r="T8786" s="1095">
        <v>-27.462503999999999</v>
      </c>
    </row>
    <row r="8787" spans="16:20">
      <c r="P8787" s="1094">
        <v>4066</v>
      </c>
      <c r="Q8787" t="s">
        <v>9453</v>
      </c>
      <c r="R8787" t="s">
        <v>614</v>
      </c>
      <c r="S8787">
        <v>152.964146</v>
      </c>
      <c r="T8787" s="1095">
        <v>-27.479866000000001</v>
      </c>
    </row>
    <row r="8788" spans="16:20">
      <c r="P8788" s="1094">
        <v>4066</v>
      </c>
      <c r="Q8788" t="s">
        <v>9454</v>
      </c>
      <c r="R8788" t="s">
        <v>614</v>
      </c>
      <c r="S8788">
        <v>152.964146</v>
      </c>
      <c r="T8788" s="1095">
        <v>-27.479866000000001</v>
      </c>
    </row>
    <row r="8789" spans="16:20">
      <c r="P8789" s="1094">
        <v>4066</v>
      </c>
      <c r="Q8789" t="s">
        <v>9455</v>
      </c>
      <c r="R8789" t="s">
        <v>614</v>
      </c>
      <c r="S8789">
        <v>152.964146</v>
      </c>
      <c r="T8789" s="1095">
        <v>-27.479866000000001</v>
      </c>
    </row>
    <row r="8790" spans="16:20">
      <c r="P8790" s="1094">
        <v>4066</v>
      </c>
      <c r="Q8790" t="s">
        <v>9456</v>
      </c>
      <c r="R8790" t="s">
        <v>614</v>
      </c>
      <c r="S8790">
        <v>152.964146</v>
      </c>
      <c r="T8790" s="1095">
        <v>-27.479866000000001</v>
      </c>
    </row>
    <row r="8791" spans="16:20">
      <c r="P8791" s="1094">
        <v>4066</v>
      </c>
      <c r="Q8791" t="s">
        <v>9457</v>
      </c>
      <c r="R8791" t="s">
        <v>614</v>
      </c>
      <c r="S8791">
        <v>152.964146</v>
      </c>
      <c r="T8791" s="1095">
        <v>-27.479866000000001</v>
      </c>
    </row>
    <row r="8792" spans="16:20">
      <c r="P8792" s="1094">
        <v>4066</v>
      </c>
      <c r="Q8792" t="s">
        <v>9458</v>
      </c>
      <c r="R8792" t="s">
        <v>614</v>
      </c>
      <c r="S8792">
        <v>152.964146</v>
      </c>
      <c r="T8792" s="1095">
        <v>-27.479866000000001</v>
      </c>
    </row>
    <row r="8793" spans="16:20">
      <c r="P8793" s="1094">
        <v>4066</v>
      </c>
      <c r="Q8793" t="s">
        <v>9459</v>
      </c>
      <c r="R8793" t="s">
        <v>614</v>
      </c>
      <c r="S8793">
        <v>152.964146</v>
      </c>
      <c r="T8793" s="1095">
        <v>-27.479866000000001</v>
      </c>
    </row>
    <row r="8794" spans="16:20">
      <c r="P8794" s="1094">
        <v>4067</v>
      </c>
      <c r="Q8794" t="s">
        <v>9460</v>
      </c>
      <c r="R8794" t="s">
        <v>614</v>
      </c>
      <c r="S8794">
        <v>153.005045</v>
      </c>
      <c r="T8794" s="1095">
        <v>-27.500518</v>
      </c>
    </row>
    <row r="8795" spans="16:20">
      <c r="P8795" s="1094">
        <v>4067</v>
      </c>
      <c r="Q8795" t="s">
        <v>9461</v>
      </c>
      <c r="R8795" t="s">
        <v>614</v>
      </c>
      <c r="S8795">
        <v>153.005045</v>
      </c>
      <c r="T8795" s="1095">
        <v>-27.500518</v>
      </c>
    </row>
    <row r="8796" spans="16:20">
      <c r="P8796" s="1094">
        <v>4067</v>
      </c>
      <c r="Q8796" t="s">
        <v>9462</v>
      </c>
      <c r="R8796" t="s">
        <v>614</v>
      </c>
      <c r="S8796">
        <v>153.005045</v>
      </c>
      <c r="T8796" s="1095">
        <v>-27.500518</v>
      </c>
    </row>
    <row r="8797" spans="16:20">
      <c r="P8797" s="1094">
        <v>4068</v>
      </c>
      <c r="Q8797" t="s">
        <v>9463</v>
      </c>
      <c r="R8797" t="s">
        <v>614</v>
      </c>
      <c r="S8797">
        <v>152.97692599999999</v>
      </c>
      <c r="T8797" s="1095">
        <v>-27.506907000000002</v>
      </c>
    </row>
    <row r="8798" spans="16:20">
      <c r="P8798" s="1094">
        <v>4068</v>
      </c>
      <c r="Q8798" t="s">
        <v>9464</v>
      </c>
      <c r="R8798" t="s">
        <v>614</v>
      </c>
      <c r="S8798">
        <v>152.97692599999999</v>
      </c>
      <c r="T8798" s="1095">
        <v>-27.506907000000002</v>
      </c>
    </row>
    <row r="8799" spans="16:20">
      <c r="P8799" s="1094">
        <v>4068</v>
      </c>
      <c r="Q8799" t="s">
        <v>9465</v>
      </c>
      <c r="R8799" t="s">
        <v>614</v>
      </c>
      <c r="S8799">
        <v>152.97692599999999</v>
      </c>
      <c r="T8799" s="1095">
        <v>-27.506907000000002</v>
      </c>
    </row>
    <row r="8800" spans="16:20">
      <c r="P8800" s="1094">
        <v>4068</v>
      </c>
      <c r="Q8800" t="s">
        <v>9466</v>
      </c>
      <c r="R8800" t="s">
        <v>614</v>
      </c>
      <c r="S8800">
        <v>152.97692599999999</v>
      </c>
      <c r="T8800" s="1095">
        <v>-27.506907000000002</v>
      </c>
    </row>
    <row r="8801" spans="16:20">
      <c r="P8801" s="1094">
        <v>4068</v>
      </c>
      <c r="Q8801" t="s">
        <v>9467</v>
      </c>
      <c r="R8801" t="s">
        <v>614</v>
      </c>
      <c r="S8801">
        <v>152.97692599999999</v>
      </c>
      <c r="T8801" s="1095">
        <v>-27.506907000000002</v>
      </c>
    </row>
    <row r="8802" spans="16:20">
      <c r="P8802" s="1094">
        <v>4069</v>
      </c>
      <c r="Q8802" t="s">
        <v>3232</v>
      </c>
      <c r="R8802" t="s">
        <v>614</v>
      </c>
      <c r="S8802">
        <v>152.898911</v>
      </c>
      <c r="T8802" s="1095">
        <v>-27.502783999999998</v>
      </c>
    </row>
    <row r="8803" spans="16:20">
      <c r="P8803" s="1094">
        <v>4069</v>
      </c>
      <c r="Q8803" t="s">
        <v>9468</v>
      </c>
      <c r="R8803" t="s">
        <v>614</v>
      </c>
      <c r="S8803">
        <v>152.898911</v>
      </c>
      <c r="T8803" s="1095">
        <v>-27.502783999999998</v>
      </c>
    </row>
    <row r="8804" spans="16:20">
      <c r="P8804" s="1094">
        <v>4069</v>
      </c>
      <c r="Q8804" t="s">
        <v>9469</v>
      </c>
      <c r="R8804" t="s">
        <v>614</v>
      </c>
      <c r="S8804">
        <v>152.898911</v>
      </c>
      <c r="T8804" s="1095">
        <v>-27.502783999999998</v>
      </c>
    </row>
    <row r="8805" spans="16:20">
      <c r="P8805" s="1094">
        <v>4069</v>
      </c>
      <c r="Q8805" t="s">
        <v>9470</v>
      </c>
      <c r="R8805" t="s">
        <v>614</v>
      </c>
      <c r="S8805">
        <v>152.898911</v>
      </c>
      <c r="T8805" s="1095">
        <v>-27.502783999999998</v>
      </c>
    </row>
    <row r="8806" spans="16:20">
      <c r="P8806" s="1094">
        <v>4069</v>
      </c>
      <c r="Q8806" t="s">
        <v>9471</v>
      </c>
      <c r="R8806" t="s">
        <v>614</v>
      </c>
      <c r="S8806">
        <v>152.898911</v>
      </c>
      <c r="T8806" s="1095">
        <v>-27.502783999999998</v>
      </c>
    </row>
    <row r="8807" spans="16:20">
      <c r="P8807" s="1094">
        <v>4069</v>
      </c>
      <c r="Q8807" t="s">
        <v>9472</v>
      </c>
      <c r="R8807" t="s">
        <v>614</v>
      </c>
      <c r="S8807">
        <v>152.898911</v>
      </c>
      <c r="T8807" s="1095">
        <v>-27.502783999999998</v>
      </c>
    </row>
    <row r="8808" spans="16:20">
      <c r="P8808" s="1094">
        <v>4069</v>
      </c>
      <c r="Q8808" t="s">
        <v>9473</v>
      </c>
      <c r="R8808" t="s">
        <v>614</v>
      </c>
      <c r="S8808">
        <v>152.898911</v>
      </c>
      <c r="T8808" s="1095">
        <v>-27.502783999999998</v>
      </c>
    </row>
    <row r="8809" spans="16:20">
      <c r="P8809" s="1094">
        <v>4069</v>
      </c>
      <c r="Q8809" t="s">
        <v>8480</v>
      </c>
      <c r="R8809" t="s">
        <v>614</v>
      </c>
      <c r="S8809">
        <v>152.898911</v>
      </c>
      <c r="T8809" s="1095">
        <v>-27.502783999999998</v>
      </c>
    </row>
    <row r="8810" spans="16:20">
      <c r="P8810" s="1094">
        <v>4069</v>
      </c>
      <c r="Q8810" t="s">
        <v>9474</v>
      </c>
      <c r="R8810" t="s">
        <v>614</v>
      </c>
      <c r="S8810">
        <v>152.898911</v>
      </c>
      <c r="T8810" s="1095">
        <v>-27.502783999999998</v>
      </c>
    </row>
    <row r="8811" spans="16:20">
      <c r="P8811" s="1094">
        <v>4069</v>
      </c>
      <c r="Q8811" t="s">
        <v>9475</v>
      </c>
      <c r="R8811" t="s">
        <v>614</v>
      </c>
      <c r="S8811">
        <v>152.898911</v>
      </c>
      <c r="T8811" s="1095">
        <v>-27.502783999999998</v>
      </c>
    </row>
    <row r="8812" spans="16:20">
      <c r="P8812" s="1094">
        <v>4069</v>
      </c>
      <c r="Q8812" t="s">
        <v>9476</v>
      </c>
      <c r="R8812" t="s">
        <v>614</v>
      </c>
      <c r="S8812">
        <v>152.898911</v>
      </c>
      <c r="T8812" s="1095">
        <v>-27.502783999999998</v>
      </c>
    </row>
    <row r="8813" spans="16:20">
      <c r="P8813" s="1094">
        <v>4070</v>
      </c>
      <c r="Q8813" t="s">
        <v>9477</v>
      </c>
      <c r="R8813" t="s">
        <v>614</v>
      </c>
      <c r="S8813">
        <v>152.87114099999999</v>
      </c>
      <c r="T8813" s="1095">
        <v>-27.559944000000002</v>
      </c>
    </row>
    <row r="8814" spans="16:20">
      <c r="P8814" s="1094">
        <v>4070</v>
      </c>
      <c r="Q8814" t="s">
        <v>9478</v>
      </c>
      <c r="R8814" t="s">
        <v>614</v>
      </c>
      <c r="S8814">
        <v>152.87114099999999</v>
      </c>
      <c r="T8814" s="1095">
        <v>-27.559944000000002</v>
      </c>
    </row>
    <row r="8815" spans="16:20">
      <c r="P8815" s="1094">
        <v>4070</v>
      </c>
      <c r="Q8815" t="s">
        <v>9479</v>
      </c>
      <c r="R8815" t="s">
        <v>614</v>
      </c>
      <c r="S8815">
        <v>152.87114099999999</v>
      </c>
      <c r="T8815" s="1095">
        <v>-27.559944000000002</v>
      </c>
    </row>
    <row r="8816" spans="16:20">
      <c r="P8816" s="1094">
        <v>4070</v>
      </c>
      <c r="Q8816" t="s">
        <v>9480</v>
      </c>
      <c r="R8816" t="s">
        <v>614</v>
      </c>
      <c r="S8816">
        <v>152.87114099999999</v>
      </c>
      <c r="T8816" s="1095">
        <v>-27.559944000000002</v>
      </c>
    </row>
    <row r="8817" spans="16:20">
      <c r="P8817" s="1094">
        <v>4072</v>
      </c>
      <c r="Q8817" t="s">
        <v>9481</v>
      </c>
      <c r="R8817" t="s">
        <v>614</v>
      </c>
      <c r="S8817">
        <v>0</v>
      </c>
      <c r="T8817" s="1095">
        <v>0</v>
      </c>
    </row>
    <row r="8818" spans="16:20">
      <c r="P8818" s="1094">
        <v>4073</v>
      </c>
      <c r="Q8818" t="s">
        <v>9482</v>
      </c>
      <c r="R8818" t="s">
        <v>614</v>
      </c>
      <c r="S8818">
        <v>152.95138499999999</v>
      </c>
      <c r="T8818" s="1095">
        <v>-27.549178999999999</v>
      </c>
    </row>
    <row r="8819" spans="16:20">
      <c r="P8819" s="1094">
        <v>4073</v>
      </c>
      <c r="Q8819" t="s">
        <v>9483</v>
      </c>
      <c r="R8819" t="s">
        <v>614</v>
      </c>
      <c r="S8819">
        <v>152.95138499999999</v>
      </c>
      <c r="T8819" s="1095">
        <v>-27.549178999999999</v>
      </c>
    </row>
    <row r="8820" spans="16:20">
      <c r="P8820" s="1094">
        <v>4074</v>
      </c>
      <c r="Q8820" t="s">
        <v>9484</v>
      </c>
      <c r="R8820" t="s">
        <v>614</v>
      </c>
      <c r="S8820">
        <v>152.92152100000001</v>
      </c>
      <c r="T8820" s="1095">
        <v>-27.554082000000001</v>
      </c>
    </row>
    <row r="8821" spans="16:20">
      <c r="P8821" s="1094">
        <v>4074</v>
      </c>
      <c r="Q8821" t="s">
        <v>9485</v>
      </c>
      <c r="R8821" t="s">
        <v>614</v>
      </c>
      <c r="S8821">
        <v>152.92152100000001</v>
      </c>
      <c r="T8821" s="1095">
        <v>-27.554082000000001</v>
      </c>
    </row>
    <row r="8822" spans="16:20">
      <c r="P8822" s="1094">
        <v>4074</v>
      </c>
      <c r="Q8822" t="s">
        <v>6789</v>
      </c>
      <c r="R8822" t="s">
        <v>614</v>
      </c>
      <c r="S8822">
        <v>152.92152100000001</v>
      </c>
      <c r="T8822" s="1095">
        <v>-27.554082000000001</v>
      </c>
    </row>
    <row r="8823" spans="16:20">
      <c r="P8823" s="1094">
        <v>4074</v>
      </c>
      <c r="Q8823" t="s">
        <v>9486</v>
      </c>
      <c r="R8823" t="s">
        <v>614</v>
      </c>
      <c r="S8823">
        <v>152.92152100000001</v>
      </c>
      <c r="T8823" s="1095">
        <v>-27.554082000000001</v>
      </c>
    </row>
    <row r="8824" spans="16:20">
      <c r="P8824" s="1094">
        <v>4074</v>
      </c>
      <c r="Q8824" t="s">
        <v>9487</v>
      </c>
      <c r="R8824" t="s">
        <v>614</v>
      </c>
      <c r="S8824">
        <v>152.92152100000001</v>
      </c>
      <c r="T8824" s="1095">
        <v>-27.554082000000001</v>
      </c>
    </row>
    <row r="8825" spans="16:20">
      <c r="P8825" s="1094">
        <v>4074</v>
      </c>
      <c r="Q8825" t="s">
        <v>9488</v>
      </c>
      <c r="R8825" t="s">
        <v>614</v>
      </c>
      <c r="S8825">
        <v>152.92152100000001</v>
      </c>
      <c r="T8825" s="1095">
        <v>-27.554082000000001</v>
      </c>
    </row>
    <row r="8826" spans="16:20">
      <c r="P8826" s="1094">
        <v>4074</v>
      </c>
      <c r="Q8826" t="s">
        <v>9489</v>
      </c>
      <c r="R8826" t="s">
        <v>614</v>
      </c>
      <c r="S8826">
        <v>152.92152100000001</v>
      </c>
      <c r="T8826" s="1095">
        <v>-27.554082000000001</v>
      </c>
    </row>
    <row r="8827" spans="16:20">
      <c r="P8827" s="1094">
        <v>4074</v>
      </c>
      <c r="Q8827" t="s">
        <v>9490</v>
      </c>
      <c r="R8827" t="s">
        <v>614</v>
      </c>
      <c r="S8827">
        <v>152.92152100000001</v>
      </c>
      <c r="T8827" s="1095">
        <v>-27.554082000000001</v>
      </c>
    </row>
    <row r="8828" spans="16:20">
      <c r="P8828" s="1094">
        <v>4075</v>
      </c>
      <c r="Q8828" t="s">
        <v>9491</v>
      </c>
      <c r="R8828" t="s">
        <v>614</v>
      </c>
      <c r="S8828">
        <v>152.97561899999999</v>
      </c>
      <c r="T8828" s="1095">
        <v>-27.552135</v>
      </c>
    </row>
    <row r="8829" spans="16:20">
      <c r="P8829" s="1094">
        <v>4075</v>
      </c>
      <c r="Q8829" t="s">
        <v>9492</v>
      </c>
      <c r="R8829" t="s">
        <v>614</v>
      </c>
      <c r="S8829">
        <v>152.97561899999999</v>
      </c>
      <c r="T8829" s="1095">
        <v>-27.552135</v>
      </c>
    </row>
    <row r="8830" spans="16:20">
      <c r="P8830" s="1094">
        <v>4075</v>
      </c>
      <c r="Q8830" t="s">
        <v>9493</v>
      </c>
      <c r="R8830" t="s">
        <v>614</v>
      </c>
      <c r="S8830">
        <v>152.97561899999999</v>
      </c>
      <c r="T8830" s="1095">
        <v>-27.552135</v>
      </c>
    </row>
    <row r="8831" spans="16:20">
      <c r="P8831" s="1094">
        <v>4075</v>
      </c>
      <c r="Q8831" t="s">
        <v>5417</v>
      </c>
      <c r="R8831" t="s">
        <v>614</v>
      </c>
      <c r="S8831">
        <v>152.97561899999999</v>
      </c>
      <c r="T8831" s="1095">
        <v>-27.552135</v>
      </c>
    </row>
    <row r="8832" spans="16:20">
      <c r="P8832" s="1094">
        <v>4075</v>
      </c>
      <c r="Q8832" t="s">
        <v>3475</v>
      </c>
      <c r="R8832" t="s">
        <v>614</v>
      </c>
      <c r="S8832">
        <v>152.97561899999999</v>
      </c>
      <c r="T8832" s="1095">
        <v>-27.552135</v>
      </c>
    </row>
    <row r="8833" spans="16:20">
      <c r="P8833" s="1094">
        <v>4076</v>
      </c>
      <c r="Q8833" t="s">
        <v>9494</v>
      </c>
      <c r="R8833" t="s">
        <v>614</v>
      </c>
      <c r="S8833">
        <v>152.92106699999999</v>
      </c>
      <c r="T8833" s="1095">
        <v>-27.584561000000001</v>
      </c>
    </row>
    <row r="8834" spans="16:20">
      <c r="P8834" s="1094">
        <v>4076</v>
      </c>
      <c r="Q8834" t="s">
        <v>9495</v>
      </c>
      <c r="R8834" t="s">
        <v>614</v>
      </c>
      <c r="S8834">
        <v>152.92106699999999</v>
      </c>
      <c r="T8834" s="1095">
        <v>-27.584561000000001</v>
      </c>
    </row>
    <row r="8835" spans="16:20">
      <c r="P8835" s="1094">
        <v>4076</v>
      </c>
      <c r="Q8835" t="s">
        <v>9496</v>
      </c>
      <c r="R8835" t="s">
        <v>614</v>
      </c>
      <c r="S8835">
        <v>152.92106699999999</v>
      </c>
      <c r="T8835" s="1095">
        <v>-27.584561000000001</v>
      </c>
    </row>
    <row r="8836" spans="16:20">
      <c r="P8836" s="1094">
        <v>4077</v>
      </c>
      <c r="Q8836" t="s">
        <v>9497</v>
      </c>
      <c r="R8836" t="s">
        <v>614</v>
      </c>
      <c r="S8836">
        <v>152.96782200000001</v>
      </c>
      <c r="T8836" s="1095">
        <v>-27.605550999999998</v>
      </c>
    </row>
    <row r="8837" spans="16:20">
      <c r="P8837" s="1094">
        <v>4077</v>
      </c>
      <c r="Q8837" t="s">
        <v>1517</v>
      </c>
      <c r="R8837" t="s">
        <v>614</v>
      </c>
      <c r="S8837">
        <v>152.96782200000001</v>
      </c>
      <c r="T8837" s="1095">
        <v>-27.605550999999998</v>
      </c>
    </row>
    <row r="8838" spans="16:20">
      <c r="P8838" s="1094">
        <v>4077</v>
      </c>
      <c r="Q8838" t="s">
        <v>9498</v>
      </c>
      <c r="R8838" t="s">
        <v>614</v>
      </c>
      <c r="S8838">
        <v>152.96782200000001</v>
      </c>
      <c r="T8838" s="1095">
        <v>-27.605550999999998</v>
      </c>
    </row>
    <row r="8839" spans="16:20">
      <c r="P8839" s="1094">
        <v>4077</v>
      </c>
      <c r="Q8839" t="s">
        <v>9499</v>
      </c>
      <c r="R8839" t="s">
        <v>614</v>
      </c>
      <c r="S8839">
        <v>152.96782200000001</v>
      </c>
      <c r="T8839" s="1095">
        <v>-27.605550999999998</v>
      </c>
    </row>
    <row r="8840" spans="16:20">
      <c r="P8840" s="1094">
        <v>4077</v>
      </c>
      <c r="Q8840" t="s">
        <v>9500</v>
      </c>
      <c r="R8840" t="s">
        <v>614</v>
      </c>
      <c r="S8840">
        <v>152.96782200000001</v>
      </c>
      <c r="T8840" s="1095">
        <v>-27.605550999999998</v>
      </c>
    </row>
    <row r="8841" spans="16:20">
      <c r="P8841" s="1094">
        <v>4077</v>
      </c>
      <c r="Q8841" t="s">
        <v>9501</v>
      </c>
      <c r="R8841" t="s">
        <v>614</v>
      </c>
      <c r="S8841">
        <v>152.96782200000001</v>
      </c>
      <c r="T8841" s="1095">
        <v>-27.605550999999998</v>
      </c>
    </row>
    <row r="8842" spans="16:20">
      <c r="P8842" s="1094">
        <v>4077</v>
      </c>
      <c r="Q8842" t="s">
        <v>9502</v>
      </c>
      <c r="R8842" t="s">
        <v>614</v>
      </c>
      <c r="S8842">
        <v>152.96782200000001</v>
      </c>
      <c r="T8842" s="1095">
        <v>-27.605550999999998</v>
      </c>
    </row>
    <row r="8843" spans="16:20">
      <c r="P8843" s="1094">
        <v>4077</v>
      </c>
      <c r="Q8843" t="s">
        <v>9503</v>
      </c>
      <c r="R8843" t="s">
        <v>614</v>
      </c>
      <c r="S8843">
        <v>152.96782200000001</v>
      </c>
      <c r="T8843" s="1095">
        <v>-27.605550999999998</v>
      </c>
    </row>
    <row r="8844" spans="16:20">
      <c r="P8844" s="1094">
        <v>4077</v>
      </c>
      <c r="Q8844" t="s">
        <v>9504</v>
      </c>
      <c r="R8844" t="s">
        <v>614</v>
      </c>
      <c r="S8844">
        <v>152.96782200000001</v>
      </c>
      <c r="T8844" s="1095">
        <v>-27.605550999999998</v>
      </c>
    </row>
    <row r="8845" spans="16:20">
      <c r="P8845" s="1094">
        <v>4077</v>
      </c>
      <c r="Q8845" t="s">
        <v>7565</v>
      </c>
      <c r="R8845" t="s">
        <v>614</v>
      </c>
      <c r="S8845">
        <v>152.96782200000001</v>
      </c>
      <c r="T8845" s="1095">
        <v>-27.605550999999998</v>
      </c>
    </row>
    <row r="8846" spans="16:20">
      <c r="P8846" s="1094">
        <v>4078</v>
      </c>
      <c r="Q8846" t="s">
        <v>9505</v>
      </c>
      <c r="R8846" t="s">
        <v>614</v>
      </c>
      <c r="S8846">
        <v>0</v>
      </c>
      <c r="T8846" s="1095">
        <v>0</v>
      </c>
    </row>
    <row r="8847" spans="16:20">
      <c r="P8847" s="1094">
        <v>4078</v>
      </c>
      <c r="Q8847" t="s">
        <v>9506</v>
      </c>
      <c r="R8847" t="s">
        <v>614</v>
      </c>
      <c r="S8847">
        <v>0</v>
      </c>
      <c r="T8847" s="1095">
        <v>0</v>
      </c>
    </row>
    <row r="8848" spans="16:20">
      <c r="P8848" s="1094">
        <v>4101</v>
      </c>
      <c r="Q8848" t="s">
        <v>9507</v>
      </c>
      <c r="R8848" t="s">
        <v>614</v>
      </c>
      <c r="S8848">
        <v>153.00966099999999</v>
      </c>
      <c r="T8848" s="1095">
        <v>-27.484254</v>
      </c>
    </row>
    <row r="8849" spans="16:20">
      <c r="P8849" s="1094">
        <v>4101</v>
      </c>
      <c r="Q8849" t="s">
        <v>9508</v>
      </c>
      <c r="R8849" t="s">
        <v>614</v>
      </c>
      <c r="S8849">
        <v>153.00966099999999</v>
      </c>
      <c r="T8849" s="1095">
        <v>-27.484254</v>
      </c>
    </row>
    <row r="8850" spans="16:20">
      <c r="P8850" s="1094">
        <v>4101</v>
      </c>
      <c r="Q8850" t="s">
        <v>9509</v>
      </c>
      <c r="R8850" t="s">
        <v>614</v>
      </c>
      <c r="S8850">
        <v>153.00966099999999</v>
      </c>
      <c r="T8850" s="1095">
        <v>-27.484254</v>
      </c>
    </row>
    <row r="8851" spans="16:20">
      <c r="P8851" s="1094">
        <v>4101</v>
      </c>
      <c r="Q8851" t="s">
        <v>9510</v>
      </c>
      <c r="R8851" t="s">
        <v>614</v>
      </c>
      <c r="S8851">
        <v>153.00966099999999</v>
      </c>
      <c r="T8851" s="1095">
        <v>-27.484254</v>
      </c>
    </row>
    <row r="8852" spans="16:20">
      <c r="P8852" s="1094">
        <v>4101</v>
      </c>
      <c r="Q8852" t="s">
        <v>9511</v>
      </c>
      <c r="R8852" t="s">
        <v>614</v>
      </c>
      <c r="S8852">
        <v>153.00966099999999</v>
      </c>
      <c r="T8852" s="1095">
        <v>-27.484254</v>
      </c>
    </row>
    <row r="8853" spans="16:20">
      <c r="P8853" s="1094">
        <v>4101</v>
      </c>
      <c r="Q8853" t="s">
        <v>9512</v>
      </c>
      <c r="R8853" t="s">
        <v>614</v>
      </c>
      <c r="S8853">
        <v>153.00966099999999</v>
      </c>
      <c r="T8853" s="1095">
        <v>-27.484254</v>
      </c>
    </row>
    <row r="8854" spans="16:20">
      <c r="P8854" s="1094">
        <v>4101</v>
      </c>
      <c r="Q8854" t="s">
        <v>9513</v>
      </c>
      <c r="R8854" t="s">
        <v>614</v>
      </c>
      <c r="S8854">
        <v>153.00966099999999</v>
      </c>
      <c r="T8854" s="1095">
        <v>-27.484254</v>
      </c>
    </row>
    <row r="8855" spans="16:20">
      <c r="P8855" s="1094">
        <v>4102</v>
      </c>
      <c r="Q8855" t="s">
        <v>9514</v>
      </c>
      <c r="R8855" t="s">
        <v>614</v>
      </c>
      <c r="S8855">
        <v>153.03280000000001</v>
      </c>
      <c r="T8855" s="1095">
        <v>-27.495457999999999</v>
      </c>
    </row>
    <row r="8856" spans="16:20">
      <c r="P8856" s="1094">
        <v>4102</v>
      </c>
      <c r="Q8856" t="s">
        <v>9515</v>
      </c>
      <c r="R8856" t="s">
        <v>614</v>
      </c>
      <c r="S8856">
        <v>153.03280000000001</v>
      </c>
      <c r="T8856" s="1095">
        <v>-27.495457999999999</v>
      </c>
    </row>
    <row r="8857" spans="16:20">
      <c r="P8857" s="1094">
        <v>4102</v>
      </c>
      <c r="Q8857" t="s">
        <v>9516</v>
      </c>
      <c r="R8857" t="s">
        <v>614</v>
      </c>
      <c r="S8857">
        <v>153.03280000000001</v>
      </c>
      <c r="T8857" s="1095">
        <v>-27.495457999999999</v>
      </c>
    </row>
    <row r="8858" spans="16:20">
      <c r="P8858" s="1094">
        <v>4102</v>
      </c>
      <c r="Q8858" t="s">
        <v>9517</v>
      </c>
      <c r="R8858" t="s">
        <v>614</v>
      </c>
      <c r="S8858">
        <v>153.03280000000001</v>
      </c>
      <c r="T8858" s="1095">
        <v>-27.495457999999999</v>
      </c>
    </row>
    <row r="8859" spans="16:20">
      <c r="P8859" s="1094">
        <v>4103</v>
      </c>
      <c r="Q8859" t="s">
        <v>9518</v>
      </c>
      <c r="R8859" t="s">
        <v>614</v>
      </c>
      <c r="S8859">
        <v>153.02876800000001</v>
      </c>
      <c r="T8859" s="1095">
        <v>-27.512174999999999</v>
      </c>
    </row>
    <row r="8860" spans="16:20">
      <c r="P8860" s="1094">
        <v>4103</v>
      </c>
      <c r="Q8860" t="s">
        <v>9519</v>
      </c>
      <c r="R8860" t="s">
        <v>614</v>
      </c>
      <c r="S8860">
        <v>153.02876800000001</v>
      </c>
      <c r="T8860" s="1095">
        <v>-27.512174999999999</v>
      </c>
    </row>
    <row r="8861" spans="16:20">
      <c r="P8861" s="1094">
        <v>4103</v>
      </c>
      <c r="Q8861" t="s">
        <v>1716</v>
      </c>
      <c r="R8861" t="s">
        <v>614</v>
      </c>
      <c r="S8861">
        <v>153.02876800000001</v>
      </c>
      <c r="T8861" s="1095">
        <v>-27.512174999999999</v>
      </c>
    </row>
    <row r="8862" spans="16:20">
      <c r="P8862" s="1094">
        <v>4103</v>
      </c>
      <c r="Q8862" t="s">
        <v>9520</v>
      </c>
      <c r="R8862" t="s">
        <v>614</v>
      </c>
      <c r="S8862">
        <v>153.02876800000001</v>
      </c>
      <c r="T8862" s="1095">
        <v>-27.512174999999999</v>
      </c>
    </row>
    <row r="8863" spans="16:20">
      <c r="P8863" s="1094">
        <v>4103</v>
      </c>
      <c r="Q8863" t="s">
        <v>9521</v>
      </c>
      <c r="R8863" t="s">
        <v>614</v>
      </c>
      <c r="S8863">
        <v>153.02876800000001</v>
      </c>
      <c r="T8863" s="1095">
        <v>-27.512174999999999</v>
      </c>
    </row>
    <row r="8864" spans="16:20">
      <c r="P8864" s="1094">
        <v>4104</v>
      </c>
      <c r="Q8864" t="s">
        <v>9522</v>
      </c>
      <c r="R8864" t="s">
        <v>614</v>
      </c>
      <c r="S8864">
        <v>153.01153500000001</v>
      </c>
      <c r="T8864" s="1095">
        <v>-27.515758000000002</v>
      </c>
    </row>
    <row r="8865" spans="16:20">
      <c r="P8865" s="1094">
        <v>4104</v>
      </c>
      <c r="Q8865" t="s">
        <v>9523</v>
      </c>
      <c r="R8865" t="s">
        <v>614</v>
      </c>
      <c r="S8865">
        <v>153.01153500000001</v>
      </c>
      <c r="T8865" s="1095">
        <v>-27.515758000000002</v>
      </c>
    </row>
    <row r="8866" spans="16:20">
      <c r="P8866" s="1094">
        <v>4105</v>
      </c>
      <c r="Q8866" t="s">
        <v>6493</v>
      </c>
      <c r="R8866" t="s">
        <v>614</v>
      </c>
      <c r="S8866">
        <v>153.01889299999999</v>
      </c>
      <c r="T8866" s="1095">
        <v>-27.534438000000002</v>
      </c>
    </row>
    <row r="8867" spans="16:20">
      <c r="P8867" s="1094">
        <v>4105</v>
      </c>
      <c r="Q8867" t="s">
        <v>9524</v>
      </c>
      <c r="R8867" t="s">
        <v>614</v>
      </c>
      <c r="S8867">
        <v>153.01889299999999</v>
      </c>
      <c r="T8867" s="1095">
        <v>-27.534438000000002</v>
      </c>
    </row>
    <row r="8868" spans="16:20">
      <c r="P8868" s="1094">
        <v>4105</v>
      </c>
      <c r="Q8868" t="s">
        <v>9525</v>
      </c>
      <c r="R8868" t="s">
        <v>614</v>
      </c>
      <c r="S8868">
        <v>153.01889299999999</v>
      </c>
      <c r="T8868" s="1095">
        <v>-27.534438000000002</v>
      </c>
    </row>
    <row r="8869" spans="16:20">
      <c r="P8869" s="1094">
        <v>4105</v>
      </c>
      <c r="Q8869" t="s">
        <v>5576</v>
      </c>
      <c r="R8869" t="s">
        <v>614</v>
      </c>
      <c r="S8869">
        <v>153.01889299999999</v>
      </c>
      <c r="T8869" s="1095">
        <v>-27.534438000000002</v>
      </c>
    </row>
    <row r="8870" spans="16:20">
      <c r="P8870" s="1094">
        <v>4105</v>
      </c>
      <c r="Q8870" t="s">
        <v>9526</v>
      </c>
      <c r="R8870" t="s">
        <v>614</v>
      </c>
      <c r="S8870">
        <v>153.01889299999999</v>
      </c>
      <c r="T8870" s="1095">
        <v>-27.534438000000002</v>
      </c>
    </row>
    <row r="8871" spans="16:20">
      <c r="P8871" s="1094">
        <v>4106</v>
      </c>
      <c r="Q8871" t="s">
        <v>9527</v>
      </c>
      <c r="R8871" t="s">
        <v>614</v>
      </c>
      <c r="S8871">
        <v>153.004615</v>
      </c>
      <c r="T8871" s="1095">
        <v>-27.552136999999998</v>
      </c>
    </row>
    <row r="8872" spans="16:20">
      <c r="P8872" s="1094">
        <v>4106</v>
      </c>
      <c r="Q8872" t="s">
        <v>9528</v>
      </c>
      <c r="R8872" t="s">
        <v>614</v>
      </c>
      <c r="S8872">
        <v>153.004615</v>
      </c>
      <c r="T8872" s="1095">
        <v>-27.552136999999998</v>
      </c>
    </row>
    <row r="8873" spans="16:20">
      <c r="P8873" s="1094">
        <v>4106</v>
      </c>
      <c r="Q8873" t="s">
        <v>9529</v>
      </c>
      <c r="R8873" t="s">
        <v>614</v>
      </c>
      <c r="S8873">
        <v>153.004615</v>
      </c>
      <c r="T8873" s="1095">
        <v>-27.552136999999998</v>
      </c>
    </row>
    <row r="8874" spans="16:20">
      <c r="P8874" s="1094">
        <v>4107</v>
      </c>
      <c r="Q8874" t="s">
        <v>3246</v>
      </c>
      <c r="R8874" t="s">
        <v>614</v>
      </c>
      <c r="S8874">
        <v>153.030643</v>
      </c>
      <c r="T8874" s="1095">
        <v>-27.552052</v>
      </c>
    </row>
    <row r="8875" spans="16:20">
      <c r="P8875" s="1094">
        <v>4107</v>
      </c>
      <c r="Q8875" t="s">
        <v>9530</v>
      </c>
      <c r="R8875" t="s">
        <v>614</v>
      </c>
      <c r="S8875">
        <v>153.030643</v>
      </c>
      <c r="T8875" s="1095">
        <v>-27.552052</v>
      </c>
    </row>
    <row r="8876" spans="16:20">
      <c r="P8876" s="1094">
        <v>4108</v>
      </c>
      <c r="Q8876" t="s">
        <v>9531</v>
      </c>
      <c r="R8876" t="s">
        <v>614</v>
      </c>
      <c r="S8876">
        <v>153.020197</v>
      </c>
      <c r="T8876" s="1095">
        <v>-27.568359000000001</v>
      </c>
    </row>
    <row r="8877" spans="16:20">
      <c r="P8877" s="1094">
        <v>4108</v>
      </c>
      <c r="Q8877" t="s">
        <v>9532</v>
      </c>
      <c r="R8877" t="s">
        <v>614</v>
      </c>
      <c r="S8877">
        <v>153.020197</v>
      </c>
      <c r="T8877" s="1095">
        <v>-27.568359000000001</v>
      </c>
    </row>
    <row r="8878" spans="16:20">
      <c r="P8878" s="1094">
        <v>4109</v>
      </c>
      <c r="Q8878" t="s">
        <v>9533</v>
      </c>
      <c r="R8878" t="s">
        <v>614</v>
      </c>
      <c r="S8878">
        <v>153.05745200000001</v>
      </c>
      <c r="T8878" s="1095">
        <v>-27.579249999999998</v>
      </c>
    </row>
    <row r="8879" spans="16:20">
      <c r="P8879" s="1094">
        <v>4109</v>
      </c>
      <c r="Q8879" t="s">
        <v>2928</v>
      </c>
      <c r="R8879" t="s">
        <v>614</v>
      </c>
      <c r="S8879">
        <v>153.05745200000001</v>
      </c>
      <c r="T8879" s="1095">
        <v>-27.579249999999998</v>
      </c>
    </row>
    <row r="8880" spans="16:20">
      <c r="P8880" s="1094">
        <v>4109</v>
      </c>
      <c r="Q8880" t="s">
        <v>4869</v>
      </c>
      <c r="R8880" t="s">
        <v>614</v>
      </c>
      <c r="S8880">
        <v>153.05745200000001</v>
      </c>
      <c r="T8880" s="1095">
        <v>-27.579249999999998</v>
      </c>
    </row>
    <row r="8881" spans="16:20">
      <c r="P8881" s="1094">
        <v>4109</v>
      </c>
      <c r="Q8881" t="s">
        <v>4630</v>
      </c>
      <c r="R8881" t="s">
        <v>614</v>
      </c>
      <c r="S8881">
        <v>153.05745200000001</v>
      </c>
      <c r="T8881" s="1095">
        <v>-27.579249999999998</v>
      </c>
    </row>
    <row r="8882" spans="16:20">
      <c r="P8882" s="1094">
        <v>4109</v>
      </c>
      <c r="Q8882" t="s">
        <v>9534</v>
      </c>
      <c r="R8882" t="s">
        <v>614</v>
      </c>
      <c r="S8882">
        <v>153.05745200000001</v>
      </c>
      <c r="T8882" s="1095">
        <v>-27.579249999999998</v>
      </c>
    </row>
    <row r="8883" spans="16:20">
      <c r="P8883" s="1094">
        <v>4109</v>
      </c>
      <c r="Q8883" t="s">
        <v>9535</v>
      </c>
      <c r="R8883" t="s">
        <v>614</v>
      </c>
      <c r="S8883">
        <v>153.05745200000001</v>
      </c>
      <c r="T8883" s="1095">
        <v>-27.579249999999998</v>
      </c>
    </row>
    <row r="8884" spans="16:20">
      <c r="P8884" s="1094">
        <v>4109</v>
      </c>
      <c r="Q8884" t="s">
        <v>9536</v>
      </c>
      <c r="R8884" t="s">
        <v>614</v>
      </c>
      <c r="S8884">
        <v>153.05745200000001</v>
      </c>
      <c r="T8884" s="1095">
        <v>-27.579249999999998</v>
      </c>
    </row>
    <row r="8885" spans="16:20">
      <c r="P8885" s="1094">
        <v>4110</v>
      </c>
      <c r="Q8885" t="s">
        <v>9537</v>
      </c>
      <c r="R8885" t="s">
        <v>614</v>
      </c>
      <c r="S8885">
        <v>153.00952599999999</v>
      </c>
      <c r="T8885" s="1095">
        <v>-27.612178</v>
      </c>
    </row>
    <row r="8886" spans="16:20">
      <c r="P8886" s="1094">
        <v>4110</v>
      </c>
      <c r="Q8886" t="s">
        <v>9538</v>
      </c>
      <c r="R8886" t="s">
        <v>614</v>
      </c>
      <c r="S8886">
        <v>153.00952599999999</v>
      </c>
      <c r="T8886" s="1095">
        <v>-27.612178</v>
      </c>
    </row>
    <row r="8887" spans="16:20">
      <c r="P8887" s="1094">
        <v>4110</v>
      </c>
      <c r="Q8887" t="s">
        <v>9539</v>
      </c>
      <c r="R8887" t="s">
        <v>614</v>
      </c>
      <c r="S8887">
        <v>153.00952599999999</v>
      </c>
      <c r="T8887" s="1095">
        <v>-27.612178</v>
      </c>
    </row>
    <row r="8888" spans="16:20">
      <c r="P8888" s="1094">
        <v>4110</v>
      </c>
      <c r="Q8888" t="s">
        <v>9540</v>
      </c>
      <c r="R8888" t="s">
        <v>614</v>
      </c>
      <c r="S8888">
        <v>153.00952599999999</v>
      </c>
      <c r="T8888" s="1095">
        <v>-27.612178</v>
      </c>
    </row>
    <row r="8889" spans="16:20">
      <c r="P8889" s="1094">
        <v>4110</v>
      </c>
      <c r="Q8889" t="s">
        <v>9541</v>
      </c>
      <c r="R8889" t="s">
        <v>614</v>
      </c>
      <c r="S8889">
        <v>153.00952599999999</v>
      </c>
      <c r="T8889" s="1095">
        <v>-27.612178</v>
      </c>
    </row>
    <row r="8890" spans="16:20">
      <c r="P8890" s="1094">
        <v>4110</v>
      </c>
      <c r="Q8890" t="s">
        <v>9542</v>
      </c>
      <c r="R8890" t="s">
        <v>614</v>
      </c>
      <c r="S8890">
        <v>153.00952599999999</v>
      </c>
      <c r="T8890" s="1095">
        <v>-27.612178</v>
      </c>
    </row>
    <row r="8891" spans="16:20">
      <c r="P8891" s="1094">
        <v>4110</v>
      </c>
      <c r="Q8891" t="s">
        <v>9543</v>
      </c>
      <c r="R8891" t="s">
        <v>614</v>
      </c>
      <c r="S8891">
        <v>153.00952599999999</v>
      </c>
      <c r="T8891" s="1095">
        <v>-27.612178</v>
      </c>
    </row>
    <row r="8892" spans="16:20">
      <c r="P8892" s="1094">
        <v>4111</v>
      </c>
      <c r="Q8892" t="s">
        <v>9544</v>
      </c>
      <c r="R8892" t="s">
        <v>614</v>
      </c>
      <c r="S8892">
        <v>153.05222599999999</v>
      </c>
      <c r="T8892" s="1095">
        <v>-27.550643000000001</v>
      </c>
    </row>
    <row r="8893" spans="16:20">
      <c r="P8893" s="1094">
        <v>4111</v>
      </c>
      <c r="Q8893" t="s">
        <v>9545</v>
      </c>
      <c r="R8893" t="s">
        <v>614</v>
      </c>
      <c r="S8893">
        <v>153.05222599999999</v>
      </c>
      <c r="T8893" s="1095">
        <v>-27.550643000000001</v>
      </c>
    </row>
    <row r="8894" spans="16:20">
      <c r="P8894" s="1094">
        <v>4112</v>
      </c>
      <c r="Q8894" t="s">
        <v>9546</v>
      </c>
      <c r="R8894" t="s">
        <v>614</v>
      </c>
      <c r="S8894">
        <v>153.087839</v>
      </c>
      <c r="T8894" s="1095">
        <v>-27.611128999999998</v>
      </c>
    </row>
    <row r="8895" spans="16:20">
      <c r="P8895" s="1094">
        <v>4113</v>
      </c>
      <c r="Q8895" t="s">
        <v>9547</v>
      </c>
      <c r="R8895" t="s">
        <v>614</v>
      </c>
      <c r="S8895">
        <v>153.07792599999999</v>
      </c>
      <c r="T8895" s="1095">
        <v>-27.590722</v>
      </c>
    </row>
    <row r="8896" spans="16:20">
      <c r="P8896" s="1094">
        <v>4113</v>
      </c>
      <c r="Q8896" t="s">
        <v>9548</v>
      </c>
      <c r="R8896" t="s">
        <v>614</v>
      </c>
      <c r="S8896">
        <v>153.07792599999999</v>
      </c>
      <c r="T8896" s="1095">
        <v>-27.590722</v>
      </c>
    </row>
    <row r="8897" spans="16:20">
      <c r="P8897" s="1094">
        <v>4113</v>
      </c>
      <c r="Q8897" t="s">
        <v>9549</v>
      </c>
      <c r="R8897" t="s">
        <v>614</v>
      </c>
      <c r="S8897">
        <v>153.07792599999999</v>
      </c>
      <c r="T8897" s="1095">
        <v>-27.590722</v>
      </c>
    </row>
    <row r="8898" spans="16:20">
      <c r="P8898" s="1094">
        <v>4114</v>
      </c>
      <c r="Q8898" t="s">
        <v>4811</v>
      </c>
      <c r="R8898" t="s">
        <v>614</v>
      </c>
      <c r="S8898">
        <v>153.11076399999999</v>
      </c>
      <c r="T8898" s="1095">
        <v>-27.652812000000001</v>
      </c>
    </row>
    <row r="8899" spans="16:20">
      <c r="P8899" s="1094">
        <v>4114</v>
      </c>
      <c r="Q8899" t="s">
        <v>9550</v>
      </c>
      <c r="R8899" t="s">
        <v>614</v>
      </c>
      <c r="S8899">
        <v>153.11076399999999</v>
      </c>
      <c r="T8899" s="1095">
        <v>-27.652812000000001</v>
      </c>
    </row>
    <row r="8900" spans="16:20">
      <c r="P8900" s="1094">
        <v>4114</v>
      </c>
      <c r="Q8900" t="s">
        <v>9551</v>
      </c>
      <c r="R8900" t="s">
        <v>614</v>
      </c>
      <c r="S8900">
        <v>153.11076399999999</v>
      </c>
      <c r="T8900" s="1095">
        <v>-27.652812000000001</v>
      </c>
    </row>
    <row r="8901" spans="16:20">
      <c r="P8901" s="1094">
        <v>4114</v>
      </c>
      <c r="Q8901" t="s">
        <v>9552</v>
      </c>
      <c r="R8901" t="s">
        <v>614</v>
      </c>
      <c r="S8901">
        <v>153.11076399999999</v>
      </c>
      <c r="T8901" s="1095">
        <v>-27.652812000000001</v>
      </c>
    </row>
    <row r="8902" spans="16:20">
      <c r="P8902" s="1094">
        <v>4114</v>
      </c>
      <c r="Q8902" t="s">
        <v>9553</v>
      </c>
      <c r="R8902" t="s">
        <v>614</v>
      </c>
      <c r="S8902">
        <v>153.11076399999999</v>
      </c>
      <c r="T8902" s="1095">
        <v>-27.652812000000001</v>
      </c>
    </row>
    <row r="8903" spans="16:20">
      <c r="P8903" s="1094">
        <v>4114</v>
      </c>
      <c r="Q8903" t="s">
        <v>9554</v>
      </c>
      <c r="R8903" t="s">
        <v>614</v>
      </c>
      <c r="S8903">
        <v>153.11076399999999</v>
      </c>
      <c r="T8903" s="1095">
        <v>-27.652812000000001</v>
      </c>
    </row>
    <row r="8904" spans="16:20">
      <c r="P8904" s="1094">
        <v>4114</v>
      </c>
      <c r="Q8904" t="s">
        <v>9555</v>
      </c>
      <c r="R8904" t="s">
        <v>614</v>
      </c>
      <c r="S8904">
        <v>153.11076399999999</v>
      </c>
      <c r="T8904" s="1095">
        <v>-27.652812000000001</v>
      </c>
    </row>
    <row r="8905" spans="16:20">
      <c r="P8905" s="1094">
        <v>4115</v>
      </c>
      <c r="Q8905" t="s">
        <v>9556</v>
      </c>
      <c r="R8905" t="s">
        <v>614</v>
      </c>
      <c r="S8905">
        <v>153.02249900000001</v>
      </c>
      <c r="T8905" s="1095">
        <v>-27.643844999999999</v>
      </c>
    </row>
    <row r="8906" spans="16:20">
      <c r="P8906" s="1094">
        <v>4115</v>
      </c>
      <c r="Q8906" t="s">
        <v>9557</v>
      </c>
      <c r="R8906" t="s">
        <v>614</v>
      </c>
      <c r="S8906">
        <v>153.02249900000001</v>
      </c>
      <c r="T8906" s="1095">
        <v>-27.643844999999999</v>
      </c>
    </row>
    <row r="8907" spans="16:20">
      <c r="P8907" s="1094">
        <v>4116</v>
      </c>
      <c r="Q8907" t="s">
        <v>9558</v>
      </c>
      <c r="R8907" t="s">
        <v>614</v>
      </c>
      <c r="S8907">
        <v>153.050793</v>
      </c>
      <c r="T8907" s="1095">
        <v>-27.633987999999999</v>
      </c>
    </row>
    <row r="8908" spans="16:20">
      <c r="P8908" s="1094">
        <v>4116</v>
      </c>
      <c r="Q8908" t="s">
        <v>9559</v>
      </c>
      <c r="R8908" t="s">
        <v>614</v>
      </c>
      <c r="S8908">
        <v>153.050793</v>
      </c>
      <c r="T8908" s="1095">
        <v>-27.633987999999999</v>
      </c>
    </row>
    <row r="8909" spans="16:20">
      <c r="P8909" s="1094">
        <v>4116</v>
      </c>
      <c r="Q8909" t="s">
        <v>9560</v>
      </c>
      <c r="R8909" t="s">
        <v>614</v>
      </c>
      <c r="S8909">
        <v>153.050793</v>
      </c>
      <c r="T8909" s="1095">
        <v>-27.633987999999999</v>
      </c>
    </row>
    <row r="8910" spans="16:20">
      <c r="P8910" s="1094">
        <v>4117</v>
      </c>
      <c r="Q8910" t="s">
        <v>9561</v>
      </c>
      <c r="R8910" t="s">
        <v>614</v>
      </c>
      <c r="S8910">
        <v>153.08304000000001</v>
      </c>
      <c r="T8910" s="1095">
        <v>-27.644687999999999</v>
      </c>
    </row>
    <row r="8911" spans="16:20">
      <c r="P8911" s="1094">
        <v>4117</v>
      </c>
      <c r="Q8911" t="s">
        <v>9562</v>
      </c>
      <c r="R8911" t="s">
        <v>614</v>
      </c>
      <c r="S8911">
        <v>153.08304000000001</v>
      </c>
      <c r="T8911" s="1095">
        <v>-27.644687999999999</v>
      </c>
    </row>
    <row r="8912" spans="16:20">
      <c r="P8912" s="1094">
        <v>4118</v>
      </c>
      <c r="Q8912" t="s">
        <v>8442</v>
      </c>
      <c r="R8912" t="s">
        <v>614</v>
      </c>
      <c r="S8912">
        <v>153.027323</v>
      </c>
      <c r="T8912" s="1095">
        <v>-27.673805999999999</v>
      </c>
    </row>
    <row r="8913" spans="16:20">
      <c r="P8913" s="1094">
        <v>4118</v>
      </c>
      <c r="Q8913" t="s">
        <v>9563</v>
      </c>
      <c r="R8913" t="s">
        <v>614</v>
      </c>
      <c r="S8913">
        <v>153.027323</v>
      </c>
      <c r="T8913" s="1095">
        <v>-27.673805999999999</v>
      </c>
    </row>
    <row r="8914" spans="16:20">
      <c r="P8914" s="1094">
        <v>4118</v>
      </c>
      <c r="Q8914" t="s">
        <v>9564</v>
      </c>
      <c r="R8914" t="s">
        <v>614</v>
      </c>
      <c r="S8914">
        <v>153.027323</v>
      </c>
      <c r="T8914" s="1095">
        <v>-27.673805999999999</v>
      </c>
    </row>
    <row r="8915" spans="16:20">
      <c r="P8915" s="1094">
        <v>4118</v>
      </c>
      <c r="Q8915" t="s">
        <v>9565</v>
      </c>
      <c r="R8915" t="s">
        <v>614</v>
      </c>
      <c r="S8915">
        <v>153.027323</v>
      </c>
      <c r="T8915" s="1095">
        <v>-27.673805999999999</v>
      </c>
    </row>
    <row r="8916" spans="16:20">
      <c r="P8916" s="1094">
        <v>4118</v>
      </c>
      <c r="Q8916" t="s">
        <v>9566</v>
      </c>
      <c r="R8916" t="s">
        <v>614</v>
      </c>
      <c r="S8916">
        <v>153.027323</v>
      </c>
      <c r="T8916" s="1095">
        <v>-27.673805999999999</v>
      </c>
    </row>
    <row r="8917" spans="16:20">
      <c r="P8917" s="1094">
        <v>4118</v>
      </c>
      <c r="Q8917" t="s">
        <v>7256</v>
      </c>
      <c r="R8917" t="s">
        <v>614</v>
      </c>
      <c r="S8917">
        <v>153.027323</v>
      </c>
      <c r="T8917" s="1095">
        <v>-27.673805999999999</v>
      </c>
    </row>
    <row r="8918" spans="16:20">
      <c r="P8918" s="1094">
        <v>4118</v>
      </c>
      <c r="Q8918" t="s">
        <v>2034</v>
      </c>
      <c r="R8918" t="s">
        <v>614</v>
      </c>
      <c r="S8918">
        <v>153.027323</v>
      </c>
      <c r="T8918" s="1095">
        <v>-27.673805999999999</v>
      </c>
    </row>
    <row r="8919" spans="16:20">
      <c r="P8919" s="1094">
        <v>4119</v>
      </c>
      <c r="Q8919" t="s">
        <v>9567</v>
      </c>
      <c r="R8919" t="s">
        <v>614</v>
      </c>
      <c r="S8919">
        <v>153.109769</v>
      </c>
      <c r="T8919" s="1095">
        <v>-27.611502000000002</v>
      </c>
    </row>
    <row r="8920" spans="16:20">
      <c r="P8920" s="1094">
        <v>4120</v>
      </c>
      <c r="Q8920" t="s">
        <v>9568</v>
      </c>
      <c r="R8920" t="s">
        <v>614</v>
      </c>
      <c r="S8920">
        <v>153.044217</v>
      </c>
      <c r="T8920" s="1095">
        <v>-27.508707000000001</v>
      </c>
    </row>
    <row r="8921" spans="16:20">
      <c r="P8921" s="1094">
        <v>4120</v>
      </c>
      <c r="Q8921" t="s">
        <v>9569</v>
      </c>
      <c r="R8921" t="s">
        <v>614</v>
      </c>
      <c r="S8921">
        <v>153.044217</v>
      </c>
      <c r="T8921" s="1095">
        <v>-27.508707000000001</v>
      </c>
    </row>
    <row r="8922" spans="16:20">
      <c r="P8922" s="1094">
        <v>4120</v>
      </c>
      <c r="Q8922" t="s">
        <v>9570</v>
      </c>
      <c r="R8922" t="s">
        <v>614</v>
      </c>
      <c r="S8922">
        <v>153.044217</v>
      </c>
      <c r="T8922" s="1095">
        <v>-27.508707000000001</v>
      </c>
    </row>
    <row r="8923" spans="16:20">
      <c r="P8923" s="1094">
        <v>4121</v>
      </c>
      <c r="Q8923" t="s">
        <v>9571</v>
      </c>
      <c r="R8923" t="s">
        <v>614</v>
      </c>
      <c r="S8923">
        <v>153.05395200000001</v>
      </c>
      <c r="T8923" s="1095">
        <v>-27.526966000000002</v>
      </c>
    </row>
    <row r="8924" spans="16:20">
      <c r="P8924" s="1094">
        <v>4121</v>
      </c>
      <c r="Q8924" t="s">
        <v>9572</v>
      </c>
      <c r="R8924" t="s">
        <v>614</v>
      </c>
      <c r="S8924">
        <v>153.05395200000001</v>
      </c>
      <c r="T8924" s="1095">
        <v>-27.526966000000002</v>
      </c>
    </row>
    <row r="8925" spans="16:20">
      <c r="P8925" s="1094">
        <v>4121</v>
      </c>
      <c r="Q8925" t="s">
        <v>9573</v>
      </c>
      <c r="R8925" t="s">
        <v>614</v>
      </c>
      <c r="S8925">
        <v>153.05395200000001</v>
      </c>
      <c r="T8925" s="1095">
        <v>-27.526966000000002</v>
      </c>
    </row>
    <row r="8926" spans="16:20">
      <c r="P8926" s="1094">
        <v>4121</v>
      </c>
      <c r="Q8926" t="s">
        <v>9574</v>
      </c>
      <c r="R8926" t="s">
        <v>614</v>
      </c>
      <c r="S8926">
        <v>153.05395200000001</v>
      </c>
      <c r="T8926" s="1095">
        <v>-27.526966000000002</v>
      </c>
    </row>
    <row r="8927" spans="16:20">
      <c r="P8927" s="1094">
        <v>4121</v>
      </c>
      <c r="Q8927" t="s">
        <v>9575</v>
      </c>
      <c r="R8927" t="s">
        <v>614</v>
      </c>
      <c r="S8927">
        <v>153.05395200000001</v>
      </c>
      <c r="T8927" s="1095">
        <v>-27.526966000000002</v>
      </c>
    </row>
    <row r="8928" spans="16:20">
      <c r="P8928" s="1094">
        <v>4121</v>
      </c>
      <c r="Q8928" t="s">
        <v>9576</v>
      </c>
      <c r="R8928" t="s">
        <v>614</v>
      </c>
      <c r="S8928">
        <v>153.05395200000001</v>
      </c>
      <c r="T8928" s="1095">
        <v>-27.526966000000002</v>
      </c>
    </row>
    <row r="8929" spans="16:20">
      <c r="P8929" s="1094">
        <v>4121</v>
      </c>
      <c r="Q8929" t="s">
        <v>9577</v>
      </c>
      <c r="R8929" t="s">
        <v>614</v>
      </c>
      <c r="S8929">
        <v>153.05395200000001</v>
      </c>
      <c r="T8929" s="1095">
        <v>-27.526966000000002</v>
      </c>
    </row>
    <row r="8930" spans="16:20">
      <c r="P8930" s="1094">
        <v>4122</v>
      </c>
      <c r="Q8930" t="s">
        <v>8549</v>
      </c>
      <c r="R8930" t="s">
        <v>614</v>
      </c>
      <c r="S8930">
        <v>153.088155</v>
      </c>
      <c r="T8930" s="1095">
        <v>-27.543316000000001</v>
      </c>
    </row>
    <row r="8931" spans="16:20">
      <c r="P8931" s="1094">
        <v>4122</v>
      </c>
      <c r="Q8931" t="s">
        <v>9578</v>
      </c>
      <c r="R8931" t="s">
        <v>614</v>
      </c>
      <c r="S8931">
        <v>153.088155</v>
      </c>
      <c r="T8931" s="1095">
        <v>-27.543316000000001</v>
      </c>
    </row>
    <row r="8932" spans="16:20">
      <c r="P8932" s="1094">
        <v>4122</v>
      </c>
      <c r="Q8932" t="s">
        <v>9579</v>
      </c>
      <c r="R8932" t="s">
        <v>614</v>
      </c>
      <c r="S8932">
        <v>153.088155</v>
      </c>
      <c r="T8932" s="1095">
        <v>-27.543316000000001</v>
      </c>
    </row>
    <row r="8933" spans="16:20">
      <c r="P8933" s="1094">
        <v>4122</v>
      </c>
      <c r="Q8933" t="s">
        <v>9580</v>
      </c>
      <c r="R8933" t="s">
        <v>614</v>
      </c>
      <c r="S8933">
        <v>153.088155</v>
      </c>
      <c r="T8933" s="1095">
        <v>-27.543316000000001</v>
      </c>
    </row>
    <row r="8934" spans="16:20">
      <c r="P8934" s="1094">
        <v>4122</v>
      </c>
      <c r="Q8934" t="s">
        <v>9581</v>
      </c>
      <c r="R8934" t="s">
        <v>614</v>
      </c>
      <c r="S8934">
        <v>153.088155</v>
      </c>
      <c r="T8934" s="1095">
        <v>-27.543316000000001</v>
      </c>
    </row>
    <row r="8935" spans="16:20">
      <c r="P8935" s="1094">
        <v>4122</v>
      </c>
      <c r="Q8935" t="s">
        <v>9582</v>
      </c>
      <c r="R8935" t="s">
        <v>614</v>
      </c>
      <c r="S8935">
        <v>153.088155</v>
      </c>
      <c r="T8935" s="1095">
        <v>-27.543316000000001</v>
      </c>
    </row>
    <row r="8936" spans="16:20">
      <c r="P8936" s="1094">
        <v>4122</v>
      </c>
      <c r="Q8936" t="s">
        <v>9583</v>
      </c>
      <c r="R8936" t="s">
        <v>614</v>
      </c>
      <c r="S8936">
        <v>153.088155</v>
      </c>
      <c r="T8936" s="1095">
        <v>-27.543316000000001</v>
      </c>
    </row>
    <row r="8937" spans="16:20">
      <c r="P8937" s="1094">
        <v>4122</v>
      </c>
      <c r="Q8937" t="s">
        <v>6746</v>
      </c>
      <c r="R8937" t="s">
        <v>614</v>
      </c>
      <c r="S8937">
        <v>153.088155</v>
      </c>
      <c r="T8937" s="1095">
        <v>-27.543316000000001</v>
      </c>
    </row>
    <row r="8938" spans="16:20">
      <c r="P8938" s="1094">
        <v>4123</v>
      </c>
      <c r="Q8938" t="s">
        <v>9584</v>
      </c>
      <c r="R8938" t="s">
        <v>614</v>
      </c>
      <c r="S8938">
        <v>153.116151</v>
      </c>
      <c r="T8938" s="1095">
        <v>-27.583528000000001</v>
      </c>
    </row>
    <row r="8939" spans="16:20">
      <c r="P8939" s="1094">
        <v>4123</v>
      </c>
      <c r="Q8939" t="s">
        <v>9585</v>
      </c>
      <c r="R8939" t="s">
        <v>614</v>
      </c>
      <c r="S8939">
        <v>153.116151</v>
      </c>
      <c r="T8939" s="1095">
        <v>-27.583528000000001</v>
      </c>
    </row>
    <row r="8940" spans="16:20">
      <c r="P8940" s="1094">
        <v>4123</v>
      </c>
      <c r="Q8940" t="s">
        <v>9586</v>
      </c>
      <c r="R8940" t="s">
        <v>614</v>
      </c>
      <c r="S8940">
        <v>153.116151</v>
      </c>
      <c r="T8940" s="1095">
        <v>-27.583528000000001</v>
      </c>
    </row>
    <row r="8941" spans="16:20">
      <c r="P8941" s="1094">
        <v>4124</v>
      </c>
      <c r="Q8941" t="s">
        <v>9587</v>
      </c>
      <c r="R8941" t="s">
        <v>614</v>
      </c>
      <c r="S8941">
        <v>152.967761</v>
      </c>
      <c r="T8941" s="1095">
        <v>-27.701681000000001</v>
      </c>
    </row>
    <row r="8942" spans="16:20">
      <c r="P8942" s="1094">
        <v>4124</v>
      </c>
      <c r="Q8942" t="s">
        <v>9588</v>
      </c>
      <c r="R8942" t="s">
        <v>614</v>
      </c>
      <c r="S8942">
        <v>152.967761</v>
      </c>
      <c r="T8942" s="1095">
        <v>-27.701681000000001</v>
      </c>
    </row>
    <row r="8943" spans="16:20">
      <c r="P8943" s="1094">
        <v>4124</v>
      </c>
      <c r="Q8943" t="s">
        <v>4816</v>
      </c>
      <c r="R8943" t="s">
        <v>614</v>
      </c>
      <c r="S8943">
        <v>152.967761</v>
      </c>
      <c r="T8943" s="1095">
        <v>-27.701681000000001</v>
      </c>
    </row>
    <row r="8944" spans="16:20">
      <c r="P8944" s="1094">
        <v>4124</v>
      </c>
      <c r="Q8944" t="s">
        <v>9589</v>
      </c>
      <c r="R8944" t="s">
        <v>614</v>
      </c>
      <c r="S8944">
        <v>152.967761</v>
      </c>
      <c r="T8944" s="1095">
        <v>-27.701681000000001</v>
      </c>
    </row>
    <row r="8945" spans="16:20">
      <c r="P8945" s="1094">
        <v>4125</v>
      </c>
      <c r="Q8945" t="s">
        <v>9590</v>
      </c>
      <c r="R8945" t="s">
        <v>614</v>
      </c>
      <c r="S8945">
        <v>153.04107999999999</v>
      </c>
      <c r="T8945" s="1095">
        <v>-27.730432</v>
      </c>
    </row>
    <row r="8946" spans="16:20">
      <c r="P8946" s="1094">
        <v>4125</v>
      </c>
      <c r="Q8946" t="s">
        <v>9591</v>
      </c>
      <c r="R8946" t="s">
        <v>614</v>
      </c>
      <c r="S8946">
        <v>153.04107999999999</v>
      </c>
      <c r="T8946" s="1095">
        <v>-27.730432</v>
      </c>
    </row>
    <row r="8947" spans="16:20">
      <c r="P8947" s="1094">
        <v>4125</v>
      </c>
      <c r="Q8947" t="s">
        <v>9592</v>
      </c>
      <c r="R8947" t="s">
        <v>614</v>
      </c>
      <c r="S8947">
        <v>153.04107999999999</v>
      </c>
      <c r="T8947" s="1095">
        <v>-27.730432</v>
      </c>
    </row>
    <row r="8948" spans="16:20">
      <c r="P8948" s="1094">
        <v>4127</v>
      </c>
      <c r="Q8948" t="s">
        <v>9593</v>
      </c>
      <c r="R8948" t="s">
        <v>614</v>
      </c>
      <c r="S8948">
        <v>153.14203499999999</v>
      </c>
      <c r="T8948" s="1095">
        <v>-27.629473999999998</v>
      </c>
    </row>
    <row r="8949" spans="16:20">
      <c r="P8949" s="1094">
        <v>4127</v>
      </c>
      <c r="Q8949" t="s">
        <v>7705</v>
      </c>
      <c r="R8949" t="s">
        <v>614</v>
      </c>
      <c r="S8949">
        <v>153.14203499999999</v>
      </c>
      <c r="T8949" s="1095">
        <v>-27.629473999999998</v>
      </c>
    </row>
    <row r="8950" spans="16:20">
      <c r="P8950" s="1094">
        <v>4127</v>
      </c>
      <c r="Q8950" t="s">
        <v>9594</v>
      </c>
      <c r="R8950" t="s">
        <v>614</v>
      </c>
      <c r="S8950">
        <v>153.14203499999999</v>
      </c>
      <c r="T8950" s="1095">
        <v>-27.629473999999998</v>
      </c>
    </row>
    <row r="8951" spans="16:20">
      <c r="P8951" s="1094">
        <v>4127</v>
      </c>
      <c r="Q8951" t="s">
        <v>9595</v>
      </c>
      <c r="R8951" t="s">
        <v>614</v>
      </c>
      <c r="S8951">
        <v>153.14203499999999</v>
      </c>
      <c r="T8951" s="1095">
        <v>-27.629473999999998</v>
      </c>
    </row>
    <row r="8952" spans="16:20">
      <c r="P8952" s="1094">
        <v>4127</v>
      </c>
      <c r="Q8952" t="s">
        <v>5679</v>
      </c>
      <c r="R8952" t="s">
        <v>614</v>
      </c>
      <c r="S8952">
        <v>153.14203499999999</v>
      </c>
      <c r="T8952" s="1095">
        <v>-27.629473999999998</v>
      </c>
    </row>
    <row r="8953" spans="16:20">
      <c r="P8953" s="1094">
        <v>4127</v>
      </c>
      <c r="Q8953" t="s">
        <v>9596</v>
      </c>
      <c r="R8953" t="s">
        <v>614</v>
      </c>
      <c r="S8953">
        <v>153.14203499999999</v>
      </c>
      <c r="T8953" s="1095">
        <v>-27.629473999999998</v>
      </c>
    </row>
    <row r="8954" spans="16:20">
      <c r="P8954" s="1094">
        <v>4128</v>
      </c>
      <c r="Q8954" t="s">
        <v>9597</v>
      </c>
      <c r="R8954" t="s">
        <v>614</v>
      </c>
      <c r="S8954">
        <v>153.17421400000001</v>
      </c>
      <c r="T8954" s="1095">
        <v>-27.652403</v>
      </c>
    </row>
    <row r="8955" spans="16:20">
      <c r="P8955" s="1094">
        <v>4128</v>
      </c>
      <c r="Q8955" t="s">
        <v>9598</v>
      </c>
      <c r="R8955" t="s">
        <v>614</v>
      </c>
      <c r="S8955">
        <v>153.17421400000001</v>
      </c>
      <c r="T8955" s="1095">
        <v>-27.652403</v>
      </c>
    </row>
    <row r="8956" spans="16:20">
      <c r="P8956" s="1094">
        <v>4128</v>
      </c>
      <c r="Q8956" t="s">
        <v>9599</v>
      </c>
      <c r="R8956" t="s">
        <v>614</v>
      </c>
      <c r="S8956">
        <v>153.17421400000001</v>
      </c>
      <c r="T8956" s="1095">
        <v>-27.652403</v>
      </c>
    </row>
    <row r="8957" spans="16:20">
      <c r="P8957" s="1094">
        <v>4128</v>
      </c>
      <c r="Q8957" t="s">
        <v>9600</v>
      </c>
      <c r="R8957" t="s">
        <v>614</v>
      </c>
      <c r="S8957">
        <v>153.17421400000001</v>
      </c>
      <c r="T8957" s="1095">
        <v>-27.652403</v>
      </c>
    </row>
    <row r="8958" spans="16:20">
      <c r="P8958" s="1094">
        <v>4129</v>
      </c>
      <c r="Q8958" t="s">
        <v>9601</v>
      </c>
      <c r="R8958" t="s">
        <v>614</v>
      </c>
      <c r="S8958">
        <v>153.18681699999999</v>
      </c>
      <c r="T8958" s="1095">
        <v>-27.681519000000002</v>
      </c>
    </row>
    <row r="8959" spans="16:20">
      <c r="P8959" s="1094">
        <v>4129</v>
      </c>
      <c r="Q8959" t="s">
        <v>9602</v>
      </c>
      <c r="R8959" t="s">
        <v>614</v>
      </c>
      <c r="S8959">
        <v>153.18681699999999</v>
      </c>
      <c r="T8959" s="1095">
        <v>-27.681519000000002</v>
      </c>
    </row>
    <row r="8960" spans="16:20">
      <c r="P8960" s="1094">
        <v>4129</v>
      </c>
      <c r="Q8960" t="s">
        <v>9603</v>
      </c>
      <c r="R8960" t="s">
        <v>614</v>
      </c>
      <c r="S8960">
        <v>153.18681699999999</v>
      </c>
      <c r="T8960" s="1095">
        <v>-27.681519000000002</v>
      </c>
    </row>
    <row r="8961" spans="16:20">
      <c r="P8961" s="1094">
        <v>4129</v>
      </c>
      <c r="Q8961" t="s">
        <v>9604</v>
      </c>
      <c r="R8961" t="s">
        <v>614</v>
      </c>
      <c r="S8961">
        <v>153.18681699999999</v>
      </c>
      <c r="T8961" s="1095">
        <v>-27.681519000000002</v>
      </c>
    </row>
    <row r="8962" spans="16:20">
      <c r="P8962" s="1094">
        <v>4130</v>
      </c>
      <c r="Q8962" t="s">
        <v>9605</v>
      </c>
      <c r="R8962" t="s">
        <v>614</v>
      </c>
      <c r="S8962">
        <v>153.24332999999999</v>
      </c>
      <c r="T8962" s="1095">
        <v>-27.669243999999999</v>
      </c>
    </row>
    <row r="8963" spans="16:20">
      <c r="P8963" s="1094">
        <v>4130</v>
      </c>
      <c r="Q8963" t="s">
        <v>9606</v>
      </c>
      <c r="R8963" t="s">
        <v>614</v>
      </c>
      <c r="S8963">
        <v>153.24332999999999</v>
      </c>
      <c r="T8963" s="1095">
        <v>-27.669243999999999</v>
      </c>
    </row>
    <row r="8964" spans="16:20">
      <c r="P8964" s="1094">
        <v>4131</v>
      </c>
      <c r="Q8964" t="s">
        <v>9607</v>
      </c>
      <c r="R8964" t="s">
        <v>614</v>
      </c>
      <c r="S8964">
        <v>153.13607200000001</v>
      </c>
      <c r="T8964" s="1095">
        <v>-27.669913000000001</v>
      </c>
    </row>
    <row r="8965" spans="16:20">
      <c r="P8965" s="1094">
        <v>4131</v>
      </c>
      <c r="Q8965" t="s">
        <v>9608</v>
      </c>
      <c r="R8965" t="s">
        <v>614</v>
      </c>
      <c r="S8965">
        <v>153.13607200000001</v>
      </c>
      <c r="T8965" s="1095">
        <v>-27.669913000000001</v>
      </c>
    </row>
    <row r="8966" spans="16:20">
      <c r="P8966" s="1094">
        <v>4132</v>
      </c>
      <c r="Q8966" t="s">
        <v>9609</v>
      </c>
      <c r="R8966" t="s">
        <v>614</v>
      </c>
      <c r="S8966">
        <v>153.084397</v>
      </c>
      <c r="T8966" s="1095">
        <v>-27.681063000000002</v>
      </c>
    </row>
    <row r="8967" spans="16:20">
      <c r="P8967" s="1094">
        <v>4132</v>
      </c>
      <c r="Q8967" t="s">
        <v>9610</v>
      </c>
      <c r="R8967" t="s">
        <v>614</v>
      </c>
      <c r="S8967">
        <v>153.084397</v>
      </c>
      <c r="T8967" s="1095">
        <v>-27.681063000000002</v>
      </c>
    </row>
    <row r="8968" spans="16:20">
      <c r="P8968" s="1094">
        <v>4132</v>
      </c>
      <c r="Q8968" t="s">
        <v>9611</v>
      </c>
      <c r="R8968" t="s">
        <v>614</v>
      </c>
      <c r="S8968">
        <v>153.084397</v>
      </c>
      <c r="T8968" s="1095">
        <v>-27.681063000000002</v>
      </c>
    </row>
    <row r="8969" spans="16:20">
      <c r="P8969" s="1094">
        <v>4132</v>
      </c>
      <c r="Q8969" t="s">
        <v>9612</v>
      </c>
      <c r="R8969" t="s">
        <v>614</v>
      </c>
      <c r="S8969">
        <v>153.084397</v>
      </c>
      <c r="T8969" s="1095">
        <v>-27.681063000000002</v>
      </c>
    </row>
    <row r="8970" spans="16:20">
      <c r="P8970" s="1094">
        <v>4133</v>
      </c>
      <c r="Q8970" t="s">
        <v>9613</v>
      </c>
      <c r="R8970" t="s">
        <v>614</v>
      </c>
      <c r="S8970">
        <v>153.102664</v>
      </c>
      <c r="T8970" s="1095">
        <v>-27.723837</v>
      </c>
    </row>
    <row r="8971" spans="16:20">
      <c r="P8971" s="1094">
        <v>4133</v>
      </c>
      <c r="Q8971" t="s">
        <v>9614</v>
      </c>
      <c r="R8971" t="s">
        <v>614</v>
      </c>
      <c r="S8971">
        <v>153.102664</v>
      </c>
      <c r="T8971" s="1095">
        <v>-27.723837</v>
      </c>
    </row>
    <row r="8972" spans="16:20">
      <c r="P8972" s="1094">
        <v>4133</v>
      </c>
      <c r="Q8972" t="s">
        <v>8933</v>
      </c>
      <c r="R8972" t="s">
        <v>614</v>
      </c>
      <c r="S8972">
        <v>153.102664</v>
      </c>
      <c r="T8972" s="1095">
        <v>-27.723837</v>
      </c>
    </row>
    <row r="8973" spans="16:20">
      <c r="P8973" s="1094">
        <v>4133</v>
      </c>
      <c r="Q8973" t="s">
        <v>9615</v>
      </c>
      <c r="R8973" t="s">
        <v>614</v>
      </c>
      <c r="S8973">
        <v>153.102664</v>
      </c>
      <c r="T8973" s="1095">
        <v>-27.723837</v>
      </c>
    </row>
    <row r="8974" spans="16:20">
      <c r="P8974" s="1094">
        <v>4151</v>
      </c>
      <c r="Q8974" t="s">
        <v>9616</v>
      </c>
      <c r="R8974" t="s">
        <v>614</v>
      </c>
      <c r="S8974">
        <v>153.058605</v>
      </c>
      <c r="T8974" s="1095">
        <v>-27.500806999999998</v>
      </c>
    </row>
    <row r="8975" spans="16:20">
      <c r="P8975" s="1094">
        <v>4151</v>
      </c>
      <c r="Q8975" t="s">
        <v>9617</v>
      </c>
      <c r="R8975" t="s">
        <v>614</v>
      </c>
      <c r="S8975">
        <v>153.058605</v>
      </c>
      <c r="T8975" s="1095">
        <v>-27.500806999999998</v>
      </c>
    </row>
    <row r="8976" spans="16:20">
      <c r="P8976" s="1094">
        <v>4151</v>
      </c>
      <c r="Q8976" t="s">
        <v>9618</v>
      </c>
      <c r="R8976" t="s">
        <v>614</v>
      </c>
      <c r="S8976">
        <v>153.058605</v>
      </c>
      <c r="T8976" s="1095">
        <v>-27.500806999999998</v>
      </c>
    </row>
    <row r="8977" spans="16:20">
      <c r="P8977" s="1094">
        <v>4152</v>
      </c>
      <c r="Q8977" t="s">
        <v>9619</v>
      </c>
      <c r="R8977" t="s">
        <v>614</v>
      </c>
      <c r="S8977">
        <v>153.096812</v>
      </c>
      <c r="T8977" s="1095">
        <v>-27.501349000000001</v>
      </c>
    </row>
    <row r="8978" spans="16:20">
      <c r="P8978" s="1094">
        <v>4152</v>
      </c>
      <c r="Q8978" t="s">
        <v>7857</v>
      </c>
      <c r="R8978" t="s">
        <v>614</v>
      </c>
      <c r="S8978">
        <v>153.096812</v>
      </c>
      <c r="T8978" s="1095">
        <v>-27.501349000000001</v>
      </c>
    </row>
    <row r="8979" spans="16:20">
      <c r="P8979" s="1094">
        <v>4152</v>
      </c>
      <c r="Q8979" t="s">
        <v>9620</v>
      </c>
      <c r="R8979" t="s">
        <v>614</v>
      </c>
      <c r="S8979">
        <v>153.096812</v>
      </c>
      <c r="T8979" s="1095">
        <v>-27.501349000000001</v>
      </c>
    </row>
    <row r="8980" spans="16:20">
      <c r="P8980" s="1094">
        <v>4152</v>
      </c>
      <c r="Q8980" t="s">
        <v>9621</v>
      </c>
      <c r="R8980" t="s">
        <v>614</v>
      </c>
      <c r="S8980">
        <v>153.096812</v>
      </c>
      <c r="T8980" s="1095">
        <v>-27.501349000000001</v>
      </c>
    </row>
    <row r="8981" spans="16:20">
      <c r="P8981" s="1094">
        <v>4152</v>
      </c>
      <c r="Q8981" t="s">
        <v>9622</v>
      </c>
      <c r="R8981" t="s">
        <v>614</v>
      </c>
      <c r="S8981">
        <v>153.096812</v>
      </c>
      <c r="T8981" s="1095">
        <v>-27.501349000000001</v>
      </c>
    </row>
    <row r="8982" spans="16:20">
      <c r="P8982" s="1094">
        <v>4152</v>
      </c>
      <c r="Q8982" t="s">
        <v>9623</v>
      </c>
      <c r="R8982" t="s">
        <v>614</v>
      </c>
      <c r="S8982">
        <v>153.096812</v>
      </c>
      <c r="T8982" s="1095">
        <v>-27.501349000000001</v>
      </c>
    </row>
    <row r="8983" spans="16:20">
      <c r="P8983" s="1094">
        <v>4153</v>
      </c>
      <c r="Q8983" t="s">
        <v>2429</v>
      </c>
      <c r="R8983" t="s">
        <v>614</v>
      </c>
      <c r="S8983">
        <v>153.131429</v>
      </c>
      <c r="T8983" s="1095">
        <v>-27.510034999999998</v>
      </c>
    </row>
    <row r="8984" spans="16:20">
      <c r="P8984" s="1094">
        <v>4153</v>
      </c>
      <c r="Q8984" t="s">
        <v>9624</v>
      </c>
      <c r="R8984" t="s">
        <v>614</v>
      </c>
      <c r="S8984">
        <v>153.131429</v>
      </c>
      <c r="T8984" s="1095">
        <v>-27.510034999999998</v>
      </c>
    </row>
    <row r="8985" spans="16:20">
      <c r="P8985" s="1094">
        <v>4154</v>
      </c>
      <c r="Q8985" t="s">
        <v>9625</v>
      </c>
      <c r="R8985" t="s">
        <v>614</v>
      </c>
      <c r="S8985">
        <v>153.158727</v>
      </c>
      <c r="T8985" s="1095">
        <v>-27.490690000000001</v>
      </c>
    </row>
    <row r="8986" spans="16:20">
      <c r="P8986" s="1094">
        <v>4154</v>
      </c>
      <c r="Q8986" t="s">
        <v>9626</v>
      </c>
      <c r="R8986" t="s">
        <v>614</v>
      </c>
      <c r="S8986">
        <v>153.158727</v>
      </c>
      <c r="T8986" s="1095">
        <v>-27.490690000000001</v>
      </c>
    </row>
    <row r="8987" spans="16:20">
      <c r="P8987" s="1094">
        <v>4154</v>
      </c>
      <c r="Q8987" t="s">
        <v>9627</v>
      </c>
      <c r="R8987" t="s">
        <v>614</v>
      </c>
      <c r="S8987">
        <v>153.158727</v>
      </c>
      <c r="T8987" s="1095">
        <v>-27.490690000000001</v>
      </c>
    </row>
    <row r="8988" spans="16:20">
      <c r="P8988" s="1094">
        <v>4155</v>
      </c>
      <c r="Q8988" t="s">
        <v>9628</v>
      </c>
      <c r="R8988" t="s">
        <v>614</v>
      </c>
      <c r="S8988">
        <v>153.15644599999999</v>
      </c>
      <c r="T8988" s="1095">
        <v>-27.5181</v>
      </c>
    </row>
    <row r="8989" spans="16:20">
      <c r="P8989" s="1094">
        <v>4156</v>
      </c>
      <c r="Q8989" t="s">
        <v>9629</v>
      </c>
      <c r="R8989" t="s">
        <v>614</v>
      </c>
      <c r="S8989">
        <v>153.154177</v>
      </c>
      <c r="T8989" s="1095">
        <v>-27.558858000000001</v>
      </c>
    </row>
    <row r="8990" spans="16:20">
      <c r="P8990" s="1094">
        <v>4156</v>
      </c>
      <c r="Q8990" t="s">
        <v>9630</v>
      </c>
      <c r="R8990" t="s">
        <v>614</v>
      </c>
      <c r="S8990">
        <v>153.154177</v>
      </c>
      <c r="T8990" s="1095">
        <v>-27.558858000000001</v>
      </c>
    </row>
    <row r="8991" spans="16:20">
      <c r="P8991" s="1094">
        <v>4157</v>
      </c>
      <c r="Q8991" t="s">
        <v>9631</v>
      </c>
      <c r="R8991" t="s">
        <v>614</v>
      </c>
      <c r="S8991">
        <v>153.20709600000001</v>
      </c>
      <c r="T8991" s="1095">
        <v>-27.568178</v>
      </c>
    </row>
    <row r="8992" spans="16:20">
      <c r="P8992" s="1094">
        <v>4157</v>
      </c>
      <c r="Q8992" t="s">
        <v>9632</v>
      </c>
      <c r="R8992" t="s">
        <v>614</v>
      </c>
      <c r="S8992">
        <v>153.20709600000001</v>
      </c>
      <c r="T8992" s="1095">
        <v>-27.568178</v>
      </c>
    </row>
    <row r="8993" spans="16:20">
      <c r="P8993" s="1094">
        <v>4157</v>
      </c>
      <c r="Q8993" t="s">
        <v>9633</v>
      </c>
      <c r="R8993" t="s">
        <v>614</v>
      </c>
      <c r="S8993">
        <v>153.20709600000001</v>
      </c>
      <c r="T8993" s="1095">
        <v>-27.568178</v>
      </c>
    </row>
    <row r="8994" spans="16:20">
      <c r="P8994" s="1094">
        <v>4157</v>
      </c>
      <c r="Q8994" t="s">
        <v>9634</v>
      </c>
      <c r="R8994" t="s">
        <v>614</v>
      </c>
      <c r="S8994">
        <v>153.20709600000001</v>
      </c>
      <c r="T8994" s="1095">
        <v>-27.568178</v>
      </c>
    </row>
    <row r="8995" spans="16:20">
      <c r="P8995" s="1094">
        <v>4157</v>
      </c>
      <c r="Q8995" t="s">
        <v>9635</v>
      </c>
      <c r="R8995" t="s">
        <v>614</v>
      </c>
      <c r="S8995">
        <v>153.20709600000001</v>
      </c>
      <c r="T8995" s="1095">
        <v>-27.568178</v>
      </c>
    </row>
    <row r="8996" spans="16:20">
      <c r="P8996" s="1094">
        <v>4158</v>
      </c>
      <c r="Q8996" t="s">
        <v>9636</v>
      </c>
      <c r="R8996" t="s">
        <v>614</v>
      </c>
      <c r="S8996">
        <v>153.19980000000001</v>
      </c>
      <c r="T8996" s="1095">
        <v>-27.487689</v>
      </c>
    </row>
    <row r="8997" spans="16:20">
      <c r="P8997" s="1094">
        <v>4159</v>
      </c>
      <c r="Q8997" t="s">
        <v>9637</v>
      </c>
      <c r="R8997" t="s">
        <v>614</v>
      </c>
      <c r="S8997">
        <v>153.20962399999999</v>
      </c>
      <c r="T8997" s="1095">
        <v>-27.502289000000001</v>
      </c>
    </row>
    <row r="8998" spans="16:20">
      <c r="P8998" s="1094">
        <v>4160</v>
      </c>
      <c r="Q8998" t="s">
        <v>9638</v>
      </c>
      <c r="R8998" t="s">
        <v>614</v>
      </c>
      <c r="S8998">
        <v>153.243312</v>
      </c>
      <c r="T8998" s="1095">
        <v>-27.506409000000001</v>
      </c>
    </row>
    <row r="8999" spans="16:20">
      <c r="P8999" s="1094">
        <v>4160</v>
      </c>
      <c r="Q8999" t="s">
        <v>9639</v>
      </c>
      <c r="R8999" t="s">
        <v>614</v>
      </c>
      <c r="S8999">
        <v>153.243312</v>
      </c>
      <c r="T8999" s="1095">
        <v>-27.506409000000001</v>
      </c>
    </row>
    <row r="9000" spans="16:20">
      <c r="P9000" s="1094">
        <v>4160</v>
      </c>
      <c r="Q9000" t="s">
        <v>9640</v>
      </c>
      <c r="R9000" t="s">
        <v>614</v>
      </c>
      <c r="S9000">
        <v>153.243312</v>
      </c>
      <c r="T9000" s="1095">
        <v>-27.506409000000001</v>
      </c>
    </row>
    <row r="9001" spans="16:20">
      <c r="P9001" s="1094">
        <v>4161</v>
      </c>
      <c r="Q9001" t="s">
        <v>9641</v>
      </c>
      <c r="R9001" t="s">
        <v>614</v>
      </c>
      <c r="S9001">
        <v>153.22686400000001</v>
      </c>
      <c r="T9001" s="1095">
        <v>-27.533407</v>
      </c>
    </row>
    <row r="9002" spans="16:20">
      <c r="P9002" s="1094">
        <v>4163</v>
      </c>
      <c r="Q9002" t="s">
        <v>9642</v>
      </c>
      <c r="R9002" t="s">
        <v>614</v>
      </c>
      <c r="S9002">
        <v>153.26571000000001</v>
      </c>
      <c r="T9002" s="1095">
        <v>-27.535215999999998</v>
      </c>
    </row>
    <row r="9003" spans="16:20">
      <c r="P9003" s="1094">
        <v>4163</v>
      </c>
      <c r="Q9003" t="s">
        <v>9643</v>
      </c>
      <c r="R9003" t="s">
        <v>614</v>
      </c>
      <c r="S9003">
        <v>153.26571000000001</v>
      </c>
      <c r="T9003" s="1095">
        <v>-27.535215999999998</v>
      </c>
    </row>
    <row r="9004" spans="16:20">
      <c r="P9004" s="1094">
        <v>4164</v>
      </c>
      <c r="Q9004" t="s">
        <v>9644</v>
      </c>
      <c r="R9004" t="s">
        <v>614</v>
      </c>
      <c r="S9004">
        <v>153.26083299999999</v>
      </c>
      <c r="T9004" s="1095">
        <v>-27.569965</v>
      </c>
    </row>
    <row r="9005" spans="16:20">
      <c r="P9005" s="1094">
        <v>4164</v>
      </c>
      <c r="Q9005" t="s">
        <v>9645</v>
      </c>
      <c r="R9005" t="s">
        <v>614</v>
      </c>
      <c r="S9005">
        <v>153.26083299999999</v>
      </c>
      <c r="T9005" s="1095">
        <v>-27.569965</v>
      </c>
    </row>
    <row r="9006" spans="16:20">
      <c r="P9006" s="1094">
        <v>4165</v>
      </c>
      <c r="Q9006" t="s">
        <v>9646</v>
      </c>
      <c r="R9006" t="s">
        <v>614</v>
      </c>
      <c r="S9006">
        <v>153.263801</v>
      </c>
      <c r="T9006" s="1095">
        <v>-27.623975000000002</v>
      </c>
    </row>
    <row r="9007" spans="16:20">
      <c r="P9007" s="1094">
        <v>4165</v>
      </c>
      <c r="Q9007" t="s">
        <v>9647</v>
      </c>
      <c r="R9007" t="s">
        <v>614</v>
      </c>
      <c r="S9007">
        <v>153.263801</v>
      </c>
      <c r="T9007" s="1095">
        <v>-27.623975000000002</v>
      </c>
    </row>
    <row r="9008" spans="16:20">
      <c r="P9008" s="1094">
        <v>4165</v>
      </c>
      <c r="Q9008" t="s">
        <v>9648</v>
      </c>
      <c r="R9008" t="s">
        <v>614</v>
      </c>
      <c r="S9008">
        <v>153.263801</v>
      </c>
      <c r="T9008" s="1095">
        <v>-27.623975000000002</v>
      </c>
    </row>
    <row r="9009" spans="16:20">
      <c r="P9009" s="1094">
        <v>4165</v>
      </c>
      <c r="Q9009" t="s">
        <v>9649</v>
      </c>
      <c r="R9009" t="s">
        <v>614</v>
      </c>
      <c r="S9009">
        <v>153.263801</v>
      </c>
      <c r="T9009" s="1095">
        <v>-27.623975000000002</v>
      </c>
    </row>
    <row r="9010" spans="16:20">
      <c r="P9010" s="1094">
        <v>4165</v>
      </c>
      <c r="Q9010" t="s">
        <v>7066</v>
      </c>
      <c r="R9010" t="s">
        <v>614</v>
      </c>
      <c r="S9010">
        <v>153.263801</v>
      </c>
      <c r="T9010" s="1095">
        <v>-27.623975000000002</v>
      </c>
    </row>
    <row r="9011" spans="16:20">
      <c r="P9011" s="1094">
        <v>4165</v>
      </c>
      <c r="Q9011" t="s">
        <v>9650</v>
      </c>
      <c r="R9011" t="s">
        <v>614</v>
      </c>
      <c r="S9011">
        <v>153.263801</v>
      </c>
      <c r="T9011" s="1095">
        <v>-27.623975000000002</v>
      </c>
    </row>
    <row r="9012" spans="16:20">
      <c r="P9012" s="1094">
        <v>4169</v>
      </c>
      <c r="Q9012" t="s">
        <v>9651</v>
      </c>
      <c r="R9012" t="s">
        <v>614</v>
      </c>
      <c r="S9012">
        <v>153.04098200000001</v>
      </c>
      <c r="T9012" s="1095">
        <v>-27.484176999999999</v>
      </c>
    </row>
    <row r="9013" spans="16:20">
      <c r="P9013" s="1094">
        <v>4169</v>
      </c>
      <c r="Q9013" t="s">
        <v>2224</v>
      </c>
      <c r="R9013" t="s">
        <v>614</v>
      </c>
      <c r="S9013">
        <v>153.04098200000001</v>
      </c>
      <c r="T9013" s="1095">
        <v>-27.484176999999999</v>
      </c>
    </row>
    <row r="9014" spans="16:20">
      <c r="P9014" s="1094">
        <v>4169</v>
      </c>
      <c r="Q9014" t="s">
        <v>9652</v>
      </c>
      <c r="R9014" t="s">
        <v>614</v>
      </c>
      <c r="S9014">
        <v>153.04098200000001</v>
      </c>
      <c r="T9014" s="1095">
        <v>-27.484176999999999</v>
      </c>
    </row>
    <row r="9015" spans="16:20">
      <c r="P9015" s="1094">
        <v>4170</v>
      </c>
      <c r="Q9015" t="s">
        <v>9653</v>
      </c>
      <c r="R9015" t="s">
        <v>614</v>
      </c>
      <c r="S9015">
        <v>153.074231</v>
      </c>
      <c r="T9015" s="1095">
        <v>-27.470777999999999</v>
      </c>
    </row>
    <row r="9016" spans="16:20">
      <c r="P9016" s="1094">
        <v>4170</v>
      </c>
      <c r="Q9016" t="s">
        <v>9654</v>
      </c>
      <c r="R9016" t="s">
        <v>614</v>
      </c>
      <c r="S9016">
        <v>153.074231</v>
      </c>
      <c r="T9016" s="1095">
        <v>-27.470777999999999</v>
      </c>
    </row>
    <row r="9017" spans="16:20">
      <c r="P9017" s="1094">
        <v>4170</v>
      </c>
      <c r="Q9017" t="s">
        <v>9655</v>
      </c>
      <c r="R9017" t="s">
        <v>614</v>
      </c>
      <c r="S9017">
        <v>153.074231</v>
      </c>
      <c r="T9017" s="1095">
        <v>-27.470777999999999</v>
      </c>
    </row>
    <row r="9018" spans="16:20">
      <c r="P9018" s="1094">
        <v>4170</v>
      </c>
      <c r="Q9018" t="s">
        <v>9656</v>
      </c>
      <c r="R9018" t="s">
        <v>614</v>
      </c>
      <c r="S9018">
        <v>153.074231</v>
      </c>
      <c r="T9018" s="1095">
        <v>-27.470777999999999</v>
      </c>
    </row>
    <row r="9019" spans="16:20">
      <c r="P9019" s="1094">
        <v>4170</v>
      </c>
      <c r="Q9019" t="s">
        <v>1699</v>
      </c>
      <c r="R9019" t="s">
        <v>614</v>
      </c>
      <c r="S9019">
        <v>153.074231</v>
      </c>
      <c r="T9019" s="1095">
        <v>-27.470777999999999</v>
      </c>
    </row>
    <row r="9020" spans="16:20">
      <c r="P9020" s="1094">
        <v>4171</v>
      </c>
      <c r="Q9020" t="s">
        <v>2452</v>
      </c>
      <c r="R9020" t="s">
        <v>614</v>
      </c>
      <c r="S9020">
        <v>153.06036</v>
      </c>
      <c r="T9020" s="1095">
        <v>-27.456030999999999</v>
      </c>
    </row>
    <row r="9021" spans="16:20">
      <c r="P9021" s="1094">
        <v>4171</v>
      </c>
      <c r="Q9021" t="s">
        <v>9657</v>
      </c>
      <c r="R9021" t="s">
        <v>614</v>
      </c>
      <c r="S9021">
        <v>153.06036</v>
      </c>
      <c r="T9021" s="1095">
        <v>-27.456030999999999</v>
      </c>
    </row>
    <row r="9022" spans="16:20">
      <c r="P9022" s="1094">
        <v>4171</v>
      </c>
      <c r="Q9022" t="s">
        <v>9658</v>
      </c>
      <c r="R9022" t="s">
        <v>614</v>
      </c>
      <c r="S9022">
        <v>153.06036</v>
      </c>
      <c r="T9022" s="1095">
        <v>-27.456030999999999</v>
      </c>
    </row>
    <row r="9023" spans="16:20">
      <c r="P9023" s="1094">
        <v>4171</v>
      </c>
      <c r="Q9023" t="s">
        <v>9659</v>
      </c>
      <c r="R9023" t="s">
        <v>614</v>
      </c>
      <c r="S9023">
        <v>153.06036</v>
      </c>
      <c r="T9023" s="1095">
        <v>-27.456030999999999</v>
      </c>
    </row>
    <row r="9024" spans="16:20">
      <c r="P9024" s="1094">
        <v>4172</v>
      </c>
      <c r="Q9024" t="s">
        <v>9660</v>
      </c>
      <c r="R9024" t="s">
        <v>614</v>
      </c>
      <c r="S9024">
        <v>153.103331</v>
      </c>
      <c r="T9024" s="1095">
        <v>-27.458767000000002</v>
      </c>
    </row>
    <row r="9025" spans="16:20">
      <c r="P9025" s="1094">
        <v>4173</v>
      </c>
      <c r="Q9025" t="s">
        <v>9661</v>
      </c>
      <c r="R9025" t="s">
        <v>614</v>
      </c>
      <c r="S9025">
        <v>153.120634</v>
      </c>
      <c r="T9025" s="1095">
        <v>-27.475814</v>
      </c>
    </row>
    <row r="9026" spans="16:20">
      <c r="P9026" s="1094">
        <v>4173</v>
      </c>
      <c r="Q9026" t="s">
        <v>9662</v>
      </c>
      <c r="R9026" t="s">
        <v>614</v>
      </c>
      <c r="S9026">
        <v>153.120634</v>
      </c>
      <c r="T9026" s="1095">
        <v>-27.475814</v>
      </c>
    </row>
    <row r="9027" spans="16:20">
      <c r="P9027" s="1094">
        <v>4173</v>
      </c>
      <c r="Q9027" t="s">
        <v>9663</v>
      </c>
      <c r="R9027" t="s">
        <v>614</v>
      </c>
      <c r="S9027">
        <v>153.120634</v>
      </c>
      <c r="T9027" s="1095">
        <v>-27.475814</v>
      </c>
    </row>
    <row r="9028" spans="16:20">
      <c r="P9028" s="1094">
        <v>4174</v>
      </c>
      <c r="Q9028" t="s">
        <v>9664</v>
      </c>
      <c r="R9028" t="s">
        <v>614</v>
      </c>
      <c r="S9028">
        <v>153.129424</v>
      </c>
      <c r="T9028" s="1095">
        <v>-27.450088999999998</v>
      </c>
    </row>
    <row r="9029" spans="16:20">
      <c r="P9029" s="1094">
        <v>4174</v>
      </c>
      <c r="Q9029" t="s">
        <v>9665</v>
      </c>
      <c r="R9029" t="s">
        <v>614</v>
      </c>
      <c r="S9029">
        <v>153.129424</v>
      </c>
      <c r="T9029" s="1095">
        <v>-27.450088999999998</v>
      </c>
    </row>
    <row r="9030" spans="16:20">
      <c r="P9030" s="1094">
        <v>4178</v>
      </c>
      <c r="Q9030" t="s">
        <v>9666</v>
      </c>
      <c r="R9030" t="s">
        <v>614</v>
      </c>
      <c r="S9030">
        <v>153.23256699999999</v>
      </c>
      <c r="T9030" s="1095">
        <v>-27.425650999999998</v>
      </c>
    </row>
    <row r="9031" spans="16:20">
      <c r="P9031" s="1094">
        <v>4178</v>
      </c>
      <c r="Q9031" t="s">
        <v>9667</v>
      </c>
      <c r="R9031" t="s">
        <v>614</v>
      </c>
      <c r="S9031">
        <v>153.23256699999999</v>
      </c>
      <c r="T9031" s="1095">
        <v>-27.425650999999998</v>
      </c>
    </row>
    <row r="9032" spans="16:20">
      <c r="P9032" s="1094">
        <v>4178</v>
      </c>
      <c r="Q9032" t="s">
        <v>9668</v>
      </c>
      <c r="R9032" t="s">
        <v>614</v>
      </c>
      <c r="S9032">
        <v>153.23256699999999</v>
      </c>
      <c r="T9032" s="1095">
        <v>-27.425650999999998</v>
      </c>
    </row>
    <row r="9033" spans="16:20">
      <c r="P9033" s="1094">
        <v>4178</v>
      </c>
      <c r="Q9033" t="s">
        <v>9669</v>
      </c>
      <c r="R9033" t="s">
        <v>614</v>
      </c>
      <c r="S9033">
        <v>153.23256699999999</v>
      </c>
      <c r="T9033" s="1095">
        <v>-27.425650999999998</v>
      </c>
    </row>
    <row r="9034" spans="16:20">
      <c r="P9034" s="1094">
        <v>4178</v>
      </c>
      <c r="Q9034" t="s">
        <v>9670</v>
      </c>
      <c r="R9034" t="s">
        <v>614</v>
      </c>
      <c r="S9034">
        <v>153.23256699999999</v>
      </c>
      <c r="T9034" s="1095">
        <v>-27.425650999999998</v>
      </c>
    </row>
    <row r="9035" spans="16:20">
      <c r="P9035" s="1094">
        <v>4178</v>
      </c>
      <c r="Q9035" t="s">
        <v>9671</v>
      </c>
      <c r="R9035" t="s">
        <v>614</v>
      </c>
      <c r="S9035">
        <v>153.23256699999999</v>
      </c>
      <c r="T9035" s="1095">
        <v>-27.425650999999998</v>
      </c>
    </row>
    <row r="9036" spans="16:20">
      <c r="P9036" s="1094">
        <v>4178</v>
      </c>
      <c r="Q9036" t="s">
        <v>9672</v>
      </c>
      <c r="R9036" t="s">
        <v>614</v>
      </c>
      <c r="S9036">
        <v>153.23256699999999</v>
      </c>
      <c r="T9036" s="1095">
        <v>-27.425650999999998</v>
      </c>
    </row>
    <row r="9037" spans="16:20">
      <c r="P9037" s="1094">
        <v>4179</v>
      </c>
      <c r="Q9037" t="s">
        <v>9673</v>
      </c>
      <c r="R9037" t="s">
        <v>614</v>
      </c>
      <c r="S9037">
        <v>153.23404099999999</v>
      </c>
      <c r="T9037" s="1095">
        <v>-27.390823000000001</v>
      </c>
    </row>
    <row r="9038" spans="16:20">
      <c r="P9038" s="1094">
        <v>4179</v>
      </c>
      <c r="Q9038" t="s">
        <v>1688</v>
      </c>
      <c r="R9038" t="s">
        <v>614</v>
      </c>
      <c r="S9038">
        <v>153.23404099999999</v>
      </c>
      <c r="T9038" s="1095">
        <v>-27.390823000000001</v>
      </c>
    </row>
    <row r="9039" spans="16:20">
      <c r="P9039" s="1094">
        <v>4179</v>
      </c>
      <c r="Q9039" t="s">
        <v>9674</v>
      </c>
      <c r="R9039" t="s">
        <v>614</v>
      </c>
      <c r="S9039">
        <v>153.23404099999999</v>
      </c>
      <c r="T9039" s="1095">
        <v>-27.390823000000001</v>
      </c>
    </row>
    <row r="9040" spans="16:20">
      <c r="P9040" s="1094">
        <v>4183</v>
      </c>
      <c r="Q9040" t="s">
        <v>9675</v>
      </c>
      <c r="R9040" t="s">
        <v>614</v>
      </c>
      <c r="S9040">
        <v>153.451696</v>
      </c>
      <c r="T9040" s="1095">
        <v>-27.545157</v>
      </c>
    </row>
    <row r="9041" spans="16:20">
      <c r="P9041" s="1094">
        <v>4183</v>
      </c>
      <c r="Q9041" t="s">
        <v>9676</v>
      </c>
      <c r="R9041" t="s">
        <v>614</v>
      </c>
      <c r="S9041">
        <v>153.451696</v>
      </c>
      <c r="T9041" s="1095">
        <v>-27.545157</v>
      </c>
    </row>
    <row r="9042" spans="16:20">
      <c r="P9042" s="1094">
        <v>4183</v>
      </c>
      <c r="Q9042" t="s">
        <v>9677</v>
      </c>
      <c r="R9042" t="s">
        <v>614</v>
      </c>
      <c r="S9042">
        <v>153.451696</v>
      </c>
      <c r="T9042" s="1095">
        <v>-27.545157</v>
      </c>
    </row>
    <row r="9043" spans="16:20">
      <c r="P9043" s="1094">
        <v>4183</v>
      </c>
      <c r="Q9043" t="s">
        <v>9678</v>
      </c>
      <c r="R9043" t="s">
        <v>614</v>
      </c>
      <c r="S9043">
        <v>153.451696</v>
      </c>
      <c r="T9043" s="1095">
        <v>-27.545157</v>
      </c>
    </row>
    <row r="9044" spans="16:20">
      <c r="P9044" s="1094">
        <v>4184</v>
      </c>
      <c r="Q9044" t="s">
        <v>9679</v>
      </c>
      <c r="R9044" t="s">
        <v>614</v>
      </c>
      <c r="S9044">
        <v>153.38465500000001</v>
      </c>
      <c r="T9044" s="1095">
        <v>-27.676499</v>
      </c>
    </row>
    <row r="9045" spans="16:20">
      <c r="P9045" s="1094">
        <v>4184</v>
      </c>
      <c r="Q9045" t="s">
        <v>9680</v>
      </c>
      <c r="R9045" t="s">
        <v>614</v>
      </c>
      <c r="S9045">
        <v>153.38465500000001</v>
      </c>
      <c r="T9045" s="1095">
        <v>-27.676499</v>
      </c>
    </row>
    <row r="9046" spans="16:20">
      <c r="P9046" s="1094">
        <v>4184</v>
      </c>
      <c r="Q9046" t="s">
        <v>9681</v>
      </c>
      <c r="R9046" t="s">
        <v>614</v>
      </c>
      <c r="S9046">
        <v>153.38465500000001</v>
      </c>
      <c r="T9046" s="1095">
        <v>-27.676499</v>
      </c>
    </row>
    <row r="9047" spans="16:20">
      <c r="P9047" s="1094">
        <v>4184</v>
      </c>
      <c r="Q9047" t="s">
        <v>9682</v>
      </c>
      <c r="R9047" t="s">
        <v>614</v>
      </c>
      <c r="S9047">
        <v>153.38465500000001</v>
      </c>
      <c r="T9047" s="1095">
        <v>-27.676499</v>
      </c>
    </row>
    <row r="9048" spans="16:20">
      <c r="P9048" s="1094">
        <v>4184</v>
      </c>
      <c r="Q9048" t="s">
        <v>9683</v>
      </c>
      <c r="R9048" t="s">
        <v>614</v>
      </c>
      <c r="S9048">
        <v>153.38465500000001</v>
      </c>
      <c r="T9048" s="1095">
        <v>-27.676499</v>
      </c>
    </row>
    <row r="9049" spans="16:20">
      <c r="P9049" s="1094">
        <v>4184</v>
      </c>
      <c r="Q9049" t="s">
        <v>9684</v>
      </c>
      <c r="R9049" t="s">
        <v>614</v>
      </c>
      <c r="S9049">
        <v>153.38465500000001</v>
      </c>
      <c r="T9049" s="1095">
        <v>-27.676499</v>
      </c>
    </row>
    <row r="9050" spans="16:20">
      <c r="P9050" s="1094">
        <v>4184</v>
      </c>
      <c r="Q9050" t="s">
        <v>9685</v>
      </c>
      <c r="R9050" t="s">
        <v>614</v>
      </c>
      <c r="S9050">
        <v>153.38465500000001</v>
      </c>
      <c r="T9050" s="1095">
        <v>-27.676499</v>
      </c>
    </row>
    <row r="9051" spans="16:20">
      <c r="P9051" s="1094">
        <v>4205</v>
      </c>
      <c r="Q9051" t="s">
        <v>9686</v>
      </c>
      <c r="R9051" t="s">
        <v>614</v>
      </c>
      <c r="S9051">
        <v>153.15628899999999</v>
      </c>
      <c r="T9051" s="1095">
        <v>-27.687389</v>
      </c>
    </row>
    <row r="9052" spans="16:20">
      <c r="P9052" s="1094">
        <v>4207</v>
      </c>
      <c r="Q9052" t="s">
        <v>9227</v>
      </c>
      <c r="R9052" t="s">
        <v>614</v>
      </c>
      <c r="S9052">
        <v>153.20452299999999</v>
      </c>
      <c r="T9052" s="1095">
        <v>-27.733991</v>
      </c>
    </row>
    <row r="9053" spans="16:20">
      <c r="P9053" s="1094">
        <v>4207</v>
      </c>
      <c r="Q9053" t="s">
        <v>9687</v>
      </c>
      <c r="R9053" t="s">
        <v>614</v>
      </c>
      <c r="S9053">
        <v>153.20452299999999</v>
      </c>
      <c r="T9053" s="1095">
        <v>-27.733991</v>
      </c>
    </row>
    <row r="9054" spans="16:20">
      <c r="P9054" s="1094">
        <v>4207</v>
      </c>
      <c r="Q9054" t="s">
        <v>7186</v>
      </c>
      <c r="R9054" t="s">
        <v>614</v>
      </c>
      <c r="S9054">
        <v>153.20452299999999</v>
      </c>
      <c r="T9054" s="1095">
        <v>-27.733991</v>
      </c>
    </row>
    <row r="9055" spans="16:20">
      <c r="P9055" s="1094">
        <v>4207</v>
      </c>
      <c r="Q9055" t="s">
        <v>9688</v>
      </c>
      <c r="R9055" t="s">
        <v>614</v>
      </c>
      <c r="S9055">
        <v>153.20452299999999</v>
      </c>
      <c r="T9055" s="1095">
        <v>-27.733991</v>
      </c>
    </row>
    <row r="9056" spans="16:20">
      <c r="P9056" s="1094">
        <v>4207</v>
      </c>
      <c r="Q9056" t="s">
        <v>9689</v>
      </c>
      <c r="R9056" t="s">
        <v>614</v>
      </c>
      <c r="S9056">
        <v>153.20452299999999</v>
      </c>
      <c r="T9056" s="1095">
        <v>-27.733991</v>
      </c>
    </row>
    <row r="9057" spans="16:20">
      <c r="P9057" s="1094">
        <v>4207</v>
      </c>
      <c r="Q9057" t="s">
        <v>9690</v>
      </c>
      <c r="R9057" t="s">
        <v>614</v>
      </c>
      <c r="S9057">
        <v>153.20452299999999</v>
      </c>
      <c r="T9057" s="1095">
        <v>-27.733991</v>
      </c>
    </row>
    <row r="9058" spans="16:20">
      <c r="P9058" s="1094">
        <v>4207</v>
      </c>
      <c r="Q9058" t="s">
        <v>9691</v>
      </c>
      <c r="R9058" t="s">
        <v>614</v>
      </c>
      <c r="S9058">
        <v>153.20452299999999</v>
      </c>
      <c r="T9058" s="1095">
        <v>-27.733991</v>
      </c>
    </row>
    <row r="9059" spans="16:20">
      <c r="P9059" s="1094">
        <v>4207</v>
      </c>
      <c r="Q9059" t="s">
        <v>2686</v>
      </c>
      <c r="R9059" t="s">
        <v>614</v>
      </c>
      <c r="S9059">
        <v>153.20452299999999</v>
      </c>
      <c r="T9059" s="1095">
        <v>-27.733991</v>
      </c>
    </row>
    <row r="9060" spans="16:20">
      <c r="P9060" s="1094">
        <v>4207</v>
      </c>
      <c r="Q9060" t="s">
        <v>9692</v>
      </c>
      <c r="R9060" t="s">
        <v>614</v>
      </c>
      <c r="S9060">
        <v>153.20452299999999</v>
      </c>
      <c r="T9060" s="1095">
        <v>-27.733991</v>
      </c>
    </row>
    <row r="9061" spans="16:20">
      <c r="P9061" s="1094">
        <v>4207</v>
      </c>
      <c r="Q9061" t="s">
        <v>9693</v>
      </c>
      <c r="R9061" t="s">
        <v>614</v>
      </c>
      <c r="S9061">
        <v>153.20452299999999</v>
      </c>
      <c r="T9061" s="1095">
        <v>-27.733991</v>
      </c>
    </row>
    <row r="9062" spans="16:20">
      <c r="P9062" s="1094">
        <v>4207</v>
      </c>
      <c r="Q9062" t="s">
        <v>9694</v>
      </c>
      <c r="R9062" t="s">
        <v>614</v>
      </c>
      <c r="S9062">
        <v>153.20452299999999</v>
      </c>
      <c r="T9062" s="1095">
        <v>-27.733991</v>
      </c>
    </row>
    <row r="9063" spans="16:20">
      <c r="P9063" s="1094">
        <v>4207</v>
      </c>
      <c r="Q9063" t="s">
        <v>9695</v>
      </c>
      <c r="R9063" t="s">
        <v>614</v>
      </c>
      <c r="S9063">
        <v>153.20452299999999</v>
      </c>
      <c r="T9063" s="1095">
        <v>-27.733991</v>
      </c>
    </row>
    <row r="9064" spans="16:20">
      <c r="P9064" s="1094">
        <v>4207</v>
      </c>
      <c r="Q9064" t="s">
        <v>9696</v>
      </c>
      <c r="R9064" t="s">
        <v>614</v>
      </c>
      <c r="S9064">
        <v>153.20452299999999</v>
      </c>
      <c r="T9064" s="1095">
        <v>-27.733991</v>
      </c>
    </row>
    <row r="9065" spans="16:20">
      <c r="P9065" s="1094">
        <v>4207</v>
      </c>
      <c r="Q9065" t="s">
        <v>9697</v>
      </c>
      <c r="R9065" t="s">
        <v>614</v>
      </c>
      <c r="S9065">
        <v>153.20452299999999</v>
      </c>
      <c r="T9065" s="1095">
        <v>-27.733991</v>
      </c>
    </row>
    <row r="9066" spans="16:20">
      <c r="P9066" s="1094">
        <v>4207</v>
      </c>
      <c r="Q9066" t="s">
        <v>9698</v>
      </c>
      <c r="R9066" t="s">
        <v>614</v>
      </c>
      <c r="S9066">
        <v>153.20452299999999</v>
      </c>
      <c r="T9066" s="1095">
        <v>-27.733991</v>
      </c>
    </row>
    <row r="9067" spans="16:20">
      <c r="P9067" s="1094">
        <v>4207</v>
      </c>
      <c r="Q9067" t="s">
        <v>7190</v>
      </c>
      <c r="R9067" t="s">
        <v>614</v>
      </c>
      <c r="S9067">
        <v>153.20452299999999</v>
      </c>
      <c r="T9067" s="1095">
        <v>-27.733991</v>
      </c>
    </row>
    <row r="9068" spans="16:20">
      <c r="P9068" s="1094">
        <v>4207</v>
      </c>
      <c r="Q9068" t="s">
        <v>9699</v>
      </c>
      <c r="R9068" t="s">
        <v>614</v>
      </c>
      <c r="S9068">
        <v>153.20452299999999</v>
      </c>
      <c r="T9068" s="1095">
        <v>-27.733991</v>
      </c>
    </row>
    <row r="9069" spans="16:20">
      <c r="P9069" s="1094">
        <v>4207</v>
      </c>
      <c r="Q9069" t="s">
        <v>9700</v>
      </c>
      <c r="R9069" t="s">
        <v>614</v>
      </c>
      <c r="S9069">
        <v>153.20452299999999</v>
      </c>
      <c r="T9069" s="1095">
        <v>-27.733991</v>
      </c>
    </row>
    <row r="9070" spans="16:20">
      <c r="P9070" s="1094">
        <v>4207</v>
      </c>
      <c r="Q9070" t="s">
        <v>9701</v>
      </c>
      <c r="R9070" t="s">
        <v>614</v>
      </c>
      <c r="S9070">
        <v>153.20452299999999</v>
      </c>
      <c r="T9070" s="1095">
        <v>-27.733991</v>
      </c>
    </row>
    <row r="9071" spans="16:20">
      <c r="P9071" s="1094">
        <v>4207</v>
      </c>
      <c r="Q9071" t="s">
        <v>9702</v>
      </c>
      <c r="R9071" t="s">
        <v>614</v>
      </c>
      <c r="S9071">
        <v>153.20452299999999</v>
      </c>
      <c r="T9071" s="1095">
        <v>-27.733991</v>
      </c>
    </row>
    <row r="9072" spans="16:20">
      <c r="P9072" s="1094">
        <v>4207</v>
      </c>
      <c r="Q9072" t="s">
        <v>9703</v>
      </c>
      <c r="R9072" t="s">
        <v>614</v>
      </c>
      <c r="S9072">
        <v>153.20452299999999</v>
      </c>
      <c r="T9072" s="1095">
        <v>-27.733991</v>
      </c>
    </row>
    <row r="9073" spans="16:20">
      <c r="P9073" s="1094">
        <v>4207</v>
      </c>
      <c r="Q9073" t="s">
        <v>9704</v>
      </c>
      <c r="R9073" t="s">
        <v>614</v>
      </c>
      <c r="S9073">
        <v>153.20452299999999</v>
      </c>
      <c r="T9073" s="1095">
        <v>-27.733991</v>
      </c>
    </row>
    <row r="9074" spans="16:20">
      <c r="P9074" s="1094">
        <v>4207</v>
      </c>
      <c r="Q9074" t="s">
        <v>9705</v>
      </c>
      <c r="R9074" t="s">
        <v>614</v>
      </c>
      <c r="S9074">
        <v>153.20452299999999</v>
      </c>
      <c r="T9074" s="1095">
        <v>-27.733991</v>
      </c>
    </row>
    <row r="9075" spans="16:20">
      <c r="P9075" s="1094">
        <v>4208</v>
      </c>
      <c r="Q9075" t="s">
        <v>6389</v>
      </c>
      <c r="R9075" t="s">
        <v>614</v>
      </c>
      <c r="S9075">
        <v>153.27631</v>
      </c>
      <c r="T9075" s="1095">
        <v>-27.767029000000001</v>
      </c>
    </row>
    <row r="9076" spans="16:20">
      <c r="P9076" s="1094">
        <v>4208</v>
      </c>
      <c r="Q9076" t="s">
        <v>6498</v>
      </c>
      <c r="R9076" t="s">
        <v>614</v>
      </c>
      <c r="S9076">
        <v>153.27631</v>
      </c>
      <c r="T9076" s="1095">
        <v>-27.767029000000001</v>
      </c>
    </row>
    <row r="9077" spans="16:20">
      <c r="P9077" s="1094">
        <v>4208</v>
      </c>
      <c r="Q9077" t="s">
        <v>3723</v>
      </c>
      <c r="R9077" t="s">
        <v>614</v>
      </c>
      <c r="S9077">
        <v>153.27631</v>
      </c>
      <c r="T9077" s="1095">
        <v>-27.767029000000001</v>
      </c>
    </row>
    <row r="9078" spans="16:20">
      <c r="P9078" s="1094">
        <v>4208</v>
      </c>
      <c r="Q9078" t="s">
        <v>9706</v>
      </c>
      <c r="R9078" t="s">
        <v>614</v>
      </c>
      <c r="S9078">
        <v>153.27631</v>
      </c>
      <c r="T9078" s="1095">
        <v>-27.767029000000001</v>
      </c>
    </row>
    <row r="9079" spans="16:20">
      <c r="P9079" s="1094">
        <v>4208</v>
      </c>
      <c r="Q9079" t="s">
        <v>9707</v>
      </c>
      <c r="R9079" t="s">
        <v>614</v>
      </c>
      <c r="S9079">
        <v>153.27631</v>
      </c>
      <c r="T9079" s="1095">
        <v>-27.767029000000001</v>
      </c>
    </row>
    <row r="9080" spans="16:20">
      <c r="P9080" s="1094">
        <v>4208</v>
      </c>
      <c r="Q9080" t="s">
        <v>9708</v>
      </c>
      <c r="R9080" t="s">
        <v>614</v>
      </c>
      <c r="S9080">
        <v>153.27631</v>
      </c>
      <c r="T9080" s="1095">
        <v>-27.767029000000001</v>
      </c>
    </row>
    <row r="9081" spans="16:20">
      <c r="P9081" s="1094">
        <v>4208</v>
      </c>
      <c r="Q9081" t="s">
        <v>9709</v>
      </c>
      <c r="R9081" t="s">
        <v>614</v>
      </c>
      <c r="S9081">
        <v>153.27631</v>
      </c>
      <c r="T9081" s="1095">
        <v>-27.767029000000001</v>
      </c>
    </row>
    <row r="9082" spans="16:20">
      <c r="P9082" s="1094">
        <v>4208</v>
      </c>
      <c r="Q9082" t="s">
        <v>9710</v>
      </c>
      <c r="R9082" t="s">
        <v>614</v>
      </c>
      <c r="S9082">
        <v>153.27631</v>
      </c>
      <c r="T9082" s="1095">
        <v>-27.767029000000001</v>
      </c>
    </row>
    <row r="9083" spans="16:20">
      <c r="P9083" s="1094">
        <v>4209</v>
      </c>
      <c r="Q9083" t="s">
        <v>5908</v>
      </c>
      <c r="R9083" t="s">
        <v>614</v>
      </c>
      <c r="S9083">
        <v>153.39289199999999</v>
      </c>
      <c r="T9083" s="1095">
        <v>-27.805498</v>
      </c>
    </row>
    <row r="9084" spans="16:20">
      <c r="P9084" s="1094">
        <v>4209</v>
      </c>
      <c r="Q9084" t="s">
        <v>9711</v>
      </c>
      <c r="R9084" t="s">
        <v>614</v>
      </c>
      <c r="S9084">
        <v>153.39289199999999</v>
      </c>
      <c r="T9084" s="1095">
        <v>-27.805498</v>
      </c>
    </row>
    <row r="9085" spans="16:20">
      <c r="P9085" s="1094">
        <v>4209</v>
      </c>
      <c r="Q9085" t="s">
        <v>9712</v>
      </c>
      <c r="R9085" t="s">
        <v>614</v>
      </c>
      <c r="S9085">
        <v>153.39289199999999</v>
      </c>
      <c r="T9085" s="1095">
        <v>-27.805498</v>
      </c>
    </row>
    <row r="9086" spans="16:20">
      <c r="P9086" s="1094">
        <v>4209</v>
      </c>
      <c r="Q9086" t="s">
        <v>9713</v>
      </c>
      <c r="R9086" t="s">
        <v>614</v>
      </c>
      <c r="S9086">
        <v>153.39289199999999</v>
      </c>
      <c r="T9086" s="1095">
        <v>-27.805498</v>
      </c>
    </row>
    <row r="9087" spans="16:20">
      <c r="P9087" s="1094">
        <v>4209</v>
      </c>
      <c r="Q9087" t="s">
        <v>4264</v>
      </c>
      <c r="R9087" t="s">
        <v>614</v>
      </c>
      <c r="S9087">
        <v>153.39289199999999</v>
      </c>
      <c r="T9087" s="1095">
        <v>-27.805498</v>
      </c>
    </row>
    <row r="9088" spans="16:20">
      <c r="P9088" s="1094">
        <v>4210</v>
      </c>
      <c r="Q9088" t="s">
        <v>9714</v>
      </c>
      <c r="R9088" t="s">
        <v>614</v>
      </c>
      <c r="S9088">
        <v>153.279483</v>
      </c>
      <c r="T9088" s="1095">
        <v>-27.932206999999998</v>
      </c>
    </row>
    <row r="9089" spans="16:20">
      <c r="P9089" s="1094">
        <v>4210</v>
      </c>
      <c r="Q9089" t="s">
        <v>9715</v>
      </c>
      <c r="R9089" t="s">
        <v>614</v>
      </c>
      <c r="S9089">
        <v>153.279483</v>
      </c>
      <c r="T9089" s="1095">
        <v>-27.932206999999998</v>
      </c>
    </row>
    <row r="9090" spans="16:20">
      <c r="P9090" s="1094">
        <v>4210</v>
      </c>
      <c r="Q9090" t="s">
        <v>9716</v>
      </c>
      <c r="R9090" t="s">
        <v>614</v>
      </c>
      <c r="S9090">
        <v>153.279483</v>
      </c>
      <c r="T9090" s="1095">
        <v>-27.932206999999998</v>
      </c>
    </row>
    <row r="9091" spans="16:20">
      <c r="P9091" s="1094">
        <v>4210</v>
      </c>
      <c r="Q9091" t="s">
        <v>9717</v>
      </c>
      <c r="R9091" t="s">
        <v>614</v>
      </c>
      <c r="S9091">
        <v>153.279483</v>
      </c>
      <c r="T9091" s="1095">
        <v>-27.932206999999998</v>
      </c>
    </row>
    <row r="9092" spans="16:20">
      <c r="P9092" s="1094">
        <v>4210</v>
      </c>
      <c r="Q9092" t="s">
        <v>9718</v>
      </c>
      <c r="R9092" t="s">
        <v>614</v>
      </c>
      <c r="S9092">
        <v>153.279483</v>
      </c>
      <c r="T9092" s="1095">
        <v>-27.932206999999998</v>
      </c>
    </row>
    <row r="9093" spans="16:20">
      <c r="P9093" s="1094">
        <v>4211</v>
      </c>
      <c r="Q9093" t="s">
        <v>9719</v>
      </c>
      <c r="R9093" t="s">
        <v>614</v>
      </c>
      <c r="S9093">
        <v>153.24125799999999</v>
      </c>
      <c r="T9093" s="1095">
        <v>-28.035453</v>
      </c>
    </row>
    <row r="9094" spans="16:20">
      <c r="P9094" s="1094">
        <v>4211</v>
      </c>
      <c r="Q9094" t="s">
        <v>9720</v>
      </c>
      <c r="R9094" t="s">
        <v>614</v>
      </c>
      <c r="S9094">
        <v>153.24125799999999</v>
      </c>
      <c r="T9094" s="1095">
        <v>-28.035453</v>
      </c>
    </row>
    <row r="9095" spans="16:20">
      <c r="P9095" s="1094">
        <v>4211</v>
      </c>
      <c r="Q9095" t="s">
        <v>3966</v>
      </c>
      <c r="R9095" t="s">
        <v>614</v>
      </c>
      <c r="S9095">
        <v>153.24125799999999</v>
      </c>
      <c r="T9095" s="1095">
        <v>-28.035453</v>
      </c>
    </row>
    <row r="9096" spans="16:20">
      <c r="P9096" s="1094">
        <v>4211</v>
      </c>
      <c r="Q9096" t="s">
        <v>9721</v>
      </c>
      <c r="R9096" t="s">
        <v>614</v>
      </c>
      <c r="S9096">
        <v>153.24125799999999</v>
      </c>
      <c r="T9096" s="1095">
        <v>-28.035453</v>
      </c>
    </row>
    <row r="9097" spans="16:20">
      <c r="P9097" s="1094">
        <v>4211</v>
      </c>
      <c r="Q9097" t="s">
        <v>9722</v>
      </c>
      <c r="R9097" t="s">
        <v>614</v>
      </c>
      <c r="S9097">
        <v>153.24125799999999</v>
      </c>
      <c r="T9097" s="1095">
        <v>-28.035453</v>
      </c>
    </row>
    <row r="9098" spans="16:20">
      <c r="P9098" s="1094">
        <v>4211</v>
      </c>
      <c r="Q9098" t="s">
        <v>9723</v>
      </c>
      <c r="R9098" t="s">
        <v>614</v>
      </c>
      <c r="S9098">
        <v>153.24125799999999</v>
      </c>
      <c r="T9098" s="1095">
        <v>-28.035453</v>
      </c>
    </row>
    <row r="9099" spans="16:20">
      <c r="P9099" s="1094">
        <v>4211</v>
      </c>
      <c r="Q9099" t="s">
        <v>9724</v>
      </c>
      <c r="R9099" t="s">
        <v>614</v>
      </c>
      <c r="S9099">
        <v>153.24125799999999</v>
      </c>
      <c r="T9099" s="1095">
        <v>-28.035453</v>
      </c>
    </row>
    <row r="9100" spans="16:20">
      <c r="P9100" s="1094">
        <v>4211</v>
      </c>
      <c r="Q9100" t="s">
        <v>9725</v>
      </c>
      <c r="R9100" t="s">
        <v>614</v>
      </c>
      <c r="S9100">
        <v>153.24125799999999</v>
      </c>
      <c r="T9100" s="1095">
        <v>-28.035453</v>
      </c>
    </row>
    <row r="9101" spans="16:20">
      <c r="P9101" s="1094">
        <v>4211</v>
      </c>
      <c r="Q9101" t="s">
        <v>9726</v>
      </c>
      <c r="R9101" t="s">
        <v>614</v>
      </c>
      <c r="S9101">
        <v>153.24125799999999</v>
      </c>
      <c r="T9101" s="1095">
        <v>-28.035453</v>
      </c>
    </row>
    <row r="9102" spans="16:20">
      <c r="P9102" s="1094">
        <v>4211</v>
      </c>
      <c r="Q9102" t="s">
        <v>9727</v>
      </c>
      <c r="R9102" t="s">
        <v>614</v>
      </c>
      <c r="S9102">
        <v>153.24125799999999</v>
      </c>
      <c r="T9102" s="1095">
        <v>-28.035453</v>
      </c>
    </row>
    <row r="9103" spans="16:20">
      <c r="P9103" s="1094">
        <v>4211</v>
      </c>
      <c r="Q9103" t="s">
        <v>9728</v>
      </c>
      <c r="R9103" t="s">
        <v>614</v>
      </c>
      <c r="S9103">
        <v>153.24125799999999</v>
      </c>
      <c r="T9103" s="1095">
        <v>-28.035453</v>
      </c>
    </row>
    <row r="9104" spans="16:20">
      <c r="P9104" s="1094">
        <v>4211</v>
      </c>
      <c r="Q9104" t="s">
        <v>9729</v>
      </c>
      <c r="R9104" t="s">
        <v>614</v>
      </c>
      <c r="S9104">
        <v>153.24125799999999</v>
      </c>
      <c r="T9104" s="1095">
        <v>-28.035453</v>
      </c>
    </row>
    <row r="9105" spans="16:20">
      <c r="P9105" s="1094">
        <v>4211</v>
      </c>
      <c r="Q9105" t="s">
        <v>9730</v>
      </c>
      <c r="R9105" t="s">
        <v>614</v>
      </c>
      <c r="S9105">
        <v>153.24125799999999</v>
      </c>
      <c r="T9105" s="1095">
        <v>-28.035453</v>
      </c>
    </row>
    <row r="9106" spans="16:20">
      <c r="P9106" s="1094">
        <v>4211</v>
      </c>
      <c r="Q9106" t="s">
        <v>9731</v>
      </c>
      <c r="R9106" t="s">
        <v>614</v>
      </c>
      <c r="S9106">
        <v>153.24125799999999</v>
      </c>
      <c r="T9106" s="1095">
        <v>-28.035453</v>
      </c>
    </row>
    <row r="9107" spans="16:20">
      <c r="P9107" s="1094">
        <v>4211</v>
      </c>
      <c r="Q9107" t="s">
        <v>9732</v>
      </c>
      <c r="R9107" t="s">
        <v>614</v>
      </c>
      <c r="S9107">
        <v>153.24125799999999</v>
      </c>
      <c r="T9107" s="1095">
        <v>-28.035453</v>
      </c>
    </row>
    <row r="9108" spans="16:20">
      <c r="P9108" s="1094">
        <v>4211</v>
      </c>
      <c r="Q9108" t="s">
        <v>9733</v>
      </c>
      <c r="R9108" t="s">
        <v>614</v>
      </c>
      <c r="S9108">
        <v>153.24125799999999</v>
      </c>
      <c r="T9108" s="1095">
        <v>-28.035453</v>
      </c>
    </row>
    <row r="9109" spans="16:20">
      <c r="P9109" s="1094">
        <v>4211</v>
      </c>
      <c r="Q9109" t="s">
        <v>9734</v>
      </c>
      <c r="R9109" t="s">
        <v>614</v>
      </c>
      <c r="S9109">
        <v>153.24125799999999</v>
      </c>
      <c r="T9109" s="1095">
        <v>-28.035453</v>
      </c>
    </row>
    <row r="9110" spans="16:20">
      <c r="P9110" s="1094">
        <v>4211</v>
      </c>
      <c r="Q9110" t="s">
        <v>9735</v>
      </c>
      <c r="R9110" t="s">
        <v>614</v>
      </c>
      <c r="S9110">
        <v>153.24125799999999</v>
      </c>
      <c r="T9110" s="1095">
        <v>-28.035453</v>
      </c>
    </row>
    <row r="9111" spans="16:20">
      <c r="P9111" s="1094">
        <v>4211</v>
      </c>
      <c r="Q9111" t="s">
        <v>9736</v>
      </c>
      <c r="R9111" t="s">
        <v>614</v>
      </c>
      <c r="S9111">
        <v>153.24125799999999</v>
      </c>
      <c r="T9111" s="1095">
        <v>-28.035453</v>
      </c>
    </row>
    <row r="9112" spans="16:20">
      <c r="P9112" s="1094">
        <v>4211</v>
      </c>
      <c r="Q9112" t="s">
        <v>9737</v>
      </c>
      <c r="R9112" t="s">
        <v>614</v>
      </c>
      <c r="S9112">
        <v>153.24125799999999</v>
      </c>
      <c r="T9112" s="1095">
        <v>-28.035453</v>
      </c>
    </row>
    <row r="9113" spans="16:20">
      <c r="P9113" s="1094">
        <v>4212</v>
      </c>
      <c r="Q9113" t="s">
        <v>9738</v>
      </c>
      <c r="R9113" t="s">
        <v>614</v>
      </c>
      <c r="S9113">
        <v>153.360694</v>
      </c>
      <c r="T9113" s="1095">
        <v>-27.869823</v>
      </c>
    </row>
    <row r="9114" spans="16:20">
      <c r="P9114" s="1094">
        <v>4212</v>
      </c>
      <c r="Q9114" t="s">
        <v>9739</v>
      </c>
      <c r="R9114" t="s">
        <v>614</v>
      </c>
      <c r="S9114">
        <v>153.360694</v>
      </c>
      <c r="T9114" s="1095">
        <v>-27.869823</v>
      </c>
    </row>
    <row r="9115" spans="16:20">
      <c r="P9115" s="1094">
        <v>4212</v>
      </c>
      <c r="Q9115" t="s">
        <v>9740</v>
      </c>
      <c r="R9115" t="s">
        <v>614</v>
      </c>
      <c r="S9115">
        <v>153.360694</v>
      </c>
      <c r="T9115" s="1095">
        <v>-27.869823</v>
      </c>
    </row>
    <row r="9116" spans="16:20">
      <c r="P9116" s="1094">
        <v>4212</v>
      </c>
      <c r="Q9116" t="s">
        <v>9741</v>
      </c>
      <c r="R9116" t="s">
        <v>614</v>
      </c>
      <c r="S9116">
        <v>153.360694</v>
      </c>
      <c r="T9116" s="1095">
        <v>-27.869823</v>
      </c>
    </row>
    <row r="9117" spans="16:20">
      <c r="P9117" s="1094">
        <v>4212</v>
      </c>
      <c r="Q9117" t="s">
        <v>9742</v>
      </c>
      <c r="R9117" t="s">
        <v>614</v>
      </c>
      <c r="S9117">
        <v>153.360694</v>
      </c>
      <c r="T9117" s="1095">
        <v>-27.869823</v>
      </c>
    </row>
    <row r="9118" spans="16:20">
      <c r="P9118" s="1094">
        <v>4212</v>
      </c>
      <c r="Q9118" t="s">
        <v>9743</v>
      </c>
      <c r="R9118" t="s">
        <v>614</v>
      </c>
      <c r="S9118">
        <v>153.360694</v>
      </c>
      <c r="T9118" s="1095">
        <v>-27.869823</v>
      </c>
    </row>
    <row r="9119" spans="16:20">
      <c r="P9119" s="1094">
        <v>4213</v>
      </c>
      <c r="Q9119" t="s">
        <v>9744</v>
      </c>
      <c r="R9119" t="s">
        <v>614</v>
      </c>
      <c r="S9119">
        <v>153.318916</v>
      </c>
      <c r="T9119" s="1095">
        <v>-28.110164000000001</v>
      </c>
    </row>
    <row r="9120" spans="16:20">
      <c r="P9120" s="1094">
        <v>4213</v>
      </c>
      <c r="Q9120" t="s">
        <v>9745</v>
      </c>
      <c r="R9120" t="s">
        <v>614</v>
      </c>
      <c r="S9120">
        <v>153.318916</v>
      </c>
      <c r="T9120" s="1095">
        <v>-28.110164000000001</v>
      </c>
    </row>
    <row r="9121" spans="16:20">
      <c r="P9121" s="1094">
        <v>4213</v>
      </c>
      <c r="Q9121" t="s">
        <v>9746</v>
      </c>
      <c r="R9121" t="s">
        <v>614</v>
      </c>
      <c r="S9121">
        <v>153.318916</v>
      </c>
      <c r="T9121" s="1095">
        <v>-28.110164000000001</v>
      </c>
    </row>
    <row r="9122" spans="16:20">
      <c r="P9122" s="1094">
        <v>4213</v>
      </c>
      <c r="Q9122" t="s">
        <v>9747</v>
      </c>
      <c r="R9122" t="s">
        <v>614</v>
      </c>
      <c r="S9122">
        <v>153.318916</v>
      </c>
      <c r="T9122" s="1095">
        <v>-28.110164000000001</v>
      </c>
    </row>
    <row r="9123" spans="16:20">
      <c r="P9123" s="1094">
        <v>4213</v>
      </c>
      <c r="Q9123" t="s">
        <v>9748</v>
      </c>
      <c r="R9123" t="s">
        <v>614</v>
      </c>
      <c r="S9123">
        <v>153.318916</v>
      </c>
      <c r="T9123" s="1095">
        <v>-28.110164000000001</v>
      </c>
    </row>
    <row r="9124" spans="16:20">
      <c r="P9124" s="1094">
        <v>4213</v>
      </c>
      <c r="Q9124" t="s">
        <v>9749</v>
      </c>
      <c r="R9124" t="s">
        <v>614</v>
      </c>
      <c r="S9124">
        <v>153.318916</v>
      </c>
      <c r="T9124" s="1095">
        <v>-28.110164000000001</v>
      </c>
    </row>
    <row r="9125" spans="16:20">
      <c r="P9125" s="1094">
        <v>4214</v>
      </c>
      <c r="Q9125" t="s">
        <v>9750</v>
      </c>
      <c r="R9125" t="s">
        <v>614</v>
      </c>
      <c r="S9125">
        <v>153.365576</v>
      </c>
      <c r="T9125" s="1095">
        <v>-27.967005</v>
      </c>
    </row>
    <row r="9126" spans="16:20">
      <c r="P9126" s="1094">
        <v>4214</v>
      </c>
      <c r="Q9126" t="s">
        <v>9751</v>
      </c>
      <c r="R9126" t="s">
        <v>614</v>
      </c>
      <c r="S9126">
        <v>153.365576</v>
      </c>
      <c r="T9126" s="1095">
        <v>-27.967005</v>
      </c>
    </row>
    <row r="9127" spans="16:20">
      <c r="P9127" s="1094">
        <v>4214</v>
      </c>
      <c r="Q9127" t="s">
        <v>9752</v>
      </c>
      <c r="R9127" t="s">
        <v>614</v>
      </c>
      <c r="S9127">
        <v>153.365576</v>
      </c>
      <c r="T9127" s="1095">
        <v>-27.967005</v>
      </c>
    </row>
    <row r="9128" spans="16:20">
      <c r="P9128" s="1094">
        <v>4214</v>
      </c>
      <c r="Q9128" t="s">
        <v>9753</v>
      </c>
      <c r="R9128" t="s">
        <v>614</v>
      </c>
      <c r="S9128">
        <v>153.365576</v>
      </c>
      <c r="T9128" s="1095">
        <v>-27.967005</v>
      </c>
    </row>
    <row r="9129" spans="16:20">
      <c r="P9129" s="1094">
        <v>4214</v>
      </c>
      <c r="Q9129" t="s">
        <v>9754</v>
      </c>
      <c r="R9129" t="s">
        <v>614</v>
      </c>
      <c r="S9129">
        <v>153.365576</v>
      </c>
      <c r="T9129" s="1095">
        <v>-27.967005</v>
      </c>
    </row>
    <row r="9130" spans="16:20">
      <c r="P9130" s="1094">
        <v>4214</v>
      </c>
      <c r="Q9130" t="s">
        <v>9755</v>
      </c>
      <c r="R9130" t="s">
        <v>614</v>
      </c>
      <c r="S9130">
        <v>153.365576</v>
      </c>
      <c r="T9130" s="1095">
        <v>-27.967005</v>
      </c>
    </row>
    <row r="9131" spans="16:20">
      <c r="P9131" s="1094">
        <v>4214</v>
      </c>
      <c r="Q9131" t="s">
        <v>7152</v>
      </c>
      <c r="R9131" t="s">
        <v>614</v>
      </c>
      <c r="S9131">
        <v>153.365576</v>
      </c>
      <c r="T9131" s="1095">
        <v>-27.967005</v>
      </c>
    </row>
    <row r="9132" spans="16:20">
      <c r="P9132" s="1094">
        <v>4215</v>
      </c>
      <c r="Q9132" t="s">
        <v>9756</v>
      </c>
      <c r="R9132" t="s">
        <v>614</v>
      </c>
      <c r="S9132">
        <v>153.397952</v>
      </c>
      <c r="T9132" s="1095">
        <v>-27.967134000000001</v>
      </c>
    </row>
    <row r="9133" spans="16:20">
      <c r="P9133" s="1094">
        <v>4215</v>
      </c>
      <c r="Q9133" t="s">
        <v>9757</v>
      </c>
      <c r="R9133" t="s">
        <v>614</v>
      </c>
      <c r="S9133">
        <v>153.397952</v>
      </c>
      <c r="T9133" s="1095">
        <v>-27.967134000000001</v>
      </c>
    </row>
    <row r="9134" spans="16:20">
      <c r="P9134" s="1094">
        <v>4215</v>
      </c>
      <c r="Q9134" t="s">
        <v>9758</v>
      </c>
      <c r="R9134" t="s">
        <v>614</v>
      </c>
      <c r="S9134">
        <v>153.397952</v>
      </c>
      <c r="T9134" s="1095">
        <v>-27.967134000000001</v>
      </c>
    </row>
    <row r="9135" spans="16:20">
      <c r="P9135" s="1094">
        <v>4215</v>
      </c>
      <c r="Q9135" t="s">
        <v>9759</v>
      </c>
      <c r="R9135" t="s">
        <v>614</v>
      </c>
      <c r="S9135">
        <v>153.397952</v>
      </c>
      <c r="T9135" s="1095">
        <v>-27.967134000000001</v>
      </c>
    </row>
    <row r="9136" spans="16:20">
      <c r="P9136" s="1094">
        <v>4215</v>
      </c>
      <c r="Q9136" t="s">
        <v>1504</v>
      </c>
      <c r="R9136" t="s">
        <v>614</v>
      </c>
      <c r="S9136">
        <v>153.397952</v>
      </c>
      <c r="T9136" s="1095">
        <v>-27.967134000000001</v>
      </c>
    </row>
    <row r="9137" spans="16:20">
      <c r="P9137" s="1094">
        <v>4215</v>
      </c>
      <c r="Q9137" t="s">
        <v>9760</v>
      </c>
      <c r="R9137" t="s">
        <v>614</v>
      </c>
      <c r="S9137">
        <v>153.397952</v>
      </c>
      <c r="T9137" s="1095">
        <v>-27.967134000000001</v>
      </c>
    </row>
    <row r="9138" spans="16:20">
      <c r="P9138" s="1094">
        <v>4215</v>
      </c>
      <c r="Q9138" t="s">
        <v>9761</v>
      </c>
      <c r="R9138" t="s">
        <v>614</v>
      </c>
      <c r="S9138">
        <v>153.397952</v>
      </c>
      <c r="T9138" s="1095">
        <v>-27.967134000000001</v>
      </c>
    </row>
    <row r="9139" spans="16:20">
      <c r="P9139" s="1094">
        <v>4215</v>
      </c>
      <c r="Q9139" t="s">
        <v>9762</v>
      </c>
      <c r="R9139" t="s">
        <v>614</v>
      </c>
      <c r="S9139">
        <v>153.397952</v>
      </c>
      <c r="T9139" s="1095">
        <v>-27.967134000000001</v>
      </c>
    </row>
    <row r="9140" spans="16:20">
      <c r="P9140" s="1094">
        <v>4216</v>
      </c>
      <c r="Q9140" t="s">
        <v>9763</v>
      </c>
      <c r="R9140" t="s">
        <v>614</v>
      </c>
      <c r="S9140">
        <v>153.41940500000001</v>
      </c>
      <c r="T9140" s="1095">
        <v>-27.839347</v>
      </c>
    </row>
    <row r="9141" spans="16:20">
      <c r="P9141" s="1094">
        <v>4216</v>
      </c>
      <c r="Q9141" t="s">
        <v>9764</v>
      </c>
      <c r="R9141" t="s">
        <v>614</v>
      </c>
      <c r="S9141">
        <v>153.41940500000001</v>
      </c>
      <c r="T9141" s="1095">
        <v>-27.839347</v>
      </c>
    </row>
    <row r="9142" spans="16:20">
      <c r="P9142" s="1094">
        <v>4216</v>
      </c>
      <c r="Q9142" t="s">
        <v>9765</v>
      </c>
      <c r="R9142" t="s">
        <v>614</v>
      </c>
      <c r="S9142">
        <v>153.41940500000001</v>
      </c>
      <c r="T9142" s="1095">
        <v>-27.839347</v>
      </c>
    </row>
    <row r="9143" spans="16:20">
      <c r="P9143" s="1094">
        <v>4216</v>
      </c>
      <c r="Q9143" t="s">
        <v>9766</v>
      </c>
      <c r="R9143" t="s">
        <v>614</v>
      </c>
      <c r="S9143">
        <v>153.41940500000001</v>
      </c>
      <c r="T9143" s="1095">
        <v>-27.839347</v>
      </c>
    </row>
    <row r="9144" spans="16:20">
      <c r="P9144" s="1094">
        <v>4216</v>
      </c>
      <c r="Q9144" t="s">
        <v>9767</v>
      </c>
      <c r="R9144" t="s">
        <v>614</v>
      </c>
      <c r="S9144">
        <v>153.41940500000001</v>
      </c>
      <c r="T9144" s="1095">
        <v>-27.839347</v>
      </c>
    </row>
    <row r="9145" spans="16:20">
      <c r="P9145" s="1094">
        <v>4216</v>
      </c>
      <c r="Q9145" t="s">
        <v>9768</v>
      </c>
      <c r="R9145" t="s">
        <v>614</v>
      </c>
      <c r="S9145">
        <v>153.41940500000001</v>
      </c>
      <c r="T9145" s="1095">
        <v>-27.839347</v>
      </c>
    </row>
    <row r="9146" spans="16:20">
      <c r="P9146" s="1094">
        <v>4216</v>
      </c>
      <c r="Q9146" t="s">
        <v>9769</v>
      </c>
      <c r="R9146" t="s">
        <v>614</v>
      </c>
      <c r="S9146">
        <v>153.41940500000001</v>
      </c>
      <c r="T9146" s="1095">
        <v>-27.839347</v>
      </c>
    </row>
    <row r="9147" spans="16:20">
      <c r="P9147" s="1094">
        <v>4216</v>
      </c>
      <c r="Q9147" t="s">
        <v>9770</v>
      </c>
      <c r="R9147" t="s">
        <v>614</v>
      </c>
      <c r="S9147">
        <v>153.41940500000001</v>
      </c>
      <c r="T9147" s="1095">
        <v>-27.839347</v>
      </c>
    </row>
    <row r="9148" spans="16:20">
      <c r="P9148" s="1094">
        <v>4216</v>
      </c>
      <c r="Q9148" t="s">
        <v>9771</v>
      </c>
      <c r="R9148" t="s">
        <v>614</v>
      </c>
      <c r="S9148">
        <v>153.41940500000001</v>
      </c>
      <c r="T9148" s="1095">
        <v>-27.839347</v>
      </c>
    </row>
    <row r="9149" spans="16:20">
      <c r="P9149" s="1094">
        <v>4216</v>
      </c>
      <c r="Q9149" t="s">
        <v>9772</v>
      </c>
      <c r="R9149" t="s">
        <v>614</v>
      </c>
      <c r="S9149">
        <v>153.41940500000001</v>
      </c>
      <c r="T9149" s="1095">
        <v>-27.839347</v>
      </c>
    </row>
    <row r="9150" spans="16:20">
      <c r="P9150" s="1094">
        <v>4217</v>
      </c>
      <c r="Q9150" t="s">
        <v>9773</v>
      </c>
      <c r="R9150" t="s">
        <v>614</v>
      </c>
      <c r="S9150">
        <v>153.41219699999999</v>
      </c>
      <c r="T9150" s="1095">
        <v>-28.008783000000001</v>
      </c>
    </row>
    <row r="9151" spans="16:20">
      <c r="P9151" s="1094">
        <v>4217</v>
      </c>
      <c r="Q9151" t="s">
        <v>9774</v>
      </c>
      <c r="R9151" t="s">
        <v>614</v>
      </c>
      <c r="S9151">
        <v>153.41219699999999</v>
      </c>
      <c r="T9151" s="1095">
        <v>-28.008783000000001</v>
      </c>
    </row>
    <row r="9152" spans="16:20">
      <c r="P9152" s="1094">
        <v>4217</v>
      </c>
      <c r="Q9152" t="s">
        <v>9775</v>
      </c>
      <c r="R9152" t="s">
        <v>614</v>
      </c>
      <c r="S9152">
        <v>153.41219699999999</v>
      </c>
      <c r="T9152" s="1095">
        <v>-28.008783000000001</v>
      </c>
    </row>
    <row r="9153" spans="16:20">
      <c r="P9153" s="1094">
        <v>4217</v>
      </c>
      <c r="Q9153" t="s">
        <v>9776</v>
      </c>
      <c r="R9153" t="s">
        <v>614</v>
      </c>
      <c r="S9153">
        <v>153.41219699999999</v>
      </c>
      <c r="T9153" s="1095">
        <v>-28.008783000000001</v>
      </c>
    </row>
    <row r="9154" spans="16:20">
      <c r="P9154" s="1094">
        <v>4217</v>
      </c>
      <c r="Q9154" t="s">
        <v>9777</v>
      </c>
      <c r="R9154" t="s">
        <v>614</v>
      </c>
      <c r="S9154">
        <v>153.41219699999999</v>
      </c>
      <c r="T9154" s="1095">
        <v>-28.008783000000001</v>
      </c>
    </row>
    <row r="9155" spans="16:20">
      <c r="P9155" s="1094">
        <v>4217</v>
      </c>
      <c r="Q9155" t="s">
        <v>9778</v>
      </c>
      <c r="R9155" t="s">
        <v>614</v>
      </c>
      <c r="S9155">
        <v>153.41219699999999</v>
      </c>
      <c r="T9155" s="1095">
        <v>-28.008783000000001</v>
      </c>
    </row>
    <row r="9156" spans="16:20">
      <c r="P9156" s="1094">
        <v>4217</v>
      </c>
      <c r="Q9156" t="s">
        <v>9779</v>
      </c>
      <c r="R9156" t="s">
        <v>614</v>
      </c>
      <c r="S9156">
        <v>153.41219699999999</v>
      </c>
      <c r="T9156" s="1095">
        <v>-28.008783000000001</v>
      </c>
    </row>
    <row r="9157" spans="16:20">
      <c r="P9157" s="1094">
        <v>4217</v>
      </c>
      <c r="Q9157" t="s">
        <v>9780</v>
      </c>
      <c r="R9157" t="s">
        <v>614</v>
      </c>
      <c r="S9157">
        <v>153.41219699999999</v>
      </c>
      <c r="T9157" s="1095">
        <v>-28.008783000000001</v>
      </c>
    </row>
    <row r="9158" spans="16:20">
      <c r="P9158" s="1094">
        <v>4217</v>
      </c>
      <c r="Q9158" t="s">
        <v>9781</v>
      </c>
      <c r="R9158" t="s">
        <v>614</v>
      </c>
      <c r="S9158">
        <v>153.41219699999999</v>
      </c>
      <c r="T9158" s="1095">
        <v>-28.008783000000001</v>
      </c>
    </row>
    <row r="9159" spans="16:20">
      <c r="P9159" s="1094">
        <v>4217</v>
      </c>
      <c r="Q9159" t="s">
        <v>9782</v>
      </c>
      <c r="R9159" t="s">
        <v>614</v>
      </c>
      <c r="S9159">
        <v>153.41219699999999</v>
      </c>
      <c r="T9159" s="1095">
        <v>-28.008783000000001</v>
      </c>
    </row>
    <row r="9160" spans="16:20">
      <c r="P9160" s="1094">
        <v>4217</v>
      </c>
      <c r="Q9160" t="s">
        <v>9149</v>
      </c>
      <c r="R9160" t="s">
        <v>614</v>
      </c>
      <c r="S9160">
        <v>153.41219699999999</v>
      </c>
      <c r="T9160" s="1095">
        <v>-28.008783000000001</v>
      </c>
    </row>
    <row r="9161" spans="16:20">
      <c r="P9161" s="1094">
        <v>4217</v>
      </c>
      <c r="Q9161" t="s">
        <v>9783</v>
      </c>
      <c r="R9161" t="s">
        <v>614</v>
      </c>
      <c r="S9161">
        <v>153.41219699999999</v>
      </c>
      <c r="T9161" s="1095">
        <v>-28.008783000000001</v>
      </c>
    </row>
    <row r="9162" spans="16:20">
      <c r="P9162" s="1094">
        <v>4217</v>
      </c>
      <c r="Q9162" t="s">
        <v>9784</v>
      </c>
      <c r="R9162" t="s">
        <v>614</v>
      </c>
      <c r="S9162">
        <v>153.41219699999999</v>
      </c>
      <c r="T9162" s="1095">
        <v>-28.008783000000001</v>
      </c>
    </row>
    <row r="9163" spans="16:20">
      <c r="P9163" s="1094">
        <v>4218</v>
      </c>
      <c r="Q9163" t="s">
        <v>9785</v>
      </c>
      <c r="R9163" t="s">
        <v>614</v>
      </c>
      <c r="S9163">
        <v>153.41692</v>
      </c>
      <c r="T9163" s="1095">
        <v>-28.037627000000001</v>
      </c>
    </row>
    <row r="9164" spans="16:20">
      <c r="P9164" s="1094">
        <v>4218</v>
      </c>
      <c r="Q9164" t="s">
        <v>9786</v>
      </c>
      <c r="R9164" t="s">
        <v>614</v>
      </c>
      <c r="S9164">
        <v>153.41692</v>
      </c>
      <c r="T9164" s="1095">
        <v>-28.037627000000001</v>
      </c>
    </row>
    <row r="9165" spans="16:20">
      <c r="P9165" s="1094">
        <v>4218</v>
      </c>
      <c r="Q9165" t="s">
        <v>9787</v>
      </c>
      <c r="R9165" t="s">
        <v>614</v>
      </c>
      <c r="S9165">
        <v>153.41692</v>
      </c>
      <c r="T9165" s="1095">
        <v>-28.037627000000001</v>
      </c>
    </row>
    <row r="9166" spans="16:20">
      <c r="P9166" s="1094">
        <v>4218</v>
      </c>
      <c r="Q9166" t="s">
        <v>9788</v>
      </c>
      <c r="R9166" t="s">
        <v>614</v>
      </c>
      <c r="S9166">
        <v>153.41692</v>
      </c>
      <c r="T9166" s="1095">
        <v>-28.037627000000001</v>
      </c>
    </row>
    <row r="9167" spans="16:20">
      <c r="P9167" s="1094">
        <v>4218</v>
      </c>
      <c r="Q9167" t="s">
        <v>9789</v>
      </c>
      <c r="R9167" t="s">
        <v>614</v>
      </c>
      <c r="S9167">
        <v>153.41692</v>
      </c>
      <c r="T9167" s="1095">
        <v>-28.037627000000001</v>
      </c>
    </row>
    <row r="9168" spans="16:20">
      <c r="P9168" s="1094">
        <v>4218</v>
      </c>
      <c r="Q9168" t="s">
        <v>9790</v>
      </c>
      <c r="R9168" t="s">
        <v>614</v>
      </c>
      <c r="S9168">
        <v>153.41692</v>
      </c>
      <c r="T9168" s="1095">
        <v>-28.037627000000001</v>
      </c>
    </row>
    <row r="9169" spans="16:20">
      <c r="P9169" s="1094">
        <v>4218</v>
      </c>
      <c r="Q9169" t="s">
        <v>9791</v>
      </c>
      <c r="R9169" t="s">
        <v>614</v>
      </c>
      <c r="S9169">
        <v>153.41692</v>
      </c>
      <c r="T9169" s="1095">
        <v>-28.037627000000001</v>
      </c>
    </row>
    <row r="9170" spans="16:20">
      <c r="P9170" s="1094">
        <v>4218</v>
      </c>
      <c r="Q9170" t="s">
        <v>9792</v>
      </c>
      <c r="R9170" t="s">
        <v>614</v>
      </c>
      <c r="S9170">
        <v>153.41692</v>
      </c>
      <c r="T9170" s="1095">
        <v>-28.037627000000001</v>
      </c>
    </row>
    <row r="9171" spans="16:20">
      <c r="P9171" s="1094">
        <v>4218</v>
      </c>
      <c r="Q9171" t="s">
        <v>9793</v>
      </c>
      <c r="R9171" t="s">
        <v>614</v>
      </c>
      <c r="S9171">
        <v>153.41692</v>
      </c>
      <c r="T9171" s="1095">
        <v>-28.037627000000001</v>
      </c>
    </row>
    <row r="9172" spans="16:20">
      <c r="P9172" s="1094">
        <v>4218</v>
      </c>
      <c r="Q9172" t="s">
        <v>9794</v>
      </c>
      <c r="R9172" t="s">
        <v>614</v>
      </c>
      <c r="S9172">
        <v>153.41692</v>
      </c>
      <c r="T9172" s="1095">
        <v>-28.037627000000001</v>
      </c>
    </row>
    <row r="9173" spans="16:20">
      <c r="P9173" s="1094">
        <v>4218</v>
      </c>
      <c r="Q9173" t="s">
        <v>9795</v>
      </c>
      <c r="R9173" t="s">
        <v>614</v>
      </c>
      <c r="S9173">
        <v>153.41692</v>
      </c>
      <c r="T9173" s="1095">
        <v>-28.037627000000001</v>
      </c>
    </row>
    <row r="9174" spans="16:20">
      <c r="P9174" s="1094">
        <v>4218</v>
      </c>
      <c r="Q9174" t="s">
        <v>9796</v>
      </c>
      <c r="R9174" t="s">
        <v>614</v>
      </c>
      <c r="S9174">
        <v>153.41692</v>
      </c>
      <c r="T9174" s="1095">
        <v>-28.037627000000001</v>
      </c>
    </row>
    <row r="9175" spans="16:20">
      <c r="P9175" s="1094">
        <v>4218</v>
      </c>
      <c r="Q9175" t="s">
        <v>9797</v>
      </c>
      <c r="R9175" t="s">
        <v>614</v>
      </c>
      <c r="S9175">
        <v>153.41692</v>
      </c>
      <c r="T9175" s="1095">
        <v>-28.037627000000001</v>
      </c>
    </row>
    <row r="9176" spans="16:20">
      <c r="P9176" s="1094">
        <v>4218</v>
      </c>
      <c r="Q9176" t="s">
        <v>9798</v>
      </c>
      <c r="R9176" t="s">
        <v>614</v>
      </c>
      <c r="S9176">
        <v>153.41692</v>
      </c>
      <c r="T9176" s="1095">
        <v>-28.037627000000001</v>
      </c>
    </row>
    <row r="9177" spans="16:20">
      <c r="P9177" s="1094">
        <v>4219</v>
      </c>
      <c r="Q9177" t="s">
        <v>9799</v>
      </c>
      <c r="R9177" t="s">
        <v>614</v>
      </c>
      <c r="S9177">
        <v>153.43419700000001</v>
      </c>
      <c r="T9177" s="1095">
        <v>-28.111747999999999</v>
      </c>
    </row>
    <row r="9178" spans="16:20">
      <c r="P9178" s="1094">
        <v>4220</v>
      </c>
      <c r="Q9178" t="s">
        <v>9800</v>
      </c>
      <c r="R9178" t="s">
        <v>614</v>
      </c>
      <c r="S9178">
        <v>153.434406</v>
      </c>
      <c r="T9178" s="1095">
        <v>-28.084952000000001</v>
      </c>
    </row>
    <row r="9179" spans="16:20">
      <c r="P9179" s="1094">
        <v>4220</v>
      </c>
      <c r="Q9179" t="s">
        <v>9801</v>
      </c>
      <c r="R9179" t="s">
        <v>614</v>
      </c>
      <c r="S9179">
        <v>153.434406</v>
      </c>
      <c r="T9179" s="1095">
        <v>-28.084952000000001</v>
      </c>
    </row>
    <row r="9180" spans="16:20">
      <c r="P9180" s="1094">
        <v>4220</v>
      </c>
      <c r="Q9180" t="s">
        <v>9802</v>
      </c>
      <c r="R9180" t="s">
        <v>614</v>
      </c>
      <c r="S9180">
        <v>153.434406</v>
      </c>
      <c r="T9180" s="1095">
        <v>-28.084952000000001</v>
      </c>
    </row>
    <row r="9181" spans="16:20">
      <c r="P9181" s="1094">
        <v>4220</v>
      </c>
      <c r="Q9181" t="s">
        <v>9803</v>
      </c>
      <c r="R9181" t="s">
        <v>614</v>
      </c>
      <c r="S9181">
        <v>153.434406</v>
      </c>
      <c r="T9181" s="1095">
        <v>-28.084952000000001</v>
      </c>
    </row>
    <row r="9182" spans="16:20">
      <c r="P9182" s="1094">
        <v>4220</v>
      </c>
      <c r="Q9182" t="s">
        <v>9804</v>
      </c>
      <c r="R9182" t="s">
        <v>614</v>
      </c>
      <c r="S9182">
        <v>153.434406</v>
      </c>
      <c r="T9182" s="1095">
        <v>-28.084952000000001</v>
      </c>
    </row>
    <row r="9183" spans="16:20">
      <c r="P9183" s="1094">
        <v>4220</v>
      </c>
      <c r="Q9183" t="s">
        <v>9805</v>
      </c>
      <c r="R9183" t="s">
        <v>614</v>
      </c>
      <c r="S9183">
        <v>153.434406</v>
      </c>
      <c r="T9183" s="1095">
        <v>-28.084952000000001</v>
      </c>
    </row>
    <row r="9184" spans="16:20">
      <c r="P9184" s="1094">
        <v>4220</v>
      </c>
      <c r="Q9184" t="s">
        <v>9806</v>
      </c>
      <c r="R9184" t="s">
        <v>614</v>
      </c>
      <c r="S9184">
        <v>153.434406</v>
      </c>
      <c r="T9184" s="1095">
        <v>-28.084952000000001</v>
      </c>
    </row>
    <row r="9185" spans="16:20">
      <c r="P9185" s="1094">
        <v>4221</v>
      </c>
      <c r="Q9185" t="s">
        <v>9807</v>
      </c>
      <c r="R9185" t="s">
        <v>614</v>
      </c>
      <c r="S9185">
        <v>153.45837</v>
      </c>
      <c r="T9185" s="1095">
        <v>-28.127323000000001</v>
      </c>
    </row>
    <row r="9186" spans="16:20">
      <c r="P9186" s="1094">
        <v>4221</v>
      </c>
      <c r="Q9186" t="s">
        <v>1961</v>
      </c>
      <c r="R9186" t="s">
        <v>614</v>
      </c>
      <c r="S9186">
        <v>153.45837</v>
      </c>
      <c r="T9186" s="1095">
        <v>-28.127323000000001</v>
      </c>
    </row>
    <row r="9187" spans="16:20">
      <c r="P9187" s="1094">
        <v>4222</v>
      </c>
      <c r="Q9187" t="s">
        <v>9544</v>
      </c>
      <c r="R9187" t="s">
        <v>614</v>
      </c>
      <c r="S9187">
        <v>0</v>
      </c>
      <c r="T9187" s="1095">
        <v>0</v>
      </c>
    </row>
    <row r="9188" spans="16:20">
      <c r="P9188" s="1094">
        <v>4223</v>
      </c>
      <c r="Q9188" t="s">
        <v>9808</v>
      </c>
      <c r="R9188" t="s">
        <v>614</v>
      </c>
      <c r="S9188">
        <v>153.415088</v>
      </c>
      <c r="T9188" s="1095">
        <v>-28.190760000000001</v>
      </c>
    </row>
    <row r="9189" spans="16:20">
      <c r="P9189" s="1094">
        <v>4223</v>
      </c>
      <c r="Q9189" t="s">
        <v>9809</v>
      </c>
      <c r="R9189" t="s">
        <v>614</v>
      </c>
      <c r="S9189">
        <v>153.415088</v>
      </c>
      <c r="T9189" s="1095">
        <v>-28.190760000000001</v>
      </c>
    </row>
    <row r="9190" spans="16:20">
      <c r="P9190" s="1094">
        <v>4223</v>
      </c>
      <c r="Q9190" t="s">
        <v>9810</v>
      </c>
      <c r="R9190" t="s">
        <v>614</v>
      </c>
      <c r="S9190">
        <v>153.415088</v>
      </c>
      <c r="T9190" s="1095">
        <v>-28.190760000000001</v>
      </c>
    </row>
    <row r="9191" spans="16:20">
      <c r="P9191" s="1094">
        <v>4223</v>
      </c>
      <c r="Q9191" t="s">
        <v>9811</v>
      </c>
      <c r="R9191" t="s">
        <v>614</v>
      </c>
      <c r="S9191">
        <v>153.415088</v>
      </c>
      <c r="T9191" s="1095">
        <v>-28.190760000000001</v>
      </c>
    </row>
    <row r="9192" spans="16:20">
      <c r="P9192" s="1094">
        <v>4224</v>
      </c>
      <c r="Q9192" t="s">
        <v>9812</v>
      </c>
      <c r="R9192" t="s">
        <v>614</v>
      </c>
      <c r="S9192">
        <v>153.48933199999999</v>
      </c>
      <c r="T9192" s="1095">
        <v>-28.150224000000001</v>
      </c>
    </row>
    <row r="9193" spans="16:20">
      <c r="P9193" s="1094">
        <v>4224</v>
      </c>
      <c r="Q9193" t="s">
        <v>9813</v>
      </c>
      <c r="R9193" t="s">
        <v>614</v>
      </c>
      <c r="S9193">
        <v>153.48933199999999</v>
      </c>
      <c r="T9193" s="1095">
        <v>-28.150224000000001</v>
      </c>
    </row>
    <row r="9194" spans="16:20">
      <c r="P9194" s="1094">
        <v>4225</v>
      </c>
      <c r="Q9194" t="s">
        <v>9814</v>
      </c>
      <c r="R9194" t="s">
        <v>614</v>
      </c>
      <c r="S9194">
        <v>153.51733300000001</v>
      </c>
      <c r="T9194" s="1095">
        <v>-28.168786999999998</v>
      </c>
    </row>
    <row r="9195" spans="16:20">
      <c r="P9195" s="1094">
        <v>4225</v>
      </c>
      <c r="Q9195" t="s">
        <v>4273</v>
      </c>
      <c r="R9195" t="s">
        <v>614</v>
      </c>
      <c r="S9195">
        <v>153.51733300000001</v>
      </c>
      <c r="T9195" s="1095">
        <v>-28.168786999999998</v>
      </c>
    </row>
    <row r="9196" spans="16:20">
      <c r="P9196" s="1094">
        <v>4225</v>
      </c>
      <c r="Q9196" t="s">
        <v>9815</v>
      </c>
      <c r="R9196" t="s">
        <v>614</v>
      </c>
      <c r="S9196">
        <v>153.51733300000001</v>
      </c>
      <c r="T9196" s="1095">
        <v>-28.168786999999998</v>
      </c>
    </row>
    <row r="9197" spans="16:20">
      <c r="P9197" s="1094">
        <v>4225</v>
      </c>
      <c r="Q9197" t="s">
        <v>9816</v>
      </c>
      <c r="R9197" t="s">
        <v>614</v>
      </c>
      <c r="S9197">
        <v>153.51733300000001</v>
      </c>
      <c r="T9197" s="1095">
        <v>-28.168786999999998</v>
      </c>
    </row>
    <row r="9198" spans="16:20">
      <c r="P9198" s="1094">
        <v>4225</v>
      </c>
      <c r="Q9198" t="s">
        <v>9817</v>
      </c>
      <c r="R9198" t="s">
        <v>614</v>
      </c>
      <c r="S9198">
        <v>153.51733300000001</v>
      </c>
      <c r="T9198" s="1095">
        <v>-28.168786999999998</v>
      </c>
    </row>
    <row r="9199" spans="16:20">
      <c r="P9199" s="1094">
        <v>4226</v>
      </c>
      <c r="Q9199" t="s">
        <v>9818</v>
      </c>
      <c r="R9199" t="s">
        <v>614</v>
      </c>
      <c r="S9199">
        <v>153.40281999999999</v>
      </c>
      <c r="T9199" s="1095">
        <v>-28.06794</v>
      </c>
    </row>
    <row r="9200" spans="16:20">
      <c r="P9200" s="1094">
        <v>4226</v>
      </c>
      <c r="Q9200" t="s">
        <v>9819</v>
      </c>
      <c r="R9200" t="s">
        <v>614</v>
      </c>
      <c r="S9200">
        <v>153.40281999999999</v>
      </c>
      <c r="T9200" s="1095">
        <v>-28.06794</v>
      </c>
    </row>
    <row r="9201" spans="16:20">
      <c r="P9201" s="1094">
        <v>4226</v>
      </c>
      <c r="Q9201" t="s">
        <v>9820</v>
      </c>
      <c r="R9201" t="s">
        <v>614</v>
      </c>
      <c r="S9201">
        <v>153.40281999999999</v>
      </c>
      <c r="T9201" s="1095">
        <v>-28.06794</v>
      </c>
    </row>
    <row r="9202" spans="16:20">
      <c r="P9202" s="1094">
        <v>4226</v>
      </c>
      <c r="Q9202" t="s">
        <v>9821</v>
      </c>
      <c r="R9202" t="s">
        <v>614</v>
      </c>
      <c r="S9202">
        <v>153.40281999999999</v>
      </c>
      <c r="T9202" s="1095">
        <v>-28.06794</v>
      </c>
    </row>
    <row r="9203" spans="16:20">
      <c r="P9203" s="1094">
        <v>4226</v>
      </c>
      <c r="Q9203" t="s">
        <v>9822</v>
      </c>
      <c r="R9203" t="s">
        <v>614</v>
      </c>
      <c r="S9203">
        <v>153.40281999999999</v>
      </c>
      <c r="T9203" s="1095">
        <v>-28.06794</v>
      </c>
    </row>
    <row r="9204" spans="16:20">
      <c r="P9204" s="1094">
        <v>4227</v>
      </c>
      <c r="Q9204" t="s">
        <v>2778</v>
      </c>
      <c r="R9204" t="s">
        <v>614</v>
      </c>
      <c r="S9204">
        <v>153.410392</v>
      </c>
      <c r="T9204" s="1095">
        <v>-28.101891999999999</v>
      </c>
    </row>
    <row r="9205" spans="16:20">
      <c r="P9205" s="1094">
        <v>4227</v>
      </c>
      <c r="Q9205" t="s">
        <v>9823</v>
      </c>
      <c r="R9205" t="s">
        <v>614</v>
      </c>
      <c r="S9205">
        <v>153.410392</v>
      </c>
      <c r="T9205" s="1095">
        <v>-28.101891999999999</v>
      </c>
    </row>
    <row r="9206" spans="16:20">
      <c r="P9206" s="1094">
        <v>4228</v>
      </c>
      <c r="Q9206" t="s">
        <v>1935</v>
      </c>
      <c r="R9206" t="s">
        <v>614</v>
      </c>
      <c r="S9206">
        <v>153.37738999999999</v>
      </c>
      <c r="T9206" s="1095">
        <v>-28.182084</v>
      </c>
    </row>
    <row r="9207" spans="16:20">
      <c r="P9207" s="1094">
        <v>4228</v>
      </c>
      <c r="Q9207" t="s">
        <v>9824</v>
      </c>
      <c r="R9207" t="s">
        <v>614</v>
      </c>
      <c r="S9207">
        <v>153.37738999999999</v>
      </c>
      <c r="T9207" s="1095">
        <v>-28.182084</v>
      </c>
    </row>
    <row r="9208" spans="16:20">
      <c r="P9208" s="1094">
        <v>4228</v>
      </c>
      <c r="Q9208" t="s">
        <v>9825</v>
      </c>
      <c r="R9208" t="s">
        <v>614</v>
      </c>
      <c r="S9208">
        <v>153.37738999999999</v>
      </c>
      <c r="T9208" s="1095">
        <v>-28.182084</v>
      </c>
    </row>
    <row r="9209" spans="16:20">
      <c r="P9209" s="1094">
        <v>4229</v>
      </c>
      <c r="Q9209" t="s">
        <v>9826</v>
      </c>
      <c r="R9209" t="s">
        <v>614</v>
      </c>
      <c r="S9209">
        <v>153.41313600000001</v>
      </c>
      <c r="T9209" s="1095">
        <v>-28.077891999999999</v>
      </c>
    </row>
    <row r="9210" spans="16:20">
      <c r="P9210" s="1094">
        <v>4230</v>
      </c>
      <c r="Q9210" t="s">
        <v>9827</v>
      </c>
      <c r="R9210" t="s">
        <v>614</v>
      </c>
      <c r="S9210">
        <v>0</v>
      </c>
      <c r="T9210" s="1095">
        <v>0</v>
      </c>
    </row>
    <row r="9211" spans="16:20">
      <c r="P9211" s="1094">
        <v>4270</v>
      </c>
      <c r="Q9211" t="s">
        <v>9828</v>
      </c>
      <c r="R9211" t="s">
        <v>614</v>
      </c>
      <c r="S9211">
        <v>153.13556600000001</v>
      </c>
      <c r="T9211" s="1095">
        <v>-27.862348999999998</v>
      </c>
    </row>
    <row r="9212" spans="16:20">
      <c r="P9212" s="1094">
        <v>4270</v>
      </c>
      <c r="Q9212" t="s">
        <v>9829</v>
      </c>
      <c r="R9212" t="s">
        <v>614</v>
      </c>
      <c r="S9212">
        <v>153.13556600000001</v>
      </c>
      <c r="T9212" s="1095">
        <v>-27.862348999999998</v>
      </c>
    </row>
    <row r="9213" spans="16:20">
      <c r="P9213" s="1094">
        <v>4271</v>
      </c>
      <c r="Q9213" t="s">
        <v>9830</v>
      </c>
      <c r="R9213" t="s">
        <v>614</v>
      </c>
      <c r="S9213">
        <v>153.201472</v>
      </c>
      <c r="T9213" s="1095">
        <v>-27.918379999999999</v>
      </c>
    </row>
    <row r="9214" spans="16:20">
      <c r="P9214" s="1094">
        <v>4272</v>
      </c>
      <c r="Q9214" t="s">
        <v>9831</v>
      </c>
      <c r="R9214" t="s">
        <v>614</v>
      </c>
      <c r="S9214">
        <v>153.18342899999999</v>
      </c>
      <c r="T9214" s="1095">
        <v>-27.960815</v>
      </c>
    </row>
    <row r="9215" spans="16:20">
      <c r="P9215" s="1094">
        <v>4272</v>
      </c>
      <c r="Q9215" t="s">
        <v>9832</v>
      </c>
      <c r="R9215" t="s">
        <v>614</v>
      </c>
      <c r="S9215">
        <v>153.18342899999999</v>
      </c>
      <c r="T9215" s="1095">
        <v>-27.960815</v>
      </c>
    </row>
    <row r="9216" spans="16:20">
      <c r="P9216" s="1094">
        <v>4275</v>
      </c>
      <c r="Q9216" t="s">
        <v>9833</v>
      </c>
      <c r="R9216" t="s">
        <v>614</v>
      </c>
      <c r="S9216">
        <v>153.134987</v>
      </c>
      <c r="T9216" s="1095">
        <v>-28.111411</v>
      </c>
    </row>
    <row r="9217" spans="16:20">
      <c r="P9217" s="1094">
        <v>4275</v>
      </c>
      <c r="Q9217" t="s">
        <v>9834</v>
      </c>
      <c r="R9217" t="s">
        <v>614</v>
      </c>
      <c r="S9217">
        <v>153.134987</v>
      </c>
      <c r="T9217" s="1095">
        <v>-28.111411</v>
      </c>
    </row>
    <row r="9218" spans="16:20">
      <c r="P9218" s="1094">
        <v>4275</v>
      </c>
      <c r="Q9218" t="s">
        <v>9835</v>
      </c>
      <c r="R9218" t="s">
        <v>614</v>
      </c>
      <c r="S9218">
        <v>153.134987</v>
      </c>
      <c r="T9218" s="1095">
        <v>-28.111411</v>
      </c>
    </row>
    <row r="9219" spans="16:20">
      <c r="P9219" s="1094">
        <v>4275</v>
      </c>
      <c r="Q9219" t="s">
        <v>9836</v>
      </c>
      <c r="R9219" t="s">
        <v>614</v>
      </c>
      <c r="S9219">
        <v>153.134987</v>
      </c>
      <c r="T9219" s="1095">
        <v>-28.111411</v>
      </c>
    </row>
    <row r="9220" spans="16:20">
      <c r="P9220" s="1094">
        <v>4275</v>
      </c>
      <c r="Q9220" t="s">
        <v>9837</v>
      </c>
      <c r="R9220" t="s">
        <v>614</v>
      </c>
      <c r="S9220">
        <v>153.134987</v>
      </c>
      <c r="T9220" s="1095">
        <v>-28.111411</v>
      </c>
    </row>
    <row r="9221" spans="16:20">
      <c r="P9221" s="1094">
        <v>4275</v>
      </c>
      <c r="Q9221" t="s">
        <v>9838</v>
      </c>
      <c r="R9221" t="s">
        <v>614</v>
      </c>
      <c r="S9221">
        <v>153.134987</v>
      </c>
      <c r="T9221" s="1095">
        <v>-28.111411</v>
      </c>
    </row>
    <row r="9222" spans="16:20">
      <c r="P9222" s="1094">
        <v>4275</v>
      </c>
      <c r="Q9222" t="s">
        <v>9839</v>
      </c>
      <c r="R9222" t="s">
        <v>614</v>
      </c>
      <c r="S9222">
        <v>153.134987</v>
      </c>
      <c r="T9222" s="1095">
        <v>-28.111411</v>
      </c>
    </row>
    <row r="9223" spans="16:20">
      <c r="P9223" s="1094">
        <v>4275</v>
      </c>
      <c r="Q9223" t="s">
        <v>9840</v>
      </c>
      <c r="R9223" t="s">
        <v>614</v>
      </c>
      <c r="S9223">
        <v>153.134987</v>
      </c>
      <c r="T9223" s="1095">
        <v>-28.111411</v>
      </c>
    </row>
    <row r="9224" spans="16:20">
      <c r="P9224" s="1094">
        <v>4275</v>
      </c>
      <c r="Q9224" t="s">
        <v>9841</v>
      </c>
      <c r="R9224" t="s">
        <v>614</v>
      </c>
      <c r="S9224">
        <v>153.134987</v>
      </c>
      <c r="T9224" s="1095">
        <v>-28.111411</v>
      </c>
    </row>
    <row r="9225" spans="16:20">
      <c r="P9225" s="1094">
        <v>4275</v>
      </c>
      <c r="Q9225" t="s">
        <v>9842</v>
      </c>
      <c r="R9225" t="s">
        <v>614</v>
      </c>
      <c r="S9225">
        <v>153.134987</v>
      </c>
      <c r="T9225" s="1095">
        <v>-28.111411</v>
      </c>
    </row>
    <row r="9226" spans="16:20">
      <c r="P9226" s="1094">
        <v>4275</v>
      </c>
      <c r="Q9226" t="s">
        <v>9843</v>
      </c>
      <c r="R9226" t="s">
        <v>614</v>
      </c>
      <c r="S9226">
        <v>153.134987</v>
      </c>
      <c r="T9226" s="1095">
        <v>-28.111411</v>
      </c>
    </row>
    <row r="9227" spans="16:20">
      <c r="P9227" s="1094">
        <v>4275</v>
      </c>
      <c r="Q9227" t="s">
        <v>9844</v>
      </c>
      <c r="R9227" t="s">
        <v>614</v>
      </c>
      <c r="S9227">
        <v>153.134987</v>
      </c>
      <c r="T9227" s="1095">
        <v>-28.111411</v>
      </c>
    </row>
    <row r="9228" spans="16:20">
      <c r="P9228" s="1094">
        <v>4275</v>
      </c>
      <c r="Q9228" t="s">
        <v>9845</v>
      </c>
      <c r="R9228" t="s">
        <v>614</v>
      </c>
      <c r="S9228">
        <v>153.134987</v>
      </c>
      <c r="T9228" s="1095">
        <v>-28.111411</v>
      </c>
    </row>
    <row r="9229" spans="16:20">
      <c r="P9229" s="1094">
        <v>4280</v>
      </c>
      <c r="Q9229" t="s">
        <v>9846</v>
      </c>
      <c r="R9229" t="s">
        <v>614</v>
      </c>
      <c r="S9229">
        <v>153.048563</v>
      </c>
      <c r="T9229" s="1095">
        <v>-27.816089999999999</v>
      </c>
    </row>
    <row r="9230" spans="16:20">
      <c r="P9230" s="1094">
        <v>4280</v>
      </c>
      <c r="Q9230" t="s">
        <v>3788</v>
      </c>
      <c r="R9230" t="s">
        <v>614</v>
      </c>
      <c r="S9230">
        <v>153.048563</v>
      </c>
      <c r="T9230" s="1095">
        <v>-27.816089999999999</v>
      </c>
    </row>
    <row r="9231" spans="16:20">
      <c r="P9231" s="1094">
        <v>4280</v>
      </c>
      <c r="Q9231" t="s">
        <v>9847</v>
      </c>
      <c r="R9231" t="s">
        <v>614</v>
      </c>
      <c r="S9231">
        <v>153.048563</v>
      </c>
      <c r="T9231" s="1095">
        <v>-27.816089999999999</v>
      </c>
    </row>
    <row r="9232" spans="16:20">
      <c r="P9232" s="1094">
        <v>4280</v>
      </c>
      <c r="Q9232" t="s">
        <v>9848</v>
      </c>
      <c r="R9232" t="s">
        <v>614</v>
      </c>
      <c r="S9232">
        <v>153.048563</v>
      </c>
      <c r="T9232" s="1095">
        <v>-27.816089999999999</v>
      </c>
    </row>
    <row r="9233" spans="16:20">
      <c r="P9233" s="1094">
        <v>4280</v>
      </c>
      <c r="Q9233" t="s">
        <v>9849</v>
      </c>
      <c r="R9233" t="s">
        <v>614</v>
      </c>
      <c r="S9233">
        <v>153.048563</v>
      </c>
      <c r="T9233" s="1095">
        <v>-27.816089999999999</v>
      </c>
    </row>
    <row r="9234" spans="16:20">
      <c r="P9234" s="1094">
        <v>4285</v>
      </c>
      <c r="Q9234" t="s">
        <v>9850</v>
      </c>
      <c r="R9234" t="s">
        <v>614</v>
      </c>
      <c r="S9234">
        <v>152.975131</v>
      </c>
      <c r="T9234" s="1095">
        <v>-28.056978999999998</v>
      </c>
    </row>
    <row r="9235" spans="16:20">
      <c r="P9235" s="1094">
        <v>4285</v>
      </c>
      <c r="Q9235" t="s">
        <v>9851</v>
      </c>
      <c r="R9235" t="s">
        <v>614</v>
      </c>
      <c r="S9235">
        <v>152.975131</v>
      </c>
      <c r="T9235" s="1095">
        <v>-28.056978999999998</v>
      </c>
    </row>
    <row r="9236" spans="16:20">
      <c r="P9236" s="1094">
        <v>4285</v>
      </c>
      <c r="Q9236" t="s">
        <v>9852</v>
      </c>
      <c r="R9236" t="s">
        <v>614</v>
      </c>
      <c r="S9236">
        <v>152.975131</v>
      </c>
      <c r="T9236" s="1095">
        <v>-28.056978999999998</v>
      </c>
    </row>
    <row r="9237" spans="16:20">
      <c r="P9237" s="1094">
        <v>4285</v>
      </c>
      <c r="Q9237" t="s">
        <v>9853</v>
      </c>
      <c r="R9237" t="s">
        <v>614</v>
      </c>
      <c r="S9237">
        <v>152.975131</v>
      </c>
      <c r="T9237" s="1095">
        <v>-28.056978999999998</v>
      </c>
    </row>
    <row r="9238" spans="16:20">
      <c r="P9238" s="1094">
        <v>4285</v>
      </c>
      <c r="Q9238" t="s">
        <v>9854</v>
      </c>
      <c r="R9238" t="s">
        <v>614</v>
      </c>
      <c r="S9238">
        <v>152.975131</v>
      </c>
      <c r="T9238" s="1095">
        <v>-28.056978999999998</v>
      </c>
    </row>
    <row r="9239" spans="16:20">
      <c r="P9239" s="1094">
        <v>4285</v>
      </c>
      <c r="Q9239" t="s">
        <v>9855</v>
      </c>
      <c r="R9239" t="s">
        <v>614</v>
      </c>
      <c r="S9239">
        <v>152.975131</v>
      </c>
      <c r="T9239" s="1095">
        <v>-28.056978999999998</v>
      </c>
    </row>
    <row r="9240" spans="16:20">
      <c r="P9240" s="1094">
        <v>4285</v>
      </c>
      <c r="Q9240" t="s">
        <v>9856</v>
      </c>
      <c r="R9240" t="s">
        <v>614</v>
      </c>
      <c r="S9240">
        <v>152.975131</v>
      </c>
      <c r="T9240" s="1095">
        <v>-28.056978999999998</v>
      </c>
    </row>
    <row r="9241" spans="16:20">
      <c r="P9241" s="1094">
        <v>4285</v>
      </c>
      <c r="Q9241" t="s">
        <v>9857</v>
      </c>
      <c r="R9241" t="s">
        <v>614</v>
      </c>
      <c r="S9241">
        <v>152.975131</v>
      </c>
      <c r="T9241" s="1095">
        <v>-28.056978999999998</v>
      </c>
    </row>
    <row r="9242" spans="16:20">
      <c r="P9242" s="1094">
        <v>4285</v>
      </c>
      <c r="Q9242" t="s">
        <v>9858</v>
      </c>
      <c r="R9242" t="s">
        <v>614</v>
      </c>
      <c r="S9242">
        <v>152.975131</v>
      </c>
      <c r="T9242" s="1095">
        <v>-28.056978999999998</v>
      </c>
    </row>
    <row r="9243" spans="16:20">
      <c r="P9243" s="1094">
        <v>4285</v>
      </c>
      <c r="Q9243" t="s">
        <v>9859</v>
      </c>
      <c r="R9243" t="s">
        <v>614</v>
      </c>
      <c r="S9243">
        <v>152.975131</v>
      </c>
      <c r="T9243" s="1095">
        <v>-28.056978999999998</v>
      </c>
    </row>
    <row r="9244" spans="16:20">
      <c r="P9244" s="1094">
        <v>4285</v>
      </c>
      <c r="Q9244" t="s">
        <v>1734</v>
      </c>
      <c r="R9244" t="s">
        <v>614</v>
      </c>
      <c r="S9244">
        <v>152.975131</v>
      </c>
      <c r="T9244" s="1095">
        <v>-28.056978999999998</v>
      </c>
    </row>
    <row r="9245" spans="16:20">
      <c r="P9245" s="1094">
        <v>4285</v>
      </c>
      <c r="Q9245" t="s">
        <v>9860</v>
      </c>
      <c r="R9245" t="s">
        <v>614</v>
      </c>
      <c r="S9245">
        <v>152.975131</v>
      </c>
      <c r="T9245" s="1095">
        <v>-28.056978999999998</v>
      </c>
    </row>
    <row r="9246" spans="16:20">
      <c r="P9246" s="1094">
        <v>4285</v>
      </c>
      <c r="Q9246" t="s">
        <v>9861</v>
      </c>
      <c r="R9246" t="s">
        <v>614</v>
      </c>
      <c r="S9246">
        <v>152.975131</v>
      </c>
      <c r="T9246" s="1095">
        <v>-28.056978999999998</v>
      </c>
    </row>
    <row r="9247" spans="16:20">
      <c r="P9247" s="1094">
        <v>4285</v>
      </c>
      <c r="Q9247" t="s">
        <v>9862</v>
      </c>
      <c r="R9247" t="s">
        <v>614</v>
      </c>
      <c r="S9247">
        <v>152.975131</v>
      </c>
      <c r="T9247" s="1095">
        <v>-28.056978999999998</v>
      </c>
    </row>
    <row r="9248" spans="16:20">
      <c r="P9248" s="1094">
        <v>4285</v>
      </c>
      <c r="Q9248" t="s">
        <v>9863</v>
      </c>
      <c r="R9248" t="s">
        <v>614</v>
      </c>
      <c r="S9248">
        <v>152.975131</v>
      </c>
      <c r="T9248" s="1095">
        <v>-28.056978999999998</v>
      </c>
    </row>
    <row r="9249" spans="16:20">
      <c r="P9249" s="1094">
        <v>4285</v>
      </c>
      <c r="Q9249" t="s">
        <v>9864</v>
      </c>
      <c r="R9249" t="s">
        <v>614</v>
      </c>
      <c r="S9249">
        <v>152.975131</v>
      </c>
      <c r="T9249" s="1095">
        <v>-28.056978999999998</v>
      </c>
    </row>
    <row r="9250" spans="16:20">
      <c r="P9250" s="1094">
        <v>4285</v>
      </c>
      <c r="Q9250" t="s">
        <v>9865</v>
      </c>
      <c r="R9250" t="s">
        <v>614</v>
      </c>
      <c r="S9250">
        <v>152.975131</v>
      </c>
      <c r="T9250" s="1095">
        <v>-28.056978999999998</v>
      </c>
    </row>
    <row r="9251" spans="16:20">
      <c r="P9251" s="1094">
        <v>4285</v>
      </c>
      <c r="Q9251" t="s">
        <v>9866</v>
      </c>
      <c r="R9251" t="s">
        <v>614</v>
      </c>
      <c r="S9251">
        <v>152.975131</v>
      </c>
      <c r="T9251" s="1095">
        <v>-28.056978999999998</v>
      </c>
    </row>
    <row r="9252" spans="16:20">
      <c r="P9252" s="1094">
        <v>4285</v>
      </c>
      <c r="Q9252" t="s">
        <v>9867</v>
      </c>
      <c r="R9252" t="s">
        <v>614</v>
      </c>
      <c r="S9252">
        <v>152.975131</v>
      </c>
      <c r="T9252" s="1095">
        <v>-28.056978999999998</v>
      </c>
    </row>
    <row r="9253" spans="16:20">
      <c r="P9253" s="1094">
        <v>4285</v>
      </c>
      <c r="Q9253" t="s">
        <v>9868</v>
      </c>
      <c r="R9253" t="s">
        <v>614</v>
      </c>
      <c r="S9253">
        <v>152.975131</v>
      </c>
      <c r="T9253" s="1095">
        <v>-28.056978999999998</v>
      </c>
    </row>
    <row r="9254" spans="16:20">
      <c r="P9254" s="1094">
        <v>4285</v>
      </c>
      <c r="Q9254" t="s">
        <v>9869</v>
      </c>
      <c r="R9254" t="s">
        <v>614</v>
      </c>
      <c r="S9254">
        <v>152.975131</v>
      </c>
      <c r="T9254" s="1095">
        <v>-28.056978999999998</v>
      </c>
    </row>
    <row r="9255" spans="16:20">
      <c r="P9255" s="1094">
        <v>4285</v>
      </c>
      <c r="Q9255" t="s">
        <v>9870</v>
      </c>
      <c r="R9255" t="s">
        <v>614</v>
      </c>
      <c r="S9255">
        <v>152.975131</v>
      </c>
      <c r="T9255" s="1095">
        <v>-28.056978999999998</v>
      </c>
    </row>
    <row r="9256" spans="16:20">
      <c r="P9256" s="1094">
        <v>4285</v>
      </c>
      <c r="Q9256" t="s">
        <v>6320</v>
      </c>
      <c r="R9256" t="s">
        <v>614</v>
      </c>
      <c r="S9256">
        <v>152.975131</v>
      </c>
      <c r="T9256" s="1095">
        <v>-28.056978999999998</v>
      </c>
    </row>
    <row r="9257" spans="16:20">
      <c r="P9257" s="1094">
        <v>4285</v>
      </c>
      <c r="Q9257" t="s">
        <v>9871</v>
      </c>
      <c r="R9257" t="s">
        <v>614</v>
      </c>
      <c r="S9257">
        <v>152.975131</v>
      </c>
      <c r="T9257" s="1095">
        <v>-28.056978999999998</v>
      </c>
    </row>
    <row r="9258" spans="16:20">
      <c r="P9258" s="1094">
        <v>4285</v>
      </c>
      <c r="Q9258" t="s">
        <v>9872</v>
      </c>
      <c r="R9258" t="s">
        <v>614</v>
      </c>
      <c r="S9258">
        <v>152.975131</v>
      </c>
      <c r="T9258" s="1095">
        <v>-28.056978999999998</v>
      </c>
    </row>
    <row r="9259" spans="16:20">
      <c r="P9259" s="1094">
        <v>4285</v>
      </c>
      <c r="Q9259" t="s">
        <v>9873</v>
      </c>
      <c r="R9259" t="s">
        <v>614</v>
      </c>
      <c r="S9259">
        <v>152.975131</v>
      </c>
      <c r="T9259" s="1095">
        <v>-28.056978999999998</v>
      </c>
    </row>
    <row r="9260" spans="16:20">
      <c r="P9260" s="1094">
        <v>4285</v>
      </c>
      <c r="Q9260" t="s">
        <v>9874</v>
      </c>
      <c r="R9260" t="s">
        <v>614</v>
      </c>
      <c r="S9260">
        <v>152.975131</v>
      </c>
      <c r="T9260" s="1095">
        <v>-28.056978999999998</v>
      </c>
    </row>
    <row r="9261" spans="16:20">
      <c r="P9261" s="1094">
        <v>4285</v>
      </c>
      <c r="Q9261" t="s">
        <v>9875</v>
      </c>
      <c r="R9261" t="s">
        <v>614</v>
      </c>
      <c r="S9261">
        <v>152.975131</v>
      </c>
      <c r="T9261" s="1095">
        <v>-28.056978999999998</v>
      </c>
    </row>
    <row r="9262" spans="16:20">
      <c r="P9262" s="1094">
        <v>4285</v>
      </c>
      <c r="Q9262" t="s">
        <v>9876</v>
      </c>
      <c r="R9262" t="s">
        <v>614</v>
      </c>
      <c r="S9262">
        <v>152.975131</v>
      </c>
      <c r="T9262" s="1095">
        <v>-28.056978999999998</v>
      </c>
    </row>
    <row r="9263" spans="16:20">
      <c r="P9263" s="1094">
        <v>4285</v>
      </c>
      <c r="Q9263" t="s">
        <v>9877</v>
      </c>
      <c r="R9263" t="s">
        <v>614</v>
      </c>
      <c r="S9263">
        <v>152.975131</v>
      </c>
      <c r="T9263" s="1095">
        <v>-28.056978999999998</v>
      </c>
    </row>
    <row r="9264" spans="16:20">
      <c r="P9264" s="1094">
        <v>4285</v>
      </c>
      <c r="Q9264" t="s">
        <v>9878</v>
      </c>
      <c r="R9264" t="s">
        <v>614</v>
      </c>
      <c r="S9264">
        <v>152.975131</v>
      </c>
      <c r="T9264" s="1095">
        <v>-28.056978999999998</v>
      </c>
    </row>
    <row r="9265" spans="16:20">
      <c r="P9265" s="1094">
        <v>4285</v>
      </c>
      <c r="Q9265" t="s">
        <v>9879</v>
      </c>
      <c r="R9265" t="s">
        <v>614</v>
      </c>
      <c r="S9265">
        <v>152.975131</v>
      </c>
      <c r="T9265" s="1095">
        <v>-28.056978999999998</v>
      </c>
    </row>
    <row r="9266" spans="16:20">
      <c r="P9266" s="1094">
        <v>4285</v>
      </c>
      <c r="Q9266" t="s">
        <v>9880</v>
      </c>
      <c r="R9266" t="s">
        <v>614</v>
      </c>
      <c r="S9266">
        <v>152.975131</v>
      </c>
      <c r="T9266" s="1095">
        <v>-28.056978999999998</v>
      </c>
    </row>
    <row r="9267" spans="16:20">
      <c r="P9267" s="1094">
        <v>4285</v>
      </c>
      <c r="Q9267" t="s">
        <v>4278</v>
      </c>
      <c r="R9267" t="s">
        <v>614</v>
      </c>
      <c r="S9267">
        <v>152.975131</v>
      </c>
      <c r="T9267" s="1095">
        <v>-28.056978999999998</v>
      </c>
    </row>
    <row r="9268" spans="16:20">
      <c r="P9268" s="1094">
        <v>4287</v>
      </c>
      <c r="Q9268" t="s">
        <v>9881</v>
      </c>
      <c r="R9268" t="s">
        <v>614</v>
      </c>
      <c r="S9268">
        <v>152.822971</v>
      </c>
      <c r="T9268" s="1095">
        <v>-28.259143000000002</v>
      </c>
    </row>
    <row r="9269" spans="16:20">
      <c r="P9269" s="1094">
        <v>4287</v>
      </c>
      <c r="Q9269" t="s">
        <v>9882</v>
      </c>
      <c r="R9269" t="s">
        <v>614</v>
      </c>
      <c r="S9269">
        <v>152.822971</v>
      </c>
      <c r="T9269" s="1095">
        <v>-28.259143000000002</v>
      </c>
    </row>
    <row r="9270" spans="16:20">
      <c r="P9270" s="1094">
        <v>4287</v>
      </c>
      <c r="Q9270" t="s">
        <v>9883</v>
      </c>
      <c r="R9270" t="s">
        <v>614</v>
      </c>
      <c r="S9270">
        <v>152.822971</v>
      </c>
      <c r="T9270" s="1095">
        <v>-28.259143000000002</v>
      </c>
    </row>
    <row r="9271" spans="16:20">
      <c r="P9271" s="1094">
        <v>4287</v>
      </c>
      <c r="Q9271" t="s">
        <v>9884</v>
      </c>
      <c r="R9271" t="s">
        <v>614</v>
      </c>
      <c r="S9271">
        <v>152.822971</v>
      </c>
      <c r="T9271" s="1095">
        <v>-28.259143000000002</v>
      </c>
    </row>
    <row r="9272" spans="16:20">
      <c r="P9272" s="1094">
        <v>4287</v>
      </c>
      <c r="Q9272" t="s">
        <v>9885</v>
      </c>
      <c r="R9272" t="s">
        <v>614</v>
      </c>
      <c r="S9272">
        <v>152.822971</v>
      </c>
      <c r="T9272" s="1095">
        <v>-28.259143000000002</v>
      </c>
    </row>
    <row r="9273" spans="16:20">
      <c r="P9273" s="1094">
        <v>4287</v>
      </c>
      <c r="Q9273" t="s">
        <v>8484</v>
      </c>
      <c r="R9273" t="s">
        <v>614</v>
      </c>
      <c r="S9273">
        <v>152.822971</v>
      </c>
      <c r="T9273" s="1095">
        <v>-28.259143000000002</v>
      </c>
    </row>
    <row r="9274" spans="16:20">
      <c r="P9274" s="1094">
        <v>4300</v>
      </c>
      <c r="Q9274" t="s">
        <v>9886</v>
      </c>
      <c r="R9274" t="s">
        <v>614</v>
      </c>
      <c r="S9274">
        <v>152.88499899999999</v>
      </c>
      <c r="T9274" s="1095">
        <v>-27.682272999999999</v>
      </c>
    </row>
    <row r="9275" spans="16:20">
      <c r="P9275" s="1094">
        <v>4300</v>
      </c>
      <c r="Q9275" t="s">
        <v>9887</v>
      </c>
      <c r="R9275" t="s">
        <v>614</v>
      </c>
      <c r="S9275">
        <v>152.88499899999999</v>
      </c>
      <c r="T9275" s="1095">
        <v>-27.682272999999999</v>
      </c>
    </row>
    <row r="9276" spans="16:20">
      <c r="P9276" s="1094">
        <v>4300</v>
      </c>
      <c r="Q9276" t="s">
        <v>9888</v>
      </c>
      <c r="R9276" t="s">
        <v>614</v>
      </c>
      <c r="S9276">
        <v>152.88499899999999</v>
      </c>
      <c r="T9276" s="1095">
        <v>-27.682272999999999</v>
      </c>
    </row>
    <row r="9277" spans="16:20">
      <c r="P9277" s="1094">
        <v>4300</v>
      </c>
      <c r="Q9277" t="s">
        <v>3815</v>
      </c>
      <c r="R9277" t="s">
        <v>614</v>
      </c>
      <c r="S9277">
        <v>152.88499899999999</v>
      </c>
      <c r="T9277" s="1095">
        <v>-27.682272999999999</v>
      </c>
    </row>
    <row r="9278" spans="16:20">
      <c r="P9278" s="1094">
        <v>4300</v>
      </c>
      <c r="Q9278" t="s">
        <v>9889</v>
      </c>
      <c r="R9278" t="s">
        <v>614</v>
      </c>
      <c r="S9278">
        <v>152.88499899999999</v>
      </c>
      <c r="T9278" s="1095">
        <v>-27.682272999999999</v>
      </c>
    </row>
    <row r="9279" spans="16:20">
      <c r="P9279" s="1094">
        <v>4300</v>
      </c>
      <c r="Q9279" t="s">
        <v>9890</v>
      </c>
      <c r="R9279" t="s">
        <v>614</v>
      </c>
      <c r="S9279">
        <v>152.88499899999999</v>
      </c>
      <c r="T9279" s="1095">
        <v>-27.682272999999999</v>
      </c>
    </row>
    <row r="9280" spans="16:20">
      <c r="P9280" s="1094">
        <v>4300</v>
      </c>
      <c r="Q9280" t="s">
        <v>9891</v>
      </c>
      <c r="R9280" t="s">
        <v>614</v>
      </c>
      <c r="S9280">
        <v>152.88499899999999</v>
      </c>
      <c r="T9280" s="1095">
        <v>-27.682272999999999</v>
      </c>
    </row>
    <row r="9281" spans="16:20">
      <c r="P9281" s="1094">
        <v>4300</v>
      </c>
      <c r="Q9281" t="s">
        <v>9892</v>
      </c>
      <c r="R9281" t="s">
        <v>614</v>
      </c>
      <c r="S9281">
        <v>152.88499899999999</v>
      </c>
      <c r="T9281" s="1095">
        <v>-27.682272999999999</v>
      </c>
    </row>
    <row r="9282" spans="16:20">
      <c r="P9282" s="1094">
        <v>4300</v>
      </c>
      <c r="Q9282" t="s">
        <v>9893</v>
      </c>
      <c r="R9282" t="s">
        <v>614</v>
      </c>
      <c r="S9282">
        <v>152.88499899999999</v>
      </c>
      <c r="T9282" s="1095">
        <v>-27.682272999999999</v>
      </c>
    </row>
    <row r="9283" spans="16:20">
      <c r="P9283" s="1094">
        <v>4300</v>
      </c>
      <c r="Q9283" t="s">
        <v>9894</v>
      </c>
      <c r="R9283" t="s">
        <v>614</v>
      </c>
      <c r="S9283">
        <v>152.88499899999999</v>
      </c>
      <c r="T9283" s="1095">
        <v>-27.682272999999999</v>
      </c>
    </row>
    <row r="9284" spans="16:20">
      <c r="P9284" s="1094">
        <v>4300</v>
      </c>
      <c r="Q9284" t="s">
        <v>2295</v>
      </c>
      <c r="R9284" t="s">
        <v>614</v>
      </c>
      <c r="S9284">
        <v>152.88499899999999</v>
      </c>
      <c r="T9284" s="1095">
        <v>-27.682272999999999</v>
      </c>
    </row>
    <row r="9285" spans="16:20">
      <c r="P9285" s="1094">
        <v>4300</v>
      </c>
      <c r="Q9285" t="s">
        <v>9895</v>
      </c>
      <c r="R9285" t="s">
        <v>614</v>
      </c>
      <c r="S9285">
        <v>152.88499899999999</v>
      </c>
      <c r="T9285" s="1095">
        <v>-27.682272999999999</v>
      </c>
    </row>
    <row r="9286" spans="16:20">
      <c r="P9286" s="1094">
        <v>4301</v>
      </c>
      <c r="Q9286" t="s">
        <v>9896</v>
      </c>
      <c r="R9286" t="s">
        <v>614</v>
      </c>
      <c r="S9286">
        <v>152.85808599999999</v>
      </c>
      <c r="T9286" s="1095">
        <v>-27.629394000000001</v>
      </c>
    </row>
    <row r="9287" spans="16:20">
      <c r="P9287" s="1094">
        <v>4301</v>
      </c>
      <c r="Q9287" t="s">
        <v>9897</v>
      </c>
      <c r="R9287" t="s">
        <v>614</v>
      </c>
      <c r="S9287">
        <v>152.85808599999999</v>
      </c>
      <c r="T9287" s="1095">
        <v>-27.629394000000001</v>
      </c>
    </row>
    <row r="9288" spans="16:20">
      <c r="P9288" s="1094">
        <v>4301</v>
      </c>
      <c r="Q9288" t="s">
        <v>3574</v>
      </c>
      <c r="R9288" t="s">
        <v>614</v>
      </c>
      <c r="S9288">
        <v>152.85808599999999</v>
      </c>
      <c r="T9288" s="1095">
        <v>-27.629394000000001</v>
      </c>
    </row>
    <row r="9289" spans="16:20">
      <c r="P9289" s="1094">
        <v>4301</v>
      </c>
      <c r="Q9289" t="s">
        <v>9898</v>
      </c>
      <c r="R9289" t="s">
        <v>614</v>
      </c>
      <c r="S9289">
        <v>152.85808599999999</v>
      </c>
      <c r="T9289" s="1095">
        <v>-27.629394000000001</v>
      </c>
    </row>
    <row r="9290" spans="16:20">
      <c r="P9290" s="1094">
        <v>4303</v>
      </c>
      <c r="Q9290" t="s">
        <v>9899</v>
      </c>
      <c r="R9290" t="s">
        <v>614</v>
      </c>
      <c r="S9290">
        <v>152.84018699999999</v>
      </c>
      <c r="T9290" s="1095">
        <v>-27.604588</v>
      </c>
    </row>
    <row r="9291" spans="16:20">
      <c r="P9291" s="1094">
        <v>4303</v>
      </c>
      <c r="Q9291" t="s">
        <v>9900</v>
      </c>
      <c r="R9291" t="s">
        <v>614</v>
      </c>
      <c r="S9291">
        <v>152.84018699999999</v>
      </c>
      <c r="T9291" s="1095">
        <v>-27.604588</v>
      </c>
    </row>
    <row r="9292" spans="16:20">
      <c r="P9292" s="1094">
        <v>4303</v>
      </c>
      <c r="Q9292" t="s">
        <v>1845</v>
      </c>
      <c r="R9292" t="s">
        <v>614</v>
      </c>
      <c r="S9292">
        <v>152.84018699999999</v>
      </c>
      <c r="T9292" s="1095">
        <v>-27.604588</v>
      </c>
    </row>
    <row r="9293" spans="16:20">
      <c r="P9293" s="1094">
        <v>4304</v>
      </c>
      <c r="Q9293" t="s">
        <v>9901</v>
      </c>
      <c r="R9293" t="s">
        <v>614</v>
      </c>
      <c r="S9293">
        <v>152.80457000000001</v>
      </c>
      <c r="T9293" s="1095">
        <v>-27.620656</v>
      </c>
    </row>
    <row r="9294" spans="16:20">
      <c r="P9294" s="1094">
        <v>4304</v>
      </c>
      <c r="Q9294" t="s">
        <v>9902</v>
      </c>
      <c r="R9294" t="s">
        <v>614</v>
      </c>
      <c r="S9294">
        <v>152.80457000000001</v>
      </c>
      <c r="T9294" s="1095">
        <v>-27.620656</v>
      </c>
    </row>
    <row r="9295" spans="16:20">
      <c r="P9295" s="1094">
        <v>4304</v>
      </c>
      <c r="Q9295" t="s">
        <v>9903</v>
      </c>
      <c r="R9295" t="s">
        <v>614</v>
      </c>
      <c r="S9295">
        <v>152.80457000000001</v>
      </c>
      <c r="T9295" s="1095">
        <v>-27.620656</v>
      </c>
    </row>
    <row r="9296" spans="16:20">
      <c r="P9296" s="1094">
        <v>4304</v>
      </c>
      <c r="Q9296" t="s">
        <v>9904</v>
      </c>
      <c r="R9296" t="s">
        <v>614</v>
      </c>
      <c r="S9296">
        <v>152.80457000000001</v>
      </c>
      <c r="T9296" s="1095">
        <v>-27.620656</v>
      </c>
    </row>
    <row r="9297" spans="16:20">
      <c r="P9297" s="1094">
        <v>4304</v>
      </c>
      <c r="Q9297" t="s">
        <v>9905</v>
      </c>
      <c r="R9297" t="s">
        <v>614</v>
      </c>
      <c r="S9297">
        <v>152.80457000000001</v>
      </c>
      <c r="T9297" s="1095">
        <v>-27.620656</v>
      </c>
    </row>
    <row r="9298" spans="16:20">
      <c r="P9298" s="1094">
        <v>4304</v>
      </c>
      <c r="Q9298" t="s">
        <v>9906</v>
      </c>
      <c r="R9298" t="s">
        <v>614</v>
      </c>
      <c r="S9298">
        <v>152.80457000000001</v>
      </c>
      <c r="T9298" s="1095">
        <v>-27.620656</v>
      </c>
    </row>
    <row r="9299" spans="16:20">
      <c r="P9299" s="1094">
        <v>4304</v>
      </c>
      <c r="Q9299" t="s">
        <v>9907</v>
      </c>
      <c r="R9299" t="s">
        <v>614</v>
      </c>
      <c r="S9299">
        <v>152.80457000000001</v>
      </c>
      <c r="T9299" s="1095">
        <v>-27.620656</v>
      </c>
    </row>
    <row r="9300" spans="16:20">
      <c r="P9300" s="1094">
        <v>4304</v>
      </c>
      <c r="Q9300" t="s">
        <v>9908</v>
      </c>
      <c r="R9300" t="s">
        <v>614</v>
      </c>
      <c r="S9300">
        <v>152.80457000000001</v>
      </c>
      <c r="T9300" s="1095">
        <v>-27.620656</v>
      </c>
    </row>
    <row r="9301" spans="16:20">
      <c r="P9301" s="1094">
        <v>4304</v>
      </c>
      <c r="Q9301" t="s">
        <v>9909</v>
      </c>
      <c r="R9301" t="s">
        <v>614</v>
      </c>
      <c r="S9301">
        <v>152.80457000000001</v>
      </c>
      <c r="T9301" s="1095">
        <v>-27.620656</v>
      </c>
    </row>
    <row r="9302" spans="16:20">
      <c r="P9302" s="1094">
        <v>4305</v>
      </c>
      <c r="Q9302" t="s">
        <v>9910</v>
      </c>
      <c r="R9302" t="s">
        <v>614</v>
      </c>
      <c r="S9302">
        <v>152.75369599999999</v>
      </c>
      <c r="T9302" s="1095">
        <v>-27.627521999999999</v>
      </c>
    </row>
    <row r="9303" spans="16:20">
      <c r="P9303" s="1094">
        <v>4305</v>
      </c>
      <c r="Q9303" t="s">
        <v>9911</v>
      </c>
      <c r="R9303" t="s">
        <v>614</v>
      </c>
      <c r="S9303">
        <v>152.75369599999999</v>
      </c>
      <c r="T9303" s="1095">
        <v>-27.627521999999999</v>
      </c>
    </row>
    <row r="9304" spans="16:20">
      <c r="P9304" s="1094">
        <v>4305</v>
      </c>
      <c r="Q9304" t="s">
        <v>9912</v>
      </c>
      <c r="R9304" t="s">
        <v>614</v>
      </c>
      <c r="S9304">
        <v>152.75369599999999</v>
      </c>
      <c r="T9304" s="1095">
        <v>-27.627521999999999</v>
      </c>
    </row>
    <row r="9305" spans="16:20">
      <c r="P9305" s="1094">
        <v>4305</v>
      </c>
      <c r="Q9305" t="s">
        <v>9913</v>
      </c>
      <c r="R9305" t="s">
        <v>614</v>
      </c>
      <c r="S9305">
        <v>152.75369599999999</v>
      </c>
      <c r="T9305" s="1095">
        <v>-27.627521999999999</v>
      </c>
    </row>
    <row r="9306" spans="16:20">
      <c r="P9306" s="1094">
        <v>4305</v>
      </c>
      <c r="Q9306" t="s">
        <v>8851</v>
      </c>
      <c r="R9306" t="s">
        <v>614</v>
      </c>
      <c r="S9306">
        <v>152.75369599999999</v>
      </c>
      <c r="T9306" s="1095">
        <v>-27.627521999999999</v>
      </c>
    </row>
    <row r="9307" spans="16:20">
      <c r="P9307" s="1094">
        <v>4305</v>
      </c>
      <c r="Q9307" t="s">
        <v>9914</v>
      </c>
      <c r="R9307" t="s">
        <v>614</v>
      </c>
      <c r="S9307">
        <v>152.75369599999999</v>
      </c>
      <c r="T9307" s="1095">
        <v>-27.627521999999999</v>
      </c>
    </row>
    <row r="9308" spans="16:20">
      <c r="P9308" s="1094">
        <v>4305</v>
      </c>
      <c r="Q9308" t="s">
        <v>9915</v>
      </c>
      <c r="R9308" t="s">
        <v>614</v>
      </c>
      <c r="S9308">
        <v>152.75369599999999</v>
      </c>
      <c r="T9308" s="1095">
        <v>-27.627521999999999</v>
      </c>
    </row>
    <row r="9309" spans="16:20">
      <c r="P9309" s="1094">
        <v>4305</v>
      </c>
      <c r="Q9309" t="s">
        <v>9916</v>
      </c>
      <c r="R9309" t="s">
        <v>614</v>
      </c>
      <c r="S9309">
        <v>152.75369599999999</v>
      </c>
      <c r="T9309" s="1095">
        <v>-27.627521999999999</v>
      </c>
    </row>
    <row r="9310" spans="16:20">
      <c r="P9310" s="1094">
        <v>4305</v>
      </c>
      <c r="Q9310" t="s">
        <v>9917</v>
      </c>
      <c r="R9310" t="s">
        <v>614</v>
      </c>
      <c r="S9310">
        <v>152.75369599999999</v>
      </c>
      <c r="T9310" s="1095">
        <v>-27.627521999999999</v>
      </c>
    </row>
    <row r="9311" spans="16:20">
      <c r="P9311" s="1094">
        <v>4305</v>
      </c>
      <c r="Q9311" t="s">
        <v>9918</v>
      </c>
      <c r="R9311" t="s">
        <v>614</v>
      </c>
      <c r="S9311">
        <v>152.75369599999999</v>
      </c>
      <c r="T9311" s="1095">
        <v>-27.627521999999999</v>
      </c>
    </row>
    <row r="9312" spans="16:20">
      <c r="P9312" s="1094">
        <v>4305</v>
      </c>
      <c r="Q9312" t="s">
        <v>1799</v>
      </c>
      <c r="R9312" t="s">
        <v>614</v>
      </c>
      <c r="S9312">
        <v>152.75369599999999</v>
      </c>
      <c r="T9312" s="1095">
        <v>-27.627521999999999</v>
      </c>
    </row>
    <row r="9313" spans="16:20">
      <c r="P9313" s="1094">
        <v>4305</v>
      </c>
      <c r="Q9313" t="s">
        <v>9919</v>
      </c>
      <c r="R9313" t="s">
        <v>614</v>
      </c>
      <c r="S9313">
        <v>152.75369599999999</v>
      </c>
      <c r="T9313" s="1095">
        <v>-27.627521999999999</v>
      </c>
    </row>
    <row r="9314" spans="16:20">
      <c r="P9314" s="1094">
        <v>4305</v>
      </c>
      <c r="Q9314" t="s">
        <v>9920</v>
      </c>
      <c r="R9314" t="s">
        <v>614</v>
      </c>
      <c r="S9314">
        <v>152.75369599999999</v>
      </c>
      <c r="T9314" s="1095">
        <v>-27.627521999999999</v>
      </c>
    </row>
    <row r="9315" spans="16:20">
      <c r="P9315" s="1094">
        <v>4305</v>
      </c>
      <c r="Q9315" t="s">
        <v>1805</v>
      </c>
      <c r="R9315" t="s">
        <v>614</v>
      </c>
      <c r="S9315">
        <v>152.75369599999999</v>
      </c>
      <c r="T9315" s="1095">
        <v>-27.627521999999999</v>
      </c>
    </row>
    <row r="9316" spans="16:20">
      <c r="P9316" s="1094">
        <v>4305</v>
      </c>
      <c r="Q9316" t="s">
        <v>9921</v>
      </c>
      <c r="R9316" t="s">
        <v>614</v>
      </c>
      <c r="S9316">
        <v>152.75369599999999</v>
      </c>
      <c r="T9316" s="1095">
        <v>-27.627521999999999</v>
      </c>
    </row>
    <row r="9317" spans="16:20">
      <c r="P9317" s="1094">
        <v>4305</v>
      </c>
      <c r="Q9317" t="s">
        <v>9922</v>
      </c>
      <c r="R9317" t="s">
        <v>614</v>
      </c>
      <c r="S9317">
        <v>152.75369599999999</v>
      </c>
      <c r="T9317" s="1095">
        <v>-27.627521999999999</v>
      </c>
    </row>
    <row r="9318" spans="16:20">
      <c r="P9318" s="1094">
        <v>4305</v>
      </c>
      <c r="Q9318" t="s">
        <v>2571</v>
      </c>
      <c r="R9318" t="s">
        <v>614</v>
      </c>
      <c r="S9318">
        <v>152.75369599999999</v>
      </c>
      <c r="T9318" s="1095">
        <v>-27.627521999999999</v>
      </c>
    </row>
    <row r="9319" spans="16:20">
      <c r="P9319" s="1094">
        <v>4305</v>
      </c>
      <c r="Q9319" t="s">
        <v>9923</v>
      </c>
      <c r="R9319" t="s">
        <v>614</v>
      </c>
      <c r="S9319">
        <v>152.75369599999999</v>
      </c>
      <c r="T9319" s="1095">
        <v>-27.627521999999999</v>
      </c>
    </row>
    <row r="9320" spans="16:20">
      <c r="P9320" s="1094">
        <v>4305</v>
      </c>
      <c r="Q9320" t="s">
        <v>9924</v>
      </c>
      <c r="R9320" t="s">
        <v>614</v>
      </c>
      <c r="S9320">
        <v>152.75369599999999</v>
      </c>
      <c r="T9320" s="1095">
        <v>-27.627521999999999</v>
      </c>
    </row>
    <row r="9321" spans="16:20">
      <c r="P9321" s="1094">
        <v>4305</v>
      </c>
      <c r="Q9321" t="s">
        <v>9925</v>
      </c>
      <c r="R9321" t="s">
        <v>614</v>
      </c>
      <c r="S9321">
        <v>152.75369599999999</v>
      </c>
      <c r="T9321" s="1095">
        <v>-27.627521999999999</v>
      </c>
    </row>
    <row r="9322" spans="16:20">
      <c r="P9322" s="1094">
        <v>4305</v>
      </c>
      <c r="Q9322" t="s">
        <v>9926</v>
      </c>
      <c r="R9322" t="s">
        <v>614</v>
      </c>
      <c r="S9322">
        <v>152.75369599999999</v>
      </c>
      <c r="T9322" s="1095">
        <v>-27.627521999999999</v>
      </c>
    </row>
    <row r="9323" spans="16:20">
      <c r="P9323" s="1094">
        <v>4305</v>
      </c>
      <c r="Q9323" t="s">
        <v>9927</v>
      </c>
      <c r="R9323" t="s">
        <v>614</v>
      </c>
      <c r="S9323">
        <v>152.75369599999999</v>
      </c>
      <c r="T9323" s="1095">
        <v>-27.627521999999999</v>
      </c>
    </row>
    <row r="9324" spans="16:20">
      <c r="P9324" s="1094">
        <v>4305</v>
      </c>
      <c r="Q9324" t="s">
        <v>7599</v>
      </c>
      <c r="R9324" t="s">
        <v>614</v>
      </c>
      <c r="S9324">
        <v>152.75369599999999</v>
      </c>
      <c r="T9324" s="1095">
        <v>-27.627521999999999</v>
      </c>
    </row>
    <row r="9325" spans="16:20">
      <c r="P9325" s="1094">
        <v>4305</v>
      </c>
      <c r="Q9325" t="s">
        <v>9928</v>
      </c>
      <c r="R9325" t="s">
        <v>614</v>
      </c>
      <c r="S9325">
        <v>152.75369599999999</v>
      </c>
      <c r="T9325" s="1095">
        <v>-27.627521999999999</v>
      </c>
    </row>
    <row r="9326" spans="16:20">
      <c r="P9326" s="1094">
        <v>4305</v>
      </c>
      <c r="Q9326" t="s">
        <v>9929</v>
      </c>
      <c r="R9326" t="s">
        <v>614</v>
      </c>
      <c r="S9326">
        <v>152.75369599999999</v>
      </c>
      <c r="T9326" s="1095">
        <v>-27.627521999999999</v>
      </c>
    </row>
    <row r="9327" spans="16:20">
      <c r="P9327" s="1094">
        <v>4306</v>
      </c>
      <c r="Q9327" t="s">
        <v>9930</v>
      </c>
      <c r="R9327" t="s">
        <v>614</v>
      </c>
      <c r="S9327">
        <v>152.72540799999999</v>
      </c>
      <c r="T9327" s="1095">
        <v>-27.480898</v>
      </c>
    </row>
    <row r="9328" spans="16:20">
      <c r="P9328" s="1094">
        <v>4306</v>
      </c>
      <c r="Q9328" t="s">
        <v>9931</v>
      </c>
      <c r="R9328" t="s">
        <v>614</v>
      </c>
      <c r="S9328">
        <v>152.72540799999999</v>
      </c>
      <c r="T9328" s="1095">
        <v>-27.480898</v>
      </c>
    </row>
    <row r="9329" spans="16:20">
      <c r="P9329" s="1094">
        <v>4306</v>
      </c>
      <c r="Q9329" t="s">
        <v>9932</v>
      </c>
      <c r="R9329" t="s">
        <v>614</v>
      </c>
      <c r="S9329">
        <v>152.72540799999999</v>
      </c>
      <c r="T9329" s="1095">
        <v>-27.480898</v>
      </c>
    </row>
    <row r="9330" spans="16:20">
      <c r="P9330" s="1094">
        <v>4306</v>
      </c>
      <c r="Q9330" t="s">
        <v>9933</v>
      </c>
      <c r="R9330" t="s">
        <v>614</v>
      </c>
      <c r="S9330">
        <v>152.72540799999999</v>
      </c>
      <c r="T9330" s="1095">
        <v>-27.480898</v>
      </c>
    </row>
    <row r="9331" spans="16:20">
      <c r="P9331" s="1094">
        <v>4306</v>
      </c>
      <c r="Q9331" t="s">
        <v>9934</v>
      </c>
      <c r="R9331" t="s">
        <v>614</v>
      </c>
      <c r="S9331">
        <v>152.72540799999999</v>
      </c>
      <c r="T9331" s="1095">
        <v>-27.480898</v>
      </c>
    </row>
    <row r="9332" spans="16:20">
      <c r="P9332" s="1094">
        <v>4306</v>
      </c>
      <c r="Q9332" t="s">
        <v>9935</v>
      </c>
      <c r="R9332" t="s">
        <v>614</v>
      </c>
      <c r="S9332">
        <v>152.72540799999999</v>
      </c>
      <c r="T9332" s="1095">
        <v>-27.480898</v>
      </c>
    </row>
    <row r="9333" spans="16:20">
      <c r="P9333" s="1094">
        <v>4306</v>
      </c>
      <c r="Q9333" t="s">
        <v>9936</v>
      </c>
      <c r="R9333" t="s">
        <v>614</v>
      </c>
      <c r="S9333">
        <v>152.72540799999999</v>
      </c>
      <c r="T9333" s="1095">
        <v>-27.480898</v>
      </c>
    </row>
    <row r="9334" spans="16:20">
      <c r="P9334" s="1094">
        <v>4306</v>
      </c>
      <c r="Q9334" t="s">
        <v>4231</v>
      </c>
      <c r="R9334" t="s">
        <v>614</v>
      </c>
      <c r="S9334">
        <v>152.72540799999999</v>
      </c>
      <c r="T9334" s="1095">
        <v>-27.480898</v>
      </c>
    </row>
    <row r="9335" spans="16:20">
      <c r="P9335" s="1094">
        <v>4306</v>
      </c>
      <c r="Q9335" t="s">
        <v>9937</v>
      </c>
      <c r="R9335" t="s">
        <v>614</v>
      </c>
      <c r="S9335">
        <v>152.72540799999999</v>
      </c>
      <c r="T9335" s="1095">
        <v>-27.480898</v>
      </c>
    </row>
    <row r="9336" spans="16:20">
      <c r="P9336" s="1094">
        <v>4306</v>
      </c>
      <c r="Q9336" t="s">
        <v>9938</v>
      </c>
      <c r="R9336" t="s">
        <v>614</v>
      </c>
      <c r="S9336">
        <v>152.72540799999999</v>
      </c>
      <c r="T9336" s="1095">
        <v>-27.480898</v>
      </c>
    </row>
    <row r="9337" spans="16:20">
      <c r="P9337" s="1094">
        <v>4306</v>
      </c>
      <c r="Q9337" t="s">
        <v>9939</v>
      </c>
      <c r="R9337" t="s">
        <v>614</v>
      </c>
      <c r="S9337">
        <v>152.72540799999999</v>
      </c>
      <c r="T9337" s="1095">
        <v>-27.480898</v>
      </c>
    </row>
    <row r="9338" spans="16:20">
      <c r="P9338" s="1094">
        <v>4306</v>
      </c>
      <c r="Q9338" t="s">
        <v>2314</v>
      </c>
      <c r="R9338" t="s">
        <v>614</v>
      </c>
      <c r="S9338">
        <v>152.72540799999999</v>
      </c>
      <c r="T9338" s="1095">
        <v>-27.480898</v>
      </c>
    </row>
    <row r="9339" spans="16:20">
      <c r="P9339" s="1094">
        <v>4306</v>
      </c>
      <c r="Q9339" t="s">
        <v>9940</v>
      </c>
      <c r="R9339" t="s">
        <v>614</v>
      </c>
      <c r="S9339">
        <v>152.72540799999999</v>
      </c>
      <c r="T9339" s="1095">
        <v>-27.480898</v>
      </c>
    </row>
    <row r="9340" spans="16:20">
      <c r="P9340" s="1094">
        <v>4306</v>
      </c>
      <c r="Q9340" t="s">
        <v>9941</v>
      </c>
      <c r="R9340" t="s">
        <v>614</v>
      </c>
      <c r="S9340">
        <v>152.72540799999999</v>
      </c>
      <c r="T9340" s="1095">
        <v>-27.480898</v>
      </c>
    </row>
    <row r="9341" spans="16:20">
      <c r="P9341" s="1094">
        <v>4306</v>
      </c>
      <c r="Q9341" t="s">
        <v>9942</v>
      </c>
      <c r="R9341" t="s">
        <v>614</v>
      </c>
      <c r="S9341">
        <v>152.72540799999999</v>
      </c>
      <c r="T9341" s="1095">
        <v>-27.480898</v>
      </c>
    </row>
    <row r="9342" spans="16:20">
      <c r="P9342" s="1094">
        <v>4306</v>
      </c>
      <c r="Q9342" t="s">
        <v>4974</v>
      </c>
      <c r="R9342" t="s">
        <v>614</v>
      </c>
      <c r="S9342">
        <v>152.72540799999999</v>
      </c>
      <c r="T9342" s="1095">
        <v>-27.480898</v>
      </c>
    </row>
    <row r="9343" spans="16:20">
      <c r="P9343" s="1094">
        <v>4306</v>
      </c>
      <c r="Q9343" t="s">
        <v>9943</v>
      </c>
      <c r="R9343" t="s">
        <v>614</v>
      </c>
      <c r="S9343">
        <v>152.72540799999999</v>
      </c>
      <c r="T9343" s="1095">
        <v>-27.480898</v>
      </c>
    </row>
    <row r="9344" spans="16:20">
      <c r="P9344" s="1094">
        <v>4306</v>
      </c>
      <c r="Q9344" t="s">
        <v>1985</v>
      </c>
      <c r="R9344" t="s">
        <v>614</v>
      </c>
      <c r="S9344">
        <v>152.72540799999999</v>
      </c>
      <c r="T9344" s="1095">
        <v>-27.480898</v>
      </c>
    </row>
    <row r="9345" spans="16:20">
      <c r="P9345" s="1094">
        <v>4306</v>
      </c>
      <c r="Q9345" t="s">
        <v>9944</v>
      </c>
      <c r="R9345" t="s">
        <v>614</v>
      </c>
      <c r="S9345">
        <v>152.72540799999999</v>
      </c>
      <c r="T9345" s="1095">
        <v>-27.480898</v>
      </c>
    </row>
    <row r="9346" spans="16:20">
      <c r="P9346" s="1094">
        <v>4306</v>
      </c>
      <c r="Q9346" t="s">
        <v>9945</v>
      </c>
      <c r="R9346" t="s">
        <v>614</v>
      </c>
      <c r="S9346">
        <v>152.72540799999999</v>
      </c>
      <c r="T9346" s="1095">
        <v>-27.480898</v>
      </c>
    </row>
    <row r="9347" spans="16:20">
      <c r="P9347" s="1094">
        <v>4306</v>
      </c>
      <c r="Q9347" t="s">
        <v>4097</v>
      </c>
      <c r="R9347" t="s">
        <v>614</v>
      </c>
      <c r="S9347">
        <v>152.72540799999999</v>
      </c>
      <c r="T9347" s="1095">
        <v>-27.480898</v>
      </c>
    </row>
    <row r="9348" spans="16:20">
      <c r="P9348" s="1094">
        <v>4306</v>
      </c>
      <c r="Q9348" t="s">
        <v>9946</v>
      </c>
      <c r="R9348" t="s">
        <v>614</v>
      </c>
      <c r="S9348">
        <v>152.72540799999999</v>
      </c>
      <c r="T9348" s="1095">
        <v>-27.480898</v>
      </c>
    </row>
    <row r="9349" spans="16:20">
      <c r="P9349" s="1094">
        <v>4306</v>
      </c>
      <c r="Q9349" t="s">
        <v>9947</v>
      </c>
      <c r="R9349" t="s">
        <v>614</v>
      </c>
      <c r="S9349">
        <v>152.72540799999999</v>
      </c>
      <c r="T9349" s="1095">
        <v>-27.480898</v>
      </c>
    </row>
    <row r="9350" spans="16:20">
      <c r="P9350" s="1094">
        <v>4306</v>
      </c>
      <c r="Q9350" t="s">
        <v>9948</v>
      </c>
      <c r="R9350" t="s">
        <v>614</v>
      </c>
      <c r="S9350">
        <v>152.72540799999999</v>
      </c>
      <c r="T9350" s="1095">
        <v>-27.480898</v>
      </c>
    </row>
    <row r="9351" spans="16:20">
      <c r="P9351" s="1094">
        <v>4306</v>
      </c>
      <c r="Q9351" t="s">
        <v>9949</v>
      </c>
      <c r="R9351" t="s">
        <v>614</v>
      </c>
      <c r="S9351">
        <v>152.72540799999999</v>
      </c>
      <c r="T9351" s="1095">
        <v>-27.480898</v>
      </c>
    </row>
    <row r="9352" spans="16:20">
      <c r="P9352" s="1094">
        <v>4306</v>
      </c>
      <c r="Q9352" t="s">
        <v>9950</v>
      </c>
      <c r="R9352" t="s">
        <v>614</v>
      </c>
      <c r="S9352">
        <v>152.72540799999999</v>
      </c>
      <c r="T9352" s="1095">
        <v>-27.480898</v>
      </c>
    </row>
    <row r="9353" spans="16:20">
      <c r="P9353" s="1094">
        <v>4306</v>
      </c>
      <c r="Q9353" t="s">
        <v>9951</v>
      </c>
      <c r="R9353" t="s">
        <v>614</v>
      </c>
      <c r="S9353">
        <v>152.72540799999999</v>
      </c>
      <c r="T9353" s="1095">
        <v>-27.480898</v>
      </c>
    </row>
    <row r="9354" spans="16:20">
      <c r="P9354" s="1094">
        <v>4306</v>
      </c>
      <c r="Q9354" t="s">
        <v>9952</v>
      </c>
      <c r="R9354" t="s">
        <v>614</v>
      </c>
      <c r="S9354">
        <v>152.72540799999999</v>
      </c>
      <c r="T9354" s="1095">
        <v>-27.480898</v>
      </c>
    </row>
    <row r="9355" spans="16:20">
      <c r="P9355" s="1094">
        <v>4306</v>
      </c>
      <c r="Q9355" t="s">
        <v>2935</v>
      </c>
      <c r="R9355" t="s">
        <v>614</v>
      </c>
      <c r="S9355">
        <v>152.72540799999999</v>
      </c>
      <c r="T9355" s="1095">
        <v>-27.480898</v>
      </c>
    </row>
    <row r="9356" spans="16:20">
      <c r="P9356" s="1094">
        <v>4306</v>
      </c>
      <c r="Q9356" t="s">
        <v>9953</v>
      </c>
      <c r="R9356" t="s">
        <v>614</v>
      </c>
      <c r="S9356">
        <v>152.72540799999999</v>
      </c>
      <c r="T9356" s="1095">
        <v>-27.480898</v>
      </c>
    </row>
    <row r="9357" spans="16:20">
      <c r="P9357" s="1094">
        <v>4306</v>
      </c>
      <c r="Q9357" t="s">
        <v>9954</v>
      </c>
      <c r="R9357" t="s">
        <v>614</v>
      </c>
      <c r="S9357">
        <v>152.72540799999999</v>
      </c>
      <c r="T9357" s="1095">
        <v>-27.480898</v>
      </c>
    </row>
    <row r="9358" spans="16:20">
      <c r="P9358" s="1094">
        <v>4306</v>
      </c>
      <c r="Q9358" t="s">
        <v>9955</v>
      </c>
      <c r="R9358" t="s">
        <v>614</v>
      </c>
      <c r="S9358">
        <v>152.72540799999999</v>
      </c>
      <c r="T9358" s="1095">
        <v>-27.480898</v>
      </c>
    </row>
    <row r="9359" spans="16:20">
      <c r="P9359" s="1094">
        <v>4306</v>
      </c>
      <c r="Q9359" t="s">
        <v>9956</v>
      </c>
      <c r="R9359" t="s">
        <v>614</v>
      </c>
      <c r="S9359">
        <v>152.72540799999999</v>
      </c>
      <c r="T9359" s="1095">
        <v>-27.480898</v>
      </c>
    </row>
    <row r="9360" spans="16:20">
      <c r="P9360" s="1094">
        <v>4306</v>
      </c>
      <c r="Q9360" t="s">
        <v>9957</v>
      </c>
      <c r="R9360" t="s">
        <v>614</v>
      </c>
      <c r="S9360">
        <v>152.72540799999999</v>
      </c>
      <c r="T9360" s="1095">
        <v>-27.480898</v>
      </c>
    </row>
    <row r="9361" spans="16:20">
      <c r="P9361" s="1094">
        <v>4306</v>
      </c>
      <c r="Q9361" t="s">
        <v>9958</v>
      </c>
      <c r="R9361" t="s">
        <v>614</v>
      </c>
      <c r="S9361">
        <v>152.72540799999999</v>
      </c>
      <c r="T9361" s="1095">
        <v>-27.480898</v>
      </c>
    </row>
    <row r="9362" spans="16:20">
      <c r="P9362" s="1094">
        <v>4306</v>
      </c>
      <c r="Q9362" t="s">
        <v>9959</v>
      </c>
      <c r="R9362" t="s">
        <v>614</v>
      </c>
      <c r="S9362">
        <v>152.72540799999999</v>
      </c>
      <c r="T9362" s="1095">
        <v>-27.480898</v>
      </c>
    </row>
    <row r="9363" spans="16:20">
      <c r="P9363" s="1094">
        <v>4306</v>
      </c>
      <c r="Q9363" t="s">
        <v>9960</v>
      </c>
      <c r="R9363" t="s">
        <v>614</v>
      </c>
      <c r="S9363">
        <v>152.72540799999999</v>
      </c>
      <c r="T9363" s="1095">
        <v>-27.480898</v>
      </c>
    </row>
    <row r="9364" spans="16:20">
      <c r="P9364" s="1094">
        <v>4306</v>
      </c>
      <c r="Q9364" t="s">
        <v>9961</v>
      </c>
      <c r="R9364" t="s">
        <v>614</v>
      </c>
      <c r="S9364">
        <v>152.72540799999999</v>
      </c>
      <c r="T9364" s="1095">
        <v>-27.480898</v>
      </c>
    </row>
    <row r="9365" spans="16:20">
      <c r="P9365" s="1094">
        <v>4306</v>
      </c>
      <c r="Q9365" t="s">
        <v>9962</v>
      </c>
      <c r="R9365" t="s">
        <v>614</v>
      </c>
      <c r="S9365">
        <v>152.72540799999999</v>
      </c>
      <c r="T9365" s="1095">
        <v>-27.480898</v>
      </c>
    </row>
    <row r="9366" spans="16:20">
      <c r="P9366" s="1094">
        <v>4306</v>
      </c>
      <c r="Q9366" t="s">
        <v>9963</v>
      </c>
      <c r="R9366" t="s">
        <v>614</v>
      </c>
      <c r="S9366">
        <v>152.72540799999999</v>
      </c>
      <c r="T9366" s="1095">
        <v>-27.480898</v>
      </c>
    </row>
    <row r="9367" spans="16:20">
      <c r="P9367" s="1094">
        <v>4306</v>
      </c>
      <c r="Q9367" t="s">
        <v>9964</v>
      </c>
      <c r="R9367" t="s">
        <v>614</v>
      </c>
      <c r="S9367">
        <v>152.72540799999999</v>
      </c>
      <c r="T9367" s="1095">
        <v>-27.480898</v>
      </c>
    </row>
    <row r="9368" spans="16:20">
      <c r="P9368" s="1094">
        <v>4306</v>
      </c>
      <c r="Q9368" t="s">
        <v>9965</v>
      </c>
      <c r="R9368" t="s">
        <v>614</v>
      </c>
      <c r="S9368">
        <v>152.72540799999999</v>
      </c>
      <c r="T9368" s="1095">
        <v>-27.480898</v>
      </c>
    </row>
    <row r="9369" spans="16:20">
      <c r="P9369" s="1094">
        <v>4306</v>
      </c>
      <c r="Q9369" t="s">
        <v>9966</v>
      </c>
      <c r="R9369" t="s">
        <v>614</v>
      </c>
      <c r="S9369">
        <v>152.72540799999999</v>
      </c>
      <c r="T9369" s="1095">
        <v>-27.480898</v>
      </c>
    </row>
    <row r="9370" spans="16:20">
      <c r="P9370" s="1094">
        <v>4306</v>
      </c>
      <c r="Q9370" t="s">
        <v>9967</v>
      </c>
      <c r="R9370" t="s">
        <v>614</v>
      </c>
      <c r="S9370">
        <v>152.72540799999999</v>
      </c>
      <c r="T9370" s="1095">
        <v>-27.480898</v>
      </c>
    </row>
    <row r="9371" spans="16:20">
      <c r="P9371" s="1094">
        <v>4306</v>
      </c>
      <c r="Q9371" t="s">
        <v>9968</v>
      </c>
      <c r="R9371" t="s">
        <v>614</v>
      </c>
      <c r="S9371">
        <v>152.72540799999999</v>
      </c>
      <c r="T9371" s="1095">
        <v>-27.480898</v>
      </c>
    </row>
    <row r="9372" spans="16:20">
      <c r="P9372" s="1094">
        <v>4306</v>
      </c>
      <c r="Q9372" t="s">
        <v>9969</v>
      </c>
      <c r="R9372" t="s">
        <v>614</v>
      </c>
      <c r="S9372">
        <v>152.72540799999999</v>
      </c>
      <c r="T9372" s="1095">
        <v>-27.480898</v>
      </c>
    </row>
    <row r="9373" spans="16:20">
      <c r="P9373" s="1094">
        <v>4306</v>
      </c>
      <c r="Q9373" t="s">
        <v>9970</v>
      </c>
      <c r="R9373" t="s">
        <v>614</v>
      </c>
      <c r="S9373">
        <v>152.72540799999999</v>
      </c>
      <c r="T9373" s="1095">
        <v>-27.480898</v>
      </c>
    </row>
    <row r="9374" spans="16:20">
      <c r="P9374" s="1094">
        <v>4306</v>
      </c>
      <c r="Q9374" t="s">
        <v>9971</v>
      </c>
      <c r="R9374" t="s">
        <v>614</v>
      </c>
      <c r="S9374">
        <v>152.72540799999999</v>
      </c>
      <c r="T9374" s="1095">
        <v>-27.480898</v>
      </c>
    </row>
    <row r="9375" spans="16:20">
      <c r="P9375" s="1094">
        <v>4306</v>
      </c>
      <c r="Q9375" t="s">
        <v>9972</v>
      </c>
      <c r="R9375" t="s">
        <v>614</v>
      </c>
      <c r="S9375">
        <v>152.72540799999999</v>
      </c>
      <c r="T9375" s="1095">
        <v>-27.480898</v>
      </c>
    </row>
    <row r="9376" spans="16:20">
      <c r="P9376" s="1094">
        <v>4306</v>
      </c>
      <c r="Q9376" t="s">
        <v>9973</v>
      </c>
      <c r="R9376" t="s">
        <v>614</v>
      </c>
      <c r="S9376">
        <v>152.72540799999999</v>
      </c>
      <c r="T9376" s="1095">
        <v>-27.480898</v>
      </c>
    </row>
    <row r="9377" spans="16:20">
      <c r="P9377" s="1094">
        <v>4306</v>
      </c>
      <c r="Q9377" t="s">
        <v>9974</v>
      </c>
      <c r="R9377" t="s">
        <v>614</v>
      </c>
      <c r="S9377">
        <v>152.72540799999999</v>
      </c>
      <c r="T9377" s="1095">
        <v>-27.480898</v>
      </c>
    </row>
    <row r="9378" spans="16:20">
      <c r="P9378" s="1094">
        <v>4306</v>
      </c>
      <c r="Q9378" t="s">
        <v>9975</v>
      </c>
      <c r="R9378" t="s">
        <v>614</v>
      </c>
      <c r="S9378">
        <v>152.72540799999999</v>
      </c>
      <c r="T9378" s="1095">
        <v>-27.480898</v>
      </c>
    </row>
    <row r="9379" spans="16:20">
      <c r="P9379" s="1094">
        <v>4306</v>
      </c>
      <c r="Q9379" t="s">
        <v>9976</v>
      </c>
      <c r="R9379" t="s">
        <v>614</v>
      </c>
      <c r="S9379">
        <v>152.72540799999999</v>
      </c>
      <c r="T9379" s="1095">
        <v>-27.480898</v>
      </c>
    </row>
    <row r="9380" spans="16:20">
      <c r="P9380" s="1094">
        <v>4306</v>
      </c>
      <c r="Q9380" t="s">
        <v>9977</v>
      </c>
      <c r="R9380" t="s">
        <v>614</v>
      </c>
      <c r="S9380">
        <v>152.72540799999999</v>
      </c>
      <c r="T9380" s="1095">
        <v>-27.480898</v>
      </c>
    </row>
    <row r="9381" spans="16:20">
      <c r="P9381" s="1094">
        <v>4306</v>
      </c>
      <c r="Q9381" t="s">
        <v>9978</v>
      </c>
      <c r="R9381" t="s">
        <v>614</v>
      </c>
      <c r="S9381">
        <v>152.72540799999999</v>
      </c>
      <c r="T9381" s="1095">
        <v>-27.480898</v>
      </c>
    </row>
    <row r="9382" spans="16:20">
      <c r="P9382" s="1094">
        <v>4306</v>
      </c>
      <c r="Q9382" t="s">
        <v>9979</v>
      </c>
      <c r="R9382" t="s">
        <v>614</v>
      </c>
      <c r="S9382">
        <v>152.72540799999999</v>
      </c>
      <c r="T9382" s="1095">
        <v>-27.480898</v>
      </c>
    </row>
    <row r="9383" spans="16:20">
      <c r="P9383" s="1094">
        <v>4306</v>
      </c>
      <c r="Q9383" t="s">
        <v>9980</v>
      </c>
      <c r="R9383" t="s">
        <v>614</v>
      </c>
      <c r="S9383">
        <v>152.72540799999999</v>
      </c>
      <c r="T9383" s="1095">
        <v>-27.480898</v>
      </c>
    </row>
    <row r="9384" spans="16:20">
      <c r="P9384" s="1094">
        <v>4306</v>
      </c>
      <c r="Q9384" t="s">
        <v>9981</v>
      </c>
      <c r="R9384" t="s">
        <v>614</v>
      </c>
      <c r="S9384">
        <v>152.72540799999999</v>
      </c>
      <c r="T9384" s="1095">
        <v>-27.480898</v>
      </c>
    </row>
    <row r="9385" spans="16:20">
      <c r="P9385" s="1094">
        <v>4306</v>
      </c>
      <c r="Q9385" t="s">
        <v>9982</v>
      </c>
      <c r="R9385" t="s">
        <v>614</v>
      </c>
      <c r="S9385">
        <v>152.72540799999999</v>
      </c>
      <c r="T9385" s="1095">
        <v>-27.480898</v>
      </c>
    </row>
    <row r="9386" spans="16:20">
      <c r="P9386" s="1094">
        <v>4306</v>
      </c>
      <c r="Q9386" t="s">
        <v>9983</v>
      </c>
      <c r="R9386" t="s">
        <v>614</v>
      </c>
      <c r="S9386">
        <v>152.72540799999999</v>
      </c>
      <c r="T9386" s="1095">
        <v>-27.480898</v>
      </c>
    </row>
    <row r="9387" spans="16:20">
      <c r="P9387" s="1094">
        <v>4306</v>
      </c>
      <c r="Q9387" t="s">
        <v>9984</v>
      </c>
      <c r="R9387" t="s">
        <v>614</v>
      </c>
      <c r="S9387">
        <v>152.72540799999999</v>
      </c>
      <c r="T9387" s="1095">
        <v>-27.480898</v>
      </c>
    </row>
    <row r="9388" spans="16:20">
      <c r="P9388" s="1094">
        <v>4306</v>
      </c>
      <c r="Q9388" t="s">
        <v>9985</v>
      </c>
      <c r="R9388" t="s">
        <v>614</v>
      </c>
      <c r="S9388">
        <v>152.72540799999999</v>
      </c>
      <c r="T9388" s="1095">
        <v>-27.480898</v>
      </c>
    </row>
    <row r="9389" spans="16:20">
      <c r="P9389" s="1094">
        <v>4307</v>
      </c>
      <c r="Q9389" t="s">
        <v>9986</v>
      </c>
      <c r="R9389" t="s">
        <v>614</v>
      </c>
      <c r="S9389">
        <v>152.592399</v>
      </c>
      <c r="T9389" s="1095">
        <v>-27.851804000000001</v>
      </c>
    </row>
    <row r="9390" spans="16:20">
      <c r="P9390" s="1094">
        <v>4307</v>
      </c>
      <c r="Q9390" t="s">
        <v>9987</v>
      </c>
      <c r="R9390" t="s">
        <v>614</v>
      </c>
      <c r="S9390">
        <v>152.592399</v>
      </c>
      <c r="T9390" s="1095">
        <v>-27.851804000000001</v>
      </c>
    </row>
    <row r="9391" spans="16:20">
      <c r="P9391" s="1094">
        <v>4307</v>
      </c>
      <c r="Q9391" t="s">
        <v>9988</v>
      </c>
      <c r="R9391" t="s">
        <v>614</v>
      </c>
      <c r="S9391">
        <v>152.592399</v>
      </c>
      <c r="T9391" s="1095">
        <v>-27.851804000000001</v>
      </c>
    </row>
    <row r="9392" spans="16:20">
      <c r="P9392" s="1094">
        <v>4307</v>
      </c>
      <c r="Q9392" t="s">
        <v>9989</v>
      </c>
      <c r="R9392" t="s">
        <v>614</v>
      </c>
      <c r="S9392">
        <v>152.592399</v>
      </c>
      <c r="T9392" s="1095">
        <v>-27.851804000000001</v>
      </c>
    </row>
    <row r="9393" spans="16:20">
      <c r="P9393" s="1094">
        <v>4307</v>
      </c>
      <c r="Q9393" t="s">
        <v>5565</v>
      </c>
      <c r="R9393" t="s">
        <v>614</v>
      </c>
      <c r="S9393">
        <v>152.592399</v>
      </c>
      <c r="T9393" s="1095">
        <v>-27.851804000000001</v>
      </c>
    </row>
    <row r="9394" spans="16:20">
      <c r="P9394" s="1094">
        <v>4307</v>
      </c>
      <c r="Q9394" t="s">
        <v>9990</v>
      </c>
      <c r="R9394" t="s">
        <v>614</v>
      </c>
      <c r="S9394">
        <v>152.592399</v>
      </c>
      <c r="T9394" s="1095">
        <v>-27.851804000000001</v>
      </c>
    </row>
    <row r="9395" spans="16:20">
      <c r="P9395" s="1094">
        <v>4307</v>
      </c>
      <c r="Q9395" t="s">
        <v>9991</v>
      </c>
      <c r="R9395" t="s">
        <v>614</v>
      </c>
      <c r="S9395">
        <v>152.592399</v>
      </c>
      <c r="T9395" s="1095">
        <v>-27.851804000000001</v>
      </c>
    </row>
    <row r="9396" spans="16:20">
      <c r="P9396" s="1094">
        <v>4309</v>
      </c>
      <c r="Q9396" t="s">
        <v>9992</v>
      </c>
      <c r="R9396" t="s">
        <v>614</v>
      </c>
      <c r="S9396">
        <v>152.52336600000001</v>
      </c>
      <c r="T9396" s="1095">
        <v>-27.987279999999998</v>
      </c>
    </row>
    <row r="9397" spans="16:20">
      <c r="P9397" s="1094">
        <v>4309</v>
      </c>
      <c r="Q9397" t="s">
        <v>9993</v>
      </c>
      <c r="R9397" t="s">
        <v>614</v>
      </c>
      <c r="S9397">
        <v>152.52336600000001</v>
      </c>
      <c r="T9397" s="1095">
        <v>-27.987279999999998</v>
      </c>
    </row>
    <row r="9398" spans="16:20">
      <c r="P9398" s="1094">
        <v>4309</v>
      </c>
      <c r="Q9398" t="s">
        <v>9994</v>
      </c>
      <c r="R9398" t="s">
        <v>614</v>
      </c>
      <c r="S9398">
        <v>152.52336600000001</v>
      </c>
      <c r="T9398" s="1095">
        <v>-27.987279999999998</v>
      </c>
    </row>
    <row r="9399" spans="16:20">
      <c r="P9399" s="1094">
        <v>4309</v>
      </c>
      <c r="Q9399" t="s">
        <v>2458</v>
      </c>
      <c r="R9399" t="s">
        <v>614</v>
      </c>
      <c r="S9399">
        <v>152.52336600000001</v>
      </c>
      <c r="T9399" s="1095">
        <v>-27.987279999999998</v>
      </c>
    </row>
    <row r="9400" spans="16:20">
      <c r="P9400" s="1094">
        <v>4309</v>
      </c>
      <c r="Q9400" t="s">
        <v>9995</v>
      </c>
      <c r="R9400" t="s">
        <v>614</v>
      </c>
      <c r="S9400">
        <v>152.52336600000001</v>
      </c>
      <c r="T9400" s="1095">
        <v>-27.987279999999998</v>
      </c>
    </row>
    <row r="9401" spans="16:20">
      <c r="P9401" s="1094">
        <v>4309</v>
      </c>
      <c r="Q9401" t="s">
        <v>9996</v>
      </c>
      <c r="R9401" t="s">
        <v>614</v>
      </c>
      <c r="S9401">
        <v>152.52336600000001</v>
      </c>
      <c r="T9401" s="1095">
        <v>-27.987279999999998</v>
      </c>
    </row>
    <row r="9402" spans="16:20">
      <c r="P9402" s="1094">
        <v>4309</v>
      </c>
      <c r="Q9402" t="s">
        <v>9997</v>
      </c>
      <c r="R9402" t="s">
        <v>614</v>
      </c>
      <c r="S9402">
        <v>152.52336600000001</v>
      </c>
      <c r="T9402" s="1095">
        <v>-27.987279999999998</v>
      </c>
    </row>
    <row r="9403" spans="16:20">
      <c r="P9403" s="1094">
        <v>4309</v>
      </c>
      <c r="Q9403" t="s">
        <v>9998</v>
      </c>
      <c r="R9403" t="s">
        <v>614</v>
      </c>
      <c r="S9403">
        <v>152.52336600000001</v>
      </c>
      <c r="T9403" s="1095">
        <v>-27.987279999999998</v>
      </c>
    </row>
    <row r="9404" spans="16:20">
      <c r="P9404" s="1094">
        <v>4309</v>
      </c>
      <c r="Q9404" t="s">
        <v>9999</v>
      </c>
      <c r="R9404" t="s">
        <v>614</v>
      </c>
      <c r="S9404">
        <v>152.52336600000001</v>
      </c>
      <c r="T9404" s="1095">
        <v>-27.987279999999998</v>
      </c>
    </row>
    <row r="9405" spans="16:20">
      <c r="P9405" s="1094">
        <v>4309</v>
      </c>
      <c r="Q9405" t="s">
        <v>10000</v>
      </c>
      <c r="R9405" t="s">
        <v>614</v>
      </c>
      <c r="S9405">
        <v>152.52336600000001</v>
      </c>
      <c r="T9405" s="1095">
        <v>-27.987279999999998</v>
      </c>
    </row>
    <row r="9406" spans="16:20">
      <c r="P9406" s="1094">
        <v>4309</v>
      </c>
      <c r="Q9406" t="s">
        <v>10001</v>
      </c>
      <c r="R9406" t="s">
        <v>614</v>
      </c>
      <c r="S9406">
        <v>152.52336600000001</v>
      </c>
      <c r="T9406" s="1095">
        <v>-27.987279999999998</v>
      </c>
    </row>
    <row r="9407" spans="16:20">
      <c r="P9407" s="1094">
        <v>4309</v>
      </c>
      <c r="Q9407" t="s">
        <v>10002</v>
      </c>
      <c r="R9407" t="s">
        <v>614</v>
      </c>
      <c r="S9407">
        <v>152.52336600000001</v>
      </c>
      <c r="T9407" s="1095">
        <v>-27.987279999999998</v>
      </c>
    </row>
    <row r="9408" spans="16:20">
      <c r="P9408" s="1094">
        <v>4309</v>
      </c>
      <c r="Q9408" t="s">
        <v>10003</v>
      </c>
      <c r="R9408" t="s">
        <v>614</v>
      </c>
      <c r="S9408">
        <v>152.52336600000001</v>
      </c>
      <c r="T9408" s="1095">
        <v>-27.987279999999998</v>
      </c>
    </row>
    <row r="9409" spans="16:20">
      <c r="P9409" s="1094">
        <v>4309</v>
      </c>
      <c r="Q9409" t="s">
        <v>10004</v>
      </c>
      <c r="R9409" t="s">
        <v>614</v>
      </c>
      <c r="S9409">
        <v>152.52336600000001</v>
      </c>
      <c r="T9409" s="1095">
        <v>-27.987279999999998</v>
      </c>
    </row>
    <row r="9410" spans="16:20">
      <c r="P9410" s="1094">
        <v>4309</v>
      </c>
      <c r="Q9410" t="s">
        <v>10005</v>
      </c>
      <c r="R9410" t="s">
        <v>614</v>
      </c>
      <c r="S9410">
        <v>152.52336600000001</v>
      </c>
      <c r="T9410" s="1095">
        <v>-27.987279999999998</v>
      </c>
    </row>
    <row r="9411" spans="16:20">
      <c r="P9411" s="1094">
        <v>4309</v>
      </c>
      <c r="Q9411" t="s">
        <v>10006</v>
      </c>
      <c r="R9411" t="s">
        <v>614</v>
      </c>
      <c r="S9411">
        <v>152.52336600000001</v>
      </c>
      <c r="T9411" s="1095">
        <v>-27.987279999999998</v>
      </c>
    </row>
    <row r="9412" spans="16:20">
      <c r="P9412" s="1094">
        <v>4309</v>
      </c>
      <c r="Q9412" t="s">
        <v>10007</v>
      </c>
      <c r="R9412" t="s">
        <v>614</v>
      </c>
      <c r="S9412">
        <v>152.52336600000001</v>
      </c>
      <c r="T9412" s="1095">
        <v>-27.987279999999998</v>
      </c>
    </row>
    <row r="9413" spans="16:20">
      <c r="P9413" s="1094">
        <v>4309</v>
      </c>
      <c r="Q9413" t="s">
        <v>3336</v>
      </c>
      <c r="R9413" t="s">
        <v>614</v>
      </c>
      <c r="S9413">
        <v>152.52336600000001</v>
      </c>
      <c r="T9413" s="1095">
        <v>-27.987279999999998</v>
      </c>
    </row>
    <row r="9414" spans="16:20">
      <c r="P9414" s="1094">
        <v>4310</v>
      </c>
      <c r="Q9414" t="s">
        <v>2586</v>
      </c>
      <c r="R9414" t="s">
        <v>614</v>
      </c>
      <c r="S9414">
        <v>152.60059799999999</v>
      </c>
      <c r="T9414" s="1095">
        <v>-28.121399</v>
      </c>
    </row>
    <row r="9415" spans="16:20">
      <c r="P9415" s="1094">
        <v>4310</v>
      </c>
      <c r="Q9415" t="s">
        <v>10008</v>
      </c>
      <c r="R9415" t="s">
        <v>614</v>
      </c>
      <c r="S9415">
        <v>152.60059799999999</v>
      </c>
      <c r="T9415" s="1095">
        <v>-28.121399</v>
      </c>
    </row>
    <row r="9416" spans="16:20">
      <c r="P9416" s="1094">
        <v>4310</v>
      </c>
      <c r="Q9416" t="s">
        <v>10009</v>
      </c>
      <c r="R9416" t="s">
        <v>614</v>
      </c>
      <c r="S9416">
        <v>152.60059799999999</v>
      </c>
      <c r="T9416" s="1095">
        <v>-28.121399</v>
      </c>
    </row>
    <row r="9417" spans="16:20">
      <c r="P9417" s="1094">
        <v>4310</v>
      </c>
      <c r="Q9417" t="s">
        <v>10010</v>
      </c>
      <c r="R9417" t="s">
        <v>614</v>
      </c>
      <c r="S9417">
        <v>152.60059799999999</v>
      </c>
      <c r="T9417" s="1095">
        <v>-28.121399</v>
      </c>
    </row>
    <row r="9418" spans="16:20">
      <c r="P9418" s="1094">
        <v>4310</v>
      </c>
      <c r="Q9418" t="s">
        <v>10011</v>
      </c>
      <c r="R9418" t="s">
        <v>614</v>
      </c>
      <c r="S9418">
        <v>152.60059799999999</v>
      </c>
      <c r="T9418" s="1095">
        <v>-28.121399</v>
      </c>
    </row>
    <row r="9419" spans="16:20">
      <c r="P9419" s="1094">
        <v>4310</v>
      </c>
      <c r="Q9419" t="s">
        <v>10012</v>
      </c>
      <c r="R9419" t="s">
        <v>614</v>
      </c>
      <c r="S9419">
        <v>152.60059799999999</v>
      </c>
      <c r="T9419" s="1095">
        <v>-28.121399</v>
      </c>
    </row>
    <row r="9420" spans="16:20">
      <c r="P9420" s="1094">
        <v>4310</v>
      </c>
      <c r="Q9420" t="s">
        <v>10013</v>
      </c>
      <c r="R9420" t="s">
        <v>614</v>
      </c>
      <c r="S9420">
        <v>152.60059799999999</v>
      </c>
      <c r="T9420" s="1095">
        <v>-28.121399</v>
      </c>
    </row>
    <row r="9421" spans="16:20">
      <c r="P9421" s="1094">
        <v>4310</v>
      </c>
      <c r="Q9421" t="s">
        <v>10014</v>
      </c>
      <c r="R9421" t="s">
        <v>614</v>
      </c>
      <c r="S9421">
        <v>152.60059799999999</v>
      </c>
      <c r="T9421" s="1095">
        <v>-28.121399</v>
      </c>
    </row>
    <row r="9422" spans="16:20">
      <c r="P9422" s="1094">
        <v>4310</v>
      </c>
      <c r="Q9422" t="s">
        <v>10015</v>
      </c>
      <c r="R9422" t="s">
        <v>614</v>
      </c>
      <c r="S9422">
        <v>152.60059799999999</v>
      </c>
      <c r="T9422" s="1095">
        <v>-28.121399</v>
      </c>
    </row>
    <row r="9423" spans="16:20">
      <c r="P9423" s="1094">
        <v>4310</v>
      </c>
      <c r="Q9423" t="s">
        <v>10016</v>
      </c>
      <c r="R9423" t="s">
        <v>614</v>
      </c>
      <c r="S9423">
        <v>152.60059799999999</v>
      </c>
      <c r="T9423" s="1095">
        <v>-28.121399</v>
      </c>
    </row>
    <row r="9424" spans="16:20">
      <c r="P9424" s="1094">
        <v>4310</v>
      </c>
      <c r="Q9424" t="s">
        <v>10017</v>
      </c>
      <c r="R9424" t="s">
        <v>614</v>
      </c>
      <c r="S9424">
        <v>152.60059799999999</v>
      </c>
      <c r="T9424" s="1095">
        <v>-28.121399</v>
      </c>
    </row>
    <row r="9425" spans="16:20">
      <c r="P9425" s="1094">
        <v>4310</v>
      </c>
      <c r="Q9425" t="s">
        <v>10018</v>
      </c>
      <c r="R9425" t="s">
        <v>614</v>
      </c>
      <c r="S9425">
        <v>152.60059799999999</v>
      </c>
      <c r="T9425" s="1095">
        <v>-28.121399</v>
      </c>
    </row>
    <row r="9426" spans="16:20">
      <c r="P9426" s="1094">
        <v>4310</v>
      </c>
      <c r="Q9426" t="s">
        <v>10019</v>
      </c>
      <c r="R9426" t="s">
        <v>614</v>
      </c>
      <c r="S9426">
        <v>152.60059799999999</v>
      </c>
      <c r="T9426" s="1095">
        <v>-28.121399</v>
      </c>
    </row>
    <row r="9427" spans="16:20">
      <c r="P9427" s="1094">
        <v>4310</v>
      </c>
      <c r="Q9427" t="s">
        <v>10020</v>
      </c>
      <c r="R9427" t="s">
        <v>614</v>
      </c>
      <c r="S9427">
        <v>152.60059799999999</v>
      </c>
      <c r="T9427" s="1095">
        <v>-28.121399</v>
      </c>
    </row>
    <row r="9428" spans="16:20">
      <c r="P9428" s="1094">
        <v>4310</v>
      </c>
      <c r="Q9428" t="s">
        <v>10021</v>
      </c>
      <c r="R9428" t="s">
        <v>614</v>
      </c>
      <c r="S9428">
        <v>152.60059799999999</v>
      </c>
      <c r="T9428" s="1095">
        <v>-28.121399</v>
      </c>
    </row>
    <row r="9429" spans="16:20">
      <c r="P9429" s="1094">
        <v>4310</v>
      </c>
      <c r="Q9429" t="s">
        <v>10022</v>
      </c>
      <c r="R9429" t="s">
        <v>614</v>
      </c>
      <c r="S9429">
        <v>152.60059799999999</v>
      </c>
      <c r="T9429" s="1095">
        <v>-28.121399</v>
      </c>
    </row>
    <row r="9430" spans="16:20">
      <c r="P9430" s="1094">
        <v>4310</v>
      </c>
      <c r="Q9430" t="s">
        <v>10023</v>
      </c>
      <c r="R9430" t="s">
        <v>614</v>
      </c>
      <c r="S9430">
        <v>152.60059799999999</v>
      </c>
      <c r="T9430" s="1095">
        <v>-28.121399</v>
      </c>
    </row>
    <row r="9431" spans="16:20">
      <c r="P9431" s="1094">
        <v>4310</v>
      </c>
      <c r="Q9431" t="s">
        <v>10024</v>
      </c>
      <c r="R9431" t="s">
        <v>614</v>
      </c>
      <c r="S9431">
        <v>152.60059799999999</v>
      </c>
      <c r="T9431" s="1095">
        <v>-28.121399</v>
      </c>
    </row>
    <row r="9432" spans="16:20">
      <c r="P9432" s="1094">
        <v>4310</v>
      </c>
      <c r="Q9432" t="s">
        <v>10025</v>
      </c>
      <c r="R9432" t="s">
        <v>614</v>
      </c>
      <c r="S9432">
        <v>152.60059799999999</v>
      </c>
      <c r="T9432" s="1095">
        <v>-28.121399</v>
      </c>
    </row>
    <row r="9433" spans="16:20">
      <c r="P9433" s="1094">
        <v>4310</v>
      </c>
      <c r="Q9433" t="s">
        <v>10026</v>
      </c>
      <c r="R9433" t="s">
        <v>614</v>
      </c>
      <c r="S9433">
        <v>152.60059799999999</v>
      </c>
      <c r="T9433" s="1095">
        <v>-28.121399</v>
      </c>
    </row>
    <row r="9434" spans="16:20">
      <c r="P9434" s="1094">
        <v>4310</v>
      </c>
      <c r="Q9434" t="s">
        <v>10027</v>
      </c>
      <c r="R9434" t="s">
        <v>614</v>
      </c>
      <c r="S9434">
        <v>152.60059799999999</v>
      </c>
      <c r="T9434" s="1095">
        <v>-28.121399</v>
      </c>
    </row>
    <row r="9435" spans="16:20">
      <c r="P9435" s="1094">
        <v>4310</v>
      </c>
      <c r="Q9435" t="s">
        <v>10028</v>
      </c>
      <c r="R9435" t="s">
        <v>614</v>
      </c>
      <c r="S9435">
        <v>152.60059799999999</v>
      </c>
      <c r="T9435" s="1095">
        <v>-28.121399</v>
      </c>
    </row>
    <row r="9436" spans="16:20">
      <c r="P9436" s="1094">
        <v>4310</v>
      </c>
      <c r="Q9436" t="s">
        <v>10029</v>
      </c>
      <c r="R9436" t="s">
        <v>614</v>
      </c>
      <c r="S9436">
        <v>152.60059799999999</v>
      </c>
      <c r="T9436" s="1095">
        <v>-28.121399</v>
      </c>
    </row>
    <row r="9437" spans="16:20">
      <c r="P9437" s="1094">
        <v>4310</v>
      </c>
      <c r="Q9437" t="s">
        <v>10030</v>
      </c>
      <c r="R9437" t="s">
        <v>614</v>
      </c>
      <c r="S9437">
        <v>152.60059799999999</v>
      </c>
      <c r="T9437" s="1095">
        <v>-28.121399</v>
      </c>
    </row>
    <row r="9438" spans="16:20">
      <c r="P9438" s="1094">
        <v>4310</v>
      </c>
      <c r="Q9438" t="s">
        <v>10031</v>
      </c>
      <c r="R9438" t="s">
        <v>614</v>
      </c>
      <c r="S9438">
        <v>152.60059799999999</v>
      </c>
      <c r="T9438" s="1095">
        <v>-28.121399</v>
      </c>
    </row>
    <row r="9439" spans="16:20">
      <c r="P9439" s="1094">
        <v>4310</v>
      </c>
      <c r="Q9439" t="s">
        <v>10032</v>
      </c>
      <c r="R9439" t="s">
        <v>614</v>
      </c>
      <c r="S9439">
        <v>152.60059799999999</v>
      </c>
      <c r="T9439" s="1095">
        <v>-28.121399</v>
      </c>
    </row>
    <row r="9440" spans="16:20">
      <c r="P9440" s="1094">
        <v>4310</v>
      </c>
      <c r="Q9440" t="s">
        <v>10033</v>
      </c>
      <c r="R9440" t="s">
        <v>614</v>
      </c>
      <c r="S9440">
        <v>152.60059799999999</v>
      </c>
      <c r="T9440" s="1095">
        <v>-28.121399</v>
      </c>
    </row>
    <row r="9441" spans="16:20">
      <c r="P9441" s="1094">
        <v>4310</v>
      </c>
      <c r="Q9441" t="s">
        <v>10034</v>
      </c>
      <c r="R9441" t="s">
        <v>614</v>
      </c>
      <c r="S9441">
        <v>152.60059799999999</v>
      </c>
      <c r="T9441" s="1095">
        <v>-28.121399</v>
      </c>
    </row>
    <row r="9442" spans="16:20">
      <c r="P9442" s="1094">
        <v>4311</v>
      </c>
      <c r="Q9442" t="s">
        <v>10035</v>
      </c>
      <c r="R9442" t="s">
        <v>614</v>
      </c>
      <c r="S9442">
        <v>152.438771</v>
      </c>
      <c r="T9442" s="1095">
        <v>-27.418572000000001</v>
      </c>
    </row>
    <row r="9443" spans="16:20">
      <c r="P9443" s="1094">
        <v>4311</v>
      </c>
      <c r="Q9443" t="s">
        <v>10036</v>
      </c>
      <c r="R9443" t="s">
        <v>614</v>
      </c>
      <c r="S9443">
        <v>152.438771</v>
      </c>
      <c r="T9443" s="1095">
        <v>-27.418572000000001</v>
      </c>
    </row>
    <row r="9444" spans="16:20">
      <c r="P9444" s="1094">
        <v>4311</v>
      </c>
      <c r="Q9444" t="s">
        <v>10037</v>
      </c>
      <c r="R9444" t="s">
        <v>614</v>
      </c>
      <c r="S9444">
        <v>152.438771</v>
      </c>
      <c r="T9444" s="1095">
        <v>-27.418572000000001</v>
      </c>
    </row>
    <row r="9445" spans="16:20">
      <c r="P9445" s="1094">
        <v>4311</v>
      </c>
      <c r="Q9445" t="s">
        <v>10038</v>
      </c>
      <c r="R9445" t="s">
        <v>614</v>
      </c>
      <c r="S9445">
        <v>152.438771</v>
      </c>
      <c r="T9445" s="1095">
        <v>-27.418572000000001</v>
      </c>
    </row>
    <row r="9446" spans="16:20">
      <c r="P9446" s="1094">
        <v>4311</v>
      </c>
      <c r="Q9446" t="s">
        <v>10039</v>
      </c>
      <c r="R9446" t="s">
        <v>614</v>
      </c>
      <c r="S9446">
        <v>152.438771</v>
      </c>
      <c r="T9446" s="1095">
        <v>-27.418572000000001</v>
      </c>
    </row>
    <row r="9447" spans="16:20">
      <c r="P9447" s="1094">
        <v>4311</v>
      </c>
      <c r="Q9447" t="s">
        <v>5581</v>
      </c>
      <c r="R9447" t="s">
        <v>614</v>
      </c>
      <c r="S9447">
        <v>152.438771</v>
      </c>
      <c r="T9447" s="1095">
        <v>-27.418572000000001</v>
      </c>
    </row>
    <row r="9448" spans="16:20">
      <c r="P9448" s="1094">
        <v>4311</v>
      </c>
      <c r="Q9448" t="s">
        <v>10040</v>
      </c>
      <c r="R9448" t="s">
        <v>614</v>
      </c>
      <c r="S9448">
        <v>152.438771</v>
      </c>
      <c r="T9448" s="1095">
        <v>-27.418572000000001</v>
      </c>
    </row>
    <row r="9449" spans="16:20">
      <c r="P9449" s="1094">
        <v>4311</v>
      </c>
      <c r="Q9449" t="s">
        <v>10041</v>
      </c>
      <c r="R9449" t="s">
        <v>614</v>
      </c>
      <c r="S9449">
        <v>152.438771</v>
      </c>
      <c r="T9449" s="1095">
        <v>-27.418572000000001</v>
      </c>
    </row>
    <row r="9450" spans="16:20">
      <c r="P9450" s="1094">
        <v>4311</v>
      </c>
      <c r="Q9450" t="s">
        <v>10042</v>
      </c>
      <c r="R9450" t="s">
        <v>614</v>
      </c>
      <c r="S9450">
        <v>152.438771</v>
      </c>
      <c r="T9450" s="1095">
        <v>-27.418572000000001</v>
      </c>
    </row>
    <row r="9451" spans="16:20">
      <c r="P9451" s="1094">
        <v>4311</v>
      </c>
      <c r="Q9451" t="s">
        <v>10043</v>
      </c>
      <c r="R9451" t="s">
        <v>614</v>
      </c>
      <c r="S9451">
        <v>152.438771</v>
      </c>
      <c r="T9451" s="1095">
        <v>-27.418572000000001</v>
      </c>
    </row>
    <row r="9452" spans="16:20">
      <c r="P9452" s="1094">
        <v>4311</v>
      </c>
      <c r="Q9452" t="s">
        <v>10044</v>
      </c>
      <c r="R9452" t="s">
        <v>614</v>
      </c>
      <c r="S9452">
        <v>152.438771</v>
      </c>
      <c r="T9452" s="1095">
        <v>-27.418572000000001</v>
      </c>
    </row>
    <row r="9453" spans="16:20">
      <c r="P9453" s="1094">
        <v>4311</v>
      </c>
      <c r="Q9453" t="s">
        <v>10045</v>
      </c>
      <c r="R9453" t="s">
        <v>614</v>
      </c>
      <c r="S9453">
        <v>152.438771</v>
      </c>
      <c r="T9453" s="1095">
        <v>-27.418572000000001</v>
      </c>
    </row>
    <row r="9454" spans="16:20">
      <c r="P9454" s="1094">
        <v>4311</v>
      </c>
      <c r="Q9454" t="s">
        <v>10046</v>
      </c>
      <c r="R9454" t="s">
        <v>614</v>
      </c>
      <c r="S9454">
        <v>152.438771</v>
      </c>
      <c r="T9454" s="1095">
        <v>-27.418572000000001</v>
      </c>
    </row>
    <row r="9455" spans="16:20">
      <c r="P9455" s="1094">
        <v>4311</v>
      </c>
      <c r="Q9455" t="s">
        <v>10047</v>
      </c>
      <c r="R9455" t="s">
        <v>614</v>
      </c>
      <c r="S9455">
        <v>152.438771</v>
      </c>
      <c r="T9455" s="1095">
        <v>-27.418572000000001</v>
      </c>
    </row>
    <row r="9456" spans="16:20">
      <c r="P9456" s="1094">
        <v>4311</v>
      </c>
      <c r="Q9456" t="s">
        <v>10048</v>
      </c>
      <c r="R9456" t="s">
        <v>614</v>
      </c>
      <c r="S9456">
        <v>152.438771</v>
      </c>
      <c r="T9456" s="1095">
        <v>-27.418572000000001</v>
      </c>
    </row>
    <row r="9457" spans="16:20">
      <c r="P9457" s="1094">
        <v>4311</v>
      </c>
      <c r="Q9457" t="s">
        <v>10049</v>
      </c>
      <c r="R9457" t="s">
        <v>614</v>
      </c>
      <c r="S9457">
        <v>152.438771</v>
      </c>
      <c r="T9457" s="1095">
        <v>-27.418572000000001</v>
      </c>
    </row>
    <row r="9458" spans="16:20">
      <c r="P9458" s="1094">
        <v>4311</v>
      </c>
      <c r="Q9458" t="s">
        <v>10050</v>
      </c>
      <c r="R9458" t="s">
        <v>614</v>
      </c>
      <c r="S9458">
        <v>152.438771</v>
      </c>
      <c r="T9458" s="1095">
        <v>-27.418572000000001</v>
      </c>
    </row>
    <row r="9459" spans="16:20">
      <c r="P9459" s="1094">
        <v>4312</v>
      </c>
      <c r="Q9459" t="s">
        <v>10051</v>
      </c>
      <c r="R9459" t="s">
        <v>614</v>
      </c>
      <c r="S9459">
        <v>152.48263600000001</v>
      </c>
      <c r="T9459" s="1095">
        <v>-27.256065</v>
      </c>
    </row>
    <row r="9460" spans="16:20">
      <c r="P9460" s="1094">
        <v>4312</v>
      </c>
      <c r="Q9460" t="s">
        <v>10052</v>
      </c>
      <c r="R9460" t="s">
        <v>614</v>
      </c>
      <c r="S9460">
        <v>152.48263600000001</v>
      </c>
      <c r="T9460" s="1095">
        <v>-27.256065</v>
      </c>
    </row>
    <row r="9461" spans="16:20">
      <c r="P9461" s="1094">
        <v>4312</v>
      </c>
      <c r="Q9461" t="s">
        <v>10053</v>
      </c>
      <c r="R9461" t="s">
        <v>614</v>
      </c>
      <c r="S9461">
        <v>152.48263600000001</v>
      </c>
      <c r="T9461" s="1095">
        <v>-27.256065</v>
      </c>
    </row>
    <row r="9462" spans="16:20">
      <c r="P9462" s="1094">
        <v>4312</v>
      </c>
      <c r="Q9462" t="s">
        <v>10054</v>
      </c>
      <c r="R9462" t="s">
        <v>614</v>
      </c>
      <c r="S9462">
        <v>152.48263600000001</v>
      </c>
      <c r="T9462" s="1095">
        <v>-27.256065</v>
      </c>
    </row>
    <row r="9463" spans="16:20">
      <c r="P9463" s="1094">
        <v>4312</v>
      </c>
      <c r="Q9463" t="s">
        <v>10055</v>
      </c>
      <c r="R9463" t="s">
        <v>614</v>
      </c>
      <c r="S9463">
        <v>152.48263600000001</v>
      </c>
      <c r="T9463" s="1095">
        <v>-27.256065</v>
      </c>
    </row>
    <row r="9464" spans="16:20">
      <c r="P9464" s="1094">
        <v>4312</v>
      </c>
      <c r="Q9464" t="s">
        <v>8505</v>
      </c>
      <c r="R9464" t="s">
        <v>614</v>
      </c>
      <c r="S9464">
        <v>152.48263600000001</v>
      </c>
      <c r="T9464" s="1095">
        <v>-27.256065</v>
      </c>
    </row>
    <row r="9465" spans="16:20">
      <c r="P9465" s="1094">
        <v>4312</v>
      </c>
      <c r="Q9465" t="s">
        <v>10056</v>
      </c>
      <c r="R9465" t="s">
        <v>614</v>
      </c>
      <c r="S9465">
        <v>152.48263600000001</v>
      </c>
      <c r="T9465" s="1095">
        <v>-27.256065</v>
      </c>
    </row>
    <row r="9466" spans="16:20">
      <c r="P9466" s="1094">
        <v>4312</v>
      </c>
      <c r="Q9466" t="s">
        <v>10057</v>
      </c>
      <c r="R9466" t="s">
        <v>614</v>
      </c>
      <c r="S9466">
        <v>152.48263600000001</v>
      </c>
      <c r="T9466" s="1095">
        <v>-27.256065</v>
      </c>
    </row>
    <row r="9467" spans="16:20">
      <c r="P9467" s="1094">
        <v>4312</v>
      </c>
      <c r="Q9467" t="s">
        <v>10058</v>
      </c>
      <c r="R9467" t="s">
        <v>614</v>
      </c>
      <c r="S9467">
        <v>152.48263600000001</v>
      </c>
      <c r="T9467" s="1095">
        <v>-27.256065</v>
      </c>
    </row>
    <row r="9468" spans="16:20">
      <c r="P9468" s="1094">
        <v>4312</v>
      </c>
      <c r="Q9468" t="s">
        <v>10059</v>
      </c>
      <c r="R9468" t="s">
        <v>614</v>
      </c>
      <c r="S9468">
        <v>152.48263600000001</v>
      </c>
      <c r="T9468" s="1095">
        <v>-27.256065</v>
      </c>
    </row>
    <row r="9469" spans="16:20">
      <c r="P9469" s="1094">
        <v>4312</v>
      </c>
      <c r="Q9469" t="s">
        <v>10060</v>
      </c>
      <c r="R9469" t="s">
        <v>614</v>
      </c>
      <c r="S9469">
        <v>152.48263600000001</v>
      </c>
      <c r="T9469" s="1095">
        <v>-27.256065</v>
      </c>
    </row>
    <row r="9470" spans="16:20">
      <c r="P9470" s="1094">
        <v>4312</v>
      </c>
      <c r="Q9470" t="s">
        <v>10061</v>
      </c>
      <c r="R9470" t="s">
        <v>614</v>
      </c>
      <c r="S9470">
        <v>152.48263600000001</v>
      </c>
      <c r="T9470" s="1095">
        <v>-27.256065</v>
      </c>
    </row>
    <row r="9471" spans="16:20">
      <c r="P9471" s="1094">
        <v>4312</v>
      </c>
      <c r="Q9471" t="s">
        <v>10062</v>
      </c>
      <c r="R9471" t="s">
        <v>614</v>
      </c>
      <c r="S9471">
        <v>152.48263600000001</v>
      </c>
      <c r="T9471" s="1095">
        <v>-27.256065</v>
      </c>
    </row>
    <row r="9472" spans="16:20">
      <c r="P9472" s="1094">
        <v>4313</v>
      </c>
      <c r="Q9472" t="s">
        <v>10063</v>
      </c>
      <c r="R9472" t="s">
        <v>614</v>
      </c>
      <c r="S9472">
        <v>152.32153600000001</v>
      </c>
      <c r="T9472" s="1095">
        <v>-27.089517000000001</v>
      </c>
    </row>
    <row r="9473" spans="16:20">
      <c r="P9473" s="1094">
        <v>4313</v>
      </c>
      <c r="Q9473" t="s">
        <v>10064</v>
      </c>
      <c r="R9473" t="s">
        <v>614</v>
      </c>
      <c r="S9473">
        <v>152.32153600000001</v>
      </c>
      <c r="T9473" s="1095">
        <v>-27.089517000000001</v>
      </c>
    </row>
    <row r="9474" spans="16:20">
      <c r="P9474" s="1094">
        <v>4313</v>
      </c>
      <c r="Q9474" t="s">
        <v>10065</v>
      </c>
      <c r="R9474" t="s">
        <v>614</v>
      </c>
      <c r="S9474">
        <v>152.32153600000001</v>
      </c>
      <c r="T9474" s="1095">
        <v>-27.089517000000001</v>
      </c>
    </row>
    <row r="9475" spans="16:20">
      <c r="P9475" s="1094">
        <v>4313</v>
      </c>
      <c r="Q9475" t="s">
        <v>10066</v>
      </c>
      <c r="R9475" t="s">
        <v>614</v>
      </c>
      <c r="S9475">
        <v>152.32153600000001</v>
      </c>
      <c r="T9475" s="1095">
        <v>-27.089517000000001</v>
      </c>
    </row>
    <row r="9476" spans="16:20">
      <c r="P9476" s="1094">
        <v>4313</v>
      </c>
      <c r="Q9476" t="s">
        <v>8879</v>
      </c>
      <c r="R9476" t="s">
        <v>614</v>
      </c>
      <c r="S9476">
        <v>152.32153600000001</v>
      </c>
      <c r="T9476" s="1095">
        <v>-27.089517000000001</v>
      </c>
    </row>
    <row r="9477" spans="16:20">
      <c r="P9477" s="1094">
        <v>4313</v>
      </c>
      <c r="Q9477" t="s">
        <v>10067</v>
      </c>
      <c r="R9477" t="s">
        <v>614</v>
      </c>
      <c r="S9477">
        <v>152.32153600000001</v>
      </c>
      <c r="T9477" s="1095">
        <v>-27.089517000000001</v>
      </c>
    </row>
    <row r="9478" spans="16:20">
      <c r="P9478" s="1094">
        <v>4313</v>
      </c>
      <c r="Q9478" t="s">
        <v>10068</v>
      </c>
      <c r="R9478" t="s">
        <v>614</v>
      </c>
      <c r="S9478">
        <v>152.32153600000001</v>
      </c>
      <c r="T9478" s="1095">
        <v>-27.089517000000001</v>
      </c>
    </row>
    <row r="9479" spans="16:20">
      <c r="P9479" s="1094">
        <v>4313</v>
      </c>
      <c r="Q9479" t="s">
        <v>10069</v>
      </c>
      <c r="R9479" t="s">
        <v>614</v>
      </c>
      <c r="S9479">
        <v>152.32153600000001</v>
      </c>
      <c r="T9479" s="1095">
        <v>-27.089517000000001</v>
      </c>
    </row>
    <row r="9480" spans="16:20">
      <c r="P9480" s="1094">
        <v>4313</v>
      </c>
      <c r="Q9480" t="s">
        <v>10070</v>
      </c>
      <c r="R9480" t="s">
        <v>614</v>
      </c>
      <c r="S9480">
        <v>152.32153600000001</v>
      </c>
      <c r="T9480" s="1095">
        <v>-27.089517000000001</v>
      </c>
    </row>
    <row r="9481" spans="16:20">
      <c r="P9481" s="1094">
        <v>4313</v>
      </c>
      <c r="Q9481" t="s">
        <v>10071</v>
      </c>
      <c r="R9481" t="s">
        <v>614</v>
      </c>
      <c r="S9481">
        <v>152.32153600000001</v>
      </c>
      <c r="T9481" s="1095">
        <v>-27.089517000000001</v>
      </c>
    </row>
    <row r="9482" spans="16:20">
      <c r="P9482" s="1094">
        <v>4313</v>
      </c>
      <c r="Q9482" t="s">
        <v>10072</v>
      </c>
      <c r="R9482" t="s">
        <v>614</v>
      </c>
      <c r="S9482">
        <v>152.32153600000001</v>
      </c>
      <c r="T9482" s="1095">
        <v>-27.089517000000001</v>
      </c>
    </row>
    <row r="9483" spans="16:20">
      <c r="P9483" s="1094">
        <v>4313</v>
      </c>
      <c r="Q9483" t="s">
        <v>10073</v>
      </c>
      <c r="R9483" t="s">
        <v>614</v>
      </c>
      <c r="S9483">
        <v>152.32153600000001</v>
      </c>
      <c r="T9483" s="1095">
        <v>-27.089517000000001</v>
      </c>
    </row>
    <row r="9484" spans="16:20">
      <c r="P9484" s="1094">
        <v>4313</v>
      </c>
      <c r="Q9484" t="s">
        <v>10074</v>
      </c>
      <c r="R9484" t="s">
        <v>614</v>
      </c>
      <c r="S9484">
        <v>152.32153600000001</v>
      </c>
      <c r="T9484" s="1095">
        <v>-27.089517000000001</v>
      </c>
    </row>
    <row r="9485" spans="16:20">
      <c r="P9485" s="1094">
        <v>4340</v>
      </c>
      <c r="Q9485" t="s">
        <v>10075</v>
      </c>
      <c r="R9485" t="s">
        <v>614</v>
      </c>
      <c r="S9485">
        <v>152.472702</v>
      </c>
      <c r="T9485" s="1095">
        <v>-27.803453000000001</v>
      </c>
    </row>
    <row r="9486" spans="16:20">
      <c r="P9486" s="1094">
        <v>4340</v>
      </c>
      <c r="Q9486" t="s">
        <v>10076</v>
      </c>
      <c r="R9486" t="s">
        <v>614</v>
      </c>
      <c r="S9486">
        <v>152.472702</v>
      </c>
      <c r="T9486" s="1095">
        <v>-27.803453000000001</v>
      </c>
    </row>
    <row r="9487" spans="16:20">
      <c r="P9487" s="1094">
        <v>4340</v>
      </c>
      <c r="Q9487" t="s">
        <v>5585</v>
      </c>
      <c r="R9487" t="s">
        <v>614</v>
      </c>
      <c r="S9487">
        <v>152.472702</v>
      </c>
      <c r="T9487" s="1095">
        <v>-27.803453000000001</v>
      </c>
    </row>
    <row r="9488" spans="16:20">
      <c r="P9488" s="1094">
        <v>4340</v>
      </c>
      <c r="Q9488" t="s">
        <v>10077</v>
      </c>
      <c r="R9488" t="s">
        <v>614</v>
      </c>
      <c r="S9488">
        <v>152.472702</v>
      </c>
      <c r="T9488" s="1095">
        <v>-27.803453000000001</v>
      </c>
    </row>
    <row r="9489" spans="16:20">
      <c r="P9489" s="1094">
        <v>4340</v>
      </c>
      <c r="Q9489" t="s">
        <v>10078</v>
      </c>
      <c r="R9489" t="s">
        <v>614</v>
      </c>
      <c r="S9489">
        <v>152.472702</v>
      </c>
      <c r="T9489" s="1095">
        <v>-27.803453000000001</v>
      </c>
    </row>
    <row r="9490" spans="16:20">
      <c r="P9490" s="1094">
        <v>4340</v>
      </c>
      <c r="Q9490" t="s">
        <v>10079</v>
      </c>
      <c r="R9490" t="s">
        <v>614</v>
      </c>
      <c r="S9490">
        <v>152.472702</v>
      </c>
      <c r="T9490" s="1095">
        <v>-27.803453000000001</v>
      </c>
    </row>
    <row r="9491" spans="16:20">
      <c r="P9491" s="1094">
        <v>4340</v>
      </c>
      <c r="Q9491" t="s">
        <v>10080</v>
      </c>
      <c r="R9491" t="s">
        <v>614</v>
      </c>
      <c r="S9491">
        <v>152.472702</v>
      </c>
      <c r="T9491" s="1095">
        <v>-27.803453000000001</v>
      </c>
    </row>
    <row r="9492" spans="16:20">
      <c r="P9492" s="1094">
        <v>4340</v>
      </c>
      <c r="Q9492" t="s">
        <v>10081</v>
      </c>
      <c r="R9492" t="s">
        <v>614</v>
      </c>
      <c r="S9492">
        <v>152.472702</v>
      </c>
      <c r="T9492" s="1095">
        <v>-27.803453000000001</v>
      </c>
    </row>
    <row r="9493" spans="16:20">
      <c r="P9493" s="1094">
        <v>4340</v>
      </c>
      <c r="Q9493" t="s">
        <v>10082</v>
      </c>
      <c r="R9493" t="s">
        <v>614</v>
      </c>
      <c r="S9493">
        <v>152.472702</v>
      </c>
      <c r="T9493" s="1095">
        <v>-27.803453000000001</v>
      </c>
    </row>
    <row r="9494" spans="16:20">
      <c r="P9494" s="1094">
        <v>4340</v>
      </c>
      <c r="Q9494" t="s">
        <v>10083</v>
      </c>
      <c r="R9494" t="s">
        <v>614</v>
      </c>
      <c r="S9494">
        <v>152.472702</v>
      </c>
      <c r="T9494" s="1095">
        <v>-27.803453000000001</v>
      </c>
    </row>
    <row r="9495" spans="16:20">
      <c r="P9495" s="1094">
        <v>4340</v>
      </c>
      <c r="Q9495" t="s">
        <v>10084</v>
      </c>
      <c r="R9495" t="s">
        <v>614</v>
      </c>
      <c r="S9495">
        <v>152.472702</v>
      </c>
      <c r="T9495" s="1095">
        <v>-27.803453000000001</v>
      </c>
    </row>
    <row r="9496" spans="16:20">
      <c r="P9496" s="1094">
        <v>4340</v>
      </c>
      <c r="Q9496" t="s">
        <v>10085</v>
      </c>
      <c r="R9496" t="s">
        <v>614</v>
      </c>
      <c r="S9496">
        <v>152.472702</v>
      </c>
      <c r="T9496" s="1095">
        <v>-27.803453000000001</v>
      </c>
    </row>
    <row r="9497" spans="16:20">
      <c r="P9497" s="1094">
        <v>4340</v>
      </c>
      <c r="Q9497" t="s">
        <v>10086</v>
      </c>
      <c r="R9497" t="s">
        <v>614</v>
      </c>
      <c r="S9497">
        <v>152.472702</v>
      </c>
      <c r="T9497" s="1095">
        <v>-27.803453000000001</v>
      </c>
    </row>
    <row r="9498" spans="16:20">
      <c r="P9498" s="1094">
        <v>4340</v>
      </c>
      <c r="Q9498" t="s">
        <v>10087</v>
      </c>
      <c r="R9498" t="s">
        <v>614</v>
      </c>
      <c r="S9498">
        <v>152.472702</v>
      </c>
      <c r="T9498" s="1095">
        <v>-27.803453000000001</v>
      </c>
    </row>
    <row r="9499" spans="16:20">
      <c r="P9499" s="1094">
        <v>4340</v>
      </c>
      <c r="Q9499" t="s">
        <v>3575</v>
      </c>
      <c r="R9499" t="s">
        <v>614</v>
      </c>
      <c r="S9499">
        <v>152.472702</v>
      </c>
      <c r="T9499" s="1095">
        <v>-27.803453000000001</v>
      </c>
    </row>
    <row r="9500" spans="16:20">
      <c r="P9500" s="1094">
        <v>4340</v>
      </c>
      <c r="Q9500" t="s">
        <v>10088</v>
      </c>
      <c r="R9500" t="s">
        <v>614</v>
      </c>
      <c r="S9500">
        <v>152.472702</v>
      </c>
      <c r="T9500" s="1095">
        <v>-27.803453000000001</v>
      </c>
    </row>
    <row r="9501" spans="16:20">
      <c r="P9501" s="1094">
        <v>4340</v>
      </c>
      <c r="Q9501" t="s">
        <v>10089</v>
      </c>
      <c r="R9501" t="s">
        <v>614</v>
      </c>
      <c r="S9501">
        <v>152.472702</v>
      </c>
      <c r="T9501" s="1095">
        <v>-27.803453000000001</v>
      </c>
    </row>
    <row r="9502" spans="16:20">
      <c r="P9502" s="1094">
        <v>4340</v>
      </c>
      <c r="Q9502" t="s">
        <v>8640</v>
      </c>
      <c r="R9502" t="s">
        <v>614</v>
      </c>
      <c r="S9502">
        <v>152.472702</v>
      </c>
      <c r="T9502" s="1095">
        <v>-27.803453000000001</v>
      </c>
    </row>
    <row r="9503" spans="16:20">
      <c r="P9503" s="1094">
        <v>4341</v>
      </c>
      <c r="Q9503" t="s">
        <v>10090</v>
      </c>
      <c r="R9503" t="s">
        <v>614</v>
      </c>
      <c r="S9503">
        <v>152.39665600000001</v>
      </c>
      <c r="T9503" s="1095">
        <v>-27.68768</v>
      </c>
    </row>
    <row r="9504" spans="16:20">
      <c r="P9504" s="1094">
        <v>4341</v>
      </c>
      <c r="Q9504" t="s">
        <v>10091</v>
      </c>
      <c r="R9504" t="s">
        <v>614</v>
      </c>
      <c r="S9504">
        <v>152.39665600000001</v>
      </c>
      <c r="T9504" s="1095">
        <v>-27.68768</v>
      </c>
    </row>
    <row r="9505" spans="16:20">
      <c r="P9505" s="1094">
        <v>4341</v>
      </c>
      <c r="Q9505" t="s">
        <v>10092</v>
      </c>
      <c r="R9505" t="s">
        <v>614</v>
      </c>
      <c r="S9505">
        <v>152.39665600000001</v>
      </c>
      <c r="T9505" s="1095">
        <v>-27.68768</v>
      </c>
    </row>
    <row r="9506" spans="16:20">
      <c r="P9506" s="1094">
        <v>4341</v>
      </c>
      <c r="Q9506" t="s">
        <v>10093</v>
      </c>
      <c r="R9506" t="s">
        <v>614</v>
      </c>
      <c r="S9506">
        <v>152.39665600000001</v>
      </c>
      <c r="T9506" s="1095">
        <v>-27.68768</v>
      </c>
    </row>
    <row r="9507" spans="16:20">
      <c r="P9507" s="1094">
        <v>4341</v>
      </c>
      <c r="Q9507" t="s">
        <v>10094</v>
      </c>
      <c r="R9507" t="s">
        <v>614</v>
      </c>
      <c r="S9507">
        <v>152.39665600000001</v>
      </c>
      <c r="T9507" s="1095">
        <v>-27.68768</v>
      </c>
    </row>
    <row r="9508" spans="16:20">
      <c r="P9508" s="1094">
        <v>4341</v>
      </c>
      <c r="Q9508" t="s">
        <v>10095</v>
      </c>
      <c r="R9508" t="s">
        <v>614</v>
      </c>
      <c r="S9508">
        <v>152.39665600000001</v>
      </c>
      <c r="T9508" s="1095">
        <v>-27.68768</v>
      </c>
    </row>
    <row r="9509" spans="16:20">
      <c r="P9509" s="1094">
        <v>4341</v>
      </c>
      <c r="Q9509" t="s">
        <v>10096</v>
      </c>
      <c r="R9509" t="s">
        <v>614</v>
      </c>
      <c r="S9509">
        <v>152.39665600000001</v>
      </c>
      <c r="T9509" s="1095">
        <v>-27.68768</v>
      </c>
    </row>
    <row r="9510" spans="16:20">
      <c r="P9510" s="1094">
        <v>4341</v>
      </c>
      <c r="Q9510" t="s">
        <v>10097</v>
      </c>
      <c r="R9510" t="s">
        <v>614</v>
      </c>
      <c r="S9510">
        <v>152.39665600000001</v>
      </c>
      <c r="T9510" s="1095">
        <v>-27.68768</v>
      </c>
    </row>
    <row r="9511" spans="16:20">
      <c r="P9511" s="1094">
        <v>4341</v>
      </c>
      <c r="Q9511" t="s">
        <v>10098</v>
      </c>
      <c r="R9511" t="s">
        <v>614</v>
      </c>
      <c r="S9511">
        <v>152.39665600000001</v>
      </c>
      <c r="T9511" s="1095">
        <v>-27.68768</v>
      </c>
    </row>
    <row r="9512" spans="16:20">
      <c r="P9512" s="1094">
        <v>4341</v>
      </c>
      <c r="Q9512" t="s">
        <v>10099</v>
      </c>
      <c r="R9512" t="s">
        <v>614</v>
      </c>
      <c r="S9512">
        <v>152.39665600000001</v>
      </c>
      <c r="T9512" s="1095">
        <v>-27.68768</v>
      </c>
    </row>
    <row r="9513" spans="16:20">
      <c r="P9513" s="1094">
        <v>4341</v>
      </c>
      <c r="Q9513" t="s">
        <v>10100</v>
      </c>
      <c r="R9513" t="s">
        <v>614</v>
      </c>
      <c r="S9513">
        <v>152.39665600000001</v>
      </c>
      <c r="T9513" s="1095">
        <v>-27.68768</v>
      </c>
    </row>
    <row r="9514" spans="16:20">
      <c r="P9514" s="1094">
        <v>4341</v>
      </c>
      <c r="Q9514" t="s">
        <v>10101</v>
      </c>
      <c r="R9514" t="s">
        <v>614</v>
      </c>
      <c r="S9514">
        <v>152.39665600000001</v>
      </c>
      <c r="T9514" s="1095">
        <v>-27.68768</v>
      </c>
    </row>
    <row r="9515" spans="16:20">
      <c r="P9515" s="1094">
        <v>4341</v>
      </c>
      <c r="Q9515" t="s">
        <v>10102</v>
      </c>
      <c r="R9515" t="s">
        <v>614</v>
      </c>
      <c r="S9515">
        <v>152.39665600000001</v>
      </c>
      <c r="T9515" s="1095">
        <v>-27.68768</v>
      </c>
    </row>
    <row r="9516" spans="16:20">
      <c r="P9516" s="1094">
        <v>4341</v>
      </c>
      <c r="Q9516" t="s">
        <v>10103</v>
      </c>
      <c r="R9516" t="s">
        <v>614</v>
      </c>
      <c r="S9516">
        <v>152.39665600000001</v>
      </c>
      <c r="T9516" s="1095">
        <v>-27.68768</v>
      </c>
    </row>
    <row r="9517" spans="16:20">
      <c r="P9517" s="1094">
        <v>4341</v>
      </c>
      <c r="Q9517" t="s">
        <v>2642</v>
      </c>
      <c r="R9517" t="s">
        <v>614</v>
      </c>
      <c r="S9517">
        <v>152.39665600000001</v>
      </c>
      <c r="T9517" s="1095">
        <v>-27.68768</v>
      </c>
    </row>
    <row r="9518" spans="16:20">
      <c r="P9518" s="1094">
        <v>4341</v>
      </c>
      <c r="Q9518" t="s">
        <v>10104</v>
      </c>
      <c r="R9518" t="s">
        <v>614</v>
      </c>
      <c r="S9518">
        <v>152.39665600000001</v>
      </c>
      <c r="T9518" s="1095">
        <v>-27.68768</v>
      </c>
    </row>
    <row r="9519" spans="16:20">
      <c r="P9519" s="1094">
        <v>4342</v>
      </c>
      <c r="Q9519" t="s">
        <v>10105</v>
      </c>
      <c r="R9519" t="s">
        <v>614</v>
      </c>
      <c r="S9519">
        <v>0</v>
      </c>
      <c r="T9519" s="1095">
        <v>0</v>
      </c>
    </row>
    <row r="9520" spans="16:20">
      <c r="P9520" s="1094">
        <v>4342</v>
      </c>
      <c r="Q9520" t="s">
        <v>5212</v>
      </c>
      <c r="R9520" t="s">
        <v>614</v>
      </c>
      <c r="S9520">
        <v>0</v>
      </c>
      <c r="T9520" s="1095">
        <v>0</v>
      </c>
    </row>
    <row r="9521" spans="16:20">
      <c r="P9521" s="1094">
        <v>4342</v>
      </c>
      <c r="Q9521" t="s">
        <v>10106</v>
      </c>
      <c r="R9521" t="s">
        <v>614</v>
      </c>
      <c r="S9521">
        <v>0</v>
      </c>
      <c r="T9521" s="1095">
        <v>0</v>
      </c>
    </row>
    <row r="9522" spans="16:20">
      <c r="P9522" s="1094">
        <v>4342</v>
      </c>
      <c r="Q9522" t="s">
        <v>10107</v>
      </c>
      <c r="R9522" t="s">
        <v>614</v>
      </c>
      <c r="S9522">
        <v>0</v>
      </c>
      <c r="T9522" s="1095">
        <v>0</v>
      </c>
    </row>
    <row r="9523" spans="16:20">
      <c r="P9523" s="1094">
        <v>4342</v>
      </c>
      <c r="Q9523" t="s">
        <v>10108</v>
      </c>
      <c r="R9523" t="s">
        <v>614</v>
      </c>
      <c r="S9523">
        <v>0</v>
      </c>
      <c r="T9523" s="1095">
        <v>0</v>
      </c>
    </row>
    <row r="9524" spans="16:20">
      <c r="P9524" s="1094">
        <v>4342</v>
      </c>
      <c r="Q9524" t="s">
        <v>10109</v>
      </c>
      <c r="R9524" t="s">
        <v>614</v>
      </c>
      <c r="S9524">
        <v>0</v>
      </c>
      <c r="T9524" s="1095">
        <v>0</v>
      </c>
    </row>
    <row r="9525" spans="16:20">
      <c r="P9525" s="1094">
        <v>4343</v>
      </c>
      <c r="Q9525" t="s">
        <v>10110</v>
      </c>
      <c r="R9525" t="s">
        <v>614</v>
      </c>
      <c r="S9525">
        <v>152.224616</v>
      </c>
      <c r="T9525" s="1095">
        <v>-27.656074</v>
      </c>
    </row>
    <row r="9526" spans="16:20">
      <c r="P9526" s="1094">
        <v>4343</v>
      </c>
      <c r="Q9526" t="s">
        <v>10111</v>
      </c>
      <c r="R9526" t="s">
        <v>614</v>
      </c>
      <c r="S9526">
        <v>152.224616</v>
      </c>
      <c r="T9526" s="1095">
        <v>-27.656074</v>
      </c>
    </row>
    <row r="9527" spans="16:20">
      <c r="P9527" s="1094">
        <v>4343</v>
      </c>
      <c r="Q9527" t="s">
        <v>10112</v>
      </c>
      <c r="R9527" t="s">
        <v>614</v>
      </c>
      <c r="S9527">
        <v>152.224616</v>
      </c>
      <c r="T9527" s="1095">
        <v>-27.656074</v>
      </c>
    </row>
    <row r="9528" spans="16:20">
      <c r="P9528" s="1094">
        <v>4343</v>
      </c>
      <c r="Q9528" t="s">
        <v>10113</v>
      </c>
      <c r="R9528" t="s">
        <v>614</v>
      </c>
      <c r="S9528">
        <v>152.224616</v>
      </c>
      <c r="T9528" s="1095">
        <v>-27.656074</v>
      </c>
    </row>
    <row r="9529" spans="16:20">
      <c r="P9529" s="1094">
        <v>4343</v>
      </c>
      <c r="Q9529" t="s">
        <v>10114</v>
      </c>
      <c r="R9529" t="s">
        <v>614</v>
      </c>
      <c r="S9529">
        <v>152.224616</v>
      </c>
      <c r="T9529" s="1095">
        <v>-27.656074</v>
      </c>
    </row>
    <row r="9530" spans="16:20">
      <c r="P9530" s="1094">
        <v>4343</v>
      </c>
      <c r="Q9530" t="s">
        <v>10115</v>
      </c>
      <c r="R9530" t="s">
        <v>614</v>
      </c>
      <c r="S9530">
        <v>152.224616</v>
      </c>
      <c r="T9530" s="1095">
        <v>-27.656074</v>
      </c>
    </row>
    <row r="9531" spans="16:20">
      <c r="P9531" s="1094">
        <v>4343</v>
      </c>
      <c r="Q9531" t="s">
        <v>10116</v>
      </c>
      <c r="R9531" t="s">
        <v>614</v>
      </c>
      <c r="S9531">
        <v>152.224616</v>
      </c>
      <c r="T9531" s="1095">
        <v>-27.656074</v>
      </c>
    </row>
    <row r="9532" spans="16:20">
      <c r="P9532" s="1094">
        <v>4343</v>
      </c>
      <c r="Q9532" t="s">
        <v>10117</v>
      </c>
      <c r="R9532" t="s">
        <v>614</v>
      </c>
      <c r="S9532">
        <v>152.224616</v>
      </c>
      <c r="T9532" s="1095">
        <v>-27.656074</v>
      </c>
    </row>
    <row r="9533" spans="16:20">
      <c r="P9533" s="1094">
        <v>4343</v>
      </c>
      <c r="Q9533" t="s">
        <v>10118</v>
      </c>
      <c r="R9533" t="s">
        <v>614</v>
      </c>
      <c r="S9533">
        <v>152.224616</v>
      </c>
      <c r="T9533" s="1095">
        <v>-27.656074</v>
      </c>
    </row>
    <row r="9534" spans="16:20">
      <c r="P9534" s="1094">
        <v>4343</v>
      </c>
      <c r="Q9534" t="s">
        <v>10119</v>
      </c>
      <c r="R9534" t="s">
        <v>614</v>
      </c>
      <c r="S9534">
        <v>152.224616</v>
      </c>
      <c r="T9534" s="1095">
        <v>-27.656074</v>
      </c>
    </row>
    <row r="9535" spans="16:20">
      <c r="P9535" s="1094">
        <v>4343</v>
      </c>
      <c r="Q9535" t="s">
        <v>10120</v>
      </c>
      <c r="R9535" t="s">
        <v>614</v>
      </c>
      <c r="S9535">
        <v>152.224616</v>
      </c>
      <c r="T9535" s="1095">
        <v>-27.656074</v>
      </c>
    </row>
    <row r="9536" spans="16:20">
      <c r="P9536" s="1094">
        <v>4343</v>
      </c>
      <c r="Q9536" t="s">
        <v>10121</v>
      </c>
      <c r="R9536" t="s">
        <v>614</v>
      </c>
      <c r="S9536">
        <v>152.224616</v>
      </c>
      <c r="T9536" s="1095">
        <v>-27.656074</v>
      </c>
    </row>
    <row r="9537" spans="16:20">
      <c r="P9537" s="1094">
        <v>4343</v>
      </c>
      <c r="Q9537" t="s">
        <v>10122</v>
      </c>
      <c r="R9537" t="s">
        <v>614</v>
      </c>
      <c r="S9537">
        <v>152.224616</v>
      </c>
      <c r="T9537" s="1095">
        <v>-27.656074</v>
      </c>
    </row>
    <row r="9538" spans="16:20">
      <c r="P9538" s="1094">
        <v>4343</v>
      </c>
      <c r="Q9538" t="s">
        <v>10123</v>
      </c>
      <c r="R9538" t="s">
        <v>614</v>
      </c>
      <c r="S9538">
        <v>152.224616</v>
      </c>
      <c r="T9538" s="1095">
        <v>-27.656074</v>
      </c>
    </row>
    <row r="9539" spans="16:20">
      <c r="P9539" s="1094">
        <v>4343</v>
      </c>
      <c r="Q9539" t="s">
        <v>10124</v>
      </c>
      <c r="R9539" t="s">
        <v>614</v>
      </c>
      <c r="S9539">
        <v>152.224616</v>
      </c>
      <c r="T9539" s="1095">
        <v>-27.656074</v>
      </c>
    </row>
    <row r="9540" spans="16:20">
      <c r="P9540" s="1094">
        <v>4343</v>
      </c>
      <c r="Q9540" t="s">
        <v>10125</v>
      </c>
      <c r="R9540" t="s">
        <v>614</v>
      </c>
      <c r="S9540">
        <v>152.224616</v>
      </c>
      <c r="T9540" s="1095">
        <v>-27.656074</v>
      </c>
    </row>
    <row r="9541" spans="16:20">
      <c r="P9541" s="1094">
        <v>4343</v>
      </c>
      <c r="Q9541" t="s">
        <v>5142</v>
      </c>
      <c r="R9541" t="s">
        <v>614</v>
      </c>
      <c r="S9541">
        <v>152.224616</v>
      </c>
      <c r="T9541" s="1095">
        <v>-27.656074</v>
      </c>
    </row>
    <row r="9542" spans="16:20">
      <c r="P9542" s="1094">
        <v>4343</v>
      </c>
      <c r="Q9542" t="s">
        <v>10126</v>
      </c>
      <c r="R9542" t="s">
        <v>614</v>
      </c>
      <c r="S9542">
        <v>152.224616</v>
      </c>
      <c r="T9542" s="1095">
        <v>-27.656074</v>
      </c>
    </row>
    <row r="9543" spans="16:20">
      <c r="P9543" s="1094">
        <v>4343</v>
      </c>
      <c r="Q9543" t="s">
        <v>10127</v>
      </c>
      <c r="R9543" t="s">
        <v>614</v>
      </c>
      <c r="S9543">
        <v>152.224616</v>
      </c>
      <c r="T9543" s="1095">
        <v>-27.656074</v>
      </c>
    </row>
    <row r="9544" spans="16:20">
      <c r="P9544" s="1094">
        <v>4343</v>
      </c>
      <c r="Q9544" t="s">
        <v>5897</v>
      </c>
      <c r="R9544" t="s">
        <v>614</v>
      </c>
      <c r="S9544">
        <v>152.224616</v>
      </c>
      <c r="T9544" s="1095">
        <v>-27.656074</v>
      </c>
    </row>
    <row r="9545" spans="16:20">
      <c r="P9545" s="1094">
        <v>4343</v>
      </c>
      <c r="Q9545" t="s">
        <v>10128</v>
      </c>
      <c r="R9545" t="s">
        <v>614</v>
      </c>
      <c r="S9545">
        <v>152.224616</v>
      </c>
      <c r="T9545" s="1095">
        <v>-27.656074</v>
      </c>
    </row>
    <row r="9546" spans="16:20">
      <c r="P9546" s="1094">
        <v>4343</v>
      </c>
      <c r="Q9546" t="s">
        <v>10129</v>
      </c>
      <c r="R9546" t="s">
        <v>614</v>
      </c>
      <c r="S9546">
        <v>152.224616</v>
      </c>
      <c r="T9546" s="1095">
        <v>-27.656074</v>
      </c>
    </row>
    <row r="9547" spans="16:20">
      <c r="P9547" s="1094">
        <v>4343</v>
      </c>
      <c r="Q9547" t="s">
        <v>4530</v>
      </c>
      <c r="R9547" t="s">
        <v>614</v>
      </c>
      <c r="S9547">
        <v>152.224616</v>
      </c>
      <c r="T9547" s="1095">
        <v>-27.656074</v>
      </c>
    </row>
    <row r="9548" spans="16:20">
      <c r="P9548" s="1094">
        <v>4343</v>
      </c>
      <c r="Q9548" t="s">
        <v>4305</v>
      </c>
      <c r="R9548" t="s">
        <v>614</v>
      </c>
      <c r="S9548">
        <v>152.224616</v>
      </c>
      <c r="T9548" s="1095">
        <v>-27.656074</v>
      </c>
    </row>
    <row r="9549" spans="16:20">
      <c r="P9549" s="1094">
        <v>4344</v>
      </c>
      <c r="Q9549" t="s">
        <v>10130</v>
      </c>
      <c r="R9549" t="s">
        <v>614</v>
      </c>
      <c r="S9549">
        <v>152.060385</v>
      </c>
      <c r="T9549" s="1095">
        <v>-27.572998999999999</v>
      </c>
    </row>
    <row r="9550" spans="16:20">
      <c r="P9550" s="1094">
        <v>4344</v>
      </c>
      <c r="Q9550" t="s">
        <v>10131</v>
      </c>
      <c r="R9550" t="s">
        <v>614</v>
      </c>
      <c r="S9550">
        <v>152.060385</v>
      </c>
      <c r="T9550" s="1095">
        <v>-27.572998999999999</v>
      </c>
    </row>
    <row r="9551" spans="16:20">
      <c r="P9551" s="1094">
        <v>4344</v>
      </c>
      <c r="Q9551" t="s">
        <v>10132</v>
      </c>
      <c r="R9551" t="s">
        <v>614</v>
      </c>
      <c r="S9551">
        <v>152.060385</v>
      </c>
      <c r="T9551" s="1095">
        <v>-27.572998999999999</v>
      </c>
    </row>
    <row r="9552" spans="16:20">
      <c r="P9552" s="1094">
        <v>4344</v>
      </c>
      <c r="Q9552" t="s">
        <v>10133</v>
      </c>
      <c r="R9552" t="s">
        <v>614</v>
      </c>
      <c r="S9552">
        <v>152.060385</v>
      </c>
      <c r="T9552" s="1095">
        <v>-27.572998999999999</v>
      </c>
    </row>
    <row r="9553" spans="16:20">
      <c r="P9553" s="1094">
        <v>4344</v>
      </c>
      <c r="Q9553" t="s">
        <v>10134</v>
      </c>
      <c r="R9553" t="s">
        <v>614</v>
      </c>
      <c r="S9553">
        <v>152.060385</v>
      </c>
      <c r="T9553" s="1095">
        <v>-27.572998999999999</v>
      </c>
    </row>
    <row r="9554" spans="16:20">
      <c r="P9554" s="1094">
        <v>4344</v>
      </c>
      <c r="Q9554" t="s">
        <v>3735</v>
      </c>
      <c r="R9554" t="s">
        <v>614</v>
      </c>
      <c r="S9554">
        <v>152.060385</v>
      </c>
      <c r="T9554" s="1095">
        <v>-27.572998999999999</v>
      </c>
    </row>
    <row r="9555" spans="16:20">
      <c r="P9555" s="1094">
        <v>4344</v>
      </c>
      <c r="Q9555" t="s">
        <v>10135</v>
      </c>
      <c r="R9555" t="s">
        <v>614</v>
      </c>
      <c r="S9555">
        <v>152.060385</v>
      </c>
      <c r="T9555" s="1095">
        <v>-27.572998999999999</v>
      </c>
    </row>
    <row r="9556" spans="16:20">
      <c r="P9556" s="1094">
        <v>4344</v>
      </c>
      <c r="Q9556" t="s">
        <v>10136</v>
      </c>
      <c r="R9556" t="s">
        <v>614</v>
      </c>
      <c r="S9556">
        <v>152.060385</v>
      </c>
      <c r="T9556" s="1095">
        <v>-27.572998999999999</v>
      </c>
    </row>
    <row r="9557" spans="16:20">
      <c r="P9557" s="1094">
        <v>4344</v>
      </c>
      <c r="Q9557" t="s">
        <v>10137</v>
      </c>
      <c r="R9557" t="s">
        <v>614</v>
      </c>
      <c r="S9557">
        <v>152.060385</v>
      </c>
      <c r="T9557" s="1095">
        <v>-27.572998999999999</v>
      </c>
    </row>
    <row r="9558" spans="16:20">
      <c r="P9558" s="1094">
        <v>4344</v>
      </c>
      <c r="Q9558" t="s">
        <v>10138</v>
      </c>
      <c r="R9558" t="s">
        <v>614</v>
      </c>
      <c r="S9558">
        <v>152.060385</v>
      </c>
      <c r="T9558" s="1095">
        <v>-27.572998999999999</v>
      </c>
    </row>
    <row r="9559" spans="16:20">
      <c r="P9559" s="1094">
        <v>4344</v>
      </c>
      <c r="Q9559" t="s">
        <v>10139</v>
      </c>
      <c r="R9559" t="s">
        <v>614</v>
      </c>
      <c r="S9559">
        <v>152.060385</v>
      </c>
      <c r="T9559" s="1095">
        <v>-27.572998999999999</v>
      </c>
    </row>
    <row r="9560" spans="16:20">
      <c r="P9560" s="1094">
        <v>4344</v>
      </c>
      <c r="Q9560" t="s">
        <v>10140</v>
      </c>
      <c r="R9560" t="s">
        <v>614</v>
      </c>
      <c r="S9560">
        <v>152.060385</v>
      </c>
      <c r="T9560" s="1095">
        <v>-27.572998999999999</v>
      </c>
    </row>
    <row r="9561" spans="16:20">
      <c r="P9561" s="1094">
        <v>4344</v>
      </c>
      <c r="Q9561" t="s">
        <v>10141</v>
      </c>
      <c r="R9561" t="s">
        <v>614</v>
      </c>
      <c r="S9561">
        <v>152.060385</v>
      </c>
      <c r="T9561" s="1095">
        <v>-27.572998999999999</v>
      </c>
    </row>
    <row r="9562" spans="16:20">
      <c r="P9562" s="1094">
        <v>4345</v>
      </c>
      <c r="Q9562" t="s">
        <v>10142</v>
      </c>
      <c r="R9562" t="s">
        <v>614</v>
      </c>
      <c r="S9562">
        <v>0</v>
      </c>
      <c r="T9562" s="1095">
        <v>0</v>
      </c>
    </row>
    <row r="9563" spans="16:20">
      <c r="P9563" s="1094">
        <v>4346</v>
      </c>
      <c r="Q9563" t="s">
        <v>10143</v>
      </c>
      <c r="R9563" t="s">
        <v>614</v>
      </c>
      <c r="S9563">
        <v>152.588235</v>
      </c>
      <c r="T9563" s="1095">
        <v>-27.562370000000001</v>
      </c>
    </row>
    <row r="9564" spans="16:20">
      <c r="P9564" s="1094">
        <v>4347</v>
      </c>
      <c r="Q9564" t="s">
        <v>10144</v>
      </c>
      <c r="R9564" t="s">
        <v>614</v>
      </c>
      <c r="S9564">
        <v>152.14270400000001</v>
      </c>
      <c r="T9564" s="1095">
        <v>-27.655062000000001</v>
      </c>
    </row>
    <row r="9565" spans="16:20">
      <c r="P9565" s="1094">
        <v>4347</v>
      </c>
      <c r="Q9565" t="s">
        <v>10145</v>
      </c>
      <c r="R9565" t="s">
        <v>614</v>
      </c>
      <c r="S9565">
        <v>152.14270400000001</v>
      </c>
      <c r="T9565" s="1095">
        <v>-27.655062000000001</v>
      </c>
    </row>
    <row r="9566" spans="16:20">
      <c r="P9566" s="1094">
        <v>4347</v>
      </c>
      <c r="Q9566" t="s">
        <v>10146</v>
      </c>
      <c r="R9566" t="s">
        <v>614</v>
      </c>
      <c r="S9566">
        <v>152.14270400000001</v>
      </c>
      <c r="T9566" s="1095">
        <v>-27.655062000000001</v>
      </c>
    </row>
    <row r="9567" spans="16:20">
      <c r="P9567" s="1094">
        <v>4347</v>
      </c>
      <c r="Q9567" t="s">
        <v>10147</v>
      </c>
      <c r="R9567" t="s">
        <v>614</v>
      </c>
      <c r="S9567">
        <v>152.14270400000001</v>
      </c>
      <c r="T9567" s="1095">
        <v>-27.655062000000001</v>
      </c>
    </row>
    <row r="9568" spans="16:20">
      <c r="P9568" s="1094">
        <v>4347</v>
      </c>
      <c r="Q9568" t="s">
        <v>10148</v>
      </c>
      <c r="R9568" t="s">
        <v>614</v>
      </c>
      <c r="S9568">
        <v>152.14270400000001</v>
      </c>
      <c r="T9568" s="1095">
        <v>-27.655062000000001</v>
      </c>
    </row>
    <row r="9569" spans="16:20">
      <c r="P9569" s="1094">
        <v>4350</v>
      </c>
      <c r="Q9569" t="s">
        <v>10149</v>
      </c>
      <c r="R9569" t="s">
        <v>614</v>
      </c>
      <c r="S9569">
        <v>151.852689</v>
      </c>
      <c r="T9569" s="1095">
        <v>-27.576308000000001</v>
      </c>
    </row>
    <row r="9570" spans="16:20">
      <c r="P9570" s="1094">
        <v>4350</v>
      </c>
      <c r="Q9570" t="s">
        <v>10150</v>
      </c>
      <c r="R9570" t="s">
        <v>614</v>
      </c>
      <c r="S9570">
        <v>151.852689</v>
      </c>
      <c r="T9570" s="1095">
        <v>-27.576308000000001</v>
      </c>
    </row>
    <row r="9571" spans="16:20">
      <c r="P9571" s="1094">
        <v>4350</v>
      </c>
      <c r="Q9571" t="s">
        <v>2514</v>
      </c>
      <c r="R9571" t="s">
        <v>614</v>
      </c>
      <c r="S9571">
        <v>151.852689</v>
      </c>
      <c r="T9571" s="1095">
        <v>-27.576308000000001</v>
      </c>
    </row>
    <row r="9572" spans="16:20">
      <c r="P9572" s="1094">
        <v>4350</v>
      </c>
      <c r="Q9572" t="s">
        <v>10151</v>
      </c>
      <c r="R9572" t="s">
        <v>614</v>
      </c>
      <c r="S9572">
        <v>151.852689</v>
      </c>
      <c r="T9572" s="1095">
        <v>-27.576308000000001</v>
      </c>
    </row>
    <row r="9573" spans="16:20">
      <c r="P9573" s="1094">
        <v>4350</v>
      </c>
      <c r="Q9573" t="s">
        <v>5770</v>
      </c>
      <c r="R9573" t="s">
        <v>614</v>
      </c>
      <c r="S9573">
        <v>151.852689</v>
      </c>
      <c r="T9573" s="1095">
        <v>-27.576308000000001</v>
      </c>
    </row>
    <row r="9574" spans="16:20">
      <c r="P9574" s="1094">
        <v>4350</v>
      </c>
      <c r="Q9574" t="s">
        <v>10152</v>
      </c>
      <c r="R9574" t="s">
        <v>614</v>
      </c>
      <c r="S9574">
        <v>151.852689</v>
      </c>
      <c r="T9574" s="1095">
        <v>-27.576308000000001</v>
      </c>
    </row>
    <row r="9575" spans="16:20">
      <c r="P9575" s="1094">
        <v>4350</v>
      </c>
      <c r="Q9575" t="s">
        <v>10153</v>
      </c>
      <c r="R9575" t="s">
        <v>614</v>
      </c>
      <c r="S9575">
        <v>151.852689</v>
      </c>
      <c r="T9575" s="1095">
        <v>-27.576308000000001</v>
      </c>
    </row>
    <row r="9576" spans="16:20">
      <c r="P9576" s="1094">
        <v>4350</v>
      </c>
      <c r="Q9576" t="s">
        <v>10154</v>
      </c>
      <c r="R9576" t="s">
        <v>614</v>
      </c>
      <c r="S9576">
        <v>151.852689</v>
      </c>
      <c r="T9576" s="1095">
        <v>-27.576308000000001</v>
      </c>
    </row>
    <row r="9577" spans="16:20">
      <c r="P9577" s="1094">
        <v>4350</v>
      </c>
      <c r="Q9577" t="s">
        <v>10155</v>
      </c>
      <c r="R9577" t="s">
        <v>614</v>
      </c>
      <c r="S9577">
        <v>151.852689</v>
      </c>
      <c r="T9577" s="1095">
        <v>-27.576308000000001</v>
      </c>
    </row>
    <row r="9578" spans="16:20">
      <c r="P9578" s="1094">
        <v>4350</v>
      </c>
      <c r="Q9578" t="s">
        <v>10156</v>
      </c>
      <c r="R9578" t="s">
        <v>614</v>
      </c>
      <c r="S9578">
        <v>151.852689</v>
      </c>
      <c r="T9578" s="1095">
        <v>-27.576308000000001</v>
      </c>
    </row>
    <row r="9579" spans="16:20">
      <c r="P9579" s="1094">
        <v>4350</v>
      </c>
      <c r="Q9579" t="s">
        <v>10157</v>
      </c>
      <c r="R9579" t="s">
        <v>614</v>
      </c>
      <c r="S9579">
        <v>151.852689</v>
      </c>
      <c r="T9579" s="1095">
        <v>-27.576308000000001</v>
      </c>
    </row>
    <row r="9580" spans="16:20">
      <c r="P9580" s="1094">
        <v>4350</v>
      </c>
      <c r="Q9580" t="s">
        <v>10158</v>
      </c>
      <c r="R9580" t="s">
        <v>614</v>
      </c>
      <c r="S9580">
        <v>151.852689</v>
      </c>
      <c r="T9580" s="1095">
        <v>-27.576308000000001</v>
      </c>
    </row>
    <row r="9581" spans="16:20">
      <c r="P9581" s="1094">
        <v>4350</v>
      </c>
      <c r="Q9581" t="s">
        <v>10159</v>
      </c>
      <c r="R9581" t="s">
        <v>614</v>
      </c>
      <c r="S9581">
        <v>151.852689</v>
      </c>
      <c r="T9581" s="1095">
        <v>-27.576308000000001</v>
      </c>
    </row>
    <row r="9582" spans="16:20">
      <c r="P9582" s="1094">
        <v>4350</v>
      </c>
      <c r="Q9582" t="s">
        <v>10160</v>
      </c>
      <c r="R9582" t="s">
        <v>614</v>
      </c>
      <c r="S9582">
        <v>151.852689</v>
      </c>
      <c r="T9582" s="1095">
        <v>-27.576308000000001</v>
      </c>
    </row>
    <row r="9583" spans="16:20">
      <c r="P9583" s="1094">
        <v>4350</v>
      </c>
      <c r="Q9583" t="s">
        <v>10161</v>
      </c>
      <c r="R9583" t="s">
        <v>614</v>
      </c>
      <c r="S9583">
        <v>151.852689</v>
      </c>
      <c r="T9583" s="1095">
        <v>-27.576308000000001</v>
      </c>
    </row>
    <row r="9584" spans="16:20">
      <c r="P9584" s="1094">
        <v>4350</v>
      </c>
      <c r="Q9584" t="s">
        <v>10162</v>
      </c>
      <c r="R9584" t="s">
        <v>614</v>
      </c>
      <c r="S9584">
        <v>151.852689</v>
      </c>
      <c r="T9584" s="1095">
        <v>-27.576308000000001</v>
      </c>
    </row>
    <row r="9585" spans="16:20">
      <c r="P9585" s="1094">
        <v>4350</v>
      </c>
      <c r="Q9585" t="s">
        <v>2755</v>
      </c>
      <c r="R9585" t="s">
        <v>614</v>
      </c>
      <c r="S9585">
        <v>151.852689</v>
      </c>
      <c r="T9585" s="1095">
        <v>-27.576308000000001</v>
      </c>
    </row>
    <row r="9586" spans="16:20">
      <c r="P9586" s="1094">
        <v>4350</v>
      </c>
      <c r="Q9586" t="s">
        <v>10163</v>
      </c>
      <c r="R9586" t="s">
        <v>614</v>
      </c>
      <c r="S9586">
        <v>151.852689</v>
      </c>
      <c r="T9586" s="1095">
        <v>-27.576308000000001</v>
      </c>
    </row>
    <row r="9587" spans="16:20">
      <c r="P9587" s="1094">
        <v>4350</v>
      </c>
      <c r="Q9587" t="s">
        <v>10164</v>
      </c>
      <c r="R9587" t="s">
        <v>614</v>
      </c>
      <c r="S9587">
        <v>151.852689</v>
      </c>
      <c r="T9587" s="1095">
        <v>-27.576308000000001</v>
      </c>
    </row>
    <row r="9588" spans="16:20">
      <c r="P9588" s="1094">
        <v>4350</v>
      </c>
      <c r="Q9588" t="s">
        <v>10165</v>
      </c>
      <c r="R9588" t="s">
        <v>614</v>
      </c>
      <c r="S9588">
        <v>151.852689</v>
      </c>
      <c r="T9588" s="1095">
        <v>-27.576308000000001</v>
      </c>
    </row>
    <row r="9589" spans="16:20">
      <c r="P9589" s="1094">
        <v>4350</v>
      </c>
      <c r="Q9589" t="s">
        <v>10166</v>
      </c>
      <c r="R9589" t="s">
        <v>614</v>
      </c>
      <c r="S9589">
        <v>151.852689</v>
      </c>
      <c r="T9589" s="1095">
        <v>-27.576308000000001</v>
      </c>
    </row>
    <row r="9590" spans="16:20">
      <c r="P9590" s="1094">
        <v>4350</v>
      </c>
      <c r="Q9590" t="s">
        <v>10167</v>
      </c>
      <c r="R9590" t="s">
        <v>614</v>
      </c>
      <c r="S9590">
        <v>151.852689</v>
      </c>
      <c r="T9590" s="1095">
        <v>-27.576308000000001</v>
      </c>
    </row>
    <row r="9591" spans="16:20">
      <c r="P9591" s="1094">
        <v>4350</v>
      </c>
      <c r="Q9591" t="s">
        <v>10168</v>
      </c>
      <c r="R9591" t="s">
        <v>614</v>
      </c>
      <c r="S9591">
        <v>151.852689</v>
      </c>
      <c r="T9591" s="1095">
        <v>-27.576308000000001</v>
      </c>
    </row>
    <row r="9592" spans="16:20">
      <c r="P9592" s="1094">
        <v>4350</v>
      </c>
      <c r="Q9592" t="s">
        <v>10169</v>
      </c>
      <c r="R9592" t="s">
        <v>614</v>
      </c>
      <c r="S9592">
        <v>151.852689</v>
      </c>
      <c r="T9592" s="1095">
        <v>-27.576308000000001</v>
      </c>
    </row>
    <row r="9593" spans="16:20">
      <c r="P9593" s="1094">
        <v>4350</v>
      </c>
      <c r="Q9593" t="s">
        <v>10170</v>
      </c>
      <c r="R9593" t="s">
        <v>614</v>
      </c>
      <c r="S9593">
        <v>151.852689</v>
      </c>
      <c r="T9593" s="1095">
        <v>-27.576308000000001</v>
      </c>
    </row>
    <row r="9594" spans="16:20">
      <c r="P9594" s="1094">
        <v>4350</v>
      </c>
      <c r="Q9594" t="s">
        <v>10171</v>
      </c>
      <c r="R9594" t="s">
        <v>614</v>
      </c>
      <c r="S9594">
        <v>151.852689</v>
      </c>
      <c r="T9594" s="1095">
        <v>-27.576308000000001</v>
      </c>
    </row>
    <row r="9595" spans="16:20">
      <c r="P9595" s="1094">
        <v>4350</v>
      </c>
      <c r="Q9595" t="s">
        <v>1805</v>
      </c>
      <c r="R9595" t="s">
        <v>614</v>
      </c>
      <c r="S9595">
        <v>151.852689</v>
      </c>
      <c r="T9595" s="1095">
        <v>-27.576308000000001</v>
      </c>
    </row>
    <row r="9596" spans="16:20">
      <c r="P9596" s="1094">
        <v>4350</v>
      </c>
      <c r="Q9596" t="s">
        <v>10172</v>
      </c>
      <c r="R9596" t="s">
        <v>614</v>
      </c>
      <c r="S9596">
        <v>151.852689</v>
      </c>
      <c r="T9596" s="1095">
        <v>-27.576308000000001</v>
      </c>
    </row>
    <row r="9597" spans="16:20">
      <c r="P9597" s="1094">
        <v>4350</v>
      </c>
      <c r="Q9597" t="s">
        <v>10173</v>
      </c>
      <c r="R9597" t="s">
        <v>614</v>
      </c>
      <c r="S9597">
        <v>151.852689</v>
      </c>
      <c r="T9597" s="1095">
        <v>-27.576308000000001</v>
      </c>
    </row>
    <row r="9598" spans="16:20">
      <c r="P9598" s="1094">
        <v>4350</v>
      </c>
      <c r="Q9598" t="s">
        <v>2199</v>
      </c>
      <c r="R9598" t="s">
        <v>614</v>
      </c>
      <c r="S9598">
        <v>151.852689</v>
      </c>
      <c r="T9598" s="1095">
        <v>-27.576308000000001</v>
      </c>
    </row>
    <row r="9599" spans="16:20">
      <c r="P9599" s="1094">
        <v>4350</v>
      </c>
      <c r="Q9599" t="s">
        <v>10174</v>
      </c>
      <c r="R9599" t="s">
        <v>614</v>
      </c>
      <c r="S9599">
        <v>151.852689</v>
      </c>
      <c r="T9599" s="1095">
        <v>-27.576308000000001</v>
      </c>
    </row>
    <row r="9600" spans="16:20">
      <c r="P9600" s="1094">
        <v>4350</v>
      </c>
      <c r="Q9600" t="s">
        <v>10175</v>
      </c>
      <c r="R9600" t="s">
        <v>614</v>
      </c>
      <c r="S9600">
        <v>151.852689</v>
      </c>
      <c r="T9600" s="1095">
        <v>-27.576308000000001</v>
      </c>
    </row>
    <row r="9601" spans="16:20">
      <c r="P9601" s="1094">
        <v>4350</v>
      </c>
      <c r="Q9601" t="s">
        <v>10176</v>
      </c>
      <c r="R9601" t="s">
        <v>614</v>
      </c>
      <c r="S9601">
        <v>151.852689</v>
      </c>
      <c r="T9601" s="1095">
        <v>-27.576308000000001</v>
      </c>
    </row>
    <row r="9602" spans="16:20">
      <c r="P9602" s="1094">
        <v>4350</v>
      </c>
      <c r="Q9602" t="s">
        <v>10177</v>
      </c>
      <c r="R9602" t="s">
        <v>614</v>
      </c>
      <c r="S9602">
        <v>151.852689</v>
      </c>
      <c r="T9602" s="1095">
        <v>-27.576308000000001</v>
      </c>
    </row>
    <row r="9603" spans="16:20">
      <c r="P9603" s="1094">
        <v>4350</v>
      </c>
      <c r="Q9603" t="s">
        <v>10178</v>
      </c>
      <c r="R9603" t="s">
        <v>614</v>
      </c>
      <c r="S9603">
        <v>151.852689</v>
      </c>
      <c r="T9603" s="1095">
        <v>-27.576308000000001</v>
      </c>
    </row>
    <row r="9604" spans="16:20">
      <c r="P9604" s="1094">
        <v>4350</v>
      </c>
      <c r="Q9604" t="s">
        <v>10179</v>
      </c>
      <c r="R9604" t="s">
        <v>614</v>
      </c>
      <c r="S9604">
        <v>151.852689</v>
      </c>
      <c r="T9604" s="1095">
        <v>-27.576308000000001</v>
      </c>
    </row>
    <row r="9605" spans="16:20">
      <c r="P9605" s="1094">
        <v>4350</v>
      </c>
      <c r="Q9605" t="s">
        <v>10180</v>
      </c>
      <c r="R9605" t="s">
        <v>614</v>
      </c>
      <c r="S9605">
        <v>151.852689</v>
      </c>
      <c r="T9605" s="1095">
        <v>-27.576308000000001</v>
      </c>
    </row>
    <row r="9606" spans="16:20">
      <c r="P9606" s="1094">
        <v>4350</v>
      </c>
      <c r="Q9606" t="s">
        <v>10181</v>
      </c>
      <c r="R9606" t="s">
        <v>614</v>
      </c>
      <c r="S9606">
        <v>151.852689</v>
      </c>
      <c r="T9606" s="1095">
        <v>-27.576308000000001</v>
      </c>
    </row>
    <row r="9607" spans="16:20">
      <c r="P9607" s="1094">
        <v>4350</v>
      </c>
      <c r="Q9607" t="s">
        <v>10182</v>
      </c>
      <c r="R9607" t="s">
        <v>614</v>
      </c>
      <c r="S9607">
        <v>151.852689</v>
      </c>
      <c r="T9607" s="1095">
        <v>-27.576308000000001</v>
      </c>
    </row>
    <row r="9608" spans="16:20">
      <c r="P9608" s="1094">
        <v>4350</v>
      </c>
      <c r="Q9608" t="s">
        <v>10183</v>
      </c>
      <c r="R9608" t="s">
        <v>614</v>
      </c>
      <c r="S9608">
        <v>151.852689</v>
      </c>
      <c r="T9608" s="1095">
        <v>-27.576308000000001</v>
      </c>
    </row>
    <row r="9609" spans="16:20">
      <c r="P9609" s="1094">
        <v>4350</v>
      </c>
      <c r="Q9609" t="s">
        <v>10184</v>
      </c>
      <c r="R9609" t="s">
        <v>614</v>
      </c>
      <c r="S9609">
        <v>151.852689</v>
      </c>
      <c r="T9609" s="1095">
        <v>-27.576308000000001</v>
      </c>
    </row>
    <row r="9610" spans="16:20">
      <c r="P9610" s="1094">
        <v>4350</v>
      </c>
      <c r="Q9610" t="s">
        <v>10185</v>
      </c>
      <c r="R9610" t="s">
        <v>614</v>
      </c>
      <c r="S9610">
        <v>151.852689</v>
      </c>
      <c r="T9610" s="1095">
        <v>-27.576308000000001</v>
      </c>
    </row>
    <row r="9611" spans="16:20">
      <c r="P9611" s="1094">
        <v>4350</v>
      </c>
      <c r="Q9611" t="s">
        <v>10186</v>
      </c>
      <c r="R9611" t="s">
        <v>614</v>
      </c>
      <c r="S9611">
        <v>151.852689</v>
      </c>
      <c r="T9611" s="1095">
        <v>-27.576308000000001</v>
      </c>
    </row>
    <row r="9612" spans="16:20">
      <c r="P9612" s="1094">
        <v>4350</v>
      </c>
      <c r="Q9612" t="s">
        <v>10187</v>
      </c>
      <c r="R9612" t="s">
        <v>614</v>
      </c>
      <c r="S9612">
        <v>151.852689</v>
      </c>
      <c r="T9612" s="1095">
        <v>-27.576308000000001</v>
      </c>
    </row>
    <row r="9613" spans="16:20">
      <c r="P9613" s="1094">
        <v>4350</v>
      </c>
      <c r="Q9613" t="s">
        <v>10188</v>
      </c>
      <c r="R9613" t="s">
        <v>614</v>
      </c>
      <c r="S9613">
        <v>151.852689</v>
      </c>
      <c r="T9613" s="1095">
        <v>-27.576308000000001</v>
      </c>
    </row>
    <row r="9614" spans="16:20">
      <c r="P9614" s="1094">
        <v>4350</v>
      </c>
      <c r="Q9614" t="s">
        <v>3105</v>
      </c>
      <c r="R9614" t="s">
        <v>614</v>
      </c>
      <c r="S9614">
        <v>151.852689</v>
      </c>
      <c r="T9614" s="1095">
        <v>-27.576308000000001</v>
      </c>
    </row>
    <row r="9615" spans="16:20">
      <c r="P9615" s="1094">
        <v>4350</v>
      </c>
      <c r="Q9615" t="s">
        <v>10189</v>
      </c>
      <c r="R9615" t="s">
        <v>614</v>
      </c>
      <c r="S9615">
        <v>151.852689</v>
      </c>
      <c r="T9615" s="1095">
        <v>-27.576308000000001</v>
      </c>
    </row>
    <row r="9616" spans="16:20">
      <c r="P9616" s="1094">
        <v>4350</v>
      </c>
      <c r="Q9616" t="s">
        <v>2788</v>
      </c>
      <c r="R9616" t="s">
        <v>614</v>
      </c>
      <c r="S9616">
        <v>151.852689</v>
      </c>
      <c r="T9616" s="1095">
        <v>-27.576308000000001</v>
      </c>
    </row>
    <row r="9617" spans="16:20">
      <c r="P9617" s="1094">
        <v>4350</v>
      </c>
      <c r="Q9617" t="s">
        <v>10190</v>
      </c>
      <c r="R9617" t="s">
        <v>614</v>
      </c>
      <c r="S9617">
        <v>151.852689</v>
      </c>
      <c r="T9617" s="1095">
        <v>-27.576308000000001</v>
      </c>
    </row>
    <row r="9618" spans="16:20">
      <c r="P9618" s="1094">
        <v>4350</v>
      </c>
      <c r="Q9618" t="s">
        <v>10191</v>
      </c>
      <c r="R9618" t="s">
        <v>614</v>
      </c>
      <c r="S9618">
        <v>151.852689</v>
      </c>
      <c r="T9618" s="1095">
        <v>-27.576308000000001</v>
      </c>
    </row>
    <row r="9619" spans="16:20">
      <c r="P9619" s="1094">
        <v>4352</v>
      </c>
      <c r="Q9619" t="s">
        <v>10192</v>
      </c>
      <c r="R9619" t="s">
        <v>614</v>
      </c>
      <c r="S9619">
        <v>151.94182000000001</v>
      </c>
      <c r="T9619" s="1095">
        <v>-27.627661</v>
      </c>
    </row>
    <row r="9620" spans="16:20">
      <c r="P9620" s="1094">
        <v>4352</v>
      </c>
      <c r="Q9620" t="s">
        <v>10193</v>
      </c>
      <c r="R9620" t="s">
        <v>614</v>
      </c>
      <c r="S9620">
        <v>151.94182000000001</v>
      </c>
      <c r="T9620" s="1095">
        <v>-27.627661</v>
      </c>
    </row>
    <row r="9621" spans="16:20">
      <c r="P9621" s="1094">
        <v>4352</v>
      </c>
      <c r="Q9621" t="s">
        <v>10194</v>
      </c>
      <c r="R9621" t="s">
        <v>614</v>
      </c>
      <c r="S9621">
        <v>151.94182000000001</v>
      </c>
      <c r="T9621" s="1095">
        <v>-27.627661</v>
      </c>
    </row>
    <row r="9622" spans="16:20">
      <c r="P9622" s="1094">
        <v>4352</v>
      </c>
      <c r="Q9622" t="s">
        <v>9852</v>
      </c>
      <c r="R9622" t="s">
        <v>614</v>
      </c>
      <c r="S9622">
        <v>151.94182000000001</v>
      </c>
      <c r="T9622" s="1095">
        <v>-27.627661</v>
      </c>
    </row>
    <row r="9623" spans="16:20">
      <c r="P9623" s="1094">
        <v>4352</v>
      </c>
      <c r="Q9623" t="s">
        <v>10195</v>
      </c>
      <c r="R9623" t="s">
        <v>614</v>
      </c>
      <c r="S9623">
        <v>151.94182000000001</v>
      </c>
      <c r="T9623" s="1095">
        <v>-27.627661</v>
      </c>
    </row>
    <row r="9624" spans="16:20">
      <c r="P9624" s="1094">
        <v>4352</v>
      </c>
      <c r="Q9624" t="s">
        <v>10196</v>
      </c>
      <c r="R9624" t="s">
        <v>614</v>
      </c>
      <c r="S9624">
        <v>151.94182000000001</v>
      </c>
      <c r="T9624" s="1095">
        <v>-27.627661</v>
      </c>
    </row>
    <row r="9625" spans="16:20">
      <c r="P9625" s="1094">
        <v>4352</v>
      </c>
      <c r="Q9625" t="s">
        <v>10197</v>
      </c>
      <c r="R9625" t="s">
        <v>614</v>
      </c>
      <c r="S9625">
        <v>151.94182000000001</v>
      </c>
      <c r="T9625" s="1095">
        <v>-27.627661</v>
      </c>
    </row>
    <row r="9626" spans="16:20">
      <c r="P9626" s="1094">
        <v>4352</v>
      </c>
      <c r="Q9626" t="s">
        <v>4558</v>
      </c>
      <c r="R9626" t="s">
        <v>614</v>
      </c>
      <c r="S9626">
        <v>151.94182000000001</v>
      </c>
      <c r="T9626" s="1095">
        <v>-27.627661</v>
      </c>
    </row>
    <row r="9627" spans="16:20">
      <c r="P9627" s="1094">
        <v>4352</v>
      </c>
      <c r="Q9627" t="s">
        <v>10198</v>
      </c>
      <c r="R9627" t="s">
        <v>614</v>
      </c>
      <c r="S9627">
        <v>151.94182000000001</v>
      </c>
      <c r="T9627" s="1095">
        <v>-27.627661</v>
      </c>
    </row>
    <row r="9628" spans="16:20">
      <c r="P9628" s="1094">
        <v>4352</v>
      </c>
      <c r="Q9628" t="s">
        <v>10199</v>
      </c>
      <c r="R9628" t="s">
        <v>614</v>
      </c>
      <c r="S9628">
        <v>151.94182000000001</v>
      </c>
      <c r="T9628" s="1095">
        <v>-27.627661</v>
      </c>
    </row>
    <row r="9629" spans="16:20">
      <c r="P9629" s="1094">
        <v>4352</v>
      </c>
      <c r="Q9629" t="s">
        <v>10200</v>
      </c>
      <c r="R9629" t="s">
        <v>614</v>
      </c>
      <c r="S9629">
        <v>151.94182000000001</v>
      </c>
      <c r="T9629" s="1095">
        <v>-27.627661</v>
      </c>
    </row>
    <row r="9630" spans="16:20">
      <c r="P9630" s="1094">
        <v>4352</v>
      </c>
      <c r="Q9630" t="s">
        <v>10201</v>
      </c>
      <c r="R9630" t="s">
        <v>614</v>
      </c>
      <c r="S9630">
        <v>151.94182000000001</v>
      </c>
      <c r="T9630" s="1095">
        <v>-27.627661</v>
      </c>
    </row>
    <row r="9631" spans="16:20">
      <c r="P9631" s="1094">
        <v>4352</v>
      </c>
      <c r="Q9631" t="s">
        <v>10202</v>
      </c>
      <c r="R9631" t="s">
        <v>614</v>
      </c>
      <c r="S9631">
        <v>151.94182000000001</v>
      </c>
      <c r="T9631" s="1095">
        <v>-27.627661</v>
      </c>
    </row>
    <row r="9632" spans="16:20">
      <c r="P9632" s="1094">
        <v>4352</v>
      </c>
      <c r="Q9632" t="s">
        <v>10203</v>
      </c>
      <c r="R9632" t="s">
        <v>614</v>
      </c>
      <c r="S9632">
        <v>151.94182000000001</v>
      </c>
      <c r="T9632" s="1095">
        <v>-27.627661</v>
      </c>
    </row>
    <row r="9633" spans="16:20">
      <c r="P9633" s="1094">
        <v>4352</v>
      </c>
      <c r="Q9633" t="s">
        <v>10204</v>
      </c>
      <c r="R9633" t="s">
        <v>614</v>
      </c>
      <c r="S9633">
        <v>151.94182000000001</v>
      </c>
      <c r="T9633" s="1095">
        <v>-27.627661</v>
      </c>
    </row>
    <row r="9634" spans="16:20">
      <c r="P9634" s="1094">
        <v>4352</v>
      </c>
      <c r="Q9634" t="s">
        <v>10205</v>
      </c>
      <c r="R9634" t="s">
        <v>614</v>
      </c>
      <c r="S9634">
        <v>151.94182000000001</v>
      </c>
      <c r="T9634" s="1095">
        <v>-27.627661</v>
      </c>
    </row>
    <row r="9635" spans="16:20">
      <c r="P9635" s="1094">
        <v>4352</v>
      </c>
      <c r="Q9635" t="s">
        <v>10206</v>
      </c>
      <c r="R9635" t="s">
        <v>614</v>
      </c>
      <c r="S9635">
        <v>151.94182000000001</v>
      </c>
      <c r="T9635" s="1095">
        <v>-27.627661</v>
      </c>
    </row>
    <row r="9636" spans="16:20">
      <c r="P9636" s="1094">
        <v>4352</v>
      </c>
      <c r="Q9636" t="s">
        <v>10207</v>
      </c>
      <c r="R9636" t="s">
        <v>614</v>
      </c>
      <c r="S9636">
        <v>151.94182000000001</v>
      </c>
      <c r="T9636" s="1095">
        <v>-27.627661</v>
      </c>
    </row>
    <row r="9637" spans="16:20">
      <c r="P9637" s="1094">
        <v>4352</v>
      </c>
      <c r="Q9637" t="s">
        <v>3060</v>
      </c>
      <c r="R9637" t="s">
        <v>614</v>
      </c>
      <c r="S9637">
        <v>151.94182000000001</v>
      </c>
      <c r="T9637" s="1095">
        <v>-27.627661</v>
      </c>
    </row>
    <row r="9638" spans="16:20">
      <c r="P9638" s="1094">
        <v>4352</v>
      </c>
      <c r="Q9638" t="s">
        <v>10208</v>
      </c>
      <c r="R9638" t="s">
        <v>614</v>
      </c>
      <c r="S9638">
        <v>151.94182000000001</v>
      </c>
      <c r="T9638" s="1095">
        <v>-27.627661</v>
      </c>
    </row>
    <row r="9639" spans="16:20">
      <c r="P9639" s="1094">
        <v>4352</v>
      </c>
      <c r="Q9639" t="s">
        <v>10209</v>
      </c>
      <c r="R9639" t="s">
        <v>614</v>
      </c>
      <c r="S9639">
        <v>151.94182000000001</v>
      </c>
      <c r="T9639" s="1095">
        <v>-27.627661</v>
      </c>
    </row>
    <row r="9640" spans="16:20">
      <c r="P9640" s="1094">
        <v>4352</v>
      </c>
      <c r="Q9640" t="s">
        <v>10210</v>
      </c>
      <c r="R9640" t="s">
        <v>614</v>
      </c>
      <c r="S9640">
        <v>151.94182000000001</v>
      </c>
      <c r="T9640" s="1095">
        <v>-27.627661</v>
      </c>
    </row>
    <row r="9641" spans="16:20">
      <c r="P9641" s="1094">
        <v>4352</v>
      </c>
      <c r="Q9641" t="s">
        <v>10211</v>
      </c>
      <c r="R9641" t="s">
        <v>614</v>
      </c>
      <c r="S9641">
        <v>151.94182000000001</v>
      </c>
      <c r="T9641" s="1095">
        <v>-27.627661</v>
      </c>
    </row>
    <row r="9642" spans="16:20">
      <c r="P9642" s="1094">
        <v>4352</v>
      </c>
      <c r="Q9642" t="s">
        <v>10212</v>
      </c>
      <c r="R9642" t="s">
        <v>614</v>
      </c>
      <c r="S9642">
        <v>151.94182000000001</v>
      </c>
      <c r="T9642" s="1095">
        <v>-27.627661</v>
      </c>
    </row>
    <row r="9643" spans="16:20">
      <c r="P9643" s="1094">
        <v>4352</v>
      </c>
      <c r="Q9643" t="s">
        <v>5726</v>
      </c>
      <c r="R9643" t="s">
        <v>614</v>
      </c>
      <c r="S9643">
        <v>151.94182000000001</v>
      </c>
      <c r="T9643" s="1095">
        <v>-27.627661</v>
      </c>
    </row>
    <row r="9644" spans="16:20">
      <c r="P9644" s="1094">
        <v>4352</v>
      </c>
      <c r="Q9644" t="s">
        <v>2493</v>
      </c>
      <c r="R9644" t="s">
        <v>614</v>
      </c>
      <c r="S9644">
        <v>151.94182000000001</v>
      </c>
      <c r="T9644" s="1095">
        <v>-27.627661</v>
      </c>
    </row>
    <row r="9645" spans="16:20">
      <c r="P9645" s="1094">
        <v>4352</v>
      </c>
      <c r="Q9645" t="s">
        <v>10213</v>
      </c>
      <c r="R9645" t="s">
        <v>614</v>
      </c>
      <c r="S9645">
        <v>151.94182000000001</v>
      </c>
      <c r="T9645" s="1095">
        <v>-27.627661</v>
      </c>
    </row>
    <row r="9646" spans="16:20">
      <c r="P9646" s="1094">
        <v>4352</v>
      </c>
      <c r="Q9646" t="s">
        <v>10214</v>
      </c>
      <c r="R9646" t="s">
        <v>614</v>
      </c>
      <c r="S9646">
        <v>151.94182000000001</v>
      </c>
      <c r="T9646" s="1095">
        <v>-27.627661</v>
      </c>
    </row>
    <row r="9647" spans="16:20">
      <c r="P9647" s="1094">
        <v>4352</v>
      </c>
      <c r="Q9647" t="s">
        <v>10215</v>
      </c>
      <c r="R9647" t="s">
        <v>614</v>
      </c>
      <c r="S9647">
        <v>151.94182000000001</v>
      </c>
      <c r="T9647" s="1095">
        <v>-27.627661</v>
      </c>
    </row>
    <row r="9648" spans="16:20">
      <c r="P9648" s="1094">
        <v>4352</v>
      </c>
      <c r="Q9648" t="s">
        <v>10216</v>
      </c>
      <c r="R9648" t="s">
        <v>614</v>
      </c>
      <c r="S9648">
        <v>151.94182000000001</v>
      </c>
      <c r="T9648" s="1095">
        <v>-27.627661</v>
      </c>
    </row>
    <row r="9649" spans="16:20">
      <c r="P9649" s="1094">
        <v>4352</v>
      </c>
      <c r="Q9649" t="s">
        <v>10217</v>
      </c>
      <c r="R9649" t="s">
        <v>614</v>
      </c>
      <c r="S9649">
        <v>151.94182000000001</v>
      </c>
      <c r="T9649" s="1095">
        <v>-27.627661</v>
      </c>
    </row>
    <row r="9650" spans="16:20">
      <c r="P9650" s="1094">
        <v>4352</v>
      </c>
      <c r="Q9650" t="s">
        <v>10218</v>
      </c>
      <c r="R9650" t="s">
        <v>614</v>
      </c>
      <c r="S9650">
        <v>151.94182000000001</v>
      </c>
      <c r="T9650" s="1095">
        <v>-27.627661</v>
      </c>
    </row>
    <row r="9651" spans="16:20">
      <c r="P9651" s="1094">
        <v>4352</v>
      </c>
      <c r="Q9651" t="s">
        <v>10219</v>
      </c>
      <c r="R9651" t="s">
        <v>614</v>
      </c>
      <c r="S9651">
        <v>151.94182000000001</v>
      </c>
      <c r="T9651" s="1095">
        <v>-27.627661</v>
      </c>
    </row>
    <row r="9652" spans="16:20">
      <c r="P9652" s="1094">
        <v>4352</v>
      </c>
      <c r="Q9652" t="s">
        <v>4179</v>
      </c>
      <c r="R9652" t="s">
        <v>614</v>
      </c>
      <c r="S9652">
        <v>151.94182000000001</v>
      </c>
      <c r="T9652" s="1095">
        <v>-27.627661</v>
      </c>
    </row>
    <row r="9653" spans="16:20">
      <c r="P9653" s="1094">
        <v>4352</v>
      </c>
      <c r="Q9653" t="s">
        <v>10220</v>
      </c>
      <c r="R9653" t="s">
        <v>614</v>
      </c>
      <c r="S9653">
        <v>151.94182000000001</v>
      </c>
      <c r="T9653" s="1095">
        <v>-27.627661</v>
      </c>
    </row>
    <row r="9654" spans="16:20">
      <c r="P9654" s="1094">
        <v>4352</v>
      </c>
      <c r="Q9654" t="s">
        <v>10221</v>
      </c>
      <c r="R9654" t="s">
        <v>614</v>
      </c>
      <c r="S9654">
        <v>151.94182000000001</v>
      </c>
      <c r="T9654" s="1095">
        <v>-27.627661</v>
      </c>
    </row>
    <row r="9655" spans="16:20">
      <c r="P9655" s="1094">
        <v>4352</v>
      </c>
      <c r="Q9655" t="s">
        <v>10222</v>
      </c>
      <c r="R9655" t="s">
        <v>614</v>
      </c>
      <c r="S9655">
        <v>151.94182000000001</v>
      </c>
      <c r="T9655" s="1095">
        <v>-27.627661</v>
      </c>
    </row>
    <row r="9656" spans="16:20">
      <c r="P9656" s="1094">
        <v>4352</v>
      </c>
      <c r="Q9656" t="s">
        <v>10223</v>
      </c>
      <c r="R9656" t="s">
        <v>614</v>
      </c>
      <c r="S9656">
        <v>151.94182000000001</v>
      </c>
      <c r="T9656" s="1095">
        <v>-27.627661</v>
      </c>
    </row>
    <row r="9657" spans="16:20">
      <c r="P9657" s="1094">
        <v>4352</v>
      </c>
      <c r="Q9657" t="s">
        <v>10224</v>
      </c>
      <c r="R9657" t="s">
        <v>614</v>
      </c>
      <c r="S9657">
        <v>151.94182000000001</v>
      </c>
      <c r="T9657" s="1095">
        <v>-27.627661</v>
      </c>
    </row>
    <row r="9658" spans="16:20">
      <c r="P9658" s="1094">
        <v>4352</v>
      </c>
      <c r="Q9658" t="s">
        <v>10225</v>
      </c>
      <c r="R9658" t="s">
        <v>614</v>
      </c>
      <c r="S9658">
        <v>151.94182000000001</v>
      </c>
      <c r="T9658" s="1095">
        <v>-27.627661</v>
      </c>
    </row>
    <row r="9659" spans="16:20">
      <c r="P9659" s="1094">
        <v>4352</v>
      </c>
      <c r="Q9659" t="s">
        <v>10226</v>
      </c>
      <c r="R9659" t="s">
        <v>614</v>
      </c>
      <c r="S9659">
        <v>151.94182000000001</v>
      </c>
      <c r="T9659" s="1095">
        <v>-27.627661</v>
      </c>
    </row>
    <row r="9660" spans="16:20">
      <c r="P9660" s="1094">
        <v>4352</v>
      </c>
      <c r="Q9660" t="s">
        <v>10227</v>
      </c>
      <c r="R9660" t="s">
        <v>614</v>
      </c>
      <c r="S9660">
        <v>151.94182000000001</v>
      </c>
      <c r="T9660" s="1095">
        <v>-27.627661</v>
      </c>
    </row>
    <row r="9661" spans="16:20">
      <c r="P9661" s="1094">
        <v>4352</v>
      </c>
      <c r="Q9661" t="s">
        <v>8015</v>
      </c>
      <c r="R9661" t="s">
        <v>614</v>
      </c>
      <c r="S9661">
        <v>151.94182000000001</v>
      </c>
      <c r="T9661" s="1095">
        <v>-27.627661</v>
      </c>
    </row>
    <row r="9662" spans="16:20">
      <c r="P9662" s="1094">
        <v>4352</v>
      </c>
      <c r="Q9662" t="s">
        <v>10228</v>
      </c>
      <c r="R9662" t="s">
        <v>614</v>
      </c>
      <c r="S9662">
        <v>151.94182000000001</v>
      </c>
      <c r="T9662" s="1095">
        <v>-27.627661</v>
      </c>
    </row>
    <row r="9663" spans="16:20">
      <c r="P9663" s="1094">
        <v>4352</v>
      </c>
      <c r="Q9663" t="s">
        <v>10229</v>
      </c>
      <c r="R9663" t="s">
        <v>614</v>
      </c>
      <c r="S9663">
        <v>151.94182000000001</v>
      </c>
      <c r="T9663" s="1095">
        <v>-27.627661</v>
      </c>
    </row>
    <row r="9664" spans="16:20">
      <c r="P9664" s="1094">
        <v>4352</v>
      </c>
      <c r="Q9664" t="s">
        <v>10230</v>
      </c>
      <c r="R9664" t="s">
        <v>614</v>
      </c>
      <c r="S9664">
        <v>151.94182000000001</v>
      </c>
      <c r="T9664" s="1095">
        <v>-27.627661</v>
      </c>
    </row>
    <row r="9665" spans="16:20">
      <c r="P9665" s="1094">
        <v>4352</v>
      </c>
      <c r="Q9665" t="s">
        <v>10231</v>
      </c>
      <c r="R9665" t="s">
        <v>614</v>
      </c>
      <c r="S9665">
        <v>151.94182000000001</v>
      </c>
      <c r="T9665" s="1095">
        <v>-27.627661</v>
      </c>
    </row>
    <row r="9666" spans="16:20">
      <c r="P9666" s="1094">
        <v>4352</v>
      </c>
      <c r="Q9666" t="s">
        <v>10232</v>
      </c>
      <c r="R9666" t="s">
        <v>614</v>
      </c>
      <c r="S9666">
        <v>151.94182000000001</v>
      </c>
      <c r="T9666" s="1095">
        <v>-27.627661</v>
      </c>
    </row>
    <row r="9667" spans="16:20">
      <c r="P9667" s="1094">
        <v>4352</v>
      </c>
      <c r="Q9667" t="s">
        <v>10233</v>
      </c>
      <c r="R9667" t="s">
        <v>614</v>
      </c>
      <c r="S9667">
        <v>151.94182000000001</v>
      </c>
      <c r="T9667" s="1095">
        <v>-27.627661</v>
      </c>
    </row>
    <row r="9668" spans="16:20">
      <c r="P9668" s="1094">
        <v>4352</v>
      </c>
      <c r="Q9668" t="s">
        <v>10234</v>
      </c>
      <c r="R9668" t="s">
        <v>614</v>
      </c>
      <c r="S9668">
        <v>151.94182000000001</v>
      </c>
      <c r="T9668" s="1095">
        <v>-27.627661</v>
      </c>
    </row>
    <row r="9669" spans="16:20">
      <c r="P9669" s="1094">
        <v>4352</v>
      </c>
      <c r="Q9669" t="s">
        <v>10235</v>
      </c>
      <c r="R9669" t="s">
        <v>614</v>
      </c>
      <c r="S9669">
        <v>151.94182000000001</v>
      </c>
      <c r="T9669" s="1095">
        <v>-27.627661</v>
      </c>
    </row>
    <row r="9670" spans="16:20">
      <c r="P9670" s="1094">
        <v>4352</v>
      </c>
      <c r="Q9670" t="s">
        <v>10236</v>
      </c>
      <c r="R9670" t="s">
        <v>614</v>
      </c>
      <c r="S9670">
        <v>151.94182000000001</v>
      </c>
      <c r="T9670" s="1095">
        <v>-27.627661</v>
      </c>
    </row>
    <row r="9671" spans="16:20">
      <c r="P9671" s="1094">
        <v>4352</v>
      </c>
      <c r="Q9671" t="s">
        <v>10237</v>
      </c>
      <c r="R9671" t="s">
        <v>614</v>
      </c>
      <c r="S9671">
        <v>151.94182000000001</v>
      </c>
      <c r="T9671" s="1095">
        <v>-27.627661</v>
      </c>
    </row>
    <row r="9672" spans="16:20">
      <c r="P9672" s="1094">
        <v>4352</v>
      </c>
      <c r="Q9672" t="s">
        <v>10238</v>
      </c>
      <c r="R9672" t="s">
        <v>614</v>
      </c>
      <c r="S9672">
        <v>151.94182000000001</v>
      </c>
      <c r="T9672" s="1095">
        <v>-27.627661</v>
      </c>
    </row>
    <row r="9673" spans="16:20">
      <c r="P9673" s="1094">
        <v>4352</v>
      </c>
      <c r="Q9673" t="s">
        <v>6500</v>
      </c>
      <c r="R9673" t="s">
        <v>614</v>
      </c>
      <c r="S9673">
        <v>151.94182000000001</v>
      </c>
      <c r="T9673" s="1095">
        <v>-27.627661</v>
      </c>
    </row>
    <row r="9674" spans="16:20">
      <c r="P9674" s="1094">
        <v>4352</v>
      </c>
      <c r="Q9674" t="s">
        <v>10239</v>
      </c>
      <c r="R9674" t="s">
        <v>614</v>
      </c>
      <c r="S9674">
        <v>151.94182000000001</v>
      </c>
      <c r="T9674" s="1095">
        <v>-27.627661</v>
      </c>
    </row>
    <row r="9675" spans="16:20">
      <c r="P9675" s="1094">
        <v>4352</v>
      </c>
      <c r="Q9675" t="s">
        <v>10240</v>
      </c>
      <c r="R9675" t="s">
        <v>614</v>
      </c>
      <c r="S9675">
        <v>151.94182000000001</v>
      </c>
      <c r="T9675" s="1095">
        <v>-27.627661</v>
      </c>
    </row>
    <row r="9676" spans="16:20">
      <c r="P9676" s="1094">
        <v>4352</v>
      </c>
      <c r="Q9676" t="s">
        <v>10241</v>
      </c>
      <c r="R9676" t="s">
        <v>614</v>
      </c>
      <c r="S9676">
        <v>151.94182000000001</v>
      </c>
      <c r="T9676" s="1095">
        <v>-27.627661</v>
      </c>
    </row>
    <row r="9677" spans="16:20">
      <c r="P9677" s="1094">
        <v>4352</v>
      </c>
      <c r="Q9677" t="s">
        <v>10242</v>
      </c>
      <c r="R9677" t="s">
        <v>614</v>
      </c>
      <c r="S9677">
        <v>151.94182000000001</v>
      </c>
      <c r="T9677" s="1095">
        <v>-27.627661</v>
      </c>
    </row>
    <row r="9678" spans="16:20">
      <c r="P9678" s="1094">
        <v>4352</v>
      </c>
      <c r="Q9678" t="s">
        <v>10243</v>
      </c>
      <c r="R9678" t="s">
        <v>614</v>
      </c>
      <c r="S9678">
        <v>151.94182000000001</v>
      </c>
      <c r="T9678" s="1095">
        <v>-27.627661</v>
      </c>
    </row>
    <row r="9679" spans="16:20">
      <c r="P9679" s="1094">
        <v>4352</v>
      </c>
      <c r="Q9679" t="s">
        <v>10244</v>
      </c>
      <c r="R9679" t="s">
        <v>614</v>
      </c>
      <c r="S9679">
        <v>151.94182000000001</v>
      </c>
      <c r="T9679" s="1095">
        <v>-27.627661</v>
      </c>
    </row>
    <row r="9680" spans="16:20">
      <c r="P9680" s="1094">
        <v>4352</v>
      </c>
      <c r="Q9680" t="s">
        <v>10245</v>
      </c>
      <c r="R9680" t="s">
        <v>614</v>
      </c>
      <c r="S9680">
        <v>151.94182000000001</v>
      </c>
      <c r="T9680" s="1095">
        <v>-27.627661</v>
      </c>
    </row>
    <row r="9681" spans="16:20">
      <c r="P9681" s="1094">
        <v>4352</v>
      </c>
      <c r="Q9681" t="s">
        <v>10246</v>
      </c>
      <c r="R9681" t="s">
        <v>614</v>
      </c>
      <c r="S9681">
        <v>151.94182000000001</v>
      </c>
      <c r="T9681" s="1095">
        <v>-27.627661</v>
      </c>
    </row>
    <row r="9682" spans="16:20">
      <c r="P9682" s="1094">
        <v>4352</v>
      </c>
      <c r="Q9682" t="s">
        <v>10247</v>
      </c>
      <c r="R9682" t="s">
        <v>614</v>
      </c>
      <c r="S9682">
        <v>151.94182000000001</v>
      </c>
      <c r="T9682" s="1095">
        <v>-27.627661</v>
      </c>
    </row>
    <row r="9683" spans="16:20">
      <c r="P9683" s="1094">
        <v>4352</v>
      </c>
      <c r="Q9683" t="s">
        <v>10248</v>
      </c>
      <c r="R9683" t="s">
        <v>614</v>
      </c>
      <c r="S9683">
        <v>151.94182000000001</v>
      </c>
      <c r="T9683" s="1095">
        <v>-27.627661</v>
      </c>
    </row>
    <row r="9684" spans="16:20">
      <c r="P9684" s="1094">
        <v>4352</v>
      </c>
      <c r="Q9684" t="s">
        <v>10249</v>
      </c>
      <c r="R9684" t="s">
        <v>614</v>
      </c>
      <c r="S9684">
        <v>151.94182000000001</v>
      </c>
      <c r="T9684" s="1095">
        <v>-27.627661</v>
      </c>
    </row>
    <row r="9685" spans="16:20">
      <c r="P9685" s="1094">
        <v>4352</v>
      </c>
      <c r="Q9685" t="s">
        <v>10250</v>
      </c>
      <c r="R9685" t="s">
        <v>614</v>
      </c>
      <c r="S9685">
        <v>151.94182000000001</v>
      </c>
      <c r="T9685" s="1095">
        <v>-27.627661</v>
      </c>
    </row>
    <row r="9686" spans="16:20">
      <c r="P9686" s="1094">
        <v>4352</v>
      </c>
      <c r="Q9686" t="s">
        <v>10251</v>
      </c>
      <c r="R9686" t="s">
        <v>614</v>
      </c>
      <c r="S9686">
        <v>151.94182000000001</v>
      </c>
      <c r="T9686" s="1095">
        <v>-27.627661</v>
      </c>
    </row>
    <row r="9687" spans="16:20">
      <c r="P9687" s="1094">
        <v>4352</v>
      </c>
      <c r="Q9687" t="s">
        <v>10252</v>
      </c>
      <c r="R9687" t="s">
        <v>614</v>
      </c>
      <c r="S9687">
        <v>151.94182000000001</v>
      </c>
      <c r="T9687" s="1095">
        <v>-27.627661</v>
      </c>
    </row>
    <row r="9688" spans="16:20">
      <c r="P9688" s="1094">
        <v>4352</v>
      </c>
      <c r="Q9688" t="s">
        <v>9155</v>
      </c>
      <c r="R9688" t="s">
        <v>614</v>
      </c>
      <c r="S9688">
        <v>151.94182000000001</v>
      </c>
      <c r="T9688" s="1095">
        <v>-27.627661</v>
      </c>
    </row>
    <row r="9689" spans="16:20">
      <c r="P9689" s="1094">
        <v>4352</v>
      </c>
      <c r="Q9689" t="s">
        <v>10253</v>
      </c>
      <c r="R9689" t="s">
        <v>614</v>
      </c>
      <c r="S9689">
        <v>151.94182000000001</v>
      </c>
      <c r="T9689" s="1095">
        <v>-27.627661</v>
      </c>
    </row>
    <row r="9690" spans="16:20">
      <c r="P9690" s="1094">
        <v>4352</v>
      </c>
      <c r="Q9690" t="s">
        <v>10254</v>
      </c>
      <c r="R9690" t="s">
        <v>614</v>
      </c>
      <c r="S9690">
        <v>151.94182000000001</v>
      </c>
      <c r="T9690" s="1095">
        <v>-27.627661</v>
      </c>
    </row>
    <row r="9691" spans="16:20">
      <c r="P9691" s="1094">
        <v>4352</v>
      </c>
      <c r="Q9691" t="s">
        <v>10255</v>
      </c>
      <c r="R9691" t="s">
        <v>614</v>
      </c>
      <c r="S9691">
        <v>151.94182000000001</v>
      </c>
      <c r="T9691" s="1095">
        <v>-27.627661</v>
      </c>
    </row>
    <row r="9692" spans="16:20">
      <c r="P9692" s="1094">
        <v>4352</v>
      </c>
      <c r="Q9692" t="s">
        <v>10256</v>
      </c>
      <c r="R9692" t="s">
        <v>614</v>
      </c>
      <c r="S9692">
        <v>151.94182000000001</v>
      </c>
      <c r="T9692" s="1095">
        <v>-27.627661</v>
      </c>
    </row>
    <row r="9693" spans="16:20">
      <c r="P9693" s="1094">
        <v>4352</v>
      </c>
      <c r="Q9693" t="s">
        <v>10257</v>
      </c>
      <c r="R9693" t="s">
        <v>614</v>
      </c>
      <c r="S9693">
        <v>151.94182000000001</v>
      </c>
      <c r="T9693" s="1095">
        <v>-27.627661</v>
      </c>
    </row>
    <row r="9694" spans="16:20">
      <c r="P9694" s="1094">
        <v>4353</v>
      </c>
      <c r="Q9694" t="s">
        <v>10258</v>
      </c>
      <c r="R9694" t="s">
        <v>614</v>
      </c>
      <c r="S9694">
        <v>0</v>
      </c>
      <c r="T9694" s="1095">
        <v>0</v>
      </c>
    </row>
    <row r="9695" spans="16:20">
      <c r="P9695" s="1094">
        <v>4353</v>
      </c>
      <c r="Q9695" t="s">
        <v>10259</v>
      </c>
      <c r="R9695" t="s">
        <v>614</v>
      </c>
      <c r="S9695">
        <v>0</v>
      </c>
      <c r="T9695" s="1095">
        <v>0</v>
      </c>
    </row>
    <row r="9696" spans="16:20">
      <c r="P9696" s="1094">
        <v>4353</v>
      </c>
      <c r="Q9696" t="s">
        <v>10260</v>
      </c>
      <c r="R9696" t="s">
        <v>614</v>
      </c>
      <c r="S9696">
        <v>0</v>
      </c>
      <c r="T9696" s="1095">
        <v>0</v>
      </c>
    </row>
    <row r="9697" spans="16:20">
      <c r="P9697" s="1094">
        <v>4354</v>
      </c>
      <c r="Q9697" t="s">
        <v>7506</v>
      </c>
      <c r="R9697" t="s">
        <v>614</v>
      </c>
      <c r="S9697">
        <v>151.88791900000001</v>
      </c>
      <c r="T9697" s="1095">
        <v>-27.343883999999999</v>
      </c>
    </row>
    <row r="9698" spans="16:20">
      <c r="P9698" s="1094">
        <v>4354</v>
      </c>
      <c r="Q9698" t="s">
        <v>10261</v>
      </c>
      <c r="R9698" t="s">
        <v>614</v>
      </c>
      <c r="S9698">
        <v>151.88791900000001</v>
      </c>
      <c r="T9698" s="1095">
        <v>-27.343883999999999</v>
      </c>
    </row>
    <row r="9699" spans="16:20">
      <c r="P9699" s="1094">
        <v>4354</v>
      </c>
      <c r="Q9699" t="s">
        <v>10262</v>
      </c>
      <c r="R9699" t="s">
        <v>614</v>
      </c>
      <c r="S9699">
        <v>151.88791900000001</v>
      </c>
      <c r="T9699" s="1095">
        <v>-27.343883999999999</v>
      </c>
    </row>
    <row r="9700" spans="16:20">
      <c r="P9700" s="1094">
        <v>4355</v>
      </c>
      <c r="Q9700" t="s">
        <v>10263</v>
      </c>
      <c r="R9700" t="s">
        <v>614</v>
      </c>
      <c r="S9700">
        <v>152.008635</v>
      </c>
      <c r="T9700" s="1095">
        <v>-27.184629999999999</v>
      </c>
    </row>
    <row r="9701" spans="16:20">
      <c r="P9701" s="1094">
        <v>4355</v>
      </c>
      <c r="Q9701" t="s">
        <v>1681</v>
      </c>
      <c r="R9701" t="s">
        <v>614</v>
      </c>
      <c r="S9701">
        <v>152.008635</v>
      </c>
      <c r="T9701" s="1095">
        <v>-27.184629999999999</v>
      </c>
    </row>
    <row r="9702" spans="16:20">
      <c r="P9702" s="1094">
        <v>4355</v>
      </c>
      <c r="Q9702" t="s">
        <v>8000</v>
      </c>
      <c r="R9702" t="s">
        <v>614</v>
      </c>
      <c r="S9702">
        <v>152.008635</v>
      </c>
      <c r="T9702" s="1095">
        <v>-27.184629999999999</v>
      </c>
    </row>
    <row r="9703" spans="16:20">
      <c r="P9703" s="1094">
        <v>4355</v>
      </c>
      <c r="Q9703" t="s">
        <v>10264</v>
      </c>
      <c r="R9703" t="s">
        <v>614</v>
      </c>
      <c r="S9703">
        <v>152.008635</v>
      </c>
      <c r="T9703" s="1095">
        <v>-27.184629999999999</v>
      </c>
    </row>
    <row r="9704" spans="16:20">
      <c r="P9704" s="1094">
        <v>4355</v>
      </c>
      <c r="Q9704" t="s">
        <v>2069</v>
      </c>
      <c r="R9704" t="s">
        <v>614</v>
      </c>
      <c r="S9704">
        <v>152.008635</v>
      </c>
      <c r="T9704" s="1095">
        <v>-27.184629999999999</v>
      </c>
    </row>
    <row r="9705" spans="16:20">
      <c r="P9705" s="1094">
        <v>4355</v>
      </c>
      <c r="Q9705" t="s">
        <v>10265</v>
      </c>
      <c r="R9705" t="s">
        <v>614</v>
      </c>
      <c r="S9705">
        <v>152.008635</v>
      </c>
      <c r="T9705" s="1095">
        <v>-27.184629999999999</v>
      </c>
    </row>
    <row r="9706" spans="16:20">
      <c r="P9706" s="1094">
        <v>4355</v>
      </c>
      <c r="Q9706" t="s">
        <v>10266</v>
      </c>
      <c r="R9706" t="s">
        <v>614</v>
      </c>
      <c r="S9706">
        <v>152.008635</v>
      </c>
      <c r="T9706" s="1095">
        <v>-27.184629999999999</v>
      </c>
    </row>
    <row r="9707" spans="16:20">
      <c r="P9707" s="1094">
        <v>4355</v>
      </c>
      <c r="Q9707" t="s">
        <v>10267</v>
      </c>
      <c r="R9707" t="s">
        <v>614</v>
      </c>
      <c r="S9707">
        <v>152.008635</v>
      </c>
      <c r="T9707" s="1095">
        <v>-27.184629999999999</v>
      </c>
    </row>
    <row r="9708" spans="16:20">
      <c r="P9708" s="1094">
        <v>4355</v>
      </c>
      <c r="Q9708" t="s">
        <v>10268</v>
      </c>
      <c r="R9708" t="s">
        <v>614</v>
      </c>
      <c r="S9708">
        <v>152.008635</v>
      </c>
      <c r="T9708" s="1095">
        <v>-27.184629999999999</v>
      </c>
    </row>
    <row r="9709" spans="16:20">
      <c r="P9709" s="1094">
        <v>4355</v>
      </c>
      <c r="Q9709" t="s">
        <v>1514</v>
      </c>
      <c r="R9709" t="s">
        <v>614</v>
      </c>
      <c r="S9709">
        <v>152.008635</v>
      </c>
      <c r="T9709" s="1095">
        <v>-27.184629999999999</v>
      </c>
    </row>
    <row r="9710" spans="16:20">
      <c r="P9710" s="1094">
        <v>4355</v>
      </c>
      <c r="Q9710" t="s">
        <v>10269</v>
      </c>
      <c r="R9710" t="s">
        <v>614</v>
      </c>
      <c r="S9710">
        <v>152.008635</v>
      </c>
      <c r="T9710" s="1095">
        <v>-27.184629999999999</v>
      </c>
    </row>
    <row r="9711" spans="16:20">
      <c r="P9711" s="1094">
        <v>4355</v>
      </c>
      <c r="Q9711" t="s">
        <v>10270</v>
      </c>
      <c r="R9711" t="s">
        <v>614</v>
      </c>
      <c r="S9711">
        <v>152.008635</v>
      </c>
      <c r="T9711" s="1095">
        <v>-27.184629999999999</v>
      </c>
    </row>
    <row r="9712" spans="16:20">
      <c r="P9712" s="1094">
        <v>4355</v>
      </c>
      <c r="Q9712" t="s">
        <v>10089</v>
      </c>
      <c r="R9712" t="s">
        <v>614</v>
      </c>
      <c r="S9712">
        <v>152.008635</v>
      </c>
      <c r="T9712" s="1095">
        <v>-27.184629999999999</v>
      </c>
    </row>
    <row r="9713" spans="16:20">
      <c r="P9713" s="1094">
        <v>4355</v>
      </c>
      <c r="Q9713" t="s">
        <v>10271</v>
      </c>
      <c r="R9713" t="s">
        <v>614</v>
      </c>
      <c r="S9713">
        <v>152.008635</v>
      </c>
      <c r="T9713" s="1095">
        <v>-27.184629999999999</v>
      </c>
    </row>
    <row r="9714" spans="16:20">
      <c r="P9714" s="1094">
        <v>4356</v>
      </c>
      <c r="Q9714" t="s">
        <v>10272</v>
      </c>
      <c r="R9714" t="s">
        <v>614</v>
      </c>
      <c r="S9714">
        <v>151.55027100000001</v>
      </c>
      <c r="T9714" s="1095">
        <v>-27.663074000000002</v>
      </c>
    </row>
    <row r="9715" spans="16:20">
      <c r="P9715" s="1094">
        <v>4356</v>
      </c>
      <c r="Q9715" t="s">
        <v>10273</v>
      </c>
      <c r="R9715" t="s">
        <v>614</v>
      </c>
      <c r="S9715">
        <v>151.55027100000001</v>
      </c>
      <c r="T9715" s="1095">
        <v>-27.663074000000002</v>
      </c>
    </row>
    <row r="9716" spans="16:20">
      <c r="P9716" s="1094">
        <v>4356</v>
      </c>
      <c r="Q9716" t="s">
        <v>10274</v>
      </c>
      <c r="R9716" t="s">
        <v>614</v>
      </c>
      <c r="S9716">
        <v>151.55027100000001</v>
      </c>
      <c r="T9716" s="1095">
        <v>-27.663074000000002</v>
      </c>
    </row>
    <row r="9717" spans="16:20">
      <c r="P9717" s="1094">
        <v>4356</v>
      </c>
      <c r="Q9717" t="s">
        <v>10275</v>
      </c>
      <c r="R9717" t="s">
        <v>614</v>
      </c>
      <c r="S9717">
        <v>151.55027100000001</v>
      </c>
      <c r="T9717" s="1095">
        <v>-27.663074000000002</v>
      </c>
    </row>
    <row r="9718" spans="16:20">
      <c r="P9718" s="1094">
        <v>4356</v>
      </c>
      <c r="Q9718" t="s">
        <v>10276</v>
      </c>
      <c r="R9718" t="s">
        <v>614</v>
      </c>
      <c r="S9718">
        <v>151.55027100000001</v>
      </c>
      <c r="T9718" s="1095">
        <v>-27.663074000000002</v>
      </c>
    </row>
    <row r="9719" spans="16:20">
      <c r="P9719" s="1094">
        <v>4356</v>
      </c>
      <c r="Q9719" t="s">
        <v>10277</v>
      </c>
      <c r="R9719" t="s">
        <v>614</v>
      </c>
      <c r="S9719">
        <v>151.55027100000001</v>
      </c>
      <c r="T9719" s="1095">
        <v>-27.663074000000002</v>
      </c>
    </row>
    <row r="9720" spans="16:20">
      <c r="P9720" s="1094">
        <v>4356</v>
      </c>
      <c r="Q9720" t="s">
        <v>10278</v>
      </c>
      <c r="R9720" t="s">
        <v>614</v>
      </c>
      <c r="S9720">
        <v>151.55027100000001</v>
      </c>
      <c r="T9720" s="1095">
        <v>-27.663074000000002</v>
      </c>
    </row>
    <row r="9721" spans="16:20">
      <c r="P9721" s="1094">
        <v>4356</v>
      </c>
      <c r="Q9721" t="s">
        <v>10279</v>
      </c>
      <c r="R9721" t="s">
        <v>614</v>
      </c>
      <c r="S9721">
        <v>151.55027100000001</v>
      </c>
      <c r="T9721" s="1095">
        <v>-27.663074000000002</v>
      </c>
    </row>
    <row r="9722" spans="16:20">
      <c r="P9722" s="1094">
        <v>4356</v>
      </c>
      <c r="Q9722" t="s">
        <v>10280</v>
      </c>
      <c r="R9722" t="s">
        <v>614</v>
      </c>
      <c r="S9722">
        <v>151.55027100000001</v>
      </c>
      <c r="T9722" s="1095">
        <v>-27.663074000000002</v>
      </c>
    </row>
    <row r="9723" spans="16:20">
      <c r="P9723" s="1094">
        <v>4356</v>
      </c>
      <c r="Q9723" t="s">
        <v>10281</v>
      </c>
      <c r="R9723" t="s">
        <v>614</v>
      </c>
      <c r="S9723">
        <v>151.55027100000001</v>
      </c>
      <c r="T9723" s="1095">
        <v>-27.663074000000002</v>
      </c>
    </row>
    <row r="9724" spans="16:20">
      <c r="P9724" s="1094">
        <v>4356</v>
      </c>
      <c r="Q9724" t="s">
        <v>10282</v>
      </c>
      <c r="R9724" t="s">
        <v>614</v>
      </c>
      <c r="S9724">
        <v>151.55027100000001</v>
      </c>
      <c r="T9724" s="1095">
        <v>-27.663074000000002</v>
      </c>
    </row>
    <row r="9725" spans="16:20">
      <c r="P9725" s="1094">
        <v>4356</v>
      </c>
      <c r="Q9725" t="s">
        <v>10283</v>
      </c>
      <c r="R9725" t="s">
        <v>614</v>
      </c>
      <c r="S9725">
        <v>151.55027100000001</v>
      </c>
      <c r="T9725" s="1095">
        <v>-27.663074000000002</v>
      </c>
    </row>
    <row r="9726" spans="16:20">
      <c r="P9726" s="1094">
        <v>4356</v>
      </c>
      <c r="Q9726" t="s">
        <v>10284</v>
      </c>
      <c r="R9726" t="s">
        <v>614</v>
      </c>
      <c r="S9726">
        <v>151.55027100000001</v>
      </c>
      <c r="T9726" s="1095">
        <v>-27.663074000000002</v>
      </c>
    </row>
    <row r="9727" spans="16:20">
      <c r="P9727" s="1094">
        <v>4356</v>
      </c>
      <c r="Q9727" t="s">
        <v>10285</v>
      </c>
      <c r="R9727" t="s">
        <v>614</v>
      </c>
      <c r="S9727">
        <v>151.55027100000001</v>
      </c>
      <c r="T9727" s="1095">
        <v>-27.663074000000002</v>
      </c>
    </row>
    <row r="9728" spans="16:20">
      <c r="P9728" s="1094">
        <v>4356</v>
      </c>
      <c r="Q9728" t="s">
        <v>5899</v>
      </c>
      <c r="R9728" t="s">
        <v>614</v>
      </c>
      <c r="S9728">
        <v>151.55027100000001</v>
      </c>
      <c r="T9728" s="1095">
        <v>-27.663074000000002</v>
      </c>
    </row>
    <row r="9729" spans="16:20">
      <c r="P9729" s="1094">
        <v>4356</v>
      </c>
      <c r="Q9729" t="s">
        <v>7048</v>
      </c>
      <c r="R9729" t="s">
        <v>614</v>
      </c>
      <c r="S9729">
        <v>151.55027100000001</v>
      </c>
      <c r="T9729" s="1095">
        <v>-27.663074000000002</v>
      </c>
    </row>
    <row r="9730" spans="16:20">
      <c r="P9730" s="1094">
        <v>4356</v>
      </c>
      <c r="Q9730" t="s">
        <v>7391</v>
      </c>
      <c r="R9730" t="s">
        <v>614</v>
      </c>
      <c r="S9730">
        <v>151.55027100000001</v>
      </c>
      <c r="T9730" s="1095">
        <v>-27.663074000000002</v>
      </c>
    </row>
    <row r="9731" spans="16:20">
      <c r="P9731" s="1094">
        <v>4356</v>
      </c>
      <c r="Q9731" t="s">
        <v>10286</v>
      </c>
      <c r="R9731" t="s">
        <v>614</v>
      </c>
      <c r="S9731">
        <v>151.55027100000001</v>
      </c>
      <c r="T9731" s="1095">
        <v>-27.663074000000002</v>
      </c>
    </row>
    <row r="9732" spans="16:20">
      <c r="P9732" s="1094">
        <v>4357</v>
      </c>
      <c r="Q9732" t="s">
        <v>10287</v>
      </c>
      <c r="R9732" t="s">
        <v>614</v>
      </c>
      <c r="S9732">
        <v>151.103872</v>
      </c>
      <c r="T9732" s="1095">
        <v>-27.957654000000002</v>
      </c>
    </row>
    <row r="9733" spans="16:20">
      <c r="P9733" s="1094">
        <v>4357</v>
      </c>
      <c r="Q9733" t="s">
        <v>10288</v>
      </c>
      <c r="R9733" t="s">
        <v>614</v>
      </c>
      <c r="S9733">
        <v>151.103872</v>
      </c>
      <c r="T9733" s="1095">
        <v>-27.957654000000002</v>
      </c>
    </row>
    <row r="9734" spans="16:20">
      <c r="P9734" s="1094">
        <v>4357</v>
      </c>
      <c r="Q9734" t="s">
        <v>10289</v>
      </c>
      <c r="R9734" t="s">
        <v>614</v>
      </c>
      <c r="S9734">
        <v>151.103872</v>
      </c>
      <c r="T9734" s="1095">
        <v>-27.957654000000002</v>
      </c>
    </row>
    <row r="9735" spans="16:20">
      <c r="P9735" s="1094">
        <v>4357</v>
      </c>
      <c r="Q9735" t="s">
        <v>10290</v>
      </c>
      <c r="R9735" t="s">
        <v>614</v>
      </c>
      <c r="S9735">
        <v>151.103872</v>
      </c>
      <c r="T9735" s="1095">
        <v>-27.957654000000002</v>
      </c>
    </row>
    <row r="9736" spans="16:20">
      <c r="P9736" s="1094">
        <v>4357</v>
      </c>
      <c r="Q9736" t="s">
        <v>1907</v>
      </c>
      <c r="R9736" t="s">
        <v>614</v>
      </c>
      <c r="S9736">
        <v>151.103872</v>
      </c>
      <c r="T9736" s="1095">
        <v>-27.957654000000002</v>
      </c>
    </row>
    <row r="9737" spans="16:20">
      <c r="P9737" s="1094">
        <v>4357</v>
      </c>
      <c r="Q9737" t="s">
        <v>10291</v>
      </c>
      <c r="R9737" t="s">
        <v>614</v>
      </c>
      <c r="S9737">
        <v>151.103872</v>
      </c>
      <c r="T9737" s="1095">
        <v>-27.957654000000002</v>
      </c>
    </row>
    <row r="9738" spans="16:20">
      <c r="P9738" s="1094">
        <v>4357</v>
      </c>
      <c r="Q9738" t="s">
        <v>9787</v>
      </c>
      <c r="R9738" t="s">
        <v>614</v>
      </c>
      <c r="S9738">
        <v>151.103872</v>
      </c>
      <c r="T9738" s="1095">
        <v>-27.957654000000002</v>
      </c>
    </row>
    <row r="9739" spans="16:20">
      <c r="P9739" s="1094">
        <v>4357</v>
      </c>
      <c r="Q9739" t="s">
        <v>10292</v>
      </c>
      <c r="R9739" t="s">
        <v>614</v>
      </c>
      <c r="S9739">
        <v>151.103872</v>
      </c>
      <c r="T9739" s="1095">
        <v>-27.957654000000002</v>
      </c>
    </row>
    <row r="9740" spans="16:20">
      <c r="P9740" s="1094">
        <v>4357</v>
      </c>
      <c r="Q9740" t="s">
        <v>10293</v>
      </c>
      <c r="R9740" t="s">
        <v>614</v>
      </c>
      <c r="S9740">
        <v>151.103872</v>
      </c>
      <c r="T9740" s="1095">
        <v>-27.957654000000002</v>
      </c>
    </row>
    <row r="9741" spans="16:20">
      <c r="P9741" s="1094">
        <v>4357</v>
      </c>
      <c r="Q9741" t="s">
        <v>10294</v>
      </c>
      <c r="R9741" t="s">
        <v>614</v>
      </c>
      <c r="S9741">
        <v>151.103872</v>
      </c>
      <c r="T9741" s="1095">
        <v>-27.957654000000002</v>
      </c>
    </row>
    <row r="9742" spans="16:20">
      <c r="P9742" s="1094">
        <v>4357</v>
      </c>
      <c r="Q9742" t="s">
        <v>10295</v>
      </c>
      <c r="R9742" t="s">
        <v>614</v>
      </c>
      <c r="S9742">
        <v>151.103872</v>
      </c>
      <c r="T9742" s="1095">
        <v>-27.957654000000002</v>
      </c>
    </row>
    <row r="9743" spans="16:20">
      <c r="P9743" s="1094">
        <v>4357</v>
      </c>
      <c r="Q9743" t="s">
        <v>10296</v>
      </c>
      <c r="R9743" t="s">
        <v>614</v>
      </c>
      <c r="S9743">
        <v>151.103872</v>
      </c>
      <c r="T9743" s="1095">
        <v>-27.957654000000002</v>
      </c>
    </row>
    <row r="9744" spans="16:20">
      <c r="P9744" s="1094">
        <v>4357</v>
      </c>
      <c r="Q9744" t="s">
        <v>10297</v>
      </c>
      <c r="R9744" t="s">
        <v>614</v>
      </c>
      <c r="S9744">
        <v>151.103872</v>
      </c>
      <c r="T9744" s="1095">
        <v>-27.957654000000002</v>
      </c>
    </row>
    <row r="9745" spans="16:20">
      <c r="P9745" s="1094">
        <v>4357</v>
      </c>
      <c r="Q9745" t="s">
        <v>10298</v>
      </c>
      <c r="R9745" t="s">
        <v>614</v>
      </c>
      <c r="S9745">
        <v>151.103872</v>
      </c>
      <c r="T9745" s="1095">
        <v>-27.957654000000002</v>
      </c>
    </row>
    <row r="9746" spans="16:20">
      <c r="P9746" s="1094">
        <v>4357</v>
      </c>
      <c r="Q9746" t="s">
        <v>10299</v>
      </c>
      <c r="R9746" t="s">
        <v>614</v>
      </c>
      <c r="S9746">
        <v>151.103872</v>
      </c>
      <c r="T9746" s="1095">
        <v>-27.957654000000002</v>
      </c>
    </row>
    <row r="9747" spans="16:20">
      <c r="P9747" s="1094">
        <v>4357</v>
      </c>
      <c r="Q9747" t="s">
        <v>10300</v>
      </c>
      <c r="R9747" t="s">
        <v>614</v>
      </c>
      <c r="S9747">
        <v>151.103872</v>
      </c>
      <c r="T9747" s="1095">
        <v>-27.957654000000002</v>
      </c>
    </row>
    <row r="9748" spans="16:20">
      <c r="P9748" s="1094">
        <v>4357</v>
      </c>
      <c r="Q9748" t="s">
        <v>1496</v>
      </c>
      <c r="R9748" t="s">
        <v>614</v>
      </c>
      <c r="S9748">
        <v>151.103872</v>
      </c>
      <c r="T9748" s="1095">
        <v>-27.957654000000002</v>
      </c>
    </row>
    <row r="9749" spans="16:20">
      <c r="P9749" s="1094">
        <v>4357</v>
      </c>
      <c r="Q9749" t="s">
        <v>10301</v>
      </c>
      <c r="R9749" t="s">
        <v>614</v>
      </c>
      <c r="S9749">
        <v>151.103872</v>
      </c>
      <c r="T9749" s="1095">
        <v>-27.957654000000002</v>
      </c>
    </row>
    <row r="9750" spans="16:20">
      <c r="P9750" s="1094">
        <v>4357</v>
      </c>
      <c r="Q9750" t="s">
        <v>10302</v>
      </c>
      <c r="R9750" t="s">
        <v>614</v>
      </c>
      <c r="S9750">
        <v>151.103872</v>
      </c>
      <c r="T9750" s="1095">
        <v>-27.957654000000002</v>
      </c>
    </row>
    <row r="9751" spans="16:20">
      <c r="P9751" s="1094">
        <v>4357</v>
      </c>
      <c r="Q9751" t="s">
        <v>3102</v>
      </c>
      <c r="R9751" t="s">
        <v>614</v>
      </c>
      <c r="S9751">
        <v>151.103872</v>
      </c>
      <c r="T9751" s="1095">
        <v>-27.957654000000002</v>
      </c>
    </row>
    <row r="9752" spans="16:20">
      <c r="P9752" s="1094">
        <v>4357</v>
      </c>
      <c r="Q9752" t="s">
        <v>3095</v>
      </c>
      <c r="R9752" t="s">
        <v>614</v>
      </c>
      <c r="S9752">
        <v>151.103872</v>
      </c>
      <c r="T9752" s="1095">
        <v>-27.957654000000002</v>
      </c>
    </row>
    <row r="9753" spans="16:20">
      <c r="P9753" s="1094">
        <v>4357</v>
      </c>
      <c r="Q9753" t="s">
        <v>6567</v>
      </c>
      <c r="R9753" t="s">
        <v>614</v>
      </c>
      <c r="S9753">
        <v>151.103872</v>
      </c>
      <c r="T9753" s="1095">
        <v>-27.957654000000002</v>
      </c>
    </row>
    <row r="9754" spans="16:20">
      <c r="P9754" s="1094">
        <v>4357</v>
      </c>
      <c r="Q9754" t="s">
        <v>10303</v>
      </c>
      <c r="R9754" t="s">
        <v>614</v>
      </c>
      <c r="S9754">
        <v>151.103872</v>
      </c>
      <c r="T9754" s="1095">
        <v>-27.957654000000002</v>
      </c>
    </row>
    <row r="9755" spans="16:20">
      <c r="P9755" s="1094">
        <v>4357</v>
      </c>
      <c r="Q9755" t="s">
        <v>10304</v>
      </c>
      <c r="R9755" t="s">
        <v>614</v>
      </c>
      <c r="S9755">
        <v>151.103872</v>
      </c>
      <c r="T9755" s="1095">
        <v>-27.957654000000002</v>
      </c>
    </row>
    <row r="9756" spans="16:20">
      <c r="P9756" s="1094">
        <v>4357</v>
      </c>
      <c r="Q9756" t="s">
        <v>10305</v>
      </c>
      <c r="R9756" t="s">
        <v>614</v>
      </c>
      <c r="S9756">
        <v>151.103872</v>
      </c>
      <c r="T9756" s="1095">
        <v>-27.957654000000002</v>
      </c>
    </row>
    <row r="9757" spans="16:20">
      <c r="P9757" s="1094">
        <v>4357</v>
      </c>
      <c r="Q9757" t="s">
        <v>10306</v>
      </c>
      <c r="R9757" t="s">
        <v>614</v>
      </c>
      <c r="S9757">
        <v>151.103872</v>
      </c>
      <c r="T9757" s="1095">
        <v>-27.957654000000002</v>
      </c>
    </row>
    <row r="9758" spans="16:20">
      <c r="P9758" s="1094">
        <v>4358</v>
      </c>
      <c r="Q9758" t="s">
        <v>10307</v>
      </c>
      <c r="R9758" t="s">
        <v>614</v>
      </c>
      <c r="S9758">
        <v>151.85985700000001</v>
      </c>
      <c r="T9758" s="1095">
        <v>-27.728300000000001</v>
      </c>
    </row>
    <row r="9759" spans="16:20">
      <c r="P9759" s="1094">
        <v>4358</v>
      </c>
      <c r="Q9759" t="s">
        <v>10308</v>
      </c>
      <c r="R9759" t="s">
        <v>614</v>
      </c>
      <c r="S9759">
        <v>151.85985700000001</v>
      </c>
      <c r="T9759" s="1095">
        <v>-27.728300000000001</v>
      </c>
    </row>
    <row r="9760" spans="16:20">
      <c r="P9760" s="1094">
        <v>4358</v>
      </c>
      <c r="Q9760" t="s">
        <v>10309</v>
      </c>
      <c r="R9760" t="s">
        <v>614</v>
      </c>
      <c r="S9760">
        <v>151.85985700000001</v>
      </c>
      <c r="T9760" s="1095">
        <v>-27.728300000000001</v>
      </c>
    </row>
    <row r="9761" spans="16:20">
      <c r="P9761" s="1094">
        <v>4358</v>
      </c>
      <c r="Q9761" t="s">
        <v>10310</v>
      </c>
      <c r="R9761" t="s">
        <v>614</v>
      </c>
      <c r="S9761">
        <v>151.85985700000001</v>
      </c>
      <c r="T9761" s="1095">
        <v>-27.728300000000001</v>
      </c>
    </row>
    <row r="9762" spans="16:20">
      <c r="P9762" s="1094">
        <v>4358</v>
      </c>
      <c r="Q9762" t="s">
        <v>10311</v>
      </c>
      <c r="R9762" t="s">
        <v>614</v>
      </c>
      <c r="S9762">
        <v>151.85985700000001</v>
      </c>
      <c r="T9762" s="1095">
        <v>-27.728300000000001</v>
      </c>
    </row>
    <row r="9763" spans="16:20">
      <c r="P9763" s="1094">
        <v>4359</v>
      </c>
      <c r="Q9763" t="s">
        <v>7355</v>
      </c>
      <c r="R9763" t="s">
        <v>614</v>
      </c>
      <c r="S9763">
        <v>152.03681</v>
      </c>
      <c r="T9763" s="1095">
        <v>-27.794456</v>
      </c>
    </row>
    <row r="9764" spans="16:20">
      <c r="P9764" s="1094">
        <v>4359</v>
      </c>
      <c r="Q9764" t="s">
        <v>10312</v>
      </c>
      <c r="R9764" t="s">
        <v>614</v>
      </c>
      <c r="S9764">
        <v>152.03681</v>
      </c>
      <c r="T9764" s="1095">
        <v>-27.794456</v>
      </c>
    </row>
    <row r="9765" spans="16:20">
      <c r="P9765" s="1094">
        <v>4359</v>
      </c>
      <c r="Q9765" t="s">
        <v>9815</v>
      </c>
      <c r="R9765" t="s">
        <v>614</v>
      </c>
      <c r="S9765">
        <v>152.03681</v>
      </c>
      <c r="T9765" s="1095">
        <v>-27.794456</v>
      </c>
    </row>
    <row r="9766" spans="16:20">
      <c r="P9766" s="1094">
        <v>4359</v>
      </c>
      <c r="Q9766" t="s">
        <v>10313</v>
      </c>
      <c r="R9766" t="s">
        <v>614</v>
      </c>
      <c r="S9766">
        <v>152.03681</v>
      </c>
      <c r="T9766" s="1095">
        <v>-27.794456</v>
      </c>
    </row>
    <row r="9767" spans="16:20">
      <c r="P9767" s="1094">
        <v>4359</v>
      </c>
      <c r="Q9767" t="s">
        <v>10314</v>
      </c>
      <c r="R9767" t="s">
        <v>614</v>
      </c>
      <c r="S9767">
        <v>152.03681</v>
      </c>
      <c r="T9767" s="1095">
        <v>-27.794456</v>
      </c>
    </row>
    <row r="9768" spans="16:20">
      <c r="P9768" s="1094">
        <v>4359</v>
      </c>
      <c r="Q9768" t="s">
        <v>10315</v>
      </c>
      <c r="R9768" t="s">
        <v>614</v>
      </c>
      <c r="S9768">
        <v>152.03681</v>
      </c>
      <c r="T9768" s="1095">
        <v>-27.794456</v>
      </c>
    </row>
    <row r="9769" spans="16:20">
      <c r="P9769" s="1094">
        <v>4360</v>
      </c>
      <c r="Q9769" t="s">
        <v>10316</v>
      </c>
      <c r="R9769" t="s">
        <v>614</v>
      </c>
      <c r="S9769">
        <v>151.90703600000001</v>
      </c>
      <c r="T9769" s="1095">
        <v>-27.853801000000001</v>
      </c>
    </row>
    <row r="9770" spans="16:20">
      <c r="P9770" s="1094">
        <v>4361</v>
      </c>
      <c r="Q9770" t="s">
        <v>10317</v>
      </c>
      <c r="R9770" t="s">
        <v>614</v>
      </c>
      <c r="S9770">
        <v>151.94827900000001</v>
      </c>
      <c r="T9770" s="1095">
        <v>-27.965214</v>
      </c>
    </row>
    <row r="9771" spans="16:20">
      <c r="P9771" s="1094">
        <v>4361</v>
      </c>
      <c r="Q9771" t="s">
        <v>4185</v>
      </c>
      <c r="R9771" t="s">
        <v>614</v>
      </c>
      <c r="S9771">
        <v>151.94827900000001</v>
      </c>
      <c r="T9771" s="1095">
        <v>-27.965214</v>
      </c>
    </row>
    <row r="9772" spans="16:20">
      <c r="P9772" s="1094">
        <v>4361</v>
      </c>
      <c r="Q9772" t="s">
        <v>3862</v>
      </c>
      <c r="R9772" t="s">
        <v>614</v>
      </c>
      <c r="S9772">
        <v>151.94827900000001</v>
      </c>
      <c r="T9772" s="1095">
        <v>-27.965214</v>
      </c>
    </row>
    <row r="9773" spans="16:20">
      <c r="P9773" s="1094">
        <v>4361</v>
      </c>
      <c r="Q9773" t="s">
        <v>7623</v>
      </c>
      <c r="R9773" t="s">
        <v>614</v>
      </c>
      <c r="S9773">
        <v>151.94827900000001</v>
      </c>
      <c r="T9773" s="1095">
        <v>-27.965214</v>
      </c>
    </row>
    <row r="9774" spans="16:20">
      <c r="P9774" s="1094">
        <v>4361</v>
      </c>
      <c r="Q9774" t="s">
        <v>10318</v>
      </c>
      <c r="R9774" t="s">
        <v>614</v>
      </c>
      <c r="S9774">
        <v>151.94827900000001</v>
      </c>
      <c r="T9774" s="1095">
        <v>-27.965214</v>
      </c>
    </row>
    <row r="9775" spans="16:20">
      <c r="P9775" s="1094">
        <v>4361</v>
      </c>
      <c r="Q9775" t="s">
        <v>3378</v>
      </c>
      <c r="R9775" t="s">
        <v>614</v>
      </c>
      <c r="S9775">
        <v>151.94827900000001</v>
      </c>
      <c r="T9775" s="1095">
        <v>-27.965214</v>
      </c>
    </row>
    <row r="9776" spans="16:20">
      <c r="P9776" s="1094">
        <v>4361</v>
      </c>
      <c r="Q9776" t="s">
        <v>10319</v>
      </c>
      <c r="R9776" t="s">
        <v>614</v>
      </c>
      <c r="S9776">
        <v>151.94827900000001</v>
      </c>
      <c r="T9776" s="1095">
        <v>-27.965214</v>
      </c>
    </row>
    <row r="9777" spans="16:20">
      <c r="P9777" s="1094">
        <v>4361</v>
      </c>
      <c r="Q9777" t="s">
        <v>10320</v>
      </c>
      <c r="R9777" t="s">
        <v>614</v>
      </c>
      <c r="S9777">
        <v>151.94827900000001</v>
      </c>
      <c r="T9777" s="1095">
        <v>-27.965214</v>
      </c>
    </row>
    <row r="9778" spans="16:20">
      <c r="P9778" s="1094">
        <v>4361</v>
      </c>
      <c r="Q9778" t="s">
        <v>10321</v>
      </c>
      <c r="R9778" t="s">
        <v>614</v>
      </c>
      <c r="S9778">
        <v>151.94827900000001</v>
      </c>
      <c r="T9778" s="1095">
        <v>-27.965214</v>
      </c>
    </row>
    <row r="9779" spans="16:20">
      <c r="P9779" s="1094">
        <v>4361</v>
      </c>
      <c r="Q9779" t="s">
        <v>10322</v>
      </c>
      <c r="R9779" t="s">
        <v>614</v>
      </c>
      <c r="S9779">
        <v>151.94827900000001</v>
      </c>
      <c r="T9779" s="1095">
        <v>-27.965214</v>
      </c>
    </row>
    <row r="9780" spans="16:20">
      <c r="P9780" s="1094">
        <v>4361</v>
      </c>
      <c r="Q9780" t="s">
        <v>10323</v>
      </c>
      <c r="R9780" t="s">
        <v>614</v>
      </c>
      <c r="S9780">
        <v>151.94827900000001</v>
      </c>
      <c r="T9780" s="1095">
        <v>-27.965214</v>
      </c>
    </row>
    <row r="9781" spans="16:20">
      <c r="P9781" s="1094">
        <v>4361</v>
      </c>
      <c r="Q9781" t="s">
        <v>10324</v>
      </c>
      <c r="R9781" t="s">
        <v>614</v>
      </c>
      <c r="S9781">
        <v>151.94827900000001</v>
      </c>
      <c r="T9781" s="1095">
        <v>-27.965214</v>
      </c>
    </row>
    <row r="9782" spans="16:20">
      <c r="P9782" s="1094">
        <v>4361</v>
      </c>
      <c r="Q9782" t="s">
        <v>10325</v>
      </c>
      <c r="R9782" t="s">
        <v>614</v>
      </c>
      <c r="S9782">
        <v>151.94827900000001</v>
      </c>
      <c r="T9782" s="1095">
        <v>-27.965214</v>
      </c>
    </row>
    <row r="9783" spans="16:20">
      <c r="P9783" s="1094">
        <v>4361</v>
      </c>
      <c r="Q9783" t="s">
        <v>5897</v>
      </c>
      <c r="R9783" t="s">
        <v>614</v>
      </c>
      <c r="S9783">
        <v>151.94827900000001</v>
      </c>
      <c r="T9783" s="1095">
        <v>-27.965214</v>
      </c>
    </row>
    <row r="9784" spans="16:20">
      <c r="P9784" s="1094">
        <v>4361</v>
      </c>
      <c r="Q9784" t="s">
        <v>10326</v>
      </c>
      <c r="R9784" t="s">
        <v>614</v>
      </c>
      <c r="S9784">
        <v>151.94827900000001</v>
      </c>
      <c r="T9784" s="1095">
        <v>-27.965214</v>
      </c>
    </row>
    <row r="9785" spans="16:20">
      <c r="P9785" s="1094">
        <v>4361</v>
      </c>
      <c r="Q9785" t="s">
        <v>10327</v>
      </c>
      <c r="R9785" t="s">
        <v>614</v>
      </c>
      <c r="S9785">
        <v>151.94827900000001</v>
      </c>
      <c r="T9785" s="1095">
        <v>-27.965214</v>
      </c>
    </row>
    <row r="9786" spans="16:20">
      <c r="P9786" s="1094">
        <v>4362</v>
      </c>
      <c r="Q9786" t="s">
        <v>10328</v>
      </c>
      <c r="R9786" t="s">
        <v>614</v>
      </c>
      <c r="S9786">
        <v>151.84135800000001</v>
      </c>
      <c r="T9786" s="1095">
        <v>-28.050522000000001</v>
      </c>
    </row>
    <row r="9787" spans="16:20">
      <c r="P9787" s="1094">
        <v>4362</v>
      </c>
      <c r="Q9787" t="s">
        <v>10329</v>
      </c>
      <c r="R9787" t="s">
        <v>614</v>
      </c>
      <c r="S9787">
        <v>151.84135800000001</v>
      </c>
      <c r="T9787" s="1095">
        <v>-28.050522000000001</v>
      </c>
    </row>
    <row r="9788" spans="16:20">
      <c r="P9788" s="1094">
        <v>4362</v>
      </c>
      <c r="Q9788" t="s">
        <v>10330</v>
      </c>
      <c r="R9788" t="s">
        <v>614</v>
      </c>
      <c r="S9788">
        <v>151.84135800000001</v>
      </c>
      <c r="T9788" s="1095">
        <v>-28.050522000000001</v>
      </c>
    </row>
    <row r="9789" spans="16:20">
      <c r="P9789" s="1094">
        <v>4362</v>
      </c>
      <c r="Q9789" t="s">
        <v>10331</v>
      </c>
      <c r="R9789" t="s">
        <v>614</v>
      </c>
      <c r="S9789">
        <v>151.84135800000001</v>
      </c>
      <c r="T9789" s="1095">
        <v>-28.050522000000001</v>
      </c>
    </row>
    <row r="9790" spans="16:20">
      <c r="P9790" s="1094">
        <v>4363</v>
      </c>
      <c r="Q9790" t="s">
        <v>10332</v>
      </c>
      <c r="R9790" t="s">
        <v>614</v>
      </c>
      <c r="S9790">
        <v>0</v>
      </c>
      <c r="T9790" s="1095">
        <v>0</v>
      </c>
    </row>
    <row r="9791" spans="16:20">
      <c r="P9791" s="1094">
        <v>4364</v>
      </c>
      <c r="Q9791" t="s">
        <v>10333</v>
      </c>
      <c r="R9791" t="s">
        <v>614</v>
      </c>
      <c r="S9791">
        <v>0</v>
      </c>
      <c r="T9791" s="1095">
        <v>0</v>
      </c>
    </row>
    <row r="9792" spans="16:20">
      <c r="P9792" s="1094">
        <v>4365</v>
      </c>
      <c r="Q9792" t="s">
        <v>10334</v>
      </c>
      <c r="R9792" t="s">
        <v>614</v>
      </c>
      <c r="S9792">
        <v>0</v>
      </c>
      <c r="T9792" s="1095">
        <v>0</v>
      </c>
    </row>
    <row r="9793" spans="16:20">
      <c r="P9793" s="1094">
        <v>4370</v>
      </c>
      <c r="Q9793" t="s">
        <v>10335</v>
      </c>
      <c r="R9793" t="s">
        <v>614</v>
      </c>
      <c r="S9793">
        <v>152.05517399999999</v>
      </c>
      <c r="T9793" s="1095">
        <v>-28.259764000000001</v>
      </c>
    </row>
    <row r="9794" spans="16:20">
      <c r="P9794" s="1094">
        <v>4370</v>
      </c>
      <c r="Q9794" t="s">
        <v>10336</v>
      </c>
      <c r="R9794" t="s">
        <v>614</v>
      </c>
      <c r="S9794">
        <v>152.05517399999999</v>
      </c>
      <c r="T9794" s="1095">
        <v>-28.259764000000001</v>
      </c>
    </row>
    <row r="9795" spans="16:20">
      <c r="P9795" s="1094">
        <v>4370</v>
      </c>
      <c r="Q9795" t="s">
        <v>10337</v>
      </c>
      <c r="R9795" t="s">
        <v>614</v>
      </c>
      <c r="S9795">
        <v>152.05517399999999</v>
      </c>
      <c r="T9795" s="1095">
        <v>-28.259764000000001</v>
      </c>
    </row>
    <row r="9796" spans="16:20">
      <c r="P9796" s="1094">
        <v>4370</v>
      </c>
      <c r="Q9796" t="s">
        <v>10338</v>
      </c>
      <c r="R9796" t="s">
        <v>614</v>
      </c>
      <c r="S9796">
        <v>152.05517399999999</v>
      </c>
      <c r="T9796" s="1095">
        <v>-28.259764000000001</v>
      </c>
    </row>
    <row r="9797" spans="16:20">
      <c r="P9797" s="1094">
        <v>4370</v>
      </c>
      <c r="Q9797" t="s">
        <v>8119</v>
      </c>
      <c r="R9797" t="s">
        <v>614</v>
      </c>
      <c r="S9797">
        <v>152.05517399999999</v>
      </c>
      <c r="T9797" s="1095">
        <v>-28.259764000000001</v>
      </c>
    </row>
    <row r="9798" spans="16:20">
      <c r="P9798" s="1094">
        <v>4370</v>
      </c>
      <c r="Q9798" t="s">
        <v>10339</v>
      </c>
      <c r="R9798" t="s">
        <v>614</v>
      </c>
      <c r="S9798">
        <v>152.05517399999999</v>
      </c>
      <c r="T9798" s="1095">
        <v>-28.259764000000001</v>
      </c>
    </row>
    <row r="9799" spans="16:20">
      <c r="P9799" s="1094">
        <v>4370</v>
      </c>
      <c r="Q9799" t="s">
        <v>10340</v>
      </c>
      <c r="R9799" t="s">
        <v>614</v>
      </c>
      <c r="S9799">
        <v>152.05517399999999</v>
      </c>
      <c r="T9799" s="1095">
        <v>-28.259764000000001</v>
      </c>
    </row>
    <row r="9800" spans="16:20">
      <c r="P9800" s="1094">
        <v>4370</v>
      </c>
      <c r="Q9800" t="s">
        <v>5935</v>
      </c>
      <c r="R9800" t="s">
        <v>614</v>
      </c>
      <c r="S9800">
        <v>152.05517399999999</v>
      </c>
      <c r="T9800" s="1095">
        <v>-28.259764000000001</v>
      </c>
    </row>
    <row r="9801" spans="16:20">
      <c r="P9801" s="1094">
        <v>4370</v>
      </c>
      <c r="Q9801" t="s">
        <v>10341</v>
      </c>
      <c r="R9801" t="s">
        <v>614</v>
      </c>
      <c r="S9801">
        <v>152.05517399999999</v>
      </c>
      <c r="T9801" s="1095">
        <v>-28.259764000000001</v>
      </c>
    </row>
    <row r="9802" spans="16:20">
      <c r="P9802" s="1094">
        <v>4370</v>
      </c>
      <c r="Q9802" t="s">
        <v>10342</v>
      </c>
      <c r="R9802" t="s">
        <v>614</v>
      </c>
      <c r="S9802">
        <v>152.05517399999999</v>
      </c>
      <c r="T9802" s="1095">
        <v>-28.259764000000001</v>
      </c>
    </row>
    <row r="9803" spans="16:20">
      <c r="P9803" s="1094">
        <v>4370</v>
      </c>
      <c r="Q9803" t="s">
        <v>10343</v>
      </c>
      <c r="R9803" t="s">
        <v>614</v>
      </c>
      <c r="S9803">
        <v>152.05517399999999</v>
      </c>
      <c r="T9803" s="1095">
        <v>-28.259764000000001</v>
      </c>
    </row>
    <row r="9804" spans="16:20">
      <c r="P9804" s="1094">
        <v>4370</v>
      </c>
      <c r="Q9804" t="s">
        <v>10344</v>
      </c>
      <c r="R9804" t="s">
        <v>614</v>
      </c>
      <c r="S9804">
        <v>152.05517399999999</v>
      </c>
      <c r="T9804" s="1095">
        <v>-28.259764000000001</v>
      </c>
    </row>
    <row r="9805" spans="16:20">
      <c r="P9805" s="1094">
        <v>4370</v>
      </c>
      <c r="Q9805" t="s">
        <v>10345</v>
      </c>
      <c r="R9805" t="s">
        <v>614</v>
      </c>
      <c r="S9805">
        <v>152.05517399999999</v>
      </c>
      <c r="T9805" s="1095">
        <v>-28.259764000000001</v>
      </c>
    </row>
    <row r="9806" spans="16:20">
      <c r="P9806" s="1094">
        <v>4371</v>
      </c>
      <c r="Q9806" t="s">
        <v>10346</v>
      </c>
      <c r="R9806" t="s">
        <v>614</v>
      </c>
      <c r="S9806">
        <v>152.23424199999999</v>
      </c>
      <c r="T9806" s="1095">
        <v>-28.199024000000001</v>
      </c>
    </row>
    <row r="9807" spans="16:20">
      <c r="P9807" s="1094">
        <v>4371</v>
      </c>
      <c r="Q9807" t="s">
        <v>10347</v>
      </c>
      <c r="R9807" t="s">
        <v>614</v>
      </c>
      <c r="S9807">
        <v>152.23424199999999</v>
      </c>
      <c r="T9807" s="1095">
        <v>-28.199024000000001</v>
      </c>
    </row>
    <row r="9808" spans="16:20">
      <c r="P9808" s="1094">
        <v>4371</v>
      </c>
      <c r="Q9808" t="s">
        <v>10348</v>
      </c>
      <c r="R9808" t="s">
        <v>614</v>
      </c>
      <c r="S9808">
        <v>152.23424199999999</v>
      </c>
      <c r="T9808" s="1095">
        <v>-28.199024000000001</v>
      </c>
    </row>
    <row r="9809" spans="16:20">
      <c r="P9809" s="1094">
        <v>4372</v>
      </c>
      <c r="Q9809" t="s">
        <v>10349</v>
      </c>
      <c r="R9809" t="s">
        <v>614</v>
      </c>
      <c r="S9809">
        <v>0</v>
      </c>
      <c r="T9809" s="1095">
        <v>0</v>
      </c>
    </row>
    <row r="9810" spans="16:20">
      <c r="P9810" s="1094">
        <v>4373</v>
      </c>
      <c r="Q9810" t="s">
        <v>7036</v>
      </c>
      <c r="R9810" t="s">
        <v>614</v>
      </c>
      <c r="S9810">
        <v>152.305204</v>
      </c>
      <c r="T9810" s="1095">
        <v>-28.349373</v>
      </c>
    </row>
    <row r="9811" spans="16:20">
      <c r="P9811" s="1094">
        <v>4374</v>
      </c>
      <c r="Q9811" t="s">
        <v>10350</v>
      </c>
      <c r="R9811" t="s">
        <v>614</v>
      </c>
      <c r="S9811">
        <v>151.74473800000001</v>
      </c>
      <c r="T9811" s="1095">
        <v>-28.463902000000001</v>
      </c>
    </row>
    <row r="9812" spans="16:20">
      <c r="P9812" s="1094">
        <v>4375</v>
      </c>
      <c r="Q9812" t="s">
        <v>10351</v>
      </c>
      <c r="R9812" t="s">
        <v>614</v>
      </c>
      <c r="S9812">
        <v>151.87500299999999</v>
      </c>
      <c r="T9812" s="1095">
        <v>-28.516957000000001</v>
      </c>
    </row>
    <row r="9813" spans="16:20">
      <c r="P9813" s="1094">
        <v>4376</v>
      </c>
      <c r="Q9813" t="s">
        <v>10352</v>
      </c>
      <c r="R9813" t="s">
        <v>614</v>
      </c>
      <c r="S9813">
        <v>0</v>
      </c>
      <c r="T9813" s="1095">
        <v>0</v>
      </c>
    </row>
    <row r="9814" spans="16:20">
      <c r="P9814" s="1094">
        <v>4377</v>
      </c>
      <c r="Q9814" t="s">
        <v>10353</v>
      </c>
      <c r="R9814" t="s">
        <v>614</v>
      </c>
      <c r="S9814">
        <v>151.91889699999999</v>
      </c>
      <c r="T9814" s="1095">
        <v>-28.571936000000001</v>
      </c>
    </row>
    <row r="9815" spans="16:20">
      <c r="P9815" s="1094">
        <v>4378</v>
      </c>
      <c r="Q9815" t="s">
        <v>10354</v>
      </c>
      <c r="R9815" t="s">
        <v>614</v>
      </c>
      <c r="S9815">
        <v>0</v>
      </c>
      <c r="T9815" s="1095">
        <v>0</v>
      </c>
    </row>
    <row r="9816" spans="16:20">
      <c r="P9816" s="1094">
        <v>4380</v>
      </c>
      <c r="Q9816" t="s">
        <v>10355</v>
      </c>
      <c r="R9816" t="s">
        <v>614</v>
      </c>
      <c r="S9816">
        <v>151.67543699999999</v>
      </c>
      <c r="T9816" s="1095">
        <v>-28.664594999999998</v>
      </c>
    </row>
    <row r="9817" spans="16:20">
      <c r="P9817" s="1094">
        <v>4380</v>
      </c>
      <c r="Q9817" t="s">
        <v>2756</v>
      </c>
      <c r="R9817" t="s">
        <v>614</v>
      </c>
      <c r="S9817">
        <v>151.67543699999999</v>
      </c>
      <c r="T9817" s="1095">
        <v>-28.664594999999998</v>
      </c>
    </row>
    <row r="9818" spans="16:20">
      <c r="P9818" s="1094">
        <v>4380</v>
      </c>
      <c r="Q9818" t="s">
        <v>10356</v>
      </c>
      <c r="R9818" t="s">
        <v>614</v>
      </c>
      <c r="S9818">
        <v>151.67543699999999</v>
      </c>
      <c r="T9818" s="1095">
        <v>-28.664594999999998</v>
      </c>
    </row>
    <row r="9819" spans="16:20">
      <c r="P9819" s="1094">
        <v>4381</v>
      </c>
      <c r="Q9819" t="s">
        <v>10357</v>
      </c>
      <c r="R9819" t="s">
        <v>614</v>
      </c>
      <c r="S9819">
        <v>151.83961099999999</v>
      </c>
      <c r="T9819" s="1095">
        <v>-28.743815999999999</v>
      </c>
    </row>
    <row r="9820" spans="16:20">
      <c r="P9820" s="1094">
        <v>4382</v>
      </c>
      <c r="Q9820" t="s">
        <v>10358</v>
      </c>
      <c r="R9820" t="s">
        <v>614</v>
      </c>
      <c r="S9820">
        <v>151.847374</v>
      </c>
      <c r="T9820" s="1095">
        <v>-28.845314999999999</v>
      </c>
    </row>
    <row r="9821" spans="16:20">
      <c r="P9821" s="1094">
        <v>4382</v>
      </c>
      <c r="Q9821" t="s">
        <v>10359</v>
      </c>
      <c r="R9821" t="s">
        <v>614</v>
      </c>
      <c r="S9821">
        <v>151.847374</v>
      </c>
      <c r="T9821" s="1095">
        <v>-28.845314999999999</v>
      </c>
    </row>
    <row r="9822" spans="16:20">
      <c r="P9822" s="1094">
        <v>4383</v>
      </c>
      <c r="Q9822" t="s">
        <v>10360</v>
      </c>
      <c r="R9822" t="s">
        <v>614</v>
      </c>
      <c r="S9822">
        <v>151.948363</v>
      </c>
      <c r="T9822" s="1095">
        <v>-28.904615</v>
      </c>
    </row>
    <row r="9823" spans="16:20">
      <c r="P9823" s="1094">
        <v>4384</v>
      </c>
      <c r="Q9823" t="s">
        <v>10361</v>
      </c>
      <c r="R9823" t="s">
        <v>614</v>
      </c>
      <c r="S9823">
        <v>0</v>
      </c>
      <c r="T9823" s="1095">
        <v>0</v>
      </c>
    </row>
    <row r="9824" spans="16:20">
      <c r="P9824" s="1094">
        <v>4385</v>
      </c>
      <c r="Q9824" t="s">
        <v>10362</v>
      </c>
      <c r="R9824" t="s">
        <v>614</v>
      </c>
      <c r="S9824">
        <v>151.24800999999999</v>
      </c>
      <c r="T9824" s="1095">
        <v>-28.777563000000001</v>
      </c>
    </row>
    <row r="9825" spans="16:20">
      <c r="P9825" s="1094">
        <v>4385</v>
      </c>
      <c r="Q9825" t="s">
        <v>3045</v>
      </c>
      <c r="R9825" t="s">
        <v>614</v>
      </c>
      <c r="S9825">
        <v>151.24800999999999</v>
      </c>
      <c r="T9825" s="1095">
        <v>-28.777563000000001</v>
      </c>
    </row>
    <row r="9826" spans="16:20">
      <c r="P9826" s="1094">
        <v>4385</v>
      </c>
      <c r="Q9826" t="s">
        <v>10363</v>
      </c>
      <c r="R9826" t="s">
        <v>614</v>
      </c>
      <c r="S9826">
        <v>151.24800999999999</v>
      </c>
      <c r="T9826" s="1095">
        <v>-28.777563000000001</v>
      </c>
    </row>
    <row r="9827" spans="16:20">
      <c r="P9827" s="1094">
        <v>4385</v>
      </c>
      <c r="Q9827" t="s">
        <v>10364</v>
      </c>
      <c r="R9827" t="s">
        <v>614</v>
      </c>
      <c r="S9827">
        <v>151.24800999999999</v>
      </c>
      <c r="T9827" s="1095">
        <v>-28.777563000000001</v>
      </c>
    </row>
    <row r="9828" spans="16:20">
      <c r="P9828" s="1094">
        <v>4385</v>
      </c>
      <c r="Q9828" t="s">
        <v>10365</v>
      </c>
      <c r="R9828" t="s">
        <v>614</v>
      </c>
      <c r="S9828">
        <v>151.24800999999999</v>
      </c>
      <c r="T9828" s="1095">
        <v>-28.777563000000001</v>
      </c>
    </row>
    <row r="9829" spans="16:20">
      <c r="P9829" s="1094">
        <v>4385</v>
      </c>
      <c r="Q9829" t="s">
        <v>10366</v>
      </c>
      <c r="R9829" t="s">
        <v>614</v>
      </c>
      <c r="S9829">
        <v>151.24800999999999</v>
      </c>
      <c r="T9829" s="1095">
        <v>-28.777563000000001</v>
      </c>
    </row>
    <row r="9830" spans="16:20">
      <c r="P9830" s="1094">
        <v>4385</v>
      </c>
      <c r="Q9830" t="s">
        <v>10367</v>
      </c>
      <c r="R9830" t="s">
        <v>614</v>
      </c>
      <c r="S9830">
        <v>151.24800999999999</v>
      </c>
      <c r="T9830" s="1095">
        <v>-28.777563000000001</v>
      </c>
    </row>
    <row r="9831" spans="16:20">
      <c r="P9831" s="1094">
        <v>4385</v>
      </c>
      <c r="Q9831" t="s">
        <v>10368</v>
      </c>
      <c r="R9831" t="s">
        <v>614</v>
      </c>
      <c r="S9831">
        <v>151.24800999999999</v>
      </c>
      <c r="T9831" s="1095">
        <v>-28.777563000000001</v>
      </c>
    </row>
    <row r="9832" spans="16:20">
      <c r="P9832" s="1094">
        <v>4385</v>
      </c>
      <c r="Q9832" t="s">
        <v>10369</v>
      </c>
      <c r="R9832" t="s">
        <v>614</v>
      </c>
      <c r="S9832">
        <v>151.24800999999999</v>
      </c>
      <c r="T9832" s="1095">
        <v>-28.777563000000001</v>
      </c>
    </row>
    <row r="9833" spans="16:20">
      <c r="P9833" s="1094">
        <v>4387</v>
      </c>
      <c r="Q9833" t="s">
        <v>10370</v>
      </c>
      <c r="R9833" t="s">
        <v>614</v>
      </c>
      <c r="S9833">
        <v>150.96783600000001</v>
      </c>
      <c r="T9833" s="1095">
        <v>-28.341631</v>
      </c>
    </row>
    <row r="9834" spans="16:20">
      <c r="P9834" s="1094">
        <v>4387</v>
      </c>
      <c r="Q9834" t="s">
        <v>10371</v>
      </c>
      <c r="R9834" t="s">
        <v>614</v>
      </c>
      <c r="S9834">
        <v>150.96783600000001</v>
      </c>
      <c r="T9834" s="1095">
        <v>-28.341631</v>
      </c>
    </row>
    <row r="9835" spans="16:20">
      <c r="P9835" s="1094">
        <v>4387</v>
      </c>
      <c r="Q9835" t="s">
        <v>10372</v>
      </c>
      <c r="R9835" t="s">
        <v>614</v>
      </c>
      <c r="S9835">
        <v>150.96783600000001</v>
      </c>
      <c r="T9835" s="1095">
        <v>-28.341631</v>
      </c>
    </row>
    <row r="9836" spans="16:20">
      <c r="P9836" s="1094">
        <v>4387</v>
      </c>
      <c r="Q9836" t="s">
        <v>10373</v>
      </c>
      <c r="R9836" t="s">
        <v>614</v>
      </c>
      <c r="S9836">
        <v>150.96783600000001</v>
      </c>
      <c r="T9836" s="1095">
        <v>-28.341631</v>
      </c>
    </row>
    <row r="9837" spans="16:20">
      <c r="P9837" s="1094">
        <v>4387</v>
      </c>
      <c r="Q9837" t="s">
        <v>7871</v>
      </c>
      <c r="R9837" t="s">
        <v>614</v>
      </c>
      <c r="S9837">
        <v>150.96783600000001</v>
      </c>
      <c r="T9837" s="1095">
        <v>-28.341631</v>
      </c>
    </row>
    <row r="9838" spans="16:20">
      <c r="P9838" s="1094">
        <v>4387</v>
      </c>
      <c r="Q9838" t="s">
        <v>8014</v>
      </c>
      <c r="R9838" t="s">
        <v>614</v>
      </c>
      <c r="S9838">
        <v>150.96783600000001</v>
      </c>
      <c r="T9838" s="1095">
        <v>-28.341631</v>
      </c>
    </row>
    <row r="9839" spans="16:20">
      <c r="P9839" s="1094">
        <v>4387</v>
      </c>
      <c r="Q9839" t="s">
        <v>10374</v>
      </c>
      <c r="R9839" t="s">
        <v>614</v>
      </c>
      <c r="S9839">
        <v>150.96783600000001</v>
      </c>
      <c r="T9839" s="1095">
        <v>-28.341631</v>
      </c>
    </row>
    <row r="9840" spans="16:20">
      <c r="P9840" s="1094">
        <v>4387</v>
      </c>
      <c r="Q9840" t="s">
        <v>6277</v>
      </c>
      <c r="R9840" t="s">
        <v>614</v>
      </c>
      <c r="S9840">
        <v>150.96783600000001</v>
      </c>
      <c r="T9840" s="1095">
        <v>-28.341631</v>
      </c>
    </row>
    <row r="9841" spans="16:20">
      <c r="P9841" s="1094">
        <v>4387</v>
      </c>
      <c r="Q9841" t="s">
        <v>10375</v>
      </c>
      <c r="R9841" t="s">
        <v>614</v>
      </c>
      <c r="S9841">
        <v>150.96783600000001</v>
      </c>
      <c r="T9841" s="1095">
        <v>-28.341631</v>
      </c>
    </row>
    <row r="9842" spans="16:20">
      <c r="P9842" s="1094">
        <v>4388</v>
      </c>
      <c r="Q9842" t="s">
        <v>10376</v>
      </c>
      <c r="R9842" t="s">
        <v>614</v>
      </c>
      <c r="S9842">
        <v>150.64625899999999</v>
      </c>
      <c r="T9842" s="1095">
        <v>-28.508801999999999</v>
      </c>
    </row>
    <row r="9843" spans="16:20">
      <c r="P9843" s="1094">
        <v>4388</v>
      </c>
      <c r="Q9843" t="s">
        <v>10377</v>
      </c>
      <c r="R9843" t="s">
        <v>614</v>
      </c>
      <c r="S9843">
        <v>150.64625899999999</v>
      </c>
      <c r="T9843" s="1095">
        <v>-28.508801999999999</v>
      </c>
    </row>
    <row r="9844" spans="16:20">
      <c r="P9844" s="1094">
        <v>4390</v>
      </c>
      <c r="Q9844" t="s">
        <v>10378</v>
      </c>
      <c r="R9844" t="s">
        <v>614</v>
      </c>
      <c r="S9844">
        <v>150.32101599999999</v>
      </c>
      <c r="T9844" s="1095">
        <v>-28.228905999999998</v>
      </c>
    </row>
    <row r="9845" spans="16:20">
      <c r="P9845" s="1094">
        <v>4390</v>
      </c>
      <c r="Q9845" t="s">
        <v>10379</v>
      </c>
      <c r="R9845" t="s">
        <v>614</v>
      </c>
      <c r="S9845">
        <v>150.32101599999999</v>
      </c>
      <c r="T9845" s="1095">
        <v>-28.228905999999998</v>
      </c>
    </row>
    <row r="9846" spans="16:20">
      <c r="P9846" s="1094">
        <v>4390</v>
      </c>
      <c r="Q9846" t="s">
        <v>10380</v>
      </c>
      <c r="R9846" t="s">
        <v>614</v>
      </c>
      <c r="S9846">
        <v>150.32101599999999</v>
      </c>
      <c r="T9846" s="1095">
        <v>-28.228905999999998</v>
      </c>
    </row>
    <row r="9847" spans="16:20">
      <c r="P9847" s="1094">
        <v>4390</v>
      </c>
      <c r="Q9847" t="s">
        <v>10381</v>
      </c>
      <c r="R9847" t="s">
        <v>614</v>
      </c>
      <c r="S9847">
        <v>150.32101599999999</v>
      </c>
      <c r="T9847" s="1095">
        <v>-28.228905999999998</v>
      </c>
    </row>
    <row r="9848" spans="16:20">
      <c r="P9848" s="1094">
        <v>4390</v>
      </c>
      <c r="Q9848" t="s">
        <v>10382</v>
      </c>
      <c r="R9848" t="s">
        <v>614</v>
      </c>
      <c r="S9848">
        <v>150.32101599999999</v>
      </c>
      <c r="T9848" s="1095">
        <v>-28.228905999999998</v>
      </c>
    </row>
    <row r="9849" spans="16:20">
      <c r="P9849" s="1094">
        <v>4390</v>
      </c>
      <c r="Q9849" t="s">
        <v>10383</v>
      </c>
      <c r="R9849" t="s">
        <v>614</v>
      </c>
      <c r="S9849">
        <v>150.32101599999999</v>
      </c>
      <c r="T9849" s="1095">
        <v>-28.228905999999998</v>
      </c>
    </row>
    <row r="9850" spans="16:20">
      <c r="P9850" s="1094">
        <v>4390</v>
      </c>
      <c r="Q9850" t="s">
        <v>10384</v>
      </c>
      <c r="R9850" t="s">
        <v>614</v>
      </c>
      <c r="S9850">
        <v>150.32101599999999</v>
      </c>
      <c r="T9850" s="1095">
        <v>-28.228905999999998</v>
      </c>
    </row>
    <row r="9851" spans="16:20">
      <c r="P9851" s="1094">
        <v>4390</v>
      </c>
      <c r="Q9851" t="s">
        <v>10385</v>
      </c>
      <c r="R9851" t="s">
        <v>614</v>
      </c>
      <c r="S9851">
        <v>150.32101599999999</v>
      </c>
      <c r="T9851" s="1095">
        <v>-28.228905999999998</v>
      </c>
    </row>
    <row r="9852" spans="16:20">
      <c r="P9852" s="1094">
        <v>4390</v>
      </c>
      <c r="Q9852" t="s">
        <v>10386</v>
      </c>
      <c r="R9852" t="s">
        <v>614</v>
      </c>
      <c r="S9852">
        <v>150.32101599999999</v>
      </c>
      <c r="T9852" s="1095">
        <v>-28.228905999999998</v>
      </c>
    </row>
    <row r="9853" spans="16:20">
      <c r="P9853" s="1094">
        <v>4390</v>
      </c>
      <c r="Q9853" t="s">
        <v>10387</v>
      </c>
      <c r="R9853" t="s">
        <v>614</v>
      </c>
      <c r="S9853">
        <v>150.32101599999999</v>
      </c>
      <c r="T9853" s="1095">
        <v>-28.228905999999998</v>
      </c>
    </row>
    <row r="9854" spans="16:20">
      <c r="P9854" s="1094">
        <v>4400</v>
      </c>
      <c r="Q9854" t="s">
        <v>10388</v>
      </c>
      <c r="R9854" t="s">
        <v>614</v>
      </c>
      <c r="S9854">
        <v>151.85629800000001</v>
      </c>
      <c r="T9854" s="1095">
        <v>-27.485499999999998</v>
      </c>
    </row>
    <row r="9855" spans="16:20">
      <c r="P9855" s="1094">
        <v>4401</v>
      </c>
      <c r="Q9855" t="s">
        <v>10389</v>
      </c>
      <c r="R9855" t="s">
        <v>614</v>
      </c>
      <c r="S9855">
        <v>151.70364699999999</v>
      </c>
      <c r="T9855" s="1095">
        <v>-27.473134999999999</v>
      </c>
    </row>
    <row r="9856" spans="16:20">
      <c r="P9856" s="1094">
        <v>4401</v>
      </c>
      <c r="Q9856" t="s">
        <v>10390</v>
      </c>
      <c r="R9856" t="s">
        <v>614</v>
      </c>
      <c r="S9856">
        <v>151.70364699999999</v>
      </c>
      <c r="T9856" s="1095">
        <v>-27.473134999999999</v>
      </c>
    </row>
    <row r="9857" spans="16:20">
      <c r="P9857" s="1094">
        <v>4401</v>
      </c>
      <c r="Q9857" t="s">
        <v>10391</v>
      </c>
      <c r="R9857" t="s">
        <v>614</v>
      </c>
      <c r="S9857">
        <v>151.70364699999999</v>
      </c>
      <c r="T9857" s="1095">
        <v>-27.473134999999999</v>
      </c>
    </row>
    <row r="9858" spans="16:20">
      <c r="P9858" s="1094">
        <v>4401</v>
      </c>
      <c r="Q9858" t="s">
        <v>10392</v>
      </c>
      <c r="R9858" t="s">
        <v>614</v>
      </c>
      <c r="S9858">
        <v>151.70364699999999</v>
      </c>
      <c r="T9858" s="1095">
        <v>-27.473134999999999</v>
      </c>
    </row>
    <row r="9859" spans="16:20">
      <c r="P9859" s="1094">
        <v>4401</v>
      </c>
      <c r="Q9859" t="s">
        <v>10393</v>
      </c>
      <c r="R9859" t="s">
        <v>614</v>
      </c>
      <c r="S9859">
        <v>151.70364699999999</v>
      </c>
      <c r="T9859" s="1095">
        <v>-27.473134999999999</v>
      </c>
    </row>
    <row r="9860" spans="16:20">
      <c r="P9860" s="1094">
        <v>4401</v>
      </c>
      <c r="Q9860" t="s">
        <v>10394</v>
      </c>
      <c r="R9860" t="s">
        <v>614</v>
      </c>
      <c r="S9860">
        <v>151.70364699999999</v>
      </c>
      <c r="T9860" s="1095">
        <v>-27.473134999999999</v>
      </c>
    </row>
    <row r="9861" spans="16:20">
      <c r="P9861" s="1094">
        <v>4401</v>
      </c>
      <c r="Q9861" t="s">
        <v>10395</v>
      </c>
      <c r="R9861" t="s">
        <v>614</v>
      </c>
      <c r="S9861">
        <v>151.70364699999999</v>
      </c>
      <c r="T9861" s="1095">
        <v>-27.473134999999999</v>
      </c>
    </row>
    <row r="9862" spans="16:20">
      <c r="P9862" s="1094">
        <v>4401</v>
      </c>
      <c r="Q9862" t="s">
        <v>10396</v>
      </c>
      <c r="R9862" t="s">
        <v>614</v>
      </c>
      <c r="S9862">
        <v>151.70364699999999</v>
      </c>
      <c r="T9862" s="1095">
        <v>-27.473134999999999</v>
      </c>
    </row>
    <row r="9863" spans="16:20">
      <c r="P9863" s="1094">
        <v>4401</v>
      </c>
      <c r="Q9863" t="s">
        <v>10397</v>
      </c>
      <c r="R9863" t="s">
        <v>614</v>
      </c>
      <c r="S9863">
        <v>151.70364699999999</v>
      </c>
      <c r="T9863" s="1095">
        <v>-27.473134999999999</v>
      </c>
    </row>
    <row r="9864" spans="16:20">
      <c r="P9864" s="1094">
        <v>4401</v>
      </c>
      <c r="Q9864" t="s">
        <v>10398</v>
      </c>
      <c r="R9864" t="s">
        <v>614</v>
      </c>
      <c r="S9864">
        <v>151.70364699999999</v>
      </c>
      <c r="T9864" s="1095">
        <v>-27.473134999999999</v>
      </c>
    </row>
    <row r="9865" spans="16:20">
      <c r="P9865" s="1094">
        <v>4401</v>
      </c>
      <c r="Q9865" t="s">
        <v>10399</v>
      </c>
      <c r="R9865" t="s">
        <v>614</v>
      </c>
      <c r="S9865">
        <v>151.70364699999999</v>
      </c>
      <c r="T9865" s="1095">
        <v>-27.473134999999999</v>
      </c>
    </row>
    <row r="9866" spans="16:20">
      <c r="P9866" s="1094">
        <v>4401</v>
      </c>
      <c r="Q9866" t="s">
        <v>10400</v>
      </c>
      <c r="R9866" t="s">
        <v>614</v>
      </c>
      <c r="S9866">
        <v>151.70364699999999</v>
      </c>
      <c r="T9866" s="1095">
        <v>-27.473134999999999</v>
      </c>
    </row>
    <row r="9867" spans="16:20">
      <c r="P9867" s="1094">
        <v>4401</v>
      </c>
      <c r="Q9867" t="s">
        <v>10401</v>
      </c>
      <c r="R9867" t="s">
        <v>614</v>
      </c>
      <c r="S9867">
        <v>151.70364699999999</v>
      </c>
      <c r="T9867" s="1095">
        <v>-27.473134999999999</v>
      </c>
    </row>
    <row r="9868" spans="16:20">
      <c r="P9868" s="1094">
        <v>4401</v>
      </c>
      <c r="Q9868" t="s">
        <v>10402</v>
      </c>
      <c r="R9868" t="s">
        <v>614</v>
      </c>
      <c r="S9868">
        <v>151.70364699999999</v>
      </c>
      <c r="T9868" s="1095">
        <v>-27.473134999999999</v>
      </c>
    </row>
    <row r="9869" spans="16:20">
      <c r="P9869" s="1094">
        <v>4401</v>
      </c>
      <c r="Q9869" t="s">
        <v>10403</v>
      </c>
      <c r="R9869" t="s">
        <v>614</v>
      </c>
      <c r="S9869">
        <v>151.70364699999999</v>
      </c>
      <c r="T9869" s="1095">
        <v>-27.473134999999999</v>
      </c>
    </row>
    <row r="9870" spans="16:20">
      <c r="P9870" s="1094">
        <v>4401</v>
      </c>
      <c r="Q9870" t="s">
        <v>10404</v>
      </c>
      <c r="R9870" t="s">
        <v>614</v>
      </c>
      <c r="S9870">
        <v>151.70364699999999</v>
      </c>
      <c r="T9870" s="1095">
        <v>-27.473134999999999</v>
      </c>
    </row>
    <row r="9871" spans="16:20">
      <c r="P9871" s="1094">
        <v>4402</v>
      </c>
      <c r="Q9871" t="s">
        <v>10405</v>
      </c>
      <c r="R9871" t="s">
        <v>614</v>
      </c>
      <c r="S9871">
        <v>151.803967</v>
      </c>
      <c r="T9871" s="1095">
        <v>-26.978981000000001</v>
      </c>
    </row>
    <row r="9872" spans="16:20">
      <c r="P9872" s="1094">
        <v>4402</v>
      </c>
      <c r="Q9872" t="s">
        <v>10406</v>
      </c>
      <c r="R9872" t="s">
        <v>614</v>
      </c>
      <c r="S9872">
        <v>151.803967</v>
      </c>
      <c r="T9872" s="1095">
        <v>-26.978981000000001</v>
      </c>
    </row>
    <row r="9873" spans="16:20">
      <c r="P9873" s="1094">
        <v>4402</v>
      </c>
      <c r="Q9873" t="s">
        <v>10407</v>
      </c>
      <c r="R9873" t="s">
        <v>614</v>
      </c>
      <c r="S9873">
        <v>151.803967</v>
      </c>
      <c r="T9873" s="1095">
        <v>-26.978981000000001</v>
      </c>
    </row>
    <row r="9874" spans="16:20">
      <c r="P9874" s="1094">
        <v>4403</v>
      </c>
      <c r="Q9874" t="s">
        <v>10408</v>
      </c>
      <c r="R9874" t="s">
        <v>614</v>
      </c>
      <c r="S9874">
        <v>151.59696299999999</v>
      </c>
      <c r="T9874" s="1095">
        <v>-27.320633000000001</v>
      </c>
    </row>
    <row r="9875" spans="16:20">
      <c r="P9875" s="1094">
        <v>4403</v>
      </c>
      <c r="Q9875" t="s">
        <v>10409</v>
      </c>
      <c r="R9875" t="s">
        <v>614</v>
      </c>
      <c r="S9875">
        <v>151.59696299999999</v>
      </c>
      <c r="T9875" s="1095">
        <v>-27.320633000000001</v>
      </c>
    </row>
    <row r="9876" spans="16:20">
      <c r="P9876" s="1094">
        <v>4403</v>
      </c>
      <c r="Q9876" t="s">
        <v>10410</v>
      </c>
      <c r="R9876" t="s">
        <v>614</v>
      </c>
      <c r="S9876">
        <v>151.59696299999999</v>
      </c>
      <c r="T9876" s="1095">
        <v>-27.320633000000001</v>
      </c>
    </row>
    <row r="9877" spans="16:20">
      <c r="P9877" s="1094">
        <v>4403</v>
      </c>
      <c r="Q9877" t="s">
        <v>10411</v>
      </c>
      <c r="R9877" t="s">
        <v>614</v>
      </c>
      <c r="S9877">
        <v>151.59696299999999</v>
      </c>
      <c r="T9877" s="1095">
        <v>-27.320633000000001</v>
      </c>
    </row>
    <row r="9878" spans="16:20">
      <c r="P9878" s="1094">
        <v>4403</v>
      </c>
      <c r="Q9878" t="s">
        <v>10412</v>
      </c>
      <c r="R9878" t="s">
        <v>614</v>
      </c>
      <c r="S9878">
        <v>151.59696299999999</v>
      </c>
      <c r="T9878" s="1095">
        <v>-27.320633000000001</v>
      </c>
    </row>
    <row r="9879" spans="16:20">
      <c r="P9879" s="1094">
        <v>4403</v>
      </c>
      <c r="Q9879" t="s">
        <v>10413</v>
      </c>
      <c r="R9879" t="s">
        <v>614</v>
      </c>
      <c r="S9879">
        <v>151.59696299999999</v>
      </c>
      <c r="T9879" s="1095">
        <v>-27.320633000000001</v>
      </c>
    </row>
    <row r="9880" spans="16:20">
      <c r="P9880" s="1094">
        <v>4404</v>
      </c>
      <c r="Q9880" t="s">
        <v>10414</v>
      </c>
      <c r="R9880" t="s">
        <v>614</v>
      </c>
      <c r="S9880">
        <v>151.48066600000001</v>
      </c>
      <c r="T9880" s="1095">
        <v>-27.33128</v>
      </c>
    </row>
    <row r="9881" spans="16:20">
      <c r="P9881" s="1094">
        <v>4404</v>
      </c>
      <c r="Q9881" t="s">
        <v>10415</v>
      </c>
      <c r="R9881" t="s">
        <v>614</v>
      </c>
      <c r="S9881">
        <v>151.48066600000001</v>
      </c>
      <c r="T9881" s="1095">
        <v>-27.33128</v>
      </c>
    </row>
    <row r="9882" spans="16:20">
      <c r="P9882" s="1094">
        <v>4404</v>
      </c>
      <c r="Q9882" t="s">
        <v>10416</v>
      </c>
      <c r="R9882" t="s">
        <v>614</v>
      </c>
      <c r="S9882">
        <v>151.48066600000001</v>
      </c>
      <c r="T9882" s="1095">
        <v>-27.33128</v>
      </c>
    </row>
    <row r="9883" spans="16:20">
      <c r="P9883" s="1094">
        <v>4404</v>
      </c>
      <c r="Q9883" t="s">
        <v>10417</v>
      </c>
      <c r="R9883" t="s">
        <v>614</v>
      </c>
      <c r="S9883">
        <v>151.48066600000001</v>
      </c>
      <c r="T9883" s="1095">
        <v>-27.33128</v>
      </c>
    </row>
    <row r="9884" spans="16:20">
      <c r="P9884" s="1094">
        <v>4405</v>
      </c>
      <c r="Q9884" t="s">
        <v>5660</v>
      </c>
      <c r="R9884" t="s">
        <v>614</v>
      </c>
      <c r="S9884">
        <v>150.910979</v>
      </c>
      <c r="T9884" s="1095">
        <v>-27.316799</v>
      </c>
    </row>
    <row r="9885" spans="16:20">
      <c r="P9885" s="1094">
        <v>4405</v>
      </c>
      <c r="Q9885" t="s">
        <v>10418</v>
      </c>
      <c r="R9885" t="s">
        <v>614</v>
      </c>
      <c r="S9885">
        <v>150.910979</v>
      </c>
      <c r="T9885" s="1095">
        <v>-27.316799</v>
      </c>
    </row>
    <row r="9886" spans="16:20">
      <c r="P9886" s="1094">
        <v>4405</v>
      </c>
      <c r="Q9886" t="s">
        <v>3884</v>
      </c>
      <c r="R9886" t="s">
        <v>614</v>
      </c>
      <c r="S9886">
        <v>150.910979</v>
      </c>
      <c r="T9886" s="1095">
        <v>-27.316799</v>
      </c>
    </row>
    <row r="9887" spans="16:20">
      <c r="P9887" s="1094">
        <v>4405</v>
      </c>
      <c r="Q9887" t="s">
        <v>10419</v>
      </c>
      <c r="R9887" t="s">
        <v>614</v>
      </c>
      <c r="S9887">
        <v>150.910979</v>
      </c>
      <c r="T9887" s="1095">
        <v>-27.316799</v>
      </c>
    </row>
    <row r="9888" spans="16:20">
      <c r="P9888" s="1094">
        <v>4405</v>
      </c>
      <c r="Q9888" t="s">
        <v>10420</v>
      </c>
      <c r="R9888" t="s">
        <v>614</v>
      </c>
      <c r="S9888">
        <v>150.910979</v>
      </c>
      <c r="T9888" s="1095">
        <v>-27.316799</v>
      </c>
    </row>
    <row r="9889" spans="16:20">
      <c r="P9889" s="1094">
        <v>4405</v>
      </c>
      <c r="Q9889" t="s">
        <v>10421</v>
      </c>
      <c r="R9889" t="s">
        <v>614</v>
      </c>
      <c r="S9889">
        <v>150.910979</v>
      </c>
      <c r="T9889" s="1095">
        <v>-27.316799</v>
      </c>
    </row>
    <row r="9890" spans="16:20">
      <c r="P9890" s="1094">
        <v>4405</v>
      </c>
      <c r="Q9890" t="s">
        <v>7085</v>
      </c>
      <c r="R9890" t="s">
        <v>614</v>
      </c>
      <c r="S9890">
        <v>150.910979</v>
      </c>
      <c r="T9890" s="1095">
        <v>-27.316799</v>
      </c>
    </row>
    <row r="9891" spans="16:20">
      <c r="P9891" s="1094">
        <v>4405</v>
      </c>
      <c r="Q9891" t="s">
        <v>10422</v>
      </c>
      <c r="R9891" t="s">
        <v>614</v>
      </c>
      <c r="S9891">
        <v>150.910979</v>
      </c>
      <c r="T9891" s="1095">
        <v>-27.316799</v>
      </c>
    </row>
    <row r="9892" spans="16:20">
      <c r="P9892" s="1094">
        <v>4405</v>
      </c>
      <c r="Q9892" t="s">
        <v>10423</v>
      </c>
      <c r="R9892" t="s">
        <v>614</v>
      </c>
      <c r="S9892">
        <v>150.910979</v>
      </c>
      <c r="T9892" s="1095">
        <v>-27.316799</v>
      </c>
    </row>
    <row r="9893" spans="16:20">
      <c r="P9893" s="1094">
        <v>4405</v>
      </c>
      <c r="Q9893" t="s">
        <v>10424</v>
      </c>
      <c r="R9893" t="s">
        <v>614</v>
      </c>
      <c r="S9893">
        <v>150.910979</v>
      </c>
      <c r="T9893" s="1095">
        <v>-27.316799</v>
      </c>
    </row>
    <row r="9894" spans="16:20">
      <c r="P9894" s="1094">
        <v>4405</v>
      </c>
      <c r="Q9894" t="s">
        <v>10425</v>
      </c>
      <c r="R9894" t="s">
        <v>614</v>
      </c>
      <c r="S9894">
        <v>150.910979</v>
      </c>
      <c r="T9894" s="1095">
        <v>-27.316799</v>
      </c>
    </row>
    <row r="9895" spans="16:20">
      <c r="P9895" s="1094">
        <v>4405</v>
      </c>
      <c r="Q9895" t="s">
        <v>10426</v>
      </c>
      <c r="R9895" t="s">
        <v>614</v>
      </c>
      <c r="S9895">
        <v>150.910979</v>
      </c>
      <c r="T9895" s="1095">
        <v>-27.316799</v>
      </c>
    </row>
    <row r="9896" spans="16:20">
      <c r="P9896" s="1094">
        <v>4405</v>
      </c>
      <c r="Q9896" t="s">
        <v>10427</v>
      </c>
      <c r="R9896" t="s">
        <v>614</v>
      </c>
      <c r="S9896">
        <v>150.910979</v>
      </c>
      <c r="T9896" s="1095">
        <v>-27.316799</v>
      </c>
    </row>
    <row r="9897" spans="16:20">
      <c r="P9897" s="1094">
        <v>4405</v>
      </c>
      <c r="Q9897" t="s">
        <v>10428</v>
      </c>
      <c r="R9897" t="s">
        <v>614</v>
      </c>
      <c r="S9897">
        <v>150.910979</v>
      </c>
      <c r="T9897" s="1095">
        <v>-27.316799</v>
      </c>
    </row>
    <row r="9898" spans="16:20">
      <c r="P9898" s="1094">
        <v>4405</v>
      </c>
      <c r="Q9898" t="s">
        <v>10429</v>
      </c>
      <c r="R9898" t="s">
        <v>614</v>
      </c>
      <c r="S9898">
        <v>150.910979</v>
      </c>
      <c r="T9898" s="1095">
        <v>-27.316799</v>
      </c>
    </row>
    <row r="9899" spans="16:20">
      <c r="P9899" s="1094">
        <v>4406</v>
      </c>
      <c r="Q9899" t="s">
        <v>10430</v>
      </c>
      <c r="R9899" t="s">
        <v>614</v>
      </c>
      <c r="S9899">
        <v>151.43365700000001</v>
      </c>
      <c r="T9899" s="1095">
        <v>-27.064207</v>
      </c>
    </row>
    <row r="9900" spans="16:20">
      <c r="P9900" s="1094">
        <v>4406</v>
      </c>
      <c r="Q9900" t="s">
        <v>10431</v>
      </c>
      <c r="R9900" t="s">
        <v>614</v>
      </c>
      <c r="S9900">
        <v>151.43365700000001</v>
      </c>
      <c r="T9900" s="1095">
        <v>-27.064207</v>
      </c>
    </row>
    <row r="9901" spans="16:20">
      <c r="P9901" s="1094">
        <v>4406</v>
      </c>
      <c r="Q9901" t="s">
        <v>10432</v>
      </c>
      <c r="R9901" t="s">
        <v>614</v>
      </c>
      <c r="S9901">
        <v>151.43365700000001</v>
      </c>
      <c r="T9901" s="1095">
        <v>-27.064207</v>
      </c>
    </row>
    <row r="9902" spans="16:20">
      <c r="P9902" s="1094">
        <v>4406</v>
      </c>
      <c r="Q9902" t="s">
        <v>10433</v>
      </c>
      <c r="R9902" t="s">
        <v>614</v>
      </c>
      <c r="S9902">
        <v>151.43365700000001</v>
      </c>
      <c r="T9902" s="1095">
        <v>-27.064207</v>
      </c>
    </row>
    <row r="9903" spans="16:20">
      <c r="P9903" s="1094">
        <v>4406</v>
      </c>
      <c r="Q9903" t="s">
        <v>10434</v>
      </c>
      <c r="R9903" t="s">
        <v>614</v>
      </c>
      <c r="S9903">
        <v>151.43365700000001</v>
      </c>
      <c r="T9903" s="1095">
        <v>-27.064207</v>
      </c>
    </row>
    <row r="9904" spans="16:20">
      <c r="P9904" s="1094">
        <v>4406</v>
      </c>
      <c r="Q9904" t="s">
        <v>10435</v>
      </c>
      <c r="R9904" t="s">
        <v>614</v>
      </c>
      <c r="S9904">
        <v>151.43365700000001</v>
      </c>
      <c r="T9904" s="1095">
        <v>-27.064207</v>
      </c>
    </row>
    <row r="9905" spans="16:20">
      <c r="P9905" s="1094">
        <v>4406</v>
      </c>
      <c r="Q9905" t="s">
        <v>10436</v>
      </c>
      <c r="R9905" t="s">
        <v>614</v>
      </c>
      <c r="S9905">
        <v>151.43365700000001</v>
      </c>
      <c r="T9905" s="1095">
        <v>-27.064207</v>
      </c>
    </row>
    <row r="9906" spans="16:20">
      <c r="P9906" s="1094">
        <v>4406</v>
      </c>
      <c r="Q9906" t="s">
        <v>10437</v>
      </c>
      <c r="R9906" t="s">
        <v>614</v>
      </c>
      <c r="S9906">
        <v>151.43365700000001</v>
      </c>
      <c r="T9906" s="1095">
        <v>-27.064207</v>
      </c>
    </row>
    <row r="9907" spans="16:20">
      <c r="P9907" s="1094">
        <v>4406</v>
      </c>
      <c r="Q9907" t="s">
        <v>10438</v>
      </c>
      <c r="R9907" t="s">
        <v>614</v>
      </c>
      <c r="S9907">
        <v>151.43365700000001</v>
      </c>
      <c r="T9907" s="1095">
        <v>-27.064207</v>
      </c>
    </row>
    <row r="9908" spans="16:20">
      <c r="P9908" s="1094">
        <v>4407</v>
      </c>
      <c r="Q9908" t="s">
        <v>2861</v>
      </c>
      <c r="R9908" t="s">
        <v>614</v>
      </c>
      <c r="S9908">
        <v>150.96198100000001</v>
      </c>
      <c r="T9908" s="1095">
        <v>-27.563685</v>
      </c>
    </row>
    <row r="9909" spans="16:20">
      <c r="P9909" s="1094">
        <v>4407</v>
      </c>
      <c r="Q9909" t="s">
        <v>10439</v>
      </c>
      <c r="R9909" t="s">
        <v>614</v>
      </c>
      <c r="S9909">
        <v>150.96198100000001</v>
      </c>
      <c r="T9909" s="1095">
        <v>-27.563685</v>
      </c>
    </row>
    <row r="9910" spans="16:20">
      <c r="P9910" s="1094">
        <v>4407</v>
      </c>
      <c r="Q9910" t="s">
        <v>4232</v>
      </c>
      <c r="R9910" t="s">
        <v>614</v>
      </c>
      <c r="S9910">
        <v>150.96198100000001</v>
      </c>
      <c r="T9910" s="1095">
        <v>-27.563685</v>
      </c>
    </row>
    <row r="9911" spans="16:20">
      <c r="P9911" s="1094">
        <v>4407</v>
      </c>
      <c r="Q9911" t="s">
        <v>10440</v>
      </c>
      <c r="R9911" t="s">
        <v>614</v>
      </c>
      <c r="S9911">
        <v>150.96198100000001</v>
      </c>
      <c r="T9911" s="1095">
        <v>-27.563685</v>
      </c>
    </row>
    <row r="9912" spans="16:20">
      <c r="P9912" s="1094">
        <v>4408</v>
      </c>
      <c r="Q9912" t="s">
        <v>5695</v>
      </c>
      <c r="R9912" t="s">
        <v>614</v>
      </c>
      <c r="S9912">
        <v>151.42665700000001</v>
      </c>
      <c r="T9912" s="1095">
        <v>-26.851247999999998</v>
      </c>
    </row>
    <row r="9913" spans="16:20">
      <c r="P9913" s="1094">
        <v>4408</v>
      </c>
      <c r="Q9913" t="s">
        <v>10441</v>
      </c>
      <c r="R9913" t="s">
        <v>614</v>
      </c>
      <c r="S9913">
        <v>151.42665700000001</v>
      </c>
      <c r="T9913" s="1095">
        <v>-26.851247999999998</v>
      </c>
    </row>
    <row r="9914" spans="16:20">
      <c r="P9914" s="1094">
        <v>4410</v>
      </c>
      <c r="Q9914" t="s">
        <v>10442</v>
      </c>
      <c r="R9914" t="s">
        <v>614</v>
      </c>
      <c r="S9914">
        <v>151.08354299999999</v>
      </c>
      <c r="T9914" s="1095">
        <v>-26.731753000000001</v>
      </c>
    </row>
    <row r="9915" spans="16:20">
      <c r="P9915" s="1094">
        <v>4411</v>
      </c>
      <c r="Q9915" t="s">
        <v>10443</v>
      </c>
      <c r="R9915" t="s">
        <v>614</v>
      </c>
      <c r="S9915">
        <v>150.81264400000001</v>
      </c>
      <c r="T9915" s="1095">
        <v>-27.013380999999999</v>
      </c>
    </row>
    <row r="9916" spans="16:20">
      <c r="P9916" s="1094">
        <v>4412</v>
      </c>
      <c r="Q9916" t="s">
        <v>10444</v>
      </c>
      <c r="R9916" t="s">
        <v>614</v>
      </c>
      <c r="S9916">
        <v>150.80705800000001</v>
      </c>
      <c r="T9916" s="1095">
        <v>-26.827836999999999</v>
      </c>
    </row>
    <row r="9917" spans="16:20">
      <c r="P9917" s="1094">
        <v>4413</v>
      </c>
      <c r="Q9917" t="s">
        <v>10445</v>
      </c>
      <c r="R9917" t="s">
        <v>614</v>
      </c>
      <c r="S9917">
        <v>150.638563</v>
      </c>
      <c r="T9917" s="1095">
        <v>-26.360226000000001</v>
      </c>
    </row>
    <row r="9918" spans="16:20">
      <c r="P9918" s="1094">
        <v>4413</v>
      </c>
      <c r="Q9918" t="s">
        <v>10446</v>
      </c>
      <c r="R9918" t="s">
        <v>614</v>
      </c>
      <c r="S9918">
        <v>150.638563</v>
      </c>
      <c r="T9918" s="1095">
        <v>-26.360226000000001</v>
      </c>
    </row>
    <row r="9919" spans="16:20">
      <c r="P9919" s="1094">
        <v>4413</v>
      </c>
      <c r="Q9919" t="s">
        <v>10447</v>
      </c>
      <c r="R9919" t="s">
        <v>614</v>
      </c>
      <c r="S9919">
        <v>150.638563</v>
      </c>
      <c r="T9919" s="1095">
        <v>-26.360226000000001</v>
      </c>
    </row>
    <row r="9920" spans="16:20">
      <c r="P9920" s="1094">
        <v>4413</v>
      </c>
      <c r="Q9920" t="s">
        <v>10448</v>
      </c>
      <c r="R9920" t="s">
        <v>614</v>
      </c>
      <c r="S9920">
        <v>150.638563</v>
      </c>
      <c r="T9920" s="1095">
        <v>-26.360226000000001</v>
      </c>
    </row>
    <row r="9921" spans="16:20">
      <c r="P9921" s="1094">
        <v>4413</v>
      </c>
      <c r="Q9921" t="s">
        <v>10449</v>
      </c>
      <c r="R9921" t="s">
        <v>614</v>
      </c>
      <c r="S9921">
        <v>150.638563</v>
      </c>
      <c r="T9921" s="1095">
        <v>-26.360226000000001</v>
      </c>
    </row>
    <row r="9922" spans="16:20">
      <c r="P9922" s="1094">
        <v>4413</v>
      </c>
      <c r="Q9922" t="s">
        <v>10450</v>
      </c>
      <c r="R9922" t="s">
        <v>614</v>
      </c>
      <c r="S9922">
        <v>150.638563</v>
      </c>
      <c r="T9922" s="1095">
        <v>-26.360226000000001</v>
      </c>
    </row>
    <row r="9923" spans="16:20">
      <c r="P9923" s="1094">
        <v>4413</v>
      </c>
      <c r="Q9923" t="s">
        <v>10451</v>
      </c>
      <c r="R9923" t="s">
        <v>614</v>
      </c>
      <c r="S9923">
        <v>150.638563</v>
      </c>
      <c r="T9923" s="1095">
        <v>-26.360226000000001</v>
      </c>
    </row>
    <row r="9924" spans="16:20">
      <c r="P9924" s="1094">
        <v>4413</v>
      </c>
      <c r="Q9924" t="s">
        <v>10452</v>
      </c>
      <c r="R9924" t="s">
        <v>614</v>
      </c>
      <c r="S9924">
        <v>150.638563</v>
      </c>
      <c r="T9924" s="1095">
        <v>-26.360226000000001</v>
      </c>
    </row>
    <row r="9925" spans="16:20">
      <c r="P9925" s="1094">
        <v>4413</v>
      </c>
      <c r="Q9925" t="s">
        <v>8677</v>
      </c>
      <c r="R9925" t="s">
        <v>614</v>
      </c>
      <c r="S9925">
        <v>150.638563</v>
      </c>
      <c r="T9925" s="1095">
        <v>-26.360226000000001</v>
      </c>
    </row>
    <row r="9926" spans="16:20">
      <c r="P9926" s="1094">
        <v>4413</v>
      </c>
      <c r="Q9926" t="s">
        <v>10453</v>
      </c>
      <c r="R9926" t="s">
        <v>614</v>
      </c>
      <c r="S9926">
        <v>150.638563</v>
      </c>
      <c r="T9926" s="1095">
        <v>-26.360226000000001</v>
      </c>
    </row>
    <row r="9927" spans="16:20">
      <c r="P9927" s="1094">
        <v>4415</v>
      </c>
      <c r="Q9927" t="s">
        <v>10454</v>
      </c>
      <c r="R9927" t="s">
        <v>614</v>
      </c>
      <c r="S9927">
        <v>150.20511400000001</v>
      </c>
      <c r="T9927" s="1095">
        <v>-26.627338999999999</v>
      </c>
    </row>
    <row r="9928" spans="16:20">
      <c r="P9928" s="1094">
        <v>4415</v>
      </c>
      <c r="Q9928" t="s">
        <v>10455</v>
      </c>
      <c r="R9928" t="s">
        <v>614</v>
      </c>
      <c r="S9928">
        <v>150.20511400000001</v>
      </c>
      <c r="T9928" s="1095">
        <v>-26.627338999999999</v>
      </c>
    </row>
    <row r="9929" spans="16:20">
      <c r="P9929" s="1094">
        <v>4415</v>
      </c>
      <c r="Q9929" t="s">
        <v>10456</v>
      </c>
      <c r="R9929" t="s">
        <v>614</v>
      </c>
      <c r="S9929">
        <v>150.20511400000001</v>
      </c>
      <c r="T9929" s="1095">
        <v>-26.627338999999999</v>
      </c>
    </row>
    <row r="9930" spans="16:20">
      <c r="P9930" s="1094">
        <v>4415</v>
      </c>
      <c r="Q9930" t="s">
        <v>10457</v>
      </c>
      <c r="R9930" t="s">
        <v>614</v>
      </c>
      <c r="S9930">
        <v>150.20511400000001</v>
      </c>
      <c r="T9930" s="1095">
        <v>-26.627338999999999</v>
      </c>
    </row>
    <row r="9931" spans="16:20">
      <c r="P9931" s="1094">
        <v>4415</v>
      </c>
      <c r="Q9931" t="s">
        <v>10458</v>
      </c>
      <c r="R9931" t="s">
        <v>614</v>
      </c>
      <c r="S9931">
        <v>150.20511400000001</v>
      </c>
      <c r="T9931" s="1095">
        <v>-26.627338999999999</v>
      </c>
    </row>
    <row r="9932" spans="16:20">
      <c r="P9932" s="1094">
        <v>4415</v>
      </c>
      <c r="Q9932" t="s">
        <v>10459</v>
      </c>
      <c r="R9932" t="s">
        <v>614</v>
      </c>
      <c r="S9932">
        <v>150.20511400000001</v>
      </c>
      <c r="T9932" s="1095">
        <v>-26.627338999999999</v>
      </c>
    </row>
    <row r="9933" spans="16:20">
      <c r="P9933" s="1094">
        <v>4415</v>
      </c>
      <c r="Q9933" t="s">
        <v>10460</v>
      </c>
      <c r="R9933" t="s">
        <v>614</v>
      </c>
      <c r="S9933">
        <v>150.20511400000001</v>
      </c>
      <c r="T9933" s="1095">
        <v>-26.627338999999999</v>
      </c>
    </row>
    <row r="9934" spans="16:20">
      <c r="P9934" s="1094">
        <v>4415</v>
      </c>
      <c r="Q9934" t="s">
        <v>5344</v>
      </c>
      <c r="R9934" t="s">
        <v>614</v>
      </c>
      <c r="S9934">
        <v>150.20511400000001</v>
      </c>
      <c r="T9934" s="1095">
        <v>-26.627338999999999</v>
      </c>
    </row>
    <row r="9935" spans="16:20">
      <c r="P9935" s="1094">
        <v>4415</v>
      </c>
      <c r="Q9935" t="s">
        <v>10461</v>
      </c>
      <c r="R9935" t="s">
        <v>614</v>
      </c>
      <c r="S9935">
        <v>150.20511400000001</v>
      </c>
      <c r="T9935" s="1095">
        <v>-26.627338999999999</v>
      </c>
    </row>
    <row r="9936" spans="16:20">
      <c r="P9936" s="1094">
        <v>4416</v>
      </c>
      <c r="Q9936" t="s">
        <v>10462</v>
      </c>
      <c r="R9936" t="s">
        <v>614</v>
      </c>
      <c r="S9936">
        <v>149.79803799999999</v>
      </c>
      <c r="T9936" s="1095">
        <v>-26.995752</v>
      </c>
    </row>
    <row r="9937" spans="16:20">
      <c r="P9937" s="1094">
        <v>4416</v>
      </c>
      <c r="Q9937" t="s">
        <v>10463</v>
      </c>
      <c r="R9937" t="s">
        <v>614</v>
      </c>
      <c r="S9937">
        <v>149.79803799999999</v>
      </c>
      <c r="T9937" s="1095">
        <v>-26.995752</v>
      </c>
    </row>
    <row r="9938" spans="16:20">
      <c r="P9938" s="1094">
        <v>4416</v>
      </c>
      <c r="Q9938" t="s">
        <v>10464</v>
      </c>
      <c r="R9938" t="s">
        <v>614</v>
      </c>
      <c r="S9938">
        <v>149.79803799999999</v>
      </c>
      <c r="T9938" s="1095">
        <v>-26.995752</v>
      </c>
    </row>
    <row r="9939" spans="16:20">
      <c r="P9939" s="1094">
        <v>4416</v>
      </c>
      <c r="Q9939" t="s">
        <v>10465</v>
      </c>
      <c r="R9939" t="s">
        <v>614</v>
      </c>
      <c r="S9939">
        <v>149.79803799999999</v>
      </c>
      <c r="T9939" s="1095">
        <v>-26.995752</v>
      </c>
    </row>
    <row r="9940" spans="16:20">
      <c r="P9940" s="1094">
        <v>4416</v>
      </c>
      <c r="Q9940" t="s">
        <v>10466</v>
      </c>
      <c r="R9940" t="s">
        <v>614</v>
      </c>
      <c r="S9940">
        <v>149.79803799999999</v>
      </c>
      <c r="T9940" s="1095">
        <v>-26.995752</v>
      </c>
    </row>
    <row r="9941" spans="16:20">
      <c r="P9941" s="1094">
        <v>4416</v>
      </c>
      <c r="Q9941" t="s">
        <v>3126</v>
      </c>
      <c r="R9941" t="s">
        <v>614</v>
      </c>
      <c r="S9941">
        <v>149.79803799999999</v>
      </c>
      <c r="T9941" s="1095">
        <v>-26.995752</v>
      </c>
    </row>
    <row r="9942" spans="16:20">
      <c r="P9942" s="1094">
        <v>4416</v>
      </c>
      <c r="Q9942" t="s">
        <v>10467</v>
      </c>
      <c r="R9942" t="s">
        <v>614</v>
      </c>
      <c r="S9942">
        <v>149.79803799999999</v>
      </c>
      <c r="T9942" s="1095">
        <v>-26.995752</v>
      </c>
    </row>
    <row r="9943" spans="16:20">
      <c r="P9943" s="1094">
        <v>4417</v>
      </c>
      <c r="Q9943" t="s">
        <v>10468</v>
      </c>
      <c r="R9943" t="s">
        <v>614</v>
      </c>
      <c r="S9943">
        <v>149.07017200000001</v>
      </c>
      <c r="T9943" s="1095">
        <v>-27.348199000000001</v>
      </c>
    </row>
    <row r="9944" spans="16:20">
      <c r="P9944" s="1094">
        <v>4417</v>
      </c>
      <c r="Q9944" t="s">
        <v>10469</v>
      </c>
      <c r="R9944" t="s">
        <v>614</v>
      </c>
      <c r="S9944">
        <v>149.07017200000001</v>
      </c>
      <c r="T9944" s="1095">
        <v>-27.348199000000001</v>
      </c>
    </row>
    <row r="9945" spans="16:20">
      <c r="P9945" s="1094">
        <v>4417</v>
      </c>
      <c r="Q9945" t="s">
        <v>10470</v>
      </c>
      <c r="R9945" t="s">
        <v>614</v>
      </c>
      <c r="S9945">
        <v>149.07017200000001</v>
      </c>
      <c r="T9945" s="1095">
        <v>-27.348199000000001</v>
      </c>
    </row>
    <row r="9946" spans="16:20">
      <c r="P9946" s="1094">
        <v>4417</v>
      </c>
      <c r="Q9946" t="s">
        <v>10471</v>
      </c>
      <c r="R9946" t="s">
        <v>614</v>
      </c>
      <c r="S9946">
        <v>149.07017200000001</v>
      </c>
      <c r="T9946" s="1095">
        <v>-27.348199000000001</v>
      </c>
    </row>
    <row r="9947" spans="16:20">
      <c r="P9947" s="1094">
        <v>4417</v>
      </c>
      <c r="Q9947" t="s">
        <v>10472</v>
      </c>
      <c r="R9947" t="s">
        <v>614</v>
      </c>
      <c r="S9947">
        <v>149.07017200000001</v>
      </c>
      <c r="T9947" s="1095">
        <v>-27.348199000000001</v>
      </c>
    </row>
    <row r="9948" spans="16:20">
      <c r="P9948" s="1094">
        <v>4417</v>
      </c>
      <c r="Q9948" t="s">
        <v>10473</v>
      </c>
      <c r="R9948" t="s">
        <v>614</v>
      </c>
      <c r="S9948">
        <v>149.07017200000001</v>
      </c>
      <c r="T9948" s="1095">
        <v>-27.348199000000001</v>
      </c>
    </row>
    <row r="9949" spans="16:20">
      <c r="P9949" s="1094">
        <v>4417</v>
      </c>
      <c r="Q9949" t="s">
        <v>10474</v>
      </c>
      <c r="R9949" t="s">
        <v>614</v>
      </c>
      <c r="S9949">
        <v>149.07017200000001</v>
      </c>
      <c r="T9949" s="1095">
        <v>-27.348199000000001</v>
      </c>
    </row>
    <row r="9950" spans="16:20">
      <c r="P9950" s="1094">
        <v>4418</v>
      </c>
      <c r="Q9950" t="s">
        <v>10475</v>
      </c>
      <c r="R9950" t="s">
        <v>614</v>
      </c>
      <c r="S9950">
        <v>150.14332300000001</v>
      </c>
      <c r="T9950" s="1095">
        <v>-26.290165999999999</v>
      </c>
    </row>
    <row r="9951" spans="16:20">
      <c r="P9951" s="1094">
        <v>4419</v>
      </c>
      <c r="Q9951" t="s">
        <v>8699</v>
      </c>
      <c r="R9951" t="s">
        <v>614</v>
      </c>
      <c r="S9951">
        <v>149.78250399999999</v>
      </c>
      <c r="T9951" s="1095">
        <v>-26.071760000000001</v>
      </c>
    </row>
    <row r="9952" spans="16:20">
      <c r="P9952" s="1094">
        <v>4419</v>
      </c>
      <c r="Q9952" t="s">
        <v>10476</v>
      </c>
      <c r="R9952" t="s">
        <v>614</v>
      </c>
      <c r="S9952">
        <v>149.78250399999999</v>
      </c>
      <c r="T9952" s="1095">
        <v>-26.071760000000001</v>
      </c>
    </row>
    <row r="9953" spans="16:20">
      <c r="P9953" s="1094">
        <v>4419</v>
      </c>
      <c r="Q9953" t="s">
        <v>10477</v>
      </c>
      <c r="R9953" t="s">
        <v>614</v>
      </c>
      <c r="S9953">
        <v>149.78250399999999</v>
      </c>
      <c r="T9953" s="1095">
        <v>-26.071760000000001</v>
      </c>
    </row>
    <row r="9954" spans="16:20">
      <c r="P9954" s="1094">
        <v>4420</v>
      </c>
      <c r="Q9954" t="s">
        <v>10478</v>
      </c>
      <c r="R9954" t="s">
        <v>614</v>
      </c>
      <c r="S9954">
        <v>149.54730699999999</v>
      </c>
      <c r="T9954" s="1095">
        <v>-25.382928</v>
      </c>
    </row>
    <row r="9955" spans="16:20">
      <c r="P9955" s="1094">
        <v>4420</v>
      </c>
      <c r="Q9955" t="s">
        <v>10479</v>
      </c>
      <c r="R9955" t="s">
        <v>614</v>
      </c>
      <c r="S9955">
        <v>149.54730699999999</v>
      </c>
      <c r="T9955" s="1095">
        <v>-25.382928</v>
      </c>
    </row>
    <row r="9956" spans="16:20">
      <c r="P9956" s="1094">
        <v>4420</v>
      </c>
      <c r="Q9956" t="s">
        <v>10480</v>
      </c>
      <c r="R9956" t="s">
        <v>614</v>
      </c>
      <c r="S9956">
        <v>149.54730699999999</v>
      </c>
      <c r="T9956" s="1095">
        <v>-25.382928</v>
      </c>
    </row>
    <row r="9957" spans="16:20">
      <c r="P9957" s="1094">
        <v>4420</v>
      </c>
      <c r="Q9957" t="s">
        <v>10481</v>
      </c>
      <c r="R9957" t="s">
        <v>614</v>
      </c>
      <c r="S9957">
        <v>149.54730699999999</v>
      </c>
      <c r="T9957" s="1095">
        <v>-25.382928</v>
      </c>
    </row>
    <row r="9958" spans="16:20">
      <c r="P9958" s="1094">
        <v>4420</v>
      </c>
      <c r="Q9958" t="s">
        <v>10482</v>
      </c>
      <c r="R9958" t="s">
        <v>614</v>
      </c>
      <c r="S9958">
        <v>149.54730699999999</v>
      </c>
      <c r="T9958" s="1095">
        <v>-25.382928</v>
      </c>
    </row>
    <row r="9959" spans="16:20">
      <c r="P9959" s="1094">
        <v>4420</v>
      </c>
      <c r="Q9959" t="s">
        <v>10483</v>
      </c>
      <c r="R9959" t="s">
        <v>614</v>
      </c>
      <c r="S9959">
        <v>149.54730699999999</v>
      </c>
      <c r="T9959" s="1095">
        <v>-25.382928</v>
      </c>
    </row>
    <row r="9960" spans="16:20">
      <c r="P9960" s="1094">
        <v>4420</v>
      </c>
      <c r="Q9960" t="s">
        <v>10484</v>
      </c>
      <c r="R9960" t="s">
        <v>614</v>
      </c>
      <c r="S9960">
        <v>149.54730699999999</v>
      </c>
      <c r="T9960" s="1095">
        <v>-25.382928</v>
      </c>
    </row>
    <row r="9961" spans="16:20">
      <c r="P9961" s="1094">
        <v>4420</v>
      </c>
      <c r="Q9961" t="s">
        <v>5897</v>
      </c>
      <c r="R9961" t="s">
        <v>614</v>
      </c>
      <c r="S9961">
        <v>149.54730699999999</v>
      </c>
      <c r="T9961" s="1095">
        <v>-25.382928</v>
      </c>
    </row>
    <row r="9962" spans="16:20">
      <c r="P9962" s="1094">
        <v>4420</v>
      </c>
      <c r="Q9962" t="s">
        <v>10485</v>
      </c>
      <c r="R9962" t="s">
        <v>614</v>
      </c>
      <c r="S9962">
        <v>149.54730699999999</v>
      </c>
      <c r="T9962" s="1095">
        <v>-25.382928</v>
      </c>
    </row>
    <row r="9963" spans="16:20">
      <c r="P9963" s="1094">
        <v>4421</v>
      </c>
      <c r="Q9963" t="s">
        <v>10486</v>
      </c>
      <c r="R9963" t="s">
        <v>614</v>
      </c>
      <c r="S9963">
        <v>150.44430399999999</v>
      </c>
      <c r="T9963" s="1095">
        <v>-27.324370999999999</v>
      </c>
    </row>
    <row r="9964" spans="16:20">
      <c r="P9964" s="1094">
        <v>4421</v>
      </c>
      <c r="Q9964" t="s">
        <v>5279</v>
      </c>
      <c r="R9964" t="s">
        <v>614</v>
      </c>
      <c r="S9964">
        <v>150.44430399999999</v>
      </c>
      <c r="T9964" s="1095">
        <v>-27.324370999999999</v>
      </c>
    </row>
    <row r="9965" spans="16:20">
      <c r="P9965" s="1094">
        <v>4422</v>
      </c>
      <c r="Q9965" t="s">
        <v>10487</v>
      </c>
      <c r="R9965" t="s">
        <v>614</v>
      </c>
      <c r="S9965">
        <v>149.709428</v>
      </c>
      <c r="T9965" s="1095">
        <v>-27.681950000000001</v>
      </c>
    </row>
    <row r="9966" spans="16:20">
      <c r="P9966" s="1094">
        <v>4423</v>
      </c>
      <c r="Q9966" t="s">
        <v>10488</v>
      </c>
      <c r="R9966" t="s">
        <v>614</v>
      </c>
      <c r="S9966">
        <v>149.52537899999999</v>
      </c>
      <c r="T9966" s="1095">
        <v>-27.383800999999998</v>
      </c>
    </row>
    <row r="9967" spans="16:20">
      <c r="P9967" s="1094">
        <v>4423</v>
      </c>
      <c r="Q9967" t="s">
        <v>10489</v>
      </c>
      <c r="R9967" t="s">
        <v>614</v>
      </c>
      <c r="S9967">
        <v>149.52537899999999</v>
      </c>
      <c r="T9967" s="1095">
        <v>-27.383800999999998</v>
      </c>
    </row>
    <row r="9968" spans="16:20">
      <c r="P9968" s="1094">
        <v>4423</v>
      </c>
      <c r="Q9968" t="s">
        <v>10490</v>
      </c>
      <c r="R9968" t="s">
        <v>614</v>
      </c>
      <c r="S9968">
        <v>149.52537899999999</v>
      </c>
      <c r="T9968" s="1095">
        <v>-27.383800999999998</v>
      </c>
    </row>
    <row r="9969" spans="16:20">
      <c r="P9969" s="1094">
        <v>4424</v>
      </c>
      <c r="Q9969" t="s">
        <v>10491</v>
      </c>
      <c r="R9969" t="s">
        <v>614</v>
      </c>
      <c r="S9969">
        <v>149.96026800000001</v>
      </c>
      <c r="T9969" s="1095">
        <v>-26.598388</v>
      </c>
    </row>
    <row r="9970" spans="16:20">
      <c r="P9970" s="1094">
        <v>4424</v>
      </c>
      <c r="Q9970" t="s">
        <v>10492</v>
      </c>
      <c r="R9970" t="s">
        <v>614</v>
      </c>
      <c r="S9970">
        <v>149.96026800000001</v>
      </c>
      <c r="T9970" s="1095">
        <v>-26.598388</v>
      </c>
    </row>
    <row r="9971" spans="16:20">
      <c r="P9971" s="1094">
        <v>4424</v>
      </c>
      <c r="Q9971" t="s">
        <v>10493</v>
      </c>
      <c r="R9971" t="s">
        <v>614</v>
      </c>
      <c r="S9971">
        <v>149.96026800000001</v>
      </c>
      <c r="T9971" s="1095">
        <v>-26.598388</v>
      </c>
    </row>
    <row r="9972" spans="16:20">
      <c r="P9972" s="1094">
        <v>4425</v>
      </c>
      <c r="Q9972" t="s">
        <v>10494</v>
      </c>
      <c r="R9972" t="s">
        <v>614</v>
      </c>
      <c r="S9972">
        <v>149.773144</v>
      </c>
      <c r="T9972" s="1095">
        <v>-26.649073999999999</v>
      </c>
    </row>
    <row r="9973" spans="16:20">
      <c r="P9973" s="1094">
        <v>4425</v>
      </c>
      <c r="Q9973" t="s">
        <v>10495</v>
      </c>
      <c r="R9973" t="s">
        <v>614</v>
      </c>
      <c r="S9973">
        <v>149.773144</v>
      </c>
      <c r="T9973" s="1095">
        <v>-26.649073999999999</v>
      </c>
    </row>
    <row r="9974" spans="16:20">
      <c r="P9974" s="1094">
        <v>4426</v>
      </c>
      <c r="Q9974" t="s">
        <v>10496</v>
      </c>
      <c r="R9974" t="s">
        <v>614</v>
      </c>
      <c r="S9974">
        <v>149.59042600000001</v>
      </c>
      <c r="T9974" s="1095">
        <v>-26.539914</v>
      </c>
    </row>
    <row r="9975" spans="16:20">
      <c r="P9975" s="1094">
        <v>4426</v>
      </c>
      <c r="Q9975" t="s">
        <v>10497</v>
      </c>
      <c r="R9975" t="s">
        <v>614</v>
      </c>
      <c r="S9975">
        <v>149.59042600000001</v>
      </c>
      <c r="T9975" s="1095">
        <v>-26.539914</v>
      </c>
    </row>
    <row r="9976" spans="16:20">
      <c r="P9976" s="1094">
        <v>4426</v>
      </c>
      <c r="Q9976" t="s">
        <v>10498</v>
      </c>
      <c r="R9976" t="s">
        <v>614</v>
      </c>
      <c r="S9976">
        <v>149.59042600000001</v>
      </c>
      <c r="T9976" s="1095">
        <v>-26.539914</v>
      </c>
    </row>
    <row r="9977" spans="16:20">
      <c r="P9977" s="1094">
        <v>4427</v>
      </c>
      <c r="Q9977" t="s">
        <v>10499</v>
      </c>
      <c r="R9977" t="s">
        <v>614</v>
      </c>
      <c r="S9977">
        <v>149.38193799999999</v>
      </c>
      <c r="T9977" s="1095">
        <v>-26.750019999999999</v>
      </c>
    </row>
    <row r="9978" spans="16:20">
      <c r="P9978" s="1094">
        <v>4427</v>
      </c>
      <c r="Q9978" t="s">
        <v>10500</v>
      </c>
      <c r="R9978" t="s">
        <v>614</v>
      </c>
      <c r="S9978">
        <v>149.38193799999999</v>
      </c>
      <c r="T9978" s="1095">
        <v>-26.750019999999999</v>
      </c>
    </row>
    <row r="9979" spans="16:20">
      <c r="P9979" s="1094">
        <v>4427</v>
      </c>
      <c r="Q9979" t="s">
        <v>10501</v>
      </c>
      <c r="R9979" t="s">
        <v>614</v>
      </c>
      <c r="S9979">
        <v>149.38193799999999</v>
      </c>
      <c r="T9979" s="1095">
        <v>-26.750019999999999</v>
      </c>
    </row>
    <row r="9980" spans="16:20">
      <c r="P9980" s="1094">
        <v>4427</v>
      </c>
      <c r="Q9980" t="s">
        <v>10502</v>
      </c>
      <c r="R9980" t="s">
        <v>614</v>
      </c>
      <c r="S9980">
        <v>149.38193799999999</v>
      </c>
      <c r="T9980" s="1095">
        <v>-26.750019999999999</v>
      </c>
    </row>
    <row r="9981" spans="16:20">
      <c r="P9981" s="1094">
        <v>4428</v>
      </c>
      <c r="Q9981" t="s">
        <v>10503</v>
      </c>
      <c r="R9981" t="s">
        <v>614</v>
      </c>
      <c r="S9981">
        <v>149.206489</v>
      </c>
      <c r="T9981" s="1095">
        <v>-26.403729999999999</v>
      </c>
    </row>
    <row r="9982" spans="16:20">
      <c r="P9982" s="1094">
        <v>4428</v>
      </c>
      <c r="Q9982" t="s">
        <v>10504</v>
      </c>
      <c r="R9982" t="s">
        <v>614</v>
      </c>
      <c r="S9982">
        <v>149.206489</v>
      </c>
      <c r="T9982" s="1095">
        <v>-26.403729999999999</v>
      </c>
    </row>
    <row r="9983" spans="16:20">
      <c r="P9983" s="1094">
        <v>4428</v>
      </c>
      <c r="Q9983" t="s">
        <v>10505</v>
      </c>
      <c r="R9983" t="s">
        <v>614</v>
      </c>
      <c r="S9983">
        <v>149.206489</v>
      </c>
      <c r="T9983" s="1095">
        <v>-26.403729999999999</v>
      </c>
    </row>
    <row r="9984" spans="16:20">
      <c r="P9984" s="1094">
        <v>4428</v>
      </c>
      <c r="Q9984" t="s">
        <v>10506</v>
      </c>
      <c r="R9984" t="s">
        <v>614</v>
      </c>
      <c r="S9984">
        <v>149.206489</v>
      </c>
      <c r="T9984" s="1095">
        <v>-26.403729999999999</v>
      </c>
    </row>
    <row r="9985" spans="16:20">
      <c r="P9985" s="1094">
        <v>4454</v>
      </c>
      <c r="Q9985" t="s">
        <v>10507</v>
      </c>
      <c r="R9985" t="s">
        <v>614</v>
      </c>
      <c r="S9985">
        <v>148.589834</v>
      </c>
      <c r="T9985" s="1095">
        <v>-25.55725</v>
      </c>
    </row>
    <row r="9986" spans="16:20">
      <c r="P9986" s="1094">
        <v>4454</v>
      </c>
      <c r="Q9986" t="s">
        <v>10508</v>
      </c>
      <c r="R9986" t="s">
        <v>614</v>
      </c>
      <c r="S9986">
        <v>148.589834</v>
      </c>
      <c r="T9986" s="1095">
        <v>-25.55725</v>
      </c>
    </row>
    <row r="9987" spans="16:20">
      <c r="P9987" s="1094">
        <v>4454</v>
      </c>
      <c r="Q9987" t="s">
        <v>10509</v>
      </c>
      <c r="R9987" t="s">
        <v>614</v>
      </c>
      <c r="S9987">
        <v>148.589834</v>
      </c>
      <c r="T9987" s="1095">
        <v>-25.55725</v>
      </c>
    </row>
    <row r="9988" spans="16:20">
      <c r="P9988" s="1094">
        <v>4454</v>
      </c>
      <c r="Q9988" t="s">
        <v>10396</v>
      </c>
      <c r="R9988" t="s">
        <v>614</v>
      </c>
      <c r="S9988">
        <v>148.589834</v>
      </c>
      <c r="T9988" s="1095">
        <v>-25.55725</v>
      </c>
    </row>
    <row r="9989" spans="16:20">
      <c r="P9989" s="1094">
        <v>4454</v>
      </c>
      <c r="Q9989" t="s">
        <v>10510</v>
      </c>
      <c r="R9989" t="s">
        <v>614</v>
      </c>
      <c r="S9989">
        <v>148.589834</v>
      </c>
      <c r="T9989" s="1095">
        <v>-25.55725</v>
      </c>
    </row>
    <row r="9990" spans="16:20">
      <c r="P9990" s="1094">
        <v>4454</v>
      </c>
      <c r="Q9990" t="s">
        <v>10511</v>
      </c>
      <c r="R9990" t="s">
        <v>614</v>
      </c>
      <c r="S9990">
        <v>148.589834</v>
      </c>
      <c r="T9990" s="1095">
        <v>-25.55725</v>
      </c>
    </row>
    <row r="9991" spans="16:20">
      <c r="P9991" s="1094">
        <v>4454</v>
      </c>
      <c r="Q9991" t="s">
        <v>2503</v>
      </c>
      <c r="R9991" t="s">
        <v>614</v>
      </c>
      <c r="S9991">
        <v>148.589834</v>
      </c>
      <c r="T9991" s="1095">
        <v>-25.55725</v>
      </c>
    </row>
    <row r="9992" spans="16:20">
      <c r="P9992" s="1094">
        <v>4454</v>
      </c>
      <c r="Q9992" t="s">
        <v>10512</v>
      </c>
      <c r="R9992" t="s">
        <v>614</v>
      </c>
      <c r="S9992">
        <v>148.589834</v>
      </c>
      <c r="T9992" s="1095">
        <v>-25.55725</v>
      </c>
    </row>
    <row r="9993" spans="16:20">
      <c r="P9993" s="1094">
        <v>4454</v>
      </c>
      <c r="Q9993" t="s">
        <v>8082</v>
      </c>
      <c r="R9993" t="s">
        <v>614</v>
      </c>
      <c r="S9993">
        <v>148.589834</v>
      </c>
      <c r="T9993" s="1095">
        <v>-25.55725</v>
      </c>
    </row>
    <row r="9994" spans="16:20">
      <c r="P9994" s="1094">
        <v>4454</v>
      </c>
      <c r="Q9994" t="s">
        <v>10513</v>
      </c>
      <c r="R9994" t="s">
        <v>614</v>
      </c>
      <c r="S9994">
        <v>148.589834</v>
      </c>
      <c r="T9994" s="1095">
        <v>-25.55725</v>
      </c>
    </row>
    <row r="9995" spans="16:20">
      <c r="P9995" s="1094">
        <v>4454</v>
      </c>
      <c r="Q9995" t="s">
        <v>10514</v>
      </c>
      <c r="R9995" t="s">
        <v>614</v>
      </c>
      <c r="S9995">
        <v>148.589834</v>
      </c>
      <c r="T9995" s="1095">
        <v>-25.55725</v>
      </c>
    </row>
    <row r="9996" spans="16:20">
      <c r="P9996" s="1094">
        <v>4455</v>
      </c>
      <c r="Q9996" t="s">
        <v>10515</v>
      </c>
      <c r="R9996" t="s">
        <v>614</v>
      </c>
      <c r="S9996">
        <v>148.69023100000001</v>
      </c>
      <c r="T9996" s="1095">
        <v>-26.73282</v>
      </c>
    </row>
    <row r="9997" spans="16:20">
      <c r="P9997" s="1094">
        <v>4455</v>
      </c>
      <c r="Q9997" t="s">
        <v>10516</v>
      </c>
      <c r="R9997" t="s">
        <v>614</v>
      </c>
      <c r="S9997">
        <v>148.69023100000001</v>
      </c>
      <c r="T9997" s="1095">
        <v>-26.73282</v>
      </c>
    </row>
    <row r="9998" spans="16:20">
      <c r="P9998" s="1094">
        <v>4455</v>
      </c>
      <c r="Q9998" t="s">
        <v>10517</v>
      </c>
      <c r="R9998" t="s">
        <v>614</v>
      </c>
      <c r="S9998">
        <v>148.69023100000001</v>
      </c>
      <c r="T9998" s="1095">
        <v>-26.73282</v>
      </c>
    </row>
    <row r="9999" spans="16:20">
      <c r="P9999" s="1094">
        <v>4455</v>
      </c>
      <c r="Q9999" t="s">
        <v>10518</v>
      </c>
      <c r="R9999" t="s">
        <v>614</v>
      </c>
      <c r="S9999">
        <v>148.69023100000001</v>
      </c>
      <c r="T9999" s="1095">
        <v>-26.73282</v>
      </c>
    </row>
    <row r="10000" spans="16:20">
      <c r="P10000" s="1094">
        <v>4455</v>
      </c>
      <c r="Q10000" t="s">
        <v>8465</v>
      </c>
      <c r="R10000" t="s">
        <v>614</v>
      </c>
      <c r="S10000">
        <v>148.69023100000001</v>
      </c>
      <c r="T10000" s="1095">
        <v>-26.73282</v>
      </c>
    </row>
    <row r="10001" spans="16:20">
      <c r="P10001" s="1094">
        <v>4455</v>
      </c>
      <c r="Q10001" t="s">
        <v>10519</v>
      </c>
      <c r="R10001" t="s">
        <v>614</v>
      </c>
      <c r="S10001">
        <v>148.69023100000001</v>
      </c>
      <c r="T10001" s="1095">
        <v>-26.73282</v>
      </c>
    </row>
    <row r="10002" spans="16:20">
      <c r="P10002" s="1094">
        <v>4455</v>
      </c>
      <c r="Q10002" t="s">
        <v>10520</v>
      </c>
      <c r="R10002" t="s">
        <v>614</v>
      </c>
      <c r="S10002">
        <v>148.69023100000001</v>
      </c>
      <c r="T10002" s="1095">
        <v>-26.73282</v>
      </c>
    </row>
    <row r="10003" spans="16:20">
      <c r="P10003" s="1094">
        <v>4455</v>
      </c>
      <c r="Q10003" t="s">
        <v>10521</v>
      </c>
      <c r="R10003" t="s">
        <v>614</v>
      </c>
      <c r="S10003">
        <v>148.69023100000001</v>
      </c>
      <c r="T10003" s="1095">
        <v>-26.73282</v>
      </c>
    </row>
    <row r="10004" spans="16:20">
      <c r="P10004" s="1094">
        <v>4455</v>
      </c>
      <c r="Q10004" t="s">
        <v>10522</v>
      </c>
      <c r="R10004" t="s">
        <v>614</v>
      </c>
      <c r="S10004">
        <v>148.69023100000001</v>
      </c>
      <c r="T10004" s="1095">
        <v>-26.73282</v>
      </c>
    </row>
    <row r="10005" spans="16:20">
      <c r="P10005" s="1094">
        <v>4455</v>
      </c>
      <c r="Q10005" t="s">
        <v>10523</v>
      </c>
      <c r="R10005" t="s">
        <v>614</v>
      </c>
      <c r="S10005">
        <v>148.69023100000001</v>
      </c>
      <c r="T10005" s="1095">
        <v>-26.73282</v>
      </c>
    </row>
    <row r="10006" spans="16:20">
      <c r="P10006" s="1094">
        <v>4455</v>
      </c>
      <c r="Q10006" t="s">
        <v>10524</v>
      </c>
      <c r="R10006" t="s">
        <v>614</v>
      </c>
      <c r="S10006">
        <v>148.69023100000001</v>
      </c>
      <c r="T10006" s="1095">
        <v>-26.73282</v>
      </c>
    </row>
    <row r="10007" spans="16:20">
      <c r="P10007" s="1094">
        <v>4455</v>
      </c>
      <c r="Q10007" t="s">
        <v>10525</v>
      </c>
      <c r="R10007" t="s">
        <v>614</v>
      </c>
      <c r="S10007">
        <v>148.69023100000001</v>
      </c>
      <c r="T10007" s="1095">
        <v>-26.73282</v>
      </c>
    </row>
    <row r="10008" spans="16:20">
      <c r="P10008" s="1094">
        <v>4455</v>
      </c>
      <c r="Q10008" t="s">
        <v>10526</v>
      </c>
      <c r="R10008" t="s">
        <v>614</v>
      </c>
      <c r="S10008">
        <v>148.69023100000001</v>
      </c>
      <c r="T10008" s="1095">
        <v>-26.73282</v>
      </c>
    </row>
    <row r="10009" spans="16:20">
      <c r="P10009" s="1094">
        <v>4455</v>
      </c>
      <c r="Q10009" t="s">
        <v>10527</v>
      </c>
      <c r="R10009" t="s">
        <v>614</v>
      </c>
      <c r="S10009">
        <v>148.69023100000001</v>
      </c>
      <c r="T10009" s="1095">
        <v>-26.73282</v>
      </c>
    </row>
    <row r="10010" spans="16:20">
      <c r="P10010" s="1094">
        <v>4455</v>
      </c>
      <c r="Q10010" t="s">
        <v>10528</v>
      </c>
      <c r="R10010" t="s">
        <v>614</v>
      </c>
      <c r="S10010">
        <v>148.69023100000001</v>
      </c>
      <c r="T10010" s="1095">
        <v>-26.73282</v>
      </c>
    </row>
    <row r="10011" spans="16:20">
      <c r="P10011" s="1094">
        <v>4455</v>
      </c>
      <c r="Q10011" t="s">
        <v>10529</v>
      </c>
      <c r="R10011" t="s">
        <v>614</v>
      </c>
      <c r="S10011">
        <v>148.69023100000001</v>
      </c>
      <c r="T10011" s="1095">
        <v>-26.73282</v>
      </c>
    </row>
    <row r="10012" spans="16:20">
      <c r="P10012" s="1094">
        <v>4455</v>
      </c>
      <c r="Q10012" t="s">
        <v>10530</v>
      </c>
      <c r="R10012" t="s">
        <v>614</v>
      </c>
      <c r="S10012">
        <v>148.69023100000001</v>
      </c>
      <c r="T10012" s="1095">
        <v>-26.73282</v>
      </c>
    </row>
    <row r="10013" spans="16:20">
      <c r="P10013" s="1094">
        <v>4455</v>
      </c>
      <c r="Q10013" t="s">
        <v>10531</v>
      </c>
      <c r="R10013" t="s">
        <v>614</v>
      </c>
      <c r="S10013">
        <v>148.69023100000001</v>
      </c>
      <c r="T10013" s="1095">
        <v>-26.73282</v>
      </c>
    </row>
    <row r="10014" spans="16:20">
      <c r="P10014" s="1094">
        <v>4455</v>
      </c>
      <c r="Q10014" t="s">
        <v>10532</v>
      </c>
      <c r="R10014" t="s">
        <v>614</v>
      </c>
      <c r="S10014">
        <v>148.69023100000001</v>
      </c>
      <c r="T10014" s="1095">
        <v>-26.73282</v>
      </c>
    </row>
    <row r="10015" spans="16:20">
      <c r="P10015" s="1094">
        <v>4455</v>
      </c>
      <c r="Q10015" t="s">
        <v>10533</v>
      </c>
      <c r="R10015" t="s">
        <v>614</v>
      </c>
      <c r="S10015">
        <v>148.69023100000001</v>
      </c>
      <c r="T10015" s="1095">
        <v>-26.73282</v>
      </c>
    </row>
    <row r="10016" spans="16:20">
      <c r="P10016" s="1094">
        <v>4461</v>
      </c>
      <c r="Q10016" t="s">
        <v>10534</v>
      </c>
      <c r="R10016" t="s">
        <v>614</v>
      </c>
      <c r="S10016">
        <v>148.29388299999999</v>
      </c>
      <c r="T10016" s="1095">
        <v>-26.663912</v>
      </c>
    </row>
    <row r="10017" spans="16:20">
      <c r="P10017" s="1094">
        <v>4462</v>
      </c>
      <c r="Q10017" t="s">
        <v>10535</v>
      </c>
      <c r="R10017" t="s">
        <v>614</v>
      </c>
      <c r="S10017">
        <v>148.19037599999999</v>
      </c>
      <c r="T10017" s="1095">
        <v>-26.509225000000001</v>
      </c>
    </row>
    <row r="10018" spans="16:20">
      <c r="P10018" s="1094">
        <v>4465</v>
      </c>
      <c r="Q10018" t="s">
        <v>5778</v>
      </c>
      <c r="R10018" t="s">
        <v>614</v>
      </c>
      <c r="S10018">
        <v>147.92111700000001</v>
      </c>
      <c r="T10018" s="1095">
        <v>-26.333169999999999</v>
      </c>
    </row>
    <row r="10019" spans="16:20">
      <c r="P10019" s="1094">
        <v>4465</v>
      </c>
      <c r="Q10019" t="s">
        <v>1529</v>
      </c>
      <c r="R10019" t="s">
        <v>614</v>
      </c>
      <c r="S10019">
        <v>147.92111700000001</v>
      </c>
      <c r="T10019" s="1095">
        <v>-26.333169999999999</v>
      </c>
    </row>
    <row r="10020" spans="16:20">
      <c r="P10020" s="1094">
        <v>4467</v>
      </c>
      <c r="Q10020" t="s">
        <v>10536</v>
      </c>
      <c r="R10020" t="s">
        <v>614</v>
      </c>
      <c r="S10020">
        <v>147.49028200000001</v>
      </c>
      <c r="T10020" s="1095">
        <v>-26.23368</v>
      </c>
    </row>
    <row r="10021" spans="16:20">
      <c r="P10021" s="1094">
        <v>4468</v>
      </c>
      <c r="Q10021" t="s">
        <v>3088</v>
      </c>
      <c r="R10021" t="s">
        <v>614</v>
      </c>
      <c r="S10021">
        <v>147.026276</v>
      </c>
      <c r="T10021" s="1095">
        <v>-26.600192</v>
      </c>
    </row>
    <row r="10022" spans="16:20">
      <c r="P10022" s="1094">
        <v>4470</v>
      </c>
      <c r="Q10022" t="s">
        <v>10537</v>
      </c>
      <c r="R10022" t="s">
        <v>614</v>
      </c>
      <c r="S10022">
        <v>145.95806300000001</v>
      </c>
      <c r="T10022" s="1095">
        <v>-26.208628000000001</v>
      </c>
    </row>
    <row r="10023" spans="16:20">
      <c r="P10023" s="1094">
        <v>4471</v>
      </c>
      <c r="Q10023" t="s">
        <v>10538</v>
      </c>
      <c r="R10023" t="s">
        <v>614</v>
      </c>
      <c r="S10023">
        <v>145.89216300000001</v>
      </c>
      <c r="T10023" s="1095">
        <v>-27.631115999999999</v>
      </c>
    </row>
    <row r="10024" spans="16:20">
      <c r="P10024" s="1094">
        <v>4471</v>
      </c>
      <c r="Q10024" t="s">
        <v>10539</v>
      </c>
      <c r="R10024" t="s">
        <v>614</v>
      </c>
      <c r="S10024">
        <v>145.89216300000001</v>
      </c>
      <c r="T10024" s="1095">
        <v>-27.631115999999999</v>
      </c>
    </row>
    <row r="10025" spans="16:20">
      <c r="P10025" s="1094">
        <v>4472</v>
      </c>
      <c r="Q10025" t="s">
        <v>10540</v>
      </c>
      <c r="R10025" t="s">
        <v>614</v>
      </c>
      <c r="S10025">
        <v>145.141177</v>
      </c>
      <c r="T10025" s="1095">
        <v>-24.784154999999998</v>
      </c>
    </row>
    <row r="10026" spans="16:20">
      <c r="P10026" s="1094">
        <v>4472</v>
      </c>
      <c r="Q10026" t="s">
        <v>10541</v>
      </c>
      <c r="R10026" t="s">
        <v>614</v>
      </c>
      <c r="S10026">
        <v>145.141177</v>
      </c>
      <c r="T10026" s="1095">
        <v>-24.784154999999998</v>
      </c>
    </row>
    <row r="10027" spans="16:20">
      <c r="P10027" s="1094">
        <v>4474</v>
      </c>
      <c r="Q10027" t="s">
        <v>10542</v>
      </c>
      <c r="R10027" t="s">
        <v>614</v>
      </c>
      <c r="S10027">
        <v>144.495283</v>
      </c>
      <c r="T10027" s="1095">
        <v>-25.666985</v>
      </c>
    </row>
    <row r="10028" spans="16:20">
      <c r="P10028" s="1094">
        <v>4475</v>
      </c>
      <c r="Q10028" t="s">
        <v>10543</v>
      </c>
      <c r="R10028" t="s">
        <v>614</v>
      </c>
      <c r="S10028">
        <v>144.975368</v>
      </c>
      <c r="T10028" s="1095">
        <v>-26.844909000000001</v>
      </c>
    </row>
    <row r="10029" spans="16:20">
      <c r="P10029" s="1094">
        <v>4477</v>
      </c>
      <c r="Q10029" t="s">
        <v>10544</v>
      </c>
      <c r="R10029" t="s">
        <v>614</v>
      </c>
      <c r="S10029">
        <v>147.05976899999999</v>
      </c>
      <c r="T10029" s="1095">
        <v>-25.444837</v>
      </c>
    </row>
    <row r="10030" spans="16:20">
      <c r="P10030" s="1094">
        <v>4478</v>
      </c>
      <c r="Q10030" t="s">
        <v>10545</v>
      </c>
      <c r="R10030" t="s">
        <v>614</v>
      </c>
      <c r="S10030">
        <v>146.39940899999999</v>
      </c>
      <c r="T10030" s="1095">
        <v>-24.889395</v>
      </c>
    </row>
    <row r="10031" spans="16:20">
      <c r="P10031" s="1094">
        <v>4478</v>
      </c>
      <c r="Q10031" t="s">
        <v>10546</v>
      </c>
      <c r="R10031" t="s">
        <v>614</v>
      </c>
      <c r="S10031">
        <v>146.39940899999999</v>
      </c>
      <c r="T10031" s="1095">
        <v>-24.889395</v>
      </c>
    </row>
    <row r="10032" spans="16:20">
      <c r="P10032" s="1094">
        <v>4478</v>
      </c>
      <c r="Q10032" t="s">
        <v>2090</v>
      </c>
      <c r="R10032" t="s">
        <v>614</v>
      </c>
      <c r="S10032">
        <v>146.39940899999999</v>
      </c>
      <c r="T10032" s="1095">
        <v>-24.889395</v>
      </c>
    </row>
    <row r="10033" spans="16:20">
      <c r="P10033" s="1094">
        <v>4478</v>
      </c>
      <c r="Q10033" t="s">
        <v>10547</v>
      </c>
      <c r="R10033" t="s">
        <v>614</v>
      </c>
      <c r="S10033">
        <v>146.39940899999999</v>
      </c>
      <c r="T10033" s="1095">
        <v>-24.889395</v>
      </c>
    </row>
    <row r="10034" spans="16:20">
      <c r="P10034" s="1094">
        <v>4478</v>
      </c>
      <c r="Q10034" t="s">
        <v>10548</v>
      </c>
      <c r="R10034" t="s">
        <v>614</v>
      </c>
      <c r="S10034">
        <v>146.39940899999999</v>
      </c>
      <c r="T10034" s="1095">
        <v>-24.889395</v>
      </c>
    </row>
    <row r="10035" spans="16:20">
      <c r="P10035" s="1094">
        <v>4478</v>
      </c>
      <c r="Q10035" t="s">
        <v>10549</v>
      </c>
      <c r="R10035" t="s">
        <v>614</v>
      </c>
      <c r="S10035">
        <v>146.39940899999999</v>
      </c>
      <c r="T10035" s="1095">
        <v>-24.889395</v>
      </c>
    </row>
    <row r="10036" spans="16:20">
      <c r="P10036" s="1094">
        <v>4478</v>
      </c>
      <c r="Q10036" t="s">
        <v>10550</v>
      </c>
      <c r="R10036" t="s">
        <v>614</v>
      </c>
      <c r="S10036">
        <v>146.39940899999999</v>
      </c>
      <c r="T10036" s="1095">
        <v>-24.889395</v>
      </c>
    </row>
    <row r="10037" spans="16:20">
      <c r="P10037" s="1094">
        <v>4478</v>
      </c>
      <c r="Q10037" t="s">
        <v>10551</v>
      </c>
      <c r="R10037" t="s">
        <v>614</v>
      </c>
      <c r="S10037">
        <v>146.39940899999999</v>
      </c>
      <c r="T10037" s="1095">
        <v>-24.889395</v>
      </c>
    </row>
    <row r="10038" spans="16:20">
      <c r="P10038" s="1094">
        <v>4478</v>
      </c>
      <c r="Q10038" t="s">
        <v>6201</v>
      </c>
      <c r="R10038" t="s">
        <v>614</v>
      </c>
      <c r="S10038">
        <v>146.39940899999999</v>
      </c>
      <c r="T10038" s="1095">
        <v>-24.889395</v>
      </c>
    </row>
    <row r="10039" spans="16:20">
      <c r="P10039" s="1094">
        <v>4478</v>
      </c>
      <c r="Q10039" t="s">
        <v>10552</v>
      </c>
      <c r="R10039" t="s">
        <v>614</v>
      </c>
      <c r="S10039">
        <v>146.39940899999999</v>
      </c>
      <c r="T10039" s="1095">
        <v>-24.889395</v>
      </c>
    </row>
    <row r="10040" spans="16:20">
      <c r="P10040" s="1094">
        <v>4479</v>
      </c>
      <c r="Q10040" t="s">
        <v>10553</v>
      </c>
      <c r="R10040" t="s">
        <v>614</v>
      </c>
      <c r="S10040">
        <v>145.397502</v>
      </c>
      <c r="T10040" s="1095">
        <v>-26.724017</v>
      </c>
    </row>
    <row r="10041" spans="16:20">
      <c r="P10041" s="1094">
        <v>4480</v>
      </c>
      <c r="Q10041" t="s">
        <v>10554</v>
      </c>
      <c r="R10041" t="s">
        <v>614</v>
      </c>
      <c r="S10041">
        <v>143.274156</v>
      </c>
      <c r="T10041" s="1095">
        <v>-26.248504000000001</v>
      </c>
    </row>
    <row r="10042" spans="16:20">
      <c r="P10042" s="1094">
        <v>4480</v>
      </c>
      <c r="Q10042" t="s">
        <v>10555</v>
      </c>
      <c r="R10042" t="s">
        <v>614</v>
      </c>
      <c r="S10042">
        <v>143.274156</v>
      </c>
      <c r="T10042" s="1095">
        <v>-26.248504000000001</v>
      </c>
    </row>
    <row r="10043" spans="16:20">
      <c r="P10043" s="1094">
        <v>4481</v>
      </c>
      <c r="Q10043" t="s">
        <v>10556</v>
      </c>
      <c r="R10043" t="s">
        <v>614</v>
      </c>
      <c r="S10043">
        <v>141.581266</v>
      </c>
      <c r="T10043" s="1095">
        <v>-25.377582</v>
      </c>
    </row>
    <row r="10044" spans="16:20">
      <c r="P10044" s="1094">
        <v>4481</v>
      </c>
      <c r="Q10044" t="s">
        <v>10557</v>
      </c>
      <c r="R10044" t="s">
        <v>614</v>
      </c>
      <c r="S10044">
        <v>141.581266</v>
      </c>
      <c r="T10044" s="1095">
        <v>-25.377582</v>
      </c>
    </row>
    <row r="10045" spans="16:20">
      <c r="P10045" s="1094">
        <v>4481</v>
      </c>
      <c r="Q10045" t="s">
        <v>10558</v>
      </c>
      <c r="R10045" t="s">
        <v>614</v>
      </c>
      <c r="S10045">
        <v>141.581266</v>
      </c>
      <c r="T10045" s="1095">
        <v>-25.377582</v>
      </c>
    </row>
    <row r="10046" spans="16:20">
      <c r="P10046" s="1094">
        <v>4482</v>
      </c>
      <c r="Q10046" t="s">
        <v>10559</v>
      </c>
      <c r="R10046" t="s">
        <v>614</v>
      </c>
      <c r="S10046">
        <v>139.323274</v>
      </c>
      <c r="T10046" s="1095">
        <v>-25.603090000000002</v>
      </c>
    </row>
    <row r="10047" spans="16:20">
      <c r="P10047" s="1094">
        <v>4486</v>
      </c>
      <c r="Q10047" t="s">
        <v>10560</v>
      </c>
      <c r="R10047" t="s">
        <v>614</v>
      </c>
      <c r="S10047">
        <v>147.830117</v>
      </c>
      <c r="T10047" s="1095">
        <v>-28.612210000000001</v>
      </c>
    </row>
    <row r="10048" spans="16:20">
      <c r="P10048" s="1094">
        <v>4486</v>
      </c>
      <c r="Q10048" t="s">
        <v>10561</v>
      </c>
      <c r="R10048" t="s">
        <v>614</v>
      </c>
      <c r="S10048">
        <v>147.830117</v>
      </c>
      <c r="T10048" s="1095">
        <v>-28.612210000000001</v>
      </c>
    </row>
    <row r="10049" spans="16:20">
      <c r="P10049" s="1094">
        <v>4487</v>
      </c>
      <c r="Q10049" t="s">
        <v>10562</v>
      </c>
      <c r="R10049" t="s">
        <v>614</v>
      </c>
      <c r="S10049">
        <v>148.408512</v>
      </c>
      <c r="T10049" s="1095">
        <v>-27.931187999999999</v>
      </c>
    </row>
    <row r="10050" spans="16:20">
      <c r="P10050" s="1094">
        <v>4487</v>
      </c>
      <c r="Q10050" t="s">
        <v>10563</v>
      </c>
      <c r="R10050" t="s">
        <v>614</v>
      </c>
      <c r="S10050">
        <v>148.408512</v>
      </c>
      <c r="T10050" s="1095">
        <v>-27.931187999999999</v>
      </c>
    </row>
    <row r="10051" spans="16:20">
      <c r="P10051" s="1094">
        <v>4488</v>
      </c>
      <c r="Q10051" t="s">
        <v>10564</v>
      </c>
      <c r="R10051" t="s">
        <v>614</v>
      </c>
      <c r="S10051">
        <v>146.99078399999999</v>
      </c>
      <c r="T10051" s="1095">
        <v>-28.110523000000001</v>
      </c>
    </row>
    <row r="10052" spans="16:20">
      <c r="P10052" s="1094">
        <v>4488</v>
      </c>
      <c r="Q10052" t="s">
        <v>10565</v>
      </c>
      <c r="R10052" t="s">
        <v>614</v>
      </c>
      <c r="S10052">
        <v>146.99078399999999</v>
      </c>
      <c r="T10052" s="1095">
        <v>-28.110523000000001</v>
      </c>
    </row>
    <row r="10053" spans="16:20">
      <c r="P10053" s="1094">
        <v>4489</v>
      </c>
      <c r="Q10053" t="s">
        <v>10566</v>
      </c>
      <c r="R10053" t="s">
        <v>614</v>
      </c>
      <c r="S10053">
        <v>145.655744</v>
      </c>
      <c r="T10053" s="1095">
        <v>-27.258572000000001</v>
      </c>
    </row>
    <row r="10054" spans="16:20">
      <c r="P10054" s="1094">
        <v>4490</v>
      </c>
      <c r="Q10054" t="s">
        <v>6072</v>
      </c>
      <c r="R10054" t="s">
        <v>614</v>
      </c>
      <c r="S10054">
        <v>145.59626499999999</v>
      </c>
      <c r="T10054" s="1095">
        <v>-28.418047000000001</v>
      </c>
    </row>
    <row r="10055" spans="16:20">
      <c r="P10055" s="1094">
        <v>4490</v>
      </c>
      <c r="Q10055" t="s">
        <v>10567</v>
      </c>
      <c r="R10055" t="s">
        <v>614</v>
      </c>
      <c r="S10055">
        <v>145.59626499999999</v>
      </c>
      <c r="T10055" s="1095">
        <v>-28.418047000000001</v>
      </c>
    </row>
    <row r="10056" spans="16:20">
      <c r="P10056" s="1094">
        <v>4490</v>
      </c>
      <c r="Q10056" t="s">
        <v>10568</v>
      </c>
      <c r="R10056" t="s">
        <v>614</v>
      </c>
      <c r="S10056">
        <v>145.59626499999999</v>
      </c>
      <c r="T10056" s="1095">
        <v>-28.418047000000001</v>
      </c>
    </row>
    <row r="10057" spans="16:20">
      <c r="P10057" s="1094">
        <v>4490</v>
      </c>
      <c r="Q10057" t="s">
        <v>10569</v>
      </c>
      <c r="R10057" t="s">
        <v>614</v>
      </c>
      <c r="S10057">
        <v>145.59626499999999</v>
      </c>
      <c r="T10057" s="1095">
        <v>-28.418047000000001</v>
      </c>
    </row>
    <row r="10058" spans="16:20">
      <c r="P10058" s="1094">
        <v>4490</v>
      </c>
      <c r="Q10058" t="s">
        <v>10570</v>
      </c>
      <c r="R10058" t="s">
        <v>614</v>
      </c>
      <c r="S10058">
        <v>145.59626499999999</v>
      </c>
      <c r="T10058" s="1095">
        <v>-28.418047000000001</v>
      </c>
    </row>
    <row r="10059" spans="16:20">
      <c r="P10059" s="1094">
        <v>4490</v>
      </c>
      <c r="Q10059" t="s">
        <v>10571</v>
      </c>
      <c r="R10059" t="s">
        <v>614</v>
      </c>
      <c r="S10059">
        <v>145.59626499999999</v>
      </c>
      <c r="T10059" s="1095">
        <v>-28.418047000000001</v>
      </c>
    </row>
    <row r="10060" spans="16:20">
      <c r="P10060" s="1094">
        <v>4490</v>
      </c>
      <c r="Q10060" t="s">
        <v>5683</v>
      </c>
      <c r="R10060" t="s">
        <v>614</v>
      </c>
      <c r="S10060">
        <v>145.59626499999999</v>
      </c>
      <c r="T10060" s="1095">
        <v>-28.418047000000001</v>
      </c>
    </row>
    <row r="10061" spans="16:20">
      <c r="P10061" s="1094">
        <v>4490</v>
      </c>
      <c r="Q10061" t="s">
        <v>10572</v>
      </c>
      <c r="R10061" t="s">
        <v>614</v>
      </c>
      <c r="S10061">
        <v>145.59626499999999</v>
      </c>
      <c r="T10061" s="1095">
        <v>-28.418047000000001</v>
      </c>
    </row>
    <row r="10062" spans="16:20">
      <c r="P10062" s="1094">
        <v>4490</v>
      </c>
      <c r="Q10062" t="s">
        <v>10573</v>
      </c>
      <c r="R10062" t="s">
        <v>614</v>
      </c>
      <c r="S10062">
        <v>145.59626499999999</v>
      </c>
      <c r="T10062" s="1095">
        <v>-28.418047000000001</v>
      </c>
    </row>
    <row r="10063" spans="16:20">
      <c r="P10063" s="1094">
        <v>4490</v>
      </c>
      <c r="Q10063" t="s">
        <v>10574</v>
      </c>
      <c r="R10063" t="s">
        <v>614</v>
      </c>
      <c r="S10063">
        <v>145.59626499999999</v>
      </c>
      <c r="T10063" s="1095">
        <v>-28.418047000000001</v>
      </c>
    </row>
    <row r="10064" spans="16:20">
      <c r="P10064" s="1094">
        <v>4490</v>
      </c>
      <c r="Q10064" t="s">
        <v>10575</v>
      </c>
      <c r="R10064" t="s">
        <v>614</v>
      </c>
      <c r="S10064">
        <v>145.59626499999999</v>
      </c>
      <c r="T10064" s="1095">
        <v>-28.418047000000001</v>
      </c>
    </row>
    <row r="10065" spans="16:20">
      <c r="P10065" s="1094">
        <v>4491</v>
      </c>
      <c r="Q10065" t="s">
        <v>10576</v>
      </c>
      <c r="R10065" t="s">
        <v>614</v>
      </c>
      <c r="S10065">
        <v>145.08365599999999</v>
      </c>
      <c r="T10065" s="1095">
        <v>-27.91583</v>
      </c>
    </row>
    <row r="10066" spans="16:20">
      <c r="P10066" s="1094">
        <v>4492</v>
      </c>
      <c r="Q10066" t="s">
        <v>10577</v>
      </c>
      <c r="R10066" t="s">
        <v>614</v>
      </c>
      <c r="S10066">
        <v>143.22476399999999</v>
      </c>
      <c r="T10066" s="1095">
        <v>-28.190899000000002</v>
      </c>
    </row>
    <row r="10067" spans="16:20">
      <c r="P10067" s="1094">
        <v>4493</v>
      </c>
      <c r="Q10067" t="s">
        <v>10578</v>
      </c>
      <c r="R10067" t="s">
        <v>614</v>
      </c>
      <c r="S10067">
        <v>144.56035800000001</v>
      </c>
      <c r="T10067" s="1095">
        <v>-28.941714000000001</v>
      </c>
    </row>
    <row r="10068" spans="16:20">
      <c r="P10068" s="1094">
        <v>4494</v>
      </c>
      <c r="Q10068" t="s">
        <v>10579</v>
      </c>
      <c r="R10068" t="s">
        <v>614</v>
      </c>
      <c r="S10068">
        <v>149.60655199999999</v>
      </c>
      <c r="T10068" s="1095">
        <v>-28.143515000000001</v>
      </c>
    </row>
    <row r="10069" spans="16:20">
      <c r="P10069" s="1094">
        <v>4494</v>
      </c>
      <c r="Q10069" t="s">
        <v>10580</v>
      </c>
      <c r="R10069" t="s">
        <v>614</v>
      </c>
      <c r="S10069">
        <v>149.60655199999999</v>
      </c>
      <c r="T10069" s="1095">
        <v>-28.143515000000001</v>
      </c>
    </row>
    <row r="10070" spans="16:20">
      <c r="P10070" s="1094">
        <v>4494</v>
      </c>
      <c r="Q10070" t="s">
        <v>10581</v>
      </c>
      <c r="R10070" t="s">
        <v>614</v>
      </c>
      <c r="S10070">
        <v>149.60655199999999</v>
      </c>
      <c r="T10070" s="1095">
        <v>-28.143515000000001</v>
      </c>
    </row>
    <row r="10071" spans="16:20">
      <c r="P10071" s="1094">
        <v>4496</v>
      </c>
      <c r="Q10071" t="s">
        <v>10582</v>
      </c>
      <c r="R10071" t="s">
        <v>614</v>
      </c>
      <c r="S10071">
        <v>149.267966</v>
      </c>
      <c r="T10071" s="1095">
        <v>-28.364992000000001</v>
      </c>
    </row>
    <row r="10072" spans="16:20">
      <c r="P10072" s="1094">
        <v>4496</v>
      </c>
      <c r="Q10072" t="s">
        <v>10583</v>
      </c>
      <c r="R10072" t="s">
        <v>614</v>
      </c>
      <c r="S10072">
        <v>149.267966</v>
      </c>
      <c r="T10072" s="1095">
        <v>-28.364992000000001</v>
      </c>
    </row>
    <row r="10073" spans="16:20">
      <c r="P10073" s="1094">
        <v>4496</v>
      </c>
      <c r="Q10073" t="s">
        <v>10584</v>
      </c>
      <c r="R10073" t="s">
        <v>614</v>
      </c>
      <c r="S10073">
        <v>149.267966</v>
      </c>
      <c r="T10073" s="1095">
        <v>-28.364992000000001</v>
      </c>
    </row>
    <row r="10074" spans="16:20">
      <c r="P10074" s="1094">
        <v>4497</v>
      </c>
      <c r="Q10074" t="s">
        <v>10585</v>
      </c>
      <c r="R10074" t="s">
        <v>614</v>
      </c>
      <c r="S10074">
        <v>148.75358399999999</v>
      </c>
      <c r="T10074" s="1095">
        <v>-28.645485000000001</v>
      </c>
    </row>
    <row r="10075" spans="16:20">
      <c r="P10075" s="1094">
        <v>4497</v>
      </c>
      <c r="Q10075" t="s">
        <v>10586</v>
      </c>
      <c r="R10075" t="s">
        <v>614</v>
      </c>
      <c r="S10075">
        <v>148.75358399999999</v>
      </c>
      <c r="T10075" s="1095">
        <v>-28.645485000000001</v>
      </c>
    </row>
    <row r="10076" spans="16:20">
      <c r="P10076" s="1094">
        <v>4497</v>
      </c>
      <c r="Q10076" t="s">
        <v>10587</v>
      </c>
      <c r="R10076" t="s">
        <v>614</v>
      </c>
      <c r="S10076">
        <v>148.75358399999999</v>
      </c>
      <c r="T10076" s="1095">
        <v>-28.645485000000001</v>
      </c>
    </row>
    <row r="10077" spans="16:20">
      <c r="P10077" s="1094">
        <v>4498</v>
      </c>
      <c r="Q10077" t="s">
        <v>10588</v>
      </c>
      <c r="R10077" t="s">
        <v>614</v>
      </c>
      <c r="S10077">
        <v>149.82469800000001</v>
      </c>
      <c r="T10077" s="1095">
        <v>-28.415979</v>
      </c>
    </row>
    <row r="10078" spans="16:20">
      <c r="P10078" s="1094">
        <v>4498</v>
      </c>
      <c r="Q10078" t="s">
        <v>10589</v>
      </c>
      <c r="R10078" t="s">
        <v>614</v>
      </c>
      <c r="S10078">
        <v>149.82469800000001</v>
      </c>
      <c r="T10078" s="1095">
        <v>-28.415979</v>
      </c>
    </row>
    <row r="10079" spans="16:20">
      <c r="P10079" s="1094">
        <v>4500</v>
      </c>
      <c r="Q10079" t="s">
        <v>4078</v>
      </c>
      <c r="R10079" t="s">
        <v>614</v>
      </c>
      <c r="S10079">
        <v>152.939438</v>
      </c>
      <c r="T10079" s="1095">
        <v>-27.307845</v>
      </c>
    </row>
    <row r="10080" spans="16:20">
      <c r="P10080" s="1094">
        <v>4500</v>
      </c>
      <c r="Q10080" t="s">
        <v>10590</v>
      </c>
      <c r="R10080" t="s">
        <v>614</v>
      </c>
      <c r="S10080">
        <v>152.939438</v>
      </c>
      <c r="T10080" s="1095">
        <v>-27.307845</v>
      </c>
    </row>
    <row r="10081" spans="16:20">
      <c r="P10081" s="1094">
        <v>4500</v>
      </c>
      <c r="Q10081" t="s">
        <v>10591</v>
      </c>
      <c r="R10081" t="s">
        <v>614</v>
      </c>
      <c r="S10081">
        <v>152.939438</v>
      </c>
      <c r="T10081" s="1095">
        <v>-27.307845</v>
      </c>
    </row>
    <row r="10082" spans="16:20">
      <c r="P10082" s="1094">
        <v>4500</v>
      </c>
      <c r="Q10082" t="s">
        <v>10592</v>
      </c>
      <c r="R10082" t="s">
        <v>614</v>
      </c>
      <c r="S10082">
        <v>152.939438</v>
      </c>
      <c r="T10082" s="1095">
        <v>-27.307845</v>
      </c>
    </row>
    <row r="10083" spans="16:20">
      <c r="P10083" s="1094">
        <v>4500</v>
      </c>
      <c r="Q10083" t="s">
        <v>10593</v>
      </c>
      <c r="R10083" t="s">
        <v>614</v>
      </c>
      <c r="S10083">
        <v>152.939438</v>
      </c>
      <c r="T10083" s="1095">
        <v>-27.307845</v>
      </c>
    </row>
    <row r="10084" spans="16:20">
      <c r="P10084" s="1094">
        <v>4500</v>
      </c>
      <c r="Q10084" t="s">
        <v>10594</v>
      </c>
      <c r="R10084" t="s">
        <v>614</v>
      </c>
      <c r="S10084">
        <v>152.939438</v>
      </c>
      <c r="T10084" s="1095">
        <v>-27.307845</v>
      </c>
    </row>
    <row r="10085" spans="16:20">
      <c r="P10085" s="1094">
        <v>4500</v>
      </c>
      <c r="Q10085" t="s">
        <v>10595</v>
      </c>
      <c r="R10085" t="s">
        <v>614</v>
      </c>
      <c r="S10085">
        <v>152.939438</v>
      </c>
      <c r="T10085" s="1095">
        <v>-27.307845</v>
      </c>
    </row>
    <row r="10086" spans="16:20">
      <c r="P10086" s="1094">
        <v>4500</v>
      </c>
      <c r="Q10086" t="s">
        <v>10596</v>
      </c>
      <c r="R10086" t="s">
        <v>614</v>
      </c>
      <c r="S10086">
        <v>152.939438</v>
      </c>
      <c r="T10086" s="1095">
        <v>-27.307845</v>
      </c>
    </row>
    <row r="10087" spans="16:20">
      <c r="P10087" s="1094">
        <v>4500</v>
      </c>
      <c r="Q10087" t="s">
        <v>10597</v>
      </c>
      <c r="R10087" t="s">
        <v>614</v>
      </c>
      <c r="S10087">
        <v>152.939438</v>
      </c>
      <c r="T10087" s="1095">
        <v>-27.307845</v>
      </c>
    </row>
    <row r="10088" spans="16:20">
      <c r="P10088" s="1094">
        <v>4500</v>
      </c>
      <c r="Q10088" t="s">
        <v>10598</v>
      </c>
      <c r="R10088" t="s">
        <v>614</v>
      </c>
      <c r="S10088">
        <v>152.939438</v>
      </c>
      <c r="T10088" s="1095">
        <v>-27.307845</v>
      </c>
    </row>
    <row r="10089" spans="16:20">
      <c r="P10089" s="1094">
        <v>4500</v>
      </c>
      <c r="Q10089" t="s">
        <v>10599</v>
      </c>
      <c r="R10089" t="s">
        <v>614</v>
      </c>
      <c r="S10089">
        <v>152.939438</v>
      </c>
      <c r="T10089" s="1095">
        <v>-27.307845</v>
      </c>
    </row>
    <row r="10090" spans="16:20">
      <c r="P10090" s="1094">
        <v>4501</v>
      </c>
      <c r="Q10090" t="s">
        <v>10600</v>
      </c>
      <c r="R10090" t="s">
        <v>614</v>
      </c>
      <c r="S10090">
        <v>152.946201</v>
      </c>
      <c r="T10090" s="1095">
        <v>-27.277628</v>
      </c>
    </row>
    <row r="10091" spans="16:20">
      <c r="P10091" s="1094">
        <v>4502</v>
      </c>
      <c r="Q10091" t="s">
        <v>1687</v>
      </c>
      <c r="R10091" t="s">
        <v>614</v>
      </c>
      <c r="S10091">
        <v>152.966813</v>
      </c>
      <c r="T10091" s="1095">
        <v>-27.264973999999999</v>
      </c>
    </row>
    <row r="10092" spans="16:20">
      <c r="P10092" s="1094">
        <v>4502</v>
      </c>
      <c r="Q10092" t="s">
        <v>10601</v>
      </c>
      <c r="R10092" t="s">
        <v>614</v>
      </c>
      <c r="S10092">
        <v>152.966813</v>
      </c>
      <c r="T10092" s="1095">
        <v>-27.264973999999999</v>
      </c>
    </row>
    <row r="10093" spans="16:20">
      <c r="P10093" s="1094">
        <v>4503</v>
      </c>
      <c r="Q10093" t="s">
        <v>10602</v>
      </c>
      <c r="R10093" t="s">
        <v>614</v>
      </c>
      <c r="S10093">
        <v>152.99318700000001</v>
      </c>
      <c r="T10093" s="1095">
        <v>-27.240638000000001</v>
      </c>
    </row>
    <row r="10094" spans="16:20">
      <c r="P10094" s="1094">
        <v>4503</v>
      </c>
      <c r="Q10094" t="s">
        <v>10603</v>
      </c>
      <c r="R10094" t="s">
        <v>614</v>
      </c>
      <c r="S10094">
        <v>152.99318700000001</v>
      </c>
      <c r="T10094" s="1095">
        <v>-27.240638000000001</v>
      </c>
    </row>
    <row r="10095" spans="16:20">
      <c r="P10095" s="1094">
        <v>4503</v>
      </c>
      <c r="Q10095" t="s">
        <v>10604</v>
      </c>
      <c r="R10095" t="s">
        <v>614</v>
      </c>
      <c r="S10095">
        <v>152.99318700000001</v>
      </c>
      <c r="T10095" s="1095">
        <v>-27.240638000000001</v>
      </c>
    </row>
    <row r="10096" spans="16:20">
      <c r="P10096" s="1094">
        <v>4503</v>
      </c>
      <c r="Q10096" t="s">
        <v>10605</v>
      </c>
      <c r="R10096" t="s">
        <v>614</v>
      </c>
      <c r="S10096">
        <v>152.99318700000001</v>
      </c>
      <c r="T10096" s="1095">
        <v>-27.240638000000001</v>
      </c>
    </row>
    <row r="10097" spans="16:20">
      <c r="P10097" s="1094">
        <v>4503</v>
      </c>
      <c r="Q10097" t="s">
        <v>10606</v>
      </c>
      <c r="R10097" t="s">
        <v>614</v>
      </c>
      <c r="S10097">
        <v>152.99318700000001</v>
      </c>
      <c r="T10097" s="1095">
        <v>-27.240638000000001</v>
      </c>
    </row>
    <row r="10098" spans="16:20">
      <c r="P10098" s="1094">
        <v>4503</v>
      </c>
      <c r="Q10098" t="s">
        <v>10607</v>
      </c>
      <c r="R10098" t="s">
        <v>614</v>
      </c>
      <c r="S10098">
        <v>152.99318700000001</v>
      </c>
      <c r="T10098" s="1095">
        <v>-27.240638000000001</v>
      </c>
    </row>
    <row r="10099" spans="16:20">
      <c r="P10099" s="1094">
        <v>4503</v>
      </c>
      <c r="Q10099" t="s">
        <v>10608</v>
      </c>
      <c r="R10099" t="s">
        <v>614</v>
      </c>
      <c r="S10099">
        <v>152.99318700000001</v>
      </c>
      <c r="T10099" s="1095">
        <v>-27.240638000000001</v>
      </c>
    </row>
    <row r="10100" spans="16:20">
      <c r="P10100" s="1094">
        <v>4504</v>
      </c>
      <c r="Q10100" t="s">
        <v>10609</v>
      </c>
      <c r="R10100" t="s">
        <v>614</v>
      </c>
      <c r="S10100">
        <v>152.93208300000001</v>
      </c>
      <c r="T10100" s="1095">
        <v>-27.186623999999998</v>
      </c>
    </row>
    <row r="10101" spans="16:20">
      <c r="P10101" s="1094">
        <v>4505</v>
      </c>
      <c r="Q10101" t="s">
        <v>10610</v>
      </c>
      <c r="R10101" t="s">
        <v>614</v>
      </c>
      <c r="S10101">
        <v>152.97688600000001</v>
      </c>
      <c r="T10101" s="1095">
        <v>-27.153669000000001</v>
      </c>
    </row>
    <row r="10102" spans="16:20">
      <c r="P10102" s="1094">
        <v>4505</v>
      </c>
      <c r="Q10102" t="s">
        <v>10611</v>
      </c>
      <c r="R10102" t="s">
        <v>614</v>
      </c>
      <c r="S10102">
        <v>152.97688600000001</v>
      </c>
      <c r="T10102" s="1095">
        <v>-27.153669000000001</v>
      </c>
    </row>
    <row r="10103" spans="16:20">
      <c r="P10103" s="1094">
        <v>4506</v>
      </c>
      <c r="Q10103" t="s">
        <v>10612</v>
      </c>
      <c r="R10103" t="s">
        <v>614</v>
      </c>
      <c r="S10103">
        <v>152.93628899999999</v>
      </c>
      <c r="T10103" s="1095">
        <v>-27.128401</v>
      </c>
    </row>
    <row r="10104" spans="16:20">
      <c r="P10104" s="1094">
        <v>4506</v>
      </c>
      <c r="Q10104" t="s">
        <v>10613</v>
      </c>
      <c r="R10104" t="s">
        <v>614</v>
      </c>
      <c r="S10104">
        <v>152.93628899999999</v>
      </c>
      <c r="T10104" s="1095">
        <v>-27.128401</v>
      </c>
    </row>
    <row r="10105" spans="16:20">
      <c r="P10105" s="1094">
        <v>4507</v>
      </c>
      <c r="Q10105" t="s">
        <v>10614</v>
      </c>
      <c r="R10105" t="s">
        <v>614</v>
      </c>
      <c r="S10105">
        <v>153.12414000000001</v>
      </c>
      <c r="T10105" s="1095">
        <v>-26.987776</v>
      </c>
    </row>
    <row r="10106" spans="16:20">
      <c r="P10106" s="1094">
        <v>4507</v>
      </c>
      <c r="Q10106" t="s">
        <v>10615</v>
      </c>
      <c r="R10106" t="s">
        <v>614</v>
      </c>
      <c r="S10106">
        <v>153.12414000000001</v>
      </c>
      <c r="T10106" s="1095">
        <v>-26.987776</v>
      </c>
    </row>
    <row r="10107" spans="16:20">
      <c r="P10107" s="1094">
        <v>4507</v>
      </c>
      <c r="Q10107" t="s">
        <v>10616</v>
      </c>
      <c r="R10107" t="s">
        <v>614</v>
      </c>
      <c r="S10107">
        <v>153.12414000000001</v>
      </c>
      <c r="T10107" s="1095">
        <v>-26.987776</v>
      </c>
    </row>
    <row r="10108" spans="16:20">
      <c r="P10108" s="1094">
        <v>4507</v>
      </c>
      <c r="Q10108" t="s">
        <v>10617</v>
      </c>
      <c r="R10108" t="s">
        <v>614</v>
      </c>
      <c r="S10108">
        <v>153.12414000000001</v>
      </c>
      <c r="T10108" s="1095">
        <v>-26.987776</v>
      </c>
    </row>
    <row r="10109" spans="16:20">
      <c r="P10109" s="1094">
        <v>4507</v>
      </c>
      <c r="Q10109" t="s">
        <v>10618</v>
      </c>
      <c r="R10109" t="s">
        <v>614</v>
      </c>
      <c r="S10109">
        <v>153.12414000000001</v>
      </c>
      <c r="T10109" s="1095">
        <v>-26.987776</v>
      </c>
    </row>
    <row r="10110" spans="16:20">
      <c r="P10110" s="1094">
        <v>4507</v>
      </c>
      <c r="Q10110" t="s">
        <v>10619</v>
      </c>
      <c r="R10110" t="s">
        <v>614</v>
      </c>
      <c r="S10110">
        <v>153.12414000000001</v>
      </c>
      <c r="T10110" s="1095">
        <v>-26.987776</v>
      </c>
    </row>
    <row r="10111" spans="16:20">
      <c r="P10111" s="1094">
        <v>4507</v>
      </c>
      <c r="Q10111" t="s">
        <v>10620</v>
      </c>
      <c r="R10111" t="s">
        <v>614</v>
      </c>
      <c r="S10111">
        <v>153.12414000000001</v>
      </c>
      <c r="T10111" s="1095">
        <v>-26.987776</v>
      </c>
    </row>
    <row r="10112" spans="16:20">
      <c r="P10112" s="1094">
        <v>4507</v>
      </c>
      <c r="Q10112" t="s">
        <v>10621</v>
      </c>
      <c r="R10112" t="s">
        <v>614</v>
      </c>
      <c r="S10112">
        <v>153.12414000000001</v>
      </c>
      <c r="T10112" s="1095">
        <v>-26.987776</v>
      </c>
    </row>
    <row r="10113" spans="16:20">
      <c r="P10113" s="1094">
        <v>4507</v>
      </c>
      <c r="Q10113" t="s">
        <v>10622</v>
      </c>
      <c r="R10113" t="s">
        <v>614</v>
      </c>
      <c r="S10113">
        <v>153.12414000000001</v>
      </c>
      <c r="T10113" s="1095">
        <v>-26.987776</v>
      </c>
    </row>
    <row r="10114" spans="16:20">
      <c r="P10114" s="1094">
        <v>4508</v>
      </c>
      <c r="Q10114" t="s">
        <v>10623</v>
      </c>
      <c r="R10114" t="s">
        <v>614</v>
      </c>
      <c r="S10114">
        <v>153.01371599999999</v>
      </c>
      <c r="T10114" s="1095">
        <v>-27.181203</v>
      </c>
    </row>
    <row r="10115" spans="16:20">
      <c r="P10115" s="1094">
        <v>4509</v>
      </c>
      <c r="Q10115" t="s">
        <v>10624</v>
      </c>
      <c r="R10115" t="s">
        <v>614</v>
      </c>
      <c r="S10115">
        <v>0</v>
      </c>
      <c r="T10115" s="1095">
        <v>0</v>
      </c>
    </row>
    <row r="10116" spans="16:20">
      <c r="P10116" s="1094">
        <v>4510</v>
      </c>
      <c r="Q10116" t="s">
        <v>10625</v>
      </c>
      <c r="R10116" t="s">
        <v>614</v>
      </c>
      <c r="S10116">
        <v>152.960273</v>
      </c>
      <c r="T10116" s="1095">
        <v>-27.070177000000001</v>
      </c>
    </row>
    <row r="10117" spans="16:20">
      <c r="P10117" s="1094">
        <v>4510</v>
      </c>
      <c r="Q10117" t="s">
        <v>10626</v>
      </c>
      <c r="R10117" t="s">
        <v>614</v>
      </c>
      <c r="S10117">
        <v>152.960273</v>
      </c>
      <c r="T10117" s="1095">
        <v>-27.070177000000001</v>
      </c>
    </row>
    <row r="10118" spans="16:20">
      <c r="P10118" s="1094">
        <v>4510</v>
      </c>
      <c r="Q10118" t="s">
        <v>10627</v>
      </c>
      <c r="R10118" t="s">
        <v>614</v>
      </c>
      <c r="S10118">
        <v>152.960273</v>
      </c>
      <c r="T10118" s="1095">
        <v>-27.070177000000001</v>
      </c>
    </row>
    <row r="10119" spans="16:20">
      <c r="P10119" s="1094">
        <v>4510</v>
      </c>
      <c r="Q10119" t="s">
        <v>10628</v>
      </c>
      <c r="R10119" t="s">
        <v>614</v>
      </c>
      <c r="S10119">
        <v>152.960273</v>
      </c>
      <c r="T10119" s="1095">
        <v>-27.070177000000001</v>
      </c>
    </row>
    <row r="10120" spans="16:20">
      <c r="P10120" s="1094">
        <v>4510</v>
      </c>
      <c r="Q10120" t="s">
        <v>10629</v>
      </c>
      <c r="R10120" t="s">
        <v>614</v>
      </c>
      <c r="S10120">
        <v>152.960273</v>
      </c>
      <c r="T10120" s="1095">
        <v>-27.070177000000001</v>
      </c>
    </row>
    <row r="10121" spans="16:20">
      <c r="P10121" s="1094">
        <v>4510</v>
      </c>
      <c r="Q10121" t="s">
        <v>6487</v>
      </c>
      <c r="R10121" t="s">
        <v>614</v>
      </c>
      <c r="S10121">
        <v>152.960273</v>
      </c>
      <c r="T10121" s="1095">
        <v>-27.070177000000001</v>
      </c>
    </row>
    <row r="10122" spans="16:20">
      <c r="P10122" s="1094">
        <v>4510</v>
      </c>
      <c r="Q10122" t="s">
        <v>10630</v>
      </c>
      <c r="R10122" t="s">
        <v>614</v>
      </c>
      <c r="S10122">
        <v>152.960273</v>
      </c>
      <c r="T10122" s="1095">
        <v>-27.070177000000001</v>
      </c>
    </row>
    <row r="10123" spans="16:20">
      <c r="P10123" s="1094">
        <v>4510</v>
      </c>
      <c r="Q10123" t="s">
        <v>10631</v>
      </c>
      <c r="R10123" t="s">
        <v>614</v>
      </c>
      <c r="S10123">
        <v>152.960273</v>
      </c>
      <c r="T10123" s="1095">
        <v>-27.070177000000001</v>
      </c>
    </row>
    <row r="10124" spans="16:20">
      <c r="P10124" s="1094">
        <v>4510</v>
      </c>
      <c r="Q10124" t="s">
        <v>10632</v>
      </c>
      <c r="R10124" t="s">
        <v>614</v>
      </c>
      <c r="S10124">
        <v>152.960273</v>
      </c>
      <c r="T10124" s="1095">
        <v>-27.070177000000001</v>
      </c>
    </row>
    <row r="10125" spans="16:20">
      <c r="P10125" s="1094">
        <v>4510</v>
      </c>
      <c r="Q10125" t="s">
        <v>10633</v>
      </c>
      <c r="R10125" t="s">
        <v>614</v>
      </c>
      <c r="S10125">
        <v>152.960273</v>
      </c>
      <c r="T10125" s="1095">
        <v>-27.070177000000001</v>
      </c>
    </row>
    <row r="10126" spans="16:20">
      <c r="P10126" s="1094">
        <v>4510</v>
      </c>
      <c r="Q10126" t="s">
        <v>10634</v>
      </c>
      <c r="R10126" t="s">
        <v>614</v>
      </c>
      <c r="S10126">
        <v>152.960273</v>
      </c>
      <c r="T10126" s="1095">
        <v>-27.070177000000001</v>
      </c>
    </row>
    <row r="10127" spans="16:20">
      <c r="P10127" s="1094">
        <v>4511</v>
      </c>
      <c r="Q10127" t="s">
        <v>10635</v>
      </c>
      <c r="R10127" t="s">
        <v>614</v>
      </c>
      <c r="S10127">
        <v>153.08079900000001</v>
      </c>
      <c r="T10127" s="1095">
        <v>-27.077933000000002</v>
      </c>
    </row>
    <row r="10128" spans="16:20">
      <c r="P10128" s="1094">
        <v>4511</v>
      </c>
      <c r="Q10128" t="s">
        <v>10636</v>
      </c>
      <c r="R10128" t="s">
        <v>614</v>
      </c>
      <c r="S10128">
        <v>153.08079900000001</v>
      </c>
      <c r="T10128" s="1095">
        <v>-27.077933000000002</v>
      </c>
    </row>
    <row r="10129" spans="16:20">
      <c r="P10129" s="1094">
        <v>4511</v>
      </c>
      <c r="Q10129" t="s">
        <v>10637</v>
      </c>
      <c r="R10129" t="s">
        <v>614</v>
      </c>
      <c r="S10129">
        <v>153.08079900000001</v>
      </c>
      <c r="T10129" s="1095">
        <v>-27.077933000000002</v>
      </c>
    </row>
    <row r="10130" spans="16:20">
      <c r="P10130" s="1094">
        <v>4512</v>
      </c>
      <c r="Q10130" t="s">
        <v>10638</v>
      </c>
      <c r="R10130" t="s">
        <v>614</v>
      </c>
      <c r="S10130">
        <v>152.85831099999999</v>
      </c>
      <c r="T10130" s="1095">
        <v>-27.022483999999999</v>
      </c>
    </row>
    <row r="10131" spans="16:20">
      <c r="P10131" s="1094">
        <v>4512</v>
      </c>
      <c r="Q10131" t="s">
        <v>10639</v>
      </c>
      <c r="R10131" t="s">
        <v>614</v>
      </c>
      <c r="S10131">
        <v>152.85831099999999</v>
      </c>
      <c r="T10131" s="1095">
        <v>-27.022483999999999</v>
      </c>
    </row>
    <row r="10132" spans="16:20">
      <c r="P10132" s="1094">
        <v>4512</v>
      </c>
      <c r="Q10132" t="s">
        <v>10640</v>
      </c>
      <c r="R10132" t="s">
        <v>614</v>
      </c>
      <c r="S10132">
        <v>152.85831099999999</v>
      </c>
      <c r="T10132" s="1095">
        <v>-27.022483999999999</v>
      </c>
    </row>
    <row r="10133" spans="16:20">
      <c r="P10133" s="1094">
        <v>4514</v>
      </c>
      <c r="Q10133" t="s">
        <v>10641</v>
      </c>
      <c r="R10133" t="s">
        <v>614</v>
      </c>
      <c r="S10133">
        <v>152.76008100000001</v>
      </c>
      <c r="T10133" s="1095">
        <v>-26.917840000000002</v>
      </c>
    </row>
    <row r="10134" spans="16:20">
      <c r="P10134" s="1094">
        <v>4514</v>
      </c>
      <c r="Q10134" t="s">
        <v>10642</v>
      </c>
      <c r="R10134" t="s">
        <v>614</v>
      </c>
      <c r="S10134">
        <v>152.76008100000001</v>
      </c>
      <c r="T10134" s="1095">
        <v>-26.917840000000002</v>
      </c>
    </row>
    <row r="10135" spans="16:20">
      <c r="P10135" s="1094">
        <v>4514</v>
      </c>
      <c r="Q10135" t="s">
        <v>10643</v>
      </c>
      <c r="R10135" t="s">
        <v>614</v>
      </c>
      <c r="S10135">
        <v>152.76008100000001</v>
      </c>
      <c r="T10135" s="1095">
        <v>-26.917840000000002</v>
      </c>
    </row>
    <row r="10136" spans="16:20">
      <c r="P10136" s="1094">
        <v>4514</v>
      </c>
      <c r="Q10136" t="s">
        <v>10644</v>
      </c>
      <c r="R10136" t="s">
        <v>614</v>
      </c>
      <c r="S10136">
        <v>152.76008100000001</v>
      </c>
      <c r="T10136" s="1095">
        <v>-26.917840000000002</v>
      </c>
    </row>
    <row r="10137" spans="16:20">
      <c r="P10137" s="1094">
        <v>4514</v>
      </c>
      <c r="Q10137" t="s">
        <v>10645</v>
      </c>
      <c r="R10137" t="s">
        <v>614</v>
      </c>
      <c r="S10137">
        <v>152.76008100000001</v>
      </c>
      <c r="T10137" s="1095">
        <v>-26.917840000000002</v>
      </c>
    </row>
    <row r="10138" spans="16:20">
      <c r="P10138" s="1094">
        <v>4514</v>
      </c>
      <c r="Q10138" t="s">
        <v>10646</v>
      </c>
      <c r="R10138" t="s">
        <v>614</v>
      </c>
      <c r="S10138">
        <v>152.76008100000001</v>
      </c>
      <c r="T10138" s="1095">
        <v>-26.917840000000002</v>
      </c>
    </row>
    <row r="10139" spans="16:20">
      <c r="P10139" s="1094">
        <v>4514</v>
      </c>
      <c r="Q10139" t="s">
        <v>10647</v>
      </c>
      <c r="R10139" t="s">
        <v>614</v>
      </c>
      <c r="S10139">
        <v>152.76008100000001</v>
      </c>
      <c r="T10139" s="1095">
        <v>-26.917840000000002</v>
      </c>
    </row>
    <row r="10140" spans="16:20">
      <c r="P10140" s="1094">
        <v>4514</v>
      </c>
      <c r="Q10140" t="s">
        <v>1818</v>
      </c>
      <c r="R10140" t="s">
        <v>614</v>
      </c>
      <c r="S10140">
        <v>152.76008100000001</v>
      </c>
      <c r="T10140" s="1095">
        <v>-26.917840000000002</v>
      </c>
    </row>
    <row r="10141" spans="16:20">
      <c r="P10141" s="1094">
        <v>4514</v>
      </c>
      <c r="Q10141" t="s">
        <v>4409</v>
      </c>
      <c r="R10141" t="s">
        <v>614</v>
      </c>
      <c r="S10141">
        <v>152.76008100000001</v>
      </c>
      <c r="T10141" s="1095">
        <v>-26.917840000000002</v>
      </c>
    </row>
    <row r="10142" spans="16:20">
      <c r="P10142" s="1094">
        <v>4514</v>
      </c>
      <c r="Q10142" t="s">
        <v>10648</v>
      </c>
      <c r="R10142" t="s">
        <v>614</v>
      </c>
      <c r="S10142">
        <v>152.76008100000001</v>
      </c>
      <c r="T10142" s="1095">
        <v>-26.917840000000002</v>
      </c>
    </row>
    <row r="10143" spans="16:20">
      <c r="P10143" s="1094">
        <v>4514</v>
      </c>
      <c r="Q10143" t="s">
        <v>3797</v>
      </c>
      <c r="R10143" t="s">
        <v>614</v>
      </c>
      <c r="S10143">
        <v>152.76008100000001</v>
      </c>
      <c r="T10143" s="1095">
        <v>-26.917840000000002</v>
      </c>
    </row>
    <row r="10144" spans="16:20">
      <c r="P10144" s="1094">
        <v>4515</v>
      </c>
      <c r="Q10144" t="s">
        <v>10649</v>
      </c>
      <c r="R10144" t="s">
        <v>614</v>
      </c>
      <c r="S10144">
        <v>152.50379699999999</v>
      </c>
      <c r="T10144" s="1095">
        <v>-26.875779999999999</v>
      </c>
    </row>
    <row r="10145" spans="16:20">
      <c r="P10145" s="1094">
        <v>4515</v>
      </c>
      <c r="Q10145" t="s">
        <v>10650</v>
      </c>
      <c r="R10145" t="s">
        <v>614</v>
      </c>
      <c r="S10145">
        <v>152.50379699999999</v>
      </c>
      <c r="T10145" s="1095">
        <v>-26.875779999999999</v>
      </c>
    </row>
    <row r="10146" spans="16:20">
      <c r="P10146" s="1094">
        <v>4516</v>
      </c>
      <c r="Q10146" t="s">
        <v>10651</v>
      </c>
      <c r="R10146" t="s">
        <v>614</v>
      </c>
      <c r="S10146">
        <v>152.95723799999999</v>
      </c>
      <c r="T10146" s="1095">
        <v>-27.005541999999998</v>
      </c>
    </row>
    <row r="10147" spans="16:20">
      <c r="P10147" s="1094">
        <v>4517</v>
      </c>
      <c r="Q10147" t="s">
        <v>10652</v>
      </c>
      <c r="R10147" t="s">
        <v>614</v>
      </c>
      <c r="S10147">
        <v>152.98764700000001</v>
      </c>
      <c r="T10147" s="1095">
        <v>-26.951082</v>
      </c>
    </row>
    <row r="10148" spans="16:20">
      <c r="P10148" s="1094">
        <v>4518</v>
      </c>
      <c r="Q10148" t="s">
        <v>10653</v>
      </c>
      <c r="R10148" t="s">
        <v>614</v>
      </c>
      <c r="S10148">
        <v>152.98603299999999</v>
      </c>
      <c r="T10148" s="1095">
        <v>-26.902425000000001</v>
      </c>
    </row>
    <row r="10149" spans="16:20">
      <c r="P10149" s="1094">
        <v>4519</v>
      </c>
      <c r="Q10149" t="s">
        <v>10654</v>
      </c>
      <c r="R10149" t="s">
        <v>614</v>
      </c>
      <c r="S10149">
        <v>152.91802999999999</v>
      </c>
      <c r="T10149" s="1095">
        <v>-26.849388000000001</v>
      </c>
    </row>
    <row r="10150" spans="16:20">
      <c r="P10150" s="1094">
        <v>4519</v>
      </c>
      <c r="Q10150" t="s">
        <v>10655</v>
      </c>
      <c r="R10150" t="s">
        <v>614</v>
      </c>
      <c r="S10150">
        <v>152.91802999999999</v>
      </c>
      <c r="T10150" s="1095">
        <v>-26.849388000000001</v>
      </c>
    </row>
    <row r="10151" spans="16:20">
      <c r="P10151" s="1094">
        <v>4519</v>
      </c>
      <c r="Q10151" t="s">
        <v>10656</v>
      </c>
      <c r="R10151" t="s">
        <v>614</v>
      </c>
      <c r="S10151">
        <v>152.91802999999999</v>
      </c>
      <c r="T10151" s="1095">
        <v>-26.849388000000001</v>
      </c>
    </row>
    <row r="10152" spans="16:20">
      <c r="P10152" s="1094">
        <v>4519</v>
      </c>
      <c r="Q10152" t="s">
        <v>10657</v>
      </c>
      <c r="R10152" t="s">
        <v>614</v>
      </c>
      <c r="S10152">
        <v>152.91802999999999</v>
      </c>
      <c r="T10152" s="1095">
        <v>-26.849388000000001</v>
      </c>
    </row>
    <row r="10153" spans="16:20">
      <c r="P10153" s="1094">
        <v>4520</v>
      </c>
      <c r="Q10153" t="s">
        <v>10658</v>
      </c>
      <c r="R10153" t="s">
        <v>614</v>
      </c>
      <c r="S10153">
        <v>152.814527</v>
      </c>
      <c r="T10153" s="1095">
        <v>-27.322775</v>
      </c>
    </row>
    <row r="10154" spans="16:20">
      <c r="P10154" s="1094">
        <v>4520</v>
      </c>
      <c r="Q10154" t="s">
        <v>2686</v>
      </c>
      <c r="R10154" t="s">
        <v>614</v>
      </c>
      <c r="S10154">
        <v>152.814527</v>
      </c>
      <c r="T10154" s="1095">
        <v>-27.322775</v>
      </c>
    </row>
    <row r="10155" spans="16:20">
      <c r="P10155" s="1094">
        <v>4520</v>
      </c>
      <c r="Q10155" t="s">
        <v>10659</v>
      </c>
      <c r="R10155" t="s">
        <v>614</v>
      </c>
      <c r="S10155">
        <v>152.814527</v>
      </c>
      <c r="T10155" s="1095">
        <v>-27.322775</v>
      </c>
    </row>
    <row r="10156" spans="16:20">
      <c r="P10156" s="1094">
        <v>4520</v>
      </c>
      <c r="Q10156" t="s">
        <v>10660</v>
      </c>
      <c r="R10156" t="s">
        <v>614</v>
      </c>
      <c r="S10156">
        <v>152.814527</v>
      </c>
      <c r="T10156" s="1095">
        <v>-27.322775</v>
      </c>
    </row>
    <row r="10157" spans="16:20">
      <c r="P10157" s="1094">
        <v>4520</v>
      </c>
      <c r="Q10157" t="s">
        <v>10661</v>
      </c>
      <c r="R10157" t="s">
        <v>614</v>
      </c>
      <c r="S10157">
        <v>152.814527</v>
      </c>
      <c r="T10157" s="1095">
        <v>-27.322775</v>
      </c>
    </row>
    <row r="10158" spans="16:20">
      <c r="P10158" s="1094">
        <v>4520</v>
      </c>
      <c r="Q10158" t="s">
        <v>10662</v>
      </c>
      <c r="R10158" t="s">
        <v>614</v>
      </c>
      <c r="S10158">
        <v>152.814527</v>
      </c>
      <c r="T10158" s="1095">
        <v>-27.322775</v>
      </c>
    </row>
    <row r="10159" spans="16:20">
      <c r="P10159" s="1094">
        <v>4520</v>
      </c>
      <c r="Q10159" t="s">
        <v>10663</v>
      </c>
      <c r="R10159" t="s">
        <v>614</v>
      </c>
      <c r="S10159">
        <v>152.814527</v>
      </c>
      <c r="T10159" s="1095">
        <v>-27.322775</v>
      </c>
    </row>
    <row r="10160" spans="16:20">
      <c r="P10160" s="1094">
        <v>4520</v>
      </c>
      <c r="Q10160" t="s">
        <v>10664</v>
      </c>
      <c r="R10160" t="s">
        <v>614</v>
      </c>
      <c r="S10160">
        <v>152.814527</v>
      </c>
      <c r="T10160" s="1095">
        <v>-27.322775</v>
      </c>
    </row>
    <row r="10161" spans="16:20">
      <c r="P10161" s="1094">
        <v>4520</v>
      </c>
      <c r="Q10161" t="s">
        <v>10665</v>
      </c>
      <c r="R10161" t="s">
        <v>614</v>
      </c>
      <c r="S10161">
        <v>152.814527</v>
      </c>
      <c r="T10161" s="1095">
        <v>-27.322775</v>
      </c>
    </row>
    <row r="10162" spans="16:20">
      <c r="P10162" s="1094">
        <v>4520</v>
      </c>
      <c r="Q10162" t="s">
        <v>10666</v>
      </c>
      <c r="R10162" t="s">
        <v>614</v>
      </c>
      <c r="S10162">
        <v>152.814527</v>
      </c>
      <c r="T10162" s="1095">
        <v>-27.322775</v>
      </c>
    </row>
    <row r="10163" spans="16:20">
      <c r="P10163" s="1094">
        <v>4520</v>
      </c>
      <c r="Q10163" t="s">
        <v>10667</v>
      </c>
      <c r="R10163" t="s">
        <v>614</v>
      </c>
      <c r="S10163">
        <v>152.814527</v>
      </c>
      <c r="T10163" s="1095">
        <v>-27.322775</v>
      </c>
    </row>
    <row r="10164" spans="16:20">
      <c r="P10164" s="1094">
        <v>4520</v>
      </c>
      <c r="Q10164" t="s">
        <v>10668</v>
      </c>
      <c r="R10164" t="s">
        <v>614</v>
      </c>
      <c r="S10164">
        <v>152.814527</v>
      </c>
      <c r="T10164" s="1095">
        <v>-27.322775</v>
      </c>
    </row>
    <row r="10165" spans="16:20">
      <c r="P10165" s="1094">
        <v>4520</v>
      </c>
      <c r="Q10165" t="s">
        <v>10669</v>
      </c>
      <c r="R10165" t="s">
        <v>614</v>
      </c>
      <c r="S10165">
        <v>152.814527</v>
      </c>
      <c r="T10165" s="1095">
        <v>-27.322775</v>
      </c>
    </row>
    <row r="10166" spans="16:20">
      <c r="P10166" s="1094">
        <v>4520</v>
      </c>
      <c r="Q10166" t="s">
        <v>10670</v>
      </c>
      <c r="R10166" t="s">
        <v>614</v>
      </c>
      <c r="S10166">
        <v>152.814527</v>
      </c>
      <c r="T10166" s="1095">
        <v>-27.322775</v>
      </c>
    </row>
    <row r="10167" spans="16:20">
      <c r="P10167" s="1094">
        <v>4520</v>
      </c>
      <c r="Q10167" t="s">
        <v>10671</v>
      </c>
      <c r="R10167" t="s">
        <v>614</v>
      </c>
      <c r="S10167">
        <v>152.814527</v>
      </c>
      <c r="T10167" s="1095">
        <v>-27.322775</v>
      </c>
    </row>
    <row r="10168" spans="16:20">
      <c r="P10168" s="1094">
        <v>4520</v>
      </c>
      <c r="Q10168" t="s">
        <v>10672</v>
      </c>
      <c r="R10168" t="s">
        <v>614</v>
      </c>
      <c r="S10168">
        <v>152.814527</v>
      </c>
      <c r="T10168" s="1095">
        <v>-27.322775</v>
      </c>
    </row>
    <row r="10169" spans="16:20">
      <c r="P10169" s="1094">
        <v>4520</v>
      </c>
      <c r="Q10169" t="s">
        <v>10673</v>
      </c>
      <c r="R10169" t="s">
        <v>614</v>
      </c>
      <c r="S10169">
        <v>152.814527</v>
      </c>
      <c r="T10169" s="1095">
        <v>-27.322775</v>
      </c>
    </row>
    <row r="10170" spans="16:20">
      <c r="P10170" s="1094">
        <v>4521</v>
      </c>
      <c r="Q10170" t="s">
        <v>10674</v>
      </c>
      <c r="R10170" t="s">
        <v>614</v>
      </c>
      <c r="S10170">
        <v>152.78617199999999</v>
      </c>
      <c r="T10170" s="1095">
        <v>-27.169774</v>
      </c>
    </row>
    <row r="10171" spans="16:20">
      <c r="P10171" s="1094">
        <v>4521</v>
      </c>
      <c r="Q10171" t="s">
        <v>10675</v>
      </c>
      <c r="R10171" t="s">
        <v>614</v>
      </c>
      <c r="S10171">
        <v>152.78617199999999</v>
      </c>
      <c r="T10171" s="1095">
        <v>-27.169774</v>
      </c>
    </row>
    <row r="10172" spans="16:20">
      <c r="P10172" s="1094">
        <v>4521</v>
      </c>
      <c r="Q10172" t="s">
        <v>10676</v>
      </c>
      <c r="R10172" t="s">
        <v>614</v>
      </c>
      <c r="S10172">
        <v>152.78617199999999</v>
      </c>
      <c r="T10172" s="1095">
        <v>-27.169774</v>
      </c>
    </row>
    <row r="10173" spans="16:20">
      <c r="P10173" s="1094">
        <v>4521</v>
      </c>
      <c r="Q10173" t="s">
        <v>10677</v>
      </c>
      <c r="R10173" t="s">
        <v>614</v>
      </c>
      <c r="S10173">
        <v>152.78617199999999</v>
      </c>
      <c r="T10173" s="1095">
        <v>-27.169774</v>
      </c>
    </row>
    <row r="10174" spans="16:20">
      <c r="P10174" s="1094">
        <v>4521</v>
      </c>
      <c r="Q10174" t="s">
        <v>10678</v>
      </c>
      <c r="R10174" t="s">
        <v>614</v>
      </c>
      <c r="S10174">
        <v>152.78617199999999</v>
      </c>
      <c r="T10174" s="1095">
        <v>-27.169774</v>
      </c>
    </row>
    <row r="10175" spans="16:20">
      <c r="P10175" s="1094">
        <v>4521</v>
      </c>
      <c r="Q10175" t="s">
        <v>4204</v>
      </c>
      <c r="R10175" t="s">
        <v>614</v>
      </c>
      <c r="S10175">
        <v>152.78617199999999</v>
      </c>
      <c r="T10175" s="1095">
        <v>-27.169774</v>
      </c>
    </row>
    <row r="10176" spans="16:20">
      <c r="P10176" s="1094">
        <v>4521</v>
      </c>
      <c r="Q10176" t="s">
        <v>10679</v>
      </c>
      <c r="R10176" t="s">
        <v>614</v>
      </c>
      <c r="S10176">
        <v>152.78617199999999</v>
      </c>
      <c r="T10176" s="1095">
        <v>-27.169774</v>
      </c>
    </row>
    <row r="10177" spans="16:20">
      <c r="P10177" s="1094">
        <v>4521</v>
      </c>
      <c r="Q10177" t="s">
        <v>10680</v>
      </c>
      <c r="R10177" t="s">
        <v>614</v>
      </c>
      <c r="S10177">
        <v>152.78617199999999</v>
      </c>
      <c r="T10177" s="1095">
        <v>-27.169774</v>
      </c>
    </row>
    <row r="10178" spans="16:20">
      <c r="P10178" s="1094">
        <v>4550</v>
      </c>
      <c r="Q10178" t="s">
        <v>7458</v>
      </c>
      <c r="R10178" t="s">
        <v>614</v>
      </c>
      <c r="S10178">
        <v>152.97134600000001</v>
      </c>
      <c r="T10178" s="1095">
        <v>-26.812085</v>
      </c>
    </row>
    <row r="10179" spans="16:20">
      <c r="P10179" s="1094">
        <v>4550</v>
      </c>
      <c r="Q10179" t="s">
        <v>10681</v>
      </c>
      <c r="R10179" t="s">
        <v>614</v>
      </c>
      <c r="S10179">
        <v>152.97134600000001</v>
      </c>
      <c r="T10179" s="1095">
        <v>-26.812085</v>
      </c>
    </row>
    <row r="10180" spans="16:20">
      <c r="P10180" s="1094">
        <v>4551</v>
      </c>
      <c r="Q10180" t="s">
        <v>10682</v>
      </c>
      <c r="R10180" t="s">
        <v>614</v>
      </c>
      <c r="S10180">
        <v>153.088435</v>
      </c>
      <c r="T10180" s="1095">
        <v>-26.828067000000001</v>
      </c>
    </row>
    <row r="10181" spans="16:20">
      <c r="P10181" s="1094">
        <v>4551</v>
      </c>
      <c r="Q10181" t="s">
        <v>10683</v>
      </c>
      <c r="R10181" t="s">
        <v>614</v>
      </c>
      <c r="S10181">
        <v>153.088435</v>
      </c>
      <c r="T10181" s="1095">
        <v>-26.828067000000001</v>
      </c>
    </row>
    <row r="10182" spans="16:20">
      <c r="P10182" s="1094">
        <v>4551</v>
      </c>
      <c r="Q10182" t="s">
        <v>10684</v>
      </c>
      <c r="R10182" t="s">
        <v>614</v>
      </c>
      <c r="S10182">
        <v>153.088435</v>
      </c>
      <c r="T10182" s="1095">
        <v>-26.828067000000001</v>
      </c>
    </row>
    <row r="10183" spans="16:20">
      <c r="P10183" s="1094">
        <v>4551</v>
      </c>
      <c r="Q10183" t="s">
        <v>10685</v>
      </c>
      <c r="R10183" t="s">
        <v>614</v>
      </c>
      <c r="S10183">
        <v>153.088435</v>
      </c>
      <c r="T10183" s="1095">
        <v>-26.828067000000001</v>
      </c>
    </row>
    <row r="10184" spans="16:20">
      <c r="P10184" s="1094">
        <v>4551</v>
      </c>
      <c r="Q10184" t="s">
        <v>10686</v>
      </c>
      <c r="R10184" t="s">
        <v>614</v>
      </c>
      <c r="S10184">
        <v>153.088435</v>
      </c>
      <c r="T10184" s="1095">
        <v>-26.828067000000001</v>
      </c>
    </row>
    <row r="10185" spans="16:20">
      <c r="P10185" s="1094">
        <v>4551</v>
      </c>
      <c r="Q10185" t="s">
        <v>10687</v>
      </c>
      <c r="R10185" t="s">
        <v>614</v>
      </c>
      <c r="S10185">
        <v>153.088435</v>
      </c>
      <c r="T10185" s="1095">
        <v>-26.828067000000001</v>
      </c>
    </row>
    <row r="10186" spans="16:20">
      <c r="P10186" s="1094">
        <v>4551</v>
      </c>
      <c r="Q10186" t="s">
        <v>10688</v>
      </c>
      <c r="R10186" t="s">
        <v>614</v>
      </c>
      <c r="S10186">
        <v>153.088435</v>
      </c>
      <c r="T10186" s="1095">
        <v>-26.828067000000001</v>
      </c>
    </row>
    <row r="10187" spans="16:20">
      <c r="P10187" s="1094">
        <v>4551</v>
      </c>
      <c r="Q10187" t="s">
        <v>10689</v>
      </c>
      <c r="R10187" t="s">
        <v>614</v>
      </c>
      <c r="S10187">
        <v>153.088435</v>
      </c>
      <c r="T10187" s="1095">
        <v>-26.828067000000001</v>
      </c>
    </row>
    <row r="10188" spans="16:20">
      <c r="P10188" s="1094">
        <v>4551</v>
      </c>
      <c r="Q10188" t="s">
        <v>3518</v>
      </c>
      <c r="R10188" t="s">
        <v>614</v>
      </c>
      <c r="S10188">
        <v>153.088435</v>
      </c>
      <c r="T10188" s="1095">
        <v>-26.828067000000001</v>
      </c>
    </row>
    <row r="10189" spans="16:20">
      <c r="P10189" s="1094">
        <v>4551</v>
      </c>
      <c r="Q10189" t="s">
        <v>10690</v>
      </c>
      <c r="R10189" t="s">
        <v>614</v>
      </c>
      <c r="S10189">
        <v>153.088435</v>
      </c>
      <c r="T10189" s="1095">
        <v>-26.828067000000001</v>
      </c>
    </row>
    <row r="10190" spans="16:20">
      <c r="P10190" s="1094">
        <v>4551</v>
      </c>
      <c r="Q10190" t="s">
        <v>8882</v>
      </c>
      <c r="R10190" t="s">
        <v>614</v>
      </c>
      <c r="S10190">
        <v>153.088435</v>
      </c>
      <c r="T10190" s="1095">
        <v>-26.828067000000001</v>
      </c>
    </row>
    <row r="10191" spans="16:20">
      <c r="P10191" s="1094">
        <v>4551</v>
      </c>
      <c r="Q10191" t="s">
        <v>10691</v>
      </c>
      <c r="R10191" t="s">
        <v>614</v>
      </c>
      <c r="S10191">
        <v>153.088435</v>
      </c>
      <c r="T10191" s="1095">
        <v>-26.828067000000001</v>
      </c>
    </row>
    <row r="10192" spans="16:20">
      <c r="P10192" s="1094">
        <v>4551</v>
      </c>
      <c r="Q10192" t="s">
        <v>10692</v>
      </c>
      <c r="R10192" t="s">
        <v>614</v>
      </c>
      <c r="S10192">
        <v>153.088435</v>
      </c>
      <c r="T10192" s="1095">
        <v>-26.828067000000001</v>
      </c>
    </row>
    <row r="10193" spans="16:20">
      <c r="P10193" s="1094">
        <v>4551</v>
      </c>
      <c r="Q10193" t="s">
        <v>10693</v>
      </c>
      <c r="R10193" t="s">
        <v>614</v>
      </c>
      <c r="S10193">
        <v>153.088435</v>
      </c>
      <c r="T10193" s="1095">
        <v>-26.828067000000001</v>
      </c>
    </row>
    <row r="10194" spans="16:20">
      <c r="P10194" s="1094">
        <v>4551</v>
      </c>
      <c r="Q10194" t="s">
        <v>10694</v>
      </c>
      <c r="R10194" t="s">
        <v>614</v>
      </c>
      <c r="S10194">
        <v>153.088435</v>
      </c>
      <c r="T10194" s="1095">
        <v>-26.828067000000001</v>
      </c>
    </row>
    <row r="10195" spans="16:20">
      <c r="P10195" s="1094">
        <v>4551</v>
      </c>
      <c r="Q10195" t="s">
        <v>10695</v>
      </c>
      <c r="R10195" t="s">
        <v>614</v>
      </c>
      <c r="S10195">
        <v>153.088435</v>
      </c>
      <c r="T10195" s="1095">
        <v>-26.828067000000001</v>
      </c>
    </row>
    <row r="10196" spans="16:20">
      <c r="P10196" s="1094">
        <v>4551</v>
      </c>
      <c r="Q10196" t="s">
        <v>2392</v>
      </c>
      <c r="R10196" t="s">
        <v>614</v>
      </c>
      <c r="S10196">
        <v>153.088435</v>
      </c>
      <c r="T10196" s="1095">
        <v>-26.828067000000001</v>
      </c>
    </row>
    <row r="10197" spans="16:20">
      <c r="P10197" s="1094">
        <v>4552</v>
      </c>
      <c r="Q10197" t="s">
        <v>10696</v>
      </c>
      <c r="R10197" t="s">
        <v>614</v>
      </c>
      <c r="S10197">
        <v>152.766898</v>
      </c>
      <c r="T10197" s="1095">
        <v>-26.734304999999999</v>
      </c>
    </row>
    <row r="10198" spans="16:20">
      <c r="P10198" s="1094">
        <v>4552</v>
      </c>
      <c r="Q10198" t="s">
        <v>10697</v>
      </c>
      <c r="R10198" t="s">
        <v>614</v>
      </c>
      <c r="S10198">
        <v>152.766898</v>
      </c>
      <c r="T10198" s="1095">
        <v>-26.734304999999999</v>
      </c>
    </row>
    <row r="10199" spans="16:20">
      <c r="P10199" s="1094">
        <v>4552</v>
      </c>
      <c r="Q10199" t="s">
        <v>10698</v>
      </c>
      <c r="R10199" t="s">
        <v>614</v>
      </c>
      <c r="S10199">
        <v>152.766898</v>
      </c>
      <c r="T10199" s="1095">
        <v>-26.734304999999999</v>
      </c>
    </row>
    <row r="10200" spans="16:20">
      <c r="P10200" s="1094">
        <v>4552</v>
      </c>
      <c r="Q10200" t="s">
        <v>10699</v>
      </c>
      <c r="R10200" t="s">
        <v>614</v>
      </c>
      <c r="S10200">
        <v>152.766898</v>
      </c>
      <c r="T10200" s="1095">
        <v>-26.734304999999999</v>
      </c>
    </row>
    <row r="10201" spans="16:20">
      <c r="P10201" s="1094">
        <v>4552</v>
      </c>
      <c r="Q10201" t="s">
        <v>10700</v>
      </c>
      <c r="R10201" t="s">
        <v>614</v>
      </c>
      <c r="S10201">
        <v>152.766898</v>
      </c>
      <c r="T10201" s="1095">
        <v>-26.734304999999999</v>
      </c>
    </row>
    <row r="10202" spans="16:20">
      <c r="P10202" s="1094">
        <v>4552</v>
      </c>
      <c r="Q10202" t="s">
        <v>10701</v>
      </c>
      <c r="R10202" t="s">
        <v>614</v>
      </c>
      <c r="S10202">
        <v>152.766898</v>
      </c>
      <c r="T10202" s="1095">
        <v>-26.734304999999999</v>
      </c>
    </row>
    <row r="10203" spans="16:20">
      <c r="P10203" s="1094">
        <v>4552</v>
      </c>
      <c r="Q10203" t="s">
        <v>10702</v>
      </c>
      <c r="R10203" t="s">
        <v>614</v>
      </c>
      <c r="S10203">
        <v>152.766898</v>
      </c>
      <c r="T10203" s="1095">
        <v>-26.734304999999999</v>
      </c>
    </row>
    <row r="10204" spans="16:20">
      <c r="P10204" s="1094">
        <v>4552</v>
      </c>
      <c r="Q10204" t="s">
        <v>4250</v>
      </c>
      <c r="R10204" t="s">
        <v>614</v>
      </c>
      <c r="S10204">
        <v>152.766898</v>
      </c>
      <c r="T10204" s="1095">
        <v>-26.734304999999999</v>
      </c>
    </row>
    <row r="10205" spans="16:20">
      <c r="P10205" s="1094">
        <v>4552</v>
      </c>
      <c r="Q10205" t="s">
        <v>10703</v>
      </c>
      <c r="R10205" t="s">
        <v>614</v>
      </c>
      <c r="S10205">
        <v>152.766898</v>
      </c>
      <c r="T10205" s="1095">
        <v>-26.734304999999999</v>
      </c>
    </row>
    <row r="10206" spans="16:20">
      <c r="P10206" s="1094">
        <v>4552</v>
      </c>
      <c r="Q10206" t="s">
        <v>10704</v>
      </c>
      <c r="R10206" t="s">
        <v>614</v>
      </c>
      <c r="S10206">
        <v>152.766898</v>
      </c>
      <c r="T10206" s="1095">
        <v>-26.734304999999999</v>
      </c>
    </row>
    <row r="10207" spans="16:20">
      <c r="P10207" s="1094">
        <v>4552</v>
      </c>
      <c r="Q10207" t="s">
        <v>10705</v>
      </c>
      <c r="R10207" t="s">
        <v>614</v>
      </c>
      <c r="S10207">
        <v>152.766898</v>
      </c>
      <c r="T10207" s="1095">
        <v>-26.734304999999999</v>
      </c>
    </row>
    <row r="10208" spans="16:20">
      <c r="P10208" s="1094">
        <v>4552</v>
      </c>
      <c r="Q10208" t="s">
        <v>3742</v>
      </c>
      <c r="R10208" t="s">
        <v>614</v>
      </c>
      <c r="S10208">
        <v>152.766898</v>
      </c>
      <c r="T10208" s="1095">
        <v>-26.734304999999999</v>
      </c>
    </row>
    <row r="10209" spans="16:20">
      <c r="P10209" s="1094">
        <v>4552</v>
      </c>
      <c r="Q10209" t="s">
        <v>10706</v>
      </c>
      <c r="R10209" t="s">
        <v>614</v>
      </c>
      <c r="S10209">
        <v>152.766898</v>
      </c>
      <c r="T10209" s="1095">
        <v>-26.734304999999999</v>
      </c>
    </row>
    <row r="10210" spans="16:20">
      <c r="P10210" s="1094">
        <v>4552</v>
      </c>
      <c r="Q10210" t="s">
        <v>10707</v>
      </c>
      <c r="R10210" t="s">
        <v>614</v>
      </c>
      <c r="S10210">
        <v>152.766898</v>
      </c>
      <c r="T10210" s="1095">
        <v>-26.734304999999999</v>
      </c>
    </row>
    <row r="10211" spans="16:20">
      <c r="P10211" s="1094">
        <v>4552</v>
      </c>
      <c r="Q10211" t="s">
        <v>10708</v>
      </c>
      <c r="R10211" t="s">
        <v>614</v>
      </c>
      <c r="S10211">
        <v>152.766898</v>
      </c>
      <c r="T10211" s="1095">
        <v>-26.734304999999999</v>
      </c>
    </row>
    <row r="10212" spans="16:20">
      <c r="P10212" s="1094">
        <v>4552</v>
      </c>
      <c r="Q10212" t="s">
        <v>10709</v>
      </c>
      <c r="R10212" t="s">
        <v>614</v>
      </c>
      <c r="S10212">
        <v>152.766898</v>
      </c>
      <c r="T10212" s="1095">
        <v>-26.734304999999999</v>
      </c>
    </row>
    <row r="10213" spans="16:20">
      <c r="P10213" s="1094">
        <v>4553</v>
      </c>
      <c r="Q10213" t="s">
        <v>10710</v>
      </c>
      <c r="R10213" t="s">
        <v>614</v>
      </c>
      <c r="S10213">
        <v>153.01796200000001</v>
      </c>
      <c r="T10213" s="1095">
        <v>-26.771796999999999</v>
      </c>
    </row>
    <row r="10214" spans="16:20">
      <c r="P10214" s="1094">
        <v>4553</v>
      </c>
      <c r="Q10214" t="s">
        <v>10711</v>
      </c>
      <c r="R10214" t="s">
        <v>614</v>
      </c>
      <c r="S10214">
        <v>153.01796200000001</v>
      </c>
      <c r="T10214" s="1095">
        <v>-26.771796999999999</v>
      </c>
    </row>
    <row r="10215" spans="16:20">
      <c r="P10215" s="1094">
        <v>4553</v>
      </c>
      <c r="Q10215" t="s">
        <v>10712</v>
      </c>
      <c r="R10215" t="s">
        <v>614</v>
      </c>
      <c r="S10215">
        <v>153.01796200000001</v>
      </c>
      <c r="T10215" s="1095">
        <v>-26.771796999999999</v>
      </c>
    </row>
    <row r="10216" spans="16:20">
      <c r="P10216" s="1094">
        <v>4553</v>
      </c>
      <c r="Q10216" t="s">
        <v>10713</v>
      </c>
      <c r="R10216" t="s">
        <v>614</v>
      </c>
      <c r="S10216">
        <v>153.01796200000001</v>
      </c>
      <c r="T10216" s="1095">
        <v>-26.771796999999999</v>
      </c>
    </row>
    <row r="10217" spans="16:20">
      <c r="P10217" s="1094">
        <v>4553</v>
      </c>
      <c r="Q10217" t="s">
        <v>10714</v>
      </c>
      <c r="R10217" t="s">
        <v>614</v>
      </c>
      <c r="S10217">
        <v>153.01796200000001</v>
      </c>
      <c r="T10217" s="1095">
        <v>-26.771796999999999</v>
      </c>
    </row>
    <row r="10218" spans="16:20">
      <c r="P10218" s="1094">
        <v>4554</v>
      </c>
      <c r="Q10218" t="s">
        <v>10715</v>
      </c>
      <c r="R10218" t="s">
        <v>614</v>
      </c>
      <c r="S10218">
        <v>152.965037</v>
      </c>
      <c r="T10218" s="1095">
        <v>-26.731691999999999</v>
      </c>
    </row>
    <row r="10219" spans="16:20">
      <c r="P10219" s="1094">
        <v>4554</v>
      </c>
      <c r="Q10219" t="s">
        <v>10716</v>
      </c>
      <c r="R10219" t="s">
        <v>614</v>
      </c>
      <c r="S10219">
        <v>152.965037</v>
      </c>
      <c r="T10219" s="1095">
        <v>-26.731691999999999</v>
      </c>
    </row>
    <row r="10220" spans="16:20">
      <c r="P10220" s="1094">
        <v>4555</v>
      </c>
      <c r="Q10220" t="s">
        <v>10717</v>
      </c>
      <c r="R10220" t="s">
        <v>614</v>
      </c>
      <c r="S10220">
        <v>152.95452</v>
      </c>
      <c r="T10220" s="1095">
        <v>-26.691700999999998</v>
      </c>
    </row>
    <row r="10221" spans="16:20">
      <c r="P10221" s="1094">
        <v>4555</v>
      </c>
      <c r="Q10221" t="s">
        <v>10718</v>
      </c>
      <c r="R10221" t="s">
        <v>614</v>
      </c>
      <c r="S10221">
        <v>152.95452</v>
      </c>
      <c r="T10221" s="1095">
        <v>-26.691700999999998</v>
      </c>
    </row>
    <row r="10222" spans="16:20">
      <c r="P10222" s="1094">
        <v>4555</v>
      </c>
      <c r="Q10222" t="s">
        <v>10719</v>
      </c>
      <c r="R10222" t="s">
        <v>614</v>
      </c>
      <c r="S10222">
        <v>152.95452</v>
      </c>
      <c r="T10222" s="1095">
        <v>-26.691700999999998</v>
      </c>
    </row>
    <row r="10223" spans="16:20">
      <c r="P10223" s="1094">
        <v>4555</v>
      </c>
      <c r="Q10223" t="s">
        <v>4061</v>
      </c>
      <c r="R10223" t="s">
        <v>614</v>
      </c>
      <c r="S10223">
        <v>152.95452</v>
      </c>
      <c r="T10223" s="1095">
        <v>-26.691700999999998</v>
      </c>
    </row>
    <row r="10224" spans="16:20">
      <c r="P10224" s="1094">
        <v>4556</v>
      </c>
      <c r="Q10224" t="s">
        <v>10720</v>
      </c>
      <c r="R10224" t="s">
        <v>614</v>
      </c>
      <c r="S10224">
        <v>153.04978399999999</v>
      </c>
      <c r="T10224" s="1095">
        <v>-26.700379000000002</v>
      </c>
    </row>
    <row r="10225" spans="16:20">
      <c r="P10225" s="1094">
        <v>4556</v>
      </c>
      <c r="Q10225" t="s">
        <v>2072</v>
      </c>
      <c r="R10225" t="s">
        <v>614</v>
      </c>
      <c r="S10225">
        <v>153.04978399999999</v>
      </c>
      <c r="T10225" s="1095">
        <v>-26.700379000000002</v>
      </c>
    </row>
    <row r="10226" spans="16:20">
      <c r="P10226" s="1094">
        <v>4556</v>
      </c>
      <c r="Q10226" t="s">
        <v>10721</v>
      </c>
      <c r="R10226" t="s">
        <v>614</v>
      </c>
      <c r="S10226">
        <v>153.04978399999999</v>
      </c>
      <c r="T10226" s="1095">
        <v>-26.700379000000002</v>
      </c>
    </row>
    <row r="10227" spans="16:20">
      <c r="P10227" s="1094">
        <v>4556</v>
      </c>
      <c r="Q10227" t="s">
        <v>10722</v>
      </c>
      <c r="R10227" t="s">
        <v>614</v>
      </c>
      <c r="S10227">
        <v>153.04978399999999</v>
      </c>
      <c r="T10227" s="1095">
        <v>-26.700379000000002</v>
      </c>
    </row>
    <row r="10228" spans="16:20">
      <c r="P10228" s="1094">
        <v>4556</v>
      </c>
      <c r="Q10228" t="s">
        <v>10723</v>
      </c>
      <c r="R10228" t="s">
        <v>614</v>
      </c>
      <c r="S10228">
        <v>153.04978399999999</v>
      </c>
      <c r="T10228" s="1095">
        <v>-26.700379000000002</v>
      </c>
    </row>
    <row r="10229" spans="16:20">
      <c r="P10229" s="1094">
        <v>4556</v>
      </c>
      <c r="Q10229" t="s">
        <v>10724</v>
      </c>
      <c r="R10229" t="s">
        <v>614</v>
      </c>
      <c r="S10229">
        <v>153.04978399999999</v>
      </c>
      <c r="T10229" s="1095">
        <v>-26.700379000000002</v>
      </c>
    </row>
    <row r="10230" spans="16:20">
      <c r="P10230" s="1094">
        <v>4557</v>
      </c>
      <c r="Q10230" t="s">
        <v>10725</v>
      </c>
      <c r="R10230" t="s">
        <v>614</v>
      </c>
      <c r="S10230">
        <v>153.113416</v>
      </c>
      <c r="T10230" s="1095">
        <v>-26.686321</v>
      </c>
    </row>
    <row r="10231" spans="16:20">
      <c r="P10231" s="1094">
        <v>4557</v>
      </c>
      <c r="Q10231" t="s">
        <v>5121</v>
      </c>
      <c r="R10231" t="s">
        <v>614</v>
      </c>
      <c r="S10231">
        <v>153.113416</v>
      </c>
      <c r="T10231" s="1095">
        <v>-26.686321</v>
      </c>
    </row>
    <row r="10232" spans="16:20">
      <c r="P10232" s="1094">
        <v>4558</v>
      </c>
      <c r="Q10232" t="s">
        <v>10726</v>
      </c>
      <c r="R10232" t="s">
        <v>614</v>
      </c>
      <c r="S10232">
        <v>153.07537300000001</v>
      </c>
      <c r="T10232" s="1095">
        <v>-26.655066999999999</v>
      </c>
    </row>
    <row r="10233" spans="16:20">
      <c r="P10233" s="1094">
        <v>4558</v>
      </c>
      <c r="Q10233" t="s">
        <v>10727</v>
      </c>
      <c r="R10233" t="s">
        <v>614</v>
      </c>
      <c r="S10233">
        <v>153.07537300000001</v>
      </c>
      <c r="T10233" s="1095">
        <v>-26.655066999999999</v>
      </c>
    </row>
    <row r="10234" spans="16:20">
      <c r="P10234" s="1094">
        <v>4558</v>
      </c>
      <c r="Q10234" t="s">
        <v>10728</v>
      </c>
      <c r="R10234" t="s">
        <v>614</v>
      </c>
      <c r="S10234">
        <v>153.07537300000001</v>
      </c>
      <c r="T10234" s="1095">
        <v>-26.655066999999999</v>
      </c>
    </row>
    <row r="10235" spans="16:20">
      <c r="P10235" s="1094">
        <v>4558</v>
      </c>
      <c r="Q10235" t="s">
        <v>10729</v>
      </c>
      <c r="R10235" t="s">
        <v>614</v>
      </c>
      <c r="S10235">
        <v>153.07537300000001</v>
      </c>
      <c r="T10235" s="1095">
        <v>-26.655066999999999</v>
      </c>
    </row>
    <row r="10236" spans="16:20">
      <c r="P10236" s="1094">
        <v>4558</v>
      </c>
      <c r="Q10236" t="s">
        <v>10730</v>
      </c>
      <c r="R10236" t="s">
        <v>614</v>
      </c>
      <c r="S10236">
        <v>153.07537300000001</v>
      </c>
      <c r="T10236" s="1095">
        <v>-26.655066999999999</v>
      </c>
    </row>
    <row r="10237" spans="16:20">
      <c r="P10237" s="1094">
        <v>4558</v>
      </c>
      <c r="Q10237" t="s">
        <v>10731</v>
      </c>
      <c r="R10237" t="s">
        <v>614</v>
      </c>
      <c r="S10237">
        <v>153.07537300000001</v>
      </c>
      <c r="T10237" s="1095">
        <v>-26.655066999999999</v>
      </c>
    </row>
    <row r="10238" spans="16:20">
      <c r="P10238" s="1094">
        <v>4558</v>
      </c>
      <c r="Q10238" t="s">
        <v>10732</v>
      </c>
      <c r="R10238" t="s">
        <v>614</v>
      </c>
      <c r="S10238">
        <v>153.07537300000001</v>
      </c>
      <c r="T10238" s="1095">
        <v>-26.655066999999999</v>
      </c>
    </row>
    <row r="10239" spans="16:20">
      <c r="P10239" s="1094">
        <v>4559</v>
      </c>
      <c r="Q10239" t="s">
        <v>10733</v>
      </c>
      <c r="R10239" t="s">
        <v>614</v>
      </c>
      <c r="S10239">
        <v>152.965013</v>
      </c>
      <c r="T10239" s="1095">
        <v>-26.663239999999998</v>
      </c>
    </row>
    <row r="10240" spans="16:20">
      <c r="P10240" s="1094">
        <v>4559</v>
      </c>
      <c r="Q10240" t="s">
        <v>10734</v>
      </c>
      <c r="R10240" t="s">
        <v>614</v>
      </c>
      <c r="S10240">
        <v>152.965013</v>
      </c>
      <c r="T10240" s="1095">
        <v>-26.663239999999998</v>
      </c>
    </row>
    <row r="10241" spans="16:20">
      <c r="P10241" s="1094">
        <v>4559</v>
      </c>
      <c r="Q10241" t="s">
        <v>10735</v>
      </c>
      <c r="R10241" t="s">
        <v>614</v>
      </c>
      <c r="S10241">
        <v>152.965013</v>
      </c>
      <c r="T10241" s="1095">
        <v>-26.663239999999998</v>
      </c>
    </row>
    <row r="10242" spans="16:20">
      <c r="P10242" s="1094">
        <v>4559</v>
      </c>
      <c r="Q10242" t="s">
        <v>10736</v>
      </c>
      <c r="R10242" t="s">
        <v>614</v>
      </c>
      <c r="S10242">
        <v>152.965013</v>
      </c>
      <c r="T10242" s="1095">
        <v>-26.663239999999998</v>
      </c>
    </row>
    <row r="10243" spans="16:20">
      <c r="P10243" s="1094">
        <v>4560</v>
      </c>
      <c r="Q10243" t="s">
        <v>10737</v>
      </c>
      <c r="R10243" t="s">
        <v>614</v>
      </c>
      <c r="S10243">
        <v>152.917384</v>
      </c>
      <c r="T10243" s="1095">
        <v>-26.635086999999999</v>
      </c>
    </row>
    <row r="10244" spans="16:20">
      <c r="P10244" s="1094">
        <v>4560</v>
      </c>
      <c r="Q10244" t="s">
        <v>6389</v>
      </c>
      <c r="R10244" t="s">
        <v>614</v>
      </c>
      <c r="S10244">
        <v>152.917384</v>
      </c>
      <c r="T10244" s="1095">
        <v>-26.635086999999999</v>
      </c>
    </row>
    <row r="10245" spans="16:20">
      <c r="P10245" s="1094">
        <v>4560</v>
      </c>
      <c r="Q10245" t="s">
        <v>10738</v>
      </c>
      <c r="R10245" t="s">
        <v>614</v>
      </c>
      <c r="S10245">
        <v>152.917384</v>
      </c>
      <c r="T10245" s="1095">
        <v>-26.635086999999999</v>
      </c>
    </row>
    <row r="10246" spans="16:20">
      <c r="P10246" s="1094">
        <v>4560</v>
      </c>
      <c r="Q10246" t="s">
        <v>10739</v>
      </c>
      <c r="R10246" t="s">
        <v>614</v>
      </c>
      <c r="S10246">
        <v>152.917384</v>
      </c>
      <c r="T10246" s="1095">
        <v>-26.635086999999999</v>
      </c>
    </row>
    <row r="10247" spans="16:20">
      <c r="P10247" s="1094">
        <v>4560</v>
      </c>
      <c r="Q10247" t="s">
        <v>10740</v>
      </c>
      <c r="R10247" t="s">
        <v>614</v>
      </c>
      <c r="S10247">
        <v>152.917384</v>
      </c>
      <c r="T10247" s="1095">
        <v>-26.635086999999999</v>
      </c>
    </row>
    <row r="10248" spans="16:20">
      <c r="P10248" s="1094">
        <v>4560</v>
      </c>
      <c r="Q10248" t="s">
        <v>10741</v>
      </c>
      <c r="R10248" t="s">
        <v>614</v>
      </c>
      <c r="S10248">
        <v>152.917384</v>
      </c>
      <c r="T10248" s="1095">
        <v>-26.635086999999999</v>
      </c>
    </row>
    <row r="10249" spans="16:20">
      <c r="P10249" s="1094">
        <v>4560</v>
      </c>
      <c r="Q10249" t="s">
        <v>10742</v>
      </c>
      <c r="R10249" t="s">
        <v>614</v>
      </c>
      <c r="S10249">
        <v>152.917384</v>
      </c>
      <c r="T10249" s="1095">
        <v>-26.635086999999999</v>
      </c>
    </row>
    <row r="10250" spans="16:20">
      <c r="P10250" s="1094">
        <v>4560</v>
      </c>
      <c r="Q10250" t="s">
        <v>10743</v>
      </c>
      <c r="R10250" t="s">
        <v>614</v>
      </c>
      <c r="S10250">
        <v>152.917384</v>
      </c>
      <c r="T10250" s="1095">
        <v>-26.635086999999999</v>
      </c>
    </row>
    <row r="10251" spans="16:20">
      <c r="P10251" s="1094">
        <v>4560</v>
      </c>
      <c r="Q10251" t="s">
        <v>10744</v>
      </c>
      <c r="R10251" t="s">
        <v>614</v>
      </c>
      <c r="S10251">
        <v>152.917384</v>
      </c>
      <c r="T10251" s="1095">
        <v>-26.635086999999999</v>
      </c>
    </row>
    <row r="10252" spans="16:20">
      <c r="P10252" s="1094">
        <v>4560</v>
      </c>
      <c r="Q10252" t="s">
        <v>10745</v>
      </c>
      <c r="R10252" t="s">
        <v>614</v>
      </c>
      <c r="S10252">
        <v>152.917384</v>
      </c>
      <c r="T10252" s="1095">
        <v>-26.635086999999999</v>
      </c>
    </row>
    <row r="10253" spans="16:20">
      <c r="P10253" s="1094">
        <v>4560</v>
      </c>
      <c r="Q10253" t="s">
        <v>10746</v>
      </c>
      <c r="R10253" t="s">
        <v>614</v>
      </c>
      <c r="S10253">
        <v>152.917384</v>
      </c>
      <c r="T10253" s="1095">
        <v>-26.635086999999999</v>
      </c>
    </row>
    <row r="10254" spans="16:20">
      <c r="P10254" s="1094">
        <v>4560</v>
      </c>
      <c r="Q10254" t="s">
        <v>10747</v>
      </c>
      <c r="R10254" t="s">
        <v>614</v>
      </c>
      <c r="S10254">
        <v>152.917384</v>
      </c>
      <c r="T10254" s="1095">
        <v>-26.635086999999999</v>
      </c>
    </row>
    <row r="10255" spans="16:20">
      <c r="P10255" s="1094">
        <v>4560</v>
      </c>
      <c r="Q10255" t="s">
        <v>10748</v>
      </c>
      <c r="R10255" t="s">
        <v>614</v>
      </c>
      <c r="S10255">
        <v>152.917384</v>
      </c>
      <c r="T10255" s="1095">
        <v>-26.635086999999999</v>
      </c>
    </row>
    <row r="10256" spans="16:20">
      <c r="P10256" s="1094">
        <v>4560</v>
      </c>
      <c r="Q10256" t="s">
        <v>10749</v>
      </c>
      <c r="R10256" t="s">
        <v>614</v>
      </c>
      <c r="S10256">
        <v>152.917384</v>
      </c>
      <c r="T10256" s="1095">
        <v>-26.635086999999999</v>
      </c>
    </row>
    <row r="10257" spans="16:20">
      <c r="P10257" s="1094">
        <v>4560</v>
      </c>
      <c r="Q10257" t="s">
        <v>10750</v>
      </c>
      <c r="R10257" t="s">
        <v>614</v>
      </c>
      <c r="S10257">
        <v>152.917384</v>
      </c>
      <c r="T10257" s="1095">
        <v>-26.635086999999999</v>
      </c>
    </row>
    <row r="10258" spans="16:20">
      <c r="P10258" s="1094">
        <v>4560</v>
      </c>
      <c r="Q10258" t="s">
        <v>10751</v>
      </c>
      <c r="R10258" t="s">
        <v>614</v>
      </c>
      <c r="S10258">
        <v>152.917384</v>
      </c>
      <c r="T10258" s="1095">
        <v>-26.635086999999999</v>
      </c>
    </row>
    <row r="10259" spans="16:20">
      <c r="P10259" s="1094">
        <v>4560</v>
      </c>
      <c r="Q10259" t="s">
        <v>10752</v>
      </c>
      <c r="R10259" t="s">
        <v>614</v>
      </c>
      <c r="S10259">
        <v>152.917384</v>
      </c>
      <c r="T10259" s="1095">
        <v>-26.635086999999999</v>
      </c>
    </row>
    <row r="10260" spans="16:20">
      <c r="P10260" s="1094">
        <v>4560</v>
      </c>
      <c r="Q10260" t="s">
        <v>10753</v>
      </c>
      <c r="R10260" t="s">
        <v>614</v>
      </c>
      <c r="S10260">
        <v>152.917384</v>
      </c>
      <c r="T10260" s="1095">
        <v>-26.635086999999999</v>
      </c>
    </row>
    <row r="10261" spans="16:20">
      <c r="P10261" s="1094">
        <v>4560</v>
      </c>
      <c r="Q10261" t="s">
        <v>10754</v>
      </c>
      <c r="R10261" t="s">
        <v>614</v>
      </c>
      <c r="S10261">
        <v>152.917384</v>
      </c>
      <c r="T10261" s="1095">
        <v>-26.635086999999999</v>
      </c>
    </row>
    <row r="10262" spans="16:20">
      <c r="P10262" s="1094">
        <v>4560</v>
      </c>
      <c r="Q10262" t="s">
        <v>10755</v>
      </c>
      <c r="R10262" t="s">
        <v>614</v>
      </c>
      <c r="S10262">
        <v>152.917384</v>
      </c>
      <c r="T10262" s="1095">
        <v>-26.635086999999999</v>
      </c>
    </row>
    <row r="10263" spans="16:20">
      <c r="P10263" s="1094">
        <v>4560</v>
      </c>
      <c r="Q10263" t="s">
        <v>10756</v>
      </c>
      <c r="R10263" t="s">
        <v>614</v>
      </c>
      <c r="S10263">
        <v>152.917384</v>
      </c>
      <c r="T10263" s="1095">
        <v>-26.635086999999999</v>
      </c>
    </row>
    <row r="10264" spans="16:20">
      <c r="P10264" s="1094">
        <v>4560</v>
      </c>
      <c r="Q10264" t="s">
        <v>10757</v>
      </c>
      <c r="R10264" t="s">
        <v>614</v>
      </c>
      <c r="S10264">
        <v>152.917384</v>
      </c>
      <c r="T10264" s="1095">
        <v>-26.635086999999999</v>
      </c>
    </row>
    <row r="10265" spans="16:20">
      <c r="P10265" s="1094">
        <v>4561</v>
      </c>
      <c r="Q10265" t="s">
        <v>10758</v>
      </c>
      <c r="R10265" t="s">
        <v>614</v>
      </c>
      <c r="S10265">
        <v>152.96481399999999</v>
      </c>
      <c r="T10265" s="1095">
        <v>-26.531486999999998</v>
      </c>
    </row>
    <row r="10266" spans="16:20">
      <c r="P10266" s="1094">
        <v>4561</v>
      </c>
      <c r="Q10266" t="s">
        <v>10759</v>
      </c>
      <c r="R10266" t="s">
        <v>614</v>
      </c>
      <c r="S10266">
        <v>152.96481399999999</v>
      </c>
      <c r="T10266" s="1095">
        <v>-26.531486999999998</v>
      </c>
    </row>
    <row r="10267" spans="16:20">
      <c r="P10267" s="1094">
        <v>4561</v>
      </c>
      <c r="Q10267" t="s">
        <v>10760</v>
      </c>
      <c r="R10267" t="s">
        <v>614</v>
      </c>
      <c r="S10267">
        <v>152.96481399999999</v>
      </c>
      <c r="T10267" s="1095">
        <v>-26.531486999999998</v>
      </c>
    </row>
    <row r="10268" spans="16:20">
      <c r="P10268" s="1094">
        <v>4561</v>
      </c>
      <c r="Q10268" t="s">
        <v>4111</v>
      </c>
      <c r="R10268" t="s">
        <v>614</v>
      </c>
      <c r="S10268">
        <v>152.96481399999999</v>
      </c>
      <c r="T10268" s="1095">
        <v>-26.531486999999998</v>
      </c>
    </row>
    <row r="10269" spans="16:20">
      <c r="P10269" s="1094">
        <v>4561</v>
      </c>
      <c r="Q10269" t="s">
        <v>10761</v>
      </c>
      <c r="R10269" t="s">
        <v>614</v>
      </c>
      <c r="S10269">
        <v>152.96481399999999</v>
      </c>
      <c r="T10269" s="1095">
        <v>-26.531486999999998</v>
      </c>
    </row>
    <row r="10270" spans="16:20">
      <c r="P10270" s="1094">
        <v>4561</v>
      </c>
      <c r="Q10270" t="s">
        <v>10762</v>
      </c>
      <c r="R10270" t="s">
        <v>614</v>
      </c>
      <c r="S10270">
        <v>152.96481399999999</v>
      </c>
      <c r="T10270" s="1095">
        <v>-26.531486999999998</v>
      </c>
    </row>
    <row r="10271" spans="16:20">
      <c r="P10271" s="1094">
        <v>4561</v>
      </c>
      <c r="Q10271" t="s">
        <v>10763</v>
      </c>
      <c r="R10271" t="s">
        <v>614</v>
      </c>
      <c r="S10271">
        <v>152.96481399999999</v>
      </c>
      <c r="T10271" s="1095">
        <v>-26.531486999999998</v>
      </c>
    </row>
    <row r="10272" spans="16:20">
      <c r="P10272" s="1094">
        <v>4562</v>
      </c>
      <c r="Q10272" t="s">
        <v>10764</v>
      </c>
      <c r="R10272" t="s">
        <v>614</v>
      </c>
      <c r="S10272">
        <v>152.803089</v>
      </c>
      <c r="T10272" s="1095">
        <v>-26.505863000000002</v>
      </c>
    </row>
    <row r="10273" spans="16:20">
      <c r="P10273" s="1094">
        <v>4562</v>
      </c>
      <c r="Q10273" t="s">
        <v>10765</v>
      </c>
      <c r="R10273" t="s">
        <v>614</v>
      </c>
      <c r="S10273">
        <v>152.803089</v>
      </c>
      <c r="T10273" s="1095">
        <v>-26.505863000000002</v>
      </c>
    </row>
    <row r="10274" spans="16:20">
      <c r="P10274" s="1094">
        <v>4562</v>
      </c>
      <c r="Q10274" t="s">
        <v>10766</v>
      </c>
      <c r="R10274" t="s">
        <v>614</v>
      </c>
      <c r="S10274">
        <v>152.803089</v>
      </c>
      <c r="T10274" s="1095">
        <v>-26.505863000000002</v>
      </c>
    </row>
    <row r="10275" spans="16:20">
      <c r="P10275" s="1094">
        <v>4562</v>
      </c>
      <c r="Q10275" t="s">
        <v>10767</v>
      </c>
      <c r="R10275" t="s">
        <v>614</v>
      </c>
      <c r="S10275">
        <v>152.803089</v>
      </c>
      <c r="T10275" s="1095">
        <v>-26.505863000000002</v>
      </c>
    </row>
    <row r="10276" spans="16:20">
      <c r="P10276" s="1094">
        <v>4562</v>
      </c>
      <c r="Q10276" t="s">
        <v>10768</v>
      </c>
      <c r="R10276" t="s">
        <v>614</v>
      </c>
      <c r="S10276">
        <v>152.803089</v>
      </c>
      <c r="T10276" s="1095">
        <v>-26.505863000000002</v>
      </c>
    </row>
    <row r="10277" spans="16:20">
      <c r="P10277" s="1094">
        <v>4562</v>
      </c>
      <c r="Q10277" t="s">
        <v>10769</v>
      </c>
      <c r="R10277" t="s">
        <v>614</v>
      </c>
      <c r="S10277">
        <v>152.803089</v>
      </c>
      <c r="T10277" s="1095">
        <v>-26.505863000000002</v>
      </c>
    </row>
    <row r="10278" spans="16:20">
      <c r="P10278" s="1094">
        <v>4563</v>
      </c>
      <c r="Q10278" t="s">
        <v>3053</v>
      </c>
      <c r="R10278" t="s">
        <v>614</v>
      </c>
      <c r="S10278">
        <v>152.90920600000001</v>
      </c>
      <c r="T10278" s="1095">
        <v>-26.425754000000001</v>
      </c>
    </row>
    <row r="10279" spans="16:20">
      <c r="P10279" s="1094">
        <v>4563</v>
      </c>
      <c r="Q10279" t="s">
        <v>10770</v>
      </c>
      <c r="R10279" t="s">
        <v>614</v>
      </c>
      <c r="S10279">
        <v>152.90920600000001</v>
      </c>
      <c r="T10279" s="1095">
        <v>-26.425754000000001</v>
      </c>
    </row>
    <row r="10280" spans="16:20">
      <c r="P10280" s="1094">
        <v>4563</v>
      </c>
      <c r="Q10280" t="s">
        <v>10771</v>
      </c>
      <c r="R10280" t="s">
        <v>614</v>
      </c>
      <c r="S10280">
        <v>152.90920600000001</v>
      </c>
      <c r="T10280" s="1095">
        <v>-26.425754000000001</v>
      </c>
    </row>
    <row r="10281" spans="16:20">
      <c r="P10281" s="1094">
        <v>4563</v>
      </c>
      <c r="Q10281" t="s">
        <v>10772</v>
      </c>
      <c r="R10281" t="s">
        <v>614</v>
      </c>
      <c r="S10281">
        <v>152.90920600000001</v>
      </c>
      <c r="T10281" s="1095">
        <v>-26.425754000000001</v>
      </c>
    </row>
    <row r="10282" spans="16:20">
      <c r="P10282" s="1094">
        <v>4563</v>
      </c>
      <c r="Q10282" t="s">
        <v>10773</v>
      </c>
      <c r="R10282" t="s">
        <v>614</v>
      </c>
      <c r="S10282">
        <v>152.90920600000001</v>
      </c>
      <c r="T10282" s="1095">
        <v>-26.425754000000001</v>
      </c>
    </row>
    <row r="10283" spans="16:20">
      <c r="P10283" s="1094">
        <v>4563</v>
      </c>
      <c r="Q10283" t="s">
        <v>10774</v>
      </c>
      <c r="R10283" t="s">
        <v>614</v>
      </c>
      <c r="S10283">
        <v>152.90920600000001</v>
      </c>
      <c r="T10283" s="1095">
        <v>-26.425754000000001</v>
      </c>
    </row>
    <row r="10284" spans="16:20">
      <c r="P10284" s="1094">
        <v>4563</v>
      </c>
      <c r="Q10284" t="s">
        <v>10775</v>
      </c>
      <c r="R10284" t="s">
        <v>614</v>
      </c>
      <c r="S10284">
        <v>152.90920600000001</v>
      </c>
      <c r="T10284" s="1095">
        <v>-26.425754000000001</v>
      </c>
    </row>
    <row r="10285" spans="16:20">
      <c r="P10285" s="1094">
        <v>4563</v>
      </c>
      <c r="Q10285" t="s">
        <v>10776</v>
      </c>
      <c r="R10285" t="s">
        <v>614</v>
      </c>
      <c r="S10285">
        <v>152.90920600000001</v>
      </c>
      <c r="T10285" s="1095">
        <v>-26.425754000000001</v>
      </c>
    </row>
    <row r="10286" spans="16:20">
      <c r="P10286" s="1094">
        <v>4564</v>
      </c>
      <c r="Q10286" t="s">
        <v>10777</v>
      </c>
      <c r="R10286" t="s">
        <v>614</v>
      </c>
      <c r="S10286">
        <v>153.079239</v>
      </c>
      <c r="T10286" s="1095">
        <v>-26.612359000000001</v>
      </c>
    </row>
    <row r="10287" spans="16:20">
      <c r="P10287" s="1094">
        <v>4564</v>
      </c>
      <c r="Q10287" t="s">
        <v>10778</v>
      </c>
      <c r="R10287" t="s">
        <v>614</v>
      </c>
      <c r="S10287">
        <v>153.079239</v>
      </c>
      <c r="T10287" s="1095">
        <v>-26.612359000000001</v>
      </c>
    </row>
    <row r="10288" spans="16:20">
      <c r="P10288" s="1094">
        <v>4564</v>
      </c>
      <c r="Q10288" t="s">
        <v>10779</v>
      </c>
      <c r="R10288" t="s">
        <v>614</v>
      </c>
      <c r="S10288">
        <v>153.079239</v>
      </c>
      <c r="T10288" s="1095">
        <v>-26.612359000000001</v>
      </c>
    </row>
    <row r="10289" spans="16:20">
      <c r="P10289" s="1094">
        <v>4564</v>
      </c>
      <c r="Q10289" t="s">
        <v>10780</v>
      </c>
      <c r="R10289" t="s">
        <v>614</v>
      </c>
      <c r="S10289">
        <v>153.079239</v>
      </c>
      <c r="T10289" s="1095">
        <v>-26.612359000000001</v>
      </c>
    </row>
    <row r="10290" spans="16:20">
      <c r="P10290" s="1094">
        <v>4565</v>
      </c>
      <c r="Q10290" t="s">
        <v>10781</v>
      </c>
      <c r="R10290" t="s">
        <v>614</v>
      </c>
      <c r="S10290">
        <v>153.04230699999999</v>
      </c>
      <c r="T10290" s="1095">
        <v>-26.156836999999999</v>
      </c>
    </row>
    <row r="10291" spans="16:20">
      <c r="P10291" s="1094">
        <v>4565</v>
      </c>
      <c r="Q10291" t="s">
        <v>10782</v>
      </c>
      <c r="R10291" t="s">
        <v>614</v>
      </c>
      <c r="S10291">
        <v>153.04230699999999</v>
      </c>
      <c r="T10291" s="1095">
        <v>-26.156836999999999</v>
      </c>
    </row>
    <row r="10292" spans="16:20">
      <c r="P10292" s="1094">
        <v>4565</v>
      </c>
      <c r="Q10292" t="s">
        <v>10783</v>
      </c>
      <c r="R10292" t="s">
        <v>614</v>
      </c>
      <c r="S10292">
        <v>153.04230699999999</v>
      </c>
      <c r="T10292" s="1095">
        <v>-26.156836999999999</v>
      </c>
    </row>
    <row r="10293" spans="16:20">
      <c r="P10293" s="1094">
        <v>4565</v>
      </c>
      <c r="Q10293" t="s">
        <v>10784</v>
      </c>
      <c r="R10293" t="s">
        <v>614</v>
      </c>
      <c r="S10293">
        <v>153.04230699999999</v>
      </c>
      <c r="T10293" s="1095">
        <v>-26.156836999999999</v>
      </c>
    </row>
    <row r="10294" spans="16:20">
      <c r="P10294" s="1094">
        <v>4565</v>
      </c>
      <c r="Q10294" t="s">
        <v>10785</v>
      </c>
      <c r="R10294" t="s">
        <v>614</v>
      </c>
      <c r="S10294">
        <v>153.04230699999999</v>
      </c>
      <c r="T10294" s="1095">
        <v>-26.156836999999999</v>
      </c>
    </row>
    <row r="10295" spans="16:20">
      <c r="P10295" s="1094">
        <v>4565</v>
      </c>
      <c r="Q10295" t="s">
        <v>3537</v>
      </c>
      <c r="R10295" t="s">
        <v>614</v>
      </c>
      <c r="S10295">
        <v>153.04230699999999</v>
      </c>
      <c r="T10295" s="1095">
        <v>-26.156836999999999</v>
      </c>
    </row>
    <row r="10296" spans="16:20">
      <c r="P10296" s="1094">
        <v>4565</v>
      </c>
      <c r="Q10296" t="s">
        <v>10786</v>
      </c>
      <c r="R10296" t="s">
        <v>614</v>
      </c>
      <c r="S10296">
        <v>153.04230699999999</v>
      </c>
      <c r="T10296" s="1095">
        <v>-26.156836999999999</v>
      </c>
    </row>
    <row r="10297" spans="16:20">
      <c r="P10297" s="1094">
        <v>4565</v>
      </c>
      <c r="Q10297" t="s">
        <v>10787</v>
      </c>
      <c r="R10297" t="s">
        <v>614</v>
      </c>
      <c r="S10297">
        <v>153.04230699999999</v>
      </c>
      <c r="T10297" s="1095">
        <v>-26.156836999999999</v>
      </c>
    </row>
    <row r="10298" spans="16:20">
      <c r="P10298" s="1094">
        <v>4565</v>
      </c>
      <c r="Q10298" t="s">
        <v>10788</v>
      </c>
      <c r="R10298" t="s">
        <v>614</v>
      </c>
      <c r="S10298">
        <v>153.04230699999999</v>
      </c>
      <c r="T10298" s="1095">
        <v>-26.156836999999999</v>
      </c>
    </row>
    <row r="10299" spans="16:20">
      <c r="P10299" s="1094">
        <v>4566</v>
      </c>
      <c r="Q10299" t="s">
        <v>10789</v>
      </c>
      <c r="R10299" t="s">
        <v>614</v>
      </c>
      <c r="S10299">
        <v>153.047416</v>
      </c>
      <c r="T10299" s="1095">
        <v>-26.411731</v>
      </c>
    </row>
    <row r="10300" spans="16:20">
      <c r="P10300" s="1094">
        <v>4566</v>
      </c>
      <c r="Q10300" t="s">
        <v>10790</v>
      </c>
      <c r="R10300" t="s">
        <v>614</v>
      </c>
      <c r="S10300">
        <v>153.047416</v>
      </c>
      <c r="T10300" s="1095">
        <v>-26.411731</v>
      </c>
    </row>
    <row r="10301" spans="16:20">
      <c r="P10301" s="1094">
        <v>4566</v>
      </c>
      <c r="Q10301" t="s">
        <v>10791</v>
      </c>
      <c r="R10301" t="s">
        <v>614</v>
      </c>
      <c r="S10301">
        <v>153.047416</v>
      </c>
      <c r="T10301" s="1095">
        <v>-26.411731</v>
      </c>
    </row>
    <row r="10302" spans="16:20">
      <c r="P10302" s="1094">
        <v>4566</v>
      </c>
      <c r="Q10302" t="s">
        <v>10792</v>
      </c>
      <c r="R10302" t="s">
        <v>614</v>
      </c>
      <c r="S10302">
        <v>153.047416</v>
      </c>
      <c r="T10302" s="1095">
        <v>-26.411731</v>
      </c>
    </row>
    <row r="10303" spans="16:20">
      <c r="P10303" s="1094">
        <v>4567</v>
      </c>
      <c r="Q10303" t="s">
        <v>10793</v>
      </c>
      <c r="R10303" t="s">
        <v>614</v>
      </c>
      <c r="S10303">
        <v>153.096957</v>
      </c>
      <c r="T10303" s="1095">
        <v>-26.408595999999999</v>
      </c>
    </row>
    <row r="10304" spans="16:20">
      <c r="P10304" s="1094">
        <v>4567</v>
      </c>
      <c r="Q10304" t="s">
        <v>10794</v>
      </c>
      <c r="R10304" t="s">
        <v>614</v>
      </c>
      <c r="S10304">
        <v>153.096957</v>
      </c>
      <c r="T10304" s="1095">
        <v>-26.408595999999999</v>
      </c>
    </row>
    <row r="10305" spans="16:20">
      <c r="P10305" s="1094">
        <v>4567</v>
      </c>
      <c r="Q10305" t="s">
        <v>10795</v>
      </c>
      <c r="R10305" t="s">
        <v>614</v>
      </c>
      <c r="S10305">
        <v>153.096957</v>
      </c>
      <c r="T10305" s="1095">
        <v>-26.408595999999999</v>
      </c>
    </row>
    <row r="10306" spans="16:20">
      <c r="P10306" s="1094">
        <v>4567</v>
      </c>
      <c r="Q10306" t="s">
        <v>10796</v>
      </c>
      <c r="R10306" t="s">
        <v>614</v>
      </c>
      <c r="S10306">
        <v>153.096957</v>
      </c>
      <c r="T10306" s="1095">
        <v>-26.408595999999999</v>
      </c>
    </row>
    <row r="10307" spans="16:20">
      <c r="P10307" s="1094">
        <v>4567</v>
      </c>
      <c r="Q10307" t="s">
        <v>10797</v>
      </c>
      <c r="R10307" t="s">
        <v>614</v>
      </c>
      <c r="S10307">
        <v>153.096957</v>
      </c>
      <c r="T10307" s="1095">
        <v>-26.408595999999999</v>
      </c>
    </row>
    <row r="10308" spans="16:20">
      <c r="P10308" s="1094">
        <v>4568</v>
      </c>
      <c r="Q10308" t="s">
        <v>3997</v>
      </c>
      <c r="R10308" t="s">
        <v>614</v>
      </c>
      <c r="S10308">
        <v>152.87660700000001</v>
      </c>
      <c r="T10308" s="1095">
        <v>-26.313994999999998</v>
      </c>
    </row>
    <row r="10309" spans="16:20">
      <c r="P10309" s="1094">
        <v>4568</v>
      </c>
      <c r="Q10309" t="s">
        <v>10798</v>
      </c>
      <c r="R10309" t="s">
        <v>614</v>
      </c>
      <c r="S10309">
        <v>152.87660700000001</v>
      </c>
      <c r="T10309" s="1095">
        <v>-26.313994999999998</v>
      </c>
    </row>
    <row r="10310" spans="16:20">
      <c r="P10310" s="1094">
        <v>4568</v>
      </c>
      <c r="Q10310" t="s">
        <v>5150</v>
      </c>
      <c r="R10310" t="s">
        <v>614</v>
      </c>
      <c r="S10310">
        <v>152.87660700000001</v>
      </c>
      <c r="T10310" s="1095">
        <v>-26.313994999999998</v>
      </c>
    </row>
    <row r="10311" spans="16:20">
      <c r="P10311" s="1094">
        <v>4569</v>
      </c>
      <c r="Q10311" t="s">
        <v>10799</v>
      </c>
      <c r="R10311" t="s">
        <v>614</v>
      </c>
      <c r="S10311">
        <v>0</v>
      </c>
      <c r="T10311" s="1095">
        <v>0</v>
      </c>
    </row>
    <row r="10312" spans="16:20">
      <c r="P10312" s="1094">
        <v>4570</v>
      </c>
      <c r="Q10312" t="s">
        <v>10800</v>
      </c>
      <c r="R10312" t="s">
        <v>614</v>
      </c>
      <c r="S10312">
        <v>152.61694299999999</v>
      </c>
      <c r="T10312" s="1095">
        <v>-26.153831</v>
      </c>
    </row>
    <row r="10313" spans="16:20">
      <c r="P10313" s="1094">
        <v>4570</v>
      </c>
      <c r="Q10313" t="s">
        <v>10801</v>
      </c>
      <c r="R10313" t="s">
        <v>614</v>
      </c>
      <c r="S10313">
        <v>152.61694299999999</v>
      </c>
      <c r="T10313" s="1095">
        <v>-26.153831</v>
      </c>
    </row>
    <row r="10314" spans="16:20">
      <c r="P10314" s="1094">
        <v>4570</v>
      </c>
      <c r="Q10314" t="s">
        <v>10802</v>
      </c>
      <c r="R10314" t="s">
        <v>614</v>
      </c>
      <c r="S10314">
        <v>152.61694299999999</v>
      </c>
      <c r="T10314" s="1095">
        <v>-26.153831</v>
      </c>
    </row>
    <row r="10315" spans="16:20">
      <c r="P10315" s="1094">
        <v>4570</v>
      </c>
      <c r="Q10315" t="s">
        <v>4920</v>
      </c>
      <c r="R10315" t="s">
        <v>614</v>
      </c>
      <c r="S10315">
        <v>152.61694299999999</v>
      </c>
      <c r="T10315" s="1095">
        <v>-26.153831</v>
      </c>
    </row>
    <row r="10316" spans="16:20">
      <c r="P10316" s="1094">
        <v>4570</v>
      </c>
      <c r="Q10316" t="s">
        <v>10803</v>
      </c>
      <c r="R10316" t="s">
        <v>614</v>
      </c>
      <c r="S10316">
        <v>152.61694299999999</v>
      </c>
      <c r="T10316" s="1095">
        <v>-26.153831</v>
      </c>
    </row>
    <row r="10317" spans="16:20">
      <c r="P10317" s="1094">
        <v>4570</v>
      </c>
      <c r="Q10317" t="s">
        <v>10804</v>
      </c>
      <c r="R10317" t="s">
        <v>614</v>
      </c>
      <c r="S10317">
        <v>152.61694299999999</v>
      </c>
      <c r="T10317" s="1095">
        <v>-26.153831</v>
      </c>
    </row>
    <row r="10318" spans="16:20">
      <c r="P10318" s="1094">
        <v>4570</v>
      </c>
      <c r="Q10318" t="s">
        <v>10805</v>
      </c>
      <c r="R10318" t="s">
        <v>614</v>
      </c>
      <c r="S10318">
        <v>152.61694299999999</v>
      </c>
      <c r="T10318" s="1095">
        <v>-26.153831</v>
      </c>
    </row>
    <row r="10319" spans="16:20">
      <c r="P10319" s="1094">
        <v>4570</v>
      </c>
      <c r="Q10319" t="s">
        <v>10806</v>
      </c>
      <c r="R10319" t="s">
        <v>614</v>
      </c>
      <c r="S10319">
        <v>152.61694299999999</v>
      </c>
      <c r="T10319" s="1095">
        <v>-26.153831</v>
      </c>
    </row>
    <row r="10320" spans="16:20">
      <c r="P10320" s="1094">
        <v>4570</v>
      </c>
      <c r="Q10320" t="s">
        <v>10807</v>
      </c>
      <c r="R10320" t="s">
        <v>614</v>
      </c>
      <c r="S10320">
        <v>152.61694299999999</v>
      </c>
      <c r="T10320" s="1095">
        <v>-26.153831</v>
      </c>
    </row>
    <row r="10321" spans="16:20">
      <c r="P10321" s="1094">
        <v>4570</v>
      </c>
      <c r="Q10321" t="s">
        <v>10808</v>
      </c>
      <c r="R10321" t="s">
        <v>614</v>
      </c>
      <c r="S10321">
        <v>152.61694299999999</v>
      </c>
      <c r="T10321" s="1095">
        <v>-26.153831</v>
      </c>
    </row>
    <row r="10322" spans="16:20">
      <c r="P10322" s="1094">
        <v>4570</v>
      </c>
      <c r="Q10322" t="s">
        <v>10809</v>
      </c>
      <c r="R10322" t="s">
        <v>614</v>
      </c>
      <c r="S10322">
        <v>152.61694299999999</v>
      </c>
      <c r="T10322" s="1095">
        <v>-26.153831</v>
      </c>
    </row>
    <row r="10323" spans="16:20">
      <c r="P10323" s="1094">
        <v>4570</v>
      </c>
      <c r="Q10323" t="s">
        <v>10810</v>
      </c>
      <c r="R10323" t="s">
        <v>614</v>
      </c>
      <c r="S10323">
        <v>152.61694299999999</v>
      </c>
      <c r="T10323" s="1095">
        <v>-26.153831</v>
      </c>
    </row>
    <row r="10324" spans="16:20">
      <c r="P10324" s="1094">
        <v>4570</v>
      </c>
      <c r="Q10324" t="s">
        <v>10811</v>
      </c>
      <c r="R10324" t="s">
        <v>614</v>
      </c>
      <c r="S10324">
        <v>152.61694299999999</v>
      </c>
      <c r="T10324" s="1095">
        <v>-26.153831</v>
      </c>
    </row>
    <row r="10325" spans="16:20">
      <c r="P10325" s="1094">
        <v>4570</v>
      </c>
      <c r="Q10325" t="s">
        <v>10812</v>
      </c>
      <c r="R10325" t="s">
        <v>614</v>
      </c>
      <c r="S10325">
        <v>152.61694299999999</v>
      </c>
      <c r="T10325" s="1095">
        <v>-26.153831</v>
      </c>
    </row>
    <row r="10326" spans="16:20">
      <c r="P10326" s="1094">
        <v>4570</v>
      </c>
      <c r="Q10326" t="s">
        <v>3818</v>
      </c>
      <c r="R10326" t="s">
        <v>614</v>
      </c>
      <c r="S10326">
        <v>152.61694299999999</v>
      </c>
      <c r="T10326" s="1095">
        <v>-26.153831</v>
      </c>
    </row>
    <row r="10327" spans="16:20">
      <c r="P10327" s="1094">
        <v>4570</v>
      </c>
      <c r="Q10327" t="s">
        <v>10813</v>
      </c>
      <c r="R10327" t="s">
        <v>614</v>
      </c>
      <c r="S10327">
        <v>152.61694299999999</v>
      </c>
      <c r="T10327" s="1095">
        <v>-26.153831</v>
      </c>
    </row>
    <row r="10328" spans="16:20">
      <c r="P10328" s="1094">
        <v>4570</v>
      </c>
      <c r="Q10328" t="s">
        <v>10814</v>
      </c>
      <c r="R10328" t="s">
        <v>614</v>
      </c>
      <c r="S10328">
        <v>152.61694299999999</v>
      </c>
      <c r="T10328" s="1095">
        <v>-26.153831</v>
      </c>
    </row>
    <row r="10329" spans="16:20">
      <c r="P10329" s="1094">
        <v>4570</v>
      </c>
      <c r="Q10329" t="s">
        <v>10815</v>
      </c>
      <c r="R10329" t="s">
        <v>614</v>
      </c>
      <c r="S10329">
        <v>152.61694299999999</v>
      </c>
      <c r="T10329" s="1095">
        <v>-26.153831</v>
      </c>
    </row>
    <row r="10330" spans="16:20">
      <c r="P10330" s="1094">
        <v>4570</v>
      </c>
      <c r="Q10330" t="s">
        <v>10816</v>
      </c>
      <c r="R10330" t="s">
        <v>614</v>
      </c>
      <c r="S10330">
        <v>152.61694299999999</v>
      </c>
      <c r="T10330" s="1095">
        <v>-26.153831</v>
      </c>
    </row>
    <row r="10331" spans="16:20">
      <c r="P10331" s="1094">
        <v>4570</v>
      </c>
      <c r="Q10331" t="s">
        <v>10817</v>
      </c>
      <c r="R10331" t="s">
        <v>614</v>
      </c>
      <c r="S10331">
        <v>152.61694299999999</v>
      </c>
      <c r="T10331" s="1095">
        <v>-26.153831</v>
      </c>
    </row>
    <row r="10332" spans="16:20">
      <c r="P10332" s="1094">
        <v>4570</v>
      </c>
      <c r="Q10332" t="s">
        <v>10818</v>
      </c>
      <c r="R10332" t="s">
        <v>614</v>
      </c>
      <c r="S10332">
        <v>152.61694299999999</v>
      </c>
      <c r="T10332" s="1095">
        <v>-26.153831</v>
      </c>
    </row>
    <row r="10333" spans="16:20">
      <c r="P10333" s="1094">
        <v>4570</v>
      </c>
      <c r="Q10333" t="s">
        <v>10819</v>
      </c>
      <c r="R10333" t="s">
        <v>614</v>
      </c>
      <c r="S10333">
        <v>152.61694299999999</v>
      </c>
      <c r="T10333" s="1095">
        <v>-26.153831</v>
      </c>
    </row>
    <row r="10334" spans="16:20">
      <c r="P10334" s="1094">
        <v>4570</v>
      </c>
      <c r="Q10334" t="s">
        <v>10820</v>
      </c>
      <c r="R10334" t="s">
        <v>614</v>
      </c>
      <c r="S10334">
        <v>152.61694299999999</v>
      </c>
      <c r="T10334" s="1095">
        <v>-26.153831</v>
      </c>
    </row>
    <row r="10335" spans="16:20">
      <c r="P10335" s="1094">
        <v>4570</v>
      </c>
      <c r="Q10335" t="s">
        <v>10821</v>
      </c>
      <c r="R10335" t="s">
        <v>614</v>
      </c>
      <c r="S10335">
        <v>152.61694299999999</v>
      </c>
      <c r="T10335" s="1095">
        <v>-26.153831</v>
      </c>
    </row>
    <row r="10336" spans="16:20">
      <c r="P10336" s="1094">
        <v>4570</v>
      </c>
      <c r="Q10336" t="s">
        <v>5790</v>
      </c>
      <c r="R10336" t="s">
        <v>614</v>
      </c>
      <c r="S10336">
        <v>152.61694299999999</v>
      </c>
      <c r="T10336" s="1095">
        <v>-26.153831</v>
      </c>
    </row>
    <row r="10337" spans="16:20">
      <c r="P10337" s="1094">
        <v>4570</v>
      </c>
      <c r="Q10337" t="s">
        <v>10822</v>
      </c>
      <c r="R10337" t="s">
        <v>614</v>
      </c>
      <c r="S10337">
        <v>152.61694299999999</v>
      </c>
      <c r="T10337" s="1095">
        <v>-26.153831</v>
      </c>
    </row>
    <row r="10338" spans="16:20">
      <c r="P10338" s="1094">
        <v>4570</v>
      </c>
      <c r="Q10338" t="s">
        <v>10823</v>
      </c>
      <c r="R10338" t="s">
        <v>614</v>
      </c>
      <c r="S10338">
        <v>152.61694299999999</v>
      </c>
      <c r="T10338" s="1095">
        <v>-26.153831</v>
      </c>
    </row>
    <row r="10339" spans="16:20">
      <c r="P10339" s="1094">
        <v>4570</v>
      </c>
      <c r="Q10339" t="s">
        <v>5641</v>
      </c>
      <c r="R10339" t="s">
        <v>614</v>
      </c>
      <c r="S10339">
        <v>152.61694299999999</v>
      </c>
      <c r="T10339" s="1095">
        <v>-26.153831</v>
      </c>
    </row>
    <row r="10340" spans="16:20">
      <c r="P10340" s="1094">
        <v>4570</v>
      </c>
      <c r="Q10340" t="s">
        <v>10824</v>
      </c>
      <c r="R10340" t="s">
        <v>614</v>
      </c>
      <c r="S10340">
        <v>152.61694299999999</v>
      </c>
      <c r="T10340" s="1095">
        <v>-26.153831</v>
      </c>
    </row>
    <row r="10341" spans="16:20">
      <c r="P10341" s="1094">
        <v>4570</v>
      </c>
      <c r="Q10341" t="s">
        <v>7442</v>
      </c>
      <c r="R10341" t="s">
        <v>614</v>
      </c>
      <c r="S10341">
        <v>152.61694299999999</v>
      </c>
      <c r="T10341" s="1095">
        <v>-26.153831</v>
      </c>
    </row>
    <row r="10342" spans="16:20">
      <c r="P10342" s="1094">
        <v>4570</v>
      </c>
      <c r="Q10342" t="s">
        <v>10825</v>
      </c>
      <c r="R10342" t="s">
        <v>614</v>
      </c>
      <c r="S10342">
        <v>152.61694299999999</v>
      </c>
      <c r="T10342" s="1095">
        <v>-26.153831</v>
      </c>
    </row>
    <row r="10343" spans="16:20">
      <c r="P10343" s="1094">
        <v>4570</v>
      </c>
      <c r="Q10343" t="s">
        <v>10826</v>
      </c>
      <c r="R10343" t="s">
        <v>614</v>
      </c>
      <c r="S10343">
        <v>152.61694299999999</v>
      </c>
      <c r="T10343" s="1095">
        <v>-26.153831</v>
      </c>
    </row>
    <row r="10344" spans="16:20">
      <c r="P10344" s="1094">
        <v>4570</v>
      </c>
      <c r="Q10344" t="s">
        <v>10827</v>
      </c>
      <c r="R10344" t="s">
        <v>614</v>
      </c>
      <c r="S10344">
        <v>152.61694299999999</v>
      </c>
      <c r="T10344" s="1095">
        <v>-26.153831</v>
      </c>
    </row>
    <row r="10345" spans="16:20">
      <c r="P10345" s="1094">
        <v>4570</v>
      </c>
      <c r="Q10345" t="s">
        <v>10828</v>
      </c>
      <c r="R10345" t="s">
        <v>614</v>
      </c>
      <c r="S10345">
        <v>152.61694299999999</v>
      </c>
      <c r="T10345" s="1095">
        <v>-26.153831</v>
      </c>
    </row>
    <row r="10346" spans="16:20">
      <c r="P10346" s="1094">
        <v>4570</v>
      </c>
      <c r="Q10346" t="s">
        <v>10829</v>
      </c>
      <c r="R10346" t="s">
        <v>614</v>
      </c>
      <c r="S10346">
        <v>152.61694299999999</v>
      </c>
      <c r="T10346" s="1095">
        <v>-26.153831</v>
      </c>
    </row>
    <row r="10347" spans="16:20">
      <c r="P10347" s="1094">
        <v>4570</v>
      </c>
      <c r="Q10347" t="s">
        <v>10830</v>
      </c>
      <c r="R10347" t="s">
        <v>614</v>
      </c>
      <c r="S10347">
        <v>152.61694299999999</v>
      </c>
      <c r="T10347" s="1095">
        <v>-26.153831</v>
      </c>
    </row>
    <row r="10348" spans="16:20">
      <c r="P10348" s="1094">
        <v>4570</v>
      </c>
      <c r="Q10348" t="s">
        <v>10831</v>
      </c>
      <c r="R10348" t="s">
        <v>614</v>
      </c>
      <c r="S10348">
        <v>152.61694299999999</v>
      </c>
      <c r="T10348" s="1095">
        <v>-26.153831</v>
      </c>
    </row>
    <row r="10349" spans="16:20">
      <c r="P10349" s="1094">
        <v>4570</v>
      </c>
      <c r="Q10349" t="s">
        <v>10832</v>
      </c>
      <c r="R10349" t="s">
        <v>614</v>
      </c>
      <c r="S10349">
        <v>152.61694299999999</v>
      </c>
      <c r="T10349" s="1095">
        <v>-26.153831</v>
      </c>
    </row>
    <row r="10350" spans="16:20">
      <c r="P10350" s="1094">
        <v>4570</v>
      </c>
      <c r="Q10350" t="s">
        <v>3284</v>
      </c>
      <c r="R10350" t="s">
        <v>614</v>
      </c>
      <c r="S10350">
        <v>152.61694299999999</v>
      </c>
      <c r="T10350" s="1095">
        <v>-26.153831</v>
      </c>
    </row>
    <row r="10351" spans="16:20">
      <c r="P10351" s="1094">
        <v>4570</v>
      </c>
      <c r="Q10351" t="s">
        <v>10833</v>
      </c>
      <c r="R10351" t="s">
        <v>614</v>
      </c>
      <c r="S10351">
        <v>152.61694299999999</v>
      </c>
      <c r="T10351" s="1095">
        <v>-26.153831</v>
      </c>
    </row>
    <row r="10352" spans="16:20">
      <c r="P10352" s="1094">
        <v>4570</v>
      </c>
      <c r="Q10352" t="s">
        <v>10834</v>
      </c>
      <c r="R10352" t="s">
        <v>614</v>
      </c>
      <c r="S10352">
        <v>152.61694299999999</v>
      </c>
      <c r="T10352" s="1095">
        <v>-26.153831</v>
      </c>
    </row>
    <row r="10353" spans="16:20">
      <c r="P10353" s="1094">
        <v>4570</v>
      </c>
      <c r="Q10353" t="s">
        <v>10835</v>
      </c>
      <c r="R10353" t="s">
        <v>614</v>
      </c>
      <c r="S10353">
        <v>152.61694299999999</v>
      </c>
      <c r="T10353" s="1095">
        <v>-26.153831</v>
      </c>
    </row>
    <row r="10354" spans="16:20">
      <c r="P10354" s="1094">
        <v>4570</v>
      </c>
      <c r="Q10354" t="s">
        <v>10836</v>
      </c>
      <c r="R10354" t="s">
        <v>614</v>
      </c>
      <c r="S10354">
        <v>152.61694299999999</v>
      </c>
      <c r="T10354" s="1095">
        <v>-26.153831</v>
      </c>
    </row>
    <row r="10355" spans="16:20">
      <c r="P10355" s="1094">
        <v>4570</v>
      </c>
      <c r="Q10355" t="s">
        <v>3566</v>
      </c>
      <c r="R10355" t="s">
        <v>614</v>
      </c>
      <c r="S10355">
        <v>152.61694299999999</v>
      </c>
      <c r="T10355" s="1095">
        <v>-26.153831</v>
      </c>
    </row>
    <row r="10356" spans="16:20">
      <c r="P10356" s="1094">
        <v>4570</v>
      </c>
      <c r="Q10356" t="s">
        <v>10837</v>
      </c>
      <c r="R10356" t="s">
        <v>614</v>
      </c>
      <c r="S10356">
        <v>152.61694299999999</v>
      </c>
      <c r="T10356" s="1095">
        <v>-26.153831</v>
      </c>
    </row>
    <row r="10357" spans="16:20">
      <c r="P10357" s="1094">
        <v>4570</v>
      </c>
      <c r="Q10357" t="s">
        <v>10838</v>
      </c>
      <c r="R10357" t="s">
        <v>614</v>
      </c>
      <c r="S10357">
        <v>152.61694299999999</v>
      </c>
      <c r="T10357" s="1095">
        <v>-26.153831</v>
      </c>
    </row>
    <row r="10358" spans="16:20">
      <c r="P10358" s="1094">
        <v>4570</v>
      </c>
      <c r="Q10358" t="s">
        <v>10839</v>
      </c>
      <c r="R10358" t="s">
        <v>614</v>
      </c>
      <c r="S10358">
        <v>152.61694299999999</v>
      </c>
      <c r="T10358" s="1095">
        <v>-26.153831</v>
      </c>
    </row>
    <row r="10359" spans="16:20">
      <c r="P10359" s="1094">
        <v>4570</v>
      </c>
      <c r="Q10359" t="s">
        <v>10840</v>
      </c>
      <c r="R10359" t="s">
        <v>614</v>
      </c>
      <c r="S10359">
        <v>152.61694299999999</v>
      </c>
      <c r="T10359" s="1095">
        <v>-26.153831</v>
      </c>
    </row>
    <row r="10360" spans="16:20">
      <c r="P10360" s="1094">
        <v>4570</v>
      </c>
      <c r="Q10360" t="s">
        <v>10841</v>
      </c>
      <c r="R10360" t="s">
        <v>614</v>
      </c>
      <c r="S10360">
        <v>152.61694299999999</v>
      </c>
      <c r="T10360" s="1095">
        <v>-26.153831</v>
      </c>
    </row>
    <row r="10361" spans="16:20">
      <c r="P10361" s="1094">
        <v>4570</v>
      </c>
      <c r="Q10361" t="s">
        <v>10842</v>
      </c>
      <c r="R10361" t="s">
        <v>614</v>
      </c>
      <c r="S10361">
        <v>152.61694299999999</v>
      </c>
      <c r="T10361" s="1095">
        <v>-26.153831</v>
      </c>
    </row>
    <row r="10362" spans="16:20">
      <c r="P10362" s="1094">
        <v>4570</v>
      </c>
      <c r="Q10362" t="s">
        <v>10843</v>
      </c>
      <c r="R10362" t="s">
        <v>614</v>
      </c>
      <c r="S10362">
        <v>152.61694299999999</v>
      </c>
      <c r="T10362" s="1095">
        <v>-26.153831</v>
      </c>
    </row>
    <row r="10363" spans="16:20">
      <c r="P10363" s="1094">
        <v>4570</v>
      </c>
      <c r="Q10363" t="s">
        <v>10844</v>
      </c>
      <c r="R10363" t="s">
        <v>614</v>
      </c>
      <c r="S10363">
        <v>152.61694299999999</v>
      </c>
      <c r="T10363" s="1095">
        <v>-26.153831</v>
      </c>
    </row>
    <row r="10364" spans="16:20">
      <c r="P10364" s="1094">
        <v>4570</v>
      </c>
      <c r="Q10364" t="s">
        <v>10845</v>
      </c>
      <c r="R10364" t="s">
        <v>614</v>
      </c>
      <c r="S10364">
        <v>152.61694299999999</v>
      </c>
      <c r="T10364" s="1095">
        <v>-26.153831</v>
      </c>
    </row>
    <row r="10365" spans="16:20">
      <c r="P10365" s="1094">
        <v>4570</v>
      </c>
      <c r="Q10365" t="s">
        <v>10846</v>
      </c>
      <c r="R10365" t="s">
        <v>614</v>
      </c>
      <c r="S10365">
        <v>152.61694299999999</v>
      </c>
      <c r="T10365" s="1095">
        <v>-26.153831</v>
      </c>
    </row>
    <row r="10366" spans="16:20">
      <c r="P10366" s="1094">
        <v>4570</v>
      </c>
      <c r="Q10366" t="s">
        <v>10847</v>
      </c>
      <c r="R10366" t="s">
        <v>614</v>
      </c>
      <c r="S10366">
        <v>152.61694299999999</v>
      </c>
      <c r="T10366" s="1095">
        <v>-26.153831</v>
      </c>
    </row>
    <row r="10367" spans="16:20">
      <c r="P10367" s="1094">
        <v>4570</v>
      </c>
      <c r="Q10367" t="s">
        <v>10848</v>
      </c>
      <c r="R10367" t="s">
        <v>614</v>
      </c>
      <c r="S10367">
        <v>152.61694299999999</v>
      </c>
      <c r="T10367" s="1095">
        <v>-26.153831</v>
      </c>
    </row>
    <row r="10368" spans="16:20">
      <c r="P10368" s="1094">
        <v>4570</v>
      </c>
      <c r="Q10368" t="s">
        <v>10849</v>
      </c>
      <c r="R10368" t="s">
        <v>614</v>
      </c>
      <c r="S10368">
        <v>152.61694299999999</v>
      </c>
      <c r="T10368" s="1095">
        <v>-26.153831</v>
      </c>
    </row>
    <row r="10369" spans="16:20">
      <c r="P10369" s="1094">
        <v>4570</v>
      </c>
      <c r="Q10369" t="s">
        <v>10850</v>
      </c>
      <c r="R10369" t="s">
        <v>614</v>
      </c>
      <c r="S10369">
        <v>152.61694299999999</v>
      </c>
      <c r="T10369" s="1095">
        <v>-26.153831</v>
      </c>
    </row>
    <row r="10370" spans="16:20">
      <c r="P10370" s="1094">
        <v>4570</v>
      </c>
      <c r="Q10370" t="s">
        <v>3252</v>
      </c>
      <c r="R10370" t="s">
        <v>614</v>
      </c>
      <c r="S10370">
        <v>152.61694299999999</v>
      </c>
      <c r="T10370" s="1095">
        <v>-26.153831</v>
      </c>
    </row>
    <row r="10371" spans="16:20">
      <c r="P10371" s="1094">
        <v>4570</v>
      </c>
      <c r="Q10371" t="s">
        <v>10851</v>
      </c>
      <c r="R10371" t="s">
        <v>614</v>
      </c>
      <c r="S10371">
        <v>152.61694299999999</v>
      </c>
      <c r="T10371" s="1095">
        <v>-26.153831</v>
      </c>
    </row>
    <row r="10372" spans="16:20">
      <c r="P10372" s="1094">
        <v>4570</v>
      </c>
      <c r="Q10372" t="s">
        <v>7267</v>
      </c>
      <c r="R10372" t="s">
        <v>614</v>
      </c>
      <c r="S10372">
        <v>152.61694299999999</v>
      </c>
      <c r="T10372" s="1095">
        <v>-26.153831</v>
      </c>
    </row>
    <row r="10373" spans="16:20">
      <c r="P10373" s="1094">
        <v>4570</v>
      </c>
      <c r="Q10373" t="s">
        <v>2856</v>
      </c>
      <c r="R10373" t="s">
        <v>614</v>
      </c>
      <c r="S10373">
        <v>152.61694299999999</v>
      </c>
      <c r="T10373" s="1095">
        <v>-26.153831</v>
      </c>
    </row>
    <row r="10374" spans="16:20">
      <c r="P10374" s="1094">
        <v>4570</v>
      </c>
      <c r="Q10374" t="s">
        <v>10852</v>
      </c>
      <c r="R10374" t="s">
        <v>614</v>
      </c>
      <c r="S10374">
        <v>152.61694299999999</v>
      </c>
      <c r="T10374" s="1095">
        <v>-26.153831</v>
      </c>
    </row>
    <row r="10375" spans="16:20">
      <c r="P10375" s="1094">
        <v>4570</v>
      </c>
      <c r="Q10375" t="s">
        <v>10550</v>
      </c>
      <c r="R10375" t="s">
        <v>614</v>
      </c>
      <c r="S10375">
        <v>152.61694299999999</v>
      </c>
      <c r="T10375" s="1095">
        <v>-26.153831</v>
      </c>
    </row>
    <row r="10376" spans="16:20">
      <c r="P10376" s="1094">
        <v>4570</v>
      </c>
      <c r="Q10376" t="s">
        <v>10853</v>
      </c>
      <c r="R10376" t="s">
        <v>614</v>
      </c>
      <c r="S10376">
        <v>152.61694299999999</v>
      </c>
      <c r="T10376" s="1095">
        <v>-26.153831</v>
      </c>
    </row>
    <row r="10377" spans="16:20">
      <c r="P10377" s="1094">
        <v>4570</v>
      </c>
      <c r="Q10377" t="s">
        <v>10854</v>
      </c>
      <c r="R10377" t="s">
        <v>614</v>
      </c>
      <c r="S10377">
        <v>152.61694299999999</v>
      </c>
      <c r="T10377" s="1095">
        <v>-26.153831</v>
      </c>
    </row>
    <row r="10378" spans="16:20">
      <c r="P10378" s="1094">
        <v>4570</v>
      </c>
      <c r="Q10378" t="s">
        <v>10855</v>
      </c>
      <c r="R10378" t="s">
        <v>614</v>
      </c>
      <c r="S10378">
        <v>152.61694299999999</v>
      </c>
      <c r="T10378" s="1095">
        <v>-26.153831</v>
      </c>
    </row>
    <row r="10379" spans="16:20">
      <c r="P10379" s="1094">
        <v>4570</v>
      </c>
      <c r="Q10379" t="s">
        <v>10856</v>
      </c>
      <c r="R10379" t="s">
        <v>614</v>
      </c>
      <c r="S10379">
        <v>152.61694299999999</v>
      </c>
      <c r="T10379" s="1095">
        <v>-26.153831</v>
      </c>
    </row>
    <row r="10380" spans="16:20">
      <c r="P10380" s="1094">
        <v>4570</v>
      </c>
      <c r="Q10380" t="s">
        <v>10857</v>
      </c>
      <c r="R10380" t="s">
        <v>614</v>
      </c>
      <c r="S10380">
        <v>152.61694299999999</v>
      </c>
      <c r="T10380" s="1095">
        <v>-26.153831</v>
      </c>
    </row>
    <row r="10381" spans="16:20">
      <c r="P10381" s="1094">
        <v>4570</v>
      </c>
      <c r="Q10381" t="s">
        <v>10858</v>
      </c>
      <c r="R10381" t="s">
        <v>614</v>
      </c>
      <c r="S10381">
        <v>152.61694299999999</v>
      </c>
      <c r="T10381" s="1095">
        <v>-26.153831</v>
      </c>
    </row>
    <row r="10382" spans="16:20">
      <c r="P10382" s="1094">
        <v>4570</v>
      </c>
      <c r="Q10382" t="s">
        <v>10859</v>
      </c>
      <c r="R10382" t="s">
        <v>614</v>
      </c>
      <c r="S10382">
        <v>152.61694299999999</v>
      </c>
      <c r="T10382" s="1095">
        <v>-26.153831</v>
      </c>
    </row>
    <row r="10383" spans="16:20">
      <c r="P10383" s="1094">
        <v>4570</v>
      </c>
      <c r="Q10383" t="s">
        <v>10860</v>
      </c>
      <c r="R10383" t="s">
        <v>614</v>
      </c>
      <c r="S10383">
        <v>152.61694299999999</v>
      </c>
      <c r="T10383" s="1095">
        <v>-26.153831</v>
      </c>
    </row>
    <row r="10384" spans="16:20">
      <c r="P10384" s="1094">
        <v>4570</v>
      </c>
      <c r="Q10384" t="s">
        <v>10861</v>
      </c>
      <c r="R10384" t="s">
        <v>614</v>
      </c>
      <c r="S10384">
        <v>152.61694299999999</v>
      </c>
      <c r="T10384" s="1095">
        <v>-26.153831</v>
      </c>
    </row>
    <row r="10385" spans="16:20">
      <c r="P10385" s="1094">
        <v>4570</v>
      </c>
      <c r="Q10385" t="s">
        <v>10862</v>
      </c>
      <c r="R10385" t="s">
        <v>614</v>
      </c>
      <c r="S10385">
        <v>152.61694299999999</v>
      </c>
      <c r="T10385" s="1095">
        <v>-26.153831</v>
      </c>
    </row>
    <row r="10386" spans="16:20">
      <c r="P10386" s="1094">
        <v>4570</v>
      </c>
      <c r="Q10386" t="s">
        <v>10863</v>
      </c>
      <c r="R10386" t="s">
        <v>614</v>
      </c>
      <c r="S10386">
        <v>152.61694299999999</v>
      </c>
      <c r="T10386" s="1095">
        <v>-26.153831</v>
      </c>
    </row>
    <row r="10387" spans="16:20">
      <c r="P10387" s="1094">
        <v>4570</v>
      </c>
      <c r="Q10387" t="s">
        <v>10864</v>
      </c>
      <c r="R10387" t="s">
        <v>614</v>
      </c>
      <c r="S10387">
        <v>152.61694299999999</v>
      </c>
      <c r="T10387" s="1095">
        <v>-26.153831</v>
      </c>
    </row>
    <row r="10388" spans="16:20">
      <c r="P10388" s="1094">
        <v>4570</v>
      </c>
      <c r="Q10388" t="s">
        <v>10865</v>
      </c>
      <c r="R10388" t="s">
        <v>614</v>
      </c>
      <c r="S10388">
        <v>152.61694299999999</v>
      </c>
      <c r="T10388" s="1095">
        <v>-26.153831</v>
      </c>
    </row>
    <row r="10389" spans="16:20">
      <c r="P10389" s="1094">
        <v>4570</v>
      </c>
      <c r="Q10389" t="s">
        <v>10866</v>
      </c>
      <c r="R10389" t="s">
        <v>614</v>
      </c>
      <c r="S10389">
        <v>152.61694299999999</v>
      </c>
      <c r="T10389" s="1095">
        <v>-26.153831</v>
      </c>
    </row>
    <row r="10390" spans="16:20">
      <c r="P10390" s="1094">
        <v>4570</v>
      </c>
      <c r="Q10390" t="s">
        <v>10867</v>
      </c>
      <c r="R10390" t="s">
        <v>614</v>
      </c>
      <c r="S10390">
        <v>152.61694299999999</v>
      </c>
      <c r="T10390" s="1095">
        <v>-26.153831</v>
      </c>
    </row>
    <row r="10391" spans="16:20">
      <c r="P10391" s="1094">
        <v>4570</v>
      </c>
      <c r="Q10391" t="s">
        <v>10868</v>
      </c>
      <c r="R10391" t="s">
        <v>614</v>
      </c>
      <c r="S10391">
        <v>152.61694299999999</v>
      </c>
      <c r="T10391" s="1095">
        <v>-26.153831</v>
      </c>
    </row>
    <row r="10392" spans="16:20">
      <c r="P10392" s="1094">
        <v>4570</v>
      </c>
      <c r="Q10392" t="s">
        <v>10869</v>
      </c>
      <c r="R10392" t="s">
        <v>614</v>
      </c>
      <c r="S10392">
        <v>152.61694299999999</v>
      </c>
      <c r="T10392" s="1095">
        <v>-26.153831</v>
      </c>
    </row>
    <row r="10393" spans="16:20">
      <c r="P10393" s="1094">
        <v>4570</v>
      </c>
      <c r="Q10393" t="s">
        <v>10870</v>
      </c>
      <c r="R10393" t="s">
        <v>614</v>
      </c>
      <c r="S10393">
        <v>152.61694299999999</v>
      </c>
      <c r="T10393" s="1095">
        <v>-26.153831</v>
      </c>
    </row>
    <row r="10394" spans="16:20">
      <c r="P10394" s="1094">
        <v>4570</v>
      </c>
      <c r="Q10394" t="s">
        <v>10871</v>
      </c>
      <c r="R10394" t="s">
        <v>614</v>
      </c>
      <c r="S10394">
        <v>152.61694299999999</v>
      </c>
      <c r="T10394" s="1095">
        <v>-26.153831</v>
      </c>
    </row>
    <row r="10395" spans="16:20">
      <c r="P10395" s="1094">
        <v>4570</v>
      </c>
      <c r="Q10395" t="s">
        <v>10872</v>
      </c>
      <c r="R10395" t="s">
        <v>614</v>
      </c>
      <c r="S10395">
        <v>152.61694299999999</v>
      </c>
      <c r="T10395" s="1095">
        <v>-26.153831</v>
      </c>
    </row>
    <row r="10396" spans="16:20">
      <c r="P10396" s="1094">
        <v>4570</v>
      </c>
      <c r="Q10396" t="s">
        <v>10873</v>
      </c>
      <c r="R10396" t="s">
        <v>614</v>
      </c>
      <c r="S10396">
        <v>152.61694299999999</v>
      </c>
      <c r="T10396" s="1095">
        <v>-26.153831</v>
      </c>
    </row>
    <row r="10397" spans="16:20">
      <c r="P10397" s="1094">
        <v>4570</v>
      </c>
      <c r="Q10397" t="s">
        <v>10874</v>
      </c>
      <c r="R10397" t="s">
        <v>614</v>
      </c>
      <c r="S10397">
        <v>152.61694299999999</v>
      </c>
      <c r="T10397" s="1095">
        <v>-26.153831</v>
      </c>
    </row>
    <row r="10398" spans="16:20">
      <c r="P10398" s="1094">
        <v>4570</v>
      </c>
      <c r="Q10398" t="s">
        <v>10875</v>
      </c>
      <c r="R10398" t="s">
        <v>614</v>
      </c>
      <c r="S10398">
        <v>152.61694299999999</v>
      </c>
      <c r="T10398" s="1095">
        <v>-26.153831</v>
      </c>
    </row>
    <row r="10399" spans="16:20">
      <c r="P10399" s="1094">
        <v>4570</v>
      </c>
      <c r="Q10399" t="s">
        <v>10876</v>
      </c>
      <c r="R10399" t="s">
        <v>614</v>
      </c>
      <c r="S10399">
        <v>152.61694299999999</v>
      </c>
      <c r="T10399" s="1095">
        <v>-26.153831</v>
      </c>
    </row>
    <row r="10400" spans="16:20">
      <c r="P10400" s="1094">
        <v>4570</v>
      </c>
      <c r="Q10400" t="s">
        <v>10877</v>
      </c>
      <c r="R10400" t="s">
        <v>614</v>
      </c>
      <c r="S10400">
        <v>152.61694299999999</v>
      </c>
      <c r="T10400" s="1095">
        <v>-26.153831</v>
      </c>
    </row>
    <row r="10401" spans="16:20">
      <c r="P10401" s="1094">
        <v>4571</v>
      </c>
      <c r="Q10401" t="s">
        <v>2231</v>
      </c>
      <c r="R10401" t="s">
        <v>614</v>
      </c>
      <c r="S10401">
        <v>0</v>
      </c>
      <c r="T10401" s="1095">
        <v>0</v>
      </c>
    </row>
    <row r="10402" spans="16:20">
      <c r="P10402" s="1094">
        <v>4571</v>
      </c>
      <c r="Q10402" t="s">
        <v>10878</v>
      </c>
      <c r="R10402" t="s">
        <v>614</v>
      </c>
      <c r="S10402">
        <v>0</v>
      </c>
      <c r="T10402" s="1095">
        <v>0</v>
      </c>
    </row>
    <row r="10403" spans="16:20">
      <c r="P10403" s="1094">
        <v>4571</v>
      </c>
      <c r="Q10403" t="s">
        <v>10879</v>
      </c>
      <c r="R10403" t="s">
        <v>614</v>
      </c>
      <c r="S10403">
        <v>0</v>
      </c>
      <c r="T10403" s="1095">
        <v>0</v>
      </c>
    </row>
    <row r="10404" spans="16:20">
      <c r="P10404" s="1094">
        <v>4572</v>
      </c>
      <c r="Q10404" t="s">
        <v>10880</v>
      </c>
      <c r="R10404" t="s">
        <v>614</v>
      </c>
      <c r="S10404">
        <v>153.10199700000001</v>
      </c>
      <c r="T10404" s="1095">
        <v>-26.671589000000001</v>
      </c>
    </row>
    <row r="10405" spans="16:20">
      <c r="P10405" s="1094">
        <v>4573</v>
      </c>
      <c r="Q10405" t="s">
        <v>10881</v>
      </c>
      <c r="R10405" t="s">
        <v>614</v>
      </c>
      <c r="S10405">
        <v>153.06830299999999</v>
      </c>
      <c r="T10405" s="1095">
        <v>-26.516942</v>
      </c>
    </row>
    <row r="10406" spans="16:20">
      <c r="P10406" s="1094">
        <v>4573</v>
      </c>
      <c r="Q10406" t="s">
        <v>10882</v>
      </c>
      <c r="R10406" t="s">
        <v>614</v>
      </c>
      <c r="S10406">
        <v>153.06830299999999</v>
      </c>
      <c r="T10406" s="1095">
        <v>-26.516942</v>
      </c>
    </row>
    <row r="10407" spans="16:20">
      <c r="P10407" s="1094">
        <v>4573</v>
      </c>
      <c r="Q10407" t="s">
        <v>10883</v>
      </c>
      <c r="R10407" t="s">
        <v>614</v>
      </c>
      <c r="S10407">
        <v>153.06830299999999</v>
      </c>
      <c r="T10407" s="1095">
        <v>-26.516942</v>
      </c>
    </row>
    <row r="10408" spans="16:20">
      <c r="P10408" s="1094">
        <v>4573</v>
      </c>
      <c r="Q10408" t="s">
        <v>10884</v>
      </c>
      <c r="R10408" t="s">
        <v>614</v>
      </c>
      <c r="S10408">
        <v>153.06830299999999</v>
      </c>
      <c r="T10408" s="1095">
        <v>-26.516942</v>
      </c>
    </row>
    <row r="10409" spans="16:20">
      <c r="P10409" s="1094">
        <v>4573</v>
      </c>
      <c r="Q10409" t="s">
        <v>10885</v>
      </c>
      <c r="R10409" t="s">
        <v>614</v>
      </c>
      <c r="S10409">
        <v>153.06830299999999</v>
      </c>
      <c r="T10409" s="1095">
        <v>-26.516942</v>
      </c>
    </row>
    <row r="10410" spans="16:20">
      <c r="P10410" s="1094">
        <v>4573</v>
      </c>
      <c r="Q10410" t="s">
        <v>10886</v>
      </c>
      <c r="R10410" t="s">
        <v>614</v>
      </c>
      <c r="S10410">
        <v>153.06830299999999</v>
      </c>
      <c r="T10410" s="1095">
        <v>-26.516942</v>
      </c>
    </row>
    <row r="10411" spans="16:20">
      <c r="P10411" s="1094">
        <v>4573</v>
      </c>
      <c r="Q10411" t="s">
        <v>10887</v>
      </c>
      <c r="R10411" t="s">
        <v>614</v>
      </c>
      <c r="S10411">
        <v>153.06830299999999</v>
      </c>
      <c r="T10411" s="1095">
        <v>-26.516942</v>
      </c>
    </row>
    <row r="10412" spans="16:20">
      <c r="P10412" s="1094">
        <v>4574</v>
      </c>
      <c r="Q10412" t="s">
        <v>10888</v>
      </c>
      <c r="R10412" t="s">
        <v>614</v>
      </c>
      <c r="S10412">
        <v>152.76113100000001</v>
      </c>
      <c r="T10412" s="1095">
        <v>-26.630369000000002</v>
      </c>
    </row>
    <row r="10413" spans="16:20">
      <c r="P10413" s="1094">
        <v>4574</v>
      </c>
      <c r="Q10413" t="s">
        <v>10889</v>
      </c>
      <c r="R10413" t="s">
        <v>614</v>
      </c>
      <c r="S10413">
        <v>152.76113100000001</v>
      </c>
      <c r="T10413" s="1095">
        <v>-26.630369000000002</v>
      </c>
    </row>
    <row r="10414" spans="16:20">
      <c r="P10414" s="1094">
        <v>4574</v>
      </c>
      <c r="Q10414" t="s">
        <v>10890</v>
      </c>
      <c r="R10414" t="s">
        <v>614</v>
      </c>
      <c r="S10414">
        <v>152.76113100000001</v>
      </c>
      <c r="T10414" s="1095">
        <v>-26.630369000000002</v>
      </c>
    </row>
    <row r="10415" spans="16:20">
      <c r="P10415" s="1094">
        <v>4574</v>
      </c>
      <c r="Q10415" t="s">
        <v>10891</v>
      </c>
      <c r="R10415" t="s">
        <v>614</v>
      </c>
      <c r="S10415">
        <v>152.76113100000001</v>
      </c>
      <c r="T10415" s="1095">
        <v>-26.630369000000002</v>
      </c>
    </row>
    <row r="10416" spans="16:20">
      <c r="P10416" s="1094">
        <v>4574</v>
      </c>
      <c r="Q10416" t="s">
        <v>10892</v>
      </c>
      <c r="R10416" t="s">
        <v>614</v>
      </c>
      <c r="S10416">
        <v>152.76113100000001</v>
      </c>
      <c r="T10416" s="1095">
        <v>-26.630369000000002</v>
      </c>
    </row>
    <row r="10417" spans="16:20">
      <c r="P10417" s="1094">
        <v>4574</v>
      </c>
      <c r="Q10417" t="s">
        <v>10893</v>
      </c>
      <c r="R10417" t="s">
        <v>614</v>
      </c>
      <c r="S10417">
        <v>152.76113100000001</v>
      </c>
      <c r="T10417" s="1095">
        <v>-26.630369000000002</v>
      </c>
    </row>
    <row r="10418" spans="16:20">
      <c r="P10418" s="1094">
        <v>4575</v>
      </c>
      <c r="Q10418" t="s">
        <v>10894</v>
      </c>
      <c r="R10418" t="s">
        <v>614</v>
      </c>
      <c r="S10418">
        <v>153.11947799999999</v>
      </c>
      <c r="T10418" s="1095">
        <v>-26.742042999999999</v>
      </c>
    </row>
    <row r="10419" spans="16:20">
      <c r="P10419" s="1094">
        <v>4575</v>
      </c>
      <c r="Q10419" t="s">
        <v>10895</v>
      </c>
      <c r="R10419" t="s">
        <v>614</v>
      </c>
      <c r="S10419">
        <v>153.11947799999999</v>
      </c>
      <c r="T10419" s="1095">
        <v>-26.742042999999999</v>
      </c>
    </row>
    <row r="10420" spans="16:20">
      <c r="P10420" s="1094">
        <v>4575</v>
      </c>
      <c r="Q10420" t="s">
        <v>10896</v>
      </c>
      <c r="R10420" t="s">
        <v>614</v>
      </c>
      <c r="S10420">
        <v>153.11947799999999</v>
      </c>
      <c r="T10420" s="1095">
        <v>-26.742042999999999</v>
      </c>
    </row>
    <row r="10421" spans="16:20">
      <c r="P10421" s="1094">
        <v>4575</v>
      </c>
      <c r="Q10421" t="s">
        <v>10897</v>
      </c>
      <c r="R10421" t="s">
        <v>614</v>
      </c>
      <c r="S10421">
        <v>153.11947799999999</v>
      </c>
      <c r="T10421" s="1095">
        <v>-26.742042999999999</v>
      </c>
    </row>
    <row r="10422" spans="16:20">
      <c r="P10422" s="1094">
        <v>4575</v>
      </c>
      <c r="Q10422" t="s">
        <v>10898</v>
      </c>
      <c r="R10422" t="s">
        <v>614</v>
      </c>
      <c r="S10422">
        <v>153.11947799999999</v>
      </c>
      <c r="T10422" s="1095">
        <v>-26.742042999999999</v>
      </c>
    </row>
    <row r="10423" spans="16:20">
      <c r="P10423" s="1094">
        <v>4575</v>
      </c>
      <c r="Q10423" t="s">
        <v>10899</v>
      </c>
      <c r="R10423" t="s">
        <v>614</v>
      </c>
      <c r="S10423">
        <v>153.11947799999999</v>
      </c>
      <c r="T10423" s="1095">
        <v>-26.742042999999999</v>
      </c>
    </row>
    <row r="10424" spans="16:20">
      <c r="P10424" s="1094">
        <v>4575</v>
      </c>
      <c r="Q10424" t="s">
        <v>10900</v>
      </c>
      <c r="R10424" t="s">
        <v>614</v>
      </c>
      <c r="S10424">
        <v>153.11947799999999</v>
      </c>
      <c r="T10424" s="1095">
        <v>-26.742042999999999</v>
      </c>
    </row>
    <row r="10425" spans="16:20">
      <c r="P10425" s="1094">
        <v>4575</v>
      </c>
      <c r="Q10425" t="s">
        <v>10901</v>
      </c>
      <c r="R10425" t="s">
        <v>614</v>
      </c>
      <c r="S10425">
        <v>153.11947799999999</v>
      </c>
      <c r="T10425" s="1095">
        <v>-26.742042999999999</v>
      </c>
    </row>
    <row r="10426" spans="16:20">
      <c r="P10426" s="1094">
        <v>4575</v>
      </c>
      <c r="Q10426" t="s">
        <v>10902</v>
      </c>
      <c r="R10426" t="s">
        <v>614</v>
      </c>
      <c r="S10426">
        <v>153.11947799999999</v>
      </c>
      <c r="T10426" s="1095">
        <v>-26.742042999999999</v>
      </c>
    </row>
    <row r="10427" spans="16:20">
      <c r="P10427" s="1094">
        <v>4580</v>
      </c>
      <c r="Q10427" t="s">
        <v>10903</v>
      </c>
      <c r="R10427" t="s">
        <v>614</v>
      </c>
      <c r="S10427">
        <v>152.92898700000001</v>
      </c>
      <c r="T10427" s="1095">
        <v>-25.891003999999999</v>
      </c>
    </row>
    <row r="10428" spans="16:20">
      <c r="P10428" s="1094">
        <v>4580</v>
      </c>
      <c r="Q10428" t="s">
        <v>10904</v>
      </c>
      <c r="R10428" t="s">
        <v>614</v>
      </c>
      <c r="S10428">
        <v>152.92898700000001</v>
      </c>
      <c r="T10428" s="1095">
        <v>-25.891003999999999</v>
      </c>
    </row>
    <row r="10429" spans="16:20">
      <c r="P10429" s="1094">
        <v>4580</v>
      </c>
      <c r="Q10429" t="s">
        <v>10905</v>
      </c>
      <c r="R10429" t="s">
        <v>614</v>
      </c>
      <c r="S10429">
        <v>152.92898700000001</v>
      </c>
      <c r="T10429" s="1095">
        <v>-25.891003999999999</v>
      </c>
    </row>
    <row r="10430" spans="16:20">
      <c r="P10430" s="1094">
        <v>4581</v>
      </c>
      <c r="Q10430" t="s">
        <v>10906</v>
      </c>
      <c r="R10430" t="s">
        <v>614</v>
      </c>
      <c r="S10430">
        <v>153.09786199999999</v>
      </c>
      <c r="T10430" s="1095">
        <v>-25.990770999999999</v>
      </c>
    </row>
    <row r="10431" spans="16:20">
      <c r="P10431" s="1094">
        <v>4581</v>
      </c>
      <c r="Q10431" t="s">
        <v>10907</v>
      </c>
      <c r="R10431" t="s">
        <v>614</v>
      </c>
      <c r="S10431">
        <v>153.09786199999999</v>
      </c>
      <c r="T10431" s="1095">
        <v>-25.990770999999999</v>
      </c>
    </row>
    <row r="10432" spans="16:20">
      <c r="P10432" s="1094">
        <v>4581</v>
      </c>
      <c r="Q10432" t="s">
        <v>10908</v>
      </c>
      <c r="R10432" t="s">
        <v>614</v>
      </c>
      <c r="S10432">
        <v>153.09786199999999</v>
      </c>
      <c r="T10432" s="1095">
        <v>-25.990770999999999</v>
      </c>
    </row>
    <row r="10433" spans="16:20">
      <c r="P10433" s="1094">
        <v>4581</v>
      </c>
      <c r="Q10433" t="s">
        <v>10909</v>
      </c>
      <c r="R10433" t="s">
        <v>614</v>
      </c>
      <c r="S10433">
        <v>153.09786199999999</v>
      </c>
      <c r="T10433" s="1095">
        <v>-25.990770999999999</v>
      </c>
    </row>
    <row r="10434" spans="16:20">
      <c r="P10434" s="1094">
        <v>4581</v>
      </c>
      <c r="Q10434" t="s">
        <v>10910</v>
      </c>
      <c r="R10434" t="s">
        <v>614</v>
      </c>
      <c r="S10434">
        <v>153.09786199999999</v>
      </c>
      <c r="T10434" s="1095">
        <v>-25.990770999999999</v>
      </c>
    </row>
    <row r="10435" spans="16:20">
      <c r="P10435" s="1094">
        <v>4581</v>
      </c>
      <c r="Q10435" t="s">
        <v>10911</v>
      </c>
      <c r="R10435" t="s">
        <v>614</v>
      </c>
      <c r="S10435">
        <v>153.09786199999999</v>
      </c>
      <c r="T10435" s="1095">
        <v>-25.990770999999999</v>
      </c>
    </row>
    <row r="10436" spans="16:20">
      <c r="P10436" s="1094">
        <v>4600</v>
      </c>
      <c r="Q10436" t="s">
        <v>10912</v>
      </c>
      <c r="R10436" t="s">
        <v>614</v>
      </c>
      <c r="S10436">
        <v>152.221081</v>
      </c>
      <c r="T10436" s="1095">
        <v>-26.055098999999998</v>
      </c>
    </row>
    <row r="10437" spans="16:20">
      <c r="P10437" s="1094">
        <v>4600</v>
      </c>
      <c r="Q10437" t="s">
        <v>10913</v>
      </c>
      <c r="R10437" t="s">
        <v>614</v>
      </c>
      <c r="S10437">
        <v>152.221081</v>
      </c>
      <c r="T10437" s="1095">
        <v>-26.055098999999998</v>
      </c>
    </row>
    <row r="10438" spans="16:20">
      <c r="P10438" s="1094">
        <v>4600</v>
      </c>
      <c r="Q10438" t="s">
        <v>10914</v>
      </c>
      <c r="R10438" t="s">
        <v>614</v>
      </c>
      <c r="S10438">
        <v>152.221081</v>
      </c>
      <c r="T10438" s="1095">
        <v>-26.055098999999998</v>
      </c>
    </row>
    <row r="10439" spans="16:20">
      <c r="P10439" s="1094">
        <v>4600</v>
      </c>
      <c r="Q10439" t="s">
        <v>10915</v>
      </c>
      <c r="R10439" t="s">
        <v>614</v>
      </c>
      <c r="S10439">
        <v>152.221081</v>
      </c>
      <c r="T10439" s="1095">
        <v>-26.055098999999998</v>
      </c>
    </row>
    <row r="10440" spans="16:20">
      <c r="P10440" s="1094">
        <v>4600</v>
      </c>
      <c r="Q10440" t="s">
        <v>10916</v>
      </c>
      <c r="R10440" t="s">
        <v>614</v>
      </c>
      <c r="S10440">
        <v>152.221081</v>
      </c>
      <c r="T10440" s="1095">
        <v>-26.055098999999998</v>
      </c>
    </row>
    <row r="10441" spans="16:20">
      <c r="P10441" s="1094">
        <v>4601</v>
      </c>
      <c r="Q10441" t="s">
        <v>10917</v>
      </c>
      <c r="R10441" t="s">
        <v>614</v>
      </c>
      <c r="S10441">
        <v>152.01241200000001</v>
      </c>
      <c r="T10441" s="1095">
        <v>-26.145002000000002</v>
      </c>
    </row>
    <row r="10442" spans="16:20">
      <c r="P10442" s="1094">
        <v>4601</v>
      </c>
      <c r="Q10442" t="s">
        <v>10918</v>
      </c>
      <c r="R10442" t="s">
        <v>614</v>
      </c>
      <c r="S10442">
        <v>152.01241200000001</v>
      </c>
      <c r="T10442" s="1095">
        <v>-26.145002000000002</v>
      </c>
    </row>
    <row r="10443" spans="16:20">
      <c r="P10443" s="1094">
        <v>4601</v>
      </c>
      <c r="Q10443" t="s">
        <v>10919</v>
      </c>
      <c r="R10443" t="s">
        <v>614</v>
      </c>
      <c r="S10443">
        <v>152.01241200000001</v>
      </c>
      <c r="T10443" s="1095">
        <v>-26.145002000000002</v>
      </c>
    </row>
    <row r="10444" spans="16:20">
      <c r="P10444" s="1094">
        <v>4601</v>
      </c>
      <c r="Q10444" t="s">
        <v>10920</v>
      </c>
      <c r="R10444" t="s">
        <v>614</v>
      </c>
      <c r="S10444">
        <v>152.01241200000001</v>
      </c>
      <c r="T10444" s="1095">
        <v>-26.145002000000002</v>
      </c>
    </row>
    <row r="10445" spans="16:20">
      <c r="P10445" s="1094">
        <v>4601</v>
      </c>
      <c r="Q10445" t="s">
        <v>10921</v>
      </c>
      <c r="R10445" t="s">
        <v>614</v>
      </c>
      <c r="S10445">
        <v>152.01241200000001</v>
      </c>
      <c r="T10445" s="1095">
        <v>-26.145002000000002</v>
      </c>
    </row>
    <row r="10446" spans="16:20">
      <c r="P10446" s="1094">
        <v>4601</v>
      </c>
      <c r="Q10446" t="s">
        <v>10922</v>
      </c>
      <c r="R10446" t="s">
        <v>614</v>
      </c>
      <c r="S10446">
        <v>152.01241200000001</v>
      </c>
      <c r="T10446" s="1095">
        <v>-26.145002000000002</v>
      </c>
    </row>
    <row r="10447" spans="16:20">
      <c r="P10447" s="1094">
        <v>4601</v>
      </c>
      <c r="Q10447" t="s">
        <v>10923</v>
      </c>
      <c r="R10447" t="s">
        <v>614</v>
      </c>
      <c r="S10447">
        <v>152.01241200000001</v>
      </c>
      <c r="T10447" s="1095">
        <v>-26.145002000000002</v>
      </c>
    </row>
    <row r="10448" spans="16:20">
      <c r="P10448" s="1094">
        <v>4601</v>
      </c>
      <c r="Q10448" t="s">
        <v>10924</v>
      </c>
      <c r="R10448" t="s">
        <v>614</v>
      </c>
      <c r="S10448">
        <v>152.01241200000001</v>
      </c>
      <c r="T10448" s="1095">
        <v>-26.145002000000002</v>
      </c>
    </row>
    <row r="10449" spans="16:20">
      <c r="P10449" s="1094">
        <v>4601</v>
      </c>
      <c r="Q10449" t="s">
        <v>10925</v>
      </c>
      <c r="R10449" t="s">
        <v>614</v>
      </c>
      <c r="S10449">
        <v>152.01241200000001</v>
      </c>
      <c r="T10449" s="1095">
        <v>-26.145002000000002</v>
      </c>
    </row>
    <row r="10450" spans="16:20">
      <c r="P10450" s="1094">
        <v>4601</v>
      </c>
      <c r="Q10450" t="s">
        <v>10926</v>
      </c>
      <c r="R10450" t="s">
        <v>614</v>
      </c>
      <c r="S10450">
        <v>152.01241200000001</v>
      </c>
      <c r="T10450" s="1095">
        <v>-26.145002000000002</v>
      </c>
    </row>
    <row r="10451" spans="16:20">
      <c r="P10451" s="1094">
        <v>4605</v>
      </c>
      <c r="Q10451" t="s">
        <v>10927</v>
      </c>
      <c r="R10451" t="s">
        <v>614</v>
      </c>
      <c r="S10451">
        <v>151.87025600000001</v>
      </c>
      <c r="T10451" s="1095">
        <v>-26.112407999999999</v>
      </c>
    </row>
    <row r="10452" spans="16:20">
      <c r="P10452" s="1094">
        <v>4605</v>
      </c>
      <c r="Q10452" t="s">
        <v>10928</v>
      </c>
      <c r="R10452" t="s">
        <v>614</v>
      </c>
      <c r="S10452">
        <v>151.87025600000001</v>
      </c>
      <c r="T10452" s="1095">
        <v>-26.112407999999999</v>
      </c>
    </row>
    <row r="10453" spans="16:20">
      <c r="P10453" s="1094">
        <v>4605</v>
      </c>
      <c r="Q10453" t="s">
        <v>10929</v>
      </c>
      <c r="R10453" t="s">
        <v>614</v>
      </c>
      <c r="S10453">
        <v>151.87025600000001</v>
      </c>
      <c r="T10453" s="1095">
        <v>-26.112407999999999</v>
      </c>
    </row>
    <row r="10454" spans="16:20">
      <c r="P10454" s="1094">
        <v>4605</v>
      </c>
      <c r="Q10454" t="s">
        <v>10930</v>
      </c>
      <c r="R10454" t="s">
        <v>614</v>
      </c>
      <c r="S10454">
        <v>151.87025600000001</v>
      </c>
      <c r="T10454" s="1095">
        <v>-26.112407999999999</v>
      </c>
    </row>
    <row r="10455" spans="16:20">
      <c r="P10455" s="1094">
        <v>4605</v>
      </c>
      <c r="Q10455" t="s">
        <v>10931</v>
      </c>
      <c r="R10455" t="s">
        <v>614</v>
      </c>
      <c r="S10455">
        <v>151.87025600000001</v>
      </c>
      <c r="T10455" s="1095">
        <v>-26.112407999999999</v>
      </c>
    </row>
    <row r="10456" spans="16:20">
      <c r="P10456" s="1094">
        <v>4605</v>
      </c>
      <c r="Q10456" t="s">
        <v>10932</v>
      </c>
      <c r="R10456" t="s">
        <v>614</v>
      </c>
      <c r="S10456">
        <v>151.87025600000001</v>
      </c>
      <c r="T10456" s="1095">
        <v>-26.112407999999999</v>
      </c>
    </row>
    <row r="10457" spans="16:20">
      <c r="P10457" s="1094">
        <v>4605</v>
      </c>
      <c r="Q10457" t="s">
        <v>2831</v>
      </c>
      <c r="R10457" t="s">
        <v>614</v>
      </c>
      <c r="S10457">
        <v>151.87025600000001</v>
      </c>
      <c r="T10457" s="1095">
        <v>-26.112407999999999</v>
      </c>
    </row>
    <row r="10458" spans="16:20">
      <c r="P10458" s="1094">
        <v>4605</v>
      </c>
      <c r="Q10458" t="s">
        <v>10933</v>
      </c>
      <c r="R10458" t="s">
        <v>614</v>
      </c>
      <c r="S10458">
        <v>151.87025600000001</v>
      </c>
      <c r="T10458" s="1095">
        <v>-26.112407999999999</v>
      </c>
    </row>
    <row r="10459" spans="16:20">
      <c r="P10459" s="1094">
        <v>4605</v>
      </c>
      <c r="Q10459" t="s">
        <v>10934</v>
      </c>
      <c r="R10459" t="s">
        <v>614</v>
      </c>
      <c r="S10459">
        <v>151.87025600000001</v>
      </c>
      <c r="T10459" s="1095">
        <v>-26.112407999999999</v>
      </c>
    </row>
    <row r="10460" spans="16:20">
      <c r="P10460" s="1094">
        <v>4605</v>
      </c>
      <c r="Q10460" t="s">
        <v>10935</v>
      </c>
      <c r="R10460" t="s">
        <v>614</v>
      </c>
      <c r="S10460">
        <v>151.87025600000001</v>
      </c>
      <c r="T10460" s="1095">
        <v>-26.112407999999999</v>
      </c>
    </row>
    <row r="10461" spans="16:20">
      <c r="P10461" s="1094">
        <v>4605</v>
      </c>
      <c r="Q10461" t="s">
        <v>10936</v>
      </c>
      <c r="R10461" t="s">
        <v>614</v>
      </c>
      <c r="S10461">
        <v>151.87025600000001</v>
      </c>
      <c r="T10461" s="1095">
        <v>-26.112407999999999</v>
      </c>
    </row>
    <row r="10462" spans="16:20">
      <c r="P10462" s="1094">
        <v>4605</v>
      </c>
      <c r="Q10462" t="s">
        <v>10937</v>
      </c>
      <c r="R10462" t="s">
        <v>614</v>
      </c>
      <c r="S10462">
        <v>151.87025600000001</v>
      </c>
      <c r="T10462" s="1095">
        <v>-26.112407999999999</v>
      </c>
    </row>
    <row r="10463" spans="16:20">
      <c r="P10463" s="1094">
        <v>4605</v>
      </c>
      <c r="Q10463" t="s">
        <v>4567</v>
      </c>
      <c r="R10463" t="s">
        <v>614</v>
      </c>
      <c r="S10463">
        <v>151.87025600000001</v>
      </c>
      <c r="T10463" s="1095">
        <v>-26.112407999999999</v>
      </c>
    </row>
    <row r="10464" spans="16:20">
      <c r="P10464" s="1094">
        <v>4605</v>
      </c>
      <c r="Q10464" t="s">
        <v>10938</v>
      </c>
      <c r="R10464" t="s">
        <v>614</v>
      </c>
      <c r="S10464">
        <v>151.87025600000001</v>
      </c>
      <c r="T10464" s="1095">
        <v>-26.112407999999999</v>
      </c>
    </row>
    <row r="10465" spans="16:20">
      <c r="P10465" s="1094">
        <v>4605</v>
      </c>
      <c r="Q10465" t="s">
        <v>10939</v>
      </c>
      <c r="R10465" t="s">
        <v>614</v>
      </c>
      <c r="S10465">
        <v>151.87025600000001</v>
      </c>
      <c r="T10465" s="1095">
        <v>-26.112407999999999</v>
      </c>
    </row>
    <row r="10466" spans="16:20">
      <c r="P10466" s="1094">
        <v>4605</v>
      </c>
      <c r="Q10466" t="s">
        <v>10940</v>
      </c>
      <c r="R10466" t="s">
        <v>614</v>
      </c>
      <c r="S10466">
        <v>151.87025600000001</v>
      </c>
      <c r="T10466" s="1095">
        <v>-26.112407999999999</v>
      </c>
    </row>
    <row r="10467" spans="16:20">
      <c r="P10467" s="1094">
        <v>4605</v>
      </c>
      <c r="Q10467" t="s">
        <v>10941</v>
      </c>
      <c r="R10467" t="s">
        <v>614</v>
      </c>
      <c r="S10467">
        <v>151.87025600000001</v>
      </c>
      <c r="T10467" s="1095">
        <v>-26.112407999999999</v>
      </c>
    </row>
    <row r="10468" spans="16:20">
      <c r="P10468" s="1094">
        <v>4605</v>
      </c>
      <c r="Q10468" t="s">
        <v>10942</v>
      </c>
      <c r="R10468" t="s">
        <v>614</v>
      </c>
      <c r="S10468">
        <v>151.87025600000001</v>
      </c>
      <c r="T10468" s="1095">
        <v>-26.112407999999999</v>
      </c>
    </row>
    <row r="10469" spans="16:20">
      <c r="P10469" s="1094">
        <v>4605</v>
      </c>
      <c r="Q10469" t="s">
        <v>10943</v>
      </c>
      <c r="R10469" t="s">
        <v>614</v>
      </c>
      <c r="S10469">
        <v>151.87025600000001</v>
      </c>
      <c r="T10469" s="1095">
        <v>-26.112407999999999</v>
      </c>
    </row>
    <row r="10470" spans="16:20">
      <c r="P10470" s="1094">
        <v>4605</v>
      </c>
      <c r="Q10470" t="s">
        <v>10944</v>
      </c>
      <c r="R10470" t="s">
        <v>614</v>
      </c>
      <c r="S10470">
        <v>151.87025600000001</v>
      </c>
      <c r="T10470" s="1095">
        <v>-26.112407999999999</v>
      </c>
    </row>
    <row r="10471" spans="16:20">
      <c r="P10471" s="1094">
        <v>4606</v>
      </c>
      <c r="Q10471" t="s">
        <v>10945</v>
      </c>
      <c r="R10471" t="s">
        <v>614</v>
      </c>
      <c r="S10471">
        <v>151.82307900000001</v>
      </c>
      <c r="T10471" s="1095">
        <v>-26.26117</v>
      </c>
    </row>
    <row r="10472" spans="16:20">
      <c r="P10472" s="1094">
        <v>4606</v>
      </c>
      <c r="Q10472" t="s">
        <v>10946</v>
      </c>
      <c r="R10472" t="s">
        <v>614</v>
      </c>
      <c r="S10472">
        <v>151.82307900000001</v>
      </c>
      <c r="T10472" s="1095">
        <v>-26.26117</v>
      </c>
    </row>
    <row r="10473" spans="16:20">
      <c r="P10473" s="1094">
        <v>4606</v>
      </c>
      <c r="Q10473" t="s">
        <v>10947</v>
      </c>
      <c r="R10473" t="s">
        <v>614</v>
      </c>
      <c r="S10473">
        <v>151.82307900000001</v>
      </c>
      <c r="T10473" s="1095">
        <v>-26.26117</v>
      </c>
    </row>
    <row r="10474" spans="16:20">
      <c r="P10474" s="1094">
        <v>4606</v>
      </c>
      <c r="Q10474" t="s">
        <v>10948</v>
      </c>
      <c r="R10474" t="s">
        <v>614</v>
      </c>
      <c r="S10474">
        <v>151.82307900000001</v>
      </c>
      <c r="T10474" s="1095">
        <v>-26.26117</v>
      </c>
    </row>
    <row r="10475" spans="16:20">
      <c r="P10475" s="1094">
        <v>4606</v>
      </c>
      <c r="Q10475" t="s">
        <v>10949</v>
      </c>
      <c r="R10475" t="s">
        <v>614</v>
      </c>
      <c r="S10475">
        <v>151.82307900000001</v>
      </c>
      <c r="T10475" s="1095">
        <v>-26.26117</v>
      </c>
    </row>
    <row r="10476" spans="16:20">
      <c r="P10476" s="1094">
        <v>4606</v>
      </c>
      <c r="Q10476" t="s">
        <v>10950</v>
      </c>
      <c r="R10476" t="s">
        <v>614</v>
      </c>
      <c r="S10476">
        <v>151.82307900000001</v>
      </c>
      <c r="T10476" s="1095">
        <v>-26.26117</v>
      </c>
    </row>
    <row r="10477" spans="16:20">
      <c r="P10477" s="1094">
        <v>4606</v>
      </c>
      <c r="Q10477" t="s">
        <v>10951</v>
      </c>
      <c r="R10477" t="s">
        <v>614</v>
      </c>
      <c r="S10477">
        <v>151.82307900000001</v>
      </c>
      <c r="T10477" s="1095">
        <v>-26.26117</v>
      </c>
    </row>
    <row r="10478" spans="16:20">
      <c r="P10478" s="1094">
        <v>4606</v>
      </c>
      <c r="Q10478" t="s">
        <v>10952</v>
      </c>
      <c r="R10478" t="s">
        <v>614</v>
      </c>
      <c r="S10478">
        <v>151.82307900000001</v>
      </c>
      <c r="T10478" s="1095">
        <v>-26.26117</v>
      </c>
    </row>
    <row r="10479" spans="16:20">
      <c r="P10479" s="1094">
        <v>4606</v>
      </c>
      <c r="Q10479" t="s">
        <v>10953</v>
      </c>
      <c r="R10479" t="s">
        <v>614</v>
      </c>
      <c r="S10479">
        <v>151.82307900000001</v>
      </c>
      <c r="T10479" s="1095">
        <v>-26.26117</v>
      </c>
    </row>
    <row r="10480" spans="16:20">
      <c r="P10480" s="1094">
        <v>4608</v>
      </c>
      <c r="Q10480" t="s">
        <v>2498</v>
      </c>
      <c r="R10480" t="s">
        <v>614</v>
      </c>
      <c r="S10480">
        <v>151.74133800000001</v>
      </c>
      <c r="T10480" s="1095">
        <v>-26.35256</v>
      </c>
    </row>
    <row r="10481" spans="16:20">
      <c r="P10481" s="1094">
        <v>4608</v>
      </c>
      <c r="Q10481" t="s">
        <v>10954</v>
      </c>
      <c r="R10481" t="s">
        <v>614</v>
      </c>
      <c r="S10481">
        <v>151.74133800000001</v>
      </c>
      <c r="T10481" s="1095">
        <v>-26.35256</v>
      </c>
    </row>
    <row r="10482" spans="16:20">
      <c r="P10482" s="1094">
        <v>4608</v>
      </c>
      <c r="Q10482" t="s">
        <v>10955</v>
      </c>
      <c r="R10482" t="s">
        <v>614</v>
      </c>
      <c r="S10482">
        <v>151.74133800000001</v>
      </c>
      <c r="T10482" s="1095">
        <v>-26.35256</v>
      </c>
    </row>
    <row r="10483" spans="16:20">
      <c r="P10483" s="1094">
        <v>4608</v>
      </c>
      <c r="Q10483" t="s">
        <v>10956</v>
      </c>
      <c r="R10483" t="s">
        <v>614</v>
      </c>
      <c r="S10483">
        <v>151.74133800000001</v>
      </c>
      <c r="T10483" s="1095">
        <v>-26.35256</v>
      </c>
    </row>
    <row r="10484" spans="16:20">
      <c r="P10484" s="1094">
        <v>4608</v>
      </c>
      <c r="Q10484" t="s">
        <v>10957</v>
      </c>
      <c r="R10484" t="s">
        <v>614</v>
      </c>
      <c r="S10484">
        <v>151.74133800000001</v>
      </c>
      <c r="T10484" s="1095">
        <v>-26.35256</v>
      </c>
    </row>
    <row r="10485" spans="16:20">
      <c r="P10485" s="1094">
        <v>4610</v>
      </c>
      <c r="Q10485" t="s">
        <v>10958</v>
      </c>
      <c r="R10485" t="s">
        <v>614</v>
      </c>
      <c r="S10485">
        <v>151.52257499999999</v>
      </c>
      <c r="T10485" s="1095">
        <v>-26.576903999999999</v>
      </c>
    </row>
    <row r="10486" spans="16:20">
      <c r="P10486" s="1094">
        <v>4610</v>
      </c>
      <c r="Q10486" t="s">
        <v>10959</v>
      </c>
      <c r="R10486" t="s">
        <v>614</v>
      </c>
      <c r="S10486">
        <v>151.52257499999999</v>
      </c>
      <c r="T10486" s="1095">
        <v>-26.576903999999999</v>
      </c>
    </row>
    <row r="10487" spans="16:20">
      <c r="P10487" s="1094">
        <v>4610</v>
      </c>
      <c r="Q10487" t="s">
        <v>10960</v>
      </c>
      <c r="R10487" t="s">
        <v>614</v>
      </c>
      <c r="S10487">
        <v>151.52257499999999</v>
      </c>
      <c r="T10487" s="1095">
        <v>-26.576903999999999</v>
      </c>
    </row>
    <row r="10488" spans="16:20">
      <c r="P10488" s="1094">
        <v>4610</v>
      </c>
      <c r="Q10488" t="s">
        <v>10961</v>
      </c>
      <c r="R10488" t="s">
        <v>614</v>
      </c>
      <c r="S10488">
        <v>151.52257499999999</v>
      </c>
      <c r="T10488" s="1095">
        <v>-26.576903999999999</v>
      </c>
    </row>
    <row r="10489" spans="16:20">
      <c r="P10489" s="1094">
        <v>4610</v>
      </c>
      <c r="Q10489" t="s">
        <v>10962</v>
      </c>
      <c r="R10489" t="s">
        <v>614</v>
      </c>
      <c r="S10489">
        <v>151.52257499999999</v>
      </c>
      <c r="T10489" s="1095">
        <v>-26.576903999999999</v>
      </c>
    </row>
    <row r="10490" spans="16:20">
      <c r="P10490" s="1094">
        <v>4610</v>
      </c>
      <c r="Q10490" t="s">
        <v>10963</v>
      </c>
      <c r="R10490" t="s">
        <v>614</v>
      </c>
      <c r="S10490">
        <v>151.52257499999999</v>
      </c>
      <c r="T10490" s="1095">
        <v>-26.576903999999999</v>
      </c>
    </row>
    <row r="10491" spans="16:20">
      <c r="P10491" s="1094">
        <v>4610</v>
      </c>
      <c r="Q10491" t="s">
        <v>10964</v>
      </c>
      <c r="R10491" t="s">
        <v>614</v>
      </c>
      <c r="S10491">
        <v>151.52257499999999</v>
      </c>
      <c r="T10491" s="1095">
        <v>-26.576903999999999</v>
      </c>
    </row>
    <row r="10492" spans="16:20">
      <c r="P10492" s="1094">
        <v>4610</v>
      </c>
      <c r="Q10492" t="s">
        <v>10965</v>
      </c>
      <c r="R10492" t="s">
        <v>614</v>
      </c>
      <c r="S10492">
        <v>151.52257499999999</v>
      </c>
      <c r="T10492" s="1095">
        <v>-26.576903999999999</v>
      </c>
    </row>
    <row r="10493" spans="16:20">
      <c r="P10493" s="1094">
        <v>4610</v>
      </c>
      <c r="Q10493" t="s">
        <v>3990</v>
      </c>
      <c r="R10493" t="s">
        <v>614</v>
      </c>
      <c r="S10493">
        <v>151.52257499999999</v>
      </c>
      <c r="T10493" s="1095">
        <v>-26.576903999999999</v>
      </c>
    </row>
    <row r="10494" spans="16:20">
      <c r="P10494" s="1094">
        <v>4610</v>
      </c>
      <c r="Q10494" t="s">
        <v>10966</v>
      </c>
      <c r="R10494" t="s">
        <v>614</v>
      </c>
      <c r="S10494">
        <v>151.52257499999999</v>
      </c>
      <c r="T10494" s="1095">
        <v>-26.576903999999999</v>
      </c>
    </row>
    <row r="10495" spans="16:20">
      <c r="P10495" s="1094">
        <v>4610</v>
      </c>
      <c r="Q10495" t="s">
        <v>10967</v>
      </c>
      <c r="R10495" t="s">
        <v>614</v>
      </c>
      <c r="S10495">
        <v>151.52257499999999</v>
      </c>
      <c r="T10495" s="1095">
        <v>-26.576903999999999</v>
      </c>
    </row>
    <row r="10496" spans="16:20">
      <c r="P10496" s="1094">
        <v>4610</v>
      </c>
      <c r="Q10496" t="s">
        <v>10968</v>
      </c>
      <c r="R10496" t="s">
        <v>614</v>
      </c>
      <c r="S10496">
        <v>151.52257499999999</v>
      </c>
      <c r="T10496" s="1095">
        <v>-26.576903999999999</v>
      </c>
    </row>
    <row r="10497" spans="16:20">
      <c r="P10497" s="1094">
        <v>4610</v>
      </c>
      <c r="Q10497" t="s">
        <v>10969</v>
      </c>
      <c r="R10497" t="s">
        <v>614</v>
      </c>
      <c r="S10497">
        <v>151.52257499999999</v>
      </c>
      <c r="T10497" s="1095">
        <v>-26.576903999999999</v>
      </c>
    </row>
    <row r="10498" spans="16:20">
      <c r="P10498" s="1094">
        <v>4610</v>
      </c>
      <c r="Q10498" t="s">
        <v>10970</v>
      </c>
      <c r="R10498" t="s">
        <v>614</v>
      </c>
      <c r="S10498">
        <v>151.52257499999999</v>
      </c>
      <c r="T10498" s="1095">
        <v>-26.576903999999999</v>
      </c>
    </row>
    <row r="10499" spans="16:20">
      <c r="P10499" s="1094">
        <v>4610</v>
      </c>
      <c r="Q10499" t="s">
        <v>10971</v>
      </c>
      <c r="R10499" t="s">
        <v>614</v>
      </c>
      <c r="S10499">
        <v>151.52257499999999</v>
      </c>
      <c r="T10499" s="1095">
        <v>-26.576903999999999</v>
      </c>
    </row>
    <row r="10500" spans="16:20">
      <c r="P10500" s="1094">
        <v>4610</v>
      </c>
      <c r="Q10500" t="s">
        <v>10972</v>
      </c>
      <c r="R10500" t="s">
        <v>614</v>
      </c>
      <c r="S10500">
        <v>151.52257499999999</v>
      </c>
      <c r="T10500" s="1095">
        <v>-26.576903999999999</v>
      </c>
    </row>
    <row r="10501" spans="16:20">
      <c r="P10501" s="1094">
        <v>4610</v>
      </c>
      <c r="Q10501" t="s">
        <v>10973</v>
      </c>
      <c r="R10501" t="s">
        <v>614</v>
      </c>
      <c r="S10501">
        <v>151.52257499999999</v>
      </c>
      <c r="T10501" s="1095">
        <v>-26.576903999999999</v>
      </c>
    </row>
    <row r="10502" spans="16:20">
      <c r="P10502" s="1094">
        <v>4610</v>
      </c>
      <c r="Q10502" t="s">
        <v>10974</v>
      </c>
      <c r="R10502" t="s">
        <v>614</v>
      </c>
      <c r="S10502">
        <v>151.52257499999999</v>
      </c>
      <c r="T10502" s="1095">
        <v>-26.576903999999999</v>
      </c>
    </row>
    <row r="10503" spans="16:20">
      <c r="P10503" s="1094">
        <v>4610</v>
      </c>
      <c r="Q10503" t="s">
        <v>10975</v>
      </c>
      <c r="R10503" t="s">
        <v>614</v>
      </c>
      <c r="S10503">
        <v>151.52257499999999</v>
      </c>
      <c r="T10503" s="1095">
        <v>-26.576903999999999</v>
      </c>
    </row>
    <row r="10504" spans="16:20">
      <c r="P10504" s="1094">
        <v>4610</v>
      </c>
      <c r="Q10504" t="s">
        <v>10976</v>
      </c>
      <c r="R10504" t="s">
        <v>614</v>
      </c>
      <c r="S10504">
        <v>151.52257499999999</v>
      </c>
      <c r="T10504" s="1095">
        <v>-26.576903999999999</v>
      </c>
    </row>
    <row r="10505" spans="16:20">
      <c r="P10505" s="1094">
        <v>4610</v>
      </c>
      <c r="Q10505" t="s">
        <v>10977</v>
      </c>
      <c r="R10505" t="s">
        <v>614</v>
      </c>
      <c r="S10505">
        <v>151.52257499999999</v>
      </c>
      <c r="T10505" s="1095">
        <v>-26.576903999999999</v>
      </c>
    </row>
    <row r="10506" spans="16:20">
      <c r="P10506" s="1094">
        <v>4610</v>
      </c>
      <c r="Q10506" t="s">
        <v>10978</v>
      </c>
      <c r="R10506" t="s">
        <v>614</v>
      </c>
      <c r="S10506">
        <v>151.52257499999999</v>
      </c>
      <c r="T10506" s="1095">
        <v>-26.576903999999999</v>
      </c>
    </row>
    <row r="10507" spans="16:20">
      <c r="P10507" s="1094">
        <v>4610</v>
      </c>
      <c r="Q10507" t="s">
        <v>10979</v>
      </c>
      <c r="R10507" t="s">
        <v>614</v>
      </c>
      <c r="S10507">
        <v>151.52257499999999</v>
      </c>
      <c r="T10507" s="1095">
        <v>-26.576903999999999</v>
      </c>
    </row>
    <row r="10508" spans="16:20">
      <c r="P10508" s="1094">
        <v>4610</v>
      </c>
      <c r="Q10508" t="s">
        <v>10980</v>
      </c>
      <c r="R10508" t="s">
        <v>614</v>
      </c>
      <c r="S10508">
        <v>151.52257499999999</v>
      </c>
      <c r="T10508" s="1095">
        <v>-26.576903999999999</v>
      </c>
    </row>
    <row r="10509" spans="16:20">
      <c r="P10509" s="1094">
        <v>4610</v>
      </c>
      <c r="Q10509" t="s">
        <v>10981</v>
      </c>
      <c r="R10509" t="s">
        <v>614</v>
      </c>
      <c r="S10509">
        <v>151.52257499999999</v>
      </c>
      <c r="T10509" s="1095">
        <v>-26.576903999999999</v>
      </c>
    </row>
    <row r="10510" spans="16:20">
      <c r="P10510" s="1094">
        <v>4610</v>
      </c>
      <c r="Q10510" t="s">
        <v>10982</v>
      </c>
      <c r="R10510" t="s">
        <v>614</v>
      </c>
      <c r="S10510">
        <v>151.52257499999999</v>
      </c>
      <c r="T10510" s="1095">
        <v>-26.576903999999999</v>
      </c>
    </row>
    <row r="10511" spans="16:20">
      <c r="P10511" s="1094">
        <v>4610</v>
      </c>
      <c r="Q10511" t="s">
        <v>10983</v>
      </c>
      <c r="R10511" t="s">
        <v>614</v>
      </c>
      <c r="S10511">
        <v>151.52257499999999</v>
      </c>
      <c r="T10511" s="1095">
        <v>-26.576903999999999</v>
      </c>
    </row>
    <row r="10512" spans="16:20">
      <c r="P10512" s="1094">
        <v>4610</v>
      </c>
      <c r="Q10512" t="s">
        <v>2131</v>
      </c>
      <c r="R10512" t="s">
        <v>614</v>
      </c>
      <c r="S10512">
        <v>151.52257499999999</v>
      </c>
      <c r="T10512" s="1095">
        <v>-26.576903999999999</v>
      </c>
    </row>
    <row r="10513" spans="16:20">
      <c r="P10513" s="1094">
        <v>4611</v>
      </c>
      <c r="Q10513" t="s">
        <v>10984</v>
      </c>
      <c r="R10513" t="s">
        <v>614</v>
      </c>
      <c r="S10513">
        <v>151.77601200000001</v>
      </c>
      <c r="T10513" s="1095">
        <v>-26.176717</v>
      </c>
    </row>
    <row r="10514" spans="16:20">
      <c r="P10514" s="1094">
        <v>4611</v>
      </c>
      <c r="Q10514" t="s">
        <v>10985</v>
      </c>
      <c r="R10514" t="s">
        <v>614</v>
      </c>
      <c r="S10514">
        <v>151.77601200000001</v>
      </c>
      <c r="T10514" s="1095">
        <v>-26.176717</v>
      </c>
    </row>
    <row r="10515" spans="16:20">
      <c r="P10515" s="1094">
        <v>4612</v>
      </c>
      <c r="Q10515" t="s">
        <v>10986</v>
      </c>
      <c r="R10515" t="s">
        <v>614</v>
      </c>
      <c r="S10515">
        <v>151.589811</v>
      </c>
      <c r="T10515" s="1095">
        <v>-26.004636000000001</v>
      </c>
    </row>
    <row r="10516" spans="16:20">
      <c r="P10516" s="1094">
        <v>4612</v>
      </c>
      <c r="Q10516" t="s">
        <v>10987</v>
      </c>
      <c r="R10516" t="s">
        <v>614</v>
      </c>
      <c r="S10516">
        <v>151.589811</v>
      </c>
      <c r="T10516" s="1095">
        <v>-26.004636000000001</v>
      </c>
    </row>
    <row r="10517" spans="16:20">
      <c r="P10517" s="1094">
        <v>4612</v>
      </c>
      <c r="Q10517" t="s">
        <v>10988</v>
      </c>
      <c r="R10517" t="s">
        <v>614</v>
      </c>
      <c r="S10517">
        <v>151.589811</v>
      </c>
      <c r="T10517" s="1095">
        <v>-26.004636000000001</v>
      </c>
    </row>
    <row r="10518" spans="16:20">
      <c r="P10518" s="1094">
        <v>4612</v>
      </c>
      <c r="Q10518" t="s">
        <v>10989</v>
      </c>
      <c r="R10518" t="s">
        <v>614</v>
      </c>
      <c r="S10518">
        <v>151.589811</v>
      </c>
      <c r="T10518" s="1095">
        <v>-26.004636000000001</v>
      </c>
    </row>
    <row r="10519" spans="16:20">
      <c r="P10519" s="1094">
        <v>4612</v>
      </c>
      <c r="Q10519" t="s">
        <v>10990</v>
      </c>
      <c r="R10519" t="s">
        <v>614</v>
      </c>
      <c r="S10519">
        <v>151.589811</v>
      </c>
      <c r="T10519" s="1095">
        <v>-26.004636000000001</v>
      </c>
    </row>
    <row r="10520" spans="16:20">
      <c r="P10520" s="1094">
        <v>4613</v>
      </c>
      <c r="Q10520" t="s">
        <v>10991</v>
      </c>
      <c r="R10520" t="s">
        <v>614</v>
      </c>
      <c r="S10520">
        <v>151.33890400000001</v>
      </c>
      <c r="T10520" s="1095">
        <v>-26.279772000000001</v>
      </c>
    </row>
    <row r="10521" spans="16:20">
      <c r="P10521" s="1094">
        <v>4613</v>
      </c>
      <c r="Q10521" t="s">
        <v>10992</v>
      </c>
      <c r="R10521" t="s">
        <v>614</v>
      </c>
      <c r="S10521">
        <v>151.33890400000001</v>
      </c>
      <c r="T10521" s="1095">
        <v>-26.279772000000001</v>
      </c>
    </row>
    <row r="10522" spans="16:20">
      <c r="P10522" s="1094">
        <v>4613</v>
      </c>
      <c r="Q10522" t="s">
        <v>10993</v>
      </c>
      <c r="R10522" t="s">
        <v>614</v>
      </c>
      <c r="S10522">
        <v>151.33890400000001</v>
      </c>
      <c r="T10522" s="1095">
        <v>-26.279772000000001</v>
      </c>
    </row>
    <row r="10523" spans="16:20">
      <c r="P10523" s="1094">
        <v>4613</v>
      </c>
      <c r="Q10523" t="s">
        <v>10994</v>
      </c>
      <c r="R10523" t="s">
        <v>614</v>
      </c>
      <c r="S10523">
        <v>151.33890400000001</v>
      </c>
      <c r="T10523" s="1095">
        <v>-26.279772000000001</v>
      </c>
    </row>
    <row r="10524" spans="16:20">
      <c r="P10524" s="1094">
        <v>4613</v>
      </c>
      <c r="Q10524" t="s">
        <v>10995</v>
      </c>
      <c r="R10524" t="s">
        <v>614</v>
      </c>
      <c r="S10524">
        <v>151.33890400000001</v>
      </c>
      <c r="T10524" s="1095">
        <v>-26.279772000000001</v>
      </c>
    </row>
    <row r="10525" spans="16:20">
      <c r="P10525" s="1094">
        <v>4613</v>
      </c>
      <c r="Q10525" t="s">
        <v>4945</v>
      </c>
      <c r="R10525" t="s">
        <v>614</v>
      </c>
      <c r="S10525">
        <v>151.33890400000001</v>
      </c>
      <c r="T10525" s="1095">
        <v>-26.279772000000001</v>
      </c>
    </row>
    <row r="10526" spans="16:20">
      <c r="P10526" s="1094">
        <v>4613</v>
      </c>
      <c r="Q10526" t="s">
        <v>10996</v>
      </c>
      <c r="R10526" t="s">
        <v>614</v>
      </c>
      <c r="S10526">
        <v>151.33890400000001</v>
      </c>
      <c r="T10526" s="1095">
        <v>-26.279772000000001</v>
      </c>
    </row>
    <row r="10527" spans="16:20">
      <c r="P10527" s="1094">
        <v>4613</v>
      </c>
      <c r="Q10527" t="s">
        <v>10997</v>
      </c>
      <c r="R10527" t="s">
        <v>614</v>
      </c>
      <c r="S10527">
        <v>151.33890400000001</v>
      </c>
      <c r="T10527" s="1095">
        <v>-26.279772000000001</v>
      </c>
    </row>
    <row r="10528" spans="16:20">
      <c r="P10528" s="1094">
        <v>4613</v>
      </c>
      <c r="Q10528" t="s">
        <v>10998</v>
      </c>
      <c r="R10528" t="s">
        <v>614</v>
      </c>
      <c r="S10528">
        <v>151.33890400000001</v>
      </c>
      <c r="T10528" s="1095">
        <v>-26.279772000000001</v>
      </c>
    </row>
    <row r="10529" spans="16:20">
      <c r="P10529" s="1094">
        <v>4613</v>
      </c>
      <c r="Q10529" t="s">
        <v>10999</v>
      </c>
      <c r="R10529" t="s">
        <v>614</v>
      </c>
      <c r="S10529">
        <v>151.33890400000001</v>
      </c>
      <c r="T10529" s="1095">
        <v>-26.279772000000001</v>
      </c>
    </row>
    <row r="10530" spans="16:20">
      <c r="P10530" s="1094">
        <v>4613</v>
      </c>
      <c r="Q10530" t="s">
        <v>11000</v>
      </c>
      <c r="R10530" t="s">
        <v>614</v>
      </c>
      <c r="S10530">
        <v>151.33890400000001</v>
      </c>
      <c r="T10530" s="1095">
        <v>-26.279772000000001</v>
      </c>
    </row>
    <row r="10531" spans="16:20">
      <c r="P10531" s="1094">
        <v>4614</v>
      </c>
      <c r="Q10531" t="s">
        <v>11001</v>
      </c>
      <c r="R10531" t="s">
        <v>614</v>
      </c>
      <c r="S10531">
        <v>151.964673</v>
      </c>
      <c r="T10531" s="1095">
        <v>-26.848329</v>
      </c>
    </row>
    <row r="10532" spans="16:20">
      <c r="P10532" s="1094">
        <v>4614</v>
      </c>
      <c r="Q10532" t="s">
        <v>11002</v>
      </c>
      <c r="R10532" t="s">
        <v>614</v>
      </c>
      <c r="S10532">
        <v>151.964673</v>
      </c>
      <c r="T10532" s="1095">
        <v>-26.848329</v>
      </c>
    </row>
    <row r="10533" spans="16:20">
      <c r="P10533" s="1094">
        <v>4614</v>
      </c>
      <c r="Q10533" t="s">
        <v>3204</v>
      </c>
      <c r="R10533" t="s">
        <v>614</v>
      </c>
      <c r="S10533">
        <v>151.964673</v>
      </c>
      <c r="T10533" s="1095">
        <v>-26.848329</v>
      </c>
    </row>
    <row r="10534" spans="16:20">
      <c r="P10534" s="1094">
        <v>4615</v>
      </c>
      <c r="Q10534" t="s">
        <v>11003</v>
      </c>
      <c r="R10534" t="s">
        <v>614</v>
      </c>
      <c r="S10534">
        <v>152.01043200000001</v>
      </c>
      <c r="T10534" s="1095">
        <v>-26.659559000000002</v>
      </c>
    </row>
    <row r="10535" spans="16:20">
      <c r="P10535" s="1094">
        <v>4615</v>
      </c>
      <c r="Q10535" t="s">
        <v>4723</v>
      </c>
      <c r="R10535" t="s">
        <v>614</v>
      </c>
      <c r="S10535">
        <v>152.01043200000001</v>
      </c>
      <c r="T10535" s="1095">
        <v>-26.659559000000002</v>
      </c>
    </row>
    <row r="10536" spans="16:20">
      <c r="P10536" s="1094">
        <v>4615</v>
      </c>
      <c r="Q10536" t="s">
        <v>11004</v>
      </c>
      <c r="R10536" t="s">
        <v>614</v>
      </c>
      <c r="S10536">
        <v>152.01043200000001</v>
      </c>
      <c r="T10536" s="1095">
        <v>-26.659559000000002</v>
      </c>
    </row>
    <row r="10537" spans="16:20">
      <c r="P10537" s="1094">
        <v>4615</v>
      </c>
      <c r="Q10537" t="s">
        <v>11005</v>
      </c>
      <c r="R10537" t="s">
        <v>614</v>
      </c>
      <c r="S10537">
        <v>152.01043200000001</v>
      </c>
      <c r="T10537" s="1095">
        <v>-26.659559000000002</v>
      </c>
    </row>
    <row r="10538" spans="16:20">
      <c r="P10538" s="1094">
        <v>4615</v>
      </c>
      <c r="Q10538" t="s">
        <v>11006</v>
      </c>
      <c r="R10538" t="s">
        <v>614</v>
      </c>
      <c r="S10538">
        <v>152.01043200000001</v>
      </c>
      <c r="T10538" s="1095">
        <v>-26.659559000000002</v>
      </c>
    </row>
    <row r="10539" spans="16:20">
      <c r="P10539" s="1094">
        <v>4615</v>
      </c>
      <c r="Q10539" t="s">
        <v>11007</v>
      </c>
      <c r="R10539" t="s">
        <v>614</v>
      </c>
      <c r="S10539">
        <v>152.01043200000001</v>
      </c>
      <c r="T10539" s="1095">
        <v>-26.659559000000002</v>
      </c>
    </row>
    <row r="10540" spans="16:20">
      <c r="P10540" s="1094">
        <v>4615</v>
      </c>
      <c r="Q10540" t="s">
        <v>11008</v>
      </c>
      <c r="R10540" t="s">
        <v>614</v>
      </c>
      <c r="S10540">
        <v>152.01043200000001</v>
      </c>
      <c r="T10540" s="1095">
        <v>-26.659559000000002</v>
      </c>
    </row>
    <row r="10541" spans="16:20">
      <c r="P10541" s="1094">
        <v>4615</v>
      </c>
      <c r="Q10541" t="s">
        <v>11009</v>
      </c>
      <c r="R10541" t="s">
        <v>614</v>
      </c>
      <c r="S10541">
        <v>152.01043200000001</v>
      </c>
      <c r="T10541" s="1095">
        <v>-26.659559000000002</v>
      </c>
    </row>
    <row r="10542" spans="16:20">
      <c r="P10542" s="1094">
        <v>4615</v>
      </c>
      <c r="Q10542" t="s">
        <v>11010</v>
      </c>
      <c r="R10542" t="s">
        <v>614</v>
      </c>
      <c r="S10542">
        <v>152.01043200000001</v>
      </c>
      <c r="T10542" s="1095">
        <v>-26.659559000000002</v>
      </c>
    </row>
    <row r="10543" spans="16:20">
      <c r="P10543" s="1094">
        <v>4615</v>
      </c>
      <c r="Q10543" t="s">
        <v>11011</v>
      </c>
      <c r="R10543" t="s">
        <v>614</v>
      </c>
      <c r="S10543">
        <v>152.01043200000001</v>
      </c>
      <c r="T10543" s="1095">
        <v>-26.659559000000002</v>
      </c>
    </row>
    <row r="10544" spans="16:20">
      <c r="P10544" s="1094">
        <v>4615</v>
      </c>
      <c r="Q10544" t="s">
        <v>11012</v>
      </c>
      <c r="R10544" t="s">
        <v>614</v>
      </c>
      <c r="S10544">
        <v>152.01043200000001</v>
      </c>
      <c r="T10544" s="1095">
        <v>-26.659559000000002</v>
      </c>
    </row>
    <row r="10545" spans="16:20">
      <c r="P10545" s="1094">
        <v>4615</v>
      </c>
      <c r="Q10545" t="s">
        <v>8057</v>
      </c>
      <c r="R10545" t="s">
        <v>614</v>
      </c>
      <c r="S10545">
        <v>152.01043200000001</v>
      </c>
      <c r="T10545" s="1095">
        <v>-26.659559000000002</v>
      </c>
    </row>
    <row r="10546" spans="16:20">
      <c r="P10546" s="1094">
        <v>4615</v>
      </c>
      <c r="Q10546" t="s">
        <v>11013</v>
      </c>
      <c r="R10546" t="s">
        <v>614</v>
      </c>
      <c r="S10546">
        <v>152.01043200000001</v>
      </c>
      <c r="T10546" s="1095">
        <v>-26.659559000000002</v>
      </c>
    </row>
    <row r="10547" spans="16:20">
      <c r="P10547" s="1094">
        <v>4615</v>
      </c>
      <c r="Q10547" t="s">
        <v>11014</v>
      </c>
      <c r="R10547" t="s">
        <v>614</v>
      </c>
      <c r="S10547">
        <v>152.01043200000001</v>
      </c>
      <c r="T10547" s="1095">
        <v>-26.659559000000002</v>
      </c>
    </row>
    <row r="10548" spans="16:20">
      <c r="P10548" s="1094">
        <v>4615</v>
      </c>
      <c r="Q10548" t="s">
        <v>11015</v>
      </c>
      <c r="R10548" t="s">
        <v>614</v>
      </c>
      <c r="S10548">
        <v>152.01043200000001</v>
      </c>
      <c r="T10548" s="1095">
        <v>-26.659559000000002</v>
      </c>
    </row>
    <row r="10549" spans="16:20">
      <c r="P10549" s="1094">
        <v>4615</v>
      </c>
      <c r="Q10549" t="s">
        <v>11016</v>
      </c>
      <c r="R10549" t="s">
        <v>614</v>
      </c>
      <c r="S10549">
        <v>152.01043200000001</v>
      </c>
      <c r="T10549" s="1095">
        <v>-26.659559000000002</v>
      </c>
    </row>
    <row r="10550" spans="16:20">
      <c r="P10550" s="1094">
        <v>4615</v>
      </c>
      <c r="Q10550" t="s">
        <v>11017</v>
      </c>
      <c r="R10550" t="s">
        <v>614</v>
      </c>
      <c r="S10550">
        <v>152.01043200000001</v>
      </c>
      <c r="T10550" s="1095">
        <v>-26.659559000000002</v>
      </c>
    </row>
    <row r="10551" spans="16:20">
      <c r="P10551" s="1094">
        <v>4615</v>
      </c>
      <c r="Q10551" t="s">
        <v>11018</v>
      </c>
      <c r="R10551" t="s">
        <v>614</v>
      </c>
      <c r="S10551">
        <v>152.01043200000001</v>
      </c>
      <c r="T10551" s="1095">
        <v>-26.659559000000002</v>
      </c>
    </row>
    <row r="10552" spans="16:20">
      <c r="P10552" s="1094">
        <v>4615</v>
      </c>
      <c r="Q10552" t="s">
        <v>11019</v>
      </c>
      <c r="R10552" t="s">
        <v>614</v>
      </c>
      <c r="S10552">
        <v>152.01043200000001</v>
      </c>
      <c r="T10552" s="1095">
        <v>-26.659559000000002</v>
      </c>
    </row>
    <row r="10553" spans="16:20">
      <c r="P10553" s="1094">
        <v>4620</v>
      </c>
      <c r="Q10553" t="s">
        <v>11020</v>
      </c>
      <c r="R10553" t="s">
        <v>614</v>
      </c>
      <c r="S10553">
        <v>152.280868</v>
      </c>
      <c r="T10553" s="1095">
        <v>-25.557047000000001</v>
      </c>
    </row>
    <row r="10554" spans="16:20">
      <c r="P10554" s="1094">
        <v>4620</v>
      </c>
      <c r="Q10554" t="s">
        <v>11021</v>
      </c>
      <c r="R10554" t="s">
        <v>614</v>
      </c>
      <c r="S10554">
        <v>152.280868</v>
      </c>
      <c r="T10554" s="1095">
        <v>-25.557047000000001</v>
      </c>
    </row>
    <row r="10555" spans="16:20">
      <c r="P10555" s="1094">
        <v>4620</v>
      </c>
      <c r="Q10555" t="s">
        <v>11022</v>
      </c>
      <c r="R10555" t="s">
        <v>614</v>
      </c>
      <c r="S10555">
        <v>152.280868</v>
      </c>
      <c r="T10555" s="1095">
        <v>-25.557047000000001</v>
      </c>
    </row>
    <row r="10556" spans="16:20">
      <c r="P10556" s="1094">
        <v>4620</v>
      </c>
      <c r="Q10556" t="s">
        <v>11023</v>
      </c>
      <c r="R10556" t="s">
        <v>614</v>
      </c>
      <c r="S10556">
        <v>152.280868</v>
      </c>
      <c r="T10556" s="1095">
        <v>-25.557047000000001</v>
      </c>
    </row>
    <row r="10557" spans="16:20">
      <c r="P10557" s="1094">
        <v>4620</v>
      </c>
      <c r="Q10557" t="s">
        <v>11024</v>
      </c>
      <c r="R10557" t="s">
        <v>614</v>
      </c>
      <c r="S10557">
        <v>152.280868</v>
      </c>
      <c r="T10557" s="1095">
        <v>-25.557047000000001</v>
      </c>
    </row>
    <row r="10558" spans="16:20">
      <c r="P10558" s="1094">
        <v>4620</v>
      </c>
      <c r="Q10558" t="s">
        <v>11025</v>
      </c>
      <c r="R10558" t="s">
        <v>614</v>
      </c>
      <c r="S10558">
        <v>152.280868</v>
      </c>
      <c r="T10558" s="1095">
        <v>-25.557047000000001</v>
      </c>
    </row>
    <row r="10559" spans="16:20">
      <c r="P10559" s="1094">
        <v>4620</v>
      </c>
      <c r="Q10559" t="s">
        <v>11026</v>
      </c>
      <c r="R10559" t="s">
        <v>614</v>
      </c>
      <c r="S10559">
        <v>152.280868</v>
      </c>
      <c r="T10559" s="1095">
        <v>-25.557047000000001</v>
      </c>
    </row>
    <row r="10560" spans="16:20">
      <c r="P10560" s="1094">
        <v>4620</v>
      </c>
      <c r="Q10560" t="s">
        <v>11027</v>
      </c>
      <c r="R10560" t="s">
        <v>614</v>
      </c>
      <c r="S10560">
        <v>152.280868</v>
      </c>
      <c r="T10560" s="1095">
        <v>-25.557047000000001</v>
      </c>
    </row>
    <row r="10561" spans="16:20">
      <c r="P10561" s="1094">
        <v>4620</v>
      </c>
      <c r="Q10561" t="s">
        <v>11028</v>
      </c>
      <c r="R10561" t="s">
        <v>614</v>
      </c>
      <c r="S10561">
        <v>152.280868</v>
      </c>
      <c r="T10561" s="1095">
        <v>-25.557047000000001</v>
      </c>
    </row>
    <row r="10562" spans="16:20">
      <c r="P10562" s="1094">
        <v>4620</v>
      </c>
      <c r="Q10562" t="s">
        <v>11029</v>
      </c>
      <c r="R10562" t="s">
        <v>614</v>
      </c>
      <c r="S10562">
        <v>152.280868</v>
      </c>
      <c r="T10562" s="1095">
        <v>-25.557047000000001</v>
      </c>
    </row>
    <row r="10563" spans="16:20">
      <c r="P10563" s="1094">
        <v>4621</v>
      </c>
      <c r="Q10563" t="s">
        <v>11030</v>
      </c>
      <c r="R10563" t="s">
        <v>614</v>
      </c>
      <c r="S10563">
        <v>152.04280199999999</v>
      </c>
      <c r="T10563" s="1095">
        <v>-25.535827999999999</v>
      </c>
    </row>
    <row r="10564" spans="16:20">
      <c r="P10564" s="1094">
        <v>4621</v>
      </c>
      <c r="Q10564" t="s">
        <v>11031</v>
      </c>
      <c r="R10564" t="s">
        <v>614</v>
      </c>
      <c r="S10564">
        <v>152.04280199999999</v>
      </c>
      <c r="T10564" s="1095">
        <v>-25.535827999999999</v>
      </c>
    </row>
    <row r="10565" spans="16:20">
      <c r="P10565" s="1094">
        <v>4621</v>
      </c>
      <c r="Q10565" t="s">
        <v>11032</v>
      </c>
      <c r="R10565" t="s">
        <v>614</v>
      </c>
      <c r="S10565">
        <v>152.04280199999999</v>
      </c>
      <c r="T10565" s="1095">
        <v>-25.535827999999999</v>
      </c>
    </row>
    <row r="10566" spans="16:20">
      <c r="P10566" s="1094">
        <v>4621</v>
      </c>
      <c r="Q10566" t="s">
        <v>11033</v>
      </c>
      <c r="R10566" t="s">
        <v>614</v>
      </c>
      <c r="S10566">
        <v>152.04280199999999</v>
      </c>
      <c r="T10566" s="1095">
        <v>-25.535827999999999</v>
      </c>
    </row>
    <row r="10567" spans="16:20">
      <c r="P10567" s="1094">
        <v>4621</v>
      </c>
      <c r="Q10567" t="s">
        <v>11034</v>
      </c>
      <c r="R10567" t="s">
        <v>614</v>
      </c>
      <c r="S10567">
        <v>152.04280199999999</v>
      </c>
      <c r="T10567" s="1095">
        <v>-25.535827999999999</v>
      </c>
    </row>
    <row r="10568" spans="16:20">
      <c r="P10568" s="1094">
        <v>4621</v>
      </c>
      <c r="Q10568" t="s">
        <v>11035</v>
      </c>
      <c r="R10568" t="s">
        <v>614</v>
      </c>
      <c r="S10568">
        <v>152.04280199999999</v>
      </c>
      <c r="T10568" s="1095">
        <v>-25.535827999999999</v>
      </c>
    </row>
    <row r="10569" spans="16:20">
      <c r="P10569" s="1094">
        <v>4621</v>
      </c>
      <c r="Q10569" t="s">
        <v>11036</v>
      </c>
      <c r="R10569" t="s">
        <v>614</v>
      </c>
      <c r="S10569">
        <v>152.04280199999999</v>
      </c>
      <c r="T10569" s="1095">
        <v>-25.535827999999999</v>
      </c>
    </row>
    <row r="10570" spans="16:20">
      <c r="P10570" s="1094">
        <v>4621</v>
      </c>
      <c r="Q10570" t="s">
        <v>11037</v>
      </c>
      <c r="R10570" t="s">
        <v>614</v>
      </c>
      <c r="S10570">
        <v>152.04280199999999</v>
      </c>
      <c r="T10570" s="1095">
        <v>-25.535827999999999</v>
      </c>
    </row>
    <row r="10571" spans="16:20">
      <c r="P10571" s="1094">
        <v>4621</v>
      </c>
      <c r="Q10571" t="s">
        <v>11038</v>
      </c>
      <c r="R10571" t="s">
        <v>614</v>
      </c>
      <c r="S10571">
        <v>152.04280199999999</v>
      </c>
      <c r="T10571" s="1095">
        <v>-25.535827999999999</v>
      </c>
    </row>
    <row r="10572" spans="16:20">
      <c r="P10572" s="1094">
        <v>4621</v>
      </c>
      <c r="Q10572" t="s">
        <v>11039</v>
      </c>
      <c r="R10572" t="s">
        <v>614</v>
      </c>
      <c r="S10572">
        <v>152.04280199999999</v>
      </c>
      <c r="T10572" s="1095">
        <v>-25.535827999999999</v>
      </c>
    </row>
    <row r="10573" spans="16:20">
      <c r="P10573" s="1094">
        <v>4621</v>
      </c>
      <c r="Q10573" t="s">
        <v>11040</v>
      </c>
      <c r="R10573" t="s">
        <v>614</v>
      </c>
      <c r="S10573">
        <v>152.04280199999999</v>
      </c>
      <c r="T10573" s="1095">
        <v>-25.535827999999999</v>
      </c>
    </row>
    <row r="10574" spans="16:20">
      <c r="P10574" s="1094">
        <v>4625</v>
      </c>
      <c r="Q10574" t="s">
        <v>11041</v>
      </c>
      <c r="R10574" t="s">
        <v>614</v>
      </c>
      <c r="S10574">
        <v>151.644182</v>
      </c>
      <c r="T10574" s="1095">
        <v>-25.571054</v>
      </c>
    </row>
    <row r="10575" spans="16:20">
      <c r="P10575" s="1094">
        <v>4625</v>
      </c>
      <c r="Q10575" t="s">
        <v>11042</v>
      </c>
      <c r="R10575" t="s">
        <v>614</v>
      </c>
      <c r="S10575">
        <v>151.644182</v>
      </c>
      <c r="T10575" s="1095">
        <v>-25.571054</v>
      </c>
    </row>
    <row r="10576" spans="16:20">
      <c r="P10576" s="1094">
        <v>4625</v>
      </c>
      <c r="Q10576" t="s">
        <v>11043</v>
      </c>
      <c r="R10576" t="s">
        <v>614</v>
      </c>
      <c r="S10576">
        <v>151.644182</v>
      </c>
      <c r="T10576" s="1095">
        <v>-25.571054</v>
      </c>
    </row>
    <row r="10577" spans="16:20">
      <c r="P10577" s="1094">
        <v>4625</v>
      </c>
      <c r="Q10577" t="s">
        <v>11044</v>
      </c>
      <c r="R10577" t="s">
        <v>614</v>
      </c>
      <c r="S10577">
        <v>151.644182</v>
      </c>
      <c r="T10577" s="1095">
        <v>-25.571054</v>
      </c>
    </row>
    <row r="10578" spans="16:20">
      <c r="P10578" s="1094">
        <v>4625</v>
      </c>
      <c r="Q10578" t="s">
        <v>11045</v>
      </c>
      <c r="R10578" t="s">
        <v>614</v>
      </c>
      <c r="S10578">
        <v>151.644182</v>
      </c>
      <c r="T10578" s="1095">
        <v>-25.571054</v>
      </c>
    </row>
    <row r="10579" spans="16:20">
      <c r="P10579" s="1094">
        <v>4625</v>
      </c>
      <c r="Q10579" t="s">
        <v>11046</v>
      </c>
      <c r="R10579" t="s">
        <v>614</v>
      </c>
      <c r="S10579">
        <v>151.644182</v>
      </c>
      <c r="T10579" s="1095">
        <v>-25.571054</v>
      </c>
    </row>
    <row r="10580" spans="16:20">
      <c r="P10580" s="1094">
        <v>4625</v>
      </c>
      <c r="Q10580" t="s">
        <v>11047</v>
      </c>
      <c r="R10580" t="s">
        <v>614</v>
      </c>
      <c r="S10580">
        <v>151.644182</v>
      </c>
      <c r="T10580" s="1095">
        <v>-25.571054</v>
      </c>
    </row>
    <row r="10581" spans="16:20">
      <c r="P10581" s="1094">
        <v>4625</v>
      </c>
      <c r="Q10581" t="s">
        <v>11048</v>
      </c>
      <c r="R10581" t="s">
        <v>614</v>
      </c>
      <c r="S10581">
        <v>151.644182</v>
      </c>
      <c r="T10581" s="1095">
        <v>-25.571054</v>
      </c>
    </row>
    <row r="10582" spans="16:20">
      <c r="P10582" s="1094">
        <v>4625</v>
      </c>
      <c r="Q10582" t="s">
        <v>11049</v>
      </c>
      <c r="R10582" t="s">
        <v>614</v>
      </c>
      <c r="S10582">
        <v>151.644182</v>
      </c>
      <c r="T10582" s="1095">
        <v>-25.571054</v>
      </c>
    </row>
    <row r="10583" spans="16:20">
      <c r="P10583" s="1094">
        <v>4625</v>
      </c>
      <c r="Q10583" t="s">
        <v>11050</v>
      </c>
      <c r="R10583" t="s">
        <v>614</v>
      </c>
      <c r="S10583">
        <v>151.644182</v>
      </c>
      <c r="T10583" s="1095">
        <v>-25.571054</v>
      </c>
    </row>
    <row r="10584" spans="16:20">
      <c r="P10584" s="1094">
        <v>4625</v>
      </c>
      <c r="Q10584" t="s">
        <v>3455</v>
      </c>
      <c r="R10584" t="s">
        <v>614</v>
      </c>
      <c r="S10584">
        <v>151.644182</v>
      </c>
      <c r="T10584" s="1095">
        <v>-25.571054</v>
      </c>
    </row>
    <row r="10585" spans="16:20">
      <c r="P10585" s="1094">
        <v>4625</v>
      </c>
      <c r="Q10585" t="s">
        <v>11051</v>
      </c>
      <c r="R10585" t="s">
        <v>614</v>
      </c>
      <c r="S10585">
        <v>151.644182</v>
      </c>
      <c r="T10585" s="1095">
        <v>-25.571054</v>
      </c>
    </row>
    <row r="10586" spans="16:20">
      <c r="P10586" s="1094">
        <v>4625</v>
      </c>
      <c r="Q10586" t="s">
        <v>11052</v>
      </c>
      <c r="R10586" t="s">
        <v>614</v>
      </c>
      <c r="S10586">
        <v>151.644182</v>
      </c>
      <c r="T10586" s="1095">
        <v>-25.571054</v>
      </c>
    </row>
    <row r="10587" spans="16:20">
      <c r="P10587" s="1094">
        <v>4625</v>
      </c>
      <c r="Q10587" t="s">
        <v>11053</v>
      </c>
      <c r="R10587" t="s">
        <v>614</v>
      </c>
      <c r="S10587">
        <v>151.644182</v>
      </c>
      <c r="T10587" s="1095">
        <v>-25.571054</v>
      </c>
    </row>
    <row r="10588" spans="16:20">
      <c r="P10588" s="1094">
        <v>4625</v>
      </c>
      <c r="Q10588" t="s">
        <v>11054</v>
      </c>
      <c r="R10588" t="s">
        <v>614</v>
      </c>
      <c r="S10588">
        <v>151.644182</v>
      </c>
      <c r="T10588" s="1095">
        <v>-25.571054</v>
      </c>
    </row>
    <row r="10589" spans="16:20">
      <c r="P10589" s="1094">
        <v>4625</v>
      </c>
      <c r="Q10589" t="s">
        <v>11055</v>
      </c>
      <c r="R10589" t="s">
        <v>614</v>
      </c>
      <c r="S10589">
        <v>151.644182</v>
      </c>
      <c r="T10589" s="1095">
        <v>-25.571054</v>
      </c>
    </row>
    <row r="10590" spans="16:20">
      <c r="P10590" s="1094">
        <v>4625</v>
      </c>
      <c r="Q10590" t="s">
        <v>11056</v>
      </c>
      <c r="R10590" t="s">
        <v>614</v>
      </c>
      <c r="S10590">
        <v>151.644182</v>
      </c>
      <c r="T10590" s="1095">
        <v>-25.571054</v>
      </c>
    </row>
    <row r="10591" spans="16:20">
      <c r="P10591" s="1094">
        <v>4625</v>
      </c>
      <c r="Q10591" t="s">
        <v>11057</v>
      </c>
      <c r="R10591" t="s">
        <v>614</v>
      </c>
      <c r="S10591">
        <v>151.644182</v>
      </c>
      <c r="T10591" s="1095">
        <v>-25.571054</v>
      </c>
    </row>
    <row r="10592" spans="16:20">
      <c r="P10592" s="1094">
        <v>4625</v>
      </c>
      <c r="Q10592" t="s">
        <v>11058</v>
      </c>
      <c r="R10592" t="s">
        <v>614</v>
      </c>
      <c r="S10592">
        <v>151.644182</v>
      </c>
      <c r="T10592" s="1095">
        <v>-25.571054</v>
      </c>
    </row>
    <row r="10593" spans="16:20">
      <c r="P10593" s="1094">
        <v>4625</v>
      </c>
      <c r="Q10593" t="s">
        <v>11059</v>
      </c>
      <c r="R10593" t="s">
        <v>614</v>
      </c>
      <c r="S10593">
        <v>151.644182</v>
      </c>
      <c r="T10593" s="1095">
        <v>-25.571054</v>
      </c>
    </row>
    <row r="10594" spans="16:20">
      <c r="P10594" s="1094">
        <v>4625</v>
      </c>
      <c r="Q10594" t="s">
        <v>11060</v>
      </c>
      <c r="R10594" t="s">
        <v>614</v>
      </c>
      <c r="S10594">
        <v>151.644182</v>
      </c>
      <c r="T10594" s="1095">
        <v>-25.571054</v>
      </c>
    </row>
    <row r="10595" spans="16:20">
      <c r="P10595" s="1094">
        <v>4625</v>
      </c>
      <c r="Q10595" t="s">
        <v>11061</v>
      </c>
      <c r="R10595" t="s">
        <v>614</v>
      </c>
      <c r="S10595">
        <v>151.644182</v>
      </c>
      <c r="T10595" s="1095">
        <v>-25.571054</v>
      </c>
    </row>
    <row r="10596" spans="16:20">
      <c r="P10596" s="1094">
        <v>4625</v>
      </c>
      <c r="Q10596" t="s">
        <v>11062</v>
      </c>
      <c r="R10596" t="s">
        <v>614</v>
      </c>
      <c r="S10596">
        <v>151.644182</v>
      </c>
      <c r="T10596" s="1095">
        <v>-25.571054</v>
      </c>
    </row>
    <row r="10597" spans="16:20">
      <c r="P10597" s="1094">
        <v>4625</v>
      </c>
      <c r="Q10597" t="s">
        <v>11063</v>
      </c>
      <c r="R10597" t="s">
        <v>614</v>
      </c>
      <c r="S10597">
        <v>151.644182</v>
      </c>
      <c r="T10597" s="1095">
        <v>-25.571054</v>
      </c>
    </row>
    <row r="10598" spans="16:20">
      <c r="P10598" s="1094">
        <v>4625</v>
      </c>
      <c r="Q10598" t="s">
        <v>11064</v>
      </c>
      <c r="R10598" t="s">
        <v>614</v>
      </c>
      <c r="S10598">
        <v>151.644182</v>
      </c>
      <c r="T10598" s="1095">
        <v>-25.571054</v>
      </c>
    </row>
    <row r="10599" spans="16:20">
      <c r="P10599" s="1094">
        <v>4625</v>
      </c>
      <c r="Q10599" t="s">
        <v>11065</v>
      </c>
      <c r="R10599" t="s">
        <v>614</v>
      </c>
      <c r="S10599">
        <v>151.644182</v>
      </c>
      <c r="T10599" s="1095">
        <v>-25.571054</v>
      </c>
    </row>
    <row r="10600" spans="16:20">
      <c r="P10600" s="1094">
        <v>4625</v>
      </c>
      <c r="Q10600" t="s">
        <v>11066</v>
      </c>
      <c r="R10600" t="s">
        <v>614</v>
      </c>
      <c r="S10600">
        <v>151.644182</v>
      </c>
      <c r="T10600" s="1095">
        <v>-25.571054</v>
      </c>
    </row>
    <row r="10601" spans="16:20">
      <c r="P10601" s="1094">
        <v>4625</v>
      </c>
      <c r="Q10601" t="s">
        <v>11067</v>
      </c>
      <c r="R10601" t="s">
        <v>614</v>
      </c>
      <c r="S10601">
        <v>151.644182</v>
      </c>
      <c r="T10601" s="1095">
        <v>-25.571054</v>
      </c>
    </row>
    <row r="10602" spans="16:20">
      <c r="P10602" s="1094">
        <v>4625</v>
      </c>
      <c r="Q10602" t="s">
        <v>11068</v>
      </c>
      <c r="R10602" t="s">
        <v>614</v>
      </c>
      <c r="S10602">
        <v>151.644182</v>
      </c>
      <c r="T10602" s="1095">
        <v>-25.571054</v>
      </c>
    </row>
    <row r="10603" spans="16:20">
      <c r="P10603" s="1094">
        <v>4625</v>
      </c>
      <c r="Q10603" t="s">
        <v>11069</v>
      </c>
      <c r="R10603" t="s">
        <v>614</v>
      </c>
      <c r="S10603">
        <v>151.644182</v>
      </c>
      <c r="T10603" s="1095">
        <v>-25.571054</v>
      </c>
    </row>
    <row r="10604" spans="16:20">
      <c r="P10604" s="1094">
        <v>4625</v>
      </c>
      <c r="Q10604" t="s">
        <v>11070</v>
      </c>
      <c r="R10604" t="s">
        <v>614</v>
      </c>
      <c r="S10604">
        <v>151.644182</v>
      </c>
      <c r="T10604" s="1095">
        <v>-25.571054</v>
      </c>
    </row>
    <row r="10605" spans="16:20">
      <c r="P10605" s="1094">
        <v>4625</v>
      </c>
      <c r="Q10605" t="s">
        <v>11071</v>
      </c>
      <c r="R10605" t="s">
        <v>614</v>
      </c>
      <c r="S10605">
        <v>151.644182</v>
      </c>
      <c r="T10605" s="1095">
        <v>-25.571054</v>
      </c>
    </row>
    <row r="10606" spans="16:20">
      <c r="P10606" s="1094">
        <v>4625</v>
      </c>
      <c r="Q10606" t="s">
        <v>5345</v>
      </c>
      <c r="R10606" t="s">
        <v>614</v>
      </c>
      <c r="S10606">
        <v>151.644182</v>
      </c>
      <c r="T10606" s="1095">
        <v>-25.571054</v>
      </c>
    </row>
    <row r="10607" spans="16:20">
      <c r="P10607" s="1094">
        <v>4626</v>
      </c>
      <c r="Q10607" t="s">
        <v>11072</v>
      </c>
      <c r="R10607" t="s">
        <v>614</v>
      </c>
      <c r="S10607">
        <v>151.10552899999999</v>
      </c>
      <c r="T10607" s="1095">
        <v>-25.765415999999998</v>
      </c>
    </row>
    <row r="10608" spans="16:20">
      <c r="P10608" s="1094">
        <v>4626</v>
      </c>
      <c r="Q10608" t="s">
        <v>11073</v>
      </c>
      <c r="R10608" t="s">
        <v>614</v>
      </c>
      <c r="S10608">
        <v>151.10552899999999</v>
      </c>
      <c r="T10608" s="1095">
        <v>-25.765415999999998</v>
      </c>
    </row>
    <row r="10609" spans="16:20">
      <c r="P10609" s="1094">
        <v>4626</v>
      </c>
      <c r="Q10609" t="s">
        <v>11074</v>
      </c>
      <c r="R10609" t="s">
        <v>614</v>
      </c>
      <c r="S10609">
        <v>151.10552899999999</v>
      </c>
      <c r="T10609" s="1095">
        <v>-25.765415999999998</v>
      </c>
    </row>
    <row r="10610" spans="16:20">
      <c r="P10610" s="1094">
        <v>4626</v>
      </c>
      <c r="Q10610" t="s">
        <v>2861</v>
      </c>
      <c r="R10610" t="s">
        <v>614</v>
      </c>
      <c r="S10610">
        <v>151.10552899999999</v>
      </c>
      <c r="T10610" s="1095">
        <v>-25.765415999999998</v>
      </c>
    </row>
    <row r="10611" spans="16:20">
      <c r="P10611" s="1094">
        <v>4626</v>
      </c>
      <c r="Q10611" t="s">
        <v>11075</v>
      </c>
      <c r="R10611" t="s">
        <v>614</v>
      </c>
      <c r="S10611">
        <v>151.10552899999999</v>
      </c>
      <c r="T10611" s="1095">
        <v>-25.765415999999998</v>
      </c>
    </row>
    <row r="10612" spans="16:20">
      <c r="P10612" s="1094">
        <v>4626</v>
      </c>
      <c r="Q10612" t="s">
        <v>11076</v>
      </c>
      <c r="R10612" t="s">
        <v>614</v>
      </c>
      <c r="S10612">
        <v>151.10552899999999</v>
      </c>
      <c r="T10612" s="1095">
        <v>-25.765415999999998</v>
      </c>
    </row>
    <row r="10613" spans="16:20">
      <c r="P10613" s="1094">
        <v>4626</v>
      </c>
      <c r="Q10613" t="s">
        <v>11077</v>
      </c>
      <c r="R10613" t="s">
        <v>614</v>
      </c>
      <c r="S10613">
        <v>151.10552899999999</v>
      </c>
      <c r="T10613" s="1095">
        <v>-25.765415999999998</v>
      </c>
    </row>
    <row r="10614" spans="16:20">
      <c r="P10614" s="1094">
        <v>4626</v>
      </c>
      <c r="Q10614" t="s">
        <v>11078</v>
      </c>
      <c r="R10614" t="s">
        <v>614</v>
      </c>
      <c r="S10614">
        <v>151.10552899999999</v>
      </c>
      <c r="T10614" s="1095">
        <v>-25.765415999999998</v>
      </c>
    </row>
    <row r="10615" spans="16:20">
      <c r="P10615" s="1094">
        <v>4626</v>
      </c>
      <c r="Q10615" t="s">
        <v>11079</v>
      </c>
      <c r="R10615" t="s">
        <v>614</v>
      </c>
      <c r="S10615">
        <v>151.10552899999999</v>
      </c>
      <c r="T10615" s="1095">
        <v>-25.765415999999998</v>
      </c>
    </row>
    <row r="10616" spans="16:20">
      <c r="P10616" s="1094">
        <v>4626</v>
      </c>
      <c r="Q10616" t="s">
        <v>11080</v>
      </c>
      <c r="R10616" t="s">
        <v>614</v>
      </c>
      <c r="S10616">
        <v>151.10552899999999</v>
      </c>
      <c r="T10616" s="1095">
        <v>-25.765415999999998</v>
      </c>
    </row>
    <row r="10617" spans="16:20">
      <c r="P10617" s="1094">
        <v>4626</v>
      </c>
      <c r="Q10617" t="s">
        <v>11081</v>
      </c>
      <c r="R10617" t="s">
        <v>614</v>
      </c>
      <c r="S10617">
        <v>151.10552899999999</v>
      </c>
      <c r="T10617" s="1095">
        <v>-25.765415999999998</v>
      </c>
    </row>
    <row r="10618" spans="16:20">
      <c r="P10618" s="1094">
        <v>4626</v>
      </c>
      <c r="Q10618" t="s">
        <v>11082</v>
      </c>
      <c r="R10618" t="s">
        <v>614</v>
      </c>
      <c r="S10618">
        <v>151.10552899999999</v>
      </c>
      <c r="T10618" s="1095">
        <v>-25.765415999999998</v>
      </c>
    </row>
    <row r="10619" spans="16:20">
      <c r="P10619" s="1094">
        <v>4626</v>
      </c>
      <c r="Q10619" t="s">
        <v>11083</v>
      </c>
      <c r="R10619" t="s">
        <v>614</v>
      </c>
      <c r="S10619">
        <v>151.10552899999999</v>
      </c>
      <c r="T10619" s="1095">
        <v>-25.765415999999998</v>
      </c>
    </row>
    <row r="10620" spans="16:20">
      <c r="P10620" s="1094">
        <v>4626</v>
      </c>
      <c r="Q10620" t="s">
        <v>11084</v>
      </c>
      <c r="R10620" t="s">
        <v>614</v>
      </c>
      <c r="S10620">
        <v>151.10552899999999</v>
      </c>
      <c r="T10620" s="1095">
        <v>-25.765415999999998</v>
      </c>
    </row>
    <row r="10621" spans="16:20">
      <c r="P10621" s="1094">
        <v>4626</v>
      </c>
      <c r="Q10621" t="s">
        <v>11085</v>
      </c>
      <c r="R10621" t="s">
        <v>614</v>
      </c>
      <c r="S10621">
        <v>151.10552899999999</v>
      </c>
      <c r="T10621" s="1095">
        <v>-25.765415999999998</v>
      </c>
    </row>
    <row r="10622" spans="16:20">
      <c r="P10622" s="1094">
        <v>4626</v>
      </c>
      <c r="Q10622" t="s">
        <v>11086</v>
      </c>
      <c r="R10622" t="s">
        <v>614</v>
      </c>
      <c r="S10622">
        <v>151.10552899999999</v>
      </c>
      <c r="T10622" s="1095">
        <v>-25.765415999999998</v>
      </c>
    </row>
    <row r="10623" spans="16:20">
      <c r="P10623" s="1094">
        <v>4626</v>
      </c>
      <c r="Q10623" t="s">
        <v>11087</v>
      </c>
      <c r="R10623" t="s">
        <v>614</v>
      </c>
      <c r="S10623">
        <v>151.10552899999999</v>
      </c>
      <c r="T10623" s="1095">
        <v>-25.765415999999998</v>
      </c>
    </row>
    <row r="10624" spans="16:20">
      <c r="P10624" s="1094">
        <v>4627</v>
      </c>
      <c r="Q10624" t="s">
        <v>11088</v>
      </c>
      <c r="R10624" t="s">
        <v>614</v>
      </c>
      <c r="S10624">
        <v>150.77865700000001</v>
      </c>
      <c r="T10624" s="1095">
        <v>-25.350178</v>
      </c>
    </row>
    <row r="10625" spans="16:20">
      <c r="P10625" s="1094">
        <v>4627</v>
      </c>
      <c r="Q10625" t="s">
        <v>11089</v>
      </c>
      <c r="R10625" t="s">
        <v>614</v>
      </c>
      <c r="S10625">
        <v>150.77865700000001</v>
      </c>
      <c r="T10625" s="1095">
        <v>-25.350178</v>
      </c>
    </row>
    <row r="10626" spans="16:20">
      <c r="P10626" s="1094">
        <v>4627</v>
      </c>
      <c r="Q10626" t="s">
        <v>1994</v>
      </c>
      <c r="R10626" t="s">
        <v>614</v>
      </c>
      <c r="S10626">
        <v>150.77865700000001</v>
      </c>
      <c r="T10626" s="1095">
        <v>-25.350178</v>
      </c>
    </row>
    <row r="10627" spans="16:20">
      <c r="P10627" s="1094">
        <v>4627</v>
      </c>
      <c r="Q10627" t="s">
        <v>11090</v>
      </c>
      <c r="R10627" t="s">
        <v>614</v>
      </c>
      <c r="S10627">
        <v>150.77865700000001</v>
      </c>
      <c r="T10627" s="1095">
        <v>-25.350178</v>
      </c>
    </row>
    <row r="10628" spans="16:20">
      <c r="P10628" s="1094">
        <v>4627</v>
      </c>
      <c r="Q10628" t="s">
        <v>11091</v>
      </c>
      <c r="R10628" t="s">
        <v>614</v>
      </c>
      <c r="S10628">
        <v>150.77865700000001</v>
      </c>
      <c r="T10628" s="1095">
        <v>-25.350178</v>
      </c>
    </row>
    <row r="10629" spans="16:20">
      <c r="P10629" s="1094">
        <v>4627</v>
      </c>
      <c r="Q10629" t="s">
        <v>11092</v>
      </c>
      <c r="R10629" t="s">
        <v>614</v>
      </c>
      <c r="S10629">
        <v>150.77865700000001</v>
      </c>
      <c r="T10629" s="1095">
        <v>-25.350178</v>
      </c>
    </row>
    <row r="10630" spans="16:20">
      <c r="P10630" s="1094">
        <v>4627</v>
      </c>
      <c r="Q10630" t="s">
        <v>11093</v>
      </c>
      <c r="R10630" t="s">
        <v>614</v>
      </c>
      <c r="S10630">
        <v>150.77865700000001</v>
      </c>
      <c r="T10630" s="1095">
        <v>-25.350178</v>
      </c>
    </row>
    <row r="10631" spans="16:20">
      <c r="P10631" s="1094">
        <v>4627</v>
      </c>
      <c r="Q10631" t="s">
        <v>11094</v>
      </c>
      <c r="R10631" t="s">
        <v>614</v>
      </c>
      <c r="S10631">
        <v>150.77865700000001</v>
      </c>
      <c r="T10631" s="1095">
        <v>-25.350178</v>
      </c>
    </row>
    <row r="10632" spans="16:20">
      <c r="P10632" s="1094">
        <v>4627</v>
      </c>
      <c r="Q10632" t="s">
        <v>11095</v>
      </c>
      <c r="R10632" t="s">
        <v>614</v>
      </c>
      <c r="S10632">
        <v>150.77865700000001</v>
      </c>
      <c r="T10632" s="1095">
        <v>-25.350178</v>
      </c>
    </row>
    <row r="10633" spans="16:20">
      <c r="P10633" s="1094">
        <v>4627</v>
      </c>
      <c r="Q10633" t="s">
        <v>11096</v>
      </c>
      <c r="R10633" t="s">
        <v>614</v>
      </c>
      <c r="S10633">
        <v>150.77865700000001</v>
      </c>
      <c r="T10633" s="1095">
        <v>-25.350178</v>
      </c>
    </row>
    <row r="10634" spans="16:20">
      <c r="P10634" s="1094">
        <v>4630</v>
      </c>
      <c r="Q10634" t="s">
        <v>11097</v>
      </c>
      <c r="R10634" t="s">
        <v>614</v>
      </c>
      <c r="S10634">
        <v>150.97549900000001</v>
      </c>
      <c r="T10634" s="1095">
        <v>-24.860668</v>
      </c>
    </row>
    <row r="10635" spans="16:20">
      <c r="P10635" s="1094">
        <v>4630</v>
      </c>
      <c r="Q10635" t="s">
        <v>11098</v>
      </c>
      <c r="R10635" t="s">
        <v>614</v>
      </c>
      <c r="S10635">
        <v>150.97549900000001</v>
      </c>
      <c r="T10635" s="1095">
        <v>-24.860668</v>
      </c>
    </row>
    <row r="10636" spans="16:20">
      <c r="P10636" s="1094">
        <v>4630</v>
      </c>
      <c r="Q10636" t="s">
        <v>11099</v>
      </c>
      <c r="R10636" t="s">
        <v>614</v>
      </c>
      <c r="S10636">
        <v>150.97549900000001</v>
      </c>
      <c r="T10636" s="1095">
        <v>-24.860668</v>
      </c>
    </row>
    <row r="10637" spans="16:20">
      <c r="P10637" s="1094">
        <v>4630</v>
      </c>
      <c r="Q10637" t="s">
        <v>11100</v>
      </c>
      <c r="R10637" t="s">
        <v>614</v>
      </c>
      <c r="S10637">
        <v>150.97549900000001</v>
      </c>
      <c r="T10637" s="1095">
        <v>-24.860668</v>
      </c>
    </row>
    <row r="10638" spans="16:20">
      <c r="P10638" s="1094">
        <v>4630</v>
      </c>
      <c r="Q10638" t="s">
        <v>11101</v>
      </c>
      <c r="R10638" t="s">
        <v>614</v>
      </c>
      <c r="S10638">
        <v>150.97549900000001</v>
      </c>
      <c r="T10638" s="1095">
        <v>-24.860668</v>
      </c>
    </row>
    <row r="10639" spans="16:20">
      <c r="P10639" s="1094">
        <v>4630</v>
      </c>
      <c r="Q10639" t="s">
        <v>11102</v>
      </c>
      <c r="R10639" t="s">
        <v>614</v>
      </c>
      <c r="S10639">
        <v>150.97549900000001</v>
      </c>
      <c r="T10639" s="1095">
        <v>-24.860668</v>
      </c>
    </row>
    <row r="10640" spans="16:20">
      <c r="P10640" s="1094">
        <v>4630</v>
      </c>
      <c r="Q10640" t="s">
        <v>11103</v>
      </c>
      <c r="R10640" t="s">
        <v>614</v>
      </c>
      <c r="S10640">
        <v>150.97549900000001</v>
      </c>
      <c r="T10640" s="1095">
        <v>-24.860668</v>
      </c>
    </row>
    <row r="10641" spans="16:20">
      <c r="P10641" s="1094">
        <v>4630</v>
      </c>
      <c r="Q10641" t="s">
        <v>11104</v>
      </c>
      <c r="R10641" t="s">
        <v>614</v>
      </c>
      <c r="S10641">
        <v>150.97549900000001</v>
      </c>
      <c r="T10641" s="1095">
        <v>-24.860668</v>
      </c>
    </row>
    <row r="10642" spans="16:20">
      <c r="P10642" s="1094">
        <v>4630</v>
      </c>
      <c r="Q10642" t="s">
        <v>11105</v>
      </c>
      <c r="R10642" t="s">
        <v>614</v>
      </c>
      <c r="S10642">
        <v>150.97549900000001</v>
      </c>
      <c r="T10642" s="1095">
        <v>-24.860668</v>
      </c>
    </row>
    <row r="10643" spans="16:20">
      <c r="P10643" s="1094">
        <v>4630</v>
      </c>
      <c r="Q10643" t="s">
        <v>11106</v>
      </c>
      <c r="R10643" t="s">
        <v>614</v>
      </c>
      <c r="S10643">
        <v>150.97549900000001</v>
      </c>
      <c r="T10643" s="1095">
        <v>-24.860668</v>
      </c>
    </row>
    <row r="10644" spans="16:20">
      <c r="P10644" s="1094">
        <v>4630</v>
      </c>
      <c r="Q10644" t="s">
        <v>11107</v>
      </c>
      <c r="R10644" t="s">
        <v>614</v>
      </c>
      <c r="S10644">
        <v>150.97549900000001</v>
      </c>
      <c r="T10644" s="1095">
        <v>-24.860668</v>
      </c>
    </row>
    <row r="10645" spans="16:20">
      <c r="P10645" s="1094">
        <v>4630</v>
      </c>
      <c r="Q10645" t="s">
        <v>7609</v>
      </c>
      <c r="R10645" t="s">
        <v>614</v>
      </c>
      <c r="S10645">
        <v>150.97549900000001</v>
      </c>
      <c r="T10645" s="1095">
        <v>-24.860668</v>
      </c>
    </row>
    <row r="10646" spans="16:20">
      <c r="P10646" s="1094">
        <v>4630</v>
      </c>
      <c r="Q10646" t="s">
        <v>11108</v>
      </c>
      <c r="R10646" t="s">
        <v>614</v>
      </c>
      <c r="S10646">
        <v>150.97549900000001</v>
      </c>
      <c r="T10646" s="1095">
        <v>-24.860668</v>
      </c>
    </row>
    <row r="10647" spans="16:20">
      <c r="P10647" s="1094">
        <v>4630</v>
      </c>
      <c r="Q10647" t="s">
        <v>11109</v>
      </c>
      <c r="R10647" t="s">
        <v>614</v>
      </c>
      <c r="S10647">
        <v>150.97549900000001</v>
      </c>
      <c r="T10647" s="1095">
        <v>-24.860668</v>
      </c>
    </row>
    <row r="10648" spans="16:20">
      <c r="P10648" s="1094">
        <v>4630</v>
      </c>
      <c r="Q10648" t="s">
        <v>11110</v>
      </c>
      <c r="R10648" t="s">
        <v>614</v>
      </c>
      <c r="S10648">
        <v>150.97549900000001</v>
      </c>
      <c r="T10648" s="1095">
        <v>-24.860668</v>
      </c>
    </row>
    <row r="10649" spans="16:20">
      <c r="P10649" s="1094">
        <v>4630</v>
      </c>
      <c r="Q10649" t="s">
        <v>11111</v>
      </c>
      <c r="R10649" t="s">
        <v>614</v>
      </c>
      <c r="S10649">
        <v>150.97549900000001</v>
      </c>
      <c r="T10649" s="1095">
        <v>-24.860668</v>
      </c>
    </row>
    <row r="10650" spans="16:20">
      <c r="P10650" s="1094">
        <v>4630</v>
      </c>
      <c r="Q10650" t="s">
        <v>11112</v>
      </c>
      <c r="R10650" t="s">
        <v>614</v>
      </c>
      <c r="S10650">
        <v>150.97549900000001</v>
      </c>
      <c r="T10650" s="1095">
        <v>-24.860668</v>
      </c>
    </row>
    <row r="10651" spans="16:20">
      <c r="P10651" s="1094">
        <v>4630</v>
      </c>
      <c r="Q10651" t="s">
        <v>11113</v>
      </c>
      <c r="R10651" t="s">
        <v>614</v>
      </c>
      <c r="S10651">
        <v>150.97549900000001</v>
      </c>
      <c r="T10651" s="1095">
        <v>-24.860668</v>
      </c>
    </row>
    <row r="10652" spans="16:20">
      <c r="P10652" s="1094">
        <v>4630</v>
      </c>
      <c r="Q10652" t="s">
        <v>11114</v>
      </c>
      <c r="R10652" t="s">
        <v>614</v>
      </c>
      <c r="S10652">
        <v>150.97549900000001</v>
      </c>
      <c r="T10652" s="1095">
        <v>-24.860668</v>
      </c>
    </row>
    <row r="10653" spans="16:20">
      <c r="P10653" s="1094">
        <v>4630</v>
      </c>
      <c r="Q10653" t="s">
        <v>11115</v>
      </c>
      <c r="R10653" t="s">
        <v>614</v>
      </c>
      <c r="S10653">
        <v>150.97549900000001</v>
      </c>
      <c r="T10653" s="1095">
        <v>-24.860668</v>
      </c>
    </row>
    <row r="10654" spans="16:20">
      <c r="P10654" s="1094">
        <v>4630</v>
      </c>
      <c r="Q10654" t="s">
        <v>11116</v>
      </c>
      <c r="R10654" t="s">
        <v>614</v>
      </c>
      <c r="S10654">
        <v>150.97549900000001</v>
      </c>
      <c r="T10654" s="1095">
        <v>-24.860668</v>
      </c>
    </row>
    <row r="10655" spans="16:20">
      <c r="P10655" s="1094">
        <v>4630</v>
      </c>
      <c r="Q10655" t="s">
        <v>11117</v>
      </c>
      <c r="R10655" t="s">
        <v>614</v>
      </c>
      <c r="S10655">
        <v>150.97549900000001</v>
      </c>
      <c r="T10655" s="1095">
        <v>-24.860668</v>
      </c>
    </row>
    <row r="10656" spans="16:20">
      <c r="P10656" s="1094">
        <v>4630</v>
      </c>
      <c r="Q10656" t="s">
        <v>9118</v>
      </c>
      <c r="R10656" t="s">
        <v>614</v>
      </c>
      <c r="S10656">
        <v>150.97549900000001</v>
      </c>
      <c r="T10656" s="1095">
        <v>-24.860668</v>
      </c>
    </row>
    <row r="10657" spans="16:20">
      <c r="P10657" s="1094">
        <v>4630</v>
      </c>
      <c r="Q10657" t="s">
        <v>11118</v>
      </c>
      <c r="R10657" t="s">
        <v>614</v>
      </c>
      <c r="S10657">
        <v>150.97549900000001</v>
      </c>
      <c r="T10657" s="1095">
        <v>-24.860668</v>
      </c>
    </row>
    <row r="10658" spans="16:20">
      <c r="P10658" s="1094">
        <v>4650</v>
      </c>
      <c r="Q10658" t="s">
        <v>11119</v>
      </c>
      <c r="R10658" t="s">
        <v>614</v>
      </c>
      <c r="S10658">
        <v>152.791302</v>
      </c>
      <c r="T10658" s="1095">
        <v>-25.640978</v>
      </c>
    </row>
    <row r="10659" spans="16:20">
      <c r="P10659" s="1094">
        <v>4650</v>
      </c>
      <c r="Q10659" t="s">
        <v>11120</v>
      </c>
      <c r="R10659" t="s">
        <v>614</v>
      </c>
      <c r="S10659">
        <v>152.791302</v>
      </c>
      <c r="T10659" s="1095">
        <v>-25.640978</v>
      </c>
    </row>
    <row r="10660" spans="16:20">
      <c r="P10660" s="1094">
        <v>4650</v>
      </c>
      <c r="Q10660" t="s">
        <v>11121</v>
      </c>
      <c r="R10660" t="s">
        <v>614</v>
      </c>
      <c r="S10660">
        <v>152.791302</v>
      </c>
      <c r="T10660" s="1095">
        <v>-25.640978</v>
      </c>
    </row>
    <row r="10661" spans="16:20">
      <c r="P10661" s="1094">
        <v>4650</v>
      </c>
      <c r="Q10661" t="s">
        <v>11122</v>
      </c>
      <c r="R10661" t="s">
        <v>614</v>
      </c>
      <c r="S10661">
        <v>152.791302</v>
      </c>
      <c r="T10661" s="1095">
        <v>-25.640978</v>
      </c>
    </row>
    <row r="10662" spans="16:20">
      <c r="P10662" s="1094">
        <v>4650</v>
      </c>
      <c r="Q10662" t="s">
        <v>11123</v>
      </c>
      <c r="R10662" t="s">
        <v>614</v>
      </c>
      <c r="S10662">
        <v>152.791302</v>
      </c>
      <c r="T10662" s="1095">
        <v>-25.640978</v>
      </c>
    </row>
    <row r="10663" spans="16:20">
      <c r="P10663" s="1094">
        <v>4650</v>
      </c>
      <c r="Q10663" t="s">
        <v>11124</v>
      </c>
      <c r="R10663" t="s">
        <v>614</v>
      </c>
      <c r="S10663">
        <v>152.791302</v>
      </c>
      <c r="T10663" s="1095">
        <v>-25.640978</v>
      </c>
    </row>
    <row r="10664" spans="16:20">
      <c r="P10664" s="1094">
        <v>4650</v>
      </c>
      <c r="Q10664" t="s">
        <v>11125</v>
      </c>
      <c r="R10664" t="s">
        <v>614</v>
      </c>
      <c r="S10664">
        <v>152.791302</v>
      </c>
      <c r="T10664" s="1095">
        <v>-25.640978</v>
      </c>
    </row>
    <row r="10665" spans="16:20">
      <c r="P10665" s="1094">
        <v>4650</v>
      </c>
      <c r="Q10665" t="s">
        <v>5645</v>
      </c>
      <c r="R10665" t="s">
        <v>614</v>
      </c>
      <c r="S10665">
        <v>152.791302</v>
      </c>
      <c r="T10665" s="1095">
        <v>-25.640978</v>
      </c>
    </row>
    <row r="10666" spans="16:20">
      <c r="P10666" s="1094">
        <v>4650</v>
      </c>
      <c r="Q10666" t="s">
        <v>11126</v>
      </c>
      <c r="R10666" t="s">
        <v>614</v>
      </c>
      <c r="S10666">
        <v>152.791302</v>
      </c>
      <c r="T10666" s="1095">
        <v>-25.640978</v>
      </c>
    </row>
    <row r="10667" spans="16:20">
      <c r="P10667" s="1094">
        <v>4650</v>
      </c>
      <c r="Q10667" t="s">
        <v>11127</v>
      </c>
      <c r="R10667" t="s">
        <v>614</v>
      </c>
      <c r="S10667">
        <v>152.791302</v>
      </c>
      <c r="T10667" s="1095">
        <v>-25.640978</v>
      </c>
    </row>
    <row r="10668" spans="16:20">
      <c r="P10668" s="1094">
        <v>4650</v>
      </c>
      <c r="Q10668" t="s">
        <v>11128</v>
      </c>
      <c r="R10668" t="s">
        <v>614</v>
      </c>
      <c r="S10668">
        <v>152.791302</v>
      </c>
      <c r="T10668" s="1095">
        <v>-25.640978</v>
      </c>
    </row>
    <row r="10669" spans="16:20">
      <c r="P10669" s="1094">
        <v>4650</v>
      </c>
      <c r="Q10669" t="s">
        <v>11129</v>
      </c>
      <c r="R10669" t="s">
        <v>614</v>
      </c>
      <c r="S10669">
        <v>152.791302</v>
      </c>
      <c r="T10669" s="1095">
        <v>-25.640978</v>
      </c>
    </row>
    <row r="10670" spans="16:20">
      <c r="P10670" s="1094">
        <v>4650</v>
      </c>
      <c r="Q10670" t="s">
        <v>11130</v>
      </c>
      <c r="R10670" t="s">
        <v>614</v>
      </c>
      <c r="S10670">
        <v>152.791302</v>
      </c>
      <c r="T10670" s="1095">
        <v>-25.640978</v>
      </c>
    </row>
    <row r="10671" spans="16:20">
      <c r="P10671" s="1094">
        <v>4650</v>
      </c>
      <c r="Q10671" t="s">
        <v>11131</v>
      </c>
      <c r="R10671" t="s">
        <v>614</v>
      </c>
      <c r="S10671">
        <v>152.791302</v>
      </c>
      <c r="T10671" s="1095">
        <v>-25.640978</v>
      </c>
    </row>
    <row r="10672" spans="16:20">
      <c r="P10672" s="1094">
        <v>4650</v>
      </c>
      <c r="Q10672" t="s">
        <v>11132</v>
      </c>
      <c r="R10672" t="s">
        <v>614</v>
      </c>
      <c r="S10672">
        <v>152.791302</v>
      </c>
      <c r="T10672" s="1095">
        <v>-25.640978</v>
      </c>
    </row>
    <row r="10673" spans="16:20">
      <c r="P10673" s="1094">
        <v>4650</v>
      </c>
      <c r="Q10673" t="s">
        <v>11133</v>
      </c>
      <c r="R10673" t="s">
        <v>614</v>
      </c>
      <c r="S10673">
        <v>152.791302</v>
      </c>
      <c r="T10673" s="1095">
        <v>-25.640978</v>
      </c>
    </row>
    <row r="10674" spans="16:20">
      <c r="P10674" s="1094">
        <v>4650</v>
      </c>
      <c r="Q10674" t="s">
        <v>7464</v>
      </c>
      <c r="R10674" t="s">
        <v>614</v>
      </c>
      <c r="S10674">
        <v>152.791302</v>
      </c>
      <c r="T10674" s="1095">
        <v>-25.640978</v>
      </c>
    </row>
    <row r="10675" spans="16:20">
      <c r="P10675" s="1094">
        <v>4650</v>
      </c>
      <c r="Q10675" t="s">
        <v>11134</v>
      </c>
      <c r="R10675" t="s">
        <v>614</v>
      </c>
      <c r="S10675">
        <v>152.791302</v>
      </c>
      <c r="T10675" s="1095">
        <v>-25.640978</v>
      </c>
    </row>
    <row r="10676" spans="16:20">
      <c r="P10676" s="1094">
        <v>4650</v>
      </c>
      <c r="Q10676" t="s">
        <v>11135</v>
      </c>
      <c r="R10676" t="s">
        <v>614</v>
      </c>
      <c r="S10676">
        <v>152.791302</v>
      </c>
      <c r="T10676" s="1095">
        <v>-25.640978</v>
      </c>
    </row>
    <row r="10677" spans="16:20">
      <c r="P10677" s="1094">
        <v>4650</v>
      </c>
      <c r="Q10677" t="s">
        <v>1712</v>
      </c>
      <c r="R10677" t="s">
        <v>614</v>
      </c>
      <c r="S10677">
        <v>152.791302</v>
      </c>
      <c r="T10677" s="1095">
        <v>-25.640978</v>
      </c>
    </row>
    <row r="10678" spans="16:20">
      <c r="P10678" s="1094">
        <v>4650</v>
      </c>
      <c r="Q10678" t="s">
        <v>11136</v>
      </c>
      <c r="R10678" t="s">
        <v>614</v>
      </c>
      <c r="S10678">
        <v>152.791302</v>
      </c>
      <c r="T10678" s="1095">
        <v>-25.640978</v>
      </c>
    </row>
    <row r="10679" spans="16:20">
      <c r="P10679" s="1094">
        <v>4650</v>
      </c>
      <c r="Q10679" t="s">
        <v>11137</v>
      </c>
      <c r="R10679" t="s">
        <v>614</v>
      </c>
      <c r="S10679">
        <v>152.791302</v>
      </c>
      <c r="T10679" s="1095">
        <v>-25.640978</v>
      </c>
    </row>
    <row r="10680" spans="16:20">
      <c r="P10680" s="1094">
        <v>4650</v>
      </c>
      <c r="Q10680" t="s">
        <v>11138</v>
      </c>
      <c r="R10680" t="s">
        <v>614</v>
      </c>
      <c r="S10680">
        <v>152.791302</v>
      </c>
      <c r="T10680" s="1095">
        <v>-25.640978</v>
      </c>
    </row>
    <row r="10681" spans="16:20">
      <c r="P10681" s="1094">
        <v>4650</v>
      </c>
      <c r="Q10681" t="s">
        <v>11139</v>
      </c>
      <c r="R10681" t="s">
        <v>614</v>
      </c>
      <c r="S10681">
        <v>152.791302</v>
      </c>
      <c r="T10681" s="1095">
        <v>-25.640978</v>
      </c>
    </row>
    <row r="10682" spans="16:20">
      <c r="P10682" s="1094">
        <v>4650</v>
      </c>
      <c r="Q10682" t="s">
        <v>11140</v>
      </c>
      <c r="R10682" t="s">
        <v>614</v>
      </c>
      <c r="S10682">
        <v>152.791302</v>
      </c>
      <c r="T10682" s="1095">
        <v>-25.640978</v>
      </c>
    </row>
    <row r="10683" spans="16:20">
      <c r="P10683" s="1094">
        <v>4650</v>
      </c>
      <c r="Q10683" t="s">
        <v>11141</v>
      </c>
      <c r="R10683" t="s">
        <v>614</v>
      </c>
      <c r="S10683">
        <v>152.791302</v>
      </c>
      <c r="T10683" s="1095">
        <v>-25.640978</v>
      </c>
    </row>
    <row r="10684" spans="16:20">
      <c r="P10684" s="1094">
        <v>4650</v>
      </c>
      <c r="Q10684" t="s">
        <v>7709</v>
      </c>
      <c r="R10684" t="s">
        <v>614</v>
      </c>
      <c r="S10684">
        <v>152.791302</v>
      </c>
      <c r="T10684" s="1095">
        <v>-25.640978</v>
      </c>
    </row>
    <row r="10685" spans="16:20">
      <c r="P10685" s="1094">
        <v>4650</v>
      </c>
      <c r="Q10685" t="s">
        <v>11142</v>
      </c>
      <c r="R10685" t="s">
        <v>614</v>
      </c>
      <c r="S10685">
        <v>152.791302</v>
      </c>
      <c r="T10685" s="1095">
        <v>-25.640978</v>
      </c>
    </row>
    <row r="10686" spans="16:20">
      <c r="P10686" s="1094">
        <v>4650</v>
      </c>
      <c r="Q10686" t="s">
        <v>11143</v>
      </c>
      <c r="R10686" t="s">
        <v>614</v>
      </c>
      <c r="S10686">
        <v>152.791302</v>
      </c>
      <c r="T10686" s="1095">
        <v>-25.640978</v>
      </c>
    </row>
    <row r="10687" spans="16:20">
      <c r="P10687" s="1094">
        <v>4650</v>
      </c>
      <c r="Q10687" t="s">
        <v>11144</v>
      </c>
      <c r="R10687" t="s">
        <v>614</v>
      </c>
      <c r="S10687">
        <v>152.791302</v>
      </c>
      <c r="T10687" s="1095">
        <v>-25.640978</v>
      </c>
    </row>
    <row r="10688" spans="16:20">
      <c r="P10688" s="1094">
        <v>4650</v>
      </c>
      <c r="Q10688" t="s">
        <v>11145</v>
      </c>
      <c r="R10688" t="s">
        <v>614</v>
      </c>
      <c r="S10688">
        <v>152.791302</v>
      </c>
      <c r="T10688" s="1095">
        <v>-25.640978</v>
      </c>
    </row>
    <row r="10689" spans="16:20">
      <c r="P10689" s="1094">
        <v>4650</v>
      </c>
      <c r="Q10689" t="s">
        <v>11146</v>
      </c>
      <c r="R10689" t="s">
        <v>614</v>
      </c>
      <c r="S10689">
        <v>152.791302</v>
      </c>
      <c r="T10689" s="1095">
        <v>-25.640978</v>
      </c>
    </row>
    <row r="10690" spans="16:20">
      <c r="P10690" s="1094">
        <v>4650</v>
      </c>
      <c r="Q10690" t="s">
        <v>7560</v>
      </c>
      <c r="R10690" t="s">
        <v>614</v>
      </c>
      <c r="S10690">
        <v>152.791302</v>
      </c>
      <c r="T10690" s="1095">
        <v>-25.640978</v>
      </c>
    </row>
    <row r="10691" spans="16:20">
      <c r="P10691" s="1094">
        <v>4650</v>
      </c>
      <c r="Q10691" t="s">
        <v>5625</v>
      </c>
      <c r="R10691" t="s">
        <v>614</v>
      </c>
      <c r="S10691">
        <v>152.791302</v>
      </c>
      <c r="T10691" s="1095">
        <v>-25.640978</v>
      </c>
    </row>
    <row r="10692" spans="16:20">
      <c r="P10692" s="1094">
        <v>4650</v>
      </c>
      <c r="Q10692" t="s">
        <v>11147</v>
      </c>
      <c r="R10692" t="s">
        <v>614</v>
      </c>
      <c r="S10692">
        <v>152.791302</v>
      </c>
      <c r="T10692" s="1095">
        <v>-25.640978</v>
      </c>
    </row>
    <row r="10693" spans="16:20">
      <c r="P10693" s="1094">
        <v>4650</v>
      </c>
      <c r="Q10693" t="s">
        <v>11148</v>
      </c>
      <c r="R10693" t="s">
        <v>614</v>
      </c>
      <c r="S10693">
        <v>152.791302</v>
      </c>
      <c r="T10693" s="1095">
        <v>-25.640978</v>
      </c>
    </row>
    <row r="10694" spans="16:20">
      <c r="P10694" s="1094">
        <v>4650</v>
      </c>
      <c r="Q10694" t="s">
        <v>11149</v>
      </c>
      <c r="R10694" t="s">
        <v>614</v>
      </c>
      <c r="S10694">
        <v>152.791302</v>
      </c>
      <c r="T10694" s="1095">
        <v>-25.640978</v>
      </c>
    </row>
    <row r="10695" spans="16:20">
      <c r="P10695" s="1094">
        <v>4650</v>
      </c>
      <c r="Q10695" t="s">
        <v>11150</v>
      </c>
      <c r="R10695" t="s">
        <v>614</v>
      </c>
      <c r="S10695">
        <v>152.791302</v>
      </c>
      <c r="T10695" s="1095">
        <v>-25.640978</v>
      </c>
    </row>
    <row r="10696" spans="16:20">
      <c r="P10696" s="1094">
        <v>4650</v>
      </c>
      <c r="Q10696" t="s">
        <v>11151</v>
      </c>
      <c r="R10696" t="s">
        <v>614</v>
      </c>
      <c r="S10696">
        <v>152.791302</v>
      </c>
      <c r="T10696" s="1095">
        <v>-25.640978</v>
      </c>
    </row>
    <row r="10697" spans="16:20">
      <c r="P10697" s="1094">
        <v>4650</v>
      </c>
      <c r="Q10697" t="s">
        <v>11152</v>
      </c>
      <c r="R10697" t="s">
        <v>614</v>
      </c>
      <c r="S10697">
        <v>152.791302</v>
      </c>
      <c r="T10697" s="1095">
        <v>-25.640978</v>
      </c>
    </row>
    <row r="10698" spans="16:20">
      <c r="P10698" s="1094">
        <v>4650</v>
      </c>
      <c r="Q10698" t="s">
        <v>7048</v>
      </c>
      <c r="R10698" t="s">
        <v>614</v>
      </c>
      <c r="S10698">
        <v>152.791302</v>
      </c>
      <c r="T10698" s="1095">
        <v>-25.640978</v>
      </c>
    </row>
    <row r="10699" spans="16:20">
      <c r="P10699" s="1094">
        <v>4650</v>
      </c>
      <c r="Q10699" t="s">
        <v>11153</v>
      </c>
      <c r="R10699" t="s">
        <v>614</v>
      </c>
      <c r="S10699">
        <v>152.791302</v>
      </c>
      <c r="T10699" s="1095">
        <v>-25.640978</v>
      </c>
    </row>
    <row r="10700" spans="16:20">
      <c r="P10700" s="1094">
        <v>4650</v>
      </c>
      <c r="Q10700" t="s">
        <v>11154</v>
      </c>
      <c r="R10700" t="s">
        <v>614</v>
      </c>
      <c r="S10700">
        <v>152.791302</v>
      </c>
      <c r="T10700" s="1095">
        <v>-25.640978</v>
      </c>
    </row>
    <row r="10701" spans="16:20">
      <c r="P10701" s="1094">
        <v>4650</v>
      </c>
      <c r="Q10701" t="s">
        <v>11155</v>
      </c>
      <c r="R10701" t="s">
        <v>614</v>
      </c>
      <c r="S10701">
        <v>152.791302</v>
      </c>
      <c r="T10701" s="1095">
        <v>-25.640978</v>
      </c>
    </row>
    <row r="10702" spans="16:20">
      <c r="P10702" s="1094">
        <v>4650</v>
      </c>
      <c r="Q10702" t="s">
        <v>11156</v>
      </c>
      <c r="R10702" t="s">
        <v>614</v>
      </c>
      <c r="S10702">
        <v>152.791302</v>
      </c>
      <c r="T10702" s="1095">
        <v>-25.640978</v>
      </c>
    </row>
    <row r="10703" spans="16:20">
      <c r="P10703" s="1094">
        <v>4650</v>
      </c>
      <c r="Q10703" t="s">
        <v>11157</v>
      </c>
      <c r="R10703" t="s">
        <v>614</v>
      </c>
      <c r="S10703">
        <v>152.791302</v>
      </c>
      <c r="T10703" s="1095">
        <v>-25.640978</v>
      </c>
    </row>
    <row r="10704" spans="16:20">
      <c r="P10704" s="1094">
        <v>4650</v>
      </c>
      <c r="Q10704" t="s">
        <v>11158</v>
      </c>
      <c r="R10704" t="s">
        <v>614</v>
      </c>
      <c r="S10704">
        <v>152.791302</v>
      </c>
      <c r="T10704" s="1095">
        <v>-25.640978</v>
      </c>
    </row>
    <row r="10705" spans="16:20">
      <c r="P10705" s="1094">
        <v>4650</v>
      </c>
      <c r="Q10705" t="s">
        <v>11159</v>
      </c>
      <c r="R10705" t="s">
        <v>614</v>
      </c>
      <c r="S10705">
        <v>152.791302</v>
      </c>
      <c r="T10705" s="1095">
        <v>-25.640978</v>
      </c>
    </row>
    <row r="10706" spans="16:20">
      <c r="P10706" s="1094">
        <v>4650</v>
      </c>
      <c r="Q10706" t="s">
        <v>11160</v>
      </c>
      <c r="R10706" t="s">
        <v>614</v>
      </c>
      <c r="S10706">
        <v>152.791302</v>
      </c>
      <c r="T10706" s="1095">
        <v>-25.640978</v>
      </c>
    </row>
    <row r="10707" spans="16:20">
      <c r="P10707" s="1094">
        <v>4650</v>
      </c>
      <c r="Q10707" t="s">
        <v>11161</v>
      </c>
      <c r="R10707" t="s">
        <v>614</v>
      </c>
      <c r="S10707">
        <v>152.791302</v>
      </c>
      <c r="T10707" s="1095">
        <v>-25.640978</v>
      </c>
    </row>
    <row r="10708" spans="16:20">
      <c r="P10708" s="1094">
        <v>4650</v>
      </c>
      <c r="Q10708" t="s">
        <v>11162</v>
      </c>
      <c r="R10708" t="s">
        <v>614</v>
      </c>
      <c r="S10708">
        <v>152.791302</v>
      </c>
      <c r="T10708" s="1095">
        <v>-25.640978</v>
      </c>
    </row>
    <row r="10709" spans="16:20">
      <c r="P10709" s="1094">
        <v>4650</v>
      </c>
      <c r="Q10709" t="s">
        <v>11163</v>
      </c>
      <c r="R10709" t="s">
        <v>614</v>
      </c>
      <c r="S10709">
        <v>152.791302</v>
      </c>
      <c r="T10709" s="1095">
        <v>-25.640978</v>
      </c>
    </row>
    <row r="10710" spans="16:20">
      <c r="P10710" s="1094">
        <v>4650</v>
      </c>
      <c r="Q10710" t="s">
        <v>11164</v>
      </c>
      <c r="R10710" t="s">
        <v>614</v>
      </c>
      <c r="S10710">
        <v>152.791302</v>
      </c>
      <c r="T10710" s="1095">
        <v>-25.640978</v>
      </c>
    </row>
    <row r="10711" spans="16:20">
      <c r="P10711" s="1094">
        <v>4650</v>
      </c>
      <c r="Q10711" t="s">
        <v>11165</v>
      </c>
      <c r="R10711" t="s">
        <v>614</v>
      </c>
      <c r="S10711">
        <v>152.791302</v>
      </c>
      <c r="T10711" s="1095">
        <v>-25.640978</v>
      </c>
    </row>
    <row r="10712" spans="16:20">
      <c r="P10712" s="1094">
        <v>4650</v>
      </c>
      <c r="Q10712" t="s">
        <v>11166</v>
      </c>
      <c r="R10712" t="s">
        <v>614</v>
      </c>
      <c r="S10712">
        <v>152.791302</v>
      </c>
      <c r="T10712" s="1095">
        <v>-25.640978</v>
      </c>
    </row>
    <row r="10713" spans="16:20">
      <c r="P10713" s="1094">
        <v>4655</v>
      </c>
      <c r="Q10713" t="s">
        <v>3332</v>
      </c>
      <c r="R10713" t="s">
        <v>614</v>
      </c>
      <c r="S10713">
        <v>152.78368</v>
      </c>
      <c r="T10713" s="1095">
        <v>-25.337997999999999</v>
      </c>
    </row>
    <row r="10714" spans="16:20">
      <c r="P10714" s="1094">
        <v>4655</v>
      </c>
      <c r="Q10714" t="s">
        <v>11167</v>
      </c>
      <c r="R10714" t="s">
        <v>614</v>
      </c>
      <c r="S10714">
        <v>152.78368</v>
      </c>
      <c r="T10714" s="1095">
        <v>-25.337997999999999</v>
      </c>
    </row>
    <row r="10715" spans="16:20">
      <c r="P10715" s="1094">
        <v>4655</v>
      </c>
      <c r="Q10715" t="s">
        <v>11168</v>
      </c>
      <c r="R10715" t="s">
        <v>614</v>
      </c>
      <c r="S10715">
        <v>152.78368</v>
      </c>
      <c r="T10715" s="1095">
        <v>-25.337997999999999</v>
      </c>
    </row>
    <row r="10716" spans="16:20">
      <c r="P10716" s="1094">
        <v>4655</v>
      </c>
      <c r="Q10716" t="s">
        <v>11169</v>
      </c>
      <c r="R10716" t="s">
        <v>614</v>
      </c>
      <c r="S10716">
        <v>152.78368</v>
      </c>
      <c r="T10716" s="1095">
        <v>-25.337997999999999</v>
      </c>
    </row>
    <row r="10717" spans="16:20">
      <c r="P10717" s="1094">
        <v>4655</v>
      </c>
      <c r="Q10717" t="s">
        <v>11170</v>
      </c>
      <c r="R10717" t="s">
        <v>614</v>
      </c>
      <c r="S10717">
        <v>152.78368</v>
      </c>
      <c r="T10717" s="1095">
        <v>-25.337997999999999</v>
      </c>
    </row>
    <row r="10718" spans="16:20">
      <c r="P10718" s="1094">
        <v>4655</v>
      </c>
      <c r="Q10718" t="s">
        <v>11171</v>
      </c>
      <c r="R10718" t="s">
        <v>614</v>
      </c>
      <c r="S10718">
        <v>152.78368</v>
      </c>
      <c r="T10718" s="1095">
        <v>-25.337997999999999</v>
      </c>
    </row>
    <row r="10719" spans="16:20">
      <c r="P10719" s="1094">
        <v>4655</v>
      </c>
      <c r="Q10719" t="s">
        <v>11172</v>
      </c>
      <c r="R10719" t="s">
        <v>614</v>
      </c>
      <c r="S10719">
        <v>152.78368</v>
      </c>
      <c r="T10719" s="1095">
        <v>-25.337997999999999</v>
      </c>
    </row>
    <row r="10720" spans="16:20">
      <c r="P10720" s="1094">
        <v>4655</v>
      </c>
      <c r="Q10720" t="s">
        <v>11173</v>
      </c>
      <c r="R10720" t="s">
        <v>614</v>
      </c>
      <c r="S10720">
        <v>152.78368</v>
      </c>
      <c r="T10720" s="1095">
        <v>-25.337997999999999</v>
      </c>
    </row>
    <row r="10721" spans="16:20">
      <c r="P10721" s="1094">
        <v>4655</v>
      </c>
      <c r="Q10721" t="s">
        <v>3404</v>
      </c>
      <c r="R10721" t="s">
        <v>614</v>
      </c>
      <c r="S10721">
        <v>152.78368</v>
      </c>
      <c r="T10721" s="1095">
        <v>-25.337997999999999</v>
      </c>
    </row>
    <row r="10722" spans="16:20">
      <c r="P10722" s="1094">
        <v>4655</v>
      </c>
      <c r="Q10722" t="s">
        <v>11174</v>
      </c>
      <c r="R10722" t="s">
        <v>614</v>
      </c>
      <c r="S10722">
        <v>152.78368</v>
      </c>
      <c r="T10722" s="1095">
        <v>-25.337997999999999</v>
      </c>
    </row>
    <row r="10723" spans="16:20">
      <c r="P10723" s="1094">
        <v>4655</v>
      </c>
      <c r="Q10723" t="s">
        <v>11175</v>
      </c>
      <c r="R10723" t="s">
        <v>614</v>
      </c>
      <c r="S10723">
        <v>152.78368</v>
      </c>
      <c r="T10723" s="1095">
        <v>-25.337997999999999</v>
      </c>
    </row>
    <row r="10724" spans="16:20">
      <c r="P10724" s="1094">
        <v>4655</v>
      </c>
      <c r="Q10724" t="s">
        <v>11176</v>
      </c>
      <c r="R10724" t="s">
        <v>614</v>
      </c>
      <c r="S10724">
        <v>152.78368</v>
      </c>
      <c r="T10724" s="1095">
        <v>-25.337997999999999</v>
      </c>
    </row>
    <row r="10725" spans="16:20">
      <c r="P10725" s="1094">
        <v>4655</v>
      </c>
      <c r="Q10725" t="s">
        <v>11177</v>
      </c>
      <c r="R10725" t="s">
        <v>614</v>
      </c>
      <c r="S10725">
        <v>152.78368</v>
      </c>
      <c r="T10725" s="1095">
        <v>-25.337997999999999</v>
      </c>
    </row>
    <row r="10726" spans="16:20">
      <c r="P10726" s="1094">
        <v>4655</v>
      </c>
      <c r="Q10726" t="s">
        <v>11178</v>
      </c>
      <c r="R10726" t="s">
        <v>614</v>
      </c>
      <c r="S10726">
        <v>152.78368</v>
      </c>
      <c r="T10726" s="1095">
        <v>-25.337997999999999</v>
      </c>
    </row>
    <row r="10727" spans="16:20">
      <c r="P10727" s="1094">
        <v>4655</v>
      </c>
      <c r="Q10727" t="s">
        <v>11179</v>
      </c>
      <c r="R10727" t="s">
        <v>614</v>
      </c>
      <c r="S10727">
        <v>152.78368</v>
      </c>
      <c r="T10727" s="1095">
        <v>-25.337997999999999</v>
      </c>
    </row>
    <row r="10728" spans="16:20">
      <c r="P10728" s="1094">
        <v>4655</v>
      </c>
      <c r="Q10728" t="s">
        <v>11180</v>
      </c>
      <c r="R10728" t="s">
        <v>614</v>
      </c>
      <c r="S10728">
        <v>152.78368</v>
      </c>
      <c r="T10728" s="1095">
        <v>-25.337997999999999</v>
      </c>
    </row>
    <row r="10729" spans="16:20">
      <c r="P10729" s="1094">
        <v>4655</v>
      </c>
      <c r="Q10729" t="s">
        <v>11181</v>
      </c>
      <c r="R10729" t="s">
        <v>614</v>
      </c>
      <c r="S10729">
        <v>152.78368</v>
      </c>
      <c r="T10729" s="1095">
        <v>-25.337997999999999</v>
      </c>
    </row>
    <row r="10730" spans="16:20">
      <c r="P10730" s="1094">
        <v>4655</v>
      </c>
      <c r="Q10730" t="s">
        <v>11182</v>
      </c>
      <c r="R10730" t="s">
        <v>614</v>
      </c>
      <c r="S10730">
        <v>152.78368</v>
      </c>
      <c r="T10730" s="1095">
        <v>-25.337997999999999</v>
      </c>
    </row>
    <row r="10731" spans="16:20">
      <c r="P10731" s="1094">
        <v>4655</v>
      </c>
      <c r="Q10731" t="s">
        <v>11183</v>
      </c>
      <c r="R10731" t="s">
        <v>614</v>
      </c>
      <c r="S10731">
        <v>152.78368</v>
      </c>
      <c r="T10731" s="1095">
        <v>-25.337997999999999</v>
      </c>
    </row>
    <row r="10732" spans="16:20">
      <c r="P10732" s="1094">
        <v>4655</v>
      </c>
      <c r="Q10732" t="s">
        <v>11184</v>
      </c>
      <c r="R10732" t="s">
        <v>614</v>
      </c>
      <c r="S10732">
        <v>152.78368</v>
      </c>
      <c r="T10732" s="1095">
        <v>-25.337997999999999</v>
      </c>
    </row>
    <row r="10733" spans="16:20">
      <c r="P10733" s="1094">
        <v>4655</v>
      </c>
      <c r="Q10733" t="s">
        <v>11185</v>
      </c>
      <c r="R10733" t="s">
        <v>614</v>
      </c>
      <c r="S10733">
        <v>152.78368</v>
      </c>
      <c r="T10733" s="1095">
        <v>-25.337997999999999</v>
      </c>
    </row>
    <row r="10734" spans="16:20">
      <c r="P10734" s="1094">
        <v>4655</v>
      </c>
      <c r="Q10734" t="s">
        <v>11186</v>
      </c>
      <c r="R10734" t="s">
        <v>614</v>
      </c>
      <c r="S10734">
        <v>152.78368</v>
      </c>
      <c r="T10734" s="1095">
        <v>-25.337997999999999</v>
      </c>
    </row>
    <row r="10735" spans="16:20">
      <c r="P10735" s="1094">
        <v>4655</v>
      </c>
      <c r="Q10735" t="s">
        <v>6861</v>
      </c>
      <c r="R10735" t="s">
        <v>614</v>
      </c>
      <c r="S10735">
        <v>152.78368</v>
      </c>
      <c r="T10735" s="1095">
        <v>-25.337997999999999</v>
      </c>
    </row>
    <row r="10736" spans="16:20">
      <c r="P10736" s="1094">
        <v>4655</v>
      </c>
      <c r="Q10736" t="s">
        <v>11187</v>
      </c>
      <c r="R10736" t="s">
        <v>614</v>
      </c>
      <c r="S10736">
        <v>152.78368</v>
      </c>
      <c r="T10736" s="1095">
        <v>-25.337997999999999</v>
      </c>
    </row>
    <row r="10737" spans="16:20">
      <c r="P10737" s="1094">
        <v>4655</v>
      </c>
      <c r="Q10737" t="s">
        <v>11188</v>
      </c>
      <c r="R10737" t="s">
        <v>614</v>
      </c>
      <c r="S10737">
        <v>152.78368</v>
      </c>
      <c r="T10737" s="1095">
        <v>-25.337997999999999</v>
      </c>
    </row>
    <row r="10738" spans="16:20">
      <c r="P10738" s="1094">
        <v>4655</v>
      </c>
      <c r="Q10738" t="s">
        <v>11189</v>
      </c>
      <c r="R10738" t="s">
        <v>614</v>
      </c>
      <c r="S10738">
        <v>152.78368</v>
      </c>
      <c r="T10738" s="1095">
        <v>-25.337997999999999</v>
      </c>
    </row>
    <row r="10739" spans="16:20">
      <c r="P10739" s="1094">
        <v>4655</v>
      </c>
      <c r="Q10739" t="s">
        <v>11190</v>
      </c>
      <c r="R10739" t="s">
        <v>614</v>
      </c>
      <c r="S10739">
        <v>152.78368</v>
      </c>
      <c r="T10739" s="1095">
        <v>-25.337997999999999</v>
      </c>
    </row>
    <row r="10740" spans="16:20">
      <c r="P10740" s="1094">
        <v>4655</v>
      </c>
      <c r="Q10740" t="s">
        <v>11191</v>
      </c>
      <c r="R10740" t="s">
        <v>614</v>
      </c>
      <c r="S10740">
        <v>152.78368</v>
      </c>
      <c r="T10740" s="1095">
        <v>-25.337997999999999</v>
      </c>
    </row>
    <row r="10741" spans="16:20">
      <c r="P10741" s="1094">
        <v>4659</v>
      </c>
      <c r="Q10741" t="s">
        <v>11192</v>
      </c>
      <c r="R10741" t="s">
        <v>614</v>
      </c>
      <c r="S10741">
        <v>152.56867800000001</v>
      </c>
      <c r="T10741" s="1095">
        <v>-25.266279000000001</v>
      </c>
    </row>
    <row r="10742" spans="16:20">
      <c r="P10742" s="1094">
        <v>4659</v>
      </c>
      <c r="Q10742" t="s">
        <v>11193</v>
      </c>
      <c r="R10742" t="s">
        <v>614</v>
      </c>
      <c r="S10742">
        <v>152.56867800000001</v>
      </c>
      <c r="T10742" s="1095">
        <v>-25.266279000000001</v>
      </c>
    </row>
    <row r="10743" spans="16:20">
      <c r="P10743" s="1094">
        <v>4659</v>
      </c>
      <c r="Q10743" t="s">
        <v>11194</v>
      </c>
      <c r="R10743" t="s">
        <v>614</v>
      </c>
      <c r="S10743">
        <v>152.56867800000001</v>
      </c>
      <c r="T10743" s="1095">
        <v>-25.266279000000001</v>
      </c>
    </row>
    <row r="10744" spans="16:20">
      <c r="P10744" s="1094">
        <v>4659</v>
      </c>
      <c r="Q10744" t="s">
        <v>11195</v>
      </c>
      <c r="R10744" t="s">
        <v>614</v>
      </c>
      <c r="S10744">
        <v>152.56867800000001</v>
      </c>
      <c r="T10744" s="1095">
        <v>-25.266279000000001</v>
      </c>
    </row>
    <row r="10745" spans="16:20">
      <c r="P10745" s="1094">
        <v>4659</v>
      </c>
      <c r="Q10745" t="s">
        <v>11196</v>
      </c>
      <c r="R10745" t="s">
        <v>614</v>
      </c>
      <c r="S10745">
        <v>152.56867800000001</v>
      </c>
      <c r="T10745" s="1095">
        <v>-25.266279000000001</v>
      </c>
    </row>
    <row r="10746" spans="16:20">
      <c r="P10746" s="1094">
        <v>4659</v>
      </c>
      <c r="Q10746" t="s">
        <v>11197</v>
      </c>
      <c r="R10746" t="s">
        <v>614</v>
      </c>
      <c r="S10746">
        <v>152.56867800000001</v>
      </c>
      <c r="T10746" s="1095">
        <v>-25.266279000000001</v>
      </c>
    </row>
    <row r="10747" spans="16:20">
      <c r="P10747" s="1094">
        <v>4659</v>
      </c>
      <c r="Q10747" t="s">
        <v>11198</v>
      </c>
      <c r="R10747" t="s">
        <v>614</v>
      </c>
      <c r="S10747">
        <v>152.56867800000001</v>
      </c>
      <c r="T10747" s="1095">
        <v>-25.266279000000001</v>
      </c>
    </row>
    <row r="10748" spans="16:20">
      <c r="P10748" s="1094">
        <v>4659</v>
      </c>
      <c r="Q10748" t="s">
        <v>11199</v>
      </c>
      <c r="R10748" t="s">
        <v>614</v>
      </c>
      <c r="S10748">
        <v>152.56867800000001</v>
      </c>
      <c r="T10748" s="1095">
        <v>-25.266279000000001</v>
      </c>
    </row>
    <row r="10749" spans="16:20">
      <c r="P10749" s="1094">
        <v>4660</v>
      </c>
      <c r="Q10749" t="s">
        <v>2944</v>
      </c>
      <c r="R10749" t="s">
        <v>614</v>
      </c>
      <c r="S10749">
        <v>152.30096800000001</v>
      </c>
      <c r="T10749" s="1095">
        <v>-25.189298000000001</v>
      </c>
    </row>
    <row r="10750" spans="16:20">
      <c r="P10750" s="1094">
        <v>4660</v>
      </c>
      <c r="Q10750" t="s">
        <v>11200</v>
      </c>
      <c r="R10750" t="s">
        <v>614</v>
      </c>
      <c r="S10750">
        <v>152.30096800000001</v>
      </c>
      <c r="T10750" s="1095">
        <v>-25.189298000000001</v>
      </c>
    </row>
    <row r="10751" spans="16:20">
      <c r="P10751" s="1094">
        <v>4660</v>
      </c>
      <c r="Q10751" t="s">
        <v>4575</v>
      </c>
      <c r="R10751" t="s">
        <v>614</v>
      </c>
      <c r="S10751">
        <v>152.30096800000001</v>
      </c>
      <c r="T10751" s="1095">
        <v>-25.189298000000001</v>
      </c>
    </row>
    <row r="10752" spans="16:20">
      <c r="P10752" s="1094">
        <v>4660</v>
      </c>
      <c r="Q10752" t="s">
        <v>11201</v>
      </c>
      <c r="R10752" t="s">
        <v>614</v>
      </c>
      <c r="S10752">
        <v>152.30096800000001</v>
      </c>
      <c r="T10752" s="1095">
        <v>-25.189298000000001</v>
      </c>
    </row>
    <row r="10753" spans="16:20">
      <c r="P10753" s="1094">
        <v>4660</v>
      </c>
      <c r="Q10753" t="s">
        <v>8796</v>
      </c>
      <c r="R10753" t="s">
        <v>614</v>
      </c>
      <c r="S10753">
        <v>152.30096800000001</v>
      </c>
      <c r="T10753" s="1095">
        <v>-25.189298000000001</v>
      </c>
    </row>
    <row r="10754" spans="16:20">
      <c r="P10754" s="1094">
        <v>4660</v>
      </c>
      <c r="Q10754" t="s">
        <v>11202</v>
      </c>
      <c r="R10754" t="s">
        <v>614</v>
      </c>
      <c r="S10754">
        <v>152.30096800000001</v>
      </c>
      <c r="T10754" s="1095">
        <v>-25.189298000000001</v>
      </c>
    </row>
    <row r="10755" spans="16:20">
      <c r="P10755" s="1094">
        <v>4660</v>
      </c>
      <c r="Q10755" t="s">
        <v>11203</v>
      </c>
      <c r="R10755" t="s">
        <v>614</v>
      </c>
      <c r="S10755">
        <v>152.30096800000001</v>
      </c>
      <c r="T10755" s="1095">
        <v>-25.189298000000001</v>
      </c>
    </row>
    <row r="10756" spans="16:20">
      <c r="P10756" s="1094">
        <v>4660</v>
      </c>
      <c r="Q10756" t="s">
        <v>3996</v>
      </c>
      <c r="R10756" t="s">
        <v>614</v>
      </c>
      <c r="S10756">
        <v>152.30096800000001</v>
      </c>
      <c r="T10756" s="1095">
        <v>-25.189298000000001</v>
      </c>
    </row>
    <row r="10757" spans="16:20">
      <c r="P10757" s="1094">
        <v>4660</v>
      </c>
      <c r="Q10757" t="s">
        <v>11204</v>
      </c>
      <c r="R10757" t="s">
        <v>614</v>
      </c>
      <c r="S10757">
        <v>152.30096800000001</v>
      </c>
      <c r="T10757" s="1095">
        <v>-25.189298000000001</v>
      </c>
    </row>
    <row r="10758" spans="16:20">
      <c r="P10758" s="1094">
        <v>4660</v>
      </c>
      <c r="Q10758" t="s">
        <v>11205</v>
      </c>
      <c r="R10758" t="s">
        <v>614</v>
      </c>
      <c r="S10758">
        <v>152.30096800000001</v>
      </c>
      <c r="T10758" s="1095">
        <v>-25.189298000000001</v>
      </c>
    </row>
    <row r="10759" spans="16:20">
      <c r="P10759" s="1094">
        <v>4660</v>
      </c>
      <c r="Q10759" t="s">
        <v>11206</v>
      </c>
      <c r="R10759" t="s">
        <v>614</v>
      </c>
      <c r="S10759">
        <v>152.30096800000001</v>
      </c>
      <c r="T10759" s="1095">
        <v>-25.189298000000001</v>
      </c>
    </row>
    <row r="10760" spans="16:20">
      <c r="P10760" s="1094">
        <v>4660</v>
      </c>
      <c r="Q10760" t="s">
        <v>11207</v>
      </c>
      <c r="R10760" t="s">
        <v>614</v>
      </c>
      <c r="S10760">
        <v>152.30096800000001</v>
      </c>
      <c r="T10760" s="1095">
        <v>-25.189298000000001</v>
      </c>
    </row>
    <row r="10761" spans="16:20">
      <c r="P10761" s="1094">
        <v>4660</v>
      </c>
      <c r="Q10761" t="s">
        <v>11208</v>
      </c>
      <c r="R10761" t="s">
        <v>614</v>
      </c>
      <c r="S10761">
        <v>152.30096800000001</v>
      </c>
      <c r="T10761" s="1095">
        <v>-25.189298000000001</v>
      </c>
    </row>
    <row r="10762" spans="16:20">
      <c r="P10762" s="1094">
        <v>4660</v>
      </c>
      <c r="Q10762" t="s">
        <v>11209</v>
      </c>
      <c r="R10762" t="s">
        <v>614</v>
      </c>
      <c r="S10762">
        <v>152.30096800000001</v>
      </c>
      <c r="T10762" s="1095">
        <v>-25.189298000000001</v>
      </c>
    </row>
    <row r="10763" spans="16:20">
      <c r="P10763" s="1094">
        <v>4660</v>
      </c>
      <c r="Q10763" t="s">
        <v>11210</v>
      </c>
      <c r="R10763" t="s">
        <v>614</v>
      </c>
      <c r="S10763">
        <v>152.30096800000001</v>
      </c>
      <c r="T10763" s="1095">
        <v>-25.189298000000001</v>
      </c>
    </row>
    <row r="10764" spans="16:20">
      <c r="P10764" s="1094">
        <v>4660</v>
      </c>
      <c r="Q10764" t="s">
        <v>11211</v>
      </c>
      <c r="R10764" t="s">
        <v>614</v>
      </c>
      <c r="S10764">
        <v>152.30096800000001</v>
      </c>
      <c r="T10764" s="1095">
        <v>-25.189298000000001</v>
      </c>
    </row>
    <row r="10765" spans="16:20">
      <c r="P10765" s="1094">
        <v>4660</v>
      </c>
      <c r="Q10765" t="s">
        <v>11212</v>
      </c>
      <c r="R10765" t="s">
        <v>614</v>
      </c>
      <c r="S10765">
        <v>152.30096800000001</v>
      </c>
      <c r="T10765" s="1095">
        <v>-25.189298000000001</v>
      </c>
    </row>
    <row r="10766" spans="16:20">
      <c r="P10766" s="1094">
        <v>4660</v>
      </c>
      <c r="Q10766" t="s">
        <v>11213</v>
      </c>
      <c r="R10766" t="s">
        <v>614</v>
      </c>
      <c r="S10766">
        <v>152.30096800000001</v>
      </c>
      <c r="T10766" s="1095">
        <v>-25.189298000000001</v>
      </c>
    </row>
    <row r="10767" spans="16:20">
      <c r="P10767" s="1094">
        <v>4660</v>
      </c>
      <c r="Q10767" t="s">
        <v>3941</v>
      </c>
      <c r="R10767" t="s">
        <v>614</v>
      </c>
      <c r="S10767">
        <v>152.30096800000001</v>
      </c>
      <c r="T10767" s="1095">
        <v>-25.189298000000001</v>
      </c>
    </row>
    <row r="10768" spans="16:20">
      <c r="P10768" s="1094">
        <v>4660</v>
      </c>
      <c r="Q10768" t="s">
        <v>11214</v>
      </c>
      <c r="R10768" t="s">
        <v>614</v>
      </c>
      <c r="S10768">
        <v>152.30096800000001</v>
      </c>
      <c r="T10768" s="1095">
        <v>-25.189298000000001</v>
      </c>
    </row>
    <row r="10769" spans="16:20">
      <c r="P10769" s="1094">
        <v>4660</v>
      </c>
      <c r="Q10769" t="s">
        <v>11215</v>
      </c>
      <c r="R10769" t="s">
        <v>614</v>
      </c>
      <c r="S10769">
        <v>152.30096800000001</v>
      </c>
      <c r="T10769" s="1095">
        <v>-25.189298000000001</v>
      </c>
    </row>
    <row r="10770" spans="16:20">
      <c r="P10770" s="1094">
        <v>4660</v>
      </c>
      <c r="Q10770" t="s">
        <v>11216</v>
      </c>
      <c r="R10770" t="s">
        <v>614</v>
      </c>
      <c r="S10770">
        <v>152.30096800000001</v>
      </c>
      <c r="T10770" s="1095">
        <v>-25.189298000000001</v>
      </c>
    </row>
    <row r="10771" spans="16:20">
      <c r="P10771" s="1094">
        <v>4660</v>
      </c>
      <c r="Q10771" t="s">
        <v>11217</v>
      </c>
      <c r="R10771" t="s">
        <v>614</v>
      </c>
      <c r="S10771">
        <v>152.30096800000001</v>
      </c>
      <c r="T10771" s="1095">
        <v>-25.189298000000001</v>
      </c>
    </row>
    <row r="10772" spans="16:20">
      <c r="P10772" s="1094">
        <v>4660</v>
      </c>
      <c r="Q10772" t="s">
        <v>11218</v>
      </c>
      <c r="R10772" t="s">
        <v>614</v>
      </c>
      <c r="S10772">
        <v>152.30096800000001</v>
      </c>
      <c r="T10772" s="1095">
        <v>-25.189298000000001</v>
      </c>
    </row>
    <row r="10773" spans="16:20">
      <c r="P10773" s="1094">
        <v>4660</v>
      </c>
      <c r="Q10773" t="s">
        <v>11219</v>
      </c>
      <c r="R10773" t="s">
        <v>614</v>
      </c>
      <c r="S10773">
        <v>152.30096800000001</v>
      </c>
      <c r="T10773" s="1095">
        <v>-25.189298000000001</v>
      </c>
    </row>
    <row r="10774" spans="16:20">
      <c r="P10774" s="1094">
        <v>4662</v>
      </c>
      <c r="Q10774" t="s">
        <v>11220</v>
      </c>
      <c r="R10774" t="s">
        <v>614</v>
      </c>
      <c r="S10774">
        <v>0</v>
      </c>
      <c r="T10774" s="1095">
        <v>0</v>
      </c>
    </row>
    <row r="10775" spans="16:20">
      <c r="P10775" s="1094">
        <v>4670</v>
      </c>
      <c r="Q10775" t="s">
        <v>1811</v>
      </c>
      <c r="R10775" t="s">
        <v>614</v>
      </c>
      <c r="S10775">
        <v>152.297855</v>
      </c>
      <c r="T10775" s="1095">
        <v>-24.88776</v>
      </c>
    </row>
    <row r="10776" spans="16:20">
      <c r="P10776" s="1094">
        <v>4670</v>
      </c>
      <c r="Q10776" t="s">
        <v>11221</v>
      </c>
      <c r="R10776" t="s">
        <v>614</v>
      </c>
      <c r="S10776">
        <v>152.297855</v>
      </c>
      <c r="T10776" s="1095">
        <v>-24.88776</v>
      </c>
    </row>
    <row r="10777" spans="16:20">
      <c r="P10777" s="1094">
        <v>4670</v>
      </c>
      <c r="Q10777" t="s">
        <v>1707</v>
      </c>
      <c r="R10777" t="s">
        <v>614</v>
      </c>
      <c r="S10777">
        <v>152.297855</v>
      </c>
      <c r="T10777" s="1095">
        <v>-24.88776</v>
      </c>
    </row>
    <row r="10778" spans="16:20">
      <c r="P10778" s="1094">
        <v>4670</v>
      </c>
      <c r="Q10778" t="s">
        <v>11222</v>
      </c>
      <c r="R10778" t="s">
        <v>614</v>
      </c>
      <c r="S10778">
        <v>152.297855</v>
      </c>
      <c r="T10778" s="1095">
        <v>-24.88776</v>
      </c>
    </row>
    <row r="10779" spans="16:20">
      <c r="P10779" s="1094">
        <v>4670</v>
      </c>
      <c r="Q10779" t="s">
        <v>4608</v>
      </c>
      <c r="R10779" t="s">
        <v>614</v>
      </c>
      <c r="S10779">
        <v>152.297855</v>
      </c>
      <c r="T10779" s="1095">
        <v>-24.88776</v>
      </c>
    </row>
    <row r="10780" spans="16:20">
      <c r="P10780" s="1094">
        <v>4670</v>
      </c>
      <c r="Q10780" t="s">
        <v>4240</v>
      </c>
      <c r="R10780" t="s">
        <v>614</v>
      </c>
      <c r="S10780">
        <v>152.297855</v>
      </c>
      <c r="T10780" s="1095">
        <v>-24.88776</v>
      </c>
    </row>
    <row r="10781" spans="16:20">
      <c r="P10781" s="1094">
        <v>4670</v>
      </c>
      <c r="Q10781" t="s">
        <v>11223</v>
      </c>
      <c r="R10781" t="s">
        <v>614</v>
      </c>
      <c r="S10781">
        <v>152.297855</v>
      </c>
      <c r="T10781" s="1095">
        <v>-24.88776</v>
      </c>
    </row>
    <row r="10782" spans="16:20">
      <c r="P10782" s="1094">
        <v>4670</v>
      </c>
      <c r="Q10782" t="s">
        <v>11224</v>
      </c>
      <c r="R10782" t="s">
        <v>614</v>
      </c>
      <c r="S10782">
        <v>152.297855</v>
      </c>
      <c r="T10782" s="1095">
        <v>-24.88776</v>
      </c>
    </row>
    <row r="10783" spans="16:20">
      <c r="P10783" s="1094">
        <v>4670</v>
      </c>
      <c r="Q10783" t="s">
        <v>3612</v>
      </c>
      <c r="R10783" t="s">
        <v>614</v>
      </c>
      <c r="S10783">
        <v>152.297855</v>
      </c>
      <c r="T10783" s="1095">
        <v>-24.88776</v>
      </c>
    </row>
    <row r="10784" spans="16:20">
      <c r="P10784" s="1094">
        <v>4670</v>
      </c>
      <c r="Q10784" t="s">
        <v>11225</v>
      </c>
      <c r="R10784" t="s">
        <v>614</v>
      </c>
      <c r="S10784">
        <v>152.297855</v>
      </c>
      <c r="T10784" s="1095">
        <v>-24.88776</v>
      </c>
    </row>
    <row r="10785" spans="16:20">
      <c r="P10785" s="1094">
        <v>4670</v>
      </c>
      <c r="Q10785" t="s">
        <v>11226</v>
      </c>
      <c r="R10785" t="s">
        <v>614</v>
      </c>
      <c r="S10785">
        <v>152.297855</v>
      </c>
      <c r="T10785" s="1095">
        <v>-24.88776</v>
      </c>
    </row>
    <row r="10786" spans="16:20">
      <c r="P10786" s="1094">
        <v>4670</v>
      </c>
      <c r="Q10786" t="s">
        <v>11227</v>
      </c>
      <c r="R10786" t="s">
        <v>614</v>
      </c>
      <c r="S10786">
        <v>152.297855</v>
      </c>
      <c r="T10786" s="1095">
        <v>-24.88776</v>
      </c>
    </row>
    <row r="10787" spans="16:20">
      <c r="P10787" s="1094">
        <v>4670</v>
      </c>
      <c r="Q10787" t="s">
        <v>11228</v>
      </c>
      <c r="R10787" t="s">
        <v>614</v>
      </c>
      <c r="S10787">
        <v>152.297855</v>
      </c>
      <c r="T10787" s="1095">
        <v>-24.88776</v>
      </c>
    </row>
    <row r="10788" spans="16:20">
      <c r="P10788" s="1094">
        <v>4670</v>
      </c>
      <c r="Q10788" t="s">
        <v>11229</v>
      </c>
      <c r="R10788" t="s">
        <v>614</v>
      </c>
      <c r="S10788">
        <v>152.297855</v>
      </c>
      <c r="T10788" s="1095">
        <v>-24.88776</v>
      </c>
    </row>
    <row r="10789" spans="16:20">
      <c r="P10789" s="1094">
        <v>4670</v>
      </c>
      <c r="Q10789" t="s">
        <v>11230</v>
      </c>
      <c r="R10789" t="s">
        <v>614</v>
      </c>
      <c r="S10789">
        <v>152.297855</v>
      </c>
      <c r="T10789" s="1095">
        <v>-24.88776</v>
      </c>
    </row>
    <row r="10790" spans="16:20">
      <c r="P10790" s="1094">
        <v>4670</v>
      </c>
      <c r="Q10790" t="s">
        <v>11231</v>
      </c>
      <c r="R10790" t="s">
        <v>614</v>
      </c>
      <c r="S10790">
        <v>152.297855</v>
      </c>
      <c r="T10790" s="1095">
        <v>-24.88776</v>
      </c>
    </row>
    <row r="10791" spans="16:20">
      <c r="P10791" s="1094">
        <v>4670</v>
      </c>
      <c r="Q10791" t="s">
        <v>11232</v>
      </c>
      <c r="R10791" t="s">
        <v>614</v>
      </c>
      <c r="S10791">
        <v>152.297855</v>
      </c>
      <c r="T10791" s="1095">
        <v>-24.88776</v>
      </c>
    </row>
    <row r="10792" spans="16:20">
      <c r="P10792" s="1094">
        <v>4670</v>
      </c>
      <c r="Q10792" t="s">
        <v>11233</v>
      </c>
      <c r="R10792" t="s">
        <v>614</v>
      </c>
      <c r="S10792">
        <v>152.297855</v>
      </c>
      <c r="T10792" s="1095">
        <v>-24.88776</v>
      </c>
    </row>
    <row r="10793" spans="16:20">
      <c r="P10793" s="1094">
        <v>4670</v>
      </c>
      <c r="Q10793" t="s">
        <v>11234</v>
      </c>
      <c r="R10793" t="s">
        <v>614</v>
      </c>
      <c r="S10793">
        <v>152.297855</v>
      </c>
      <c r="T10793" s="1095">
        <v>-24.88776</v>
      </c>
    </row>
    <row r="10794" spans="16:20">
      <c r="P10794" s="1094">
        <v>4670</v>
      </c>
      <c r="Q10794" t="s">
        <v>11235</v>
      </c>
      <c r="R10794" t="s">
        <v>614</v>
      </c>
      <c r="S10794">
        <v>152.297855</v>
      </c>
      <c r="T10794" s="1095">
        <v>-24.88776</v>
      </c>
    </row>
    <row r="10795" spans="16:20">
      <c r="P10795" s="1094">
        <v>4670</v>
      </c>
      <c r="Q10795" t="s">
        <v>11236</v>
      </c>
      <c r="R10795" t="s">
        <v>614</v>
      </c>
      <c r="S10795">
        <v>152.297855</v>
      </c>
      <c r="T10795" s="1095">
        <v>-24.88776</v>
      </c>
    </row>
    <row r="10796" spans="16:20">
      <c r="P10796" s="1094">
        <v>4670</v>
      </c>
      <c r="Q10796" t="s">
        <v>11237</v>
      </c>
      <c r="R10796" t="s">
        <v>614</v>
      </c>
      <c r="S10796">
        <v>152.297855</v>
      </c>
      <c r="T10796" s="1095">
        <v>-24.88776</v>
      </c>
    </row>
    <row r="10797" spans="16:20">
      <c r="P10797" s="1094">
        <v>4670</v>
      </c>
      <c r="Q10797" t="s">
        <v>1570</v>
      </c>
      <c r="R10797" t="s">
        <v>614</v>
      </c>
      <c r="S10797">
        <v>152.297855</v>
      </c>
      <c r="T10797" s="1095">
        <v>-24.88776</v>
      </c>
    </row>
    <row r="10798" spans="16:20">
      <c r="P10798" s="1094">
        <v>4670</v>
      </c>
      <c r="Q10798" t="s">
        <v>11238</v>
      </c>
      <c r="R10798" t="s">
        <v>614</v>
      </c>
      <c r="S10798">
        <v>152.297855</v>
      </c>
      <c r="T10798" s="1095">
        <v>-24.88776</v>
      </c>
    </row>
    <row r="10799" spans="16:20">
      <c r="P10799" s="1094">
        <v>4670</v>
      </c>
      <c r="Q10799" t="s">
        <v>11239</v>
      </c>
      <c r="R10799" t="s">
        <v>614</v>
      </c>
      <c r="S10799">
        <v>152.297855</v>
      </c>
      <c r="T10799" s="1095">
        <v>-24.88776</v>
      </c>
    </row>
    <row r="10800" spans="16:20">
      <c r="P10800" s="1094">
        <v>4670</v>
      </c>
      <c r="Q10800" t="s">
        <v>11240</v>
      </c>
      <c r="R10800" t="s">
        <v>614</v>
      </c>
      <c r="S10800">
        <v>152.297855</v>
      </c>
      <c r="T10800" s="1095">
        <v>-24.88776</v>
      </c>
    </row>
    <row r="10801" spans="16:20">
      <c r="P10801" s="1094">
        <v>4670</v>
      </c>
      <c r="Q10801" t="s">
        <v>11241</v>
      </c>
      <c r="R10801" t="s">
        <v>614</v>
      </c>
      <c r="S10801">
        <v>152.297855</v>
      </c>
      <c r="T10801" s="1095">
        <v>-24.88776</v>
      </c>
    </row>
    <row r="10802" spans="16:20">
      <c r="P10802" s="1094">
        <v>4670</v>
      </c>
      <c r="Q10802" t="s">
        <v>11242</v>
      </c>
      <c r="R10802" t="s">
        <v>614</v>
      </c>
      <c r="S10802">
        <v>152.297855</v>
      </c>
      <c r="T10802" s="1095">
        <v>-24.88776</v>
      </c>
    </row>
    <row r="10803" spans="16:20">
      <c r="P10803" s="1094">
        <v>4670</v>
      </c>
      <c r="Q10803" t="s">
        <v>11243</v>
      </c>
      <c r="R10803" t="s">
        <v>614</v>
      </c>
      <c r="S10803">
        <v>152.297855</v>
      </c>
      <c r="T10803" s="1095">
        <v>-24.88776</v>
      </c>
    </row>
    <row r="10804" spans="16:20">
      <c r="P10804" s="1094">
        <v>4670</v>
      </c>
      <c r="Q10804" t="s">
        <v>11244</v>
      </c>
      <c r="R10804" t="s">
        <v>614</v>
      </c>
      <c r="S10804">
        <v>152.297855</v>
      </c>
      <c r="T10804" s="1095">
        <v>-24.88776</v>
      </c>
    </row>
    <row r="10805" spans="16:20">
      <c r="P10805" s="1094">
        <v>4670</v>
      </c>
      <c r="Q10805" t="s">
        <v>1665</v>
      </c>
      <c r="R10805" t="s">
        <v>614</v>
      </c>
      <c r="S10805">
        <v>152.297855</v>
      </c>
      <c r="T10805" s="1095">
        <v>-24.88776</v>
      </c>
    </row>
    <row r="10806" spans="16:20">
      <c r="P10806" s="1094">
        <v>4670</v>
      </c>
      <c r="Q10806" t="s">
        <v>11245</v>
      </c>
      <c r="R10806" t="s">
        <v>614</v>
      </c>
      <c r="S10806">
        <v>152.297855</v>
      </c>
      <c r="T10806" s="1095">
        <v>-24.88776</v>
      </c>
    </row>
    <row r="10807" spans="16:20">
      <c r="P10807" s="1094">
        <v>4670</v>
      </c>
      <c r="Q10807" t="s">
        <v>11246</v>
      </c>
      <c r="R10807" t="s">
        <v>614</v>
      </c>
      <c r="S10807">
        <v>152.297855</v>
      </c>
      <c r="T10807" s="1095">
        <v>-24.88776</v>
      </c>
    </row>
    <row r="10808" spans="16:20">
      <c r="P10808" s="1094">
        <v>4670</v>
      </c>
      <c r="Q10808" t="s">
        <v>11247</v>
      </c>
      <c r="R10808" t="s">
        <v>614</v>
      </c>
      <c r="S10808">
        <v>152.297855</v>
      </c>
      <c r="T10808" s="1095">
        <v>-24.88776</v>
      </c>
    </row>
    <row r="10809" spans="16:20">
      <c r="P10809" s="1094">
        <v>4670</v>
      </c>
      <c r="Q10809" t="s">
        <v>3467</v>
      </c>
      <c r="R10809" t="s">
        <v>614</v>
      </c>
      <c r="S10809">
        <v>152.297855</v>
      </c>
      <c r="T10809" s="1095">
        <v>-24.88776</v>
      </c>
    </row>
    <row r="10810" spans="16:20">
      <c r="P10810" s="1094">
        <v>4670</v>
      </c>
      <c r="Q10810" t="s">
        <v>11248</v>
      </c>
      <c r="R10810" t="s">
        <v>614</v>
      </c>
      <c r="S10810">
        <v>152.297855</v>
      </c>
      <c r="T10810" s="1095">
        <v>-24.88776</v>
      </c>
    </row>
    <row r="10811" spans="16:20">
      <c r="P10811" s="1094">
        <v>4670</v>
      </c>
      <c r="Q10811" t="s">
        <v>1654</v>
      </c>
      <c r="R10811" t="s">
        <v>614</v>
      </c>
      <c r="S10811">
        <v>152.297855</v>
      </c>
      <c r="T10811" s="1095">
        <v>-24.88776</v>
      </c>
    </row>
    <row r="10812" spans="16:20">
      <c r="P10812" s="1094">
        <v>4670</v>
      </c>
      <c r="Q10812" t="s">
        <v>3527</v>
      </c>
      <c r="R10812" t="s">
        <v>614</v>
      </c>
      <c r="S10812">
        <v>152.297855</v>
      </c>
      <c r="T10812" s="1095">
        <v>-24.88776</v>
      </c>
    </row>
    <row r="10813" spans="16:20">
      <c r="P10813" s="1094">
        <v>4670</v>
      </c>
      <c r="Q10813" t="s">
        <v>11249</v>
      </c>
      <c r="R10813" t="s">
        <v>614</v>
      </c>
      <c r="S10813">
        <v>152.297855</v>
      </c>
      <c r="T10813" s="1095">
        <v>-24.88776</v>
      </c>
    </row>
    <row r="10814" spans="16:20">
      <c r="P10814" s="1094">
        <v>4670</v>
      </c>
      <c r="Q10814" t="s">
        <v>3035</v>
      </c>
      <c r="R10814" t="s">
        <v>614</v>
      </c>
      <c r="S10814">
        <v>152.297855</v>
      </c>
      <c r="T10814" s="1095">
        <v>-24.88776</v>
      </c>
    </row>
    <row r="10815" spans="16:20">
      <c r="P10815" s="1094">
        <v>4670</v>
      </c>
      <c r="Q10815" t="s">
        <v>1544</v>
      </c>
      <c r="R10815" t="s">
        <v>614</v>
      </c>
      <c r="S10815">
        <v>152.297855</v>
      </c>
      <c r="T10815" s="1095">
        <v>-24.88776</v>
      </c>
    </row>
    <row r="10816" spans="16:20">
      <c r="P10816" s="1094">
        <v>4670</v>
      </c>
      <c r="Q10816" t="s">
        <v>11250</v>
      </c>
      <c r="R10816" t="s">
        <v>614</v>
      </c>
      <c r="S10816">
        <v>152.297855</v>
      </c>
      <c r="T10816" s="1095">
        <v>-24.88776</v>
      </c>
    </row>
    <row r="10817" spans="16:20">
      <c r="P10817" s="1094">
        <v>4670</v>
      </c>
      <c r="Q10817" t="s">
        <v>11251</v>
      </c>
      <c r="R10817" t="s">
        <v>614</v>
      </c>
      <c r="S10817">
        <v>152.297855</v>
      </c>
      <c r="T10817" s="1095">
        <v>-24.88776</v>
      </c>
    </row>
    <row r="10818" spans="16:20">
      <c r="P10818" s="1094">
        <v>4670</v>
      </c>
      <c r="Q10818" t="s">
        <v>11252</v>
      </c>
      <c r="R10818" t="s">
        <v>614</v>
      </c>
      <c r="S10818">
        <v>152.297855</v>
      </c>
      <c r="T10818" s="1095">
        <v>-24.88776</v>
      </c>
    </row>
    <row r="10819" spans="16:20">
      <c r="P10819" s="1094">
        <v>4670</v>
      </c>
      <c r="Q10819" t="s">
        <v>11253</v>
      </c>
      <c r="R10819" t="s">
        <v>614</v>
      </c>
      <c r="S10819">
        <v>152.297855</v>
      </c>
      <c r="T10819" s="1095">
        <v>-24.88776</v>
      </c>
    </row>
    <row r="10820" spans="16:20">
      <c r="P10820" s="1094">
        <v>4670</v>
      </c>
      <c r="Q10820" t="s">
        <v>11254</v>
      </c>
      <c r="R10820" t="s">
        <v>614</v>
      </c>
      <c r="S10820">
        <v>152.297855</v>
      </c>
      <c r="T10820" s="1095">
        <v>-24.88776</v>
      </c>
    </row>
    <row r="10821" spans="16:20">
      <c r="P10821" s="1094">
        <v>4670</v>
      </c>
      <c r="Q10821" t="s">
        <v>11255</v>
      </c>
      <c r="R10821" t="s">
        <v>614</v>
      </c>
      <c r="S10821">
        <v>152.297855</v>
      </c>
      <c r="T10821" s="1095">
        <v>-24.88776</v>
      </c>
    </row>
    <row r="10822" spans="16:20">
      <c r="P10822" s="1094">
        <v>4670</v>
      </c>
      <c r="Q10822" t="s">
        <v>11256</v>
      </c>
      <c r="R10822" t="s">
        <v>614</v>
      </c>
      <c r="S10822">
        <v>152.297855</v>
      </c>
      <c r="T10822" s="1095">
        <v>-24.88776</v>
      </c>
    </row>
    <row r="10823" spans="16:20">
      <c r="P10823" s="1094">
        <v>4670</v>
      </c>
      <c r="Q10823" t="s">
        <v>11257</v>
      </c>
      <c r="R10823" t="s">
        <v>614</v>
      </c>
      <c r="S10823">
        <v>152.297855</v>
      </c>
      <c r="T10823" s="1095">
        <v>-24.88776</v>
      </c>
    </row>
    <row r="10824" spans="16:20">
      <c r="P10824" s="1094">
        <v>4670</v>
      </c>
      <c r="Q10824" t="s">
        <v>11258</v>
      </c>
      <c r="R10824" t="s">
        <v>614</v>
      </c>
      <c r="S10824">
        <v>152.297855</v>
      </c>
      <c r="T10824" s="1095">
        <v>-24.88776</v>
      </c>
    </row>
    <row r="10825" spans="16:20">
      <c r="P10825" s="1094">
        <v>4670</v>
      </c>
      <c r="Q10825" t="s">
        <v>11259</v>
      </c>
      <c r="R10825" t="s">
        <v>614</v>
      </c>
      <c r="S10825">
        <v>152.297855</v>
      </c>
      <c r="T10825" s="1095">
        <v>-24.88776</v>
      </c>
    </row>
    <row r="10826" spans="16:20">
      <c r="P10826" s="1094">
        <v>4670</v>
      </c>
      <c r="Q10826" t="s">
        <v>11260</v>
      </c>
      <c r="R10826" t="s">
        <v>614</v>
      </c>
      <c r="S10826">
        <v>152.297855</v>
      </c>
      <c r="T10826" s="1095">
        <v>-24.88776</v>
      </c>
    </row>
    <row r="10827" spans="16:20">
      <c r="P10827" s="1094">
        <v>4670</v>
      </c>
      <c r="Q10827" t="s">
        <v>2633</v>
      </c>
      <c r="R10827" t="s">
        <v>614</v>
      </c>
      <c r="S10827">
        <v>152.297855</v>
      </c>
      <c r="T10827" s="1095">
        <v>-24.88776</v>
      </c>
    </row>
    <row r="10828" spans="16:20">
      <c r="P10828" s="1094">
        <v>4670</v>
      </c>
      <c r="Q10828" t="s">
        <v>11261</v>
      </c>
      <c r="R10828" t="s">
        <v>614</v>
      </c>
      <c r="S10828">
        <v>152.297855</v>
      </c>
      <c r="T10828" s="1095">
        <v>-24.88776</v>
      </c>
    </row>
    <row r="10829" spans="16:20">
      <c r="P10829" s="1094">
        <v>4670</v>
      </c>
      <c r="Q10829" t="s">
        <v>11262</v>
      </c>
      <c r="R10829" t="s">
        <v>614</v>
      </c>
      <c r="S10829">
        <v>152.297855</v>
      </c>
      <c r="T10829" s="1095">
        <v>-24.88776</v>
      </c>
    </row>
    <row r="10830" spans="16:20">
      <c r="P10830" s="1094">
        <v>4671</v>
      </c>
      <c r="Q10830" t="s">
        <v>11263</v>
      </c>
      <c r="R10830" t="s">
        <v>614</v>
      </c>
      <c r="S10830">
        <v>151.78942000000001</v>
      </c>
      <c r="T10830" s="1095">
        <v>-25.076450000000001</v>
      </c>
    </row>
    <row r="10831" spans="16:20">
      <c r="P10831" s="1094">
        <v>4671</v>
      </c>
      <c r="Q10831" t="s">
        <v>11264</v>
      </c>
      <c r="R10831" t="s">
        <v>614</v>
      </c>
      <c r="S10831">
        <v>151.78942000000001</v>
      </c>
      <c r="T10831" s="1095">
        <v>-25.076450000000001</v>
      </c>
    </row>
    <row r="10832" spans="16:20">
      <c r="P10832" s="1094">
        <v>4671</v>
      </c>
      <c r="Q10832" t="s">
        <v>11265</v>
      </c>
      <c r="R10832" t="s">
        <v>614</v>
      </c>
      <c r="S10832">
        <v>151.78942000000001</v>
      </c>
      <c r="T10832" s="1095">
        <v>-25.076450000000001</v>
      </c>
    </row>
    <row r="10833" spans="16:20">
      <c r="P10833" s="1094">
        <v>4671</v>
      </c>
      <c r="Q10833" t="s">
        <v>11266</v>
      </c>
      <c r="R10833" t="s">
        <v>614</v>
      </c>
      <c r="S10833">
        <v>151.78942000000001</v>
      </c>
      <c r="T10833" s="1095">
        <v>-25.076450000000001</v>
      </c>
    </row>
    <row r="10834" spans="16:20">
      <c r="P10834" s="1094">
        <v>4671</v>
      </c>
      <c r="Q10834" t="s">
        <v>11267</v>
      </c>
      <c r="R10834" t="s">
        <v>614</v>
      </c>
      <c r="S10834">
        <v>151.78942000000001</v>
      </c>
      <c r="T10834" s="1095">
        <v>-25.076450000000001</v>
      </c>
    </row>
    <row r="10835" spans="16:20">
      <c r="P10835" s="1094">
        <v>4671</v>
      </c>
      <c r="Q10835" t="s">
        <v>11268</v>
      </c>
      <c r="R10835" t="s">
        <v>614</v>
      </c>
      <c r="S10835">
        <v>151.78942000000001</v>
      </c>
      <c r="T10835" s="1095">
        <v>-25.076450000000001</v>
      </c>
    </row>
    <row r="10836" spans="16:20">
      <c r="P10836" s="1094">
        <v>4671</v>
      </c>
      <c r="Q10836" t="s">
        <v>11269</v>
      </c>
      <c r="R10836" t="s">
        <v>614</v>
      </c>
      <c r="S10836">
        <v>151.78942000000001</v>
      </c>
      <c r="T10836" s="1095">
        <v>-25.076450000000001</v>
      </c>
    </row>
    <row r="10837" spans="16:20">
      <c r="P10837" s="1094">
        <v>4671</v>
      </c>
      <c r="Q10837" t="s">
        <v>11270</v>
      </c>
      <c r="R10837" t="s">
        <v>614</v>
      </c>
      <c r="S10837">
        <v>151.78942000000001</v>
      </c>
      <c r="T10837" s="1095">
        <v>-25.076450000000001</v>
      </c>
    </row>
    <row r="10838" spans="16:20">
      <c r="P10838" s="1094">
        <v>4671</v>
      </c>
      <c r="Q10838" t="s">
        <v>11271</v>
      </c>
      <c r="R10838" t="s">
        <v>614</v>
      </c>
      <c r="S10838">
        <v>151.78942000000001</v>
      </c>
      <c r="T10838" s="1095">
        <v>-25.076450000000001</v>
      </c>
    </row>
    <row r="10839" spans="16:20">
      <c r="P10839" s="1094">
        <v>4671</v>
      </c>
      <c r="Q10839" t="s">
        <v>11272</v>
      </c>
      <c r="R10839" t="s">
        <v>614</v>
      </c>
      <c r="S10839">
        <v>151.78942000000001</v>
      </c>
      <c r="T10839" s="1095">
        <v>-25.076450000000001</v>
      </c>
    </row>
    <row r="10840" spans="16:20">
      <c r="P10840" s="1094">
        <v>4671</v>
      </c>
      <c r="Q10840" t="s">
        <v>11273</v>
      </c>
      <c r="R10840" t="s">
        <v>614</v>
      </c>
      <c r="S10840">
        <v>151.78942000000001</v>
      </c>
      <c r="T10840" s="1095">
        <v>-25.076450000000001</v>
      </c>
    </row>
    <row r="10841" spans="16:20">
      <c r="P10841" s="1094">
        <v>4671</v>
      </c>
      <c r="Q10841" t="s">
        <v>5957</v>
      </c>
      <c r="R10841" t="s">
        <v>614</v>
      </c>
      <c r="S10841">
        <v>151.78942000000001</v>
      </c>
      <c r="T10841" s="1095">
        <v>-25.076450000000001</v>
      </c>
    </row>
    <row r="10842" spans="16:20">
      <c r="P10842" s="1094">
        <v>4671</v>
      </c>
      <c r="Q10842" t="s">
        <v>11274</v>
      </c>
      <c r="R10842" t="s">
        <v>614</v>
      </c>
      <c r="S10842">
        <v>151.78942000000001</v>
      </c>
      <c r="T10842" s="1095">
        <v>-25.076450000000001</v>
      </c>
    </row>
    <row r="10843" spans="16:20">
      <c r="P10843" s="1094">
        <v>4671</v>
      </c>
      <c r="Q10843" t="s">
        <v>11275</v>
      </c>
      <c r="R10843" t="s">
        <v>614</v>
      </c>
      <c r="S10843">
        <v>151.78942000000001</v>
      </c>
      <c r="T10843" s="1095">
        <v>-25.076450000000001</v>
      </c>
    </row>
    <row r="10844" spans="16:20">
      <c r="P10844" s="1094">
        <v>4671</v>
      </c>
      <c r="Q10844" t="s">
        <v>11276</v>
      </c>
      <c r="R10844" t="s">
        <v>614</v>
      </c>
      <c r="S10844">
        <v>151.78942000000001</v>
      </c>
      <c r="T10844" s="1095">
        <v>-25.076450000000001</v>
      </c>
    </row>
    <row r="10845" spans="16:20">
      <c r="P10845" s="1094">
        <v>4671</v>
      </c>
      <c r="Q10845" t="s">
        <v>11277</v>
      </c>
      <c r="R10845" t="s">
        <v>614</v>
      </c>
      <c r="S10845">
        <v>151.78942000000001</v>
      </c>
      <c r="T10845" s="1095">
        <v>-25.076450000000001</v>
      </c>
    </row>
    <row r="10846" spans="16:20">
      <c r="P10846" s="1094">
        <v>4671</v>
      </c>
      <c r="Q10846" t="s">
        <v>11278</v>
      </c>
      <c r="R10846" t="s">
        <v>614</v>
      </c>
      <c r="S10846">
        <v>151.78942000000001</v>
      </c>
      <c r="T10846" s="1095">
        <v>-25.076450000000001</v>
      </c>
    </row>
    <row r="10847" spans="16:20">
      <c r="P10847" s="1094">
        <v>4671</v>
      </c>
      <c r="Q10847" t="s">
        <v>11279</v>
      </c>
      <c r="R10847" t="s">
        <v>614</v>
      </c>
      <c r="S10847">
        <v>151.78942000000001</v>
      </c>
      <c r="T10847" s="1095">
        <v>-25.076450000000001</v>
      </c>
    </row>
    <row r="10848" spans="16:20">
      <c r="P10848" s="1094">
        <v>4671</v>
      </c>
      <c r="Q10848" t="s">
        <v>11280</v>
      </c>
      <c r="R10848" t="s">
        <v>614</v>
      </c>
      <c r="S10848">
        <v>151.78942000000001</v>
      </c>
      <c r="T10848" s="1095">
        <v>-25.076450000000001</v>
      </c>
    </row>
    <row r="10849" spans="16:20">
      <c r="P10849" s="1094">
        <v>4671</v>
      </c>
      <c r="Q10849" t="s">
        <v>11281</v>
      </c>
      <c r="R10849" t="s">
        <v>614</v>
      </c>
      <c r="S10849">
        <v>151.78942000000001</v>
      </c>
      <c r="T10849" s="1095">
        <v>-25.076450000000001</v>
      </c>
    </row>
    <row r="10850" spans="16:20">
      <c r="P10850" s="1094">
        <v>4671</v>
      </c>
      <c r="Q10850" t="s">
        <v>11282</v>
      </c>
      <c r="R10850" t="s">
        <v>614</v>
      </c>
      <c r="S10850">
        <v>151.78942000000001</v>
      </c>
      <c r="T10850" s="1095">
        <v>-25.076450000000001</v>
      </c>
    </row>
    <row r="10851" spans="16:20">
      <c r="P10851" s="1094">
        <v>4671</v>
      </c>
      <c r="Q10851" t="s">
        <v>11283</v>
      </c>
      <c r="R10851" t="s">
        <v>614</v>
      </c>
      <c r="S10851">
        <v>151.78942000000001</v>
      </c>
      <c r="T10851" s="1095">
        <v>-25.076450000000001</v>
      </c>
    </row>
    <row r="10852" spans="16:20">
      <c r="P10852" s="1094">
        <v>4671</v>
      </c>
      <c r="Q10852" t="s">
        <v>11284</v>
      </c>
      <c r="R10852" t="s">
        <v>614</v>
      </c>
      <c r="S10852">
        <v>151.78942000000001</v>
      </c>
      <c r="T10852" s="1095">
        <v>-25.076450000000001</v>
      </c>
    </row>
    <row r="10853" spans="16:20">
      <c r="P10853" s="1094">
        <v>4671</v>
      </c>
      <c r="Q10853" t="s">
        <v>11285</v>
      </c>
      <c r="R10853" t="s">
        <v>614</v>
      </c>
      <c r="S10853">
        <v>151.78942000000001</v>
      </c>
      <c r="T10853" s="1095">
        <v>-25.076450000000001</v>
      </c>
    </row>
    <row r="10854" spans="16:20">
      <c r="P10854" s="1094">
        <v>4671</v>
      </c>
      <c r="Q10854" t="s">
        <v>11286</v>
      </c>
      <c r="R10854" t="s">
        <v>614</v>
      </c>
      <c r="S10854">
        <v>151.78942000000001</v>
      </c>
      <c r="T10854" s="1095">
        <v>-25.076450000000001</v>
      </c>
    </row>
    <row r="10855" spans="16:20">
      <c r="P10855" s="1094">
        <v>4671</v>
      </c>
      <c r="Q10855" t="s">
        <v>11287</v>
      </c>
      <c r="R10855" t="s">
        <v>614</v>
      </c>
      <c r="S10855">
        <v>151.78942000000001</v>
      </c>
      <c r="T10855" s="1095">
        <v>-25.076450000000001</v>
      </c>
    </row>
    <row r="10856" spans="16:20">
      <c r="P10856" s="1094">
        <v>4671</v>
      </c>
      <c r="Q10856" t="s">
        <v>11288</v>
      </c>
      <c r="R10856" t="s">
        <v>614</v>
      </c>
      <c r="S10856">
        <v>151.78942000000001</v>
      </c>
      <c r="T10856" s="1095">
        <v>-25.076450000000001</v>
      </c>
    </row>
    <row r="10857" spans="16:20">
      <c r="P10857" s="1094">
        <v>4671</v>
      </c>
      <c r="Q10857" t="s">
        <v>11289</v>
      </c>
      <c r="R10857" t="s">
        <v>614</v>
      </c>
      <c r="S10857">
        <v>151.78942000000001</v>
      </c>
      <c r="T10857" s="1095">
        <v>-25.076450000000001</v>
      </c>
    </row>
    <row r="10858" spans="16:20">
      <c r="P10858" s="1094">
        <v>4671</v>
      </c>
      <c r="Q10858" t="s">
        <v>11290</v>
      </c>
      <c r="R10858" t="s">
        <v>614</v>
      </c>
      <c r="S10858">
        <v>151.78942000000001</v>
      </c>
      <c r="T10858" s="1095">
        <v>-25.076450000000001</v>
      </c>
    </row>
    <row r="10859" spans="16:20">
      <c r="P10859" s="1094">
        <v>4671</v>
      </c>
      <c r="Q10859" t="s">
        <v>6726</v>
      </c>
      <c r="R10859" t="s">
        <v>614</v>
      </c>
      <c r="S10859">
        <v>151.78942000000001</v>
      </c>
      <c r="T10859" s="1095">
        <v>-25.076450000000001</v>
      </c>
    </row>
    <row r="10860" spans="16:20">
      <c r="P10860" s="1094">
        <v>4671</v>
      </c>
      <c r="Q10860" t="s">
        <v>11291</v>
      </c>
      <c r="R10860" t="s">
        <v>614</v>
      </c>
      <c r="S10860">
        <v>151.78942000000001</v>
      </c>
      <c r="T10860" s="1095">
        <v>-25.076450000000001</v>
      </c>
    </row>
    <row r="10861" spans="16:20">
      <c r="P10861" s="1094">
        <v>4671</v>
      </c>
      <c r="Q10861" t="s">
        <v>11292</v>
      </c>
      <c r="R10861" t="s">
        <v>614</v>
      </c>
      <c r="S10861">
        <v>151.78942000000001</v>
      </c>
      <c r="T10861" s="1095">
        <v>-25.076450000000001</v>
      </c>
    </row>
    <row r="10862" spans="16:20">
      <c r="P10862" s="1094">
        <v>4671</v>
      </c>
      <c r="Q10862" t="s">
        <v>11293</v>
      </c>
      <c r="R10862" t="s">
        <v>614</v>
      </c>
      <c r="S10862">
        <v>151.78942000000001</v>
      </c>
      <c r="T10862" s="1095">
        <v>-25.076450000000001</v>
      </c>
    </row>
    <row r="10863" spans="16:20">
      <c r="P10863" s="1094">
        <v>4671</v>
      </c>
      <c r="Q10863" t="s">
        <v>11294</v>
      </c>
      <c r="R10863" t="s">
        <v>614</v>
      </c>
      <c r="S10863">
        <v>151.78942000000001</v>
      </c>
      <c r="T10863" s="1095">
        <v>-25.076450000000001</v>
      </c>
    </row>
    <row r="10864" spans="16:20">
      <c r="P10864" s="1094">
        <v>4671</v>
      </c>
      <c r="Q10864" t="s">
        <v>11295</v>
      </c>
      <c r="R10864" t="s">
        <v>614</v>
      </c>
      <c r="S10864">
        <v>151.78942000000001</v>
      </c>
      <c r="T10864" s="1095">
        <v>-25.076450000000001</v>
      </c>
    </row>
    <row r="10865" spans="16:20">
      <c r="P10865" s="1094">
        <v>4673</v>
      </c>
      <c r="Q10865" t="s">
        <v>11296</v>
      </c>
      <c r="R10865" t="s">
        <v>614</v>
      </c>
      <c r="S10865">
        <v>152.08881600000001</v>
      </c>
      <c r="T10865" s="1095">
        <v>-24.729644</v>
      </c>
    </row>
    <row r="10866" spans="16:20">
      <c r="P10866" s="1094">
        <v>4673</v>
      </c>
      <c r="Q10866" t="s">
        <v>11297</v>
      </c>
      <c r="R10866" t="s">
        <v>614</v>
      </c>
      <c r="S10866">
        <v>152.08881600000001</v>
      </c>
      <c r="T10866" s="1095">
        <v>-24.729644</v>
      </c>
    </row>
    <row r="10867" spans="16:20">
      <c r="P10867" s="1094">
        <v>4673</v>
      </c>
      <c r="Q10867" t="s">
        <v>1661</v>
      </c>
      <c r="R10867" t="s">
        <v>614</v>
      </c>
      <c r="S10867">
        <v>152.08881600000001</v>
      </c>
      <c r="T10867" s="1095">
        <v>-24.729644</v>
      </c>
    </row>
    <row r="10868" spans="16:20">
      <c r="P10868" s="1094">
        <v>4673</v>
      </c>
      <c r="Q10868" t="s">
        <v>11298</v>
      </c>
      <c r="R10868" t="s">
        <v>614</v>
      </c>
      <c r="S10868">
        <v>152.08881600000001</v>
      </c>
      <c r="T10868" s="1095">
        <v>-24.729644</v>
      </c>
    </row>
    <row r="10869" spans="16:20">
      <c r="P10869" s="1094">
        <v>4674</v>
      </c>
      <c r="Q10869" t="s">
        <v>11299</v>
      </c>
      <c r="R10869" t="s">
        <v>614</v>
      </c>
      <c r="S10869">
        <v>151.87253100000001</v>
      </c>
      <c r="T10869" s="1095">
        <v>-24.688503000000001</v>
      </c>
    </row>
    <row r="10870" spans="16:20">
      <c r="P10870" s="1094">
        <v>4674</v>
      </c>
      <c r="Q10870" t="s">
        <v>11300</v>
      </c>
      <c r="R10870" t="s">
        <v>614</v>
      </c>
      <c r="S10870">
        <v>151.87253100000001</v>
      </c>
      <c r="T10870" s="1095">
        <v>-24.688503000000001</v>
      </c>
    </row>
    <row r="10871" spans="16:20">
      <c r="P10871" s="1094">
        <v>4674</v>
      </c>
      <c r="Q10871" t="s">
        <v>3100</v>
      </c>
      <c r="R10871" t="s">
        <v>614</v>
      </c>
      <c r="S10871">
        <v>151.87253100000001</v>
      </c>
      <c r="T10871" s="1095">
        <v>-24.688503000000001</v>
      </c>
    </row>
    <row r="10872" spans="16:20">
      <c r="P10872" s="1094">
        <v>4674</v>
      </c>
      <c r="Q10872" t="s">
        <v>11301</v>
      </c>
      <c r="R10872" t="s">
        <v>614</v>
      </c>
      <c r="S10872">
        <v>151.87253100000001</v>
      </c>
      <c r="T10872" s="1095">
        <v>-24.688503000000001</v>
      </c>
    </row>
    <row r="10873" spans="16:20">
      <c r="P10873" s="1094">
        <v>4674</v>
      </c>
      <c r="Q10873" t="s">
        <v>11302</v>
      </c>
      <c r="R10873" t="s">
        <v>614</v>
      </c>
      <c r="S10873">
        <v>151.87253100000001</v>
      </c>
      <c r="T10873" s="1095">
        <v>-24.688503000000001</v>
      </c>
    </row>
    <row r="10874" spans="16:20">
      <c r="P10874" s="1094">
        <v>4674</v>
      </c>
      <c r="Q10874" t="s">
        <v>11303</v>
      </c>
      <c r="R10874" t="s">
        <v>614</v>
      </c>
      <c r="S10874">
        <v>151.87253100000001</v>
      </c>
      <c r="T10874" s="1095">
        <v>-24.688503000000001</v>
      </c>
    </row>
    <row r="10875" spans="16:20">
      <c r="P10875" s="1094">
        <v>4674</v>
      </c>
      <c r="Q10875" t="s">
        <v>4299</v>
      </c>
      <c r="R10875" t="s">
        <v>614</v>
      </c>
      <c r="S10875">
        <v>151.87253100000001</v>
      </c>
      <c r="T10875" s="1095">
        <v>-24.688503000000001</v>
      </c>
    </row>
    <row r="10876" spans="16:20">
      <c r="P10876" s="1094">
        <v>4674</v>
      </c>
      <c r="Q10876" t="s">
        <v>11304</v>
      </c>
      <c r="R10876" t="s">
        <v>614</v>
      </c>
      <c r="S10876">
        <v>151.87253100000001</v>
      </c>
      <c r="T10876" s="1095">
        <v>-24.688503000000001</v>
      </c>
    </row>
    <row r="10877" spans="16:20">
      <c r="P10877" s="1094">
        <v>4674</v>
      </c>
      <c r="Q10877" t="s">
        <v>11305</v>
      </c>
      <c r="R10877" t="s">
        <v>614</v>
      </c>
      <c r="S10877">
        <v>151.87253100000001</v>
      </c>
      <c r="T10877" s="1095">
        <v>-24.688503000000001</v>
      </c>
    </row>
    <row r="10878" spans="16:20">
      <c r="P10878" s="1094">
        <v>4676</v>
      </c>
      <c r="Q10878" t="s">
        <v>11306</v>
      </c>
      <c r="R10878" t="s">
        <v>614</v>
      </c>
      <c r="S10878">
        <v>151.621961</v>
      </c>
      <c r="T10878" s="1095">
        <v>-24.632323</v>
      </c>
    </row>
    <row r="10879" spans="16:20">
      <c r="P10879" s="1094">
        <v>4676</v>
      </c>
      <c r="Q10879" t="s">
        <v>11307</v>
      </c>
      <c r="R10879" t="s">
        <v>614</v>
      </c>
      <c r="S10879">
        <v>151.621961</v>
      </c>
      <c r="T10879" s="1095">
        <v>-24.632323</v>
      </c>
    </row>
    <row r="10880" spans="16:20">
      <c r="P10880" s="1094">
        <v>4677</v>
      </c>
      <c r="Q10880" t="s">
        <v>11308</v>
      </c>
      <c r="R10880" t="s">
        <v>614</v>
      </c>
      <c r="S10880">
        <v>151.72773599999999</v>
      </c>
      <c r="T10880" s="1095">
        <v>-24.318470999999999</v>
      </c>
    </row>
    <row r="10881" spans="16:20">
      <c r="P10881" s="1094">
        <v>4677</v>
      </c>
      <c r="Q10881" t="s">
        <v>11309</v>
      </c>
      <c r="R10881" t="s">
        <v>614</v>
      </c>
      <c r="S10881">
        <v>151.72773599999999</v>
      </c>
      <c r="T10881" s="1095">
        <v>-24.318470999999999</v>
      </c>
    </row>
    <row r="10882" spans="16:20">
      <c r="P10882" s="1094">
        <v>4677</v>
      </c>
      <c r="Q10882" t="s">
        <v>11310</v>
      </c>
      <c r="R10882" t="s">
        <v>614</v>
      </c>
      <c r="S10882">
        <v>151.72773599999999</v>
      </c>
      <c r="T10882" s="1095">
        <v>-24.318470999999999</v>
      </c>
    </row>
    <row r="10883" spans="16:20">
      <c r="P10883" s="1094">
        <v>4677</v>
      </c>
      <c r="Q10883" t="s">
        <v>6235</v>
      </c>
      <c r="R10883" t="s">
        <v>614</v>
      </c>
      <c r="S10883">
        <v>151.72773599999999</v>
      </c>
      <c r="T10883" s="1095">
        <v>-24.318470999999999</v>
      </c>
    </row>
    <row r="10884" spans="16:20">
      <c r="P10884" s="1094">
        <v>4677</v>
      </c>
      <c r="Q10884" t="s">
        <v>11311</v>
      </c>
      <c r="R10884" t="s">
        <v>614</v>
      </c>
      <c r="S10884">
        <v>151.72773599999999</v>
      </c>
      <c r="T10884" s="1095">
        <v>-24.318470999999999</v>
      </c>
    </row>
    <row r="10885" spans="16:20">
      <c r="P10885" s="1094">
        <v>4677</v>
      </c>
      <c r="Q10885" t="s">
        <v>11312</v>
      </c>
      <c r="R10885" t="s">
        <v>614</v>
      </c>
      <c r="S10885">
        <v>151.72773599999999</v>
      </c>
      <c r="T10885" s="1095">
        <v>-24.318470999999999</v>
      </c>
    </row>
    <row r="10886" spans="16:20">
      <c r="P10886" s="1094">
        <v>4677</v>
      </c>
      <c r="Q10886" t="s">
        <v>11313</v>
      </c>
      <c r="R10886" t="s">
        <v>614</v>
      </c>
      <c r="S10886">
        <v>151.72773599999999</v>
      </c>
      <c r="T10886" s="1095">
        <v>-24.318470999999999</v>
      </c>
    </row>
    <row r="10887" spans="16:20">
      <c r="P10887" s="1094">
        <v>4677</v>
      </c>
      <c r="Q10887" t="s">
        <v>11314</v>
      </c>
      <c r="R10887" t="s">
        <v>614</v>
      </c>
      <c r="S10887">
        <v>151.72773599999999</v>
      </c>
      <c r="T10887" s="1095">
        <v>-24.318470999999999</v>
      </c>
    </row>
    <row r="10888" spans="16:20">
      <c r="P10888" s="1094">
        <v>4678</v>
      </c>
      <c r="Q10888" t="s">
        <v>11315</v>
      </c>
      <c r="R10888" t="s">
        <v>614</v>
      </c>
      <c r="S10888">
        <v>151.63428500000001</v>
      </c>
      <c r="T10888" s="1095">
        <v>-24.146902999999998</v>
      </c>
    </row>
    <row r="10889" spans="16:20">
      <c r="P10889" s="1094">
        <v>4678</v>
      </c>
      <c r="Q10889" t="s">
        <v>11316</v>
      </c>
      <c r="R10889" t="s">
        <v>614</v>
      </c>
      <c r="S10889">
        <v>151.63428500000001</v>
      </c>
      <c r="T10889" s="1095">
        <v>-24.146902999999998</v>
      </c>
    </row>
    <row r="10890" spans="16:20">
      <c r="P10890" s="1094">
        <v>4678</v>
      </c>
      <c r="Q10890" t="s">
        <v>11317</v>
      </c>
      <c r="R10890" t="s">
        <v>614</v>
      </c>
      <c r="S10890">
        <v>151.63428500000001</v>
      </c>
      <c r="T10890" s="1095">
        <v>-24.146902999999998</v>
      </c>
    </row>
    <row r="10891" spans="16:20">
      <c r="P10891" s="1094">
        <v>4678</v>
      </c>
      <c r="Q10891" t="s">
        <v>11318</v>
      </c>
      <c r="R10891" t="s">
        <v>614</v>
      </c>
      <c r="S10891">
        <v>151.63428500000001</v>
      </c>
      <c r="T10891" s="1095">
        <v>-24.146902999999998</v>
      </c>
    </row>
    <row r="10892" spans="16:20">
      <c r="P10892" s="1094">
        <v>4680</v>
      </c>
      <c r="Q10892" t="s">
        <v>11319</v>
      </c>
      <c r="R10892" t="s">
        <v>614</v>
      </c>
      <c r="S10892">
        <v>151.91728499999999</v>
      </c>
      <c r="T10892" s="1095">
        <v>-23.446826000000001</v>
      </c>
    </row>
    <row r="10893" spans="16:20">
      <c r="P10893" s="1094">
        <v>4680</v>
      </c>
      <c r="Q10893" t="s">
        <v>11320</v>
      </c>
      <c r="R10893" t="s">
        <v>614</v>
      </c>
      <c r="S10893">
        <v>151.91728499999999</v>
      </c>
      <c r="T10893" s="1095">
        <v>-23.446826000000001</v>
      </c>
    </row>
    <row r="10894" spans="16:20">
      <c r="P10894" s="1094">
        <v>4680</v>
      </c>
      <c r="Q10894" t="s">
        <v>11321</v>
      </c>
      <c r="R10894" t="s">
        <v>614</v>
      </c>
      <c r="S10894">
        <v>151.91728499999999</v>
      </c>
      <c r="T10894" s="1095">
        <v>-23.446826000000001</v>
      </c>
    </row>
    <row r="10895" spans="16:20">
      <c r="P10895" s="1094">
        <v>4680</v>
      </c>
      <c r="Q10895" t="s">
        <v>11322</v>
      </c>
      <c r="R10895" t="s">
        <v>614</v>
      </c>
      <c r="S10895">
        <v>151.91728499999999</v>
      </c>
      <c r="T10895" s="1095">
        <v>-23.446826000000001</v>
      </c>
    </row>
    <row r="10896" spans="16:20">
      <c r="P10896" s="1094">
        <v>4680</v>
      </c>
      <c r="Q10896" t="s">
        <v>11323</v>
      </c>
      <c r="R10896" t="s">
        <v>614</v>
      </c>
      <c r="S10896">
        <v>151.91728499999999</v>
      </c>
      <c r="T10896" s="1095">
        <v>-23.446826000000001</v>
      </c>
    </row>
    <row r="10897" spans="16:20">
      <c r="P10897" s="1094">
        <v>4680</v>
      </c>
      <c r="Q10897" t="s">
        <v>11324</v>
      </c>
      <c r="R10897" t="s">
        <v>614</v>
      </c>
      <c r="S10897">
        <v>151.91728499999999</v>
      </c>
      <c r="T10897" s="1095">
        <v>-23.446826000000001</v>
      </c>
    </row>
    <row r="10898" spans="16:20">
      <c r="P10898" s="1094">
        <v>4680</v>
      </c>
      <c r="Q10898" t="s">
        <v>11325</v>
      </c>
      <c r="R10898" t="s">
        <v>614</v>
      </c>
      <c r="S10898">
        <v>151.91728499999999</v>
      </c>
      <c r="T10898" s="1095">
        <v>-23.446826000000001</v>
      </c>
    </row>
    <row r="10899" spans="16:20">
      <c r="P10899" s="1094">
        <v>4680</v>
      </c>
      <c r="Q10899" t="s">
        <v>11326</v>
      </c>
      <c r="R10899" t="s">
        <v>614</v>
      </c>
      <c r="S10899">
        <v>151.91728499999999</v>
      </c>
      <c r="T10899" s="1095">
        <v>-23.446826000000001</v>
      </c>
    </row>
    <row r="10900" spans="16:20">
      <c r="P10900" s="1094">
        <v>4680</v>
      </c>
      <c r="Q10900" t="s">
        <v>11327</v>
      </c>
      <c r="R10900" t="s">
        <v>614</v>
      </c>
      <c r="S10900">
        <v>151.91728499999999</v>
      </c>
      <c r="T10900" s="1095">
        <v>-23.446826000000001</v>
      </c>
    </row>
    <row r="10901" spans="16:20">
      <c r="P10901" s="1094">
        <v>4680</v>
      </c>
      <c r="Q10901" t="s">
        <v>11328</v>
      </c>
      <c r="R10901" t="s">
        <v>614</v>
      </c>
      <c r="S10901">
        <v>151.91728499999999</v>
      </c>
      <c r="T10901" s="1095">
        <v>-23.446826000000001</v>
      </c>
    </row>
    <row r="10902" spans="16:20">
      <c r="P10902" s="1094">
        <v>4680</v>
      </c>
      <c r="Q10902" t="s">
        <v>11329</v>
      </c>
      <c r="R10902" t="s">
        <v>614</v>
      </c>
      <c r="S10902">
        <v>151.91728499999999</v>
      </c>
      <c r="T10902" s="1095">
        <v>-23.446826000000001</v>
      </c>
    </row>
    <row r="10903" spans="16:20">
      <c r="P10903" s="1094">
        <v>4680</v>
      </c>
      <c r="Q10903" t="s">
        <v>3769</v>
      </c>
      <c r="R10903" t="s">
        <v>614</v>
      </c>
      <c r="S10903">
        <v>151.91728499999999</v>
      </c>
      <c r="T10903" s="1095">
        <v>-23.446826000000001</v>
      </c>
    </row>
    <row r="10904" spans="16:20">
      <c r="P10904" s="1094">
        <v>4680</v>
      </c>
      <c r="Q10904" t="s">
        <v>11330</v>
      </c>
      <c r="R10904" t="s">
        <v>614</v>
      </c>
      <c r="S10904">
        <v>151.91728499999999</v>
      </c>
      <c r="T10904" s="1095">
        <v>-23.446826000000001</v>
      </c>
    </row>
    <row r="10905" spans="16:20">
      <c r="P10905" s="1094">
        <v>4680</v>
      </c>
      <c r="Q10905" t="s">
        <v>11331</v>
      </c>
      <c r="R10905" t="s">
        <v>614</v>
      </c>
      <c r="S10905">
        <v>151.91728499999999</v>
      </c>
      <c r="T10905" s="1095">
        <v>-23.446826000000001</v>
      </c>
    </row>
    <row r="10906" spans="16:20">
      <c r="P10906" s="1094">
        <v>4680</v>
      </c>
      <c r="Q10906" t="s">
        <v>11332</v>
      </c>
      <c r="R10906" t="s">
        <v>614</v>
      </c>
      <c r="S10906">
        <v>151.91728499999999</v>
      </c>
      <c r="T10906" s="1095">
        <v>-23.446826000000001</v>
      </c>
    </row>
    <row r="10907" spans="16:20">
      <c r="P10907" s="1094">
        <v>4680</v>
      </c>
      <c r="Q10907" t="s">
        <v>3460</v>
      </c>
      <c r="R10907" t="s">
        <v>614</v>
      </c>
      <c r="S10907">
        <v>151.91728499999999</v>
      </c>
      <c r="T10907" s="1095">
        <v>-23.446826000000001</v>
      </c>
    </row>
    <row r="10908" spans="16:20">
      <c r="P10908" s="1094">
        <v>4680</v>
      </c>
      <c r="Q10908" t="s">
        <v>11333</v>
      </c>
      <c r="R10908" t="s">
        <v>614</v>
      </c>
      <c r="S10908">
        <v>151.91728499999999</v>
      </c>
      <c r="T10908" s="1095">
        <v>-23.446826000000001</v>
      </c>
    </row>
    <row r="10909" spans="16:20">
      <c r="P10909" s="1094">
        <v>4680</v>
      </c>
      <c r="Q10909" t="s">
        <v>11334</v>
      </c>
      <c r="R10909" t="s">
        <v>614</v>
      </c>
      <c r="S10909">
        <v>151.91728499999999</v>
      </c>
      <c r="T10909" s="1095">
        <v>-23.446826000000001</v>
      </c>
    </row>
    <row r="10910" spans="16:20">
      <c r="P10910" s="1094">
        <v>4680</v>
      </c>
      <c r="Q10910" t="s">
        <v>11335</v>
      </c>
      <c r="R10910" t="s">
        <v>614</v>
      </c>
      <c r="S10910">
        <v>151.91728499999999</v>
      </c>
      <c r="T10910" s="1095">
        <v>-23.446826000000001</v>
      </c>
    </row>
    <row r="10911" spans="16:20">
      <c r="P10911" s="1094">
        <v>4680</v>
      </c>
      <c r="Q10911" t="s">
        <v>11336</v>
      </c>
      <c r="R10911" t="s">
        <v>614</v>
      </c>
      <c r="S10911">
        <v>151.91728499999999</v>
      </c>
      <c r="T10911" s="1095">
        <v>-23.446826000000001</v>
      </c>
    </row>
    <row r="10912" spans="16:20">
      <c r="P10912" s="1094">
        <v>4680</v>
      </c>
      <c r="Q10912" t="s">
        <v>11337</v>
      </c>
      <c r="R10912" t="s">
        <v>614</v>
      </c>
      <c r="S10912">
        <v>151.91728499999999</v>
      </c>
      <c r="T10912" s="1095">
        <v>-23.446826000000001</v>
      </c>
    </row>
    <row r="10913" spans="16:20">
      <c r="P10913" s="1094">
        <v>4680</v>
      </c>
      <c r="Q10913" t="s">
        <v>11338</v>
      </c>
      <c r="R10913" t="s">
        <v>614</v>
      </c>
      <c r="S10913">
        <v>151.91728499999999</v>
      </c>
      <c r="T10913" s="1095">
        <v>-23.446826000000001</v>
      </c>
    </row>
    <row r="10914" spans="16:20">
      <c r="P10914" s="1094">
        <v>4680</v>
      </c>
      <c r="Q10914" t="s">
        <v>11339</v>
      </c>
      <c r="R10914" t="s">
        <v>614</v>
      </c>
      <c r="S10914">
        <v>151.91728499999999</v>
      </c>
      <c r="T10914" s="1095">
        <v>-23.446826000000001</v>
      </c>
    </row>
    <row r="10915" spans="16:20">
      <c r="P10915" s="1094">
        <v>4680</v>
      </c>
      <c r="Q10915" t="s">
        <v>11340</v>
      </c>
      <c r="R10915" t="s">
        <v>614</v>
      </c>
      <c r="S10915">
        <v>151.91728499999999</v>
      </c>
      <c r="T10915" s="1095">
        <v>-23.446826000000001</v>
      </c>
    </row>
    <row r="10916" spans="16:20">
      <c r="P10916" s="1094">
        <v>4680</v>
      </c>
      <c r="Q10916" t="s">
        <v>11341</v>
      </c>
      <c r="R10916" t="s">
        <v>614</v>
      </c>
      <c r="S10916">
        <v>151.91728499999999</v>
      </c>
      <c r="T10916" s="1095">
        <v>-23.446826000000001</v>
      </c>
    </row>
    <row r="10917" spans="16:20">
      <c r="P10917" s="1094">
        <v>4680</v>
      </c>
      <c r="Q10917" t="s">
        <v>11342</v>
      </c>
      <c r="R10917" t="s">
        <v>614</v>
      </c>
      <c r="S10917">
        <v>151.91728499999999</v>
      </c>
      <c r="T10917" s="1095">
        <v>-23.446826000000001</v>
      </c>
    </row>
    <row r="10918" spans="16:20">
      <c r="P10918" s="1094">
        <v>4680</v>
      </c>
      <c r="Q10918" t="s">
        <v>11343</v>
      </c>
      <c r="R10918" t="s">
        <v>614</v>
      </c>
      <c r="S10918">
        <v>151.91728499999999</v>
      </c>
      <c r="T10918" s="1095">
        <v>-23.446826000000001</v>
      </c>
    </row>
    <row r="10919" spans="16:20">
      <c r="P10919" s="1094">
        <v>4680</v>
      </c>
      <c r="Q10919" t="s">
        <v>11344</v>
      </c>
      <c r="R10919" t="s">
        <v>614</v>
      </c>
      <c r="S10919">
        <v>151.91728499999999</v>
      </c>
      <c r="T10919" s="1095">
        <v>-23.446826000000001</v>
      </c>
    </row>
    <row r="10920" spans="16:20">
      <c r="P10920" s="1094">
        <v>4680</v>
      </c>
      <c r="Q10920" t="s">
        <v>11345</v>
      </c>
      <c r="R10920" t="s">
        <v>614</v>
      </c>
      <c r="S10920">
        <v>151.91728499999999</v>
      </c>
      <c r="T10920" s="1095">
        <v>-23.446826000000001</v>
      </c>
    </row>
    <row r="10921" spans="16:20">
      <c r="P10921" s="1094">
        <v>4680</v>
      </c>
      <c r="Q10921" t="s">
        <v>11346</v>
      </c>
      <c r="R10921" t="s">
        <v>614</v>
      </c>
      <c r="S10921">
        <v>151.91728499999999</v>
      </c>
      <c r="T10921" s="1095">
        <v>-23.446826000000001</v>
      </c>
    </row>
    <row r="10922" spans="16:20">
      <c r="P10922" s="1094">
        <v>4680</v>
      </c>
      <c r="Q10922" t="s">
        <v>5814</v>
      </c>
      <c r="R10922" t="s">
        <v>614</v>
      </c>
      <c r="S10922">
        <v>151.91728499999999</v>
      </c>
      <c r="T10922" s="1095">
        <v>-23.446826000000001</v>
      </c>
    </row>
    <row r="10923" spans="16:20">
      <c r="P10923" s="1094">
        <v>4680</v>
      </c>
      <c r="Q10923" t="s">
        <v>11347</v>
      </c>
      <c r="R10923" t="s">
        <v>614</v>
      </c>
      <c r="S10923">
        <v>151.91728499999999</v>
      </c>
      <c r="T10923" s="1095">
        <v>-23.446826000000001</v>
      </c>
    </row>
    <row r="10924" spans="16:20">
      <c r="P10924" s="1094">
        <v>4680</v>
      </c>
      <c r="Q10924" t="s">
        <v>11348</v>
      </c>
      <c r="R10924" t="s">
        <v>614</v>
      </c>
      <c r="S10924">
        <v>151.91728499999999</v>
      </c>
      <c r="T10924" s="1095">
        <v>-23.446826000000001</v>
      </c>
    </row>
    <row r="10925" spans="16:20">
      <c r="P10925" s="1094">
        <v>4680</v>
      </c>
      <c r="Q10925" t="s">
        <v>11349</v>
      </c>
      <c r="R10925" t="s">
        <v>614</v>
      </c>
      <c r="S10925">
        <v>151.91728499999999</v>
      </c>
      <c r="T10925" s="1095">
        <v>-23.446826000000001</v>
      </c>
    </row>
    <row r="10926" spans="16:20">
      <c r="P10926" s="1094">
        <v>4680</v>
      </c>
      <c r="Q10926" t="s">
        <v>11350</v>
      </c>
      <c r="R10926" t="s">
        <v>614</v>
      </c>
      <c r="S10926">
        <v>151.91728499999999</v>
      </c>
      <c r="T10926" s="1095">
        <v>-23.446826000000001</v>
      </c>
    </row>
    <row r="10927" spans="16:20">
      <c r="P10927" s="1094">
        <v>4680</v>
      </c>
      <c r="Q10927" t="s">
        <v>5680</v>
      </c>
      <c r="R10927" t="s">
        <v>614</v>
      </c>
      <c r="S10927">
        <v>151.91728499999999</v>
      </c>
      <c r="T10927" s="1095">
        <v>-23.446826000000001</v>
      </c>
    </row>
    <row r="10928" spans="16:20">
      <c r="P10928" s="1094">
        <v>4680</v>
      </c>
      <c r="Q10928" t="s">
        <v>10941</v>
      </c>
      <c r="R10928" t="s">
        <v>614</v>
      </c>
      <c r="S10928">
        <v>151.91728499999999</v>
      </c>
      <c r="T10928" s="1095">
        <v>-23.446826000000001</v>
      </c>
    </row>
    <row r="10929" spans="16:20">
      <c r="P10929" s="1094">
        <v>4680</v>
      </c>
      <c r="Q10929" t="s">
        <v>11351</v>
      </c>
      <c r="R10929" t="s">
        <v>614</v>
      </c>
      <c r="S10929">
        <v>151.91728499999999</v>
      </c>
      <c r="T10929" s="1095">
        <v>-23.446826000000001</v>
      </c>
    </row>
    <row r="10930" spans="16:20">
      <c r="P10930" s="1094">
        <v>4680</v>
      </c>
      <c r="Q10930" t="s">
        <v>11352</v>
      </c>
      <c r="R10930" t="s">
        <v>614</v>
      </c>
      <c r="S10930">
        <v>151.91728499999999</v>
      </c>
      <c r="T10930" s="1095">
        <v>-23.446826000000001</v>
      </c>
    </row>
    <row r="10931" spans="16:20">
      <c r="P10931" s="1094">
        <v>4680</v>
      </c>
      <c r="Q10931" t="s">
        <v>11353</v>
      </c>
      <c r="R10931" t="s">
        <v>614</v>
      </c>
      <c r="S10931">
        <v>151.91728499999999</v>
      </c>
      <c r="T10931" s="1095">
        <v>-23.446826000000001</v>
      </c>
    </row>
    <row r="10932" spans="16:20">
      <c r="P10932" s="1094">
        <v>4680</v>
      </c>
      <c r="Q10932" t="s">
        <v>11354</v>
      </c>
      <c r="R10932" t="s">
        <v>614</v>
      </c>
      <c r="S10932">
        <v>151.91728499999999</v>
      </c>
      <c r="T10932" s="1095">
        <v>-23.446826000000001</v>
      </c>
    </row>
    <row r="10933" spans="16:20">
      <c r="P10933" s="1094">
        <v>4680</v>
      </c>
      <c r="Q10933" t="s">
        <v>11355</v>
      </c>
      <c r="R10933" t="s">
        <v>614</v>
      </c>
      <c r="S10933">
        <v>151.91728499999999</v>
      </c>
      <c r="T10933" s="1095">
        <v>-23.446826000000001</v>
      </c>
    </row>
    <row r="10934" spans="16:20">
      <c r="P10934" s="1094">
        <v>4680</v>
      </c>
      <c r="Q10934" t="s">
        <v>11356</v>
      </c>
      <c r="R10934" t="s">
        <v>614</v>
      </c>
      <c r="S10934">
        <v>151.91728499999999</v>
      </c>
      <c r="T10934" s="1095">
        <v>-23.446826000000001</v>
      </c>
    </row>
    <row r="10935" spans="16:20">
      <c r="P10935" s="1094">
        <v>4680</v>
      </c>
      <c r="Q10935" t="s">
        <v>11357</v>
      </c>
      <c r="R10935" t="s">
        <v>614</v>
      </c>
      <c r="S10935">
        <v>151.91728499999999</v>
      </c>
      <c r="T10935" s="1095">
        <v>-23.446826000000001</v>
      </c>
    </row>
    <row r="10936" spans="16:20">
      <c r="P10936" s="1094">
        <v>4680</v>
      </c>
      <c r="Q10936" t="s">
        <v>11358</v>
      </c>
      <c r="R10936" t="s">
        <v>614</v>
      </c>
      <c r="S10936">
        <v>151.91728499999999</v>
      </c>
      <c r="T10936" s="1095">
        <v>-23.446826000000001</v>
      </c>
    </row>
    <row r="10937" spans="16:20">
      <c r="P10937" s="1094">
        <v>4680</v>
      </c>
      <c r="Q10937" t="s">
        <v>11359</v>
      </c>
      <c r="R10937" t="s">
        <v>614</v>
      </c>
      <c r="S10937">
        <v>151.91728499999999</v>
      </c>
      <c r="T10937" s="1095">
        <v>-23.446826000000001</v>
      </c>
    </row>
    <row r="10938" spans="16:20">
      <c r="P10938" s="1094">
        <v>4694</v>
      </c>
      <c r="Q10938" t="s">
        <v>11360</v>
      </c>
      <c r="R10938" t="s">
        <v>614</v>
      </c>
      <c r="S10938">
        <v>151.121567</v>
      </c>
      <c r="T10938" s="1095">
        <v>-23.832433999999999</v>
      </c>
    </row>
    <row r="10939" spans="16:20">
      <c r="P10939" s="1094">
        <v>4694</v>
      </c>
      <c r="Q10939" t="s">
        <v>11361</v>
      </c>
      <c r="R10939" t="s">
        <v>614</v>
      </c>
      <c r="S10939">
        <v>151.121567</v>
      </c>
      <c r="T10939" s="1095">
        <v>-23.832433999999999</v>
      </c>
    </row>
    <row r="10940" spans="16:20">
      <c r="P10940" s="1094">
        <v>4694</v>
      </c>
      <c r="Q10940" t="s">
        <v>11362</v>
      </c>
      <c r="R10940" t="s">
        <v>614</v>
      </c>
      <c r="S10940">
        <v>151.121567</v>
      </c>
      <c r="T10940" s="1095">
        <v>-23.832433999999999</v>
      </c>
    </row>
    <row r="10941" spans="16:20">
      <c r="P10941" s="1094">
        <v>4695</v>
      </c>
      <c r="Q10941" t="s">
        <v>11363</v>
      </c>
      <c r="R10941" t="s">
        <v>614</v>
      </c>
      <c r="S10941">
        <v>150.96585899999999</v>
      </c>
      <c r="T10941" s="1095">
        <v>-23.807115</v>
      </c>
    </row>
    <row r="10942" spans="16:20">
      <c r="P10942" s="1094">
        <v>4695</v>
      </c>
      <c r="Q10942" t="s">
        <v>11364</v>
      </c>
      <c r="R10942" t="s">
        <v>614</v>
      </c>
      <c r="S10942">
        <v>150.96585899999999</v>
      </c>
      <c r="T10942" s="1095">
        <v>-23.807115</v>
      </c>
    </row>
    <row r="10943" spans="16:20">
      <c r="P10943" s="1094">
        <v>4695</v>
      </c>
      <c r="Q10943" t="s">
        <v>11365</v>
      </c>
      <c r="R10943" t="s">
        <v>614</v>
      </c>
      <c r="S10943">
        <v>150.96585899999999</v>
      </c>
      <c r="T10943" s="1095">
        <v>-23.807115</v>
      </c>
    </row>
    <row r="10944" spans="16:20">
      <c r="P10944" s="1094">
        <v>4695</v>
      </c>
      <c r="Q10944" t="s">
        <v>11366</v>
      </c>
      <c r="R10944" t="s">
        <v>614</v>
      </c>
      <c r="S10944">
        <v>150.96585899999999</v>
      </c>
      <c r="T10944" s="1095">
        <v>-23.807115</v>
      </c>
    </row>
    <row r="10945" spans="16:20">
      <c r="P10945" s="1094">
        <v>4695</v>
      </c>
      <c r="Q10945" t="s">
        <v>11367</v>
      </c>
      <c r="R10945" t="s">
        <v>614</v>
      </c>
      <c r="S10945">
        <v>150.96585899999999</v>
      </c>
      <c r="T10945" s="1095">
        <v>-23.807115</v>
      </c>
    </row>
    <row r="10946" spans="16:20">
      <c r="P10946" s="1094">
        <v>4695</v>
      </c>
      <c r="Q10946" t="s">
        <v>11368</v>
      </c>
      <c r="R10946" t="s">
        <v>614</v>
      </c>
      <c r="S10946">
        <v>150.96585899999999</v>
      </c>
      <c r="T10946" s="1095">
        <v>-23.807115</v>
      </c>
    </row>
    <row r="10947" spans="16:20">
      <c r="P10947" s="1094">
        <v>4695</v>
      </c>
      <c r="Q10947" t="s">
        <v>1471</v>
      </c>
      <c r="R10947" t="s">
        <v>614</v>
      </c>
      <c r="S10947">
        <v>150.96585899999999</v>
      </c>
      <c r="T10947" s="1095">
        <v>-23.807115</v>
      </c>
    </row>
    <row r="10948" spans="16:20">
      <c r="P10948" s="1094">
        <v>4697</v>
      </c>
      <c r="Q10948" t="s">
        <v>5820</v>
      </c>
      <c r="R10948" t="s">
        <v>614</v>
      </c>
      <c r="S10948">
        <v>150.81952000000001</v>
      </c>
      <c r="T10948" s="1095">
        <v>-23.711361</v>
      </c>
    </row>
    <row r="10949" spans="16:20">
      <c r="P10949" s="1094">
        <v>4699</v>
      </c>
      <c r="Q10949" t="s">
        <v>11369</v>
      </c>
      <c r="R10949" t="s">
        <v>614</v>
      </c>
      <c r="S10949">
        <v>150.643168</v>
      </c>
      <c r="T10949" s="1095">
        <v>-23.657893000000001</v>
      </c>
    </row>
    <row r="10950" spans="16:20">
      <c r="P10950" s="1094">
        <v>4699</v>
      </c>
      <c r="Q10950" t="s">
        <v>11370</v>
      </c>
      <c r="R10950" t="s">
        <v>614</v>
      </c>
      <c r="S10950">
        <v>150.643168</v>
      </c>
      <c r="T10950" s="1095">
        <v>-23.657893000000001</v>
      </c>
    </row>
    <row r="10951" spans="16:20">
      <c r="P10951" s="1094">
        <v>4700</v>
      </c>
      <c r="Q10951" t="s">
        <v>11371</v>
      </c>
      <c r="R10951" t="s">
        <v>614</v>
      </c>
      <c r="S10951">
        <v>150.958111</v>
      </c>
      <c r="T10951" s="1095">
        <v>-23.180174000000001</v>
      </c>
    </row>
    <row r="10952" spans="16:20">
      <c r="P10952" s="1094">
        <v>4700</v>
      </c>
      <c r="Q10952" t="s">
        <v>11372</v>
      </c>
      <c r="R10952" t="s">
        <v>614</v>
      </c>
      <c r="S10952">
        <v>150.958111</v>
      </c>
      <c r="T10952" s="1095">
        <v>-23.180174000000001</v>
      </c>
    </row>
    <row r="10953" spans="16:20">
      <c r="P10953" s="1094">
        <v>4700</v>
      </c>
      <c r="Q10953" t="s">
        <v>11373</v>
      </c>
      <c r="R10953" t="s">
        <v>614</v>
      </c>
      <c r="S10953">
        <v>150.958111</v>
      </c>
      <c r="T10953" s="1095">
        <v>-23.180174000000001</v>
      </c>
    </row>
    <row r="10954" spans="16:20">
      <c r="P10954" s="1094">
        <v>4700</v>
      </c>
      <c r="Q10954" t="s">
        <v>11374</v>
      </c>
      <c r="R10954" t="s">
        <v>614</v>
      </c>
      <c r="S10954">
        <v>150.958111</v>
      </c>
      <c r="T10954" s="1095">
        <v>-23.180174000000001</v>
      </c>
    </row>
    <row r="10955" spans="16:20">
      <c r="P10955" s="1094">
        <v>4700</v>
      </c>
      <c r="Q10955" t="s">
        <v>11375</v>
      </c>
      <c r="R10955" t="s">
        <v>614</v>
      </c>
      <c r="S10955">
        <v>150.958111</v>
      </c>
      <c r="T10955" s="1095">
        <v>-23.180174000000001</v>
      </c>
    </row>
    <row r="10956" spans="16:20">
      <c r="P10956" s="1094">
        <v>4700</v>
      </c>
      <c r="Q10956" t="s">
        <v>11376</v>
      </c>
      <c r="R10956" t="s">
        <v>614</v>
      </c>
      <c r="S10956">
        <v>150.958111</v>
      </c>
      <c r="T10956" s="1095">
        <v>-23.180174000000001</v>
      </c>
    </row>
    <row r="10957" spans="16:20">
      <c r="P10957" s="1094">
        <v>4700</v>
      </c>
      <c r="Q10957" t="s">
        <v>11377</v>
      </c>
      <c r="R10957" t="s">
        <v>614</v>
      </c>
      <c r="S10957">
        <v>150.958111</v>
      </c>
      <c r="T10957" s="1095">
        <v>-23.180174000000001</v>
      </c>
    </row>
    <row r="10958" spans="16:20">
      <c r="P10958" s="1094">
        <v>4700</v>
      </c>
      <c r="Q10958" t="s">
        <v>11378</v>
      </c>
      <c r="R10958" t="s">
        <v>614</v>
      </c>
      <c r="S10958">
        <v>150.958111</v>
      </c>
      <c r="T10958" s="1095">
        <v>-23.180174000000001</v>
      </c>
    </row>
    <row r="10959" spans="16:20">
      <c r="P10959" s="1094">
        <v>4700</v>
      </c>
      <c r="Q10959" t="s">
        <v>11379</v>
      </c>
      <c r="R10959" t="s">
        <v>614</v>
      </c>
      <c r="S10959">
        <v>150.958111</v>
      </c>
      <c r="T10959" s="1095">
        <v>-23.180174000000001</v>
      </c>
    </row>
    <row r="10960" spans="16:20">
      <c r="P10960" s="1094">
        <v>4700</v>
      </c>
      <c r="Q10960" t="s">
        <v>11380</v>
      </c>
      <c r="R10960" t="s">
        <v>614</v>
      </c>
      <c r="S10960">
        <v>150.958111</v>
      </c>
      <c r="T10960" s="1095">
        <v>-23.180174000000001</v>
      </c>
    </row>
    <row r="10961" spans="16:20">
      <c r="P10961" s="1094">
        <v>4700</v>
      </c>
      <c r="Q10961" t="s">
        <v>11381</v>
      </c>
      <c r="R10961" t="s">
        <v>614</v>
      </c>
      <c r="S10961">
        <v>150.958111</v>
      </c>
      <c r="T10961" s="1095">
        <v>-23.180174000000001</v>
      </c>
    </row>
    <row r="10962" spans="16:20">
      <c r="P10962" s="1094">
        <v>4700</v>
      </c>
      <c r="Q10962" t="s">
        <v>11382</v>
      </c>
      <c r="R10962" t="s">
        <v>614</v>
      </c>
      <c r="S10962">
        <v>150.958111</v>
      </c>
      <c r="T10962" s="1095">
        <v>-23.180174000000001</v>
      </c>
    </row>
    <row r="10963" spans="16:20">
      <c r="P10963" s="1094">
        <v>4701</v>
      </c>
      <c r="Q10963" t="s">
        <v>11383</v>
      </c>
      <c r="R10963" t="s">
        <v>614</v>
      </c>
      <c r="S10963">
        <v>150.55753799999999</v>
      </c>
      <c r="T10963" s="1095">
        <v>-23.354937</v>
      </c>
    </row>
    <row r="10964" spans="16:20">
      <c r="P10964" s="1094">
        <v>4701</v>
      </c>
      <c r="Q10964" t="s">
        <v>11384</v>
      </c>
      <c r="R10964" t="s">
        <v>614</v>
      </c>
      <c r="S10964">
        <v>150.55753799999999</v>
      </c>
      <c r="T10964" s="1095">
        <v>-23.354937</v>
      </c>
    </row>
    <row r="10965" spans="16:20">
      <c r="P10965" s="1094">
        <v>4701</v>
      </c>
      <c r="Q10965" t="s">
        <v>11385</v>
      </c>
      <c r="R10965" t="s">
        <v>614</v>
      </c>
      <c r="S10965">
        <v>150.55753799999999</v>
      </c>
      <c r="T10965" s="1095">
        <v>-23.354937</v>
      </c>
    </row>
    <row r="10966" spans="16:20">
      <c r="P10966" s="1094">
        <v>4701</v>
      </c>
      <c r="Q10966" t="s">
        <v>11386</v>
      </c>
      <c r="R10966" t="s">
        <v>614</v>
      </c>
      <c r="S10966">
        <v>150.55753799999999</v>
      </c>
      <c r="T10966" s="1095">
        <v>-23.354937</v>
      </c>
    </row>
    <row r="10967" spans="16:20">
      <c r="P10967" s="1094">
        <v>4701</v>
      </c>
      <c r="Q10967" t="s">
        <v>10976</v>
      </c>
      <c r="R10967" t="s">
        <v>614</v>
      </c>
      <c r="S10967">
        <v>150.55753799999999</v>
      </c>
      <c r="T10967" s="1095">
        <v>-23.354937</v>
      </c>
    </row>
    <row r="10968" spans="16:20">
      <c r="P10968" s="1094">
        <v>4701</v>
      </c>
      <c r="Q10968" t="s">
        <v>11387</v>
      </c>
      <c r="R10968" t="s">
        <v>614</v>
      </c>
      <c r="S10968">
        <v>150.55753799999999</v>
      </c>
      <c r="T10968" s="1095">
        <v>-23.354937</v>
      </c>
    </row>
    <row r="10969" spans="16:20">
      <c r="P10969" s="1094">
        <v>4701</v>
      </c>
      <c r="Q10969" t="s">
        <v>11388</v>
      </c>
      <c r="R10969" t="s">
        <v>614</v>
      </c>
      <c r="S10969">
        <v>150.55753799999999</v>
      </c>
      <c r="T10969" s="1095">
        <v>-23.354937</v>
      </c>
    </row>
    <row r="10970" spans="16:20">
      <c r="P10970" s="1094">
        <v>4701</v>
      </c>
      <c r="Q10970" t="s">
        <v>11389</v>
      </c>
      <c r="R10970" t="s">
        <v>614</v>
      </c>
      <c r="S10970">
        <v>150.55753799999999</v>
      </c>
      <c r="T10970" s="1095">
        <v>-23.354937</v>
      </c>
    </row>
    <row r="10971" spans="16:20">
      <c r="P10971" s="1094">
        <v>4701</v>
      </c>
      <c r="Q10971" t="s">
        <v>11390</v>
      </c>
      <c r="R10971" t="s">
        <v>614</v>
      </c>
      <c r="S10971">
        <v>150.55753799999999</v>
      </c>
      <c r="T10971" s="1095">
        <v>-23.354937</v>
      </c>
    </row>
    <row r="10972" spans="16:20">
      <c r="P10972" s="1094">
        <v>4701</v>
      </c>
      <c r="Q10972" t="s">
        <v>11391</v>
      </c>
      <c r="R10972" t="s">
        <v>614</v>
      </c>
      <c r="S10972">
        <v>150.55753799999999</v>
      </c>
      <c r="T10972" s="1095">
        <v>-23.354937</v>
      </c>
    </row>
    <row r="10973" spans="16:20">
      <c r="P10973" s="1094">
        <v>4701</v>
      </c>
      <c r="Q10973" t="s">
        <v>11392</v>
      </c>
      <c r="R10973" t="s">
        <v>614</v>
      </c>
      <c r="S10973">
        <v>150.55753799999999</v>
      </c>
      <c r="T10973" s="1095">
        <v>-23.354937</v>
      </c>
    </row>
    <row r="10974" spans="16:20">
      <c r="P10974" s="1094">
        <v>4701</v>
      </c>
      <c r="Q10974" t="s">
        <v>11393</v>
      </c>
      <c r="R10974" t="s">
        <v>614</v>
      </c>
      <c r="S10974">
        <v>150.55753799999999</v>
      </c>
      <c r="T10974" s="1095">
        <v>-23.354937</v>
      </c>
    </row>
    <row r="10975" spans="16:20">
      <c r="P10975" s="1094">
        <v>4701</v>
      </c>
      <c r="Q10975" t="s">
        <v>11394</v>
      </c>
      <c r="R10975" t="s">
        <v>614</v>
      </c>
      <c r="S10975">
        <v>150.55753799999999</v>
      </c>
      <c r="T10975" s="1095">
        <v>-23.354937</v>
      </c>
    </row>
    <row r="10976" spans="16:20">
      <c r="P10976" s="1094">
        <v>4701</v>
      </c>
      <c r="Q10976" t="s">
        <v>11395</v>
      </c>
      <c r="R10976" t="s">
        <v>614</v>
      </c>
      <c r="S10976">
        <v>150.55753799999999</v>
      </c>
      <c r="T10976" s="1095">
        <v>-23.354937</v>
      </c>
    </row>
    <row r="10977" spans="16:20">
      <c r="P10977" s="1094">
        <v>4701</v>
      </c>
      <c r="Q10977" t="s">
        <v>11396</v>
      </c>
      <c r="R10977" t="s">
        <v>614</v>
      </c>
      <c r="S10977">
        <v>150.55753799999999</v>
      </c>
      <c r="T10977" s="1095">
        <v>-23.354937</v>
      </c>
    </row>
    <row r="10978" spans="16:20">
      <c r="P10978" s="1094">
        <v>4701</v>
      </c>
      <c r="Q10978" t="s">
        <v>11397</v>
      </c>
      <c r="R10978" t="s">
        <v>614</v>
      </c>
      <c r="S10978">
        <v>150.55753799999999</v>
      </c>
      <c r="T10978" s="1095">
        <v>-23.354937</v>
      </c>
    </row>
    <row r="10979" spans="16:20">
      <c r="P10979" s="1094">
        <v>4701</v>
      </c>
      <c r="Q10979" t="s">
        <v>11398</v>
      </c>
      <c r="R10979" t="s">
        <v>614</v>
      </c>
      <c r="S10979">
        <v>150.55753799999999</v>
      </c>
      <c r="T10979" s="1095">
        <v>-23.354937</v>
      </c>
    </row>
    <row r="10980" spans="16:20">
      <c r="P10980" s="1094">
        <v>4701</v>
      </c>
      <c r="Q10980" t="s">
        <v>11399</v>
      </c>
      <c r="R10980" t="s">
        <v>614</v>
      </c>
      <c r="S10980">
        <v>150.55753799999999</v>
      </c>
      <c r="T10980" s="1095">
        <v>-23.354937</v>
      </c>
    </row>
    <row r="10981" spans="16:20">
      <c r="P10981" s="1094">
        <v>4701</v>
      </c>
      <c r="Q10981" t="s">
        <v>11400</v>
      </c>
      <c r="R10981" t="s">
        <v>614</v>
      </c>
      <c r="S10981">
        <v>150.55753799999999</v>
      </c>
      <c r="T10981" s="1095">
        <v>-23.354937</v>
      </c>
    </row>
    <row r="10982" spans="16:20">
      <c r="P10982" s="1094">
        <v>4701</v>
      </c>
      <c r="Q10982" t="s">
        <v>11401</v>
      </c>
      <c r="R10982" t="s">
        <v>614</v>
      </c>
      <c r="S10982">
        <v>150.55753799999999</v>
      </c>
      <c r="T10982" s="1095">
        <v>-23.354937</v>
      </c>
    </row>
    <row r="10983" spans="16:20">
      <c r="P10983" s="1094">
        <v>4701</v>
      </c>
      <c r="Q10983" t="s">
        <v>11402</v>
      </c>
      <c r="R10983" t="s">
        <v>614</v>
      </c>
      <c r="S10983">
        <v>150.55753799999999</v>
      </c>
      <c r="T10983" s="1095">
        <v>-23.354937</v>
      </c>
    </row>
    <row r="10984" spans="16:20">
      <c r="P10984" s="1094">
        <v>4701</v>
      </c>
      <c r="Q10984" t="s">
        <v>2212</v>
      </c>
      <c r="R10984" t="s">
        <v>614</v>
      </c>
      <c r="S10984">
        <v>150.55753799999999</v>
      </c>
      <c r="T10984" s="1095">
        <v>-23.354937</v>
      </c>
    </row>
    <row r="10985" spans="16:20">
      <c r="P10985" s="1094">
        <v>4701</v>
      </c>
      <c r="Q10985" t="s">
        <v>11403</v>
      </c>
      <c r="R10985" t="s">
        <v>614</v>
      </c>
      <c r="S10985">
        <v>150.55753799999999</v>
      </c>
      <c r="T10985" s="1095">
        <v>-23.354937</v>
      </c>
    </row>
    <row r="10986" spans="16:20">
      <c r="P10986" s="1094">
        <v>4702</v>
      </c>
      <c r="Q10986" t="s">
        <v>11404</v>
      </c>
      <c r="R10986" t="s">
        <v>614</v>
      </c>
      <c r="S10986">
        <v>150.885772</v>
      </c>
      <c r="T10986" s="1095">
        <v>-23.279639</v>
      </c>
    </row>
    <row r="10987" spans="16:20">
      <c r="P10987" s="1094">
        <v>4702</v>
      </c>
      <c r="Q10987" t="s">
        <v>11405</v>
      </c>
      <c r="R10987" t="s">
        <v>614</v>
      </c>
      <c r="S10987">
        <v>150.885772</v>
      </c>
      <c r="T10987" s="1095">
        <v>-23.279639</v>
      </c>
    </row>
    <row r="10988" spans="16:20">
      <c r="P10988" s="1094">
        <v>4702</v>
      </c>
      <c r="Q10988" t="s">
        <v>11406</v>
      </c>
      <c r="R10988" t="s">
        <v>614</v>
      </c>
      <c r="S10988">
        <v>150.885772</v>
      </c>
      <c r="T10988" s="1095">
        <v>-23.279639</v>
      </c>
    </row>
    <row r="10989" spans="16:20">
      <c r="P10989" s="1094">
        <v>4702</v>
      </c>
      <c r="Q10989" t="s">
        <v>6824</v>
      </c>
      <c r="R10989" t="s">
        <v>614</v>
      </c>
      <c r="S10989">
        <v>150.885772</v>
      </c>
      <c r="T10989" s="1095">
        <v>-23.279639</v>
      </c>
    </row>
    <row r="10990" spans="16:20">
      <c r="P10990" s="1094">
        <v>4702</v>
      </c>
      <c r="Q10990" t="s">
        <v>5375</v>
      </c>
      <c r="R10990" t="s">
        <v>614</v>
      </c>
      <c r="S10990">
        <v>150.885772</v>
      </c>
      <c r="T10990" s="1095">
        <v>-23.279639</v>
      </c>
    </row>
    <row r="10991" spans="16:20">
      <c r="P10991" s="1094">
        <v>4702</v>
      </c>
      <c r="Q10991" t="s">
        <v>11407</v>
      </c>
      <c r="R10991" t="s">
        <v>614</v>
      </c>
      <c r="S10991">
        <v>150.885772</v>
      </c>
      <c r="T10991" s="1095">
        <v>-23.279639</v>
      </c>
    </row>
    <row r="10992" spans="16:20">
      <c r="P10992" s="1094">
        <v>4702</v>
      </c>
      <c r="Q10992" t="s">
        <v>11408</v>
      </c>
      <c r="R10992" t="s">
        <v>614</v>
      </c>
      <c r="S10992">
        <v>150.885772</v>
      </c>
      <c r="T10992" s="1095">
        <v>-23.279639</v>
      </c>
    </row>
    <row r="10993" spans="16:20">
      <c r="P10993" s="1094">
        <v>4702</v>
      </c>
      <c r="Q10993" t="s">
        <v>11409</v>
      </c>
      <c r="R10993" t="s">
        <v>614</v>
      </c>
      <c r="S10993">
        <v>150.885772</v>
      </c>
      <c r="T10993" s="1095">
        <v>-23.279639</v>
      </c>
    </row>
    <row r="10994" spans="16:20">
      <c r="P10994" s="1094">
        <v>4702</v>
      </c>
      <c r="Q10994" t="s">
        <v>11410</v>
      </c>
      <c r="R10994" t="s">
        <v>614</v>
      </c>
      <c r="S10994">
        <v>150.885772</v>
      </c>
      <c r="T10994" s="1095">
        <v>-23.279639</v>
      </c>
    </row>
    <row r="10995" spans="16:20">
      <c r="P10995" s="1094">
        <v>4702</v>
      </c>
      <c r="Q10995" t="s">
        <v>11411</v>
      </c>
      <c r="R10995" t="s">
        <v>614</v>
      </c>
      <c r="S10995">
        <v>150.885772</v>
      </c>
      <c r="T10995" s="1095">
        <v>-23.279639</v>
      </c>
    </row>
    <row r="10996" spans="16:20">
      <c r="P10996" s="1094">
        <v>4702</v>
      </c>
      <c r="Q10996" t="s">
        <v>11412</v>
      </c>
      <c r="R10996" t="s">
        <v>614</v>
      </c>
      <c r="S10996">
        <v>150.885772</v>
      </c>
      <c r="T10996" s="1095">
        <v>-23.279639</v>
      </c>
    </row>
    <row r="10997" spans="16:20">
      <c r="P10997" s="1094">
        <v>4702</v>
      </c>
      <c r="Q10997" t="s">
        <v>11413</v>
      </c>
      <c r="R10997" t="s">
        <v>614</v>
      </c>
      <c r="S10997">
        <v>150.885772</v>
      </c>
      <c r="T10997" s="1095">
        <v>-23.279639</v>
      </c>
    </row>
    <row r="10998" spans="16:20">
      <c r="P10998" s="1094">
        <v>4702</v>
      </c>
      <c r="Q10998" t="s">
        <v>11414</v>
      </c>
      <c r="R10998" t="s">
        <v>614</v>
      </c>
      <c r="S10998">
        <v>150.885772</v>
      </c>
      <c r="T10998" s="1095">
        <v>-23.279639</v>
      </c>
    </row>
    <row r="10999" spans="16:20">
      <c r="P10999" s="1094">
        <v>4702</v>
      </c>
      <c r="Q10999" t="s">
        <v>11415</v>
      </c>
      <c r="R10999" t="s">
        <v>614</v>
      </c>
      <c r="S10999">
        <v>150.885772</v>
      </c>
      <c r="T10999" s="1095">
        <v>-23.279639</v>
      </c>
    </row>
    <row r="11000" spans="16:20">
      <c r="P11000" s="1094">
        <v>4702</v>
      </c>
      <c r="Q11000" t="s">
        <v>11416</v>
      </c>
      <c r="R11000" t="s">
        <v>614</v>
      </c>
      <c r="S11000">
        <v>150.885772</v>
      </c>
      <c r="T11000" s="1095">
        <v>-23.279639</v>
      </c>
    </row>
    <row r="11001" spans="16:20">
      <c r="P11001" s="1094">
        <v>4702</v>
      </c>
      <c r="Q11001" t="s">
        <v>11417</v>
      </c>
      <c r="R11001" t="s">
        <v>614</v>
      </c>
      <c r="S11001">
        <v>150.885772</v>
      </c>
      <c r="T11001" s="1095">
        <v>-23.279639</v>
      </c>
    </row>
    <row r="11002" spans="16:20">
      <c r="P11002" s="1094">
        <v>4702</v>
      </c>
      <c r="Q11002" t="s">
        <v>11418</v>
      </c>
      <c r="R11002" t="s">
        <v>614</v>
      </c>
      <c r="S11002">
        <v>150.885772</v>
      </c>
      <c r="T11002" s="1095">
        <v>-23.279639</v>
      </c>
    </row>
    <row r="11003" spans="16:20">
      <c r="P11003" s="1094">
        <v>4702</v>
      </c>
      <c r="Q11003" t="s">
        <v>11419</v>
      </c>
      <c r="R11003" t="s">
        <v>614</v>
      </c>
      <c r="S11003">
        <v>150.885772</v>
      </c>
      <c r="T11003" s="1095">
        <v>-23.279639</v>
      </c>
    </row>
    <row r="11004" spans="16:20">
      <c r="P11004" s="1094">
        <v>4702</v>
      </c>
      <c r="Q11004" t="s">
        <v>11420</v>
      </c>
      <c r="R11004" t="s">
        <v>614</v>
      </c>
      <c r="S11004">
        <v>150.885772</v>
      </c>
      <c r="T11004" s="1095">
        <v>-23.279639</v>
      </c>
    </row>
    <row r="11005" spans="16:20">
      <c r="P11005" s="1094">
        <v>4702</v>
      </c>
      <c r="Q11005" t="s">
        <v>11421</v>
      </c>
      <c r="R11005" t="s">
        <v>614</v>
      </c>
      <c r="S11005">
        <v>150.885772</v>
      </c>
      <c r="T11005" s="1095">
        <v>-23.279639</v>
      </c>
    </row>
    <row r="11006" spans="16:20">
      <c r="P11006" s="1094">
        <v>4702</v>
      </c>
      <c r="Q11006" t="s">
        <v>11422</v>
      </c>
      <c r="R11006" t="s">
        <v>614</v>
      </c>
      <c r="S11006">
        <v>150.885772</v>
      </c>
      <c r="T11006" s="1095">
        <v>-23.279639</v>
      </c>
    </row>
    <row r="11007" spans="16:20">
      <c r="P11007" s="1094">
        <v>4702</v>
      </c>
      <c r="Q11007" t="s">
        <v>11423</v>
      </c>
      <c r="R11007" t="s">
        <v>614</v>
      </c>
      <c r="S11007">
        <v>150.885772</v>
      </c>
      <c r="T11007" s="1095">
        <v>-23.279639</v>
      </c>
    </row>
    <row r="11008" spans="16:20">
      <c r="P11008" s="1094">
        <v>4702</v>
      </c>
      <c r="Q11008" t="s">
        <v>11424</v>
      </c>
      <c r="R11008" t="s">
        <v>614</v>
      </c>
      <c r="S11008">
        <v>150.885772</v>
      </c>
      <c r="T11008" s="1095">
        <v>-23.279639</v>
      </c>
    </row>
    <row r="11009" spans="16:20">
      <c r="P11009" s="1094">
        <v>4702</v>
      </c>
      <c r="Q11009" t="s">
        <v>11425</v>
      </c>
      <c r="R11009" t="s">
        <v>614</v>
      </c>
      <c r="S11009">
        <v>150.885772</v>
      </c>
      <c r="T11009" s="1095">
        <v>-23.279639</v>
      </c>
    </row>
    <row r="11010" spans="16:20">
      <c r="P11010" s="1094">
        <v>4702</v>
      </c>
      <c r="Q11010" t="s">
        <v>11426</v>
      </c>
      <c r="R11010" t="s">
        <v>614</v>
      </c>
      <c r="S11010">
        <v>150.885772</v>
      </c>
      <c r="T11010" s="1095">
        <v>-23.279639</v>
      </c>
    </row>
    <row r="11011" spans="16:20">
      <c r="P11011" s="1094">
        <v>4702</v>
      </c>
      <c r="Q11011" t="s">
        <v>11427</v>
      </c>
      <c r="R11011" t="s">
        <v>614</v>
      </c>
      <c r="S11011">
        <v>150.885772</v>
      </c>
      <c r="T11011" s="1095">
        <v>-23.279639</v>
      </c>
    </row>
    <row r="11012" spans="16:20">
      <c r="P11012" s="1094">
        <v>4702</v>
      </c>
      <c r="Q11012" t="s">
        <v>11428</v>
      </c>
      <c r="R11012" t="s">
        <v>614</v>
      </c>
      <c r="S11012">
        <v>150.885772</v>
      </c>
      <c r="T11012" s="1095">
        <v>-23.279639</v>
      </c>
    </row>
    <row r="11013" spans="16:20">
      <c r="P11013" s="1094">
        <v>4702</v>
      </c>
      <c r="Q11013" t="s">
        <v>11429</v>
      </c>
      <c r="R11013" t="s">
        <v>614</v>
      </c>
      <c r="S11013">
        <v>150.885772</v>
      </c>
      <c r="T11013" s="1095">
        <v>-23.279639</v>
      </c>
    </row>
    <row r="11014" spans="16:20">
      <c r="P11014" s="1094">
        <v>4702</v>
      </c>
      <c r="Q11014" t="s">
        <v>11430</v>
      </c>
      <c r="R11014" t="s">
        <v>614</v>
      </c>
      <c r="S11014">
        <v>150.885772</v>
      </c>
      <c r="T11014" s="1095">
        <v>-23.279639</v>
      </c>
    </row>
    <row r="11015" spans="16:20">
      <c r="P11015" s="1094">
        <v>4702</v>
      </c>
      <c r="Q11015" t="s">
        <v>11431</v>
      </c>
      <c r="R11015" t="s">
        <v>614</v>
      </c>
      <c r="S11015">
        <v>150.885772</v>
      </c>
      <c r="T11015" s="1095">
        <v>-23.279639</v>
      </c>
    </row>
    <row r="11016" spans="16:20">
      <c r="P11016" s="1094">
        <v>4702</v>
      </c>
      <c r="Q11016" t="s">
        <v>11432</v>
      </c>
      <c r="R11016" t="s">
        <v>614</v>
      </c>
      <c r="S11016">
        <v>150.885772</v>
      </c>
      <c r="T11016" s="1095">
        <v>-23.279639</v>
      </c>
    </row>
    <row r="11017" spans="16:20">
      <c r="P11017" s="1094">
        <v>4702</v>
      </c>
      <c r="Q11017" t="s">
        <v>11433</v>
      </c>
      <c r="R11017" t="s">
        <v>614</v>
      </c>
      <c r="S11017">
        <v>150.885772</v>
      </c>
      <c r="T11017" s="1095">
        <v>-23.279639</v>
      </c>
    </row>
    <row r="11018" spans="16:20">
      <c r="P11018" s="1094">
        <v>4702</v>
      </c>
      <c r="Q11018" t="s">
        <v>11434</v>
      </c>
      <c r="R11018" t="s">
        <v>614</v>
      </c>
      <c r="S11018">
        <v>150.885772</v>
      </c>
      <c r="T11018" s="1095">
        <v>-23.279639</v>
      </c>
    </row>
    <row r="11019" spans="16:20">
      <c r="P11019" s="1094">
        <v>4702</v>
      </c>
      <c r="Q11019" t="s">
        <v>11435</v>
      </c>
      <c r="R11019" t="s">
        <v>614</v>
      </c>
      <c r="S11019">
        <v>150.885772</v>
      </c>
      <c r="T11019" s="1095">
        <v>-23.279639</v>
      </c>
    </row>
    <row r="11020" spans="16:20">
      <c r="P11020" s="1094">
        <v>4702</v>
      </c>
      <c r="Q11020" t="s">
        <v>11436</v>
      </c>
      <c r="R11020" t="s">
        <v>614</v>
      </c>
      <c r="S11020">
        <v>150.885772</v>
      </c>
      <c r="T11020" s="1095">
        <v>-23.279639</v>
      </c>
    </row>
    <row r="11021" spans="16:20">
      <c r="P11021" s="1094">
        <v>4702</v>
      </c>
      <c r="Q11021" t="s">
        <v>5083</v>
      </c>
      <c r="R11021" t="s">
        <v>614</v>
      </c>
      <c r="S11021">
        <v>150.885772</v>
      </c>
      <c r="T11021" s="1095">
        <v>-23.279639</v>
      </c>
    </row>
    <row r="11022" spans="16:20">
      <c r="P11022" s="1094">
        <v>4702</v>
      </c>
      <c r="Q11022" t="s">
        <v>11437</v>
      </c>
      <c r="R11022" t="s">
        <v>614</v>
      </c>
      <c r="S11022">
        <v>150.885772</v>
      </c>
      <c r="T11022" s="1095">
        <v>-23.279639</v>
      </c>
    </row>
    <row r="11023" spans="16:20">
      <c r="P11023" s="1094">
        <v>4702</v>
      </c>
      <c r="Q11023" t="s">
        <v>11438</v>
      </c>
      <c r="R11023" t="s">
        <v>614</v>
      </c>
      <c r="S11023">
        <v>150.885772</v>
      </c>
      <c r="T11023" s="1095">
        <v>-23.279639</v>
      </c>
    </row>
    <row r="11024" spans="16:20">
      <c r="P11024" s="1094">
        <v>4702</v>
      </c>
      <c r="Q11024" t="s">
        <v>11439</v>
      </c>
      <c r="R11024" t="s">
        <v>614</v>
      </c>
      <c r="S11024">
        <v>150.885772</v>
      </c>
      <c r="T11024" s="1095">
        <v>-23.279639</v>
      </c>
    </row>
    <row r="11025" spans="16:20">
      <c r="P11025" s="1094">
        <v>4702</v>
      </c>
      <c r="Q11025" t="s">
        <v>11440</v>
      </c>
      <c r="R11025" t="s">
        <v>614</v>
      </c>
      <c r="S11025">
        <v>150.885772</v>
      </c>
      <c r="T11025" s="1095">
        <v>-23.279639</v>
      </c>
    </row>
    <row r="11026" spans="16:20">
      <c r="P11026" s="1094">
        <v>4702</v>
      </c>
      <c r="Q11026" t="s">
        <v>11441</v>
      </c>
      <c r="R11026" t="s">
        <v>614</v>
      </c>
      <c r="S11026">
        <v>150.885772</v>
      </c>
      <c r="T11026" s="1095">
        <v>-23.279639</v>
      </c>
    </row>
    <row r="11027" spans="16:20">
      <c r="P11027" s="1094">
        <v>4702</v>
      </c>
      <c r="Q11027" t="s">
        <v>11442</v>
      </c>
      <c r="R11027" t="s">
        <v>614</v>
      </c>
      <c r="S11027">
        <v>150.885772</v>
      </c>
      <c r="T11027" s="1095">
        <v>-23.279639</v>
      </c>
    </row>
    <row r="11028" spans="16:20">
      <c r="P11028" s="1094">
        <v>4702</v>
      </c>
      <c r="Q11028" t="s">
        <v>11443</v>
      </c>
      <c r="R11028" t="s">
        <v>614</v>
      </c>
      <c r="S11028">
        <v>150.885772</v>
      </c>
      <c r="T11028" s="1095">
        <v>-23.279639</v>
      </c>
    </row>
    <row r="11029" spans="16:20">
      <c r="P11029" s="1094">
        <v>4702</v>
      </c>
      <c r="Q11029" t="s">
        <v>11444</v>
      </c>
      <c r="R11029" t="s">
        <v>614</v>
      </c>
      <c r="S11029">
        <v>150.885772</v>
      </c>
      <c r="T11029" s="1095">
        <v>-23.279639</v>
      </c>
    </row>
    <row r="11030" spans="16:20">
      <c r="P11030" s="1094">
        <v>4702</v>
      </c>
      <c r="Q11030" t="s">
        <v>11445</v>
      </c>
      <c r="R11030" t="s">
        <v>614</v>
      </c>
      <c r="S11030">
        <v>150.885772</v>
      </c>
      <c r="T11030" s="1095">
        <v>-23.279639</v>
      </c>
    </row>
    <row r="11031" spans="16:20">
      <c r="P11031" s="1094">
        <v>4702</v>
      </c>
      <c r="Q11031" t="s">
        <v>11446</v>
      </c>
      <c r="R11031" t="s">
        <v>614</v>
      </c>
      <c r="S11031">
        <v>150.885772</v>
      </c>
      <c r="T11031" s="1095">
        <v>-23.279639</v>
      </c>
    </row>
    <row r="11032" spans="16:20">
      <c r="P11032" s="1094">
        <v>4702</v>
      </c>
      <c r="Q11032" t="s">
        <v>11447</v>
      </c>
      <c r="R11032" t="s">
        <v>614</v>
      </c>
      <c r="S11032">
        <v>150.885772</v>
      </c>
      <c r="T11032" s="1095">
        <v>-23.279639</v>
      </c>
    </row>
    <row r="11033" spans="16:20">
      <c r="P11033" s="1094">
        <v>4702</v>
      </c>
      <c r="Q11033" t="s">
        <v>11448</v>
      </c>
      <c r="R11033" t="s">
        <v>614</v>
      </c>
      <c r="S11033">
        <v>150.885772</v>
      </c>
      <c r="T11033" s="1095">
        <v>-23.279639</v>
      </c>
    </row>
    <row r="11034" spans="16:20">
      <c r="P11034" s="1094">
        <v>4702</v>
      </c>
      <c r="Q11034" t="s">
        <v>11449</v>
      </c>
      <c r="R11034" t="s">
        <v>614</v>
      </c>
      <c r="S11034">
        <v>150.885772</v>
      </c>
      <c r="T11034" s="1095">
        <v>-23.279639</v>
      </c>
    </row>
    <row r="11035" spans="16:20">
      <c r="P11035" s="1094">
        <v>4702</v>
      </c>
      <c r="Q11035" t="s">
        <v>11450</v>
      </c>
      <c r="R11035" t="s">
        <v>614</v>
      </c>
      <c r="S11035">
        <v>150.885772</v>
      </c>
      <c r="T11035" s="1095">
        <v>-23.279639</v>
      </c>
    </row>
    <row r="11036" spans="16:20">
      <c r="P11036" s="1094">
        <v>4702</v>
      </c>
      <c r="Q11036" t="s">
        <v>9630</v>
      </c>
      <c r="R11036" t="s">
        <v>614</v>
      </c>
      <c r="S11036">
        <v>150.885772</v>
      </c>
      <c r="T11036" s="1095">
        <v>-23.279639</v>
      </c>
    </row>
    <row r="11037" spans="16:20">
      <c r="P11037" s="1094">
        <v>4702</v>
      </c>
      <c r="Q11037" t="s">
        <v>11451</v>
      </c>
      <c r="R11037" t="s">
        <v>614</v>
      </c>
      <c r="S11037">
        <v>150.885772</v>
      </c>
      <c r="T11037" s="1095">
        <v>-23.279639</v>
      </c>
    </row>
    <row r="11038" spans="16:20">
      <c r="P11038" s="1094">
        <v>4702</v>
      </c>
      <c r="Q11038" t="s">
        <v>11452</v>
      </c>
      <c r="R11038" t="s">
        <v>614</v>
      </c>
      <c r="S11038">
        <v>150.885772</v>
      </c>
      <c r="T11038" s="1095">
        <v>-23.279639</v>
      </c>
    </row>
    <row r="11039" spans="16:20">
      <c r="P11039" s="1094">
        <v>4702</v>
      </c>
      <c r="Q11039" t="s">
        <v>11453</v>
      </c>
      <c r="R11039" t="s">
        <v>614</v>
      </c>
      <c r="S11039">
        <v>150.885772</v>
      </c>
      <c r="T11039" s="1095">
        <v>-23.279639</v>
      </c>
    </row>
    <row r="11040" spans="16:20">
      <c r="P11040" s="1094">
        <v>4702</v>
      </c>
      <c r="Q11040" t="s">
        <v>5286</v>
      </c>
      <c r="R11040" t="s">
        <v>614</v>
      </c>
      <c r="S11040">
        <v>150.885772</v>
      </c>
      <c r="T11040" s="1095">
        <v>-23.279639</v>
      </c>
    </row>
    <row r="11041" spans="16:20">
      <c r="P11041" s="1094">
        <v>4702</v>
      </c>
      <c r="Q11041" t="s">
        <v>11454</v>
      </c>
      <c r="R11041" t="s">
        <v>614</v>
      </c>
      <c r="S11041">
        <v>150.885772</v>
      </c>
      <c r="T11041" s="1095">
        <v>-23.279639</v>
      </c>
    </row>
    <row r="11042" spans="16:20">
      <c r="P11042" s="1094">
        <v>4702</v>
      </c>
      <c r="Q11042" t="s">
        <v>11455</v>
      </c>
      <c r="R11042" t="s">
        <v>614</v>
      </c>
      <c r="S11042">
        <v>150.885772</v>
      </c>
      <c r="T11042" s="1095">
        <v>-23.279639</v>
      </c>
    </row>
    <row r="11043" spans="16:20">
      <c r="P11043" s="1094">
        <v>4702</v>
      </c>
      <c r="Q11043" t="s">
        <v>11456</v>
      </c>
      <c r="R11043" t="s">
        <v>614</v>
      </c>
      <c r="S11043">
        <v>150.885772</v>
      </c>
      <c r="T11043" s="1095">
        <v>-23.279639</v>
      </c>
    </row>
    <row r="11044" spans="16:20">
      <c r="P11044" s="1094">
        <v>4702</v>
      </c>
      <c r="Q11044" t="s">
        <v>11457</v>
      </c>
      <c r="R11044" t="s">
        <v>614</v>
      </c>
      <c r="S11044">
        <v>150.885772</v>
      </c>
      <c r="T11044" s="1095">
        <v>-23.279639</v>
      </c>
    </row>
    <row r="11045" spans="16:20">
      <c r="P11045" s="1094">
        <v>4702</v>
      </c>
      <c r="Q11045" t="s">
        <v>7887</v>
      </c>
      <c r="R11045" t="s">
        <v>614</v>
      </c>
      <c r="S11045">
        <v>150.885772</v>
      </c>
      <c r="T11045" s="1095">
        <v>-23.279639</v>
      </c>
    </row>
    <row r="11046" spans="16:20">
      <c r="P11046" s="1094">
        <v>4702</v>
      </c>
      <c r="Q11046" t="s">
        <v>11458</v>
      </c>
      <c r="R11046" t="s">
        <v>614</v>
      </c>
      <c r="S11046">
        <v>150.885772</v>
      </c>
      <c r="T11046" s="1095">
        <v>-23.279639</v>
      </c>
    </row>
    <row r="11047" spans="16:20">
      <c r="P11047" s="1094">
        <v>4702</v>
      </c>
      <c r="Q11047" t="s">
        <v>8661</v>
      </c>
      <c r="R11047" t="s">
        <v>614</v>
      </c>
      <c r="S11047">
        <v>150.885772</v>
      </c>
      <c r="T11047" s="1095">
        <v>-23.279639</v>
      </c>
    </row>
    <row r="11048" spans="16:20">
      <c r="P11048" s="1094">
        <v>4702</v>
      </c>
      <c r="Q11048" t="s">
        <v>11459</v>
      </c>
      <c r="R11048" t="s">
        <v>614</v>
      </c>
      <c r="S11048">
        <v>150.885772</v>
      </c>
      <c r="T11048" s="1095">
        <v>-23.279639</v>
      </c>
    </row>
    <row r="11049" spans="16:20">
      <c r="P11049" s="1094">
        <v>4702</v>
      </c>
      <c r="Q11049" t="s">
        <v>11460</v>
      </c>
      <c r="R11049" t="s">
        <v>614</v>
      </c>
      <c r="S11049">
        <v>150.885772</v>
      </c>
      <c r="T11049" s="1095">
        <v>-23.279639</v>
      </c>
    </row>
    <row r="11050" spans="16:20">
      <c r="P11050" s="1094">
        <v>4702</v>
      </c>
      <c r="Q11050" t="s">
        <v>11461</v>
      </c>
      <c r="R11050" t="s">
        <v>614</v>
      </c>
      <c r="S11050">
        <v>150.885772</v>
      </c>
      <c r="T11050" s="1095">
        <v>-23.279639</v>
      </c>
    </row>
    <row r="11051" spans="16:20">
      <c r="P11051" s="1094">
        <v>4702</v>
      </c>
      <c r="Q11051" t="s">
        <v>11462</v>
      </c>
      <c r="R11051" t="s">
        <v>614</v>
      </c>
      <c r="S11051">
        <v>150.885772</v>
      </c>
      <c r="T11051" s="1095">
        <v>-23.279639</v>
      </c>
    </row>
    <row r="11052" spans="16:20">
      <c r="P11052" s="1094">
        <v>4702</v>
      </c>
      <c r="Q11052" t="s">
        <v>11463</v>
      </c>
      <c r="R11052" t="s">
        <v>614</v>
      </c>
      <c r="S11052">
        <v>150.885772</v>
      </c>
      <c r="T11052" s="1095">
        <v>-23.279639</v>
      </c>
    </row>
    <row r="11053" spans="16:20">
      <c r="P11053" s="1094">
        <v>4702</v>
      </c>
      <c r="Q11053" t="s">
        <v>11464</v>
      </c>
      <c r="R11053" t="s">
        <v>614</v>
      </c>
      <c r="S11053">
        <v>150.885772</v>
      </c>
      <c r="T11053" s="1095">
        <v>-23.279639</v>
      </c>
    </row>
    <row r="11054" spans="16:20">
      <c r="P11054" s="1094">
        <v>4702</v>
      </c>
      <c r="Q11054" t="s">
        <v>3038</v>
      </c>
      <c r="R11054" t="s">
        <v>614</v>
      </c>
      <c r="S11054">
        <v>150.885772</v>
      </c>
      <c r="T11054" s="1095">
        <v>-23.279639</v>
      </c>
    </row>
    <row r="11055" spans="16:20">
      <c r="P11055" s="1094">
        <v>4702</v>
      </c>
      <c r="Q11055" t="s">
        <v>11465</v>
      </c>
      <c r="R11055" t="s">
        <v>614</v>
      </c>
      <c r="S11055">
        <v>150.885772</v>
      </c>
      <c r="T11055" s="1095">
        <v>-23.279639</v>
      </c>
    </row>
    <row r="11056" spans="16:20">
      <c r="P11056" s="1094">
        <v>4702</v>
      </c>
      <c r="Q11056" t="s">
        <v>11466</v>
      </c>
      <c r="R11056" t="s">
        <v>614</v>
      </c>
      <c r="S11056">
        <v>150.885772</v>
      </c>
      <c r="T11056" s="1095">
        <v>-23.279639</v>
      </c>
    </row>
    <row r="11057" spans="16:20">
      <c r="P11057" s="1094">
        <v>4702</v>
      </c>
      <c r="Q11057" t="s">
        <v>11467</v>
      </c>
      <c r="R11057" t="s">
        <v>614</v>
      </c>
      <c r="S11057">
        <v>150.885772</v>
      </c>
      <c r="T11057" s="1095">
        <v>-23.279639</v>
      </c>
    </row>
    <row r="11058" spans="16:20">
      <c r="P11058" s="1094">
        <v>4702</v>
      </c>
      <c r="Q11058" t="s">
        <v>11468</v>
      </c>
      <c r="R11058" t="s">
        <v>614</v>
      </c>
      <c r="S11058">
        <v>150.885772</v>
      </c>
      <c r="T11058" s="1095">
        <v>-23.279639</v>
      </c>
    </row>
    <row r="11059" spans="16:20">
      <c r="P11059" s="1094">
        <v>4702</v>
      </c>
      <c r="Q11059" t="s">
        <v>11469</v>
      </c>
      <c r="R11059" t="s">
        <v>614</v>
      </c>
      <c r="S11059">
        <v>150.885772</v>
      </c>
      <c r="T11059" s="1095">
        <v>-23.279639</v>
      </c>
    </row>
    <row r="11060" spans="16:20">
      <c r="P11060" s="1094">
        <v>4702</v>
      </c>
      <c r="Q11060" t="s">
        <v>8579</v>
      </c>
      <c r="R11060" t="s">
        <v>614</v>
      </c>
      <c r="S11060">
        <v>150.885772</v>
      </c>
      <c r="T11060" s="1095">
        <v>-23.279639</v>
      </c>
    </row>
    <row r="11061" spans="16:20">
      <c r="P11061" s="1094">
        <v>4702</v>
      </c>
      <c r="Q11061" t="s">
        <v>11470</v>
      </c>
      <c r="R11061" t="s">
        <v>614</v>
      </c>
      <c r="S11061">
        <v>150.885772</v>
      </c>
      <c r="T11061" s="1095">
        <v>-23.279639</v>
      </c>
    </row>
    <row r="11062" spans="16:20">
      <c r="P11062" s="1094">
        <v>4702</v>
      </c>
      <c r="Q11062" t="s">
        <v>11471</v>
      </c>
      <c r="R11062" t="s">
        <v>614</v>
      </c>
      <c r="S11062">
        <v>150.885772</v>
      </c>
      <c r="T11062" s="1095">
        <v>-23.279639</v>
      </c>
    </row>
    <row r="11063" spans="16:20">
      <c r="P11063" s="1094">
        <v>4702</v>
      </c>
      <c r="Q11063" t="s">
        <v>11472</v>
      </c>
      <c r="R11063" t="s">
        <v>614</v>
      </c>
      <c r="S11063">
        <v>150.885772</v>
      </c>
      <c r="T11063" s="1095">
        <v>-23.279639</v>
      </c>
    </row>
    <row r="11064" spans="16:20">
      <c r="P11064" s="1094">
        <v>4702</v>
      </c>
      <c r="Q11064" t="s">
        <v>11473</v>
      </c>
      <c r="R11064" t="s">
        <v>614</v>
      </c>
      <c r="S11064">
        <v>150.885772</v>
      </c>
      <c r="T11064" s="1095">
        <v>-23.279639</v>
      </c>
    </row>
    <row r="11065" spans="16:20">
      <c r="P11065" s="1094">
        <v>4702</v>
      </c>
      <c r="Q11065" t="s">
        <v>2681</v>
      </c>
      <c r="R11065" t="s">
        <v>614</v>
      </c>
      <c r="S11065">
        <v>150.885772</v>
      </c>
      <c r="T11065" s="1095">
        <v>-23.279639</v>
      </c>
    </row>
    <row r="11066" spans="16:20">
      <c r="P11066" s="1094">
        <v>4702</v>
      </c>
      <c r="Q11066" t="s">
        <v>5502</v>
      </c>
      <c r="R11066" t="s">
        <v>614</v>
      </c>
      <c r="S11066">
        <v>150.885772</v>
      </c>
      <c r="T11066" s="1095">
        <v>-23.279639</v>
      </c>
    </row>
    <row r="11067" spans="16:20">
      <c r="P11067" s="1094">
        <v>4702</v>
      </c>
      <c r="Q11067" t="s">
        <v>11474</v>
      </c>
      <c r="R11067" t="s">
        <v>614</v>
      </c>
      <c r="S11067">
        <v>150.885772</v>
      </c>
      <c r="T11067" s="1095">
        <v>-23.279639</v>
      </c>
    </row>
    <row r="11068" spans="16:20">
      <c r="P11068" s="1094">
        <v>4702</v>
      </c>
      <c r="Q11068" t="s">
        <v>11475</v>
      </c>
      <c r="R11068" t="s">
        <v>614</v>
      </c>
      <c r="S11068">
        <v>150.885772</v>
      </c>
      <c r="T11068" s="1095">
        <v>-23.279639</v>
      </c>
    </row>
    <row r="11069" spans="16:20">
      <c r="P11069" s="1094">
        <v>4702</v>
      </c>
      <c r="Q11069" t="s">
        <v>11476</v>
      </c>
      <c r="R11069" t="s">
        <v>614</v>
      </c>
      <c r="S11069">
        <v>150.885772</v>
      </c>
      <c r="T11069" s="1095">
        <v>-23.279639</v>
      </c>
    </row>
    <row r="11070" spans="16:20">
      <c r="P11070" s="1094">
        <v>4702</v>
      </c>
      <c r="Q11070" t="s">
        <v>11477</v>
      </c>
      <c r="R11070" t="s">
        <v>614</v>
      </c>
      <c r="S11070">
        <v>150.885772</v>
      </c>
      <c r="T11070" s="1095">
        <v>-23.279639</v>
      </c>
    </row>
    <row r="11071" spans="16:20">
      <c r="P11071" s="1094">
        <v>4702</v>
      </c>
      <c r="Q11071" t="s">
        <v>11478</v>
      </c>
      <c r="R11071" t="s">
        <v>614</v>
      </c>
      <c r="S11071">
        <v>150.885772</v>
      </c>
      <c r="T11071" s="1095">
        <v>-23.279639</v>
      </c>
    </row>
    <row r="11072" spans="16:20">
      <c r="P11072" s="1094">
        <v>4702</v>
      </c>
      <c r="Q11072" t="s">
        <v>11479</v>
      </c>
      <c r="R11072" t="s">
        <v>614</v>
      </c>
      <c r="S11072">
        <v>150.885772</v>
      </c>
      <c r="T11072" s="1095">
        <v>-23.279639</v>
      </c>
    </row>
    <row r="11073" spans="16:20">
      <c r="P11073" s="1094">
        <v>4702</v>
      </c>
      <c r="Q11073" t="s">
        <v>11480</v>
      </c>
      <c r="R11073" t="s">
        <v>614</v>
      </c>
      <c r="S11073">
        <v>150.885772</v>
      </c>
      <c r="T11073" s="1095">
        <v>-23.279639</v>
      </c>
    </row>
    <row r="11074" spans="16:20">
      <c r="P11074" s="1094">
        <v>4702</v>
      </c>
      <c r="Q11074" t="s">
        <v>11481</v>
      </c>
      <c r="R11074" t="s">
        <v>614</v>
      </c>
      <c r="S11074">
        <v>150.885772</v>
      </c>
      <c r="T11074" s="1095">
        <v>-23.279639</v>
      </c>
    </row>
    <row r="11075" spans="16:20">
      <c r="P11075" s="1094">
        <v>4702</v>
      </c>
      <c r="Q11075" t="s">
        <v>11482</v>
      </c>
      <c r="R11075" t="s">
        <v>614</v>
      </c>
      <c r="S11075">
        <v>150.885772</v>
      </c>
      <c r="T11075" s="1095">
        <v>-23.279639</v>
      </c>
    </row>
    <row r="11076" spans="16:20">
      <c r="P11076" s="1094">
        <v>4703</v>
      </c>
      <c r="Q11076" t="s">
        <v>11483</v>
      </c>
      <c r="R11076" t="s">
        <v>614</v>
      </c>
      <c r="S11076">
        <v>150.89433099999999</v>
      </c>
      <c r="T11076" s="1095">
        <v>-23.074563000000001</v>
      </c>
    </row>
    <row r="11077" spans="16:20">
      <c r="P11077" s="1094">
        <v>4703</v>
      </c>
      <c r="Q11077" t="s">
        <v>4396</v>
      </c>
      <c r="R11077" t="s">
        <v>614</v>
      </c>
      <c r="S11077">
        <v>150.89433099999999</v>
      </c>
      <c r="T11077" s="1095">
        <v>-23.074563000000001</v>
      </c>
    </row>
    <row r="11078" spans="16:20">
      <c r="P11078" s="1094">
        <v>4703</v>
      </c>
      <c r="Q11078" t="s">
        <v>11484</v>
      </c>
      <c r="R11078" t="s">
        <v>614</v>
      </c>
      <c r="S11078">
        <v>150.89433099999999</v>
      </c>
      <c r="T11078" s="1095">
        <v>-23.074563000000001</v>
      </c>
    </row>
    <row r="11079" spans="16:20">
      <c r="P11079" s="1094">
        <v>4703</v>
      </c>
      <c r="Q11079" t="s">
        <v>11485</v>
      </c>
      <c r="R11079" t="s">
        <v>614</v>
      </c>
      <c r="S11079">
        <v>150.89433099999999</v>
      </c>
      <c r="T11079" s="1095">
        <v>-23.074563000000001</v>
      </c>
    </row>
    <row r="11080" spans="16:20">
      <c r="P11080" s="1094">
        <v>4703</v>
      </c>
      <c r="Q11080" t="s">
        <v>11486</v>
      </c>
      <c r="R11080" t="s">
        <v>614</v>
      </c>
      <c r="S11080">
        <v>150.89433099999999</v>
      </c>
      <c r="T11080" s="1095">
        <v>-23.074563000000001</v>
      </c>
    </row>
    <row r="11081" spans="16:20">
      <c r="P11081" s="1094">
        <v>4703</v>
      </c>
      <c r="Q11081" t="s">
        <v>11487</v>
      </c>
      <c r="R11081" t="s">
        <v>614</v>
      </c>
      <c r="S11081">
        <v>150.89433099999999</v>
      </c>
      <c r="T11081" s="1095">
        <v>-23.074563000000001</v>
      </c>
    </row>
    <row r="11082" spans="16:20">
      <c r="P11082" s="1094">
        <v>4703</v>
      </c>
      <c r="Q11082" t="s">
        <v>11488</v>
      </c>
      <c r="R11082" t="s">
        <v>614</v>
      </c>
      <c r="S11082">
        <v>150.89433099999999</v>
      </c>
      <c r="T11082" s="1095">
        <v>-23.074563000000001</v>
      </c>
    </row>
    <row r="11083" spans="16:20">
      <c r="P11083" s="1094">
        <v>4703</v>
      </c>
      <c r="Q11083" t="s">
        <v>11489</v>
      </c>
      <c r="R11083" t="s">
        <v>614</v>
      </c>
      <c r="S11083">
        <v>150.89433099999999</v>
      </c>
      <c r="T11083" s="1095">
        <v>-23.074563000000001</v>
      </c>
    </row>
    <row r="11084" spans="16:20">
      <c r="P11084" s="1094">
        <v>4703</v>
      </c>
      <c r="Q11084" t="s">
        <v>11490</v>
      </c>
      <c r="R11084" t="s">
        <v>614</v>
      </c>
      <c r="S11084">
        <v>150.89433099999999</v>
      </c>
      <c r="T11084" s="1095">
        <v>-23.074563000000001</v>
      </c>
    </row>
    <row r="11085" spans="16:20">
      <c r="P11085" s="1094">
        <v>4703</v>
      </c>
      <c r="Q11085" t="s">
        <v>11491</v>
      </c>
      <c r="R11085" t="s">
        <v>614</v>
      </c>
      <c r="S11085">
        <v>150.89433099999999</v>
      </c>
      <c r="T11085" s="1095">
        <v>-23.074563000000001</v>
      </c>
    </row>
    <row r="11086" spans="16:20">
      <c r="P11086" s="1094">
        <v>4703</v>
      </c>
      <c r="Q11086" t="s">
        <v>11492</v>
      </c>
      <c r="R11086" t="s">
        <v>614</v>
      </c>
      <c r="S11086">
        <v>150.89433099999999</v>
      </c>
      <c r="T11086" s="1095">
        <v>-23.074563000000001</v>
      </c>
    </row>
    <row r="11087" spans="16:20">
      <c r="P11087" s="1094">
        <v>4703</v>
      </c>
      <c r="Q11087" t="s">
        <v>11493</v>
      </c>
      <c r="R11087" t="s">
        <v>614</v>
      </c>
      <c r="S11087">
        <v>150.89433099999999</v>
      </c>
      <c r="T11087" s="1095">
        <v>-23.074563000000001</v>
      </c>
    </row>
    <row r="11088" spans="16:20">
      <c r="P11088" s="1094">
        <v>4703</v>
      </c>
      <c r="Q11088" t="s">
        <v>11494</v>
      </c>
      <c r="R11088" t="s">
        <v>614</v>
      </c>
      <c r="S11088">
        <v>150.89433099999999</v>
      </c>
      <c r="T11088" s="1095">
        <v>-23.074563000000001</v>
      </c>
    </row>
    <row r="11089" spans="16:20">
      <c r="P11089" s="1094">
        <v>4703</v>
      </c>
      <c r="Q11089" t="s">
        <v>8652</v>
      </c>
      <c r="R11089" t="s">
        <v>614</v>
      </c>
      <c r="S11089">
        <v>150.89433099999999</v>
      </c>
      <c r="T11089" s="1095">
        <v>-23.074563000000001</v>
      </c>
    </row>
    <row r="11090" spans="16:20">
      <c r="P11090" s="1094">
        <v>4703</v>
      </c>
      <c r="Q11090" t="s">
        <v>11495</v>
      </c>
      <c r="R11090" t="s">
        <v>614</v>
      </c>
      <c r="S11090">
        <v>150.89433099999999</v>
      </c>
      <c r="T11090" s="1095">
        <v>-23.074563000000001</v>
      </c>
    </row>
    <row r="11091" spans="16:20">
      <c r="P11091" s="1094">
        <v>4703</v>
      </c>
      <c r="Q11091" t="s">
        <v>11496</v>
      </c>
      <c r="R11091" t="s">
        <v>614</v>
      </c>
      <c r="S11091">
        <v>150.89433099999999</v>
      </c>
      <c r="T11091" s="1095">
        <v>-23.074563000000001</v>
      </c>
    </row>
    <row r="11092" spans="16:20">
      <c r="P11092" s="1094">
        <v>4703</v>
      </c>
      <c r="Q11092" t="s">
        <v>11497</v>
      </c>
      <c r="R11092" t="s">
        <v>614</v>
      </c>
      <c r="S11092">
        <v>150.89433099999999</v>
      </c>
      <c r="T11092" s="1095">
        <v>-23.074563000000001</v>
      </c>
    </row>
    <row r="11093" spans="16:20">
      <c r="P11093" s="1094">
        <v>4703</v>
      </c>
      <c r="Q11093" t="s">
        <v>11498</v>
      </c>
      <c r="R11093" t="s">
        <v>614</v>
      </c>
      <c r="S11093">
        <v>150.89433099999999</v>
      </c>
      <c r="T11093" s="1095">
        <v>-23.074563000000001</v>
      </c>
    </row>
    <row r="11094" spans="16:20">
      <c r="P11094" s="1094">
        <v>4703</v>
      </c>
      <c r="Q11094" t="s">
        <v>11499</v>
      </c>
      <c r="R11094" t="s">
        <v>614</v>
      </c>
      <c r="S11094">
        <v>150.89433099999999</v>
      </c>
      <c r="T11094" s="1095">
        <v>-23.074563000000001</v>
      </c>
    </row>
    <row r="11095" spans="16:20">
      <c r="P11095" s="1094">
        <v>4703</v>
      </c>
      <c r="Q11095" t="s">
        <v>11500</v>
      </c>
      <c r="R11095" t="s">
        <v>614</v>
      </c>
      <c r="S11095">
        <v>150.89433099999999</v>
      </c>
      <c r="T11095" s="1095">
        <v>-23.074563000000001</v>
      </c>
    </row>
    <row r="11096" spans="16:20">
      <c r="P11096" s="1094">
        <v>4703</v>
      </c>
      <c r="Q11096" t="s">
        <v>5935</v>
      </c>
      <c r="R11096" t="s">
        <v>614</v>
      </c>
      <c r="S11096">
        <v>150.89433099999999</v>
      </c>
      <c r="T11096" s="1095">
        <v>-23.074563000000001</v>
      </c>
    </row>
    <row r="11097" spans="16:20">
      <c r="P11097" s="1094">
        <v>4703</v>
      </c>
      <c r="Q11097" t="s">
        <v>11501</v>
      </c>
      <c r="R11097" t="s">
        <v>614</v>
      </c>
      <c r="S11097">
        <v>150.89433099999999</v>
      </c>
      <c r="T11097" s="1095">
        <v>-23.074563000000001</v>
      </c>
    </row>
    <row r="11098" spans="16:20">
      <c r="P11098" s="1094">
        <v>4703</v>
      </c>
      <c r="Q11098" t="s">
        <v>11502</v>
      </c>
      <c r="R11098" t="s">
        <v>614</v>
      </c>
      <c r="S11098">
        <v>150.89433099999999</v>
      </c>
      <c r="T11098" s="1095">
        <v>-23.074563000000001</v>
      </c>
    </row>
    <row r="11099" spans="16:20">
      <c r="P11099" s="1094">
        <v>4703</v>
      </c>
      <c r="Q11099" t="s">
        <v>11503</v>
      </c>
      <c r="R11099" t="s">
        <v>614</v>
      </c>
      <c r="S11099">
        <v>150.89433099999999</v>
      </c>
      <c r="T11099" s="1095">
        <v>-23.074563000000001</v>
      </c>
    </row>
    <row r="11100" spans="16:20">
      <c r="P11100" s="1094">
        <v>4703</v>
      </c>
      <c r="Q11100" t="s">
        <v>11504</v>
      </c>
      <c r="R11100" t="s">
        <v>614</v>
      </c>
      <c r="S11100">
        <v>150.89433099999999</v>
      </c>
      <c r="T11100" s="1095">
        <v>-23.074563000000001</v>
      </c>
    </row>
    <row r="11101" spans="16:20">
      <c r="P11101" s="1094">
        <v>4703</v>
      </c>
      <c r="Q11101" t="s">
        <v>11505</v>
      </c>
      <c r="R11101" t="s">
        <v>614</v>
      </c>
      <c r="S11101">
        <v>150.89433099999999</v>
      </c>
      <c r="T11101" s="1095">
        <v>-23.074563000000001</v>
      </c>
    </row>
    <row r="11102" spans="16:20">
      <c r="P11102" s="1094">
        <v>4703</v>
      </c>
      <c r="Q11102" t="s">
        <v>11506</v>
      </c>
      <c r="R11102" t="s">
        <v>614</v>
      </c>
      <c r="S11102">
        <v>150.89433099999999</v>
      </c>
      <c r="T11102" s="1095">
        <v>-23.074563000000001</v>
      </c>
    </row>
    <row r="11103" spans="16:20">
      <c r="P11103" s="1094">
        <v>4703</v>
      </c>
      <c r="Q11103" t="s">
        <v>10140</v>
      </c>
      <c r="R11103" t="s">
        <v>614</v>
      </c>
      <c r="S11103">
        <v>150.89433099999999</v>
      </c>
      <c r="T11103" s="1095">
        <v>-23.074563000000001</v>
      </c>
    </row>
    <row r="11104" spans="16:20">
      <c r="P11104" s="1094">
        <v>4703</v>
      </c>
      <c r="Q11104" t="s">
        <v>11507</v>
      </c>
      <c r="R11104" t="s">
        <v>614</v>
      </c>
      <c r="S11104">
        <v>150.89433099999999</v>
      </c>
      <c r="T11104" s="1095">
        <v>-23.074563000000001</v>
      </c>
    </row>
    <row r="11105" spans="16:20">
      <c r="P11105" s="1094">
        <v>4703</v>
      </c>
      <c r="Q11105" t="s">
        <v>11508</v>
      </c>
      <c r="R11105" t="s">
        <v>614</v>
      </c>
      <c r="S11105">
        <v>150.89433099999999</v>
      </c>
      <c r="T11105" s="1095">
        <v>-23.074563000000001</v>
      </c>
    </row>
    <row r="11106" spans="16:20">
      <c r="P11106" s="1094">
        <v>4703</v>
      </c>
      <c r="Q11106" t="s">
        <v>11509</v>
      </c>
      <c r="R11106" t="s">
        <v>614</v>
      </c>
      <c r="S11106">
        <v>150.89433099999999</v>
      </c>
      <c r="T11106" s="1095">
        <v>-23.074563000000001</v>
      </c>
    </row>
    <row r="11107" spans="16:20">
      <c r="P11107" s="1094">
        <v>4703</v>
      </c>
      <c r="Q11107" t="s">
        <v>11510</v>
      </c>
      <c r="R11107" t="s">
        <v>614</v>
      </c>
      <c r="S11107">
        <v>150.89433099999999</v>
      </c>
      <c r="T11107" s="1095">
        <v>-23.074563000000001</v>
      </c>
    </row>
    <row r="11108" spans="16:20">
      <c r="P11108" s="1094">
        <v>4703</v>
      </c>
      <c r="Q11108" t="s">
        <v>11511</v>
      </c>
      <c r="R11108" t="s">
        <v>614</v>
      </c>
      <c r="S11108">
        <v>150.89433099999999</v>
      </c>
      <c r="T11108" s="1095">
        <v>-23.074563000000001</v>
      </c>
    </row>
    <row r="11109" spans="16:20">
      <c r="P11109" s="1094">
        <v>4703</v>
      </c>
      <c r="Q11109" t="s">
        <v>11512</v>
      </c>
      <c r="R11109" t="s">
        <v>614</v>
      </c>
      <c r="S11109">
        <v>150.89433099999999</v>
      </c>
      <c r="T11109" s="1095">
        <v>-23.074563000000001</v>
      </c>
    </row>
    <row r="11110" spans="16:20">
      <c r="P11110" s="1094">
        <v>4704</v>
      </c>
      <c r="Q11110" t="s">
        <v>11513</v>
      </c>
      <c r="R11110" t="s">
        <v>614</v>
      </c>
      <c r="S11110">
        <v>150.38116400000001</v>
      </c>
      <c r="T11110" s="1095">
        <v>-23.135743999999999</v>
      </c>
    </row>
    <row r="11111" spans="16:20">
      <c r="P11111" s="1094">
        <v>4704</v>
      </c>
      <c r="Q11111" t="s">
        <v>11514</v>
      </c>
      <c r="R11111" t="s">
        <v>614</v>
      </c>
      <c r="S11111">
        <v>150.38116400000001</v>
      </c>
      <c r="T11111" s="1095">
        <v>-23.135743999999999</v>
      </c>
    </row>
    <row r="11112" spans="16:20">
      <c r="P11112" s="1094">
        <v>4705</v>
      </c>
      <c r="Q11112" t="s">
        <v>11515</v>
      </c>
      <c r="R11112" t="s">
        <v>614</v>
      </c>
      <c r="S11112">
        <v>149.71921499999999</v>
      </c>
      <c r="T11112" s="1095">
        <v>-22.771750999999998</v>
      </c>
    </row>
    <row r="11113" spans="16:20">
      <c r="P11113" s="1094">
        <v>4705</v>
      </c>
      <c r="Q11113" t="s">
        <v>11516</v>
      </c>
      <c r="R11113" t="s">
        <v>614</v>
      </c>
      <c r="S11113">
        <v>149.71921499999999</v>
      </c>
      <c r="T11113" s="1095">
        <v>-22.771750999999998</v>
      </c>
    </row>
    <row r="11114" spans="16:20">
      <c r="P11114" s="1094">
        <v>4705</v>
      </c>
      <c r="Q11114" t="s">
        <v>11517</v>
      </c>
      <c r="R11114" t="s">
        <v>614</v>
      </c>
      <c r="S11114">
        <v>149.71921499999999</v>
      </c>
      <c r="T11114" s="1095">
        <v>-22.771750999999998</v>
      </c>
    </row>
    <row r="11115" spans="16:20">
      <c r="P11115" s="1094">
        <v>4705</v>
      </c>
      <c r="Q11115" t="s">
        <v>11518</v>
      </c>
      <c r="R11115" t="s">
        <v>614</v>
      </c>
      <c r="S11115">
        <v>149.71921499999999</v>
      </c>
      <c r="T11115" s="1095">
        <v>-22.771750999999998</v>
      </c>
    </row>
    <row r="11116" spans="16:20">
      <c r="P11116" s="1094">
        <v>4705</v>
      </c>
      <c r="Q11116" t="s">
        <v>11519</v>
      </c>
      <c r="R11116" t="s">
        <v>614</v>
      </c>
      <c r="S11116">
        <v>149.71921499999999</v>
      </c>
      <c r="T11116" s="1095">
        <v>-22.771750999999998</v>
      </c>
    </row>
    <row r="11117" spans="16:20">
      <c r="P11117" s="1094">
        <v>4706</v>
      </c>
      <c r="Q11117" t="s">
        <v>11520</v>
      </c>
      <c r="R11117" t="s">
        <v>614</v>
      </c>
      <c r="S11117">
        <v>149.67538200000001</v>
      </c>
      <c r="T11117" s="1095">
        <v>-22.580866</v>
      </c>
    </row>
    <row r="11118" spans="16:20">
      <c r="P11118" s="1094">
        <v>4707</v>
      </c>
      <c r="Q11118" t="s">
        <v>1915</v>
      </c>
      <c r="R11118" t="s">
        <v>614</v>
      </c>
      <c r="S11118">
        <v>149.23551399999999</v>
      </c>
      <c r="T11118" s="1095">
        <v>-22.515013</v>
      </c>
    </row>
    <row r="11119" spans="16:20">
      <c r="P11119" s="1094">
        <v>4707</v>
      </c>
      <c r="Q11119" t="s">
        <v>11521</v>
      </c>
      <c r="R11119" t="s">
        <v>614</v>
      </c>
      <c r="S11119">
        <v>149.23551399999999</v>
      </c>
      <c r="T11119" s="1095">
        <v>-22.515013</v>
      </c>
    </row>
    <row r="11120" spans="16:20">
      <c r="P11120" s="1094">
        <v>4707</v>
      </c>
      <c r="Q11120" t="s">
        <v>11522</v>
      </c>
      <c r="R11120" t="s">
        <v>614</v>
      </c>
      <c r="S11120">
        <v>149.23551399999999</v>
      </c>
      <c r="T11120" s="1095">
        <v>-22.515013</v>
      </c>
    </row>
    <row r="11121" spans="16:20">
      <c r="P11121" s="1094">
        <v>4709</v>
      </c>
      <c r="Q11121" t="s">
        <v>11523</v>
      </c>
      <c r="R11121" t="s">
        <v>614</v>
      </c>
      <c r="S11121">
        <v>148.42916099999999</v>
      </c>
      <c r="T11121" s="1095">
        <v>-23.059653000000001</v>
      </c>
    </row>
    <row r="11122" spans="16:20">
      <c r="P11122" s="1094">
        <v>4710</v>
      </c>
      <c r="Q11122" t="s">
        <v>11524</v>
      </c>
      <c r="R11122" t="s">
        <v>614</v>
      </c>
      <c r="S11122">
        <v>0</v>
      </c>
      <c r="T11122" s="1095">
        <v>0</v>
      </c>
    </row>
    <row r="11123" spans="16:20">
      <c r="P11123" s="1094">
        <v>4710</v>
      </c>
      <c r="Q11123" t="s">
        <v>11525</v>
      </c>
      <c r="R11123" t="s">
        <v>614</v>
      </c>
      <c r="S11123">
        <v>0</v>
      </c>
      <c r="T11123" s="1095">
        <v>0</v>
      </c>
    </row>
    <row r="11124" spans="16:20">
      <c r="P11124" s="1094">
        <v>4711</v>
      </c>
      <c r="Q11124" t="s">
        <v>2477</v>
      </c>
      <c r="R11124" t="s">
        <v>614</v>
      </c>
      <c r="S11124">
        <v>0</v>
      </c>
      <c r="T11124" s="1095">
        <v>0</v>
      </c>
    </row>
    <row r="11125" spans="16:20">
      <c r="P11125" s="1094">
        <v>4711</v>
      </c>
      <c r="Q11125" t="s">
        <v>7555</v>
      </c>
      <c r="R11125" t="s">
        <v>614</v>
      </c>
      <c r="S11125">
        <v>0</v>
      </c>
      <c r="T11125" s="1095">
        <v>0</v>
      </c>
    </row>
    <row r="11126" spans="16:20">
      <c r="P11126" s="1094">
        <v>4712</v>
      </c>
      <c r="Q11126" t="s">
        <v>11526</v>
      </c>
      <c r="R11126" t="s">
        <v>614</v>
      </c>
      <c r="S11126">
        <v>0</v>
      </c>
      <c r="T11126" s="1095">
        <v>0</v>
      </c>
    </row>
    <row r="11127" spans="16:20">
      <c r="P11127" s="1094">
        <v>4713</v>
      </c>
      <c r="Q11127" t="s">
        <v>11527</v>
      </c>
      <c r="R11127" t="s">
        <v>614</v>
      </c>
      <c r="S11127">
        <v>0</v>
      </c>
      <c r="T11127" s="1095">
        <v>0</v>
      </c>
    </row>
    <row r="11128" spans="16:20">
      <c r="P11128" s="1094">
        <v>4714</v>
      </c>
      <c r="Q11128" t="s">
        <v>11528</v>
      </c>
      <c r="R11128" t="s">
        <v>614</v>
      </c>
      <c r="S11128">
        <v>150.39490599999999</v>
      </c>
      <c r="T11128" s="1095">
        <v>-23.662680000000002</v>
      </c>
    </row>
    <row r="11129" spans="16:20">
      <c r="P11129" s="1094">
        <v>4714</v>
      </c>
      <c r="Q11129" t="s">
        <v>11529</v>
      </c>
      <c r="R11129" t="s">
        <v>614</v>
      </c>
      <c r="S11129">
        <v>150.39490599999999</v>
      </c>
      <c r="T11129" s="1095">
        <v>-23.662680000000002</v>
      </c>
    </row>
    <row r="11130" spans="16:20">
      <c r="P11130" s="1094">
        <v>4714</v>
      </c>
      <c r="Q11130" t="s">
        <v>11530</v>
      </c>
      <c r="R11130" t="s">
        <v>614</v>
      </c>
      <c r="S11130">
        <v>150.39490599999999</v>
      </c>
      <c r="T11130" s="1095">
        <v>-23.662680000000002</v>
      </c>
    </row>
    <row r="11131" spans="16:20">
      <c r="P11131" s="1094">
        <v>4714</v>
      </c>
      <c r="Q11131" t="s">
        <v>11531</v>
      </c>
      <c r="R11131" t="s">
        <v>614</v>
      </c>
      <c r="S11131">
        <v>150.39490599999999</v>
      </c>
      <c r="T11131" s="1095">
        <v>-23.662680000000002</v>
      </c>
    </row>
    <row r="11132" spans="16:20">
      <c r="P11132" s="1094">
        <v>4714</v>
      </c>
      <c r="Q11132" t="s">
        <v>11532</v>
      </c>
      <c r="R11132" t="s">
        <v>614</v>
      </c>
      <c r="S11132">
        <v>150.39490599999999</v>
      </c>
      <c r="T11132" s="1095">
        <v>-23.662680000000002</v>
      </c>
    </row>
    <row r="11133" spans="16:20">
      <c r="P11133" s="1094">
        <v>4714</v>
      </c>
      <c r="Q11133" t="s">
        <v>11533</v>
      </c>
      <c r="R11133" t="s">
        <v>614</v>
      </c>
      <c r="S11133">
        <v>150.39490599999999</v>
      </c>
      <c r="T11133" s="1095">
        <v>-23.662680000000002</v>
      </c>
    </row>
    <row r="11134" spans="16:20">
      <c r="P11134" s="1094">
        <v>4714</v>
      </c>
      <c r="Q11134" t="s">
        <v>11534</v>
      </c>
      <c r="R11134" t="s">
        <v>614</v>
      </c>
      <c r="S11134">
        <v>150.39490599999999</v>
      </c>
      <c r="T11134" s="1095">
        <v>-23.662680000000002</v>
      </c>
    </row>
    <row r="11135" spans="16:20">
      <c r="P11135" s="1094">
        <v>4714</v>
      </c>
      <c r="Q11135" t="s">
        <v>3046</v>
      </c>
      <c r="R11135" t="s">
        <v>614</v>
      </c>
      <c r="S11135">
        <v>150.39490599999999</v>
      </c>
      <c r="T11135" s="1095">
        <v>-23.662680000000002</v>
      </c>
    </row>
    <row r="11136" spans="16:20">
      <c r="P11136" s="1094">
        <v>4714</v>
      </c>
      <c r="Q11136" t="s">
        <v>11535</v>
      </c>
      <c r="R11136" t="s">
        <v>614</v>
      </c>
      <c r="S11136">
        <v>150.39490599999999</v>
      </c>
      <c r="T11136" s="1095">
        <v>-23.662680000000002</v>
      </c>
    </row>
    <row r="11137" spans="16:20">
      <c r="P11137" s="1094">
        <v>4714</v>
      </c>
      <c r="Q11137" t="s">
        <v>11536</v>
      </c>
      <c r="R11137" t="s">
        <v>614</v>
      </c>
      <c r="S11137">
        <v>150.39490599999999</v>
      </c>
      <c r="T11137" s="1095">
        <v>-23.662680000000002</v>
      </c>
    </row>
    <row r="11138" spans="16:20">
      <c r="P11138" s="1094">
        <v>4714</v>
      </c>
      <c r="Q11138" t="s">
        <v>11537</v>
      </c>
      <c r="R11138" t="s">
        <v>614</v>
      </c>
      <c r="S11138">
        <v>150.39490599999999</v>
      </c>
      <c r="T11138" s="1095">
        <v>-23.662680000000002</v>
      </c>
    </row>
    <row r="11139" spans="16:20">
      <c r="P11139" s="1094">
        <v>4714</v>
      </c>
      <c r="Q11139" t="s">
        <v>11538</v>
      </c>
      <c r="R11139" t="s">
        <v>614</v>
      </c>
      <c r="S11139">
        <v>150.39490599999999</v>
      </c>
      <c r="T11139" s="1095">
        <v>-23.662680000000002</v>
      </c>
    </row>
    <row r="11140" spans="16:20">
      <c r="P11140" s="1094">
        <v>4714</v>
      </c>
      <c r="Q11140" t="s">
        <v>11539</v>
      </c>
      <c r="R11140" t="s">
        <v>614</v>
      </c>
      <c r="S11140">
        <v>150.39490599999999</v>
      </c>
      <c r="T11140" s="1095">
        <v>-23.662680000000002</v>
      </c>
    </row>
    <row r="11141" spans="16:20">
      <c r="P11141" s="1094">
        <v>4714</v>
      </c>
      <c r="Q11141" t="s">
        <v>11540</v>
      </c>
      <c r="R11141" t="s">
        <v>614</v>
      </c>
      <c r="S11141">
        <v>150.39490599999999</v>
      </c>
      <c r="T11141" s="1095">
        <v>-23.662680000000002</v>
      </c>
    </row>
    <row r="11142" spans="16:20">
      <c r="P11142" s="1094">
        <v>4714</v>
      </c>
      <c r="Q11142" t="s">
        <v>11541</v>
      </c>
      <c r="R11142" t="s">
        <v>614</v>
      </c>
      <c r="S11142">
        <v>150.39490599999999</v>
      </c>
      <c r="T11142" s="1095">
        <v>-23.662680000000002</v>
      </c>
    </row>
    <row r="11143" spans="16:20">
      <c r="P11143" s="1094">
        <v>4714</v>
      </c>
      <c r="Q11143" t="s">
        <v>11542</v>
      </c>
      <c r="R11143" t="s">
        <v>614</v>
      </c>
      <c r="S11143">
        <v>150.39490599999999</v>
      </c>
      <c r="T11143" s="1095">
        <v>-23.662680000000002</v>
      </c>
    </row>
    <row r="11144" spans="16:20">
      <c r="P11144" s="1094">
        <v>4714</v>
      </c>
      <c r="Q11144" t="s">
        <v>11543</v>
      </c>
      <c r="R11144" t="s">
        <v>614</v>
      </c>
      <c r="S11144">
        <v>150.39490599999999</v>
      </c>
      <c r="T11144" s="1095">
        <v>-23.662680000000002</v>
      </c>
    </row>
    <row r="11145" spans="16:20">
      <c r="P11145" s="1094">
        <v>4714</v>
      </c>
      <c r="Q11145" t="s">
        <v>11544</v>
      </c>
      <c r="R11145" t="s">
        <v>614</v>
      </c>
      <c r="S11145">
        <v>150.39490599999999</v>
      </c>
      <c r="T11145" s="1095">
        <v>-23.662680000000002</v>
      </c>
    </row>
    <row r="11146" spans="16:20">
      <c r="P11146" s="1094">
        <v>4715</v>
      </c>
      <c r="Q11146" t="s">
        <v>11545</v>
      </c>
      <c r="R11146" t="s">
        <v>614</v>
      </c>
      <c r="S11146">
        <v>150.45869400000001</v>
      </c>
      <c r="T11146" s="1095">
        <v>-24.393618</v>
      </c>
    </row>
    <row r="11147" spans="16:20">
      <c r="P11147" s="1094">
        <v>4715</v>
      </c>
      <c r="Q11147" t="s">
        <v>11546</v>
      </c>
      <c r="R11147" t="s">
        <v>614</v>
      </c>
      <c r="S11147">
        <v>150.45869400000001</v>
      </c>
      <c r="T11147" s="1095">
        <v>-24.393618</v>
      </c>
    </row>
    <row r="11148" spans="16:20">
      <c r="P11148" s="1094">
        <v>4715</v>
      </c>
      <c r="Q11148" t="s">
        <v>8466</v>
      </c>
      <c r="R11148" t="s">
        <v>614</v>
      </c>
      <c r="S11148">
        <v>150.45869400000001</v>
      </c>
      <c r="T11148" s="1095">
        <v>-24.393618</v>
      </c>
    </row>
    <row r="11149" spans="16:20">
      <c r="P11149" s="1094">
        <v>4715</v>
      </c>
      <c r="Q11149" t="s">
        <v>11547</v>
      </c>
      <c r="R11149" t="s">
        <v>614</v>
      </c>
      <c r="S11149">
        <v>150.45869400000001</v>
      </c>
      <c r="T11149" s="1095">
        <v>-24.393618</v>
      </c>
    </row>
    <row r="11150" spans="16:20">
      <c r="P11150" s="1094">
        <v>4715</v>
      </c>
      <c r="Q11150" t="s">
        <v>11548</v>
      </c>
      <c r="R11150" t="s">
        <v>614</v>
      </c>
      <c r="S11150">
        <v>150.45869400000001</v>
      </c>
      <c r="T11150" s="1095">
        <v>-24.393618</v>
      </c>
    </row>
    <row r="11151" spans="16:20">
      <c r="P11151" s="1094">
        <v>4715</v>
      </c>
      <c r="Q11151" t="s">
        <v>11549</v>
      </c>
      <c r="R11151" t="s">
        <v>614</v>
      </c>
      <c r="S11151">
        <v>150.45869400000001</v>
      </c>
      <c r="T11151" s="1095">
        <v>-24.393618</v>
      </c>
    </row>
    <row r="11152" spans="16:20">
      <c r="P11152" s="1094">
        <v>4715</v>
      </c>
      <c r="Q11152" t="s">
        <v>11550</v>
      </c>
      <c r="R11152" t="s">
        <v>614</v>
      </c>
      <c r="S11152">
        <v>150.45869400000001</v>
      </c>
      <c r="T11152" s="1095">
        <v>-24.393618</v>
      </c>
    </row>
    <row r="11153" spans="16:20">
      <c r="P11153" s="1094">
        <v>4715</v>
      </c>
      <c r="Q11153" t="s">
        <v>11551</v>
      </c>
      <c r="R11153" t="s">
        <v>614</v>
      </c>
      <c r="S11153">
        <v>150.45869400000001</v>
      </c>
      <c r="T11153" s="1095">
        <v>-24.393618</v>
      </c>
    </row>
    <row r="11154" spans="16:20">
      <c r="P11154" s="1094">
        <v>4715</v>
      </c>
      <c r="Q11154" t="s">
        <v>2056</v>
      </c>
      <c r="R11154" t="s">
        <v>614</v>
      </c>
      <c r="S11154">
        <v>150.45869400000001</v>
      </c>
      <c r="T11154" s="1095">
        <v>-24.393618</v>
      </c>
    </row>
    <row r="11155" spans="16:20">
      <c r="P11155" s="1094">
        <v>4715</v>
      </c>
      <c r="Q11155" t="s">
        <v>11552</v>
      </c>
      <c r="R11155" t="s">
        <v>614</v>
      </c>
      <c r="S11155">
        <v>150.45869400000001</v>
      </c>
      <c r="T11155" s="1095">
        <v>-24.393618</v>
      </c>
    </row>
    <row r="11156" spans="16:20">
      <c r="P11156" s="1094">
        <v>4715</v>
      </c>
      <c r="Q11156" t="s">
        <v>11553</v>
      </c>
      <c r="R11156" t="s">
        <v>614</v>
      </c>
      <c r="S11156">
        <v>150.45869400000001</v>
      </c>
      <c r="T11156" s="1095">
        <v>-24.393618</v>
      </c>
    </row>
    <row r="11157" spans="16:20">
      <c r="P11157" s="1094">
        <v>4716</v>
      </c>
      <c r="Q11157" t="s">
        <v>11554</v>
      </c>
      <c r="R11157" t="s">
        <v>614</v>
      </c>
      <c r="S11157">
        <v>150.806049</v>
      </c>
      <c r="T11157" s="1095">
        <v>-24.483471999999999</v>
      </c>
    </row>
    <row r="11158" spans="16:20">
      <c r="P11158" s="1094">
        <v>4716</v>
      </c>
      <c r="Q11158" t="s">
        <v>11555</v>
      </c>
      <c r="R11158" t="s">
        <v>614</v>
      </c>
      <c r="S11158">
        <v>150.806049</v>
      </c>
      <c r="T11158" s="1095">
        <v>-24.483471999999999</v>
      </c>
    </row>
    <row r="11159" spans="16:20">
      <c r="P11159" s="1094">
        <v>4717</v>
      </c>
      <c r="Q11159" t="s">
        <v>11556</v>
      </c>
      <c r="R11159" t="s">
        <v>614</v>
      </c>
      <c r="S11159">
        <v>148.891333</v>
      </c>
      <c r="T11159" s="1095">
        <v>-23.632815999999998</v>
      </c>
    </row>
    <row r="11160" spans="16:20">
      <c r="P11160" s="1094">
        <v>4718</v>
      </c>
      <c r="Q11160" t="s">
        <v>11557</v>
      </c>
      <c r="R11160" t="s">
        <v>614</v>
      </c>
      <c r="S11160">
        <v>149.615027</v>
      </c>
      <c r="T11160" s="1095">
        <v>-24.675045000000001</v>
      </c>
    </row>
    <row r="11161" spans="16:20">
      <c r="P11161" s="1094">
        <v>4718</v>
      </c>
      <c r="Q11161" t="s">
        <v>11558</v>
      </c>
      <c r="R11161" t="s">
        <v>614</v>
      </c>
      <c r="S11161">
        <v>149.615027</v>
      </c>
      <c r="T11161" s="1095">
        <v>-24.675045000000001</v>
      </c>
    </row>
    <row r="11162" spans="16:20">
      <c r="P11162" s="1094">
        <v>4718</v>
      </c>
      <c r="Q11162" t="s">
        <v>4421</v>
      </c>
      <c r="R11162" t="s">
        <v>614</v>
      </c>
      <c r="S11162">
        <v>149.615027</v>
      </c>
      <c r="T11162" s="1095">
        <v>-24.675045000000001</v>
      </c>
    </row>
    <row r="11163" spans="16:20">
      <c r="P11163" s="1094">
        <v>4718</v>
      </c>
      <c r="Q11163" t="s">
        <v>11559</v>
      </c>
      <c r="R11163" t="s">
        <v>614</v>
      </c>
      <c r="S11163">
        <v>149.615027</v>
      </c>
      <c r="T11163" s="1095">
        <v>-24.675045000000001</v>
      </c>
    </row>
    <row r="11164" spans="16:20">
      <c r="P11164" s="1094">
        <v>4718</v>
      </c>
      <c r="Q11164" t="s">
        <v>11560</v>
      </c>
      <c r="R11164" t="s">
        <v>614</v>
      </c>
      <c r="S11164">
        <v>149.615027</v>
      </c>
      <c r="T11164" s="1095">
        <v>-24.675045000000001</v>
      </c>
    </row>
    <row r="11165" spans="16:20">
      <c r="P11165" s="1094">
        <v>4718</v>
      </c>
      <c r="Q11165" t="s">
        <v>11561</v>
      </c>
      <c r="R11165" t="s">
        <v>614</v>
      </c>
      <c r="S11165">
        <v>149.615027</v>
      </c>
      <c r="T11165" s="1095">
        <v>-24.675045000000001</v>
      </c>
    </row>
    <row r="11166" spans="16:20">
      <c r="P11166" s="1094">
        <v>4718</v>
      </c>
      <c r="Q11166" t="s">
        <v>11562</v>
      </c>
      <c r="R11166" t="s">
        <v>614</v>
      </c>
      <c r="S11166">
        <v>149.615027</v>
      </c>
      <c r="T11166" s="1095">
        <v>-24.675045000000001</v>
      </c>
    </row>
    <row r="11167" spans="16:20">
      <c r="P11167" s="1094">
        <v>4718</v>
      </c>
      <c r="Q11167" t="s">
        <v>11563</v>
      </c>
      <c r="R11167" t="s">
        <v>614</v>
      </c>
      <c r="S11167">
        <v>149.615027</v>
      </c>
      <c r="T11167" s="1095">
        <v>-24.675045000000001</v>
      </c>
    </row>
    <row r="11168" spans="16:20">
      <c r="P11168" s="1094">
        <v>4718</v>
      </c>
      <c r="Q11168" t="s">
        <v>11564</v>
      </c>
      <c r="R11168" t="s">
        <v>614</v>
      </c>
      <c r="S11168">
        <v>149.615027</v>
      </c>
      <c r="T11168" s="1095">
        <v>-24.675045000000001</v>
      </c>
    </row>
    <row r="11169" spans="16:20">
      <c r="P11169" s="1094">
        <v>4719</v>
      </c>
      <c r="Q11169" t="s">
        <v>6107</v>
      </c>
      <c r="R11169" t="s">
        <v>614</v>
      </c>
      <c r="S11169">
        <v>150.213774</v>
      </c>
      <c r="T11169" s="1095">
        <v>-24.999569000000001</v>
      </c>
    </row>
    <row r="11170" spans="16:20">
      <c r="P11170" s="1094">
        <v>4719</v>
      </c>
      <c r="Q11170" t="s">
        <v>11565</v>
      </c>
      <c r="R11170" t="s">
        <v>614</v>
      </c>
      <c r="S11170">
        <v>150.213774</v>
      </c>
      <c r="T11170" s="1095">
        <v>-24.999569000000001</v>
      </c>
    </row>
    <row r="11171" spans="16:20">
      <c r="P11171" s="1094">
        <v>4719</v>
      </c>
      <c r="Q11171" t="s">
        <v>11566</v>
      </c>
      <c r="R11171" t="s">
        <v>614</v>
      </c>
      <c r="S11171">
        <v>150.213774</v>
      </c>
      <c r="T11171" s="1095">
        <v>-24.999569000000001</v>
      </c>
    </row>
    <row r="11172" spans="16:20">
      <c r="P11172" s="1094">
        <v>4719</v>
      </c>
      <c r="Q11172" t="s">
        <v>11567</v>
      </c>
      <c r="R11172" t="s">
        <v>614</v>
      </c>
      <c r="S11172">
        <v>150.213774</v>
      </c>
      <c r="T11172" s="1095">
        <v>-24.999569000000001</v>
      </c>
    </row>
    <row r="11173" spans="16:20">
      <c r="P11173" s="1094">
        <v>4719</v>
      </c>
      <c r="Q11173" t="s">
        <v>11568</v>
      </c>
      <c r="R11173" t="s">
        <v>614</v>
      </c>
      <c r="S11173">
        <v>150.213774</v>
      </c>
      <c r="T11173" s="1095">
        <v>-24.999569000000001</v>
      </c>
    </row>
    <row r="11174" spans="16:20">
      <c r="P11174" s="1094">
        <v>4719</v>
      </c>
      <c r="Q11174" t="s">
        <v>6343</v>
      </c>
      <c r="R11174" t="s">
        <v>614</v>
      </c>
      <c r="S11174">
        <v>150.213774</v>
      </c>
      <c r="T11174" s="1095">
        <v>-24.999569000000001</v>
      </c>
    </row>
    <row r="11175" spans="16:20">
      <c r="P11175" s="1094">
        <v>4720</v>
      </c>
      <c r="Q11175" t="s">
        <v>8704</v>
      </c>
      <c r="R11175" t="s">
        <v>614</v>
      </c>
      <c r="S11175">
        <v>148.18785099999999</v>
      </c>
      <c r="T11175" s="1095">
        <v>-23.684920000000002</v>
      </c>
    </row>
    <row r="11176" spans="16:20">
      <c r="P11176" s="1094">
        <v>4720</v>
      </c>
      <c r="Q11176" t="s">
        <v>11569</v>
      </c>
      <c r="R11176" t="s">
        <v>614</v>
      </c>
      <c r="S11176">
        <v>148.18785099999999</v>
      </c>
      <c r="T11176" s="1095">
        <v>-23.684920000000002</v>
      </c>
    </row>
    <row r="11177" spans="16:20">
      <c r="P11177" s="1094">
        <v>4721</v>
      </c>
      <c r="Q11177" t="s">
        <v>11570</v>
      </c>
      <c r="R11177" t="s">
        <v>614</v>
      </c>
      <c r="S11177">
        <v>147.17430999999999</v>
      </c>
      <c r="T11177" s="1095">
        <v>-22.449259000000001</v>
      </c>
    </row>
    <row r="11178" spans="16:20">
      <c r="P11178" s="1094">
        <v>4721</v>
      </c>
      <c r="Q11178" t="s">
        <v>11571</v>
      </c>
      <c r="R11178" t="s">
        <v>614</v>
      </c>
      <c r="S11178">
        <v>147.17430999999999</v>
      </c>
      <c r="T11178" s="1095">
        <v>-22.449259000000001</v>
      </c>
    </row>
    <row r="11179" spans="16:20">
      <c r="P11179" s="1094">
        <v>4721</v>
      </c>
      <c r="Q11179" t="s">
        <v>11572</v>
      </c>
      <c r="R11179" t="s">
        <v>614</v>
      </c>
      <c r="S11179">
        <v>147.17430999999999</v>
      </c>
      <c r="T11179" s="1095">
        <v>-22.449259000000001</v>
      </c>
    </row>
    <row r="11180" spans="16:20">
      <c r="P11180" s="1094">
        <v>4722</v>
      </c>
      <c r="Q11180" t="s">
        <v>11573</v>
      </c>
      <c r="R11180" t="s">
        <v>614</v>
      </c>
      <c r="S11180">
        <v>147.71080599999999</v>
      </c>
      <c r="T11180" s="1095">
        <v>-24.367525000000001</v>
      </c>
    </row>
    <row r="11181" spans="16:20">
      <c r="P11181" s="1094">
        <v>4723</v>
      </c>
      <c r="Q11181" t="s">
        <v>11574</v>
      </c>
      <c r="R11181" t="s">
        <v>614</v>
      </c>
      <c r="S11181">
        <v>0</v>
      </c>
      <c r="T11181" s="1095">
        <v>0</v>
      </c>
    </row>
    <row r="11182" spans="16:20">
      <c r="P11182" s="1094">
        <v>4724</v>
      </c>
      <c r="Q11182" t="s">
        <v>11575</v>
      </c>
      <c r="R11182" t="s">
        <v>614</v>
      </c>
      <c r="S11182">
        <v>146.840497</v>
      </c>
      <c r="T11182" s="1095">
        <v>-23.642723</v>
      </c>
    </row>
    <row r="11183" spans="16:20">
      <c r="P11183" s="1094">
        <v>4725</v>
      </c>
      <c r="Q11183" t="s">
        <v>11576</v>
      </c>
      <c r="R11183" t="s">
        <v>614</v>
      </c>
      <c r="S11183">
        <v>145.36353299999999</v>
      </c>
      <c r="T11183" s="1095">
        <v>-23.610575000000001</v>
      </c>
    </row>
    <row r="11184" spans="16:20">
      <c r="P11184" s="1094">
        <v>4725</v>
      </c>
      <c r="Q11184" t="s">
        <v>11577</v>
      </c>
      <c r="R11184" t="s">
        <v>614</v>
      </c>
      <c r="S11184">
        <v>145.36353299999999</v>
      </c>
      <c r="T11184" s="1095">
        <v>-23.610575000000001</v>
      </c>
    </row>
    <row r="11185" spans="16:20">
      <c r="P11185" s="1094">
        <v>4726</v>
      </c>
      <c r="Q11185" t="s">
        <v>11578</v>
      </c>
      <c r="R11185" t="s">
        <v>614</v>
      </c>
      <c r="S11185">
        <v>145.486391</v>
      </c>
      <c r="T11185" s="1095">
        <v>-22.536443999999999</v>
      </c>
    </row>
    <row r="11186" spans="16:20">
      <c r="P11186" s="1094">
        <v>4727</v>
      </c>
      <c r="Q11186" t="s">
        <v>11579</v>
      </c>
      <c r="R11186" t="s">
        <v>614</v>
      </c>
      <c r="S11186">
        <v>144.61697699999999</v>
      </c>
      <c r="T11186" s="1095">
        <v>-23.515643000000001</v>
      </c>
    </row>
    <row r="11187" spans="16:20">
      <c r="P11187" s="1094">
        <v>4728</v>
      </c>
      <c r="Q11187" t="s">
        <v>11580</v>
      </c>
      <c r="R11187" t="s">
        <v>614</v>
      </c>
      <c r="S11187">
        <v>0</v>
      </c>
      <c r="T11187" s="1095">
        <v>0</v>
      </c>
    </row>
    <row r="11188" spans="16:20">
      <c r="P11188" s="1094">
        <v>4730</v>
      </c>
      <c r="Q11188" t="s">
        <v>11581</v>
      </c>
      <c r="R11188" t="s">
        <v>614</v>
      </c>
      <c r="S11188">
        <v>143.402522</v>
      </c>
      <c r="T11188" s="1095">
        <v>-23.790711000000002</v>
      </c>
    </row>
    <row r="11189" spans="16:20">
      <c r="P11189" s="1094">
        <v>4730</v>
      </c>
      <c r="Q11189" t="s">
        <v>11582</v>
      </c>
      <c r="R11189" t="s">
        <v>614</v>
      </c>
      <c r="S11189">
        <v>143.402522</v>
      </c>
      <c r="T11189" s="1095">
        <v>-23.790711000000002</v>
      </c>
    </row>
    <row r="11190" spans="16:20">
      <c r="P11190" s="1094">
        <v>4730</v>
      </c>
      <c r="Q11190" t="s">
        <v>11583</v>
      </c>
      <c r="R11190" t="s">
        <v>614</v>
      </c>
      <c r="S11190">
        <v>143.402522</v>
      </c>
      <c r="T11190" s="1095">
        <v>-23.790711000000002</v>
      </c>
    </row>
    <row r="11191" spans="16:20">
      <c r="P11191" s="1094">
        <v>4730</v>
      </c>
      <c r="Q11191" t="s">
        <v>11584</v>
      </c>
      <c r="R11191" t="s">
        <v>614</v>
      </c>
      <c r="S11191">
        <v>143.402522</v>
      </c>
      <c r="T11191" s="1095">
        <v>-23.790711000000002</v>
      </c>
    </row>
    <row r="11192" spans="16:20">
      <c r="P11192" s="1094">
        <v>4730</v>
      </c>
      <c r="Q11192" t="s">
        <v>11585</v>
      </c>
      <c r="R11192" t="s">
        <v>614</v>
      </c>
      <c r="S11192">
        <v>143.402522</v>
      </c>
      <c r="T11192" s="1095">
        <v>-23.790711000000002</v>
      </c>
    </row>
    <row r="11193" spans="16:20">
      <c r="P11193" s="1094">
        <v>4730</v>
      </c>
      <c r="Q11193" t="s">
        <v>11586</v>
      </c>
      <c r="R11193" t="s">
        <v>614</v>
      </c>
      <c r="S11193">
        <v>143.402522</v>
      </c>
      <c r="T11193" s="1095">
        <v>-23.790711000000002</v>
      </c>
    </row>
    <row r="11194" spans="16:20">
      <c r="P11194" s="1094">
        <v>4730</v>
      </c>
      <c r="Q11194" t="s">
        <v>11587</v>
      </c>
      <c r="R11194" t="s">
        <v>614</v>
      </c>
      <c r="S11194">
        <v>143.402522</v>
      </c>
      <c r="T11194" s="1095">
        <v>-23.790711000000002</v>
      </c>
    </row>
    <row r="11195" spans="16:20">
      <c r="P11195" s="1094">
        <v>4730</v>
      </c>
      <c r="Q11195" t="s">
        <v>3095</v>
      </c>
      <c r="R11195" t="s">
        <v>614</v>
      </c>
      <c r="S11195">
        <v>143.402522</v>
      </c>
      <c r="T11195" s="1095">
        <v>-23.790711000000002</v>
      </c>
    </row>
    <row r="11196" spans="16:20">
      <c r="P11196" s="1094">
        <v>4730</v>
      </c>
      <c r="Q11196" t="s">
        <v>3253</v>
      </c>
      <c r="R11196" t="s">
        <v>614</v>
      </c>
      <c r="S11196">
        <v>143.402522</v>
      </c>
      <c r="T11196" s="1095">
        <v>-23.790711000000002</v>
      </c>
    </row>
    <row r="11197" spans="16:20">
      <c r="P11197" s="1094">
        <v>4730</v>
      </c>
      <c r="Q11197" t="s">
        <v>11588</v>
      </c>
      <c r="R11197" t="s">
        <v>614</v>
      </c>
      <c r="S11197">
        <v>143.402522</v>
      </c>
      <c r="T11197" s="1095">
        <v>-23.790711000000002</v>
      </c>
    </row>
    <row r="11198" spans="16:20">
      <c r="P11198" s="1094">
        <v>4731</v>
      </c>
      <c r="Q11198" t="s">
        <v>11589</v>
      </c>
      <c r="R11198" t="s">
        <v>614</v>
      </c>
      <c r="S11198">
        <v>144.26853</v>
      </c>
      <c r="T11198" s="1095">
        <v>-24.499279999999999</v>
      </c>
    </row>
    <row r="11199" spans="16:20">
      <c r="P11199" s="1094">
        <v>4732</v>
      </c>
      <c r="Q11199" t="s">
        <v>11590</v>
      </c>
      <c r="R11199" t="s">
        <v>614</v>
      </c>
      <c r="S11199">
        <v>144.622118</v>
      </c>
      <c r="T11199" s="1095">
        <v>-22.427636</v>
      </c>
    </row>
    <row r="11200" spans="16:20">
      <c r="P11200" s="1094">
        <v>4733</v>
      </c>
      <c r="Q11200" t="s">
        <v>11591</v>
      </c>
      <c r="R11200" t="s">
        <v>614</v>
      </c>
      <c r="S11200">
        <v>143.50302500000001</v>
      </c>
      <c r="T11200" s="1095">
        <v>-21.771225999999999</v>
      </c>
    </row>
    <row r="11201" spans="16:20">
      <c r="P11201" s="1094">
        <v>4735</v>
      </c>
      <c r="Q11201" t="s">
        <v>11592</v>
      </c>
      <c r="R11201" t="s">
        <v>614</v>
      </c>
      <c r="S11201">
        <v>141.86176900000001</v>
      </c>
      <c r="T11201" s="1095">
        <v>-22.810583000000001</v>
      </c>
    </row>
    <row r="11202" spans="16:20">
      <c r="P11202" s="1094">
        <v>4735</v>
      </c>
      <c r="Q11202" t="s">
        <v>11593</v>
      </c>
      <c r="R11202" t="s">
        <v>614</v>
      </c>
      <c r="S11202">
        <v>141.86176900000001</v>
      </c>
      <c r="T11202" s="1095">
        <v>-22.810583000000001</v>
      </c>
    </row>
    <row r="11203" spans="16:20">
      <c r="P11203" s="1094">
        <v>4735</v>
      </c>
      <c r="Q11203" t="s">
        <v>11594</v>
      </c>
      <c r="R11203" t="s">
        <v>614</v>
      </c>
      <c r="S11203">
        <v>141.86176900000001</v>
      </c>
      <c r="T11203" s="1095">
        <v>-22.810583000000001</v>
      </c>
    </row>
    <row r="11204" spans="16:20">
      <c r="P11204" s="1094">
        <v>4735</v>
      </c>
      <c r="Q11204" t="s">
        <v>2921</v>
      </c>
      <c r="R11204" t="s">
        <v>614</v>
      </c>
      <c r="S11204">
        <v>141.86176900000001</v>
      </c>
      <c r="T11204" s="1095">
        <v>-22.810583000000001</v>
      </c>
    </row>
    <row r="11205" spans="16:20">
      <c r="P11205" s="1094">
        <v>4736</v>
      </c>
      <c r="Q11205" t="s">
        <v>11595</v>
      </c>
      <c r="R11205" t="s">
        <v>614</v>
      </c>
      <c r="S11205">
        <v>143.10313300000001</v>
      </c>
      <c r="T11205" s="1095">
        <v>-24.936613999999999</v>
      </c>
    </row>
    <row r="11206" spans="16:20">
      <c r="P11206" s="1094">
        <v>4737</v>
      </c>
      <c r="Q11206" t="s">
        <v>11596</v>
      </c>
      <c r="R11206" t="s">
        <v>614</v>
      </c>
      <c r="S11206">
        <v>149.17807199999999</v>
      </c>
      <c r="T11206" s="1095">
        <v>-21.430040000000002</v>
      </c>
    </row>
    <row r="11207" spans="16:20">
      <c r="P11207" s="1094">
        <v>4737</v>
      </c>
      <c r="Q11207" t="s">
        <v>11597</v>
      </c>
      <c r="R11207" t="s">
        <v>614</v>
      </c>
      <c r="S11207">
        <v>149.17807199999999</v>
      </c>
      <c r="T11207" s="1095">
        <v>-21.430040000000002</v>
      </c>
    </row>
    <row r="11208" spans="16:20">
      <c r="P11208" s="1094">
        <v>4737</v>
      </c>
      <c r="Q11208" t="s">
        <v>11598</v>
      </c>
      <c r="R11208" t="s">
        <v>614</v>
      </c>
      <c r="S11208">
        <v>149.17807199999999</v>
      </c>
      <c r="T11208" s="1095">
        <v>-21.430040000000002</v>
      </c>
    </row>
    <row r="11209" spans="16:20">
      <c r="P11209" s="1094">
        <v>4737</v>
      </c>
      <c r="Q11209" t="s">
        <v>11599</v>
      </c>
      <c r="R11209" t="s">
        <v>614</v>
      </c>
      <c r="S11209">
        <v>149.17807199999999</v>
      </c>
      <c r="T11209" s="1095">
        <v>-21.430040000000002</v>
      </c>
    </row>
    <row r="11210" spans="16:20">
      <c r="P11210" s="1094">
        <v>4737</v>
      </c>
      <c r="Q11210" t="s">
        <v>11600</v>
      </c>
      <c r="R11210" t="s">
        <v>614</v>
      </c>
      <c r="S11210">
        <v>149.17807199999999</v>
      </c>
      <c r="T11210" s="1095">
        <v>-21.430040000000002</v>
      </c>
    </row>
    <row r="11211" spans="16:20">
      <c r="P11211" s="1094">
        <v>4737</v>
      </c>
      <c r="Q11211" t="s">
        <v>11601</v>
      </c>
      <c r="R11211" t="s">
        <v>614</v>
      </c>
      <c r="S11211">
        <v>149.17807199999999</v>
      </c>
      <c r="T11211" s="1095">
        <v>-21.430040000000002</v>
      </c>
    </row>
    <row r="11212" spans="16:20">
      <c r="P11212" s="1094">
        <v>4737</v>
      </c>
      <c r="Q11212" t="s">
        <v>11602</v>
      </c>
      <c r="R11212" t="s">
        <v>614</v>
      </c>
      <c r="S11212">
        <v>149.17807199999999</v>
      </c>
      <c r="T11212" s="1095">
        <v>-21.430040000000002</v>
      </c>
    </row>
    <row r="11213" spans="16:20">
      <c r="P11213" s="1094">
        <v>4737</v>
      </c>
      <c r="Q11213" t="s">
        <v>11603</v>
      </c>
      <c r="R11213" t="s">
        <v>614</v>
      </c>
      <c r="S11213">
        <v>149.17807199999999</v>
      </c>
      <c r="T11213" s="1095">
        <v>-21.430040000000002</v>
      </c>
    </row>
    <row r="11214" spans="16:20">
      <c r="P11214" s="1094">
        <v>4737</v>
      </c>
      <c r="Q11214" t="s">
        <v>11604</v>
      </c>
      <c r="R11214" t="s">
        <v>614</v>
      </c>
      <c r="S11214">
        <v>149.17807199999999</v>
      </c>
      <c r="T11214" s="1095">
        <v>-21.430040000000002</v>
      </c>
    </row>
    <row r="11215" spans="16:20">
      <c r="P11215" s="1094">
        <v>4737</v>
      </c>
      <c r="Q11215" t="s">
        <v>11605</v>
      </c>
      <c r="R11215" t="s">
        <v>614</v>
      </c>
      <c r="S11215">
        <v>149.17807199999999</v>
      </c>
      <c r="T11215" s="1095">
        <v>-21.430040000000002</v>
      </c>
    </row>
    <row r="11216" spans="16:20">
      <c r="P11216" s="1094">
        <v>4737</v>
      </c>
      <c r="Q11216" t="s">
        <v>11606</v>
      </c>
      <c r="R11216" t="s">
        <v>614</v>
      </c>
      <c r="S11216">
        <v>149.17807199999999</v>
      </c>
      <c r="T11216" s="1095">
        <v>-21.430040000000002</v>
      </c>
    </row>
    <row r="11217" spans="16:20">
      <c r="P11217" s="1094">
        <v>4737</v>
      </c>
      <c r="Q11217" t="s">
        <v>3126</v>
      </c>
      <c r="R11217" t="s">
        <v>614</v>
      </c>
      <c r="S11217">
        <v>149.17807199999999</v>
      </c>
      <c r="T11217" s="1095">
        <v>-21.430040000000002</v>
      </c>
    </row>
    <row r="11218" spans="16:20">
      <c r="P11218" s="1094">
        <v>4738</v>
      </c>
      <c r="Q11218" t="s">
        <v>11607</v>
      </c>
      <c r="R11218" t="s">
        <v>614</v>
      </c>
      <c r="S11218">
        <v>149.26744600000001</v>
      </c>
      <c r="T11218" s="1095">
        <v>-21.622236999999998</v>
      </c>
    </row>
    <row r="11219" spans="16:20">
      <c r="P11219" s="1094">
        <v>4738</v>
      </c>
      <c r="Q11219" t="s">
        <v>11608</v>
      </c>
      <c r="R11219" t="s">
        <v>614</v>
      </c>
      <c r="S11219">
        <v>149.26744600000001</v>
      </c>
      <c r="T11219" s="1095">
        <v>-21.622236999999998</v>
      </c>
    </row>
    <row r="11220" spans="16:20">
      <c r="P11220" s="1094">
        <v>4739</v>
      </c>
      <c r="Q11220" t="s">
        <v>11609</v>
      </c>
      <c r="R11220" t="s">
        <v>614</v>
      </c>
      <c r="S11220">
        <v>149.39505199999999</v>
      </c>
      <c r="T11220" s="1095">
        <v>-21.930567</v>
      </c>
    </row>
    <row r="11221" spans="16:20">
      <c r="P11221" s="1094">
        <v>4740</v>
      </c>
      <c r="Q11221" t="s">
        <v>8529</v>
      </c>
      <c r="R11221" t="s">
        <v>614</v>
      </c>
      <c r="S11221">
        <v>149.05973700000001</v>
      </c>
      <c r="T11221" s="1095">
        <v>-21.337630000000001</v>
      </c>
    </row>
    <row r="11222" spans="16:20">
      <c r="P11222" s="1094">
        <v>4740</v>
      </c>
      <c r="Q11222" t="s">
        <v>11610</v>
      </c>
      <c r="R11222" t="s">
        <v>614</v>
      </c>
      <c r="S11222">
        <v>149.05973700000001</v>
      </c>
      <c r="T11222" s="1095">
        <v>-21.337630000000001</v>
      </c>
    </row>
    <row r="11223" spans="16:20">
      <c r="P11223" s="1094">
        <v>4740</v>
      </c>
      <c r="Q11223" t="s">
        <v>11611</v>
      </c>
      <c r="R11223" t="s">
        <v>614</v>
      </c>
      <c r="S11223">
        <v>149.05973700000001</v>
      </c>
      <c r="T11223" s="1095">
        <v>-21.337630000000001</v>
      </c>
    </row>
    <row r="11224" spans="16:20">
      <c r="P11224" s="1094">
        <v>4740</v>
      </c>
      <c r="Q11224" t="s">
        <v>3007</v>
      </c>
      <c r="R11224" t="s">
        <v>614</v>
      </c>
      <c r="S11224">
        <v>149.05973700000001</v>
      </c>
      <c r="T11224" s="1095">
        <v>-21.337630000000001</v>
      </c>
    </row>
    <row r="11225" spans="16:20">
      <c r="P11225" s="1094">
        <v>4740</v>
      </c>
      <c r="Q11225" t="s">
        <v>11612</v>
      </c>
      <c r="R11225" t="s">
        <v>614</v>
      </c>
      <c r="S11225">
        <v>149.05973700000001</v>
      </c>
      <c r="T11225" s="1095">
        <v>-21.337630000000001</v>
      </c>
    </row>
    <row r="11226" spans="16:20">
      <c r="P11226" s="1094">
        <v>4740</v>
      </c>
      <c r="Q11226" t="s">
        <v>11613</v>
      </c>
      <c r="R11226" t="s">
        <v>614</v>
      </c>
      <c r="S11226">
        <v>149.05973700000001</v>
      </c>
      <c r="T11226" s="1095">
        <v>-21.337630000000001</v>
      </c>
    </row>
    <row r="11227" spans="16:20">
      <c r="P11227" s="1094">
        <v>4740</v>
      </c>
      <c r="Q11227" t="s">
        <v>1744</v>
      </c>
      <c r="R11227" t="s">
        <v>614</v>
      </c>
      <c r="S11227">
        <v>149.05973700000001</v>
      </c>
      <c r="T11227" s="1095">
        <v>-21.337630000000001</v>
      </c>
    </row>
    <row r="11228" spans="16:20">
      <c r="P11228" s="1094">
        <v>4740</v>
      </c>
      <c r="Q11228" t="s">
        <v>11614</v>
      </c>
      <c r="R11228" t="s">
        <v>614</v>
      </c>
      <c r="S11228">
        <v>149.05973700000001</v>
      </c>
      <c r="T11228" s="1095">
        <v>-21.337630000000001</v>
      </c>
    </row>
    <row r="11229" spans="16:20">
      <c r="P11229" s="1094">
        <v>4740</v>
      </c>
      <c r="Q11229" t="s">
        <v>11615</v>
      </c>
      <c r="R11229" t="s">
        <v>614</v>
      </c>
      <c r="S11229">
        <v>149.05973700000001</v>
      </c>
      <c r="T11229" s="1095">
        <v>-21.337630000000001</v>
      </c>
    </row>
    <row r="11230" spans="16:20">
      <c r="P11230" s="1094">
        <v>4740</v>
      </c>
      <c r="Q11230" t="s">
        <v>11616</v>
      </c>
      <c r="R11230" t="s">
        <v>614</v>
      </c>
      <c r="S11230">
        <v>149.05973700000001</v>
      </c>
      <c r="T11230" s="1095">
        <v>-21.337630000000001</v>
      </c>
    </row>
    <row r="11231" spans="16:20">
      <c r="P11231" s="1094">
        <v>4740</v>
      </c>
      <c r="Q11231" t="s">
        <v>11617</v>
      </c>
      <c r="R11231" t="s">
        <v>614</v>
      </c>
      <c r="S11231">
        <v>149.05973700000001</v>
      </c>
      <c r="T11231" s="1095">
        <v>-21.337630000000001</v>
      </c>
    </row>
    <row r="11232" spans="16:20">
      <c r="P11232" s="1094">
        <v>4740</v>
      </c>
      <c r="Q11232" t="s">
        <v>11618</v>
      </c>
      <c r="R11232" t="s">
        <v>614</v>
      </c>
      <c r="S11232">
        <v>149.05973700000001</v>
      </c>
      <c r="T11232" s="1095">
        <v>-21.337630000000001</v>
      </c>
    </row>
    <row r="11233" spans="16:20">
      <c r="P11233" s="1094">
        <v>4740</v>
      </c>
      <c r="Q11233" t="s">
        <v>11619</v>
      </c>
      <c r="R11233" t="s">
        <v>614</v>
      </c>
      <c r="S11233">
        <v>149.05973700000001</v>
      </c>
      <c r="T11233" s="1095">
        <v>-21.337630000000001</v>
      </c>
    </row>
    <row r="11234" spans="16:20">
      <c r="P11234" s="1094">
        <v>4740</v>
      </c>
      <c r="Q11234" t="s">
        <v>1900</v>
      </c>
      <c r="R11234" t="s">
        <v>614</v>
      </c>
      <c r="S11234">
        <v>149.05973700000001</v>
      </c>
      <c r="T11234" s="1095">
        <v>-21.337630000000001</v>
      </c>
    </row>
    <row r="11235" spans="16:20">
      <c r="P11235" s="1094">
        <v>4740</v>
      </c>
      <c r="Q11235" t="s">
        <v>11620</v>
      </c>
      <c r="R11235" t="s">
        <v>614</v>
      </c>
      <c r="S11235">
        <v>149.05973700000001</v>
      </c>
      <c r="T11235" s="1095">
        <v>-21.337630000000001</v>
      </c>
    </row>
    <row r="11236" spans="16:20">
      <c r="P11236" s="1094">
        <v>4740</v>
      </c>
      <c r="Q11236" t="s">
        <v>11621</v>
      </c>
      <c r="R11236" t="s">
        <v>614</v>
      </c>
      <c r="S11236">
        <v>149.05973700000001</v>
      </c>
      <c r="T11236" s="1095">
        <v>-21.337630000000001</v>
      </c>
    </row>
    <row r="11237" spans="16:20">
      <c r="P11237" s="1094">
        <v>4740</v>
      </c>
      <c r="Q11237" t="s">
        <v>11622</v>
      </c>
      <c r="R11237" t="s">
        <v>614</v>
      </c>
      <c r="S11237">
        <v>149.05973700000001</v>
      </c>
      <c r="T11237" s="1095">
        <v>-21.337630000000001</v>
      </c>
    </row>
    <row r="11238" spans="16:20">
      <c r="P11238" s="1094">
        <v>4740</v>
      </c>
      <c r="Q11238" t="s">
        <v>11623</v>
      </c>
      <c r="R11238" t="s">
        <v>614</v>
      </c>
      <c r="S11238">
        <v>149.05973700000001</v>
      </c>
      <c r="T11238" s="1095">
        <v>-21.337630000000001</v>
      </c>
    </row>
    <row r="11239" spans="16:20">
      <c r="P11239" s="1094">
        <v>4740</v>
      </c>
      <c r="Q11239" t="s">
        <v>11624</v>
      </c>
      <c r="R11239" t="s">
        <v>614</v>
      </c>
      <c r="S11239">
        <v>149.05973700000001</v>
      </c>
      <c r="T11239" s="1095">
        <v>-21.337630000000001</v>
      </c>
    </row>
    <row r="11240" spans="16:20">
      <c r="P11240" s="1094">
        <v>4740</v>
      </c>
      <c r="Q11240" t="s">
        <v>11625</v>
      </c>
      <c r="R11240" t="s">
        <v>614</v>
      </c>
      <c r="S11240">
        <v>149.05973700000001</v>
      </c>
      <c r="T11240" s="1095">
        <v>-21.337630000000001</v>
      </c>
    </row>
    <row r="11241" spans="16:20">
      <c r="P11241" s="1094">
        <v>4740</v>
      </c>
      <c r="Q11241" t="s">
        <v>11626</v>
      </c>
      <c r="R11241" t="s">
        <v>614</v>
      </c>
      <c r="S11241">
        <v>149.05973700000001</v>
      </c>
      <c r="T11241" s="1095">
        <v>-21.337630000000001</v>
      </c>
    </row>
    <row r="11242" spans="16:20">
      <c r="P11242" s="1094">
        <v>4740</v>
      </c>
      <c r="Q11242" t="s">
        <v>11627</v>
      </c>
      <c r="R11242" t="s">
        <v>614</v>
      </c>
      <c r="S11242">
        <v>149.05973700000001</v>
      </c>
      <c r="T11242" s="1095">
        <v>-21.337630000000001</v>
      </c>
    </row>
    <row r="11243" spans="16:20">
      <c r="P11243" s="1094">
        <v>4740</v>
      </c>
      <c r="Q11243" t="s">
        <v>11628</v>
      </c>
      <c r="R11243" t="s">
        <v>614</v>
      </c>
      <c r="S11243">
        <v>149.05973700000001</v>
      </c>
      <c r="T11243" s="1095">
        <v>-21.337630000000001</v>
      </c>
    </row>
    <row r="11244" spans="16:20">
      <c r="P11244" s="1094">
        <v>4740</v>
      </c>
      <c r="Q11244" t="s">
        <v>11629</v>
      </c>
      <c r="R11244" t="s">
        <v>614</v>
      </c>
      <c r="S11244">
        <v>149.05973700000001</v>
      </c>
      <c r="T11244" s="1095">
        <v>-21.337630000000001</v>
      </c>
    </row>
    <row r="11245" spans="16:20">
      <c r="P11245" s="1094">
        <v>4740</v>
      </c>
      <c r="Q11245" t="s">
        <v>11630</v>
      </c>
      <c r="R11245" t="s">
        <v>614</v>
      </c>
      <c r="S11245">
        <v>149.05973700000001</v>
      </c>
      <c r="T11245" s="1095">
        <v>-21.337630000000001</v>
      </c>
    </row>
    <row r="11246" spans="16:20">
      <c r="P11246" s="1094">
        <v>4740</v>
      </c>
      <c r="Q11246" t="s">
        <v>11631</v>
      </c>
      <c r="R11246" t="s">
        <v>614</v>
      </c>
      <c r="S11246">
        <v>149.05973700000001</v>
      </c>
      <c r="T11246" s="1095">
        <v>-21.337630000000001</v>
      </c>
    </row>
    <row r="11247" spans="16:20">
      <c r="P11247" s="1094">
        <v>4740</v>
      </c>
      <c r="Q11247" t="s">
        <v>11632</v>
      </c>
      <c r="R11247" t="s">
        <v>614</v>
      </c>
      <c r="S11247">
        <v>149.05973700000001</v>
      </c>
      <c r="T11247" s="1095">
        <v>-21.337630000000001</v>
      </c>
    </row>
    <row r="11248" spans="16:20">
      <c r="P11248" s="1094">
        <v>4740</v>
      </c>
      <c r="Q11248" t="s">
        <v>11633</v>
      </c>
      <c r="R11248" t="s">
        <v>614</v>
      </c>
      <c r="S11248">
        <v>149.05973700000001</v>
      </c>
      <c r="T11248" s="1095">
        <v>-21.337630000000001</v>
      </c>
    </row>
    <row r="11249" spans="16:20">
      <c r="P11249" s="1094">
        <v>4740</v>
      </c>
      <c r="Q11249" t="s">
        <v>2022</v>
      </c>
      <c r="R11249" t="s">
        <v>614</v>
      </c>
      <c r="S11249">
        <v>149.05973700000001</v>
      </c>
      <c r="T11249" s="1095">
        <v>-21.337630000000001</v>
      </c>
    </row>
    <row r="11250" spans="16:20">
      <c r="P11250" s="1094">
        <v>4740</v>
      </c>
      <c r="Q11250" t="s">
        <v>3831</v>
      </c>
      <c r="R11250" t="s">
        <v>614</v>
      </c>
      <c r="S11250">
        <v>149.05973700000001</v>
      </c>
      <c r="T11250" s="1095">
        <v>-21.337630000000001</v>
      </c>
    </row>
    <row r="11251" spans="16:20">
      <c r="P11251" s="1094">
        <v>4740</v>
      </c>
      <c r="Q11251" t="s">
        <v>11634</v>
      </c>
      <c r="R11251" t="s">
        <v>614</v>
      </c>
      <c r="S11251">
        <v>149.05973700000001</v>
      </c>
      <c r="T11251" s="1095">
        <v>-21.337630000000001</v>
      </c>
    </row>
    <row r="11252" spans="16:20">
      <c r="P11252" s="1094">
        <v>4740</v>
      </c>
      <c r="Q11252" t="s">
        <v>11635</v>
      </c>
      <c r="R11252" t="s">
        <v>614</v>
      </c>
      <c r="S11252">
        <v>149.05973700000001</v>
      </c>
      <c r="T11252" s="1095">
        <v>-21.337630000000001</v>
      </c>
    </row>
    <row r="11253" spans="16:20">
      <c r="P11253" s="1094">
        <v>4740</v>
      </c>
      <c r="Q11253" t="s">
        <v>11636</v>
      </c>
      <c r="R11253" t="s">
        <v>614</v>
      </c>
      <c r="S11253">
        <v>149.05973700000001</v>
      </c>
      <c r="T11253" s="1095">
        <v>-21.337630000000001</v>
      </c>
    </row>
    <row r="11254" spans="16:20">
      <c r="P11254" s="1094">
        <v>4740</v>
      </c>
      <c r="Q11254" t="s">
        <v>11637</v>
      </c>
      <c r="R11254" t="s">
        <v>614</v>
      </c>
      <c r="S11254">
        <v>149.05973700000001</v>
      </c>
      <c r="T11254" s="1095">
        <v>-21.337630000000001</v>
      </c>
    </row>
    <row r="11255" spans="16:20">
      <c r="P11255" s="1094">
        <v>4740</v>
      </c>
      <c r="Q11255" t="s">
        <v>11638</v>
      </c>
      <c r="R11255" t="s">
        <v>614</v>
      </c>
      <c r="S11255">
        <v>149.05973700000001</v>
      </c>
      <c r="T11255" s="1095">
        <v>-21.337630000000001</v>
      </c>
    </row>
    <row r="11256" spans="16:20">
      <c r="P11256" s="1094">
        <v>4740</v>
      </c>
      <c r="Q11256" t="s">
        <v>11639</v>
      </c>
      <c r="R11256" t="s">
        <v>614</v>
      </c>
      <c r="S11256">
        <v>149.05973700000001</v>
      </c>
      <c r="T11256" s="1095">
        <v>-21.337630000000001</v>
      </c>
    </row>
    <row r="11257" spans="16:20">
      <c r="P11257" s="1094">
        <v>4740</v>
      </c>
      <c r="Q11257" t="s">
        <v>11640</v>
      </c>
      <c r="R11257" t="s">
        <v>614</v>
      </c>
      <c r="S11257">
        <v>149.05973700000001</v>
      </c>
      <c r="T11257" s="1095">
        <v>-21.337630000000001</v>
      </c>
    </row>
    <row r="11258" spans="16:20">
      <c r="P11258" s="1094">
        <v>4740</v>
      </c>
      <c r="Q11258" t="s">
        <v>11641</v>
      </c>
      <c r="R11258" t="s">
        <v>614</v>
      </c>
      <c r="S11258">
        <v>149.05973700000001</v>
      </c>
      <c r="T11258" s="1095">
        <v>-21.337630000000001</v>
      </c>
    </row>
    <row r="11259" spans="16:20">
      <c r="P11259" s="1094">
        <v>4740</v>
      </c>
      <c r="Q11259" t="s">
        <v>11642</v>
      </c>
      <c r="R11259" t="s">
        <v>614</v>
      </c>
      <c r="S11259">
        <v>149.05973700000001</v>
      </c>
      <c r="T11259" s="1095">
        <v>-21.337630000000001</v>
      </c>
    </row>
    <row r="11260" spans="16:20">
      <c r="P11260" s="1094">
        <v>4740</v>
      </c>
      <c r="Q11260" t="s">
        <v>11643</v>
      </c>
      <c r="R11260" t="s">
        <v>614</v>
      </c>
      <c r="S11260">
        <v>149.05973700000001</v>
      </c>
      <c r="T11260" s="1095">
        <v>-21.337630000000001</v>
      </c>
    </row>
    <row r="11261" spans="16:20">
      <c r="P11261" s="1094">
        <v>4740</v>
      </c>
      <c r="Q11261" t="s">
        <v>11644</v>
      </c>
      <c r="R11261" t="s">
        <v>614</v>
      </c>
      <c r="S11261">
        <v>149.05973700000001</v>
      </c>
      <c r="T11261" s="1095">
        <v>-21.337630000000001</v>
      </c>
    </row>
    <row r="11262" spans="16:20">
      <c r="P11262" s="1094">
        <v>4740</v>
      </c>
      <c r="Q11262" t="s">
        <v>4204</v>
      </c>
      <c r="R11262" t="s">
        <v>614</v>
      </c>
      <c r="S11262">
        <v>149.05973700000001</v>
      </c>
      <c r="T11262" s="1095">
        <v>-21.337630000000001</v>
      </c>
    </row>
    <row r="11263" spans="16:20">
      <c r="P11263" s="1094">
        <v>4740</v>
      </c>
      <c r="Q11263" t="s">
        <v>11645</v>
      </c>
      <c r="R11263" t="s">
        <v>614</v>
      </c>
      <c r="S11263">
        <v>149.05973700000001</v>
      </c>
      <c r="T11263" s="1095">
        <v>-21.337630000000001</v>
      </c>
    </row>
    <row r="11264" spans="16:20">
      <c r="P11264" s="1094">
        <v>4740</v>
      </c>
      <c r="Q11264" t="s">
        <v>11646</v>
      </c>
      <c r="R11264" t="s">
        <v>614</v>
      </c>
      <c r="S11264">
        <v>149.05973700000001</v>
      </c>
      <c r="T11264" s="1095">
        <v>-21.337630000000001</v>
      </c>
    </row>
    <row r="11265" spans="16:20">
      <c r="P11265" s="1094">
        <v>4740</v>
      </c>
      <c r="Q11265" t="s">
        <v>11647</v>
      </c>
      <c r="R11265" t="s">
        <v>614</v>
      </c>
      <c r="S11265">
        <v>149.05973700000001</v>
      </c>
      <c r="T11265" s="1095">
        <v>-21.337630000000001</v>
      </c>
    </row>
    <row r="11266" spans="16:20">
      <c r="P11266" s="1094">
        <v>4740</v>
      </c>
      <c r="Q11266" t="s">
        <v>11648</v>
      </c>
      <c r="R11266" t="s">
        <v>614</v>
      </c>
      <c r="S11266">
        <v>149.05973700000001</v>
      </c>
      <c r="T11266" s="1095">
        <v>-21.337630000000001</v>
      </c>
    </row>
    <row r="11267" spans="16:20">
      <c r="P11267" s="1094">
        <v>4740</v>
      </c>
      <c r="Q11267" t="s">
        <v>11649</v>
      </c>
      <c r="R11267" t="s">
        <v>614</v>
      </c>
      <c r="S11267">
        <v>149.05973700000001</v>
      </c>
      <c r="T11267" s="1095">
        <v>-21.337630000000001</v>
      </c>
    </row>
    <row r="11268" spans="16:20">
      <c r="P11268" s="1094">
        <v>4740</v>
      </c>
      <c r="Q11268" t="s">
        <v>11650</v>
      </c>
      <c r="R11268" t="s">
        <v>614</v>
      </c>
      <c r="S11268">
        <v>149.05973700000001</v>
      </c>
      <c r="T11268" s="1095">
        <v>-21.337630000000001</v>
      </c>
    </row>
    <row r="11269" spans="16:20">
      <c r="P11269" s="1094">
        <v>4740</v>
      </c>
      <c r="Q11269" t="s">
        <v>11651</v>
      </c>
      <c r="R11269" t="s">
        <v>614</v>
      </c>
      <c r="S11269">
        <v>149.05973700000001</v>
      </c>
      <c r="T11269" s="1095">
        <v>-21.337630000000001</v>
      </c>
    </row>
    <row r="11270" spans="16:20">
      <c r="P11270" s="1094">
        <v>4740</v>
      </c>
      <c r="Q11270" t="s">
        <v>11652</v>
      </c>
      <c r="R11270" t="s">
        <v>614</v>
      </c>
      <c r="S11270">
        <v>149.05973700000001</v>
      </c>
      <c r="T11270" s="1095">
        <v>-21.337630000000001</v>
      </c>
    </row>
    <row r="11271" spans="16:20">
      <c r="P11271" s="1094">
        <v>4740</v>
      </c>
      <c r="Q11271" t="s">
        <v>11653</v>
      </c>
      <c r="R11271" t="s">
        <v>614</v>
      </c>
      <c r="S11271">
        <v>149.05973700000001</v>
      </c>
      <c r="T11271" s="1095">
        <v>-21.337630000000001</v>
      </c>
    </row>
    <row r="11272" spans="16:20">
      <c r="P11272" s="1094">
        <v>4740</v>
      </c>
      <c r="Q11272" t="s">
        <v>11654</v>
      </c>
      <c r="R11272" t="s">
        <v>614</v>
      </c>
      <c r="S11272">
        <v>149.05973700000001</v>
      </c>
      <c r="T11272" s="1095">
        <v>-21.337630000000001</v>
      </c>
    </row>
    <row r="11273" spans="16:20">
      <c r="P11273" s="1094">
        <v>4740</v>
      </c>
      <c r="Q11273" t="s">
        <v>5573</v>
      </c>
      <c r="R11273" t="s">
        <v>614</v>
      </c>
      <c r="S11273">
        <v>149.05973700000001</v>
      </c>
      <c r="T11273" s="1095">
        <v>-21.337630000000001</v>
      </c>
    </row>
    <row r="11274" spans="16:20">
      <c r="P11274" s="1094">
        <v>4740</v>
      </c>
      <c r="Q11274" t="s">
        <v>11655</v>
      </c>
      <c r="R11274" t="s">
        <v>614</v>
      </c>
      <c r="S11274">
        <v>149.05973700000001</v>
      </c>
      <c r="T11274" s="1095">
        <v>-21.337630000000001</v>
      </c>
    </row>
    <row r="11275" spans="16:20">
      <c r="P11275" s="1094">
        <v>4740</v>
      </c>
      <c r="Q11275" t="s">
        <v>11656</v>
      </c>
      <c r="R11275" t="s">
        <v>614</v>
      </c>
      <c r="S11275">
        <v>149.05973700000001</v>
      </c>
      <c r="T11275" s="1095">
        <v>-21.337630000000001</v>
      </c>
    </row>
    <row r="11276" spans="16:20">
      <c r="P11276" s="1094">
        <v>4740</v>
      </c>
      <c r="Q11276" t="s">
        <v>11657</v>
      </c>
      <c r="R11276" t="s">
        <v>614</v>
      </c>
      <c r="S11276">
        <v>149.05973700000001</v>
      </c>
      <c r="T11276" s="1095">
        <v>-21.337630000000001</v>
      </c>
    </row>
    <row r="11277" spans="16:20">
      <c r="P11277" s="1094">
        <v>4740</v>
      </c>
      <c r="Q11277" t="s">
        <v>11658</v>
      </c>
      <c r="R11277" t="s">
        <v>614</v>
      </c>
      <c r="S11277">
        <v>149.05973700000001</v>
      </c>
      <c r="T11277" s="1095">
        <v>-21.337630000000001</v>
      </c>
    </row>
    <row r="11278" spans="16:20">
      <c r="P11278" s="1094">
        <v>4740</v>
      </c>
      <c r="Q11278" t="s">
        <v>11659</v>
      </c>
      <c r="R11278" t="s">
        <v>614</v>
      </c>
      <c r="S11278">
        <v>149.05973700000001</v>
      </c>
      <c r="T11278" s="1095">
        <v>-21.337630000000001</v>
      </c>
    </row>
    <row r="11279" spans="16:20">
      <c r="P11279" s="1094">
        <v>4740</v>
      </c>
      <c r="Q11279" t="s">
        <v>11660</v>
      </c>
      <c r="R11279" t="s">
        <v>614</v>
      </c>
      <c r="S11279">
        <v>149.05973700000001</v>
      </c>
      <c r="T11279" s="1095">
        <v>-21.337630000000001</v>
      </c>
    </row>
    <row r="11280" spans="16:20">
      <c r="P11280" s="1094">
        <v>4740</v>
      </c>
      <c r="Q11280" t="s">
        <v>11661</v>
      </c>
      <c r="R11280" t="s">
        <v>614</v>
      </c>
      <c r="S11280">
        <v>149.05973700000001</v>
      </c>
      <c r="T11280" s="1095">
        <v>-21.337630000000001</v>
      </c>
    </row>
    <row r="11281" spans="16:20">
      <c r="P11281" s="1094">
        <v>4740</v>
      </c>
      <c r="Q11281" t="s">
        <v>11662</v>
      </c>
      <c r="R11281" t="s">
        <v>614</v>
      </c>
      <c r="S11281">
        <v>149.05973700000001</v>
      </c>
      <c r="T11281" s="1095">
        <v>-21.337630000000001</v>
      </c>
    </row>
    <row r="11282" spans="16:20">
      <c r="P11282" s="1094">
        <v>4740</v>
      </c>
      <c r="Q11282" t="s">
        <v>11663</v>
      </c>
      <c r="R11282" t="s">
        <v>614</v>
      </c>
      <c r="S11282">
        <v>149.05973700000001</v>
      </c>
      <c r="T11282" s="1095">
        <v>-21.337630000000001</v>
      </c>
    </row>
    <row r="11283" spans="16:20">
      <c r="P11283" s="1094">
        <v>4740</v>
      </c>
      <c r="Q11283" t="s">
        <v>11664</v>
      </c>
      <c r="R11283" t="s">
        <v>614</v>
      </c>
      <c r="S11283">
        <v>149.05973700000001</v>
      </c>
      <c r="T11283" s="1095">
        <v>-21.337630000000001</v>
      </c>
    </row>
    <row r="11284" spans="16:20">
      <c r="P11284" s="1094">
        <v>4740</v>
      </c>
      <c r="Q11284" t="s">
        <v>11665</v>
      </c>
      <c r="R11284" t="s">
        <v>614</v>
      </c>
      <c r="S11284">
        <v>149.05973700000001</v>
      </c>
      <c r="T11284" s="1095">
        <v>-21.337630000000001</v>
      </c>
    </row>
    <row r="11285" spans="16:20">
      <c r="P11285" s="1094">
        <v>4740</v>
      </c>
      <c r="Q11285" t="s">
        <v>11666</v>
      </c>
      <c r="R11285" t="s">
        <v>614</v>
      </c>
      <c r="S11285">
        <v>149.05973700000001</v>
      </c>
      <c r="T11285" s="1095">
        <v>-21.337630000000001</v>
      </c>
    </row>
    <row r="11286" spans="16:20">
      <c r="P11286" s="1094">
        <v>4740</v>
      </c>
      <c r="Q11286" t="s">
        <v>11667</v>
      </c>
      <c r="R11286" t="s">
        <v>614</v>
      </c>
      <c r="S11286">
        <v>149.05973700000001</v>
      </c>
      <c r="T11286" s="1095">
        <v>-21.337630000000001</v>
      </c>
    </row>
    <row r="11287" spans="16:20">
      <c r="P11287" s="1094">
        <v>4741</v>
      </c>
      <c r="Q11287" t="s">
        <v>11668</v>
      </c>
      <c r="R11287" t="s">
        <v>614</v>
      </c>
      <c r="S11287">
        <v>149.27169900000001</v>
      </c>
      <c r="T11287" s="1095">
        <v>-20.808596999999999</v>
      </c>
    </row>
    <row r="11288" spans="16:20">
      <c r="P11288" s="1094">
        <v>4741</v>
      </c>
      <c r="Q11288" t="s">
        <v>11669</v>
      </c>
      <c r="R11288" t="s">
        <v>614</v>
      </c>
      <c r="S11288">
        <v>149.27169900000001</v>
      </c>
      <c r="T11288" s="1095">
        <v>-20.808596999999999</v>
      </c>
    </row>
    <row r="11289" spans="16:20">
      <c r="P11289" s="1094">
        <v>4741</v>
      </c>
      <c r="Q11289" t="s">
        <v>11670</v>
      </c>
      <c r="R11289" t="s">
        <v>614</v>
      </c>
      <c r="S11289">
        <v>149.27169900000001</v>
      </c>
      <c r="T11289" s="1095">
        <v>-20.808596999999999</v>
      </c>
    </row>
    <row r="11290" spans="16:20">
      <c r="P11290" s="1094">
        <v>4741</v>
      </c>
      <c r="Q11290" t="s">
        <v>11671</v>
      </c>
      <c r="R11290" t="s">
        <v>614</v>
      </c>
      <c r="S11290">
        <v>149.27169900000001</v>
      </c>
      <c r="T11290" s="1095">
        <v>-20.808596999999999</v>
      </c>
    </row>
    <row r="11291" spans="16:20">
      <c r="P11291" s="1094">
        <v>4741</v>
      </c>
      <c r="Q11291" t="s">
        <v>5117</v>
      </c>
      <c r="R11291" t="s">
        <v>614</v>
      </c>
      <c r="S11291">
        <v>149.27169900000001</v>
      </c>
      <c r="T11291" s="1095">
        <v>-20.808596999999999</v>
      </c>
    </row>
    <row r="11292" spans="16:20">
      <c r="P11292" s="1094">
        <v>4741</v>
      </c>
      <c r="Q11292" t="s">
        <v>11672</v>
      </c>
      <c r="R11292" t="s">
        <v>614</v>
      </c>
      <c r="S11292">
        <v>149.27169900000001</v>
      </c>
      <c r="T11292" s="1095">
        <v>-20.808596999999999</v>
      </c>
    </row>
    <row r="11293" spans="16:20">
      <c r="P11293" s="1094">
        <v>4741</v>
      </c>
      <c r="Q11293" t="s">
        <v>8002</v>
      </c>
      <c r="R11293" t="s">
        <v>614</v>
      </c>
      <c r="S11293">
        <v>149.27169900000001</v>
      </c>
      <c r="T11293" s="1095">
        <v>-20.808596999999999</v>
      </c>
    </row>
    <row r="11294" spans="16:20">
      <c r="P11294" s="1094">
        <v>4741</v>
      </c>
      <c r="Q11294" t="s">
        <v>11673</v>
      </c>
      <c r="R11294" t="s">
        <v>614</v>
      </c>
      <c r="S11294">
        <v>149.27169900000001</v>
      </c>
      <c r="T11294" s="1095">
        <v>-20.808596999999999</v>
      </c>
    </row>
    <row r="11295" spans="16:20">
      <c r="P11295" s="1094">
        <v>4741</v>
      </c>
      <c r="Q11295" t="s">
        <v>11674</v>
      </c>
      <c r="R11295" t="s">
        <v>614</v>
      </c>
      <c r="S11295">
        <v>149.27169900000001</v>
      </c>
      <c r="T11295" s="1095">
        <v>-20.808596999999999</v>
      </c>
    </row>
    <row r="11296" spans="16:20">
      <c r="P11296" s="1094">
        <v>4741</v>
      </c>
      <c r="Q11296" t="s">
        <v>11675</v>
      </c>
      <c r="R11296" t="s">
        <v>614</v>
      </c>
      <c r="S11296">
        <v>149.27169900000001</v>
      </c>
      <c r="T11296" s="1095">
        <v>-20.808596999999999</v>
      </c>
    </row>
    <row r="11297" spans="16:20">
      <c r="P11297" s="1094">
        <v>4741</v>
      </c>
      <c r="Q11297" t="s">
        <v>11676</v>
      </c>
      <c r="R11297" t="s">
        <v>614</v>
      </c>
      <c r="S11297">
        <v>149.27169900000001</v>
      </c>
      <c r="T11297" s="1095">
        <v>-20.808596999999999</v>
      </c>
    </row>
    <row r="11298" spans="16:20">
      <c r="P11298" s="1094">
        <v>4741</v>
      </c>
      <c r="Q11298" t="s">
        <v>11677</v>
      </c>
      <c r="R11298" t="s">
        <v>614</v>
      </c>
      <c r="S11298">
        <v>149.27169900000001</v>
      </c>
      <c r="T11298" s="1095">
        <v>-20.808596999999999</v>
      </c>
    </row>
    <row r="11299" spans="16:20">
      <c r="P11299" s="1094">
        <v>4741</v>
      </c>
      <c r="Q11299" t="s">
        <v>11678</v>
      </c>
      <c r="R11299" t="s">
        <v>614</v>
      </c>
      <c r="S11299">
        <v>149.27169900000001</v>
      </c>
      <c r="T11299" s="1095">
        <v>-20.808596999999999</v>
      </c>
    </row>
    <row r="11300" spans="16:20">
      <c r="P11300" s="1094">
        <v>4741</v>
      </c>
      <c r="Q11300" t="s">
        <v>11679</v>
      </c>
      <c r="R11300" t="s">
        <v>614</v>
      </c>
      <c r="S11300">
        <v>149.27169900000001</v>
      </c>
      <c r="T11300" s="1095">
        <v>-20.808596999999999</v>
      </c>
    </row>
    <row r="11301" spans="16:20">
      <c r="P11301" s="1094">
        <v>4741</v>
      </c>
      <c r="Q11301" t="s">
        <v>11680</v>
      </c>
      <c r="R11301" t="s">
        <v>614</v>
      </c>
      <c r="S11301">
        <v>149.27169900000001</v>
      </c>
      <c r="T11301" s="1095">
        <v>-20.808596999999999</v>
      </c>
    </row>
    <row r="11302" spans="16:20">
      <c r="P11302" s="1094">
        <v>4741</v>
      </c>
      <c r="Q11302" t="s">
        <v>11681</v>
      </c>
      <c r="R11302" t="s">
        <v>614</v>
      </c>
      <c r="S11302">
        <v>149.27169900000001</v>
      </c>
      <c r="T11302" s="1095">
        <v>-20.808596999999999</v>
      </c>
    </row>
    <row r="11303" spans="16:20">
      <c r="P11303" s="1094">
        <v>4741</v>
      </c>
      <c r="Q11303" t="s">
        <v>11682</v>
      </c>
      <c r="R11303" t="s">
        <v>614</v>
      </c>
      <c r="S11303">
        <v>149.27169900000001</v>
      </c>
      <c r="T11303" s="1095">
        <v>-20.808596999999999</v>
      </c>
    </row>
    <row r="11304" spans="16:20">
      <c r="P11304" s="1094">
        <v>4741</v>
      </c>
      <c r="Q11304" t="s">
        <v>11683</v>
      </c>
      <c r="R11304" t="s">
        <v>614</v>
      </c>
      <c r="S11304">
        <v>149.27169900000001</v>
      </c>
      <c r="T11304" s="1095">
        <v>-20.808596999999999</v>
      </c>
    </row>
    <row r="11305" spans="16:20">
      <c r="P11305" s="1094">
        <v>4741</v>
      </c>
      <c r="Q11305" t="s">
        <v>11684</v>
      </c>
      <c r="R11305" t="s">
        <v>614</v>
      </c>
      <c r="S11305">
        <v>149.27169900000001</v>
      </c>
      <c r="T11305" s="1095">
        <v>-20.808596999999999</v>
      </c>
    </row>
    <row r="11306" spans="16:20">
      <c r="P11306" s="1094">
        <v>4741</v>
      </c>
      <c r="Q11306" t="s">
        <v>11685</v>
      </c>
      <c r="R11306" t="s">
        <v>614</v>
      </c>
      <c r="S11306">
        <v>149.27169900000001</v>
      </c>
      <c r="T11306" s="1095">
        <v>-20.808596999999999</v>
      </c>
    </row>
    <row r="11307" spans="16:20">
      <c r="P11307" s="1094">
        <v>4741</v>
      </c>
      <c r="Q11307" t="s">
        <v>11686</v>
      </c>
      <c r="R11307" t="s">
        <v>614</v>
      </c>
      <c r="S11307">
        <v>149.27169900000001</v>
      </c>
      <c r="T11307" s="1095">
        <v>-20.808596999999999</v>
      </c>
    </row>
    <row r="11308" spans="16:20">
      <c r="P11308" s="1094">
        <v>4741</v>
      </c>
      <c r="Q11308" t="s">
        <v>11687</v>
      </c>
      <c r="R11308" t="s">
        <v>614</v>
      </c>
      <c r="S11308">
        <v>149.27169900000001</v>
      </c>
      <c r="T11308" s="1095">
        <v>-20.808596999999999</v>
      </c>
    </row>
    <row r="11309" spans="16:20">
      <c r="P11309" s="1094">
        <v>4741</v>
      </c>
      <c r="Q11309" t="s">
        <v>11688</v>
      </c>
      <c r="R11309" t="s">
        <v>614</v>
      </c>
      <c r="S11309">
        <v>149.27169900000001</v>
      </c>
      <c r="T11309" s="1095">
        <v>-20.808596999999999</v>
      </c>
    </row>
    <row r="11310" spans="16:20">
      <c r="P11310" s="1094">
        <v>4741</v>
      </c>
      <c r="Q11310" t="s">
        <v>11689</v>
      </c>
      <c r="R11310" t="s">
        <v>614</v>
      </c>
      <c r="S11310">
        <v>149.27169900000001</v>
      </c>
      <c r="T11310" s="1095">
        <v>-20.808596999999999</v>
      </c>
    </row>
    <row r="11311" spans="16:20">
      <c r="P11311" s="1094">
        <v>4741</v>
      </c>
      <c r="Q11311" t="s">
        <v>11690</v>
      </c>
      <c r="R11311" t="s">
        <v>614</v>
      </c>
      <c r="S11311">
        <v>149.27169900000001</v>
      </c>
      <c r="T11311" s="1095">
        <v>-20.808596999999999</v>
      </c>
    </row>
    <row r="11312" spans="16:20">
      <c r="P11312" s="1094">
        <v>4741</v>
      </c>
      <c r="Q11312" t="s">
        <v>11691</v>
      </c>
      <c r="R11312" t="s">
        <v>614</v>
      </c>
      <c r="S11312">
        <v>149.27169900000001</v>
      </c>
      <c r="T11312" s="1095">
        <v>-20.808596999999999</v>
      </c>
    </row>
    <row r="11313" spans="16:20">
      <c r="P11313" s="1094">
        <v>4741</v>
      </c>
      <c r="Q11313" t="s">
        <v>11692</v>
      </c>
      <c r="R11313" t="s">
        <v>614</v>
      </c>
      <c r="S11313">
        <v>149.27169900000001</v>
      </c>
      <c r="T11313" s="1095">
        <v>-20.808596999999999</v>
      </c>
    </row>
    <row r="11314" spans="16:20">
      <c r="P11314" s="1094">
        <v>4741</v>
      </c>
      <c r="Q11314" t="s">
        <v>11693</v>
      </c>
      <c r="R11314" t="s">
        <v>614</v>
      </c>
      <c r="S11314">
        <v>149.27169900000001</v>
      </c>
      <c r="T11314" s="1095">
        <v>-20.808596999999999</v>
      </c>
    </row>
    <row r="11315" spans="16:20">
      <c r="P11315" s="1094">
        <v>4741</v>
      </c>
      <c r="Q11315" t="s">
        <v>11694</v>
      </c>
      <c r="R11315" t="s">
        <v>614</v>
      </c>
      <c r="S11315">
        <v>149.27169900000001</v>
      </c>
      <c r="T11315" s="1095">
        <v>-20.808596999999999</v>
      </c>
    </row>
    <row r="11316" spans="16:20">
      <c r="P11316" s="1094">
        <v>4741</v>
      </c>
      <c r="Q11316" t="s">
        <v>11695</v>
      </c>
      <c r="R11316" t="s">
        <v>614</v>
      </c>
      <c r="S11316">
        <v>149.27169900000001</v>
      </c>
      <c r="T11316" s="1095">
        <v>-20.808596999999999</v>
      </c>
    </row>
    <row r="11317" spans="16:20">
      <c r="P11317" s="1094">
        <v>4741</v>
      </c>
      <c r="Q11317" t="s">
        <v>5895</v>
      </c>
      <c r="R11317" t="s">
        <v>614</v>
      </c>
      <c r="S11317">
        <v>149.27169900000001</v>
      </c>
      <c r="T11317" s="1095">
        <v>-20.808596999999999</v>
      </c>
    </row>
    <row r="11318" spans="16:20">
      <c r="P11318" s="1094">
        <v>4741</v>
      </c>
      <c r="Q11318" t="s">
        <v>11696</v>
      </c>
      <c r="R11318" t="s">
        <v>614</v>
      </c>
      <c r="S11318">
        <v>149.27169900000001</v>
      </c>
      <c r="T11318" s="1095">
        <v>-20.808596999999999</v>
      </c>
    </row>
    <row r="11319" spans="16:20">
      <c r="P11319" s="1094">
        <v>4741</v>
      </c>
      <c r="Q11319" t="s">
        <v>1904</v>
      </c>
      <c r="R11319" t="s">
        <v>614</v>
      </c>
      <c r="S11319">
        <v>149.27169900000001</v>
      </c>
      <c r="T11319" s="1095">
        <v>-20.808596999999999</v>
      </c>
    </row>
    <row r="11320" spans="16:20">
      <c r="P11320" s="1094">
        <v>4741</v>
      </c>
      <c r="Q11320" t="s">
        <v>11697</v>
      </c>
      <c r="R11320" t="s">
        <v>614</v>
      </c>
      <c r="S11320">
        <v>149.27169900000001</v>
      </c>
      <c r="T11320" s="1095">
        <v>-20.808596999999999</v>
      </c>
    </row>
    <row r="11321" spans="16:20">
      <c r="P11321" s="1094">
        <v>4741</v>
      </c>
      <c r="Q11321" t="s">
        <v>11698</v>
      </c>
      <c r="R11321" t="s">
        <v>614</v>
      </c>
      <c r="S11321">
        <v>149.27169900000001</v>
      </c>
      <c r="T11321" s="1095">
        <v>-20.808596999999999</v>
      </c>
    </row>
    <row r="11322" spans="16:20">
      <c r="P11322" s="1094">
        <v>4742</v>
      </c>
      <c r="Q11322" t="s">
        <v>11699</v>
      </c>
      <c r="R11322" t="s">
        <v>614</v>
      </c>
      <c r="S11322">
        <v>148.56956400000001</v>
      </c>
      <c r="T11322" s="1095">
        <v>-21.754127</v>
      </c>
    </row>
    <row r="11323" spans="16:20">
      <c r="P11323" s="1094">
        <v>4742</v>
      </c>
      <c r="Q11323" t="s">
        <v>11700</v>
      </c>
      <c r="R11323" t="s">
        <v>614</v>
      </c>
      <c r="S11323">
        <v>148.56956400000001</v>
      </c>
      <c r="T11323" s="1095">
        <v>-21.754127</v>
      </c>
    </row>
    <row r="11324" spans="16:20">
      <c r="P11324" s="1094">
        <v>4742</v>
      </c>
      <c r="Q11324" t="s">
        <v>7623</v>
      </c>
      <c r="R11324" t="s">
        <v>614</v>
      </c>
      <c r="S11324">
        <v>148.56956400000001</v>
      </c>
      <c r="T11324" s="1095">
        <v>-21.754127</v>
      </c>
    </row>
    <row r="11325" spans="16:20">
      <c r="P11325" s="1094">
        <v>4742</v>
      </c>
      <c r="Q11325" t="s">
        <v>11701</v>
      </c>
      <c r="R11325" t="s">
        <v>614</v>
      </c>
      <c r="S11325">
        <v>148.56956400000001</v>
      </c>
      <c r="T11325" s="1095">
        <v>-21.754127</v>
      </c>
    </row>
    <row r="11326" spans="16:20">
      <c r="P11326" s="1094">
        <v>4742</v>
      </c>
      <c r="Q11326" t="s">
        <v>11702</v>
      </c>
      <c r="R11326" t="s">
        <v>614</v>
      </c>
      <c r="S11326">
        <v>148.56956400000001</v>
      </c>
      <c r="T11326" s="1095">
        <v>-21.754127</v>
      </c>
    </row>
    <row r="11327" spans="16:20">
      <c r="P11327" s="1094">
        <v>4742</v>
      </c>
      <c r="Q11327" t="s">
        <v>11703</v>
      </c>
      <c r="R11327" t="s">
        <v>614</v>
      </c>
      <c r="S11327">
        <v>148.56956400000001</v>
      </c>
      <c r="T11327" s="1095">
        <v>-21.754127</v>
      </c>
    </row>
    <row r="11328" spans="16:20">
      <c r="P11328" s="1094">
        <v>4742</v>
      </c>
      <c r="Q11328" t="s">
        <v>11704</v>
      </c>
      <c r="R11328" t="s">
        <v>614</v>
      </c>
      <c r="S11328">
        <v>148.56956400000001</v>
      </c>
      <c r="T11328" s="1095">
        <v>-21.754127</v>
      </c>
    </row>
    <row r="11329" spans="16:20">
      <c r="P11329" s="1094">
        <v>4742</v>
      </c>
      <c r="Q11329" t="s">
        <v>11705</v>
      </c>
      <c r="R11329" t="s">
        <v>614</v>
      </c>
      <c r="S11329">
        <v>148.56956400000001</v>
      </c>
      <c r="T11329" s="1095">
        <v>-21.754127</v>
      </c>
    </row>
    <row r="11330" spans="16:20">
      <c r="P11330" s="1094">
        <v>4742</v>
      </c>
      <c r="Q11330" t="s">
        <v>1710</v>
      </c>
      <c r="R11330" t="s">
        <v>614</v>
      </c>
      <c r="S11330">
        <v>148.56956400000001</v>
      </c>
      <c r="T11330" s="1095">
        <v>-21.754127</v>
      </c>
    </row>
    <row r="11331" spans="16:20">
      <c r="P11331" s="1094">
        <v>4742</v>
      </c>
      <c r="Q11331" t="s">
        <v>11706</v>
      </c>
      <c r="R11331" t="s">
        <v>614</v>
      </c>
      <c r="S11331">
        <v>148.56956400000001</v>
      </c>
      <c r="T11331" s="1095">
        <v>-21.754127</v>
      </c>
    </row>
    <row r="11332" spans="16:20">
      <c r="P11332" s="1094">
        <v>4742</v>
      </c>
      <c r="Q11332" t="s">
        <v>11707</v>
      </c>
      <c r="R11332" t="s">
        <v>614</v>
      </c>
      <c r="S11332">
        <v>148.56956400000001</v>
      </c>
      <c r="T11332" s="1095">
        <v>-21.754127</v>
      </c>
    </row>
    <row r="11333" spans="16:20">
      <c r="P11333" s="1094">
        <v>4743</v>
      </c>
      <c r="Q11333" t="s">
        <v>11708</v>
      </c>
      <c r="R11333" t="s">
        <v>614</v>
      </c>
      <c r="S11333">
        <v>147.90698599999999</v>
      </c>
      <c r="T11333" s="1095">
        <v>-21.453727000000001</v>
      </c>
    </row>
    <row r="11334" spans="16:20">
      <c r="P11334" s="1094">
        <v>4743</v>
      </c>
      <c r="Q11334" t="s">
        <v>11709</v>
      </c>
      <c r="R11334" t="s">
        <v>614</v>
      </c>
      <c r="S11334">
        <v>147.90698599999999</v>
      </c>
      <c r="T11334" s="1095">
        <v>-21.453727000000001</v>
      </c>
    </row>
    <row r="11335" spans="16:20">
      <c r="P11335" s="1094">
        <v>4744</v>
      </c>
      <c r="Q11335" t="s">
        <v>11710</v>
      </c>
      <c r="R11335" t="s">
        <v>614</v>
      </c>
      <c r="S11335">
        <v>148.04513399999999</v>
      </c>
      <c r="T11335" s="1095">
        <v>-22.018391999999999</v>
      </c>
    </row>
    <row r="11336" spans="16:20">
      <c r="P11336" s="1094">
        <v>4744</v>
      </c>
      <c r="Q11336" t="s">
        <v>11711</v>
      </c>
      <c r="R11336" t="s">
        <v>614</v>
      </c>
      <c r="S11336">
        <v>148.04513399999999</v>
      </c>
      <c r="T11336" s="1095">
        <v>-22.018391999999999</v>
      </c>
    </row>
    <row r="11337" spans="16:20">
      <c r="P11337" s="1094">
        <v>4745</v>
      </c>
      <c r="Q11337" t="s">
        <v>8327</v>
      </c>
      <c r="R11337" t="s">
        <v>614</v>
      </c>
      <c r="S11337">
        <v>148.259592</v>
      </c>
      <c r="T11337" s="1095">
        <v>-22.497883999999999</v>
      </c>
    </row>
    <row r="11338" spans="16:20">
      <c r="P11338" s="1094">
        <v>4745</v>
      </c>
      <c r="Q11338" t="s">
        <v>11712</v>
      </c>
      <c r="R11338" t="s">
        <v>614</v>
      </c>
      <c r="S11338">
        <v>148.259592</v>
      </c>
      <c r="T11338" s="1095">
        <v>-22.497883999999999</v>
      </c>
    </row>
    <row r="11339" spans="16:20">
      <c r="P11339" s="1094">
        <v>4746</v>
      </c>
      <c r="Q11339" t="s">
        <v>11713</v>
      </c>
      <c r="R11339" t="s">
        <v>614</v>
      </c>
      <c r="S11339">
        <v>148.850932</v>
      </c>
      <c r="T11339" s="1095">
        <v>-22.851944</v>
      </c>
    </row>
    <row r="11340" spans="16:20">
      <c r="P11340" s="1094">
        <v>4746</v>
      </c>
      <c r="Q11340" t="s">
        <v>11714</v>
      </c>
      <c r="R11340" t="s">
        <v>614</v>
      </c>
      <c r="S11340">
        <v>148.850932</v>
      </c>
      <c r="T11340" s="1095">
        <v>-22.851944</v>
      </c>
    </row>
    <row r="11341" spans="16:20">
      <c r="P11341" s="1094">
        <v>4746</v>
      </c>
      <c r="Q11341" t="s">
        <v>11715</v>
      </c>
      <c r="R11341" t="s">
        <v>614</v>
      </c>
      <c r="S11341">
        <v>148.850932</v>
      </c>
      <c r="T11341" s="1095">
        <v>-22.851944</v>
      </c>
    </row>
    <row r="11342" spans="16:20">
      <c r="P11342" s="1094">
        <v>4750</v>
      </c>
      <c r="Q11342" t="s">
        <v>11716</v>
      </c>
      <c r="R11342" t="s">
        <v>614</v>
      </c>
      <c r="S11342">
        <v>149.15228099999999</v>
      </c>
      <c r="T11342" s="1095">
        <v>-21.042566999999998</v>
      </c>
    </row>
    <row r="11343" spans="16:20">
      <c r="P11343" s="1094">
        <v>4750</v>
      </c>
      <c r="Q11343" t="s">
        <v>11717</v>
      </c>
      <c r="R11343" t="s">
        <v>614</v>
      </c>
      <c r="S11343">
        <v>149.15228099999999</v>
      </c>
      <c r="T11343" s="1095">
        <v>-21.042566999999998</v>
      </c>
    </row>
    <row r="11344" spans="16:20">
      <c r="P11344" s="1094">
        <v>4751</v>
      </c>
      <c r="Q11344" t="s">
        <v>9815</v>
      </c>
      <c r="R11344" t="s">
        <v>614</v>
      </c>
      <c r="S11344">
        <v>149.04070300000001</v>
      </c>
      <c r="T11344" s="1095">
        <v>-21.221858000000001</v>
      </c>
    </row>
    <row r="11345" spans="16:20">
      <c r="P11345" s="1094">
        <v>4751</v>
      </c>
      <c r="Q11345" t="s">
        <v>11718</v>
      </c>
      <c r="R11345" t="s">
        <v>614</v>
      </c>
      <c r="S11345">
        <v>149.04070300000001</v>
      </c>
      <c r="T11345" s="1095">
        <v>-21.221858000000001</v>
      </c>
    </row>
    <row r="11346" spans="16:20">
      <c r="P11346" s="1094">
        <v>4751</v>
      </c>
      <c r="Q11346" t="s">
        <v>11719</v>
      </c>
      <c r="R11346" t="s">
        <v>614</v>
      </c>
      <c r="S11346">
        <v>149.04070300000001</v>
      </c>
      <c r="T11346" s="1095">
        <v>-21.221858000000001</v>
      </c>
    </row>
    <row r="11347" spans="16:20">
      <c r="P11347" s="1094">
        <v>4751</v>
      </c>
      <c r="Q11347" t="s">
        <v>11720</v>
      </c>
      <c r="R11347" t="s">
        <v>614</v>
      </c>
      <c r="S11347">
        <v>149.04070300000001</v>
      </c>
      <c r="T11347" s="1095">
        <v>-21.221858000000001</v>
      </c>
    </row>
    <row r="11348" spans="16:20">
      <c r="P11348" s="1094">
        <v>4753</v>
      </c>
      <c r="Q11348" t="s">
        <v>11721</v>
      </c>
      <c r="R11348" t="s">
        <v>614</v>
      </c>
      <c r="S11348">
        <v>148.95254600000001</v>
      </c>
      <c r="T11348" s="1095">
        <v>-21.169015000000002</v>
      </c>
    </row>
    <row r="11349" spans="16:20">
      <c r="P11349" s="1094">
        <v>4753</v>
      </c>
      <c r="Q11349" t="s">
        <v>11722</v>
      </c>
      <c r="R11349" t="s">
        <v>614</v>
      </c>
      <c r="S11349">
        <v>148.95254600000001</v>
      </c>
      <c r="T11349" s="1095">
        <v>-21.169015000000002</v>
      </c>
    </row>
    <row r="11350" spans="16:20">
      <c r="P11350" s="1094">
        <v>4754</v>
      </c>
      <c r="Q11350" t="s">
        <v>11723</v>
      </c>
      <c r="R11350" t="s">
        <v>614</v>
      </c>
      <c r="S11350">
        <v>148.832763</v>
      </c>
      <c r="T11350" s="1095">
        <v>-21.188063</v>
      </c>
    </row>
    <row r="11351" spans="16:20">
      <c r="P11351" s="1094">
        <v>4754</v>
      </c>
      <c r="Q11351" t="s">
        <v>11724</v>
      </c>
      <c r="R11351" t="s">
        <v>614</v>
      </c>
      <c r="S11351">
        <v>148.832763</v>
      </c>
      <c r="T11351" s="1095">
        <v>-21.188063</v>
      </c>
    </row>
    <row r="11352" spans="16:20">
      <c r="P11352" s="1094">
        <v>4754</v>
      </c>
      <c r="Q11352" t="s">
        <v>7613</v>
      </c>
      <c r="R11352" t="s">
        <v>614</v>
      </c>
      <c r="S11352">
        <v>148.832763</v>
      </c>
      <c r="T11352" s="1095">
        <v>-21.188063</v>
      </c>
    </row>
    <row r="11353" spans="16:20">
      <c r="P11353" s="1094">
        <v>4754</v>
      </c>
      <c r="Q11353" t="s">
        <v>11725</v>
      </c>
      <c r="R11353" t="s">
        <v>614</v>
      </c>
      <c r="S11353">
        <v>148.832763</v>
      </c>
      <c r="T11353" s="1095">
        <v>-21.188063</v>
      </c>
    </row>
    <row r="11354" spans="16:20">
      <c r="P11354" s="1094">
        <v>4754</v>
      </c>
      <c r="Q11354" t="s">
        <v>11726</v>
      </c>
      <c r="R11354" t="s">
        <v>614</v>
      </c>
      <c r="S11354">
        <v>148.832763</v>
      </c>
      <c r="T11354" s="1095">
        <v>-21.188063</v>
      </c>
    </row>
    <row r="11355" spans="16:20">
      <c r="P11355" s="1094">
        <v>4754</v>
      </c>
      <c r="Q11355" t="s">
        <v>11727</v>
      </c>
      <c r="R11355" t="s">
        <v>614</v>
      </c>
      <c r="S11355">
        <v>148.832763</v>
      </c>
      <c r="T11355" s="1095">
        <v>-21.188063</v>
      </c>
    </row>
    <row r="11356" spans="16:20">
      <c r="P11356" s="1094">
        <v>4754</v>
      </c>
      <c r="Q11356" t="s">
        <v>11728</v>
      </c>
      <c r="R11356" t="s">
        <v>614</v>
      </c>
      <c r="S11356">
        <v>148.832763</v>
      </c>
      <c r="T11356" s="1095">
        <v>-21.188063</v>
      </c>
    </row>
    <row r="11357" spans="16:20">
      <c r="P11357" s="1094">
        <v>4756</v>
      </c>
      <c r="Q11357" t="s">
        <v>11729</v>
      </c>
      <c r="R11357" t="s">
        <v>614</v>
      </c>
      <c r="S11357">
        <v>148.60968199999999</v>
      </c>
      <c r="T11357" s="1095">
        <v>-21.126328999999998</v>
      </c>
    </row>
    <row r="11358" spans="16:20">
      <c r="P11358" s="1094">
        <v>4756</v>
      </c>
      <c r="Q11358" t="s">
        <v>11730</v>
      </c>
      <c r="R11358" t="s">
        <v>614</v>
      </c>
      <c r="S11358">
        <v>148.60968199999999</v>
      </c>
      <c r="T11358" s="1095">
        <v>-21.126328999999998</v>
      </c>
    </row>
    <row r="11359" spans="16:20">
      <c r="P11359" s="1094">
        <v>4757</v>
      </c>
      <c r="Q11359" t="s">
        <v>11731</v>
      </c>
      <c r="R11359" t="s">
        <v>614</v>
      </c>
      <c r="S11359">
        <v>148.50081</v>
      </c>
      <c r="T11359" s="1095">
        <v>-21.054268</v>
      </c>
    </row>
    <row r="11360" spans="16:20">
      <c r="P11360" s="1094">
        <v>4757</v>
      </c>
      <c r="Q11360" t="s">
        <v>11732</v>
      </c>
      <c r="R11360" t="s">
        <v>614</v>
      </c>
      <c r="S11360">
        <v>148.50081</v>
      </c>
      <c r="T11360" s="1095">
        <v>-21.054268</v>
      </c>
    </row>
    <row r="11361" spans="16:20">
      <c r="P11361" s="1094">
        <v>4757</v>
      </c>
      <c r="Q11361" t="s">
        <v>11733</v>
      </c>
      <c r="R11361" t="s">
        <v>614</v>
      </c>
      <c r="S11361">
        <v>148.50081</v>
      </c>
      <c r="T11361" s="1095">
        <v>-21.054268</v>
      </c>
    </row>
    <row r="11362" spans="16:20">
      <c r="P11362" s="1094">
        <v>4757</v>
      </c>
      <c r="Q11362" t="s">
        <v>4094</v>
      </c>
      <c r="R11362" t="s">
        <v>614</v>
      </c>
      <c r="S11362">
        <v>148.50081</v>
      </c>
      <c r="T11362" s="1095">
        <v>-21.054268</v>
      </c>
    </row>
    <row r="11363" spans="16:20">
      <c r="P11363" s="1094">
        <v>4757</v>
      </c>
      <c r="Q11363" t="s">
        <v>11734</v>
      </c>
      <c r="R11363" t="s">
        <v>614</v>
      </c>
      <c r="S11363">
        <v>148.50081</v>
      </c>
      <c r="T11363" s="1095">
        <v>-21.054268</v>
      </c>
    </row>
    <row r="11364" spans="16:20">
      <c r="P11364" s="1094">
        <v>4798</v>
      </c>
      <c r="Q11364" t="s">
        <v>11735</v>
      </c>
      <c r="R11364" t="s">
        <v>614</v>
      </c>
      <c r="S11364">
        <v>148.73779200000001</v>
      </c>
      <c r="T11364" s="1095">
        <v>-20.889914999999998</v>
      </c>
    </row>
    <row r="11365" spans="16:20">
      <c r="P11365" s="1094">
        <v>4798</v>
      </c>
      <c r="Q11365" t="s">
        <v>11736</v>
      </c>
      <c r="R11365" t="s">
        <v>614</v>
      </c>
      <c r="S11365">
        <v>148.73779200000001</v>
      </c>
      <c r="T11365" s="1095">
        <v>-20.889914999999998</v>
      </c>
    </row>
    <row r="11366" spans="16:20">
      <c r="P11366" s="1094">
        <v>4798</v>
      </c>
      <c r="Q11366" t="s">
        <v>11737</v>
      </c>
      <c r="R11366" t="s">
        <v>614</v>
      </c>
      <c r="S11366">
        <v>148.73779200000001</v>
      </c>
      <c r="T11366" s="1095">
        <v>-20.889914999999998</v>
      </c>
    </row>
    <row r="11367" spans="16:20">
      <c r="P11367" s="1094">
        <v>4798</v>
      </c>
      <c r="Q11367" t="s">
        <v>11738</v>
      </c>
      <c r="R11367" t="s">
        <v>614</v>
      </c>
      <c r="S11367">
        <v>148.73779200000001</v>
      </c>
      <c r="T11367" s="1095">
        <v>-20.889914999999998</v>
      </c>
    </row>
    <row r="11368" spans="16:20">
      <c r="P11368" s="1094">
        <v>4798</v>
      </c>
      <c r="Q11368" t="s">
        <v>11739</v>
      </c>
      <c r="R11368" t="s">
        <v>614</v>
      </c>
      <c r="S11368">
        <v>148.73779200000001</v>
      </c>
      <c r="T11368" s="1095">
        <v>-20.889914999999998</v>
      </c>
    </row>
    <row r="11369" spans="16:20">
      <c r="P11369" s="1094">
        <v>4799</v>
      </c>
      <c r="Q11369" t="s">
        <v>11740</v>
      </c>
      <c r="R11369" t="s">
        <v>614</v>
      </c>
      <c r="S11369">
        <v>148.62201099999999</v>
      </c>
      <c r="T11369" s="1095">
        <v>-20.720423</v>
      </c>
    </row>
    <row r="11370" spans="16:20">
      <c r="P11370" s="1094">
        <v>4799</v>
      </c>
      <c r="Q11370" t="s">
        <v>11741</v>
      </c>
      <c r="R11370" t="s">
        <v>614</v>
      </c>
      <c r="S11370">
        <v>148.62201099999999</v>
      </c>
      <c r="T11370" s="1095">
        <v>-20.720423</v>
      </c>
    </row>
    <row r="11371" spans="16:20">
      <c r="P11371" s="1094">
        <v>4800</v>
      </c>
      <c r="Q11371" t="s">
        <v>11742</v>
      </c>
      <c r="R11371" t="s">
        <v>614</v>
      </c>
      <c r="S11371">
        <v>148.51631699999999</v>
      </c>
      <c r="T11371" s="1095">
        <v>-20.465423000000001</v>
      </c>
    </row>
    <row r="11372" spans="16:20">
      <c r="P11372" s="1094">
        <v>4800</v>
      </c>
      <c r="Q11372" t="s">
        <v>8772</v>
      </c>
      <c r="R11372" t="s">
        <v>614</v>
      </c>
      <c r="S11372">
        <v>148.51631699999999</v>
      </c>
      <c r="T11372" s="1095">
        <v>-20.465423000000001</v>
      </c>
    </row>
    <row r="11373" spans="16:20">
      <c r="P11373" s="1094">
        <v>4800</v>
      </c>
      <c r="Q11373" t="s">
        <v>4691</v>
      </c>
      <c r="R11373" t="s">
        <v>614</v>
      </c>
      <c r="S11373">
        <v>148.51631699999999</v>
      </c>
      <c r="T11373" s="1095">
        <v>-20.465423000000001</v>
      </c>
    </row>
    <row r="11374" spans="16:20">
      <c r="P11374" s="1094">
        <v>4800</v>
      </c>
      <c r="Q11374" t="s">
        <v>11743</v>
      </c>
      <c r="R11374" t="s">
        <v>614</v>
      </c>
      <c r="S11374">
        <v>148.51631699999999</v>
      </c>
      <c r="T11374" s="1095">
        <v>-20.465423000000001</v>
      </c>
    </row>
    <row r="11375" spans="16:20">
      <c r="P11375" s="1094">
        <v>4800</v>
      </c>
      <c r="Q11375" t="s">
        <v>11744</v>
      </c>
      <c r="R11375" t="s">
        <v>614</v>
      </c>
      <c r="S11375">
        <v>148.51631699999999</v>
      </c>
      <c r="T11375" s="1095">
        <v>-20.465423000000001</v>
      </c>
    </row>
    <row r="11376" spans="16:20">
      <c r="P11376" s="1094">
        <v>4800</v>
      </c>
      <c r="Q11376" t="s">
        <v>11745</v>
      </c>
      <c r="R11376" t="s">
        <v>614</v>
      </c>
      <c r="S11376">
        <v>148.51631699999999</v>
      </c>
      <c r="T11376" s="1095">
        <v>-20.465423000000001</v>
      </c>
    </row>
    <row r="11377" spans="16:20">
      <c r="P11377" s="1094">
        <v>4800</v>
      </c>
      <c r="Q11377" t="s">
        <v>11746</v>
      </c>
      <c r="R11377" t="s">
        <v>614</v>
      </c>
      <c r="S11377">
        <v>148.51631699999999</v>
      </c>
      <c r="T11377" s="1095">
        <v>-20.465423000000001</v>
      </c>
    </row>
    <row r="11378" spans="16:20">
      <c r="P11378" s="1094">
        <v>4800</v>
      </c>
      <c r="Q11378" t="s">
        <v>11747</v>
      </c>
      <c r="R11378" t="s">
        <v>614</v>
      </c>
      <c r="S11378">
        <v>148.51631699999999</v>
      </c>
      <c r="T11378" s="1095">
        <v>-20.465423000000001</v>
      </c>
    </row>
    <row r="11379" spans="16:20">
      <c r="P11379" s="1094">
        <v>4800</v>
      </c>
      <c r="Q11379" t="s">
        <v>11748</v>
      </c>
      <c r="R11379" t="s">
        <v>614</v>
      </c>
      <c r="S11379">
        <v>148.51631699999999</v>
      </c>
      <c r="T11379" s="1095">
        <v>-20.465423000000001</v>
      </c>
    </row>
    <row r="11380" spans="16:20">
      <c r="P11380" s="1094">
        <v>4800</v>
      </c>
      <c r="Q11380" t="s">
        <v>11749</v>
      </c>
      <c r="R11380" t="s">
        <v>614</v>
      </c>
      <c r="S11380">
        <v>148.51631699999999</v>
      </c>
      <c r="T11380" s="1095">
        <v>-20.465423000000001</v>
      </c>
    </row>
    <row r="11381" spans="16:20">
      <c r="P11381" s="1094">
        <v>4800</v>
      </c>
      <c r="Q11381" t="s">
        <v>11750</v>
      </c>
      <c r="R11381" t="s">
        <v>614</v>
      </c>
      <c r="S11381">
        <v>148.51631699999999</v>
      </c>
      <c r="T11381" s="1095">
        <v>-20.465423000000001</v>
      </c>
    </row>
    <row r="11382" spans="16:20">
      <c r="P11382" s="1094">
        <v>4800</v>
      </c>
      <c r="Q11382" t="s">
        <v>11751</v>
      </c>
      <c r="R11382" t="s">
        <v>614</v>
      </c>
      <c r="S11382">
        <v>148.51631699999999</v>
      </c>
      <c r="T11382" s="1095">
        <v>-20.465423000000001</v>
      </c>
    </row>
    <row r="11383" spans="16:20">
      <c r="P11383" s="1094">
        <v>4800</v>
      </c>
      <c r="Q11383" t="s">
        <v>11752</v>
      </c>
      <c r="R11383" t="s">
        <v>614</v>
      </c>
      <c r="S11383">
        <v>148.51631699999999</v>
      </c>
      <c r="T11383" s="1095">
        <v>-20.465423000000001</v>
      </c>
    </row>
    <row r="11384" spans="16:20">
      <c r="P11384" s="1094">
        <v>4800</v>
      </c>
      <c r="Q11384" t="s">
        <v>11753</v>
      </c>
      <c r="R11384" t="s">
        <v>614</v>
      </c>
      <c r="S11384">
        <v>148.51631699999999</v>
      </c>
      <c r="T11384" s="1095">
        <v>-20.465423000000001</v>
      </c>
    </row>
    <row r="11385" spans="16:20">
      <c r="P11385" s="1094">
        <v>4800</v>
      </c>
      <c r="Q11385" t="s">
        <v>11754</v>
      </c>
      <c r="R11385" t="s">
        <v>614</v>
      </c>
      <c r="S11385">
        <v>148.51631699999999</v>
      </c>
      <c r="T11385" s="1095">
        <v>-20.465423000000001</v>
      </c>
    </row>
    <row r="11386" spans="16:20">
      <c r="P11386" s="1094">
        <v>4800</v>
      </c>
      <c r="Q11386" t="s">
        <v>11755</v>
      </c>
      <c r="R11386" t="s">
        <v>614</v>
      </c>
      <c r="S11386">
        <v>148.51631699999999</v>
      </c>
      <c r="T11386" s="1095">
        <v>-20.465423000000001</v>
      </c>
    </row>
    <row r="11387" spans="16:20">
      <c r="P11387" s="1094">
        <v>4800</v>
      </c>
      <c r="Q11387" t="s">
        <v>11206</v>
      </c>
      <c r="R11387" t="s">
        <v>614</v>
      </c>
      <c r="S11387">
        <v>148.51631699999999</v>
      </c>
      <c r="T11387" s="1095">
        <v>-20.465423000000001</v>
      </c>
    </row>
    <row r="11388" spans="16:20">
      <c r="P11388" s="1094">
        <v>4800</v>
      </c>
      <c r="Q11388" t="s">
        <v>11756</v>
      </c>
      <c r="R11388" t="s">
        <v>614</v>
      </c>
      <c r="S11388">
        <v>148.51631699999999</v>
      </c>
      <c r="T11388" s="1095">
        <v>-20.465423000000001</v>
      </c>
    </row>
    <row r="11389" spans="16:20">
      <c r="P11389" s="1094">
        <v>4800</v>
      </c>
      <c r="Q11389" t="s">
        <v>11757</v>
      </c>
      <c r="R11389" t="s">
        <v>614</v>
      </c>
      <c r="S11389">
        <v>148.51631699999999</v>
      </c>
      <c r="T11389" s="1095">
        <v>-20.465423000000001</v>
      </c>
    </row>
    <row r="11390" spans="16:20">
      <c r="P11390" s="1094">
        <v>4800</v>
      </c>
      <c r="Q11390" t="s">
        <v>11758</v>
      </c>
      <c r="R11390" t="s">
        <v>614</v>
      </c>
      <c r="S11390">
        <v>148.51631699999999</v>
      </c>
      <c r="T11390" s="1095">
        <v>-20.465423000000001</v>
      </c>
    </row>
    <row r="11391" spans="16:20">
      <c r="P11391" s="1094">
        <v>4800</v>
      </c>
      <c r="Q11391" t="s">
        <v>11759</v>
      </c>
      <c r="R11391" t="s">
        <v>614</v>
      </c>
      <c r="S11391">
        <v>148.51631699999999</v>
      </c>
      <c r="T11391" s="1095">
        <v>-20.465423000000001</v>
      </c>
    </row>
    <row r="11392" spans="16:20">
      <c r="P11392" s="1094">
        <v>4800</v>
      </c>
      <c r="Q11392" t="s">
        <v>11760</v>
      </c>
      <c r="R11392" t="s">
        <v>614</v>
      </c>
      <c r="S11392">
        <v>148.51631699999999</v>
      </c>
      <c r="T11392" s="1095">
        <v>-20.465423000000001</v>
      </c>
    </row>
    <row r="11393" spans="16:20">
      <c r="P11393" s="1094">
        <v>4800</v>
      </c>
      <c r="Q11393" t="s">
        <v>11761</v>
      </c>
      <c r="R11393" t="s">
        <v>614</v>
      </c>
      <c r="S11393">
        <v>148.51631699999999</v>
      </c>
      <c r="T11393" s="1095">
        <v>-20.465423000000001</v>
      </c>
    </row>
    <row r="11394" spans="16:20">
      <c r="P11394" s="1094">
        <v>4800</v>
      </c>
      <c r="Q11394" t="s">
        <v>11762</v>
      </c>
      <c r="R11394" t="s">
        <v>614</v>
      </c>
      <c r="S11394">
        <v>148.51631699999999</v>
      </c>
      <c r="T11394" s="1095">
        <v>-20.465423000000001</v>
      </c>
    </row>
    <row r="11395" spans="16:20">
      <c r="P11395" s="1094">
        <v>4800</v>
      </c>
      <c r="Q11395" t="s">
        <v>11763</v>
      </c>
      <c r="R11395" t="s">
        <v>614</v>
      </c>
      <c r="S11395">
        <v>148.51631699999999</v>
      </c>
      <c r="T11395" s="1095">
        <v>-20.465423000000001</v>
      </c>
    </row>
    <row r="11396" spans="16:20">
      <c r="P11396" s="1094">
        <v>4800</v>
      </c>
      <c r="Q11396" t="s">
        <v>11764</v>
      </c>
      <c r="R11396" t="s">
        <v>614</v>
      </c>
      <c r="S11396">
        <v>148.51631699999999</v>
      </c>
      <c r="T11396" s="1095">
        <v>-20.465423000000001</v>
      </c>
    </row>
    <row r="11397" spans="16:20">
      <c r="P11397" s="1094">
        <v>4800</v>
      </c>
      <c r="Q11397" t="s">
        <v>11765</v>
      </c>
      <c r="R11397" t="s">
        <v>614</v>
      </c>
      <c r="S11397">
        <v>148.51631699999999</v>
      </c>
      <c r="T11397" s="1095">
        <v>-20.465423000000001</v>
      </c>
    </row>
    <row r="11398" spans="16:20">
      <c r="P11398" s="1094">
        <v>4800</v>
      </c>
      <c r="Q11398" t="s">
        <v>11766</v>
      </c>
      <c r="R11398" t="s">
        <v>614</v>
      </c>
      <c r="S11398">
        <v>148.51631699999999</v>
      </c>
      <c r="T11398" s="1095">
        <v>-20.465423000000001</v>
      </c>
    </row>
    <row r="11399" spans="16:20">
      <c r="P11399" s="1094">
        <v>4800</v>
      </c>
      <c r="Q11399" t="s">
        <v>11214</v>
      </c>
      <c r="R11399" t="s">
        <v>614</v>
      </c>
      <c r="S11399">
        <v>148.51631699999999</v>
      </c>
      <c r="T11399" s="1095">
        <v>-20.465423000000001</v>
      </c>
    </row>
    <row r="11400" spans="16:20">
      <c r="P11400" s="1094">
        <v>4800</v>
      </c>
      <c r="Q11400" t="s">
        <v>2339</v>
      </c>
      <c r="R11400" t="s">
        <v>614</v>
      </c>
      <c r="S11400">
        <v>148.51631699999999</v>
      </c>
      <c r="T11400" s="1095">
        <v>-20.465423000000001</v>
      </c>
    </row>
    <row r="11401" spans="16:20">
      <c r="P11401" s="1094">
        <v>4800</v>
      </c>
      <c r="Q11401" t="s">
        <v>11767</v>
      </c>
      <c r="R11401" t="s">
        <v>614</v>
      </c>
      <c r="S11401">
        <v>148.51631699999999</v>
      </c>
      <c r="T11401" s="1095">
        <v>-20.465423000000001</v>
      </c>
    </row>
    <row r="11402" spans="16:20">
      <c r="P11402" s="1094">
        <v>4800</v>
      </c>
      <c r="Q11402" t="s">
        <v>6500</v>
      </c>
      <c r="R11402" t="s">
        <v>614</v>
      </c>
      <c r="S11402">
        <v>148.51631699999999</v>
      </c>
      <c r="T11402" s="1095">
        <v>-20.465423000000001</v>
      </c>
    </row>
    <row r="11403" spans="16:20">
      <c r="P11403" s="1094">
        <v>4800</v>
      </c>
      <c r="Q11403" t="s">
        <v>11768</v>
      </c>
      <c r="R11403" t="s">
        <v>614</v>
      </c>
      <c r="S11403">
        <v>148.51631699999999</v>
      </c>
      <c r="T11403" s="1095">
        <v>-20.465423000000001</v>
      </c>
    </row>
    <row r="11404" spans="16:20">
      <c r="P11404" s="1094">
        <v>4800</v>
      </c>
      <c r="Q11404" t="s">
        <v>11769</v>
      </c>
      <c r="R11404" t="s">
        <v>614</v>
      </c>
      <c r="S11404">
        <v>148.51631699999999</v>
      </c>
      <c r="T11404" s="1095">
        <v>-20.465423000000001</v>
      </c>
    </row>
    <row r="11405" spans="16:20">
      <c r="P11405" s="1094">
        <v>4800</v>
      </c>
      <c r="Q11405" t="s">
        <v>8638</v>
      </c>
      <c r="R11405" t="s">
        <v>614</v>
      </c>
      <c r="S11405">
        <v>148.51631699999999</v>
      </c>
      <c r="T11405" s="1095">
        <v>-20.465423000000001</v>
      </c>
    </row>
    <row r="11406" spans="16:20">
      <c r="P11406" s="1094">
        <v>4800</v>
      </c>
      <c r="Q11406" t="s">
        <v>11770</v>
      </c>
      <c r="R11406" t="s">
        <v>614</v>
      </c>
      <c r="S11406">
        <v>148.51631699999999</v>
      </c>
      <c r="T11406" s="1095">
        <v>-20.465423000000001</v>
      </c>
    </row>
    <row r="11407" spans="16:20">
      <c r="P11407" s="1094">
        <v>4800</v>
      </c>
      <c r="Q11407" t="s">
        <v>6841</v>
      </c>
      <c r="R11407" t="s">
        <v>614</v>
      </c>
      <c r="S11407">
        <v>148.51631699999999</v>
      </c>
      <c r="T11407" s="1095">
        <v>-20.465423000000001</v>
      </c>
    </row>
    <row r="11408" spans="16:20">
      <c r="P11408" s="1094">
        <v>4800</v>
      </c>
      <c r="Q11408" t="s">
        <v>11771</v>
      </c>
      <c r="R11408" t="s">
        <v>614</v>
      </c>
      <c r="S11408">
        <v>148.51631699999999</v>
      </c>
      <c r="T11408" s="1095">
        <v>-20.465423000000001</v>
      </c>
    </row>
    <row r="11409" spans="16:20">
      <c r="P11409" s="1094">
        <v>4800</v>
      </c>
      <c r="Q11409" t="s">
        <v>11772</v>
      </c>
      <c r="R11409" t="s">
        <v>614</v>
      </c>
      <c r="S11409">
        <v>148.51631699999999</v>
      </c>
      <c r="T11409" s="1095">
        <v>-20.465423000000001</v>
      </c>
    </row>
    <row r="11410" spans="16:20">
      <c r="P11410" s="1094">
        <v>4801</v>
      </c>
      <c r="Q11410" t="s">
        <v>11773</v>
      </c>
      <c r="R11410" t="s">
        <v>614</v>
      </c>
      <c r="S11410">
        <v>148.88716600000001</v>
      </c>
      <c r="T11410" s="1095">
        <v>-20.053296</v>
      </c>
    </row>
    <row r="11411" spans="16:20">
      <c r="P11411" s="1094">
        <v>4802</v>
      </c>
      <c r="Q11411" t="s">
        <v>11774</v>
      </c>
      <c r="R11411" t="s">
        <v>614</v>
      </c>
      <c r="S11411">
        <v>148.98903799999999</v>
      </c>
      <c r="T11411" s="1095">
        <v>-20.271072</v>
      </c>
    </row>
    <row r="11412" spans="16:20">
      <c r="P11412" s="1094">
        <v>4802</v>
      </c>
      <c r="Q11412" t="s">
        <v>11775</v>
      </c>
      <c r="R11412" t="s">
        <v>614</v>
      </c>
      <c r="S11412">
        <v>148.98903799999999</v>
      </c>
      <c r="T11412" s="1095">
        <v>-20.271072</v>
      </c>
    </row>
    <row r="11413" spans="16:20">
      <c r="P11413" s="1094">
        <v>4802</v>
      </c>
      <c r="Q11413" t="s">
        <v>11776</v>
      </c>
      <c r="R11413" t="s">
        <v>614</v>
      </c>
      <c r="S11413">
        <v>148.98903799999999</v>
      </c>
      <c r="T11413" s="1095">
        <v>-20.271072</v>
      </c>
    </row>
    <row r="11414" spans="16:20">
      <c r="P11414" s="1094">
        <v>4802</v>
      </c>
      <c r="Q11414" t="s">
        <v>11777</v>
      </c>
      <c r="R11414" t="s">
        <v>614</v>
      </c>
      <c r="S11414">
        <v>148.98903799999999</v>
      </c>
      <c r="T11414" s="1095">
        <v>-20.271072</v>
      </c>
    </row>
    <row r="11415" spans="16:20">
      <c r="P11415" s="1094">
        <v>4802</v>
      </c>
      <c r="Q11415" t="s">
        <v>11778</v>
      </c>
      <c r="R11415" t="s">
        <v>614</v>
      </c>
      <c r="S11415">
        <v>148.98903799999999</v>
      </c>
      <c r="T11415" s="1095">
        <v>-20.271072</v>
      </c>
    </row>
    <row r="11416" spans="16:20">
      <c r="P11416" s="1094">
        <v>4802</v>
      </c>
      <c r="Q11416" t="s">
        <v>11779</v>
      </c>
      <c r="R11416" t="s">
        <v>614</v>
      </c>
      <c r="S11416">
        <v>148.98903799999999</v>
      </c>
      <c r="T11416" s="1095">
        <v>-20.271072</v>
      </c>
    </row>
    <row r="11417" spans="16:20">
      <c r="P11417" s="1094">
        <v>4802</v>
      </c>
      <c r="Q11417" t="s">
        <v>11780</v>
      </c>
      <c r="R11417" t="s">
        <v>614</v>
      </c>
      <c r="S11417">
        <v>148.98903799999999</v>
      </c>
      <c r="T11417" s="1095">
        <v>-20.271072</v>
      </c>
    </row>
    <row r="11418" spans="16:20">
      <c r="P11418" s="1094">
        <v>4802</v>
      </c>
      <c r="Q11418" t="s">
        <v>11781</v>
      </c>
      <c r="R11418" t="s">
        <v>614</v>
      </c>
      <c r="S11418">
        <v>148.98903799999999</v>
      </c>
      <c r="T11418" s="1095">
        <v>-20.271072</v>
      </c>
    </row>
    <row r="11419" spans="16:20">
      <c r="P11419" s="1094">
        <v>4802</v>
      </c>
      <c r="Q11419" t="s">
        <v>11782</v>
      </c>
      <c r="R11419" t="s">
        <v>614</v>
      </c>
      <c r="S11419">
        <v>148.98903799999999</v>
      </c>
      <c r="T11419" s="1095">
        <v>-20.271072</v>
      </c>
    </row>
    <row r="11420" spans="16:20">
      <c r="P11420" s="1094">
        <v>4802</v>
      </c>
      <c r="Q11420" t="s">
        <v>11783</v>
      </c>
      <c r="R11420" t="s">
        <v>614</v>
      </c>
      <c r="S11420">
        <v>148.98903799999999</v>
      </c>
      <c r="T11420" s="1095">
        <v>-20.271072</v>
      </c>
    </row>
    <row r="11421" spans="16:20">
      <c r="P11421" s="1094">
        <v>4803</v>
      </c>
      <c r="Q11421" t="s">
        <v>11784</v>
      </c>
      <c r="R11421" t="s">
        <v>614</v>
      </c>
      <c r="S11421">
        <v>148.95882399999999</v>
      </c>
      <c r="T11421" s="1095">
        <v>-20.354067000000001</v>
      </c>
    </row>
    <row r="11422" spans="16:20">
      <c r="P11422" s="1094">
        <v>4804</v>
      </c>
      <c r="Q11422" t="s">
        <v>11785</v>
      </c>
      <c r="R11422" t="s">
        <v>614</v>
      </c>
      <c r="S11422">
        <v>147.518462</v>
      </c>
      <c r="T11422" s="1095">
        <v>-20.867951999999999</v>
      </c>
    </row>
    <row r="11423" spans="16:20">
      <c r="P11423" s="1094">
        <v>4804</v>
      </c>
      <c r="Q11423" t="s">
        <v>11786</v>
      </c>
      <c r="R11423" t="s">
        <v>614</v>
      </c>
      <c r="S11423">
        <v>147.518462</v>
      </c>
      <c r="T11423" s="1095">
        <v>-20.867951999999999</v>
      </c>
    </row>
    <row r="11424" spans="16:20">
      <c r="P11424" s="1094">
        <v>4804</v>
      </c>
      <c r="Q11424" t="s">
        <v>11787</v>
      </c>
      <c r="R11424" t="s">
        <v>614</v>
      </c>
      <c r="S11424">
        <v>147.518462</v>
      </c>
      <c r="T11424" s="1095">
        <v>-20.867951999999999</v>
      </c>
    </row>
    <row r="11425" spans="16:20">
      <c r="P11425" s="1094">
        <v>4804</v>
      </c>
      <c r="Q11425" t="s">
        <v>11788</v>
      </c>
      <c r="R11425" t="s">
        <v>614</v>
      </c>
      <c r="S11425">
        <v>147.518462</v>
      </c>
      <c r="T11425" s="1095">
        <v>-20.867951999999999</v>
      </c>
    </row>
    <row r="11426" spans="16:20">
      <c r="P11426" s="1094">
        <v>4804</v>
      </c>
      <c r="Q11426" t="s">
        <v>11789</v>
      </c>
      <c r="R11426" t="s">
        <v>614</v>
      </c>
      <c r="S11426">
        <v>147.518462</v>
      </c>
      <c r="T11426" s="1095">
        <v>-20.867951999999999</v>
      </c>
    </row>
    <row r="11427" spans="16:20">
      <c r="P11427" s="1094">
        <v>4804</v>
      </c>
      <c r="Q11427" t="s">
        <v>11790</v>
      </c>
      <c r="R11427" t="s">
        <v>614</v>
      </c>
      <c r="S11427">
        <v>147.518462</v>
      </c>
      <c r="T11427" s="1095">
        <v>-20.867951999999999</v>
      </c>
    </row>
    <row r="11428" spans="16:20">
      <c r="P11428" s="1094">
        <v>4805</v>
      </c>
      <c r="Q11428" t="s">
        <v>11791</v>
      </c>
      <c r="R11428" t="s">
        <v>614</v>
      </c>
      <c r="S11428">
        <v>148.457987</v>
      </c>
      <c r="T11428" s="1095">
        <v>-20.016611999999999</v>
      </c>
    </row>
    <row r="11429" spans="16:20">
      <c r="P11429" s="1094">
        <v>4805</v>
      </c>
      <c r="Q11429" t="s">
        <v>11792</v>
      </c>
      <c r="R11429" t="s">
        <v>614</v>
      </c>
      <c r="S11429">
        <v>148.457987</v>
      </c>
      <c r="T11429" s="1095">
        <v>-20.016611999999999</v>
      </c>
    </row>
    <row r="11430" spans="16:20">
      <c r="P11430" s="1094">
        <v>4805</v>
      </c>
      <c r="Q11430" t="s">
        <v>5868</v>
      </c>
      <c r="R11430" t="s">
        <v>614</v>
      </c>
      <c r="S11430">
        <v>148.457987</v>
      </c>
      <c r="T11430" s="1095">
        <v>-20.016611999999999</v>
      </c>
    </row>
    <row r="11431" spans="16:20">
      <c r="P11431" s="1094">
        <v>4805</v>
      </c>
      <c r="Q11431" t="s">
        <v>11793</v>
      </c>
      <c r="R11431" t="s">
        <v>614</v>
      </c>
      <c r="S11431">
        <v>148.457987</v>
      </c>
      <c r="T11431" s="1095">
        <v>-20.016611999999999</v>
      </c>
    </row>
    <row r="11432" spans="16:20">
      <c r="P11432" s="1094">
        <v>4805</v>
      </c>
      <c r="Q11432" t="s">
        <v>11794</v>
      </c>
      <c r="R11432" t="s">
        <v>614</v>
      </c>
      <c r="S11432">
        <v>148.457987</v>
      </c>
      <c r="T11432" s="1095">
        <v>-20.016611999999999</v>
      </c>
    </row>
    <row r="11433" spans="16:20">
      <c r="P11433" s="1094">
        <v>4805</v>
      </c>
      <c r="Q11433" t="s">
        <v>11795</v>
      </c>
      <c r="R11433" t="s">
        <v>614</v>
      </c>
      <c r="S11433">
        <v>148.457987</v>
      </c>
      <c r="T11433" s="1095">
        <v>-20.016611999999999</v>
      </c>
    </row>
    <row r="11434" spans="16:20">
      <c r="P11434" s="1094">
        <v>4805</v>
      </c>
      <c r="Q11434" t="s">
        <v>11796</v>
      </c>
      <c r="R11434" t="s">
        <v>614</v>
      </c>
      <c r="S11434">
        <v>148.457987</v>
      </c>
      <c r="T11434" s="1095">
        <v>-20.016611999999999</v>
      </c>
    </row>
    <row r="11435" spans="16:20">
      <c r="P11435" s="1094">
        <v>4805</v>
      </c>
      <c r="Q11435" t="s">
        <v>11797</v>
      </c>
      <c r="R11435" t="s">
        <v>614</v>
      </c>
      <c r="S11435">
        <v>148.457987</v>
      </c>
      <c r="T11435" s="1095">
        <v>-20.016611999999999</v>
      </c>
    </row>
    <row r="11436" spans="16:20">
      <c r="P11436" s="1094">
        <v>4805</v>
      </c>
      <c r="Q11436" t="s">
        <v>11798</v>
      </c>
      <c r="R11436" t="s">
        <v>614</v>
      </c>
      <c r="S11436">
        <v>148.457987</v>
      </c>
      <c r="T11436" s="1095">
        <v>-20.016611999999999</v>
      </c>
    </row>
    <row r="11437" spans="16:20">
      <c r="P11437" s="1094">
        <v>4805</v>
      </c>
      <c r="Q11437" t="s">
        <v>1768</v>
      </c>
      <c r="R11437" t="s">
        <v>614</v>
      </c>
      <c r="S11437">
        <v>148.457987</v>
      </c>
      <c r="T11437" s="1095">
        <v>-20.016611999999999</v>
      </c>
    </row>
    <row r="11438" spans="16:20">
      <c r="P11438" s="1094">
        <v>4806</v>
      </c>
      <c r="Q11438" t="s">
        <v>11799</v>
      </c>
      <c r="R11438" t="s">
        <v>614</v>
      </c>
      <c r="S11438">
        <v>147.416856</v>
      </c>
      <c r="T11438" s="1095">
        <v>-19.862877999999998</v>
      </c>
    </row>
    <row r="11439" spans="16:20">
      <c r="P11439" s="1094">
        <v>4806</v>
      </c>
      <c r="Q11439" t="s">
        <v>11800</v>
      </c>
      <c r="R11439" t="s">
        <v>614</v>
      </c>
      <c r="S11439">
        <v>147.416856</v>
      </c>
      <c r="T11439" s="1095">
        <v>-19.862877999999998</v>
      </c>
    </row>
    <row r="11440" spans="16:20">
      <c r="P11440" s="1094">
        <v>4806</v>
      </c>
      <c r="Q11440" t="s">
        <v>11801</v>
      </c>
      <c r="R11440" t="s">
        <v>614</v>
      </c>
      <c r="S11440">
        <v>147.416856</v>
      </c>
      <c r="T11440" s="1095">
        <v>-19.862877999999998</v>
      </c>
    </row>
    <row r="11441" spans="16:20">
      <c r="P11441" s="1094">
        <v>4806</v>
      </c>
      <c r="Q11441" t="s">
        <v>11802</v>
      </c>
      <c r="R11441" t="s">
        <v>614</v>
      </c>
      <c r="S11441">
        <v>147.416856</v>
      </c>
      <c r="T11441" s="1095">
        <v>-19.862877999999998</v>
      </c>
    </row>
    <row r="11442" spans="16:20">
      <c r="P11442" s="1094">
        <v>4806</v>
      </c>
      <c r="Q11442" t="s">
        <v>11803</v>
      </c>
      <c r="R11442" t="s">
        <v>614</v>
      </c>
      <c r="S11442">
        <v>147.416856</v>
      </c>
      <c r="T11442" s="1095">
        <v>-19.862877999999998</v>
      </c>
    </row>
    <row r="11443" spans="16:20">
      <c r="P11443" s="1094">
        <v>4806</v>
      </c>
      <c r="Q11443" t="s">
        <v>11804</v>
      </c>
      <c r="R11443" t="s">
        <v>614</v>
      </c>
      <c r="S11443">
        <v>147.416856</v>
      </c>
      <c r="T11443" s="1095">
        <v>-19.862877999999998</v>
      </c>
    </row>
    <row r="11444" spans="16:20">
      <c r="P11444" s="1094">
        <v>4806</v>
      </c>
      <c r="Q11444" t="s">
        <v>7730</v>
      </c>
      <c r="R11444" t="s">
        <v>614</v>
      </c>
      <c r="S11444">
        <v>147.416856</v>
      </c>
      <c r="T11444" s="1095">
        <v>-19.862877999999998</v>
      </c>
    </row>
    <row r="11445" spans="16:20">
      <c r="P11445" s="1094">
        <v>4806</v>
      </c>
      <c r="Q11445" t="s">
        <v>11805</v>
      </c>
      <c r="R11445" t="s">
        <v>614</v>
      </c>
      <c r="S11445">
        <v>147.416856</v>
      </c>
      <c r="T11445" s="1095">
        <v>-19.862877999999998</v>
      </c>
    </row>
    <row r="11446" spans="16:20">
      <c r="P11446" s="1094">
        <v>4806</v>
      </c>
      <c r="Q11446" t="s">
        <v>11806</v>
      </c>
      <c r="R11446" t="s">
        <v>614</v>
      </c>
      <c r="S11446">
        <v>147.416856</v>
      </c>
      <c r="T11446" s="1095">
        <v>-19.862877999999998</v>
      </c>
    </row>
    <row r="11447" spans="16:20">
      <c r="P11447" s="1094">
        <v>4806</v>
      </c>
      <c r="Q11447" t="s">
        <v>5247</v>
      </c>
      <c r="R11447" t="s">
        <v>614</v>
      </c>
      <c r="S11447">
        <v>147.416856</v>
      </c>
      <c r="T11447" s="1095">
        <v>-19.862877999999998</v>
      </c>
    </row>
    <row r="11448" spans="16:20">
      <c r="P11448" s="1094">
        <v>4806</v>
      </c>
      <c r="Q11448" t="s">
        <v>10240</v>
      </c>
      <c r="R11448" t="s">
        <v>614</v>
      </c>
      <c r="S11448">
        <v>147.416856</v>
      </c>
      <c r="T11448" s="1095">
        <v>-19.862877999999998</v>
      </c>
    </row>
    <row r="11449" spans="16:20">
      <c r="P11449" s="1094">
        <v>4806</v>
      </c>
      <c r="Q11449" t="s">
        <v>8396</v>
      </c>
      <c r="R11449" t="s">
        <v>614</v>
      </c>
      <c r="S11449">
        <v>147.416856</v>
      </c>
      <c r="T11449" s="1095">
        <v>-19.862877999999998</v>
      </c>
    </row>
    <row r="11450" spans="16:20">
      <c r="P11450" s="1094">
        <v>4806</v>
      </c>
      <c r="Q11450" t="s">
        <v>11807</v>
      </c>
      <c r="R11450" t="s">
        <v>614</v>
      </c>
      <c r="S11450">
        <v>147.416856</v>
      </c>
      <c r="T11450" s="1095">
        <v>-19.862877999999998</v>
      </c>
    </row>
    <row r="11451" spans="16:20">
      <c r="P11451" s="1094">
        <v>4807</v>
      </c>
      <c r="Q11451" t="s">
        <v>11808</v>
      </c>
      <c r="R11451" t="s">
        <v>614</v>
      </c>
      <c r="S11451">
        <v>147.13303300000001</v>
      </c>
      <c r="T11451" s="1095">
        <v>-19.914964999999999</v>
      </c>
    </row>
    <row r="11452" spans="16:20">
      <c r="P11452" s="1094">
        <v>4807</v>
      </c>
      <c r="Q11452" t="s">
        <v>11809</v>
      </c>
      <c r="R11452" t="s">
        <v>614</v>
      </c>
      <c r="S11452">
        <v>147.13303300000001</v>
      </c>
      <c r="T11452" s="1095">
        <v>-19.914964999999999</v>
      </c>
    </row>
    <row r="11453" spans="16:20">
      <c r="P11453" s="1094">
        <v>4807</v>
      </c>
      <c r="Q11453" t="s">
        <v>11810</v>
      </c>
      <c r="R11453" t="s">
        <v>614</v>
      </c>
      <c r="S11453">
        <v>147.13303300000001</v>
      </c>
      <c r="T11453" s="1095">
        <v>-19.914964999999999</v>
      </c>
    </row>
    <row r="11454" spans="16:20">
      <c r="P11454" s="1094">
        <v>4807</v>
      </c>
      <c r="Q11454" t="s">
        <v>11811</v>
      </c>
      <c r="R11454" t="s">
        <v>614</v>
      </c>
      <c r="S11454">
        <v>147.13303300000001</v>
      </c>
      <c r="T11454" s="1095">
        <v>-19.914964999999999</v>
      </c>
    </row>
    <row r="11455" spans="16:20">
      <c r="P11455" s="1094">
        <v>4807</v>
      </c>
      <c r="Q11455" t="s">
        <v>11812</v>
      </c>
      <c r="R11455" t="s">
        <v>614</v>
      </c>
      <c r="S11455">
        <v>147.13303300000001</v>
      </c>
      <c r="T11455" s="1095">
        <v>-19.914964999999999</v>
      </c>
    </row>
    <row r="11456" spans="16:20">
      <c r="P11456" s="1094">
        <v>4807</v>
      </c>
      <c r="Q11456" t="s">
        <v>11813</v>
      </c>
      <c r="R11456" t="s">
        <v>614</v>
      </c>
      <c r="S11456">
        <v>147.13303300000001</v>
      </c>
      <c r="T11456" s="1095">
        <v>-19.914964999999999</v>
      </c>
    </row>
    <row r="11457" spans="16:20">
      <c r="P11457" s="1094">
        <v>4807</v>
      </c>
      <c r="Q11457" t="s">
        <v>11814</v>
      </c>
      <c r="R11457" t="s">
        <v>614</v>
      </c>
      <c r="S11457">
        <v>147.13303300000001</v>
      </c>
      <c r="T11457" s="1095">
        <v>-19.914964999999999</v>
      </c>
    </row>
    <row r="11458" spans="16:20">
      <c r="P11458" s="1094">
        <v>4807</v>
      </c>
      <c r="Q11458" t="s">
        <v>11815</v>
      </c>
      <c r="R11458" t="s">
        <v>614</v>
      </c>
      <c r="S11458">
        <v>147.13303300000001</v>
      </c>
      <c r="T11458" s="1095">
        <v>-19.914964999999999</v>
      </c>
    </row>
    <row r="11459" spans="16:20">
      <c r="P11459" s="1094">
        <v>4807</v>
      </c>
      <c r="Q11459" t="s">
        <v>11816</v>
      </c>
      <c r="R11459" t="s">
        <v>614</v>
      </c>
      <c r="S11459">
        <v>147.13303300000001</v>
      </c>
      <c r="T11459" s="1095">
        <v>-19.914964999999999</v>
      </c>
    </row>
    <row r="11460" spans="16:20">
      <c r="P11460" s="1094">
        <v>4807</v>
      </c>
      <c r="Q11460" t="s">
        <v>11817</v>
      </c>
      <c r="R11460" t="s">
        <v>614</v>
      </c>
      <c r="S11460">
        <v>147.13303300000001</v>
      </c>
      <c r="T11460" s="1095">
        <v>-19.914964999999999</v>
      </c>
    </row>
    <row r="11461" spans="16:20">
      <c r="P11461" s="1094">
        <v>4807</v>
      </c>
      <c r="Q11461" t="s">
        <v>11818</v>
      </c>
      <c r="R11461" t="s">
        <v>614</v>
      </c>
      <c r="S11461">
        <v>147.13303300000001</v>
      </c>
      <c r="T11461" s="1095">
        <v>-19.914964999999999</v>
      </c>
    </row>
    <row r="11462" spans="16:20">
      <c r="P11462" s="1094">
        <v>4807</v>
      </c>
      <c r="Q11462" t="s">
        <v>11819</v>
      </c>
      <c r="R11462" t="s">
        <v>614</v>
      </c>
      <c r="S11462">
        <v>147.13303300000001</v>
      </c>
      <c r="T11462" s="1095">
        <v>-19.914964999999999</v>
      </c>
    </row>
    <row r="11463" spans="16:20">
      <c r="P11463" s="1094">
        <v>4807</v>
      </c>
      <c r="Q11463" t="s">
        <v>11820</v>
      </c>
      <c r="R11463" t="s">
        <v>614</v>
      </c>
      <c r="S11463">
        <v>147.13303300000001</v>
      </c>
      <c r="T11463" s="1095">
        <v>-19.914964999999999</v>
      </c>
    </row>
    <row r="11464" spans="16:20">
      <c r="P11464" s="1094">
        <v>4807</v>
      </c>
      <c r="Q11464" t="s">
        <v>11821</v>
      </c>
      <c r="R11464" t="s">
        <v>614</v>
      </c>
      <c r="S11464">
        <v>147.13303300000001</v>
      </c>
      <c r="T11464" s="1095">
        <v>-19.914964999999999</v>
      </c>
    </row>
    <row r="11465" spans="16:20">
      <c r="P11465" s="1094">
        <v>4807</v>
      </c>
      <c r="Q11465" t="s">
        <v>5593</v>
      </c>
      <c r="R11465" t="s">
        <v>614</v>
      </c>
      <c r="S11465">
        <v>147.13303300000001</v>
      </c>
      <c r="T11465" s="1095">
        <v>-19.914964999999999</v>
      </c>
    </row>
    <row r="11466" spans="16:20">
      <c r="P11466" s="1094">
        <v>4807</v>
      </c>
      <c r="Q11466" t="s">
        <v>11822</v>
      </c>
      <c r="R11466" t="s">
        <v>614</v>
      </c>
      <c r="S11466">
        <v>147.13303300000001</v>
      </c>
      <c r="T11466" s="1095">
        <v>-19.914964999999999</v>
      </c>
    </row>
    <row r="11467" spans="16:20">
      <c r="P11467" s="1094">
        <v>4807</v>
      </c>
      <c r="Q11467" t="s">
        <v>11823</v>
      </c>
      <c r="R11467" t="s">
        <v>614</v>
      </c>
      <c r="S11467">
        <v>147.13303300000001</v>
      </c>
      <c r="T11467" s="1095">
        <v>-19.914964999999999</v>
      </c>
    </row>
    <row r="11468" spans="16:20">
      <c r="P11468" s="1094">
        <v>4807</v>
      </c>
      <c r="Q11468" t="s">
        <v>11824</v>
      </c>
      <c r="R11468" t="s">
        <v>614</v>
      </c>
      <c r="S11468">
        <v>147.13303300000001</v>
      </c>
      <c r="T11468" s="1095">
        <v>-19.914964999999999</v>
      </c>
    </row>
    <row r="11469" spans="16:20">
      <c r="P11469" s="1094">
        <v>4808</v>
      </c>
      <c r="Q11469" t="s">
        <v>11825</v>
      </c>
      <c r="R11469" t="s">
        <v>614</v>
      </c>
      <c r="S11469">
        <v>147.30440100000001</v>
      </c>
      <c r="T11469" s="1095">
        <v>-19.510071</v>
      </c>
    </row>
    <row r="11470" spans="16:20">
      <c r="P11470" s="1094">
        <v>4808</v>
      </c>
      <c r="Q11470" t="s">
        <v>11826</v>
      </c>
      <c r="R11470" t="s">
        <v>614</v>
      </c>
      <c r="S11470">
        <v>147.30440100000001</v>
      </c>
      <c r="T11470" s="1095">
        <v>-19.510071</v>
      </c>
    </row>
    <row r="11471" spans="16:20">
      <c r="P11471" s="1094">
        <v>4809</v>
      </c>
      <c r="Q11471" t="s">
        <v>5379</v>
      </c>
      <c r="R11471" t="s">
        <v>614</v>
      </c>
      <c r="S11471">
        <v>147.13982100000001</v>
      </c>
      <c r="T11471" s="1095">
        <v>-19.530850000000001</v>
      </c>
    </row>
    <row r="11472" spans="16:20">
      <c r="P11472" s="1094">
        <v>4809</v>
      </c>
      <c r="Q11472" t="s">
        <v>11827</v>
      </c>
      <c r="R11472" t="s">
        <v>614</v>
      </c>
      <c r="S11472">
        <v>147.13982100000001</v>
      </c>
      <c r="T11472" s="1095">
        <v>-19.530850000000001</v>
      </c>
    </row>
    <row r="11473" spans="16:20">
      <c r="P11473" s="1094">
        <v>4809</v>
      </c>
      <c r="Q11473" t="s">
        <v>11828</v>
      </c>
      <c r="R11473" t="s">
        <v>614</v>
      </c>
      <c r="S11473">
        <v>147.13982100000001</v>
      </c>
      <c r="T11473" s="1095">
        <v>-19.530850000000001</v>
      </c>
    </row>
    <row r="11474" spans="16:20">
      <c r="P11474" s="1094">
        <v>4809</v>
      </c>
      <c r="Q11474" t="s">
        <v>11829</v>
      </c>
      <c r="R11474" t="s">
        <v>614</v>
      </c>
      <c r="S11474">
        <v>147.13982100000001</v>
      </c>
      <c r="T11474" s="1095">
        <v>-19.530850000000001</v>
      </c>
    </row>
    <row r="11475" spans="16:20">
      <c r="P11475" s="1094">
        <v>4809</v>
      </c>
      <c r="Q11475" t="s">
        <v>11830</v>
      </c>
      <c r="R11475" t="s">
        <v>614</v>
      </c>
      <c r="S11475">
        <v>147.13982100000001</v>
      </c>
      <c r="T11475" s="1095">
        <v>-19.530850000000001</v>
      </c>
    </row>
    <row r="11476" spans="16:20">
      <c r="P11476" s="1094">
        <v>4809</v>
      </c>
      <c r="Q11476" t="s">
        <v>11831</v>
      </c>
      <c r="R11476" t="s">
        <v>614</v>
      </c>
      <c r="S11476">
        <v>147.13982100000001</v>
      </c>
      <c r="T11476" s="1095">
        <v>-19.530850000000001</v>
      </c>
    </row>
    <row r="11477" spans="16:20">
      <c r="P11477" s="1094">
        <v>4809</v>
      </c>
      <c r="Q11477" t="s">
        <v>11832</v>
      </c>
      <c r="R11477" t="s">
        <v>614</v>
      </c>
      <c r="S11477">
        <v>147.13982100000001</v>
      </c>
      <c r="T11477" s="1095">
        <v>-19.530850000000001</v>
      </c>
    </row>
    <row r="11478" spans="16:20">
      <c r="P11478" s="1094">
        <v>4809</v>
      </c>
      <c r="Q11478" t="s">
        <v>11833</v>
      </c>
      <c r="R11478" t="s">
        <v>614</v>
      </c>
      <c r="S11478">
        <v>147.13982100000001</v>
      </c>
      <c r="T11478" s="1095">
        <v>-19.530850000000001</v>
      </c>
    </row>
    <row r="11479" spans="16:20">
      <c r="P11479" s="1094">
        <v>4810</v>
      </c>
      <c r="Q11479" t="s">
        <v>11834</v>
      </c>
      <c r="R11479" t="s">
        <v>614</v>
      </c>
      <c r="S11479">
        <v>146.76465899999999</v>
      </c>
      <c r="T11479" s="1095">
        <v>-19.227782999999999</v>
      </c>
    </row>
    <row r="11480" spans="16:20">
      <c r="P11480" s="1094">
        <v>4810</v>
      </c>
      <c r="Q11480" t="s">
        <v>11835</v>
      </c>
      <c r="R11480" t="s">
        <v>614</v>
      </c>
      <c r="S11480">
        <v>146.76465899999999</v>
      </c>
      <c r="T11480" s="1095">
        <v>-19.227782999999999</v>
      </c>
    </row>
    <row r="11481" spans="16:20">
      <c r="P11481" s="1094">
        <v>4810</v>
      </c>
      <c r="Q11481" t="s">
        <v>1703</v>
      </c>
      <c r="R11481" t="s">
        <v>614</v>
      </c>
      <c r="S11481">
        <v>146.76465899999999</v>
      </c>
      <c r="T11481" s="1095">
        <v>-19.227782999999999</v>
      </c>
    </row>
    <row r="11482" spans="16:20">
      <c r="P11482" s="1094">
        <v>4810</v>
      </c>
      <c r="Q11482" t="s">
        <v>11836</v>
      </c>
      <c r="R11482" t="s">
        <v>614</v>
      </c>
      <c r="S11482">
        <v>146.76465899999999</v>
      </c>
      <c r="T11482" s="1095">
        <v>-19.227782999999999</v>
      </c>
    </row>
    <row r="11483" spans="16:20">
      <c r="P11483" s="1094">
        <v>4810</v>
      </c>
      <c r="Q11483" t="s">
        <v>11837</v>
      </c>
      <c r="R11483" t="s">
        <v>614</v>
      </c>
      <c r="S11483">
        <v>146.76465899999999</v>
      </c>
      <c r="T11483" s="1095">
        <v>-19.227782999999999</v>
      </c>
    </row>
    <row r="11484" spans="16:20">
      <c r="P11484" s="1094">
        <v>4810</v>
      </c>
      <c r="Q11484" t="s">
        <v>11838</v>
      </c>
      <c r="R11484" t="s">
        <v>614</v>
      </c>
      <c r="S11484">
        <v>146.76465899999999</v>
      </c>
      <c r="T11484" s="1095">
        <v>-19.227782999999999</v>
      </c>
    </row>
    <row r="11485" spans="16:20">
      <c r="P11485" s="1094">
        <v>4810</v>
      </c>
      <c r="Q11485" t="s">
        <v>11839</v>
      </c>
      <c r="R11485" t="s">
        <v>614</v>
      </c>
      <c r="S11485">
        <v>146.76465899999999</v>
      </c>
      <c r="T11485" s="1095">
        <v>-19.227782999999999</v>
      </c>
    </row>
    <row r="11486" spans="16:20">
      <c r="P11486" s="1094">
        <v>4810</v>
      </c>
      <c r="Q11486" t="s">
        <v>11840</v>
      </c>
      <c r="R11486" t="s">
        <v>614</v>
      </c>
      <c r="S11486">
        <v>146.76465899999999</v>
      </c>
      <c r="T11486" s="1095">
        <v>-19.227782999999999</v>
      </c>
    </row>
    <row r="11487" spans="16:20">
      <c r="P11487" s="1094">
        <v>4810</v>
      </c>
      <c r="Q11487" t="s">
        <v>11841</v>
      </c>
      <c r="R11487" t="s">
        <v>614</v>
      </c>
      <c r="S11487">
        <v>146.76465899999999</v>
      </c>
      <c r="T11487" s="1095">
        <v>-19.227782999999999</v>
      </c>
    </row>
    <row r="11488" spans="16:20">
      <c r="P11488" s="1094">
        <v>4810</v>
      </c>
      <c r="Q11488" t="s">
        <v>11842</v>
      </c>
      <c r="R11488" t="s">
        <v>614</v>
      </c>
      <c r="S11488">
        <v>146.76465899999999</v>
      </c>
      <c r="T11488" s="1095">
        <v>-19.227782999999999</v>
      </c>
    </row>
    <row r="11489" spans="16:20">
      <c r="P11489" s="1094">
        <v>4810</v>
      </c>
      <c r="Q11489" t="s">
        <v>11843</v>
      </c>
      <c r="R11489" t="s">
        <v>614</v>
      </c>
      <c r="S11489">
        <v>146.76465899999999</v>
      </c>
      <c r="T11489" s="1095">
        <v>-19.227782999999999</v>
      </c>
    </row>
    <row r="11490" spans="16:20">
      <c r="P11490" s="1094">
        <v>4810</v>
      </c>
      <c r="Q11490" t="s">
        <v>11844</v>
      </c>
      <c r="R11490" t="s">
        <v>614</v>
      </c>
      <c r="S11490">
        <v>146.76465899999999</v>
      </c>
      <c r="T11490" s="1095">
        <v>-19.227782999999999</v>
      </c>
    </row>
    <row r="11491" spans="16:20">
      <c r="P11491" s="1094">
        <v>4810</v>
      </c>
      <c r="Q11491" t="s">
        <v>9513</v>
      </c>
      <c r="R11491" t="s">
        <v>614</v>
      </c>
      <c r="S11491">
        <v>146.76465899999999</v>
      </c>
      <c r="T11491" s="1095">
        <v>-19.227782999999999</v>
      </c>
    </row>
    <row r="11492" spans="16:20">
      <c r="P11492" s="1094">
        <v>4810</v>
      </c>
      <c r="Q11492" t="s">
        <v>1525</v>
      </c>
      <c r="R11492" t="s">
        <v>614</v>
      </c>
      <c r="S11492">
        <v>146.76465899999999</v>
      </c>
      <c r="T11492" s="1095">
        <v>-19.227782999999999</v>
      </c>
    </row>
    <row r="11493" spans="16:20">
      <c r="P11493" s="1094">
        <v>4811</v>
      </c>
      <c r="Q11493" t="s">
        <v>11845</v>
      </c>
      <c r="R11493" t="s">
        <v>614</v>
      </c>
      <c r="S11493">
        <v>146.84032500000001</v>
      </c>
      <c r="T11493" s="1095">
        <v>-19.323108999999999</v>
      </c>
    </row>
    <row r="11494" spans="16:20">
      <c r="P11494" s="1094">
        <v>4811</v>
      </c>
      <c r="Q11494" t="s">
        <v>11846</v>
      </c>
      <c r="R11494" t="s">
        <v>614</v>
      </c>
      <c r="S11494">
        <v>146.84032500000001</v>
      </c>
      <c r="T11494" s="1095">
        <v>-19.323108999999999</v>
      </c>
    </row>
    <row r="11495" spans="16:20">
      <c r="P11495" s="1094">
        <v>4811</v>
      </c>
      <c r="Q11495" t="s">
        <v>11847</v>
      </c>
      <c r="R11495" t="s">
        <v>614</v>
      </c>
      <c r="S11495">
        <v>146.84032500000001</v>
      </c>
      <c r="T11495" s="1095">
        <v>-19.323108999999999</v>
      </c>
    </row>
    <row r="11496" spans="16:20">
      <c r="P11496" s="1094">
        <v>4811</v>
      </c>
      <c r="Q11496" t="s">
        <v>11848</v>
      </c>
      <c r="R11496" t="s">
        <v>614</v>
      </c>
      <c r="S11496">
        <v>146.84032500000001</v>
      </c>
      <c r="T11496" s="1095">
        <v>-19.323108999999999</v>
      </c>
    </row>
    <row r="11497" spans="16:20">
      <c r="P11497" s="1094">
        <v>4811</v>
      </c>
      <c r="Q11497" t="s">
        <v>11849</v>
      </c>
      <c r="R11497" t="s">
        <v>614</v>
      </c>
      <c r="S11497">
        <v>146.84032500000001</v>
      </c>
      <c r="T11497" s="1095">
        <v>-19.323108999999999</v>
      </c>
    </row>
    <row r="11498" spans="16:20">
      <c r="P11498" s="1094">
        <v>4811</v>
      </c>
      <c r="Q11498" t="s">
        <v>11850</v>
      </c>
      <c r="R11498" t="s">
        <v>614</v>
      </c>
      <c r="S11498">
        <v>146.84032500000001</v>
      </c>
      <c r="T11498" s="1095">
        <v>-19.323108999999999</v>
      </c>
    </row>
    <row r="11499" spans="16:20">
      <c r="P11499" s="1094">
        <v>4811</v>
      </c>
      <c r="Q11499" t="s">
        <v>11851</v>
      </c>
      <c r="R11499" t="s">
        <v>614</v>
      </c>
      <c r="S11499">
        <v>146.84032500000001</v>
      </c>
      <c r="T11499" s="1095">
        <v>-19.323108999999999</v>
      </c>
    </row>
    <row r="11500" spans="16:20">
      <c r="P11500" s="1094">
        <v>4811</v>
      </c>
      <c r="Q11500" t="s">
        <v>11852</v>
      </c>
      <c r="R11500" t="s">
        <v>614</v>
      </c>
      <c r="S11500">
        <v>146.84032500000001</v>
      </c>
      <c r="T11500" s="1095">
        <v>-19.323108999999999</v>
      </c>
    </row>
    <row r="11501" spans="16:20">
      <c r="P11501" s="1094">
        <v>4811</v>
      </c>
      <c r="Q11501" t="s">
        <v>11853</v>
      </c>
      <c r="R11501" t="s">
        <v>614</v>
      </c>
      <c r="S11501">
        <v>146.84032500000001</v>
      </c>
      <c r="T11501" s="1095">
        <v>-19.323108999999999</v>
      </c>
    </row>
    <row r="11502" spans="16:20">
      <c r="P11502" s="1094">
        <v>4812</v>
      </c>
      <c r="Q11502" t="s">
        <v>11854</v>
      </c>
      <c r="R11502" t="s">
        <v>614</v>
      </c>
      <c r="S11502">
        <v>146.78771599999999</v>
      </c>
      <c r="T11502" s="1095">
        <v>-19.286635</v>
      </c>
    </row>
    <row r="11503" spans="16:20">
      <c r="P11503" s="1094">
        <v>4812</v>
      </c>
      <c r="Q11503" t="s">
        <v>11855</v>
      </c>
      <c r="R11503" t="s">
        <v>614</v>
      </c>
      <c r="S11503">
        <v>146.78771599999999</v>
      </c>
      <c r="T11503" s="1095">
        <v>-19.286635</v>
      </c>
    </row>
    <row r="11504" spans="16:20">
      <c r="P11504" s="1094">
        <v>4812</v>
      </c>
      <c r="Q11504" t="s">
        <v>11856</v>
      </c>
      <c r="R11504" t="s">
        <v>614</v>
      </c>
      <c r="S11504">
        <v>146.78771599999999</v>
      </c>
      <c r="T11504" s="1095">
        <v>-19.286635</v>
      </c>
    </row>
    <row r="11505" spans="16:20">
      <c r="P11505" s="1094">
        <v>4812</v>
      </c>
      <c r="Q11505" t="s">
        <v>11857</v>
      </c>
      <c r="R11505" t="s">
        <v>614</v>
      </c>
      <c r="S11505">
        <v>146.78771599999999</v>
      </c>
      <c r="T11505" s="1095">
        <v>-19.286635</v>
      </c>
    </row>
    <row r="11506" spans="16:20">
      <c r="P11506" s="1094">
        <v>4812</v>
      </c>
      <c r="Q11506" t="s">
        <v>11858</v>
      </c>
      <c r="R11506" t="s">
        <v>614</v>
      </c>
      <c r="S11506">
        <v>146.78771599999999</v>
      </c>
      <c r="T11506" s="1095">
        <v>-19.286635</v>
      </c>
    </row>
    <row r="11507" spans="16:20">
      <c r="P11507" s="1094">
        <v>4812</v>
      </c>
      <c r="Q11507" t="s">
        <v>11859</v>
      </c>
      <c r="R11507" t="s">
        <v>614</v>
      </c>
      <c r="S11507">
        <v>146.78771599999999</v>
      </c>
      <c r="T11507" s="1095">
        <v>-19.286635</v>
      </c>
    </row>
    <row r="11508" spans="16:20">
      <c r="P11508" s="1094">
        <v>4812</v>
      </c>
      <c r="Q11508" t="s">
        <v>11860</v>
      </c>
      <c r="R11508" t="s">
        <v>614</v>
      </c>
      <c r="S11508">
        <v>146.78771599999999</v>
      </c>
      <c r="T11508" s="1095">
        <v>-19.286635</v>
      </c>
    </row>
    <row r="11509" spans="16:20">
      <c r="P11509" s="1094">
        <v>4812</v>
      </c>
      <c r="Q11509" t="s">
        <v>3958</v>
      </c>
      <c r="R11509" t="s">
        <v>614</v>
      </c>
      <c r="S11509">
        <v>146.78771599999999</v>
      </c>
      <c r="T11509" s="1095">
        <v>-19.286635</v>
      </c>
    </row>
    <row r="11510" spans="16:20">
      <c r="P11510" s="1094">
        <v>4812</v>
      </c>
      <c r="Q11510" t="s">
        <v>11861</v>
      </c>
      <c r="R11510" t="s">
        <v>614</v>
      </c>
      <c r="S11510">
        <v>146.78771599999999</v>
      </c>
      <c r="T11510" s="1095">
        <v>-19.286635</v>
      </c>
    </row>
    <row r="11511" spans="16:20">
      <c r="P11511" s="1094">
        <v>4812</v>
      </c>
      <c r="Q11511" t="s">
        <v>11862</v>
      </c>
      <c r="R11511" t="s">
        <v>614</v>
      </c>
      <c r="S11511">
        <v>146.78771599999999</v>
      </c>
      <c r="T11511" s="1095">
        <v>-19.286635</v>
      </c>
    </row>
    <row r="11512" spans="16:20">
      <c r="P11512" s="1094">
        <v>4813</v>
      </c>
      <c r="Q11512" t="s">
        <v>11863</v>
      </c>
      <c r="R11512" t="s">
        <v>614</v>
      </c>
      <c r="S11512">
        <v>146.78636800000001</v>
      </c>
      <c r="T11512" s="1095">
        <v>-19.338927999999999</v>
      </c>
    </row>
    <row r="11513" spans="16:20">
      <c r="P11513" s="1094">
        <v>4813</v>
      </c>
      <c r="Q11513" t="s">
        <v>11864</v>
      </c>
      <c r="R11513" t="s">
        <v>614</v>
      </c>
      <c r="S11513">
        <v>146.78636800000001</v>
      </c>
      <c r="T11513" s="1095">
        <v>-19.338927999999999</v>
      </c>
    </row>
    <row r="11514" spans="16:20">
      <c r="P11514" s="1094">
        <v>4814</v>
      </c>
      <c r="Q11514" t="s">
        <v>11865</v>
      </c>
      <c r="R11514" t="s">
        <v>614</v>
      </c>
      <c r="S11514">
        <v>146.75474500000001</v>
      </c>
      <c r="T11514" s="1095">
        <v>-19.285820999999999</v>
      </c>
    </row>
    <row r="11515" spans="16:20">
      <c r="P11515" s="1094">
        <v>4814</v>
      </c>
      <c r="Q11515" t="s">
        <v>11866</v>
      </c>
      <c r="R11515" t="s">
        <v>614</v>
      </c>
      <c r="S11515">
        <v>146.75474500000001</v>
      </c>
      <c r="T11515" s="1095">
        <v>-19.285820999999999</v>
      </c>
    </row>
    <row r="11516" spans="16:20">
      <c r="P11516" s="1094">
        <v>4814</v>
      </c>
      <c r="Q11516" t="s">
        <v>1797</v>
      </c>
      <c r="R11516" t="s">
        <v>614</v>
      </c>
      <c r="S11516">
        <v>146.75474500000001</v>
      </c>
      <c r="T11516" s="1095">
        <v>-19.285820999999999</v>
      </c>
    </row>
    <row r="11517" spans="16:20">
      <c r="P11517" s="1094">
        <v>4814</v>
      </c>
      <c r="Q11517" t="s">
        <v>11867</v>
      </c>
      <c r="R11517" t="s">
        <v>614</v>
      </c>
      <c r="S11517">
        <v>146.75474500000001</v>
      </c>
      <c r="T11517" s="1095">
        <v>-19.285820999999999</v>
      </c>
    </row>
    <row r="11518" spans="16:20">
      <c r="P11518" s="1094">
        <v>4814</v>
      </c>
      <c r="Q11518" t="s">
        <v>7506</v>
      </c>
      <c r="R11518" t="s">
        <v>614</v>
      </c>
      <c r="S11518">
        <v>146.75474500000001</v>
      </c>
      <c r="T11518" s="1095">
        <v>-19.285820999999999</v>
      </c>
    </row>
    <row r="11519" spans="16:20">
      <c r="P11519" s="1094">
        <v>4814</v>
      </c>
      <c r="Q11519" t="s">
        <v>11868</v>
      </c>
      <c r="R11519" t="s">
        <v>614</v>
      </c>
      <c r="S11519">
        <v>146.75474500000001</v>
      </c>
      <c r="T11519" s="1095">
        <v>-19.285820999999999</v>
      </c>
    </row>
    <row r="11520" spans="16:20">
      <c r="P11520" s="1094">
        <v>4814</v>
      </c>
      <c r="Q11520" t="s">
        <v>11869</v>
      </c>
      <c r="R11520" t="s">
        <v>614</v>
      </c>
      <c r="S11520">
        <v>146.75474500000001</v>
      </c>
      <c r="T11520" s="1095">
        <v>-19.285820999999999</v>
      </c>
    </row>
    <row r="11521" spans="16:20">
      <c r="P11521" s="1094">
        <v>4814</v>
      </c>
      <c r="Q11521" t="s">
        <v>11870</v>
      </c>
      <c r="R11521" t="s">
        <v>614</v>
      </c>
      <c r="S11521">
        <v>146.75474500000001</v>
      </c>
      <c r="T11521" s="1095">
        <v>-19.285820999999999</v>
      </c>
    </row>
    <row r="11522" spans="16:20">
      <c r="P11522" s="1094">
        <v>4814</v>
      </c>
      <c r="Q11522" t="s">
        <v>11871</v>
      </c>
      <c r="R11522" t="s">
        <v>614</v>
      </c>
      <c r="S11522">
        <v>146.75474500000001</v>
      </c>
      <c r="T11522" s="1095">
        <v>-19.285820999999999</v>
      </c>
    </row>
    <row r="11523" spans="16:20">
      <c r="P11523" s="1094">
        <v>4814</v>
      </c>
      <c r="Q11523" t="s">
        <v>11872</v>
      </c>
      <c r="R11523" t="s">
        <v>614</v>
      </c>
      <c r="S11523">
        <v>146.75474500000001</v>
      </c>
      <c r="T11523" s="1095">
        <v>-19.285820999999999</v>
      </c>
    </row>
    <row r="11524" spans="16:20">
      <c r="P11524" s="1094">
        <v>4814</v>
      </c>
      <c r="Q11524" t="s">
        <v>11873</v>
      </c>
      <c r="R11524" t="s">
        <v>614</v>
      </c>
      <c r="S11524">
        <v>146.75474500000001</v>
      </c>
      <c r="T11524" s="1095">
        <v>-19.285820999999999</v>
      </c>
    </row>
    <row r="11525" spans="16:20">
      <c r="P11525" s="1094">
        <v>4814</v>
      </c>
      <c r="Q11525" t="s">
        <v>11874</v>
      </c>
      <c r="R11525" t="s">
        <v>614</v>
      </c>
      <c r="S11525">
        <v>146.75474500000001</v>
      </c>
      <c r="T11525" s="1095">
        <v>-19.285820999999999</v>
      </c>
    </row>
    <row r="11526" spans="16:20">
      <c r="P11526" s="1094">
        <v>4814</v>
      </c>
      <c r="Q11526" t="s">
        <v>11875</v>
      </c>
      <c r="R11526" t="s">
        <v>614</v>
      </c>
      <c r="S11526">
        <v>146.75474500000001</v>
      </c>
      <c r="T11526" s="1095">
        <v>-19.285820999999999</v>
      </c>
    </row>
    <row r="11527" spans="16:20">
      <c r="P11527" s="1094">
        <v>4815</v>
      </c>
      <c r="Q11527" t="s">
        <v>11876</v>
      </c>
      <c r="R11527" t="s">
        <v>614</v>
      </c>
      <c r="S11527">
        <v>146.70758599999999</v>
      </c>
      <c r="T11527" s="1095">
        <v>-19.372329000000001</v>
      </c>
    </row>
    <row r="11528" spans="16:20">
      <c r="P11528" s="1094">
        <v>4815</v>
      </c>
      <c r="Q11528" t="s">
        <v>5797</v>
      </c>
      <c r="R11528" t="s">
        <v>614</v>
      </c>
      <c r="S11528">
        <v>146.70758599999999</v>
      </c>
      <c r="T11528" s="1095">
        <v>-19.372329000000001</v>
      </c>
    </row>
    <row r="11529" spans="16:20">
      <c r="P11529" s="1094">
        <v>4815</v>
      </c>
      <c r="Q11529" t="s">
        <v>11877</v>
      </c>
      <c r="R11529" t="s">
        <v>614</v>
      </c>
      <c r="S11529">
        <v>146.70758599999999</v>
      </c>
      <c r="T11529" s="1095">
        <v>-19.372329000000001</v>
      </c>
    </row>
    <row r="11530" spans="16:20">
      <c r="P11530" s="1094">
        <v>4815</v>
      </c>
      <c r="Q11530" t="s">
        <v>11878</v>
      </c>
      <c r="R11530" t="s">
        <v>614</v>
      </c>
      <c r="S11530">
        <v>146.70758599999999</v>
      </c>
      <c r="T11530" s="1095">
        <v>-19.372329000000001</v>
      </c>
    </row>
    <row r="11531" spans="16:20">
      <c r="P11531" s="1094">
        <v>4816</v>
      </c>
      <c r="Q11531" t="s">
        <v>11610</v>
      </c>
      <c r="R11531" t="s">
        <v>614</v>
      </c>
      <c r="S11531">
        <v>146.791529</v>
      </c>
      <c r="T11531" s="1095">
        <v>-19.787858</v>
      </c>
    </row>
    <row r="11532" spans="16:20">
      <c r="P11532" s="1094">
        <v>4816</v>
      </c>
      <c r="Q11532" t="s">
        <v>11879</v>
      </c>
      <c r="R11532" t="s">
        <v>614</v>
      </c>
      <c r="S11532">
        <v>146.791529</v>
      </c>
      <c r="T11532" s="1095">
        <v>-19.787858</v>
      </c>
    </row>
    <row r="11533" spans="16:20">
      <c r="P11533" s="1094">
        <v>4816</v>
      </c>
      <c r="Q11533" t="s">
        <v>11880</v>
      </c>
      <c r="R11533" t="s">
        <v>614</v>
      </c>
      <c r="S11533">
        <v>146.791529</v>
      </c>
      <c r="T11533" s="1095">
        <v>-19.787858</v>
      </c>
    </row>
    <row r="11534" spans="16:20">
      <c r="P11534" s="1094">
        <v>4816</v>
      </c>
      <c r="Q11534" t="s">
        <v>2647</v>
      </c>
      <c r="R11534" t="s">
        <v>614</v>
      </c>
      <c r="S11534">
        <v>146.791529</v>
      </c>
      <c r="T11534" s="1095">
        <v>-19.787858</v>
      </c>
    </row>
    <row r="11535" spans="16:20">
      <c r="P11535" s="1094">
        <v>4816</v>
      </c>
      <c r="Q11535" t="s">
        <v>11881</v>
      </c>
      <c r="R11535" t="s">
        <v>614</v>
      </c>
      <c r="S11535">
        <v>146.791529</v>
      </c>
      <c r="T11535" s="1095">
        <v>-19.787858</v>
      </c>
    </row>
    <row r="11536" spans="16:20">
      <c r="P11536" s="1094">
        <v>4816</v>
      </c>
      <c r="Q11536" t="s">
        <v>11882</v>
      </c>
      <c r="R11536" t="s">
        <v>614</v>
      </c>
      <c r="S11536">
        <v>146.791529</v>
      </c>
      <c r="T11536" s="1095">
        <v>-19.787858</v>
      </c>
    </row>
    <row r="11537" spans="16:20">
      <c r="P11537" s="1094">
        <v>4816</v>
      </c>
      <c r="Q11537" t="s">
        <v>11883</v>
      </c>
      <c r="R11537" t="s">
        <v>614</v>
      </c>
      <c r="S11537">
        <v>146.791529</v>
      </c>
      <c r="T11537" s="1095">
        <v>-19.787858</v>
      </c>
    </row>
    <row r="11538" spans="16:20">
      <c r="P11538" s="1094">
        <v>4816</v>
      </c>
      <c r="Q11538" t="s">
        <v>11884</v>
      </c>
      <c r="R11538" t="s">
        <v>614</v>
      </c>
      <c r="S11538">
        <v>146.791529</v>
      </c>
      <c r="T11538" s="1095">
        <v>-19.787858</v>
      </c>
    </row>
    <row r="11539" spans="16:20">
      <c r="P11539" s="1094">
        <v>4816</v>
      </c>
      <c r="Q11539" t="s">
        <v>11885</v>
      </c>
      <c r="R11539" t="s">
        <v>614</v>
      </c>
      <c r="S11539">
        <v>146.791529</v>
      </c>
      <c r="T11539" s="1095">
        <v>-19.787858</v>
      </c>
    </row>
    <row r="11540" spans="16:20">
      <c r="P11540" s="1094">
        <v>4816</v>
      </c>
      <c r="Q11540" t="s">
        <v>6479</v>
      </c>
      <c r="R11540" t="s">
        <v>614</v>
      </c>
      <c r="S11540">
        <v>146.791529</v>
      </c>
      <c r="T11540" s="1095">
        <v>-19.787858</v>
      </c>
    </row>
    <row r="11541" spans="16:20">
      <c r="P11541" s="1094">
        <v>4816</v>
      </c>
      <c r="Q11541" t="s">
        <v>8652</v>
      </c>
      <c r="R11541" t="s">
        <v>614</v>
      </c>
      <c r="S11541">
        <v>146.791529</v>
      </c>
      <c r="T11541" s="1095">
        <v>-19.787858</v>
      </c>
    </row>
    <row r="11542" spans="16:20">
      <c r="P11542" s="1094">
        <v>4816</v>
      </c>
      <c r="Q11542" t="s">
        <v>11886</v>
      </c>
      <c r="R11542" t="s">
        <v>614</v>
      </c>
      <c r="S11542">
        <v>146.791529</v>
      </c>
      <c r="T11542" s="1095">
        <v>-19.787858</v>
      </c>
    </row>
    <row r="11543" spans="16:20">
      <c r="P11543" s="1094">
        <v>4816</v>
      </c>
      <c r="Q11543" t="s">
        <v>11887</v>
      </c>
      <c r="R11543" t="s">
        <v>614</v>
      </c>
      <c r="S11543">
        <v>146.791529</v>
      </c>
      <c r="T11543" s="1095">
        <v>-19.787858</v>
      </c>
    </row>
    <row r="11544" spans="16:20">
      <c r="P11544" s="1094">
        <v>4816</v>
      </c>
      <c r="Q11544" t="s">
        <v>11888</v>
      </c>
      <c r="R11544" t="s">
        <v>614</v>
      </c>
      <c r="S11544">
        <v>146.791529</v>
      </c>
      <c r="T11544" s="1095">
        <v>-19.787858</v>
      </c>
    </row>
    <row r="11545" spans="16:20">
      <c r="P11545" s="1094">
        <v>4816</v>
      </c>
      <c r="Q11545" t="s">
        <v>11889</v>
      </c>
      <c r="R11545" t="s">
        <v>614</v>
      </c>
      <c r="S11545">
        <v>146.791529</v>
      </c>
      <c r="T11545" s="1095">
        <v>-19.787858</v>
      </c>
    </row>
    <row r="11546" spans="16:20">
      <c r="P11546" s="1094">
        <v>4816</v>
      </c>
      <c r="Q11546" t="s">
        <v>4944</v>
      </c>
      <c r="R11546" t="s">
        <v>614</v>
      </c>
      <c r="S11546">
        <v>146.791529</v>
      </c>
      <c r="T11546" s="1095">
        <v>-19.787858</v>
      </c>
    </row>
    <row r="11547" spans="16:20">
      <c r="P11547" s="1094">
        <v>4816</v>
      </c>
      <c r="Q11547" t="s">
        <v>11890</v>
      </c>
      <c r="R11547" t="s">
        <v>614</v>
      </c>
      <c r="S11547">
        <v>146.791529</v>
      </c>
      <c r="T11547" s="1095">
        <v>-19.787858</v>
      </c>
    </row>
    <row r="11548" spans="16:20">
      <c r="P11548" s="1094">
        <v>4816</v>
      </c>
      <c r="Q11548" t="s">
        <v>11891</v>
      </c>
      <c r="R11548" t="s">
        <v>614</v>
      </c>
      <c r="S11548">
        <v>146.791529</v>
      </c>
      <c r="T11548" s="1095">
        <v>-19.787858</v>
      </c>
    </row>
    <row r="11549" spans="16:20">
      <c r="P11549" s="1094">
        <v>4816</v>
      </c>
      <c r="Q11549" t="s">
        <v>11892</v>
      </c>
      <c r="R11549" t="s">
        <v>614</v>
      </c>
      <c r="S11549">
        <v>146.791529</v>
      </c>
      <c r="T11549" s="1095">
        <v>-19.787858</v>
      </c>
    </row>
    <row r="11550" spans="16:20">
      <c r="P11550" s="1094">
        <v>4816</v>
      </c>
      <c r="Q11550" t="s">
        <v>2286</v>
      </c>
      <c r="R11550" t="s">
        <v>614</v>
      </c>
      <c r="S11550">
        <v>146.791529</v>
      </c>
      <c r="T11550" s="1095">
        <v>-19.787858</v>
      </c>
    </row>
    <row r="11551" spans="16:20">
      <c r="P11551" s="1094">
        <v>4816</v>
      </c>
      <c r="Q11551" t="s">
        <v>11893</v>
      </c>
      <c r="R11551" t="s">
        <v>614</v>
      </c>
      <c r="S11551">
        <v>146.791529</v>
      </c>
      <c r="T11551" s="1095">
        <v>-19.787858</v>
      </c>
    </row>
    <row r="11552" spans="16:20">
      <c r="P11552" s="1094">
        <v>4816</v>
      </c>
      <c r="Q11552" t="s">
        <v>11894</v>
      </c>
      <c r="R11552" t="s">
        <v>614</v>
      </c>
      <c r="S11552">
        <v>146.791529</v>
      </c>
      <c r="T11552" s="1095">
        <v>-19.787858</v>
      </c>
    </row>
    <row r="11553" spans="16:20">
      <c r="P11553" s="1094">
        <v>4816</v>
      </c>
      <c r="Q11553" t="s">
        <v>11895</v>
      </c>
      <c r="R11553" t="s">
        <v>614</v>
      </c>
      <c r="S11553">
        <v>146.791529</v>
      </c>
      <c r="T11553" s="1095">
        <v>-19.787858</v>
      </c>
    </row>
    <row r="11554" spans="16:20">
      <c r="P11554" s="1094">
        <v>4816</v>
      </c>
      <c r="Q11554" t="s">
        <v>11896</v>
      </c>
      <c r="R11554" t="s">
        <v>614</v>
      </c>
      <c r="S11554">
        <v>146.791529</v>
      </c>
      <c r="T11554" s="1095">
        <v>-19.787858</v>
      </c>
    </row>
    <row r="11555" spans="16:20">
      <c r="P11555" s="1094">
        <v>4816</v>
      </c>
      <c r="Q11555" t="s">
        <v>11897</v>
      </c>
      <c r="R11555" t="s">
        <v>614</v>
      </c>
      <c r="S11555">
        <v>146.791529</v>
      </c>
      <c r="T11555" s="1095">
        <v>-19.787858</v>
      </c>
    </row>
    <row r="11556" spans="16:20">
      <c r="P11556" s="1094">
        <v>4816</v>
      </c>
      <c r="Q11556" t="s">
        <v>11898</v>
      </c>
      <c r="R11556" t="s">
        <v>614</v>
      </c>
      <c r="S11556">
        <v>146.791529</v>
      </c>
      <c r="T11556" s="1095">
        <v>-19.787858</v>
      </c>
    </row>
    <row r="11557" spans="16:20">
      <c r="P11557" s="1094">
        <v>4816</v>
      </c>
      <c r="Q11557" t="s">
        <v>8112</v>
      </c>
      <c r="R11557" t="s">
        <v>614</v>
      </c>
      <c r="S11557">
        <v>146.791529</v>
      </c>
      <c r="T11557" s="1095">
        <v>-19.787858</v>
      </c>
    </row>
    <row r="11558" spans="16:20">
      <c r="P11558" s="1094">
        <v>4816</v>
      </c>
      <c r="Q11558" t="s">
        <v>5966</v>
      </c>
      <c r="R11558" t="s">
        <v>614</v>
      </c>
      <c r="S11558">
        <v>146.791529</v>
      </c>
      <c r="T11558" s="1095">
        <v>-19.787858</v>
      </c>
    </row>
    <row r="11559" spans="16:20">
      <c r="P11559" s="1094">
        <v>4816</v>
      </c>
      <c r="Q11559" t="s">
        <v>11899</v>
      </c>
      <c r="R11559" t="s">
        <v>614</v>
      </c>
      <c r="S11559">
        <v>146.791529</v>
      </c>
      <c r="T11559" s="1095">
        <v>-19.787858</v>
      </c>
    </row>
    <row r="11560" spans="16:20">
      <c r="P11560" s="1094">
        <v>4816</v>
      </c>
      <c r="Q11560" t="s">
        <v>11900</v>
      </c>
      <c r="R11560" t="s">
        <v>614</v>
      </c>
      <c r="S11560">
        <v>146.791529</v>
      </c>
      <c r="T11560" s="1095">
        <v>-19.787858</v>
      </c>
    </row>
    <row r="11561" spans="16:20">
      <c r="P11561" s="1094">
        <v>4816</v>
      </c>
      <c r="Q11561" t="s">
        <v>11901</v>
      </c>
      <c r="R11561" t="s">
        <v>614</v>
      </c>
      <c r="S11561">
        <v>146.791529</v>
      </c>
      <c r="T11561" s="1095">
        <v>-19.787858</v>
      </c>
    </row>
    <row r="11562" spans="16:20">
      <c r="P11562" s="1094">
        <v>4816</v>
      </c>
      <c r="Q11562" t="s">
        <v>11902</v>
      </c>
      <c r="R11562" t="s">
        <v>614</v>
      </c>
      <c r="S11562">
        <v>146.791529</v>
      </c>
      <c r="T11562" s="1095">
        <v>-19.787858</v>
      </c>
    </row>
    <row r="11563" spans="16:20">
      <c r="P11563" s="1094">
        <v>4816</v>
      </c>
      <c r="Q11563" t="s">
        <v>11903</v>
      </c>
      <c r="R11563" t="s">
        <v>614</v>
      </c>
      <c r="S11563">
        <v>146.791529</v>
      </c>
      <c r="T11563" s="1095">
        <v>-19.787858</v>
      </c>
    </row>
    <row r="11564" spans="16:20">
      <c r="P11564" s="1094">
        <v>4816</v>
      </c>
      <c r="Q11564" t="s">
        <v>11904</v>
      </c>
      <c r="R11564" t="s">
        <v>614</v>
      </c>
      <c r="S11564">
        <v>146.791529</v>
      </c>
      <c r="T11564" s="1095">
        <v>-19.787858</v>
      </c>
    </row>
    <row r="11565" spans="16:20">
      <c r="P11565" s="1094">
        <v>4816</v>
      </c>
      <c r="Q11565" t="s">
        <v>11905</v>
      </c>
      <c r="R11565" t="s">
        <v>614</v>
      </c>
      <c r="S11565">
        <v>146.791529</v>
      </c>
      <c r="T11565" s="1095">
        <v>-19.787858</v>
      </c>
    </row>
    <row r="11566" spans="16:20">
      <c r="P11566" s="1094">
        <v>4816</v>
      </c>
      <c r="Q11566" t="s">
        <v>11906</v>
      </c>
      <c r="R11566" t="s">
        <v>614</v>
      </c>
      <c r="S11566">
        <v>146.791529</v>
      </c>
      <c r="T11566" s="1095">
        <v>-19.787858</v>
      </c>
    </row>
    <row r="11567" spans="16:20">
      <c r="P11567" s="1094">
        <v>4816</v>
      </c>
      <c r="Q11567" t="s">
        <v>4327</v>
      </c>
      <c r="R11567" t="s">
        <v>614</v>
      </c>
      <c r="S11567">
        <v>146.791529</v>
      </c>
      <c r="T11567" s="1095">
        <v>-19.787858</v>
      </c>
    </row>
    <row r="11568" spans="16:20">
      <c r="P11568" s="1094">
        <v>4817</v>
      </c>
      <c r="Q11568" t="s">
        <v>11907</v>
      </c>
      <c r="R11568" t="s">
        <v>614</v>
      </c>
      <c r="S11568">
        <v>146.65230700000001</v>
      </c>
      <c r="T11568" s="1095">
        <v>-19.310497999999999</v>
      </c>
    </row>
    <row r="11569" spans="16:20">
      <c r="P11569" s="1094">
        <v>4817</v>
      </c>
      <c r="Q11569" t="s">
        <v>11908</v>
      </c>
      <c r="R11569" t="s">
        <v>614</v>
      </c>
      <c r="S11569">
        <v>146.65230700000001</v>
      </c>
      <c r="T11569" s="1095">
        <v>-19.310497999999999</v>
      </c>
    </row>
    <row r="11570" spans="16:20">
      <c r="P11570" s="1094">
        <v>4817</v>
      </c>
      <c r="Q11570" t="s">
        <v>11909</v>
      </c>
      <c r="R11570" t="s">
        <v>614</v>
      </c>
      <c r="S11570">
        <v>146.65230700000001</v>
      </c>
      <c r="T11570" s="1095">
        <v>-19.310497999999999</v>
      </c>
    </row>
    <row r="11571" spans="16:20">
      <c r="P11571" s="1094">
        <v>4817</v>
      </c>
      <c r="Q11571" t="s">
        <v>11910</v>
      </c>
      <c r="R11571" t="s">
        <v>614</v>
      </c>
      <c r="S11571">
        <v>146.65230700000001</v>
      </c>
      <c r="T11571" s="1095">
        <v>-19.310497999999999</v>
      </c>
    </row>
    <row r="11572" spans="16:20">
      <c r="P11572" s="1094">
        <v>4817</v>
      </c>
      <c r="Q11572" t="s">
        <v>11911</v>
      </c>
      <c r="R11572" t="s">
        <v>614</v>
      </c>
      <c r="S11572">
        <v>146.65230700000001</v>
      </c>
      <c r="T11572" s="1095">
        <v>-19.310497999999999</v>
      </c>
    </row>
    <row r="11573" spans="16:20">
      <c r="P11573" s="1094">
        <v>4817</v>
      </c>
      <c r="Q11573" t="s">
        <v>11912</v>
      </c>
      <c r="R11573" t="s">
        <v>614</v>
      </c>
      <c r="S11573">
        <v>146.65230700000001</v>
      </c>
      <c r="T11573" s="1095">
        <v>-19.310497999999999</v>
      </c>
    </row>
    <row r="11574" spans="16:20">
      <c r="P11574" s="1094">
        <v>4817</v>
      </c>
      <c r="Q11574" t="s">
        <v>11913</v>
      </c>
      <c r="R11574" t="s">
        <v>614</v>
      </c>
      <c r="S11574">
        <v>146.65230700000001</v>
      </c>
      <c r="T11574" s="1095">
        <v>-19.310497999999999</v>
      </c>
    </row>
    <row r="11575" spans="16:20">
      <c r="P11575" s="1094">
        <v>4817</v>
      </c>
      <c r="Q11575" t="s">
        <v>11914</v>
      </c>
      <c r="R11575" t="s">
        <v>614</v>
      </c>
      <c r="S11575">
        <v>146.65230700000001</v>
      </c>
      <c r="T11575" s="1095">
        <v>-19.310497999999999</v>
      </c>
    </row>
    <row r="11576" spans="16:20">
      <c r="P11576" s="1094">
        <v>4818</v>
      </c>
      <c r="Q11576" t="s">
        <v>11915</v>
      </c>
      <c r="R11576" t="s">
        <v>614</v>
      </c>
      <c r="S11576">
        <v>146.54027500000001</v>
      </c>
      <c r="T11576" s="1095">
        <v>-19.237939999999998</v>
      </c>
    </row>
    <row r="11577" spans="16:20">
      <c r="P11577" s="1094">
        <v>4818</v>
      </c>
      <c r="Q11577" t="s">
        <v>11916</v>
      </c>
      <c r="R11577" t="s">
        <v>614</v>
      </c>
      <c r="S11577">
        <v>146.54027500000001</v>
      </c>
      <c r="T11577" s="1095">
        <v>-19.237939999999998</v>
      </c>
    </row>
    <row r="11578" spans="16:20">
      <c r="P11578" s="1094">
        <v>4818</v>
      </c>
      <c r="Q11578" t="s">
        <v>11917</v>
      </c>
      <c r="R11578" t="s">
        <v>614</v>
      </c>
      <c r="S11578">
        <v>146.54027500000001</v>
      </c>
      <c r="T11578" s="1095">
        <v>-19.237939999999998</v>
      </c>
    </row>
    <row r="11579" spans="16:20">
      <c r="P11579" s="1094">
        <v>4818</v>
      </c>
      <c r="Q11579" t="s">
        <v>11918</v>
      </c>
      <c r="R11579" t="s">
        <v>614</v>
      </c>
      <c r="S11579">
        <v>146.54027500000001</v>
      </c>
      <c r="T11579" s="1095">
        <v>-19.237939999999998</v>
      </c>
    </row>
    <row r="11580" spans="16:20">
      <c r="P11580" s="1094">
        <v>4818</v>
      </c>
      <c r="Q11580" t="s">
        <v>11919</v>
      </c>
      <c r="R11580" t="s">
        <v>614</v>
      </c>
      <c r="S11580">
        <v>146.54027500000001</v>
      </c>
      <c r="T11580" s="1095">
        <v>-19.237939999999998</v>
      </c>
    </row>
    <row r="11581" spans="16:20">
      <c r="P11581" s="1094">
        <v>4818</v>
      </c>
      <c r="Q11581" t="s">
        <v>11920</v>
      </c>
      <c r="R11581" t="s">
        <v>614</v>
      </c>
      <c r="S11581">
        <v>146.54027500000001</v>
      </c>
      <c r="T11581" s="1095">
        <v>-19.237939999999998</v>
      </c>
    </row>
    <row r="11582" spans="16:20">
      <c r="P11582" s="1094">
        <v>4818</v>
      </c>
      <c r="Q11582" t="s">
        <v>11921</v>
      </c>
      <c r="R11582" t="s">
        <v>614</v>
      </c>
      <c r="S11582">
        <v>146.54027500000001</v>
      </c>
      <c r="T11582" s="1095">
        <v>-19.237939999999998</v>
      </c>
    </row>
    <row r="11583" spans="16:20">
      <c r="P11583" s="1094">
        <v>4818</v>
      </c>
      <c r="Q11583" t="s">
        <v>11922</v>
      </c>
      <c r="R11583" t="s">
        <v>614</v>
      </c>
      <c r="S11583">
        <v>146.54027500000001</v>
      </c>
      <c r="T11583" s="1095">
        <v>-19.237939999999998</v>
      </c>
    </row>
    <row r="11584" spans="16:20">
      <c r="P11584" s="1094">
        <v>4818</v>
      </c>
      <c r="Q11584" t="s">
        <v>11923</v>
      </c>
      <c r="R11584" t="s">
        <v>614</v>
      </c>
      <c r="S11584">
        <v>146.54027500000001</v>
      </c>
      <c r="T11584" s="1095">
        <v>-19.237939999999998</v>
      </c>
    </row>
    <row r="11585" spans="16:20">
      <c r="P11585" s="1094">
        <v>4818</v>
      </c>
      <c r="Q11585" t="s">
        <v>11924</v>
      </c>
      <c r="R11585" t="s">
        <v>614</v>
      </c>
      <c r="S11585">
        <v>146.54027500000001</v>
      </c>
      <c r="T11585" s="1095">
        <v>-19.237939999999998</v>
      </c>
    </row>
    <row r="11586" spans="16:20">
      <c r="P11586" s="1094">
        <v>4818</v>
      </c>
      <c r="Q11586" t="s">
        <v>11925</v>
      </c>
      <c r="R11586" t="s">
        <v>614</v>
      </c>
      <c r="S11586">
        <v>146.54027500000001</v>
      </c>
      <c r="T11586" s="1095">
        <v>-19.237939999999998</v>
      </c>
    </row>
    <row r="11587" spans="16:20">
      <c r="P11587" s="1094">
        <v>4818</v>
      </c>
      <c r="Q11587" t="s">
        <v>11926</v>
      </c>
      <c r="R11587" t="s">
        <v>614</v>
      </c>
      <c r="S11587">
        <v>146.54027500000001</v>
      </c>
      <c r="T11587" s="1095">
        <v>-19.237939999999998</v>
      </c>
    </row>
    <row r="11588" spans="16:20">
      <c r="P11588" s="1094">
        <v>4818</v>
      </c>
      <c r="Q11588" t="s">
        <v>11927</v>
      </c>
      <c r="R11588" t="s">
        <v>614</v>
      </c>
      <c r="S11588">
        <v>146.54027500000001</v>
      </c>
      <c r="T11588" s="1095">
        <v>-19.237939999999998</v>
      </c>
    </row>
    <row r="11589" spans="16:20">
      <c r="P11589" s="1094">
        <v>4818</v>
      </c>
      <c r="Q11589" t="s">
        <v>11928</v>
      </c>
      <c r="R11589" t="s">
        <v>614</v>
      </c>
      <c r="S11589">
        <v>146.54027500000001</v>
      </c>
      <c r="T11589" s="1095">
        <v>-19.237939999999998</v>
      </c>
    </row>
    <row r="11590" spans="16:20">
      <c r="P11590" s="1094">
        <v>4818</v>
      </c>
      <c r="Q11590" t="s">
        <v>11929</v>
      </c>
      <c r="R11590" t="s">
        <v>614</v>
      </c>
      <c r="S11590">
        <v>146.54027500000001</v>
      </c>
      <c r="T11590" s="1095">
        <v>-19.237939999999998</v>
      </c>
    </row>
    <row r="11591" spans="16:20">
      <c r="P11591" s="1094">
        <v>4818</v>
      </c>
      <c r="Q11591" t="s">
        <v>11930</v>
      </c>
      <c r="R11591" t="s">
        <v>614</v>
      </c>
      <c r="S11591">
        <v>146.54027500000001</v>
      </c>
      <c r="T11591" s="1095">
        <v>-19.237939999999998</v>
      </c>
    </row>
    <row r="11592" spans="16:20">
      <c r="P11592" s="1094">
        <v>4818</v>
      </c>
      <c r="Q11592" t="s">
        <v>11931</v>
      </c>
      <c r="R11592" t="s">
        <v>614</v>
      </c>
      <c r="S11592">
        <v>146.54027500000001</v>
      </c>
      <c r="T11592" s="1095">
        <v>-19.237939999999998</v>
      </c>
    </row>
    <row r="11593" spans="16:20">
      <c r="P11593" s="1094">
        <v>4818</v>
      </c>
      <c r="Q11593" t="s">
        <v>11932</v>
      </c>
      <c r="R11593" t="s">
        <v>614</v>
      </c>
      <c r="S11593">
        <v>146.54027500000001</v>
      </c>
      <c r="T11593" s="1095">
        <v>-19.237939999999998</v>
      </c>
    </row>
    <row r="11594" spans="16:20">
      <c r="P11594" s="1094">
        <v>4819</v>
      </c>
      <c r="Q11594" t="s">
        <v>2078</v>
      </c>
      <c r="R11594" t="s">
        <v>614</v>
      </c>
      <c r="S11594">
        <v>146.83176599999999</v>
      </c>
      <c r="T11594" s="1095">
        <v>-19.143944000000001</v>
      </c>
    </row>
    <row r="11595" spans="16:20">
      <c r="P11595" s="1094">
        <v>4819</v>
      </c>
      <c r="Q11595" t="s">
        <v>11933</v>
      </c>
      <c r="R11595" t="s">
        <v>614</v>
      </c>
      <c r="S11595">
        <v>146.83176599999999</v>
      </c>
      <c r="T11595" s="1095">
        <v>-19.143944000000001</v>
      </c>
    </row>
    <row r="11596" spans="16:20">
      <c r="P11596" s="1094">
        <v>4819</v>
      </c>
      <c r="Q11596" t="s">
        <v>11934</v>
      </c>
      <c r="R11596" t="s">
        <v>614</v>
      </c>
      <c r="S11596">
        <v>146.83176599999999</v>
      </c>
      <c r="T11596" s="1095">
        <v>-19.143944000000001</v>
      </c>
    </row>
    <row r="11597" spans="16:20">
      <c r="P11597" s="1094">
        <v>4819</v>
      </c>
      <c r="Q11597" t="s">
        <v>11935</v>
      </c>
      <c r="R11597" t="s">
        <v>614</v>
      </c>
      <c r="S11597">
        <v>146.83176599999999</v>
      </c>
      <c r="T11597" s="1095">
        <v>-19.143944000000001</v>
      </c>
    </row>
    <row r="11598" spans="16:20">
      <c r="P11598" s="1094">
        <v>4819</v>
      </c>
      <c r="Q11598" t="s">
        <v>11936</v>
      </c>
      <c r="R11598" t="s">
        <v>614</v>
      </c>
      <c r="S11598">
        <v>146.83176599999999</v>
      </c>
      <c r="T11598" s="1095">
        <v>-19.143944000000001</v>
      </c>
    </row>
    <row r="11599" spans="16:20">
      <c r="P11599" s="1094">
        <v>4819</v>
      </c>
      <c r="Q11599" t="s">
        <v>11937</v>
      </c>
      <c r="R11599" t="s">
        <v>614</v>
      </c>
      <c r="S11599">
        <v>146.83176599999999</v>
      </c>
      <c r="T11599" s="1095">
        <v>-19.143944000000001</v>
      </c>
    </row>
    <row r="11600" spans="16:20">
      <c r="P11600" s="1094">
        <v>4820</v>
      </c>
      <c r="Q11600" t="s">
        <v>11938</v>
      </c>
      <c r="R11600" t="s">
        <v>614</v>
      </c>
      <c r="S11600">
        <v>146.275575</v>
      </c>
      <c r="T11600" s="1095">
        <v>-20.428446999999998</v>
      </c>
    </row>
    <row r="11601" spans="16:20">
      <c r="P11601" s="1094">
        <v>4820</v>
      </c>
      <c r="Q11601" t="s">
        <v>7655</v>
      </c>
      <c r="R11601" t="s">
        <v>614</v>
      </c>
      <c r="S11601">
        <v>146.275575</v>
      </c>
      <c r="T11601" s="1095">
        <v>-20.428446999999998</v>
      </c>
    </row>
    <row r="11602" spans="16:20">
      <c r="P11602" s="1094">
        <v>4820</v>
      </c>
      <c r="Q11602" t="s">
        <v>11939</v>
      </c>
      <c r="R11602" t="s">
        <v>614</v>
      </c>
      <c r="S11602">
        <v>146.275575</v>
      </c>
      <c r="T11602" s="1095">
        <v>-20.428446999999998</v>
      </c>
    </row>
    <row r="11603" spans="16:20">
      <c r="P11603" s="1094">
        <v>4820</v>
      </c>
      <c r="Q11603" t="s">
        <v>11940</v>
      </c>
      <c r="R11603" t="s">
        <v>614</v>
      </c>
      <c r="S11603">
        <v>146.275575</v>
      </c>
      <c r="T11603" s="1095">
        <v>-20.428446999999998</v>
      </c>
    </row>
    <row r="11604" spans="16:20">
      <c r="P11604" s="1094">
        <v>4820</v>
      </c>
      <c r="Q11604" t="s">
        <v>4269</v>
      </c>
      <c r="R11604" t="s">
        <v>614</v>
      </c>
      <c r="S11604">
        <v>146.275575</v>
      </c>
      <c r="T11604" s="1095">
        <v>-20.428446999999998</v>
      </c>
    </row>
    <row r="11605" spans="16:20">
      <c r="P11605" s="1094">
        <v>4820</v>
      </c>
      <c r="Q11605" t="s">
        <v>11941</v>
      </c>
      <c r="R11605" t="s">
        <v>614</v>
      </c>
      <c r="S11605">
        <v>146.275575</v>
      </c>
      <c r="T11605" s="1095">
        <v>-20.428446999999998</v>
      </c>
    </row>
    <row r="11606" spans="16:20">
      <c r="P11606" s="1094">
        <v>4820</v>
      </c>
      <c r="Q11606" t="s">
        <v>11942</v>
      </c>
      <c r="R11606" t="s">
        <v>614</v>
      </c>
      <c r="S11606">
        <v>146.275575</v>
      </c>
      <c r="T11606" s="1095">
        <v>-20.428446999999998</v>
      </c>
    </row>
    <row r="11607" spans="16:20">
      <c r="P11607" s="1094">
        <v>4820</v>
      </c>
      <c r="Q11607" t="s">
        <v>11943</v>
      </c>
      <c r="R11607" t="s">
        <v>614</v>
      </c>
      <c r="S11607">
        <v>146.275575</v>
      </c>
      <c r="T11607" s="1095">
        <v>-20.428446999999998</v>
      </c>
    </row>
    <row r="11608" spans="16:20">
      <c r="P11608" s="1094">
        <v>4820</v>
      </c>
      <c r="Q11608" t="s">
        <v>5802</v>
      </c>
      <c r="R11608" t="s">
        <v>614</v>
      </c>
      <c r="S11608">
        <v>146.275575</v>
      </c>
      <c r="T11608" s="1095">
        <v>-20.428446999999998</v>
      </c>
    </row>
    <row r="11609" spans="16:20">
      <c r="P11609" s="1094">
        <v>4820</v>
      </c>
      <c r="Q11609" t="s">
        <v>11944</v>
      </c>
      <c r="R11609" t="s">
        <v>614</v>
      </c>
      <c r="S11609">
        <v>146.275575</v>
      </c>
      <c r="T11609" s="1095">
        <v>-20.428446999999998</v>
      </c>
    </row>
    <row r="11610" spans="16:20">
      <c r="P11610" s="1094">
        <v>4820</v>
      </c>
      <c r="Q11610" t="s">
        <v>4026</v>
      </c>
      <c r="R11610" t="s">
        <v>614</v>
      </c>
      <c r="S11610">
        <v>146.275575</v>
      </c>
      <c r="T11610" s="1095">
        <v>-20.428446999999998</v>
      </c>
    </row>
    <row r="11611" spans="16:20">
      <c r="P11611" s="1094">
        <v>4820</v>
      </c>
      <c r="Q11611" t="s">
        <v>11945</v>
      </c>
      <c r="R11611" t="s">
        <v>614</v>
      </c>
      <c r="S11611">
        <v>146.275575</v>
      </c>
      <c r="T11611" s="1095">
        <v>-20.428446999999998</v>
      </c>
    </row>
    <row r="11612" spans="16:20">
      <c r="P11612" s="1094">
        <v>4820</v>
      </c>
      <c r="Q11612" t="s">
        <v>7038</v>
      </c>
      <c r="R11612" t="s">
        <v>614</v>
      </c>
      <c r="S11612">
        <v>146.275575</v>
      </c>
      <c r="T11612" s="1095">
        <v>-20.428446999999998</v>
      </c>
    </row>
    <row r="11613" spans="16:20">
      <c r="P11613" s="1094">
        <v>4821</v>
      </c>
      <c r="Q11613" t="s">
        <v>11946</v>
      </c>
      <c r="R11613" t="s">
        <v>614</v>
      </c>
      <c r="S11613">
        <v>144.21843699999999</v>
      </c>
      <c r="T11613" s="1095">
        <v>-20.794239999999999</v>
      </c>
    </row>
    <row r="11614" spans="16:20">
      <c r="P11614" s="1094">
        <v>4821</v>
      </c>
      <c r="Q11614" t="s">
        <v>11947</v>
      </c>
      <c r="R11614" t="s">
        <v>614</v>
      </c>
      <c r="S11614">
        <v>144.21843699999999</v>
      </c>
      <c r="T11614" s="1095">
        <v>-20.794239999999999</v>
      </c>
    </row>
    <row r="11615" spans="16:20">
      <c r="P11615" s="1094">
        <v>4821</v>
      </c>
      <c r="Q11615" t="s">
        <v>11948</v>
      </c>
      <c r="R11615" t="s">
        <v>614</v>
      </c>
      <c r="S11615">
        <v>144.21843699999999</v>
      </c>
      <c r="T11615" s="1095">
        <v>-20.794239999999999</v>
      </c>
    </row>
    <row r="11616" spans="16:20">
      <c r="P11616" s="1094">
        <v>4821</v>
      </c>
      <c r="Q11616" t="s">
        <v>11949</v>
      </c>
      <c r="R11616" t="s">
        <v>614</v>
      </c>
      <c r="S11616">
        <v>144.21843699999999</v>
      </c>
      <c r="T11616" s="1095">
        <v>-20.794239999999999</v>
      </c>
    </row>
    <row r="11617" spans="16:20">
      <c r="P11617" s="1094">
        <v>4821</v>
      </c>
      <c r="Q11617" t="s">
        <v>11950</v>
      </c>
      <c r="R11617" t="s">
        <v>614</v>
      </c>
      <c r="S11617">
        <v>144.21843699999999</v>
      </c>
      <c r="T11617" s="1095">
        <v>-20.794239999999999</v>
      </c>
    </row>
    <row r="11618" spans="16:20">
      <c r="P11618" s="1094">
        <v>4822</v>
      </c>
      <c r="Q11618" t="s">
        <v>6518</v>
      </c>
      <c r="R11618" t="s">
        <v>614</v>
      </c>
      <c r="S11618">
        <v>143.16422299999999</v>
      </c>
      <c r="T11618" s="1095">
        <v>-20.807960000000001</v>
      </c>
    </row>
    <row r="11619" spans="16:20">
      <c r="P11619" s="1094">
        <v>4822</v>
      </c>
      <c r="Q11619" t="s">
        <v>11951</v>
      </c>
      <c r="R11619" t="s">
        <v>614</v>
      </c>
      <c r="S11619">
        <v>143.16422299999999</v>
      </c>
      <c r="T11619" s="1095">
        <v>-20.807960000000001</v>
      </c>
    </row>
    <row r="11620" spans="16:20">
      <c r="P11620" s="1094">
        <v>4822</v>
      </c>
      <c r="Q11620" t="s">
        <v>5573</v>
      </c>
      <c r="R11620" t="s">
        <v>614</v>
      </c>
      <c r="S11620">
        <v>143.16422299999999</v>
      </c>
      <c r="T11620" s="1095">
        <v>-20.807960000000001</v>
      </c>
    </row>
    <row r="11621" spans="16:20">
      <c r="P11621" s="1094">
        <v>4822</v>
      </c>
      <c r="Q11621" t="s">
        <v>11952</v>
      </c>
      <c r="R11621" t="s">
        <v>614</v>
      </c>
      <c r="S11621">
        <v>143.16422299999999</v>
      </c>
      <c r="T11621" s="1095">
        <v>-20.807960000000001</v>
      </c>
    </row>
    <row r="11622" spans="16:20">
      <c r="P11622" s="1094">
        <v>4823</v>
      </c>
      <c r="Q11622" t="s">
        <v>11953</v>
      </c>
      <c r="R11622" t="s">
        <v>614</v>
      </c>
      <c r="S11622">
        <v>141.24375499999999</v>
      </c>
      <c r="T11622" s="1095">
        <v>-19.214466000000002</v>
      </c>
    </row>
    <row r="11623" spans="16:20">
      <c r="P11623" s="1094">
        <v>4823</v>
      </c>
      <c r="Q11623" t="s">
        <v>11954</v>
      </c>
      <c r="R11623" t="s">
        <v>614</v>
      </c>
      <c r="S11623">
        <v>141.24375499999999</v>
      </c>
      <c r="T11623" s="1095">
        <v>-19.214466000000002</v>
      </c>
    </row>
    <row r="11624" spans="16:20">
      <c r="P11624" s="1094">
        <v>4823</v>
      </c>
      <c r="Q11624" t="s">
        <v>11955</v>
      </c>
      <c r="R11624" t="s">
        <v>614</v>
      </c>
      <c r="S11624">
        <v>141.24375499999999</v>
      </c>
      <c r="T11624" s="1095">
        <v>-19.214466000000002</v>
      </c>
    </row>
    <row r="11625" spans="16:20">
      <c r="P11625" s="1094">
        <v>4823</v>
      </c>
      <c r="Q11625" t="s">
        <v>11956</v>
      </c>
      <c r="R11625" t="s">
        <v>614</v>
      </c>
      <c r="S11625">
        <v>141.24375499999999</v>
      </c>
      <c r="T11625" s="1095">
        <v>-19.214466000000002</v>
      </c>
    </row>
    <row r="11626" spans="16:20">
      <c r="P11626" s="1094">
        <v>4823</v>
      </c>
      <c r="Q11626" t="s">
        <v>11957</v>
      </c>
      <c r="R11626" t="s">
        <v>614</v>
      </c>
      <c r="S11626">
        <v>141.24375499999999</v>
      </c>
      <c r="T11626" s="1095">
        <v>-19.214466000000002</v>
      </c>
    </row>
    <row r="11627" spans="16:20">
      <c r="P11627" s="1094">
        <v>4823</v>
      </c>
      <c r="Q11627" t="s">
        <v>11958</v>
      </c>
      <c r="R11627" t="s">
        <v>614</v>
      </c>
      <c r="S11627">
        <v>141.24375499999999</v>
      </c>
      <c r="T11627" s="1095">
        <v>-19.214466000000002</v>
      </c>
    </row>
    <row r="11628" spans="16:20">
      <c r="P11628" s="1094">
        <v>4823</v>
      </c>
      <c r="Q11628" t="s">
        <v>8725</v>
      </c>
      <c r="R11628" t="s">
        <v>614</v>
      </c>
      <c r="S11628">
        <v>141.24375499999999</v>
      </c>
      <c r="T11628" s="1095">
        <v>-19.214466000000002</v>
      </c>
    </row>
    <row r="11629" spans="16:20">
      <c r="P11629" s="1094">
        <v>4824</v>
      </c>
      <c r="Q11629" t="s">
        <v>11959</v>
      </c>
      <c r="R11629" t="s">
        <v>614</v>
      </c>
      <c r="S11629">
        <v>140.65253100000001</v>
      </c>
      <c r="T11629" s="1095">
        <v>-20.777470999999998</v>
      </c>
    </row>
    <row r="11630" spans="16:20">
      <c r="P11630" s="1094">
        <v>4824</v>
      </c>
      <c r="Q11630" t="s">
        <v>11960</v>
      </c>
      <c r="R11630" t="s">
        <v>614</v>
      </c>
      <c r="S11630">
        <v>140.65253100000001</v>
      </c>
      <c r="T11630" s="1095">
        <v>-20.777470999999998</v>
      </c>
    </row>
    <row r="11631" spans="16:20">
      <c r="P11631" s="1094">
        <v>4824</v>
      </c>
      <c r="Q11631" t="s">
        <v>11961</v>
      </c>
      <c r="R11631" t="s">
        <v>614</v>
      </c>
      <c r="S11631">
        <v>140.65253100000001</v>
      </c>
      <c r="T11631" s="1095">
        <v>-20.777470999999998</v>
      </c>
    </row>
    <row r="11632" spans="16:20">
      <c r="P11632" s="1094">
        <v>4824</v>
      </c>
      <c r="Q11632" t="s">
        <v>11962</v>
      </c>
      <c r="R11632" t="s">
        <v>614</v>
      </c>
      <c r="S11632">
        <v>140.65253100000001</v>
      </c>
      <c r="T11632" s="1095">
        <v>-20.777470999999998</v>
      </c>
    </row>
    <row r="11633" spans="16:20">
      <c r="P11633" s="1094">
        <v>4824</v>
      </c>
      <c r="Q11633" t="s">
        <v>11963</v>
      </c>
      <c r="R11633" t="s">
        <v>614</v>
      </c>
      <c r="S11633">
        <v>140.65253100000001</v>
      </c>
      <c r="T11633" s="1095">
        <v>-20.777470999999998</v>
      </c>
    </row>
    <row r="11634" spans="16:20">
      <c r="P11634" s="1094">
        <v>4824</v>
      </c>
      <c r="Q11634" t="s">
        <v>11964</v>
      </c>
      <c r="R11634" t="s">
        <v>614</v>
      </c>
      <c r="S11634">
        <v>140.65253100000001</v>
      </c>
      <c r="T11634" s="1095">
        <v>-20.777470999999998</v>
      </c>
    </row>
    <row r="11635" spans="16:20">
      <c r="P11635" s="1094">
        <v>4824</v>
      </c>
      <c r="Q11635" t="s">
        <v>11965</v>
      </c>
      <c r="R11635" t="s">
        <v>614</v>
      </c>
      <c r="S11635">
        <v>140.65253100000001</v>
      </c>
      <c r="T11635" s="1095">
        <v>-20.777470999999998</v>
      </c>
    </row>
    <row r="11636" spans="16:20">
      <c r="P11636" s="1094">
        <v>4825</v>
      </c>
      <c r="Q11636" t="s">
        <v>1660</v>
      </c>
      <c r="R11636" t="s">
        <v>614</v>
      </c>
      <c r="S11636">
        <v>137.43234100000001</v>
      </c>
      <c r="T11636" s="1095">
        <v>-21.017327000000002</v>
      </c>
    </row>
    <row r="11637" spans="16:20">
      <c r="P11637" s="1094">
        <v>4825</v>
      </c>
      <c r="Q11637" t="s">
        <v>11966</v>
      </c>
      <c r="R11637" t="s">
        <v>614</v>
      </c>
      <c r="S11637">
        <v>137.43234100000001</v>
      </c>
      <c r="T11637" s="1095">
        <v>-21.017327000000002</v>
      </c>
    </row>
    <row r="11638" spans="16:20">
      <c r="P11638" s="1094">
        <v>4825</v>
      </c>
      <c r="Q11638" t="s">
        <v>11967</v>
      </c>
      <c r="R11638" t="s">
        <v>614</v>
      </c>
      <c r="S11638">
        <v>137.43234100000001</v>
      </c>
      <c r="T11638" s="1095">
        <v>-21.017327000000002</v>
      </c>
    </row>
    <row r="11639" spans="16:20">
      <c r="P11639" s="1094">
        <v>4825</v>
      </c>
      <c r="Q11639" t="s">
        <v>11968</v>
      </c>
      <c r="R11639" t="s">
        <v>614</v>
      </c>
      <c r="S11639">
        <v>137.43234100000001</v>
      </c>
      <c r="T11639" s="1095">
        <v>-21.017327000000002</v>
      </c>
    </row>
    <row r="11640" spans="16:20">
      <c r="P11640" s="1094">
        <v>4825</v>
      </c>
      <c r="Q11640" t="s">
        <v>7434</v>
      </c>
      <c r="R11640" t="s">
        <v>614</v>
      </c>
      <c r="S11640">
        <v>137.43234100000001</v>
      </c>
      <c r="T11640" s="1095">
        <v>-21.017327000000002</v>
      </c>
    </row>
    <row r="11641" spans="16:20">
      <c r="P11641" s="1094">
        <v>4825</v>
      </c>
      <c r="Q11641" t="s">
        <v>11969</v>
      </c>
      <c r="R11641" t="s">
        <v>614</v>
      </c>
      <c r="S11641">
        <v>137.43234100000001</v>
      </c>
      <c r="T11641" s="1095">
        <v>-21.017327000000002</v>
      </c>
    </row>
    <row r="11642" spans="16:20">
      <c r="P11642" s="1094">
        <v>4825</v>
      </c>
      <c r="Q11642" t="s">
        <v>11970</v>
      </c>
      <c r="R11642" t="s">
        <v>614</v>
      </c>
      <c r="S11642">
        <v>137.43234100000001</v>
      </c>
      <c r="T11642" s="1095">
        <v>-21.017327000000002</v>
      </c>
    </row>
    <row r="11643" spans="16:20">
      <c r="P11643" s="1094">
        <v>4825</v>
      </c>
      <c r="Q11643" t="s">
        <v>11971</v>
      </c>
      <c r="R11643" t="s">
        <v>614</v>
      </c>
      <c r="S11643">
        <v>137.43234100000001</v>
      </c>
      <c r="T11643" s="1095">
        <v>-21.017327000000002</v>
      </c>
    </row>
    <row r="11644" spans="16:20">
      <c r="P11644" s="1094">
        <v>4825</v>
      </c>
      <c r="Q11644" t="s">
        <v>8918</v>
      </c>
      <c r="R11644" t="s">
        <v>614</v>
      </c>
      <c r="S11644">
        <v>137.43234100000001</v>
      </c>
      <c r="T11644" s="1095">
        <v>-21.017327000000002</v>
      </c>
    </row>
    <row r="11645" spans="16:20">
      <c r="P11645" s="1094">
        <v>4825</v>
      </c>
      <c r="Q11645" t="s">
        <v>11972</v>
      </c>
      <c r="R11645" t="s">
        <v>614</v>
      </c>
      <c r="S11645">
        <v>137.43234100000001</v>
      </c>
      <c r="T11645" s="1095">
        <v>-21.017327000000002</v>
      </c>
    </row>
    <row r="11646" spans="16:20">
      <c r="P11646" s="1094">
        <v>4825</v>
      </c>
      <c r="Q11646" t="s">
        <v>11973</v>
      </c>
      <c r="R11646" t="s">
        <v>614</v>
      </c>
      <c r="S11646">
        <v>137.43234100000001</v>
      </c>
      <c r="T11646" s="1095">
        <v>-21.017327000000002</v>
      </c>
    </row>
    <row r="11647" spans="16:20">
      <c r="P11647" s="1094">
        <v>4825</v>
      </c>
      <c r="Q11647" t="s">
        <v>11974</v>
      </c>
      <c r="R11647" t="s">
        <v>614</v>
      </c>
      <c r="S11647">
        <v>137.43234100000001</v>
      </c>
      <c r="T11647" s="1095">
        <v>-21.017327000000002</v>
      </c>
    </row>
    <row r="11648" spans="16:20">
      <c r="P11648" s="1094">
        <v>4825</v>
      </c>
      <c r="Q11648" t="s">
        <v>11975</v>
      </c>
      <c r="R11648" t="s">
        <v>614</v>
      </c>
      <c r="S11648">
        <v>137.43234100000001</v>
      </c>
      <c r="T11648" s="1095">
        <v>-21.017327000000002</v>
      </c>
    </row>
    <row r="11649" spans="16:20">
      <c r="P11649" s="1094">
        <v>4825</v>
      </c>
      <c r="Q11649" t="s">
        <v>4837</v>
      </c>
      <c r="R11649" t="s">
        <v>614</v>
      </c>
      <c r="S11649">
        <v>137.43234100000001</v>
      </c>
      <c r="T11649" s="1095">
        <v>-21.017327000000002</v>
      </c>
    </row>
    <row r="11650" spans="16:20">
      <c r="P11650" s="1094">
        <v>4825</v>
      </c>
      <c r="Q11650" t="s">
        <v>11976</v>
      </c>
      <c r="R11650" t="s">
        <v>614</v>
      </c>
      <c r="S11650">
        <v>137.43234100000001</v>
      </c>
      <c r="T11650" s="1095">
        <v>-21.017327000000002</v>
      </c>
    </row>
    <row r="11651" spans="16:20">
      <c r="P11651" s="1094">
        <v>4825</v>
      </c>
      <c r="Q11651" t="s">
        <v>11977</v>
      </c>
      <c r="R11651" t="s">
        <v>614</v>
      </c>
      <c r="S11651">
        <v>137.43234100000001</v>
      </c>
      <c r="T11651" s="1095">
        <v>-21.017327000000002</v>
      </c>
    </row>
    <row r="11652" spans="16:20">
      <c r="P11652" s="1094">
        <v>4825</v>
      </c>
      <c r="Q11652" t="s">
        <v>3404</v>
      </c>
      <c r="R11652" t="s">
        <v>614</v>
      </c>
      <c r="S11652">
        <v>137.43234100000001</v>
      </c>
      <c r="T11652" s="1095">
        <v>-21.017327000000002</v>
      </c>
    </row>
    <row r="11653" spans="16:20">
      <c r="P11653" s="1094">
        <v>4825</v>
      </c>
      <c r="Q11653" t="s">
        <v>11978</v>
      </c>
      <c r="R11653" t="s">
        <v>614</v>
      </c>
      <c r="S11653">
        <v>137.43234100000001</v>
      </c>
      <c r="T11653" s="1095">
        <v>-21.017327000000002</v>
      </c>
    </row>
    <row r="11654" spans="16:20">
      <c r="P11654" s="1094">
        <v>4825</v>
      </c>
      <c r="Q11654" t="s">
        <v>11979</v>
      </c>
      <c r="R11654" t="s">
        <v>614</v>
      </c>
      <c r="S11654">
        <v>137.43234100000001</v>
      </c>
      <c r="T11654" s="1095">
        <v>-21.017327000000002</v>
      </c>
    </row>
    <row r="11655" spans="16:20">
      <c r="P11655" s="1094">
        <v>4825</v>
      </c>
      <c r="Q11655" t="s">
        <v>11980</v>
      </c>
      <c r="R11655" t="s">
        <v>614</v>
      </c>
      <c r="S11655">
        <v>137.43234100000001</v>
      </c>
      <c r="T11655" s="1095">
        <v>-21.017327000000002</v>
      </c>
    </row>
    <row r="11656" spans="16:20">
      <c r="P11656" s="1094">
        <v>4825</v>
      </c>
      <c r="Q11656" t="s">
        <v>11981</v>
      </c>
      <c r="R11656" t="s">
        <v>614</v>
      </c>
      <c r="S11656">
        <v>137.43234100000001</v>
      </c>
      <c r="T11656" s="1095">
        <v>-21.017327000000002</v>
      </c>
    </row>
    <row r="11657" spans="16:20">
      <c r="P11657" s="1094">
        <v>4825</v>
      </c>
      <c r="Q11657" t="s">
        <v>11982</v>
      </c>
      <c r="R11657" t="s">
        <v>614</v>
      </c>
      <c r="S11657">
        <v>137.43234100000001</v>
      </c>
      <c r="T11657" s="1095">
        <v>-21.017327000000002</v>
      </c>
    </row>
    <row r="11658" spans="16:20">
      <c r="P11658" s="1094">
        <v>4825</v>
      </c>
      <c r="Q11658" t="s">
        <v>11983</v>
      </c>
      <c r="R11658" t="s">
        <v>614</v>
      </c>
      <c r="S11658">
        <v>137.43234100000001</v>
      </c>
      <c r="T11658" s="1095">
        <v>-21.017327000000002</v>
      </c>
    </row>
    <row r="11659" spans="16:20">
      <c r="P11659" s="1094">
        <v>4825</v>
      </c>
      <c r="Q11659" t="s">
        <v>11984</v>
      </c>
      <c r="R11659" t="s">
        <v>614</v>
      </c>
      <c r="S11659">
        <v>137.43234100000001</v>
      </c>
      <c r="T11659" s="1095">
        <v>-21.017327000000002</v>
      </c>
    </row>
    <row r="11660" spans="16:20">
      <c r="P11660" s="1094">
        <v>4825</v>
      </c>
      <c r="Q11660" t="s">
        <v>11985</v>
      </c>
      <c r="R11660" t="s">
        <v>614</v>
      </c>
      <c r="S11660">
        <v>137.43234100000001</v>
      </c>
      <c r="T11660" s="1095">
        <v>-21.017327000000002</v>
      </c>
    </row>
    <row r="11661" spans="16:20">
      <c r="P11661" s="1094">
        <v>4825</v>
      </c>
      <c r="Q11661" t="s">
        <v>9132</v>
      </c>
      <c r="R11661" t="s">
        <v>614</v>
      </c>
      <c r="S11661">
        <v>137.43234100000001</v>
      </c>
      <c r="T11661" s="1095">
        <v>-21.017327000000002</v>
      </c>
    </row>
    <row r="11662" spans="16:20">
      <c r="P11662" s="1094">
        <v>4825</v>
      </c>
      <c r="Q11662" t="s">
        <v>11986</v>
      </c>
      <c r="R11662" t="s">
        <v>614</v>
      </c>
      <c r="S11662">
        <v>137.43234100000001</v>
      </c>
      <c r="T11662" s="1095">
        <v>-21.017327000000002</v>
      </c>
    </row>
    <row r="11663" spans="16:20">
      <c r="P11663" s="1094">
        <v>4825</v>
      </c>
      <c r="Q11663" t="s">
        <v>11987</v>
      </c>
      <c r="R11663" t="s">
        <v>614</v>
      </c>
      <c r="S11663">
        <v>137.43234100000001</v>
      </c>
      <c r="T11663" s="1095">
        <v>-21.017327000000002</v>
      </c>
    </row>
    <row r="11664" spans="16:20">
      <c r="P11664" s="1094">
        <v>4825</v>
      </c>
      <c r="Q11664" t="s">
        <v>11988</v>
      </c>
      <c r="R11664" t="s">
        <v>614</v>
      </c>
      <c r="S11664">
        <v>137.43234100000001</v>
      </c>
      <c r="T11664" s="1095">
        <v>-21.017327000000002</v>
      </c>
    </row>
    <row r="11665" spans="16:20">
      <c r="P11665" s="1094">
        <v>4825</v>
      </c>
      <c r="Q11665" t="s">
        <v>11989</v>
      </c>
      <c r="R11665" t="s">
        <v>614</v>
      </c>
      <c r="S11665">
        <v>137.43234100000001</v>
      </c>
      <c r="T11665" s="1095">
        <v>-21.017327000000002</v>
      </c>
    </row>
    <row r="11666" spans="16:20">
      <c r="P11666" s="1094">
        <v>4825</v>
      </c>
      <c r="Q11666" t="s">
        <v>11990</v>
      </c>
      <c r="R11666" t="s">
        <v>614</v>
      </c>
      <c r="S11666">
        <v>137.43234100000001</v>
      </c>
      <c r="T11666" s="1095">
        <v>-21.017327000000002</v>
      </c>
    </row>
    <row r="11667" spans="16:20">
      <c r="P11667" s="1094">
        <v>4825</v>
      </c>
      <c r="Q11667" t="s">
        <v>11822</v>
      </c>
      <c r="R11667" t="s">
        <v>614</v>
      </c>
      <c r="S11667">
        <v>137.43234100000001</v>
      </c>
      <c r="T11667" s="1095">
        <v>-21.017327000000002</v>
      </c>
    </row>
    <row r="11668" spans="16:20">
      <c r="P11668" s="1094">
        <v>4825</v>
      </c>
      <c r="Q11668" t="s">
        <v>11991</v>
      </c>
      <c r="R11668" t="s">
        <v>614</v>
      </c>
      <c r="S11668">
        <v>137.43234100000001</v>
      </c>
      <c r="T11668" s="1095">
        <v>-21.017327000000002</v>
      </c>
    </row>
    <row r="11669" spans="16:20">
      <c r="P11669" s="1094">
        <v>4825</v>
      </c>
      <c r="Q11669" t="s">
        <v>11992</v>
      </c>
      <c r="R11669" t="s">
        <v>614</v>
      </c>
      <c r="S11669">
        <v>137.43234100000001</v>
      </c>
      <c r="T11669" s="1095">
        <v>-21.017327000000002</v>
      </c>
    </row>
    <row r="11670" spans="16:20">
      <c r="P11670" s="1094">
        <v>4825</v>
      </c>
      <c r="Q11670" t="s">
        <v>5254</v>
      </c>
      <c r="R11670" t="s">
        <v>614</v>
      </c>
      <c r="S11670">
        <v>137.43234100000001</v>
      </c>
      <c r="T11670" s="1095">
        <v>-21.017327000000002</v>
      </c>
    </row>
    <row r="11671" spans="16:20">
      <c r="P11671" s="1094">
        <v>4825</v>
      </c>
      <c r="Q11671" t="s">
        <v>7248</v>
      </c>
      <c r="R11671" t="s">
        <v>614</v>
      </c>
      <c r="S11671">
        <v>137.43234100000001</v>
      </c>
      <c r="T11671" s="1095">
        <v>-21.017327000000002</v>
      </c>
    </row>
    <row r="11672" spans="16:20">
      <c r="P11672" s="1094">
        <v>4825</v>
      </c>
      <c r="Q11672" t="s">
        <v>11993</v>
      </c>
      <c r="R11672" t="s">
        <v>614</v>
      </c>
      <c r="S11672">
        <v>137.43234100000001</v>
      </c>
      <c r="T11672" s="1095">
        <v>-21.017327000000002</v>
      </c>
    </row>
    <row r="11673" spans="16:20">
      <c r="P11673" s="1094">
        <v>4825</v>
      </c>
      <c r="Q11673" t="s">
        <v>11994</v>
      </c>
      <c r="R11673" t="s">
        <v>614</v>
      </c>
      <c r="S11673">
        <v>137.43234100000001</v>
      </c>
      <c r="T11673" s="1095">
        <v>-21.017327000000002</v>
      </c>
    </row>
    <row r="11674" spans="16:20">
      <c r="P11674" s="1094">
        <v>4825</v>
      </c>
      <c r="Q11674" t="s">
        <v>5200</v>
      </c>
      <c r="R11674" t="s">
        <v>614</v>
      </c>
      <c r="S11674">
        <v>137.43234100000001</v>
      </c>
      <c r="T11674" s="1095">
        <v>-21.017327000000002</v>
      </c>
    </row>
    <row r="11675" spans="16:20">
      <c r="P11675" s="1094">
        <v>4825</v>
      </c>
      <c r="Q11675" t="s">
        <v>11995</v>
      </c>
      <c r="R11675" t="s">
        <v>614</v>
      </c>
      <c r="S11675">
        <v>137.43234100000001</v>
      </c>
      <c r="T11675" s="1095">
        <v>-21.017327000000002</v>
      </c>
    </row>
    <row r="11676" spans="16:20">
      <c r="P11676" s="1094">
        <v>4825</v>
      </c>
      <c r="Q11676" t="s">
        <v>11996</v>
      </c>
      <c r="R11676" t="s">
        <v>614</v>
      </c>
      <c r="S11676">
        <v>137.43234100000001</v>
      </c>
      <c r="T11676" s="1095">
        <v>-21.017327000000002</v>
      </c>
    </row>
    <row r="11677" spans="16:20">
      <c r="P11677" s="1094">
        <v>4825</v>
      </c>
      <c r="Q11677" t="s">
        <v>1758</v>
      </c>
      <c r="R11677" t="s">
        <v>614</v>
      </c>
      <c r="S11677">
        <v>137.43234100000001</v>
      </c>
      <c r="T11677" s="1095">
        <v>-21.017327000000002</v>
      </c>
    </row>
    <row r="11678" spans="16:20">
      <c r="P11678" s="1094">
        <v>4825</v>
      </c>
      <c r="Q11678" t="s">
        <v>11997</v>
      </c>
      <c r="R11678" t="s">
        <v>614</v>
      </c>
      <c r="S11678">
        <v>137.43234100000001</v>
      </c>
      <c r="T11678" s="1095">
        <v>-21.017327000000002</v>
      </c>
    </row>
    <row r="11679" spans="16:20">
      <c r="P11679" s="1094">
        <v>4828</v>
      </c>
      <c r="Q11679" t="s">
        <v>11998</v>
      </c>
      <c r="R11679" t="s">
        <v>614</v>
      </c>
      <c r="S11679">
        <v>138.35072299999999</v>
      </c>
      <c r="T11679" s="1095">
        <v>-19.543752000000001</v>
      </c>
    </row>
    <row r="11680" spans="16:20">
      <c r="P11680" s="1094">
        <v>4829</v>
      </c>
      <c r="Q11680" t="s">
        <v>6224</v>
      </c>
      <c r="R11680" t="s">
        <v>614</v>
      </c>
      <c r="S11680">
        <v>140.22123999999999</v>
      </c>
      <c r="T11680" s="1095">
        <v>-23.329937999999999</v>
      </c>
    </row>
    <row r="11681" spans="16:20">
      <c r="P11681" s="1094">
        <v>4829</v>
      </c>
      <c r="Q11681" t="s">
        <v>11999</v>
      </c>
      <c r="R11681" t="s">
        <v>614</v>
      </c>
      <c r="S11681">
        <v>140.22123999999999</v>
      </c>
      <c r="T11681" s="1095">
        <v>-23.329937999999999</v>
      </c>
    </row>
    <row r="11682" spans="16:20">
      <c r="P11682" s="1094">
        <v>4829</v>
      </c>
      <c r="Q11682" t="s">
        <v>12000</v>
      </c>
      <c r="R11682" t="s">
        <v>614</v>
      </c>
      <c r="S11682">
        <v>140.22123999999999</v>
      </c>
      <c r="T11682" s="1095">
        <v>-23.329937999999999</v>
      </c>
    </row>
    <row r="11683" spans="16:20">
      <c r="P11683" s="1094">
        <v>4829</v>
      </c>
      <c r="Q11683" t="s">
        <v>12001</v>
      </c>
      <c r="R11683" t="s">
        <v>614</v>
      </c>
      <c r="S11683">
        <v>140.22123999999999</v>
      </c>
      <c r="T11683" s="1095">
        <v>-23.329937999999999</v>
      </c>
    </row>
    <row r="11684" spans="16:20">
      <c r="P11684" s="1094">
        <v>4829</v>
      </c>
      <c r="Q11684" t="s">
        <v>12002</v>
      </c>
      <c r="R11684" t="s">
        <v>614</v>
      </c>
      <c r="S11684">
        <v>140.22123999999999</v>
      </c>
      <c r="T11684" s="1095">
        <v>-23.329937999999999</v>
      </c>
    </row>
    <row r="11685" spans="16:20">
      <c r="P11685" s="1094">
        <v>4829</v>
      </c>
      <c r="Q11685" t="s">
        <v>12003</v>
      </c>
      <c r="R11685" t="s">
        <v>614</v>
      </c>
      <c r="S11685">
        <v>140.22123999999999</v>
      </c>
      <c r="T11685" s="1095">
        <v>-23.329937999999999</v>
      </c>
    </row>
    <row r="11686" spans="16:20">
      <c r="P11686" s="1094">
        <v>4829</v>
      </c>
      <c r="Q11686" t="s">
        <v>12004</v>
      </c>
      <c r="R11686" t="s">
        <v>614</v>
      </c>
      <c r="S11686">
        <v>140.22123999999999</v>
      </c>
      <c r="T11686" s="1095">
        <v>-23.329937999999999</v>
      </c>
    </row>
    <row r="11687" spans="16:20">
      <c r="P11687" s="1094">
        <v>4829</v>
      </c>
      <c r="Q11687" t="s">
        <v>12005</v>
      </c>
      <c r="R11687" t="s">
        <v>614</v>
      </c>
      <c r="S11687">
        <v>140.22123999999999</v>
      </c>
      <c r="T11687" s="1095">
        <v>-23.329937999999999</v>
      </c>
    </row>
    <row r="11688" spans="16:20">
      <c r="P11688" s="1094">
        <v>4830</v>
      </c>
      <c r="Q11688" t="s">
        <v>12006</v>
      </c>
      <c r="R11688" t="s">
        <v>614</v>
      </c>
      <c r="S11688">
        <v>138.86202399999999</v>
      </c>
      <c r="T11688" s="1095">
        <v>-17.956336</v>
      </c>
    </row>
    <row r="11689" spans="16:20">
      <c r="P11689" s="1094">
        <v>4830</v>
      </c>
      <c r="Q11689" t="s">
        <v>12007</v>
      </c>
      <c r="R11689" t="s">
        <v>614</v>
      </c>
      <c r="S11689">
        <v>138.86202399999999</v>
      </c>
      <c r="T11689" s="1095">
        <v>-17.956336</v>
      </c>
    </row>
    <row r="11690" spans="16:20">
      <c r="P11690" s="1094">
        <v>4830</v>
      </c>
      <c r="Q11690" t="s">
        <v>12008</v>
      </c>
      <c r="R11690" t="s">
        <v>614</v>
      </c>
      <c r="S11690">
        <v>138.86202399999999</v>
      </c>
      <c r="T11690" s="1095">
        <v>-17.956336</v>
      </c>
    </row>
    <row r="11691" spans="16:20">
      <c r="P11691" s="1094">
        <v>4830</v>
      </c>
      <c r="Q11691" t="s">
        <v>12009</v>
      </c>
      <c r="R11691" t="s">
        <v>614</v>
      </c>
      <c r="S11691">
        <v>138.86202399999999</v>
      </c>
      <c r="T11691" s="1095">
        <v>-17.956336</v>
      </c>
    </row>
    <row r="11692" spans="16:20">
      <c r="P11692" s="1094">
        <v>4830</v>
      </c>
      <c r="Q11692" t="s">
        <v>12010</v>
      </c>
      <c r="R11692" t="s">
        <v>614</v>
      </c>
      <c r="S11692">
        <v>138.86202399999999</v>
      </c>
      <c r="T11692" s="1095">
        <v>-17.956336</v>
      </c>
    </row>
    <row r="11693" spans="16:20">
      <c r="P11693" s="1094">
        <v>4830</v>
      </c>
      <c r="Q11693" t="s">
        <v>8993</v>
      </c>
      <c r="R11693" t="s">
        <v>614</v>
      </c>
      <c r="S11693">
        <v>138.86202399999999</v>
      </c>
      <c r="T11693" s="1095">
        <v>-17.956336</v>
      </c>
    </row>
    <row r="11694" spans="16:20">
      <c r="P11694" s="1094">
        <v>4849</v>
      </c>
      <c r="Q11694" t="s">
        <v>12011</v>
      </c>
      <c r="R11694" t="s">
        <v>614</v>
      </c>
      <c r="S11694">
        <v>0</v>
      </c>
      <c r="T11694" s="1095">
        <v>0</v>
      </c>
    </row>
    <row r="11695" spans="16:20">
      <c r="P11695" s="1094">
        <v>4849</v>
      </c>
      <c r="Q11695" t="s">
        <v>12012</v>
      </c>
      <c r="R11695" t="s">
        <v>614</v>
      </c>
      <c r="S11695">
        <v>0</v>
      </c>
      <c r="T11695" s="1095">
        <v>0</v>
      </c>
    </row>
    <row r="11696" spans="16:20">
      <c r="P11696" s="1094">
        <v>4849</v>
      </c>
      <c r="Q11696" t="s">
        <v>2110</v>
      </c>
      <c r="R11696" t="s">
        <v>614</v>
      </c>
      <c r="S11696">
        <v>0</v>
      </c>
      <c r="T11696" s="1095">
        <v>0</v>
      </c>
    </row>
    <row r="11697" spans="16:20">
      <c r="P11697" s="1094">
        <v>4849</v>
      </c>
      <c r="Q11697" t="s">
        <v>12013</v>
      </c>
      <c r="R11697" t="s">
        <v>614</v>
      </c>
      <c r="S11697">
        <v>0</v>
      </c>
      <c r="T11697" s="1095">
        <v>0</v>
      </c>
    </row>
    <row r="11698" spans="16:20">
      <c r="P11698" s="1094">
        <v>4849</v>
      </c>
      <c r="Q11698" t="s">
        <v>12014</v>
      </c>
      <c r="R11698" t="s">
        <v>614</v>
      </c>
      <c r="S11698">
        <v>0</v>
      </c>
      <c r="T11698" s="1095">
        <v>0</v>
      </c>
    </row>
    <row r="11699" spans="16:20">
      <c r="P11699" s="1094">
        <v>4850</v>
      </c>
      <c r="Q11699" t="s">
        <v>12015</v>
      </c>
      <c r="R11699" t="s">
        <v>614</v>
      </c>
      <c r="S11699">
        <v>146.49572000000001</v>
      </c>
      <c r="T11699" s="1095">
        <v>-18.552533</v>
      </c>
    </row>
    <row r="11700" spans="16:20">
      <c r="P11700" s="1094">
        <v>4850</v>
      </c>
      <c r="Q11700" t="s">
        <v>12016</v>
      </c>
      <c r="R11700" t="s">
        <v>614</v>
      </c>
      <c r="S11700">
        <v>146.49572000000001</v>
      </c>
      <c r="T11700" s="1095">
        <v>-18.552533</v>
      </c>
    </row>
    <row r="11701" spans="16:20">
      <c r="P11701" s="1094">
        <v>4850</v>
      </c>
      <c r="Q11701" t="s">
        <v>12017</v>
      </c>
      <c r="R11701" t="s">
        <v>614</v>
      </c>
      <c r="S11701">
        <v>146.49572000000001</v>
      </c>
      <c r="T11701" s="1095">
        <v>-18.552533</v>
      </c>
    </row>
    <row r="11702" spans="16:20">
      <c r="P11702" s="1094">
        <v>4850</v>
      </c>
      <c r="Q11702" t="s">
        <v>12018</v>
      </c>
      <c r="R11702" t="s">
        <v>614</v>
      </c>
      <c r="S11702">
        <v>146.49572000000001</v>
      </c>
      <c r="T11702" s="1095">
        <v>-18.552533</v>
      </c>
    </row>
    <row r="11703" spans="16:20">
      <c r="P11703" s="1094">
        <v>4850</v>
      </c>
      <c r="Q11703" t="s">
        <v>12019</v>
      </c>
      <c r="R11703" t="s">
        <v>614</v>
      </c>
      <c r="S11703">
        <v>146.49572000000001</v>
      </c>
      <c r="T11703" s="1095">
        <v>-18.552533</v>
      </c>
    </row>
    <row r="11704" spans="16:20">
      <c r="P11704" s="1094">
        <v>4850</v>
      </c>
      <c r="Q11704" t="s">
        <v>12020</v>
      </c>
      <c r="R11704" t="s">
        <v>614</v>
      </c>
      <c r="S11704">
        <v>146.49572000000001</v>
      </c>
      <c r="T11704" s="1095">
        <v>-18.552533</v>
      </c>
    </row>
    <row r="11705" spans="16:20">
      <c r="P11705" s="1094">
        <v>4850</v>
      </c>
      <c r="Q11705" t="s">
        <v>12021</v>
      </c>
      <c r="R11705" t="s">
        <v>614</v>
      </c>
      <c r="S11705">
        <v>146.49572000000001</v>
      </c>
      <c r="T11705" s="1095">
        <v>-18.552533</v>
      </c>
    </row>
    <row r="11706" spans="16:20">
      <c r="P11706" s="1094">
        <v>4850</v>
      </c>
      <c r="Q11706" t="s">
        <v>12022</v>
      </c>
      <c r="R11706" t="s">
        <v>614</v>
      </c>
      <c r="S11706">
        <v>146.49572000000001</v>
      </c>
      <c r="T11706" s="1095">
        <v>-18.552533</v>
      </c>
    </row>
    <row r="11707" spans="16:20">
      <c r="P11707" s="1094">
        <v>4850</v>
      </c>
      <c r="Q11707" t="s">
        <v>12023</v>
      </c>
      <c r="R11707" t="s">
        <v>614</v>
      </c>
      <c r="S11707">
        <v>146.49572000000001</v>
      </c>
      <c r="T11707" s="1095">
        <v>-18.552533</v>
      </c>
    </row>
    <row r="11708" spans="16:20">
      <c r="P11708" s="1094">
        <v>4850</v>
      </c>
      <c r="Q11708" t="s">
        <v>12024</v>
      </c>
      <c r="R11708" t="s">
        <v>614</v>
      </c>
      <c r="S11708">
        <v>146.49572000000001</v>
      </c>
      <c r="T11708" s="1095">
        <v>-18.552533</v>
      </c>
    </row>
    <row r="11709" spans="16:20">
      <c r="P11709" s="1094">
        <v>4850</v>
      </c>
      <c r="Q11709" t="s">
        <v>12025</v>
      </c>
      <c r="R11709" t="s">
        <v>614</v>
      </c>
      <c r="S11709">
        <v>146.49572000000001</v>
      </c>
      <c r="T11709" s="1095">
        <v>-18.552533</v>
      </c>
    </row>
    <row r="11710" spans="16:20">
      <c r="P11710" s="1094">
        <v>4850</v>
      </c>
      <c r="Q11710" t="s">
        <v>12026</v>
      </c>
      <c r="R11710" t="s">
        <v>614</v>
      </c>
      <c r="S11710">
        <v>146.49572000000001</v>
      </c>
      <c r="T11710" s="1095">
        <v>-18.552533</v>
      </c>
    </row>
    <row r="11711" spans="16:20">
      <c r="P11711" s="1094">
        <v>4850</v>
      </c>
      <c r="Q11711" t="s">
        <v>12027</v>
      </c>
      <c r="R11711" t="s">
        <v>614</v>
      </c>
      <c r="S11711">
        <v>146.49572000000001</v>
      </c>
      <c r="T11711" s="1095">
        <v>-18.552533</v>
      </c>
    </row>
    <row r="11712" spans="16:20">
      <c r="P11712" s="1094">
        <v>4850</v>
      </c>
      <c r="Q11712" t="s">
        <v>12028</v>
      </c>
      <c r="R11712" t="s">
        <v>614</v>
      </c>
      <c r="S11712">
        <v>146.49572000000001</v>
      </c>
      <c r="T11712" s="1095">
        <v>-18.552533</v>
      </c>
    </row>
    <row r="11713" spans="16:20">
      <c r="P11713" s="1094">
        <v>4850</v>
      </c>
      <c r="Q11713" t="s">
        <v>12029</v>
      </c>
      <c r="R11713" t="s">
        <v>614</v>
      </c>
      <c r="S11713">
        <v>146.49572000000001</v>
      </c>
      <c r="T11713" s="1095">
        <v>-18.552533</v>
      </c>
    </row>
    <row r="11714" spans="16:20">
      <c r="P11714" s="1094">
        <v>4850</v>
      </c>
      <c r="Q11714" t="s">
        <v>12030</v>
      </c>
      <c r="R11714" t="s">
        <v>614</v>
      </c>
      <c r="S11714">
        <v>146.49572000000001</v>
      </c>
      <c r="T11714" s="1095">
        <v>-18.552533</v>
      </c>
    </row>
    <row r="11715" spans="16:20">
      <c r="P11715" s="1094">
        <v>4850</v>
      </c>
      <c r="Q11715" t="s">
        <v>12031</v>
      </c>
      <c r="R11715" t="s">
        <v>614</v>
      </c>
      <c r="S11715">
        <v>146.49572000000001</v>
      </c>
      <c r="T11715" s="1095">
        <v>-18.552533</v>
      </c>
    </row>
    <row r="11716" spans="16:20">
      <c r="P11716" s="1094">
        <v>4850</v>
      </c>
      <c r="Q11716" t="s">
        <v>9466</v>
      </c>
      <c r="R11716" t="s">
        <v>614</v>
      </c>
      <c r="S11716">
        <v>146.49572000000001</v>
      </c>
      <c r="T11716" s="1095">
        <v>-18.552533</v>
      </c>
    </row>
    <row r="11717" spans="16:20">
      <c r="P11717" s="1094">
        <v>4850</v>
      </c>
      <c r="Q11717" t="s">
        <v>12032</v>
      </c>
      <c r="R11717" t="s">
        <v>614</v>
      </c>
      <c r="S11717">
        <v>146.49572000000001</v>
      </c>
      <c r="T11717" s="1095">
        <v>-18.552533</v>
      </c>
    </row>
    <row r="11718" spans="16:20">
      <c r="P11718" s="1094">
        <v>4850</v>
      </c>
      <c r="Q11718" t="s">
        <v>12033</v>
      </c>
      <c r="R11718" t="s">
        <v>614</v>
      </c>
      <c r="S11718">
        <v>146.49572000000001</v>
      </c>
      <c r="T11718" s="1095">
        <v>-18.552533</v>
      </c>
    </row>
    <row r="11719" spans="16:20">
      <c r="P11719" s="1094">
        <v>4850</v>
      </c>
      <c r="Q11719" t="s">
        <v>12034</v>
      </c>
      <c r="R11719" t="s">
        <v>614</v>
      </c>
      <c r="S11719">
        <v>146.49572000000001</v>
      </c>
      <c r="T11719" s="1095">
        <v>-18.552533</v>
      </c>
    </row>
    <row r="11720" spans="16:20">
      <c r="P11720" s="1094">
        <v>4850</v>
      </c>
      <c r="Q11720" t="s">
        <v>12035</v>
      </c>
      <c r="R11720" t="s">
        <v>614</v>
      </c>
      <c r="S11720">
        <v>146.49572000000001</v>
      </c>
      <c r="T11720" s="1095">
        <v>-18.552533</v>
      </c>
    </row>
    <row r="11721" spans="16:20">
      <c r="P11721" s="1094">
        <v>4850</v>
      </c>
      <c r="Q11721" t="s">
        <v>12036</v>
      </c>
      <c r="R11721" t="s">
        <v>614</v>
      </c>
      <c r="S11721">
        <v>146.49572000000001</v>
      </c>
      <c r="T11721" s="1095">
        <v>-18.552533</v>
      </c>
    </row>
    <row r="11722" spans="16:20">
      <c r="P11722" s="1094">
        <v>4850</v>
      </c>
      <c r="Q11722" t="s">
        <v>2572</v>
      </c>
      <c r="R11722" t="s">
        <v>614</v>
      </c>
      <c r="S11722">
        <v>146.49572000000001</v>
      </c>
      <c r="T11722" s="1095">
        <v>-18.552533</v>
      </c>
    </row>
    <row r="11723" spans="16:20">
      <c r="P11723" s="1094">
        <v>4850</v>
      </c>
      <c r="Q11723" t="s">
        <v>12037</v>
      </c>
      <c r="R11723" t="s">
        <v>614</v>
      </c>
      <c r="S11723">
        <v>146.49572000000001</v>
      </c>
      <c r="T11723" s="1095">
        <v>-18.552533</v>
      </c>
    </row>
    <row r="11724" spans="16:20">
      <c r="P11724" s="1094">
        <v>4850</v>
      </c>
      <c r="Q11724" t="s">
        <v>12038</v>
      </c>
      <c r="R11724" t="s">
        <v>614</v>
      </c>
      <c r="S11724">
        <v>146.49572000000001</v>
      </c>
      <c r="T11724" s="1095">
        <v>-18.552533</v>
      </c>
    </row>
    <row r="11725" spans="16:20">
      <c r="P11725" s="1094">
        <v>4850</v>
      </c>
      <c r="Q11725" t="s">
        <v>12039</v>
      </c>
      <c r="R11725" t="s">
        <v>614</v>
      </c>
      <c r="S11725">
        <v>146.49572000000001</v>
      </c>
      <c r="T11725" s="1095">
        <v>-18.552533</v>
      </c>
    </row>
    <row r="11726" spans="16:20">
      <c r="P11726" s="1094">
        <v>4850</v>
      </c>
      <c r="Q11726" t="s">
        <v>12040</v>
      </c>
      <c r="R11726" t="s">
        <v>614</v>
      </c>
      <c r="S11726">
        <v>146.49572000000001</v>
      </c>
      <c r="T11726" s="1095">
        <v>-18.552533</v>
      </c>
    </row>
    <row r="11727" spans="16:20">
      <c r="P11727" s="1094">
        <v>4850</v>
      </c>
      <c r="Q11727" t="s">
        <v>12041</v>
      </c>
      <c r="R11727" t="s">
        <v>614</v>
      </c>
      <c r="S11727">
        <v>146.49572000000001</v>
      </c>
      <c r="T11727" s="1095">
        <v>-18.552533</v>
      </c>
    </row>
    <row r="11728" spans="16:20">
      <c r="P11728" s="1094">
        <v>4850</v>
      </c>
      <c r="Q11728" t="s">
        <v>12042</v>
      </c>
      <c r="R11728" t="s">
        <v>614</v>
      </c>
      <c r="S11728">
        <v>146.49572000000001</v>
      </c>
      <c r="T11728" s="1095">
        <v>-18.552533</v>
      </c>
    </row>
    <row r="11729" spans="16:20">
      <c r="P11729" s="1094">
        <v>4850</v>
      </c>
      <c r="Q11729" t="s">
        <v>12043</v>
      </c>
      <c r="R11729" t="s">
        <v>614</v>
      </c>
      <c r="S11729">
        <v>146.49572000000001</v>
      </c>
      <c r="T11729" s="1095">
        <v>-18.552533</v>
      </c>
    </row>
    <row r="11730" spans="16:20">
      <c r="P11730" s="1094">
        <v>4850</v>
      </c>
      <c r="Q11730" t="s">
        <v>12044</v>
      </c>
      <c r="R11730" t="s">
        <v>614</v>
      </c>
      <c r="S11730">
        <v>146.49572000000001</v>
      </c>
      <c r="T11730" s="1095">
        <v>-18.552533</v>
      </c>
    </row>
    <row r="11731" spans="16:20">
      <c r="P11731" s="1094">
        <v>4852</v>
      </c>
      <c r="Q11731" t="s">
        <v>12045</v>
      </c>
      <c r="R11731" t="s">
        <v>614</v>
      </c>
      <c r="S11731">
        <v>0</v>
      </c>
      <c r="T11731" s="1095">
        <v>0</v>
      </c>
    </row>
    <row r="11732" spans="16:20">
      <c r="P11732" s="1094">
        <v>4852</v>
      </c>
      <c r="Q11732" t="s">
        <v>12046</v>
      </c>
      <c r="R11732" t="s">
        <v>614</v>
      </c>
      <c r="S11732">
        <v>0</v>
      </c>
      <c r="T11732" s="1095">
        <v>0</v>
      </c>
    </row>
    <row r="11733" spans="16:20">
      <c r="P11733" s="1094">
        <v>4852</v>
      </c>
      <c r="Q11733" t="s">
        <v>12047</v>
      </c>
      <c r="R11733" t="s">
        <v>614</v>
      </c>
      <c r="S11733">
        <v>0</v>
      </c>
      <c r="T11733" s="1095">
        <v>0</v>
      </c>
    </row>
    <row r="11734" spans="16:20">
      <c r="P11734" s="1094">
        <v>4852</v>
      </c>
      <c r="Q11734" t="s">
        <v>12048</v>
      </c>
      <c r="R11734" t="s">
        <v>614</v>
      </c>
      <c r="S11734">
        <v>0</v>
      </c>
      <c r="T11734" s="1095">
        <v>0</v>
      </c>
    </row>
    <row r="11735" spans="16:20">
      <c r="P11735" s="1094">
        <v>4852</v>
      </c>
      <c r="Q11735" t="s">
        <v>12049</v>
      </c>
      <c r="R11735" t="s">
        <v>614</v>
      </c>
      <c r="S11735">
        <v>0</v>
      </c>
      <c r="T11735" s="1095">
        <v>0</v>
      </c>
    </row>
    <row r="11736" spans="16:20">
      <c r="P11736" s="1094">
        <v>4852</v>
      </c>
      <c r="Q11736" t="s">
        <v>12050</v>
      </c>
      <c r="R11736" t="s">
        <v>614</v>
      </c>
      <c r="S11736">
        <v>0</v>
      </c>
      <c r="T11736" s="1095">
        <v>0</v>
      </c>
    </row>
    <row r="11737" spans="16:20">
      <c r="P11737" s="1094">
        <v>4852</v>
      </c>
      <c r="Q11737" t="s">
        <v>12051</v>
      </c>
      <c r="R11737" t="s">
        <v>614</v>
      </c>
      <c r="S11737">
        <v>0</v>
      </c>
      <c r="T11737" s="1095">
        <v>0</v>
      </c>
    </row>
    <row r="11738" spans="16:20">
      <c r="P11738" s="1094">
        <v>4852</v>
      </c>
      <c r="Q11738" t="s">
        <v>12052</v>
      </c>
      <c r="R11738" t="s">
        <v>614</v>
      </c>
      <c r="S11738">
        <v>0</v>
      </c>
      <c r="T11738" s="1095">
        <v>0</v>
      </c>
    </row>
    <row r="11739" spans="16:20">
      <c r="P11739" s="1094">
        <v>4852</v>
      </c>
      <c r="Q11739" t="s">
        <v>12053</v>
      </c>
      <c r="R11739" t="s">
        <v>614</v>
      </c>
      <c r="S11739">
        <v>0</v>
      </c>
      <c r="T11739" s="1095">
        <v>0</v>
      </c>
    </row>
    <row r="11740" spans="16:20">
      <c r="P11740" s="1094">
        <v>4852</v>
      </c>
      <c r="Q11740" t="s">
        <v>12054</v>
      </c>
      <c r="R11740" t="s">
        <v>614</v>
      </c>
      <c r="S11740">
        <v>0</v>
      </c>
      <c r="T11740" s="1095">
        <v>0</v>
      </c>
    </row>
    <row r="11741" spans="16:20">
      <c r="P11741" s="1094">
        <v>4852</v>
      </c>
      <c r="Q11741" t="s">
        <v>12055</v>
      </c>
      <c r="R11741" t="s">
        <v>614</v>
      </c>
      <c r="S11741">
        <v>0</v>
      </c>
      <c r="T11741" s="1095">
        <v>0</v>
      </c>
    </row>
    <row r="11742" spans="16:20">
      <c r="P11742" s="1094">
        <v>4852</v>
      </c>
      <c r="Q11742" t="s">
        <v>12056</v>
      </c>
      <c r="R11742" t="s">
        <v>614</v>
      </c>
      <c r="S11742">
        <v>0</v>
      </c>
      <c r="T11742" s="1095">
        <v>0</v>
      </c>
    </row>
    <row r="11743" spans="16:20">
      <c r="P11743" s="1094">
        <v>4854</v>
      </c>
      <c r="Q11743" t="s">
        <v>12057</v>
      </c>
      <c r="R11743" t="s">
        <v>614</v>
      </c>
      <c r="S11743">
        <v>145.842063</v>
      </c>
      <c r="T11743" s="1095">
        <v>-18.020178000000001</v>
      </c>
    </row>
    <row r="11744" spans="16:20">
      <c r="P11744" s="1094">
        <v>4854</v>
      </c>
      <c r="Q11744" t="s">
        <v>12058</v>
      </c>
      <c r="R11744" t="s">
        <v>614</v>
      </c>
      <c r="S11744">
        <v>145.842063</v>
      </c>
      <c r="T11744" s="1095">
        <v>-18.020178000000001</v>
      </c>
    </row>
    <row r="11745" spans="16:20">
      <c r="P11745" s="1094">
        <v>4854</v>
      </c>
      <c r="Q11745" t="s">
        <v>12059</v>
      </c>
      <c r="R11745" t="s">
        <v>614</v>
      </c>
      <c r="S11745">
        <v>145.842063</v>
      </c>
      <c r="T11745" s="1095">
        <v>-18.020178000000001</v>
      </c>
    </row>
    <row r="11746" spans="16:20">
      <c r="P11746" s="1094">
        <v>4854</v>
      </c>
      <c r="Q11746" t="s">
        <v>12060</v>
      </c>
      <c r="R11746" t="s">
        <v>614</v>
      </c>
      <c r="S11746">
        <v>145.842063</v>
      </c>
      <c r="T11746" s="1095">
        <v>-18.020178000000001</v>
      </c>
    </row>
    <row r="11747" spans="16:20">
      <c r="P11747" s="1094">
        <v>4854</v>
      </c>
      <c r="Q11747" t="s">
        <v>12061</v>
      </c>
      <c r="R11747" t="s">
        <v>614</v>
      </c>
      <c r="S11747">
        <v>145.842063</v>
      </c>
      <c r="T11747" s="1095">
        <v>-18.020178000000001</v>
      </c>
    </row>
    <row r="11748" spans="16:20">
      <c r="P11748" s="1094">
        <v>4854</v>
      </c>
      <c r="Q11748" t="s">
        <v>12062</v>
      </c>
      <c r="R11748" t="s">
        <v>614</v>
      </c>
      <c r="S11748">
        <v>145.842063</v>
      </c>
      <c r="T11748" s="1095">
        <v>-18.020178000000001</v>
      </c>
    </row>
    <row r="11749" spans="16:20">
      <c r="P11749" s="1094">
        <v>4854</v>
      </c>
      <c r="Q11749" t="s">
        <v>12063</v>
      </c>
      <c r="R11749" t="s">
        <v>614</v>
      </c>
      <c r="S11749">
        <v>145.842063</v>
      </c>
      <c r="T11749" s="1095">
        <v>-18.020178000000001</v>
      </c>
    </row>
    <row r="11750" spans="16:20">
      <c r="P11750" s="1094">
        <v>4854</v>
      </c>
      <c r="Q11750" t="s">
        <v>12064</v>
      </c>
      <c r="R11750" t="s">
        <v>614</v>
      </c>
      <c r="S11750">
        <v>145.842063</v>
      </c>
      <c r="T11750" s="1095">
        <v>-18.020178000000001</v>
      </c>
    </row>
    <row r="11751" spans="16:20">
      <c r="P11751" s="1094">
        <v>4854</v>
      </c>
      <c r="Q11751" t="s">
        <v>12065</v>
      </c>
      <c r="R11751" t="s">
        <v>614</v>
      </c>
      <c r="S11751">
        <v>145.842063</v>
      </c>
      <c r="T11751" s="1095">
        <v>-18.020178000000001</v>
      </c>
    </row>
    <row r="11752" spans="16:20">
      <c r="P11752" s="1094">
        <v>4854</v>
      </c>
      <c r="Q11752" t="s">
        <v>12066</v>
      </c>
      <c r="R11752" t="s">
        <v>614</v>
      </c>
      <c r="S11752">
        <v>145.842063</v>
      </c>
      <c r="T11752" s="1095">
        <v>-18.020178000000001</v>
      </c>
    </row>
    <row r="11753" spans="16:20">
      <c r="P11753" s="1094">
        <v>4854</v>
      </c>
      <c r="Q11753" t="s">
        <v>12067</v>
      </c>
      <c r="R11753" t="s">
        <v>614</v>
      </c>
      <c r="S11753">
        <v>145.842063</v>
      </c>
      <c r="T11753" s="1095">
        <v>-18.020178000000001</v>
      </c>
    </row>
    <row r="11754" spans="16:20">
      <c r="P11754" s="1094">
        <v>4854</v>
      </c>
      <c r="Q11754" t="s">
        <v>12068</v>
      </c>
      <c r="R11754" t="s">
        <v>614</v>
      </c>
      <c r="S11754">
        <v>145.842063</v>
      </c>
      <c r="T11754" s="1095">
        <v>-18.020178000000001</v>
      </c>
    </row>
    <row r="11755" spans="16:20">
      <c r="P11755" s="1094">
        <v>4854</v>
      </c>
      <c r="Q11755" t="s">
        <v>12069</v>
      </c>
      <c r="R11755" t="s">
        <v>614</v>
      </c>
      <c r="S11755">
        <v>145.842063</v>
      </c>
      <c r="T11755" s="1095">
        <v>-18.020178000000001</v>
      </c>
    </row>
    <row r="11756" spans="16:20">
      <c r="P11756" s="1094">
        <v>4854</v>
      </c>
      <c r="Q11756" t="s">
        <v>12070</v>
      </c>
      <c r="R11756" t="s">
        <v>614</v>
      </c>
      <c r="S11756">
        <v>145.842063</v>
      </c>
      <c r="T11756" s="1095">
        <v>-18.020178000000001</v>
      </c>
    </row>
    <row r="11757" spans="16:20">
      <c r="P11757" s="1094">
        <v>4854</v>
      </c>
      <c r="Q11757" t="s">
        <v>12071</v>
      </c>
      <c r="R11757" t="s">
        <v>614</v>
      </c>
      <c r="S11757">
        <v>145.842063</v>
      </c>
      <c r="T11757" s="1095">
        <v>-18.020178000000001</v>
      </c>
    </row>
    <row r="11758" spans="16:20">
      <c r="P11758" s="1094">
        <v>4854</v>
      </c>
      <c r="Q11758" t="s">
        <v>12072</v>
      </c>
      <c r="R11758" t="s">
        <v>614</v>
      </c>
      <c r="S11758">
        <v>145.842063</v>
      </c>
      <c r="T11758" s="1095">
        <v>-18.020178000000001</v>
      </c>
    </row>
    <row r="11759" spans="16:20">
      <c r="P11759" s="1094">
        <v>4854</v>
      </c>
      <c r="Q11759" t="s">
        <v>12073</v>
      </c>
      <c r="R11759" t="s">
        <v>614</v>
      </c>
      <c r="S11759">
        <v>145.842063</v>
      </c>
      <c r="T11759" s="1095">
        <v>-18.020178000000001</v>
      </c>
    </row>
    <row r="11760" spans="16:20">
      <c r="P11760" s="1094">
        <v>4854</v>
      </c>
      <c r="Q11760" t="s">
        <v>12074</v>
      </c>
      <c r="R11760" t="s">
        <v>614</v>
      </c>
      <c r="S11760">
        <v>145.842063</v>
      </c>
      <c r="T11760" s="1095">
        <v>-18.020178000000001</v>
      </c>
    </row>
    <row r="11761" spans="16:20">
      <c r="P11761" s="1094">
        <v>4854</v>
      </c>
      <c r="Q11761" t="s">
        <v>12075</v>
      </c>
      <c r="R11761" t="s">
        <v>614</v>
      </c>
      <c r="S11761">
        <v>145.842063</v>
      </c>
      <c r="T11761" s="1095">
        <v>-18.020178000000001</v>
      </c>
    </row>
    <row r="11762" spans="16:20">
      <c r="P11762" s="1094">
        <v>4854</v>
      </c>
      <c r="Q11762" t="s">
        <v>12076</v>
      </c>
      <c r="R11762" t="s">
        <v>614</v>
      </c>
      <c r="S11762">
        <v>145.842063</v>
      </c>
      <c r="T11762" s="1095">
        <v>-18.020178000000001</v>
      </c>
    </row>
    <row r="11763" spans="16:20">
      <c r="P11763" s="1094">
        <v>4854</v>
      </c>
      <c r="Q11763" t="s">
        <v>12077</v>
      </c>
      <c r="R11763" t="s">
        <v>614</v>
      </c>
      <c r="S11763">
        <v>145.842063</v>
      </c>
      <c r="T11763" s="1095">
        <v>-18.020178000000001</v>
      </c>
    </row>
    <row r="11764" spans="16:20">
      <c r="P11764" s="1094">
        <v>4854</v>
      </c>
      <c r="Q11764" t="s">
        <v>12078</v>
      </c>
      <c r="R11764" t="s">
        <v>614</v>
      </c>
      <c r="S11764">
        <v>145.842063</v>
      </c>
      <c r="T11764" s="1095">
        <v>-18.020178000000001</v>
      </c>
    </row>
    <row r="11765" spans="16:20">
      <c r="P11765" s="1094">
        <v>4854</v>
      </c>
      <c r="Q11765" t="s">
        <v>12079</v>
      </c>
      <c r="R11765" t="s">
        <v>614</v>
      </c>
      <c r="S11765">
        <v>145.842063</v>
      </c>
      <c r="T11765" s="1095">
        <v>-18.020178000000001</v>
      </c>
    </row>
    <row r="11766" spans="16:20">
      <c r="P11766" s="1094">
        <v>4854</v>
      </c>
      <c r="Q11766" t="s">
        <v>12080</v>
      </c>
      <c r="R11766" t="s">
        <v>614</v>
      </c>
      <c r="S11766">
        <v>145.842063</v>
      </c>
      <c r="T11766" s="1095">
        <v>-18.020178000000001</v>
      </c>
    </row>
    <row r="11767" spans="16:20">
      <c r="P11767" s="1094">
        <v>4854</v>
      </c>
      <c r="Q11767" t="s">
        <v>12081</v>
      </c>
      <c r="R11767" t="s">
        <v>614</v>
      </c>
      <c r="S11767">
        <v>145.842063</v>
      </c>
      <c r="T11767" s="1095">
        <v>-18.020178000000001</v>
      </c>
    </row>
    <row r="11768" spans="16:20">
      <c r="P11768" s="1094">
        <v>4855</v>
      </c>
      <c r="Q11768" t="s">
        <v>12082</v>
      </c>
      <c r="R11768" t="s">
        <v>614</v>
      </c>
      <c r="S11768">
        <v>146.01091400000001</v>
      </c>
      <c r="T11768" s="1095">
        <v>-17.815377999999999</v>
      </c>
    </row>
    <row r="11769" spans="16:20">
      <c r="P11769" s="1094">
        <v>4855</v>
      </c>
      <c r="Q11769" t="s">
        <v>12083</v>
      </c>
      <c r="R11769" t="s">
        <v>614</v>
      </c>
      <c r="S11769">
        <v>146.01091400000001</v>
      </c>
      <c r="T11769" s="1095">
        <v>-17.815377999999999</v>
      </c>
    </row>
    <row r="11770" spans="16:20">
      <c r="P11770" s="1094">
        <v>4855</v>
      </c>
      <c r="Q11770" t="s">
        <v>12084</v>
      </c>
      <c r="R11770" t="s">
        <v>614</v>
      </c>
      <c r="S11770">
        <v>146.01091400000001</v>
      </c>
      <c r="T11770" s="1095">
        <v>-17.815377999999999</v>
      </c>
    </row>
    <row r="11771" spans="16:20">
      <c r="P11771" s="1094">
        <v>4855</v>
      </c>
      <c r="Q11771" t="s">
        <v>12085</v>
      </c>
      <c r="R11771" t="s">
        <v>614</v>
      </c>
      <c r="S11771">
        <v>146.01091400000001</v>
      </c>
      <c r="T11771" s="1095">
        <v>-17.815377999999999</v>
      </c>
    </row>
    <row r="11772" spans="16:20">
      <c r="P11772" s="1094">
        <v>4855</v>
      </c>
      <c r="Q11772" t="s">
        <v>12086</v>
      </c>
      <c r="R11772" t="s">
        <v>614</v>
      </c>
      <c r="S11772">
        <v>146.01091400000001</v>
      </c>
      <c r="T11772" s="1095">
        <v>-17.815377999999999</v>
      </c>
    </row>
    <row r="11773" spans="16:20">
      <c r="P11773" s="1094">
        <v>4855</v>
      </c>
      <c r="Q11773" t="s">
        <v>12087</v>
      </c>
      <c r="R11773" t="s">
        <v>614</v>
      </c>
      <c r="S11773">
        <v>146.01091400000001</v>
      </c>
      <c r="T11773" s="1095">
        <v>-17.815377999999999</v>
      </c>
    </row>
    <row r="11774" spans="16:20">
      <c r="P11774" s="1094">
        <v>4855</v>
      </c>
      <c r="Q11774" t="s">
        <v>12088</v>
      </c>
      <c r="R11774" t="s">
        <v>614</v>
      </c>
      <c r="S11774">
        <v>146.01091400000001</v>
      </c>
      <c r="T11774" s="1095">
        <v>-17.815377999999999</v>
      </c>
    </row>
    <row r="11775" spans="16:20">
      <c r="P11775" s="1094">
        <v>4855</v>
      </c>
      <c r="Q11775" t="s">
        <v>12089</v>
      </c>
      <c r="R11775" t="s">
        <v>614</v>
      </c>
      <c r="S11775">
        <v>146.01091400000001</v>
      </c>
      <c r="T11775" s="1095">
        <v>-17.815377999999999</v>
      </c>
    </row>
    <row r="11776" spans="16:20">
      <c r="P11776" s="1094">
        <v>4856</v>
      </c>
      <c r="Q11776" t="s">
        <v>12090</v>
      </c>
      <c r="R11776" t="s">
        <v>614</v>
      </c>
      <c r="S11776">
        <v>145.924432</v>
      </c>
      <c r="T11776" s="1095">
        <v>-17.741423999999999</v>
      </c>
    </row>
    <row r="11777" spans="16:20">
      <c r="P11777" s="1094">
        <v>4856</v>
      </c>
      <c r="Q11777" t="s">
        <v>12091</v>
      </c>
      <c r="R11777" t="s">
        <v>614</v>
      </c>
      <c r="S11777">
        <v>145.924432</v>
      </c>
      <c r="T11777" s="1095">
        <v>-17.741423999999999</v>
      </c>
    </row>
    <row r="11778" spans="16:20">
      <c r="P11778" s="1094">
        <v>4856</v>
      </c>
      <c r="Q11778" t="s">
        <v>12092</v>
      </c>
      <c r="R11778" t="s">
        <v>614</v>
      </c>
      <c r="S11778">
        <v>145.924432</v>
      </c>
      <c r="T11778" s="1095">
        <v>-17.741423999999999</v>
      </c>
    </row>
    <row r="11779" spans="16:20">
      <c r="P11779" s="1094">
        <v>4856</v>
      </c>
      <c r="Q11779" t="s">
        <v>12093</v>
      </c>
      <c r="R11779" t="s">
        <v>614</v>
      </c>
      <c r="S11779">
        <v>145.924432</v>
      </c>
      <c r="T11779" s="1095">
        <v>-17.741423999999999</v>
      </c>
    </row>
    <row r="11780" spans="16:20">
      <c r="P11780" s="1094">
        <v>4856</v>
      </c>
      <c r="Q11780" t="s">
        <v>12094</v>
      </c>
      <c r="R11780" t="s">
        <v>614</v>
      </c>
      <c r="S11780">
        <v>145.924432</v>
      </c>
      <c r="T11780" s="1095">
        <v>-17.741423999999999</v>
      </c>
    </row>
    <row r="11781" spans="16:20">
      <c r="P11781" s="1094">
        <v>4856</v>
      </c>
      <c r="Q11781" t="s">
        <v>12095</v>
      </c>
      <c r="R11781" t="s">
        <v>614</v>
      </c>
      <c r="S11781">
        <v>145.924432</v>
      </c>
      <c r="T11781" s="1095">
        <v>-17.741423999999999</v>
      </c>
    </row>
    <row r="11782" spans="16:20">
      <c r="P11782" s="1094">
        <v>4856</v>
      </c>
      <c r="Q11782" t="s">
        <v>12096</v>
      </c>
      <c r="R11782" t="s">
        <v>614</v>
      </c>
      <c r="S11782">
        <v>145.924432</v>
      </c>
      <c r="T11782" s="1095">
        <v>-17.741423999999999</v>
      </c>
    </row>
    <row r="11783" spans="16:20">
      <c r="P11783" s="1094">
        <v>4857</v>
      </c>
      <c r="Q11783" t="s">
        <v>12097</v>
      </c>
      <c r="R11783" t="s">
        <v>614</v>
      </c>
      <c r="S11783">
        <v>146.059181</v>
      </c>
      <c r="T11783" s="1095">
        <v>-17.748857999999998</v>
      </c>
    </row>
    <row r="11784" spans="16:20">
      <c r="P11784" s="1094">
        <v>4858</v>
      </c>
      <c r="Q11784" t="s">
        <v>12098</v>
      </c>
      <c r="R11784" t="s">
        <v>614</v>
      </c>
      <c r="S11784">
        <v>146.07880700000001</v>
      </c>
      <c r="T11784" s="1095">
        <v>-17.622582999999999</v>
      </c>
    </row>
    <row r="11785" spans="16:20">
      <c r="P11785" s="1094">
        <v>4858</v>
      </c>
      <c r="Q11785" t="s">
        <v>12099</v>
      </c>
      <c r="R11785" t="s">
        <v>614</v>
      </c>
      <c r="S11785">
        <v>146.07880700000001</v>
      </c>
      <c r="T11785" s="1095">
        <v>-17.622582999999999</v>
      </c>
    </row>
    <row r="11786" spans="16:20">
      <c r="P11786" s="1094">
        <v>4858</v>
      </c>
      <c r="Q11786" t="s">
        <v>12100</v>
      </c>
      <c r="R11786" t="s">
        <v>614</v>
      </c>
      <c r="S11786">
        <v>146.07880700000001</v>
      </c>
      <c r="T11786" s="1095">
        <v>-17.622582999999999</v>
      </c>
    </row>
    <row r="11787" spans="16:20">
      <c r="P11787" s="1094">
        <v>4858</v>
      </c>
      <c r="Q11787" t="s">
        <v>12101</v>
      </c>
      <c r="R11787" t="s">
        <v>614</v>
      </c>
      <c r="S11787">
        <v>146.07880700000001</v>
      </c>
      <c r="T11787" s="1095">
        <v>-17.622582999999999</v>
      </c>
    </row>
    <row r="11788" spans="16:20">
      <c r="P11788" s="1094">
        <v>4858</v>
      </c>
      <c r="Q11788" t="s">
        <v>12102</v>
      </c>
      <c r="R11788" t="s">
        <v>614</v>
      </c>
      <c r="S11788">
        <v>146.07880700000001</v>
      </c>
      <c r="T11788" s="1095">
        <v>-17.622582999999999</v>
      </c>
    </row>
    <row r="11789" spans="16:20">
      <c r="P11789" s="1094">
        <v>4858</v>
      </c>
      <c r="Q11789" t="s">
        <v>12103</v>
      </c>
      <c r="R11789" t="s">
        <v>614</v>
      </c>
      <c r="S11789">
        <v>146.07880700000001</v>
      </c>
      <c r="T11789" s="1095">
        <v>-17.622582999999999</v>
      </c>
    </row>
    <row r="11790" spans="16:20">
      <c r="P11790" s="1094">
        <v>4859</v>
      </c>
      <c r="Q11790" t="s">
        <v>12104</v>
      </c>
      <c r="R11790" t="s">
        <v>614</v>
      </c>
      <c r="S11790">
        <v>145.95933500000001</v>
      </c>
      <c r="T11790" s="1095">
        <v>-17.608771999999998</v>
      </c>
    </row>
    <row r="11791" spans="16:20">
      <c r="P11791" s="1094">
        <v>4859</v>
      </c>
      <c r="Q11791" t="s">
        <v>12105</v>
      </c>
      <c r="R11791" t="s">
        <v>614</v>
      </c>
      <c r="S11791">
        <v>145.95933500000001</v>
      </c>
      <c r="T11791" s="1095">
        <v>-17.608771999999998</v>
      </c>
    </row>
    <row r="11792" spans="16:20">
      <c r="P11792" s="1094">
        <v>4860</v>
      </c>
      <c r="Q11792" t="s">
        <v>12106</v>
      </c>
      <c r="R11792" t="s">
        <v>614</v>
      </c>
      <c r="S11792">
        <v>145.88878199999999</v>
      </c>
      <c r="T11792" s="1095">
        <v>-17.520343</v>
      </c>
    </row>
    <row r="11793" spans="16:20">
      <c r="P11793" s="1094">
        <v>4860</v>
      </c>
      <c r="Q11793" t="s">
        <v>12107</v>
      </c>
      <c r="R11793" t="s">
        <v>614</v>
      </c>
      <c r="S11793">
        <v>145.88878199999999</v>
      </c>
      <c r="T11793" s="1095">
        <v>-17.520343</v>
      </c>
    </row>
    <row r="11794" spans="16:20">
      <c r="P11794" s="1094">
        <v>4860</v>
      </c>
      <c r="Q11794" t="s">
        <v>12108</v>
      </c>
      <c r="R11794" t="s">
        <v>614</v>
      </c>
      <c r="S11794">
        <v>145.88878199999999</v>
      </c>
      <c r="T11794" s="1095">
        <v>-17.520343</v>
      </c>
    </row>
    <row r="11795" spans="16:20">
      <c r="P11795" s="1094">
        <v>4860</v>
      </c>
      <c r="Q11795" t="s">
        <v>12109</v>
      </c>
      <c r="R11795" t="s">
        <v>614</v>
      </c>
      <c r="S11795">
        <v>145.88878199999999</v>
      </c>
      <c r="T11795" s="1095">
        <v>-17.520343</v>
      </c>
    </row>
    <row r="11796" spans="16:20">
      <c r="P11796" s="1094">
        <v>4860</v>
      </c>
      <c r="Q11796" t="s">
        <v>12110</v>
      </c>
      <c r="R11796" t="s">
        <v>614</v>
      </c>
      <c r="S11796">
        <v>145.88878199999999</v>
      </c>
      <c r="T11796" s="1095">
        <v>-17.520343</v>
      </c>
    </row>
    <row r="11797" spans="16:20">
      <c r="P11797" s="1094">
        <v>4860</v>
      </c>
      <c r="Q11797" t="s">
        <v>12111</v>
      </c>
      <c r="R11797" t="s">
        <v>614</v>
      </c>
      <c r="S11797">
        <v>145.88878199999999</v>
      </c>
      <c r="T11797" s="1095">
        <v>-17.520343</v>
      </c>
    </row>
    <row r="11798" spans="16:20">
      <c r="P11798" s="1094">
        <v>4860</v>
      </c>
      <c r="Q11798" t="s">
        <v>12112</v>
      </c>
      <c r="R11798" t="s">
        <v>614</v>
      </c>
      <c r="S11798">
        <v>145.88878199999999</v>
      </c>
      <c r="T11798" s="1095">
        <v>-17.520343</v>
      </c>
    </row>
    <row r="11799" spans="16:20">
      <c r="P11799" s="1094">
        <v>4860</v>
      </c>
      <c r="Q11799" t="s">
        <v>12113</v>
      </c>
      <c r="R11799" t="s">
        <v>614</v>
      </c>
      <c r="S11799">
        <v>145.88878199999999</v>
      </c>
      <c r="T11799" s="1095">
        <v>-17.520343</v>
      </c>
    </row>
    <row r="11800" spans="16:20">
      <c r="P11800" s="1094">
        <v>4860</v>
      </c>
      <c r="Q11800" t="s">
        <v>12114</v>
      </c>
      <c r="R11800" t="s">
        <v>614</v>
      </c>
      <c r="S11800">
        <v>145.88878199999999</v>
      </c>
      <c r="T11800" s="1095">
        <v>-17.520343</v>
      </c>
    </row>
    <row r="11801" spans="16:20">
      <c r="P11801" s="1094">
        <v>4860</v>
      </c>
      <c r="Q11801" t="s">
        <v>12115</v>
      </c>
      <c r="R11801" t="s">
        <v>614</v>
      </c>
      <c r="S11801">
        <v>145.88878199999999</v>
      </c>
      <c r="T11801" s="1095">
        <v>-17.520343</v>
      </c>
    </row>
    <row r="11802" spans="16:20">
      <c r="P11802" s="1094">
        <v>4860</v>
      </c>
      <c r="Q11802" t="s">
        <v>12116</v>
      </c>
      <c r="R11802" t="s">
        <v>614</v>
      </c>
      <c r="S11802">
        <v>145.88878199999999</v>
      </c>
      <c r="T11802" s="1095">
        <v>-17.520343</v>
      </c>
    </row>
    <row r="11803" spans="16:20">
      <c r="P11803" s="1094">
        <v>4860</v>
      </c>
      <c r="Q11803" t="s">
        <v>12117</v>
      </c>
      <c r="R11803" t="s">
        <v>614</v>
      </c>
      <c r="S11803">
        <v>145.88878199999999</v>
      </c>
      <c r="T11803" s="1095">
        <v>-17.520343</v>
      </c>
    </row>
    <row r="11804" spans="16:20">
      <c r="P11804" s="1094">
        <v>4860</v>
      </c>
      <c r="Q11804" t="s">
        <v>12118</v>
      </c>
      <c r="R11804" t="s">
        <v>614</v>
      </c>
      <c r="S11804">
        <v>145.88878199999999</v>
      </c>
      <c r="T11804" s="1095">
        <v>-17.520343</v>
      </c>
    </row>
    <row r="11805" spans="16:20">
      <c r="P11805" s="1094">
        <v>4860</v>
      </c>
      <c r="Q11805" t="s">
        <v>12119</v>
      </c>
      <c r="R11805" t="s">
        <v>614</v>
      </c>
      <c r="S11805">
        <v>145.88878199999999</v>
      </c>
      <c r="T11805" s="1095">
        <v>-17.520343</v>
      </c>
    </row>
    <row r="11806" spans="16:20">
      <c r="P11806" s="1094">
        <v>4860</v>
      </c>
      <c r="Q11806" t="s">
        <v>12120</v>
      </c>
      <c r="R11806" t="s">
        <v>614</v>
      </c>
      <c r="S11806">
        <v>145.88878199999999</v>
      </c>
      <c r="T11806" s="1095">
        <v>-17.520343</v>
      </c>
    </row>
    <row r="11807" spans="16:20">
      <c r="P11807" s="1094">
        <v>4860</v>
      </c>
      <c r="Q11807" t="s">
        <v>12121</v>
      </c>
      <c r="R11807" t="s">
        <v>614</v>
      </c>
      <c r="S11807">
        <v>145.88878199999999</v>
      </c>
      <c r="T11807" s="1095">
        <v>-17.520343</v>
      </c>
    </row>
    <row r="11808" spans="16:20">
      <c r="P11808" s="1094">
        <v>4860</v>
      </c>
      <c r="Q11808" t="s">
        <v>12122</v>
      </c>
      <c r="R11808" t="s">
        <v>614</v>
      </c>
      <c r="S11808">
        <v>145.88878199999999</v>
      </c>
      <c r="T11808" s="1095">
        <v>-17.520343</v>
      </c>
    </row>
    <row r="11809" spans="16:20">
      <c r="P11809" s="1094">
        <v>4860</v>
      </c>
      <c r="Q11809" t="s">
        <v>12123</v>
      </c>
      <c r="R11809" t="s">
        <v>614</v>
      </c>
      <c r="S11809">
        <v>145.88878199999999</v>
      </c>
      <c r="T11809" s="1095">
        <v>-17.520343</v>
      </c>
    </row>
    <row r="11810" spans="16:20">
      <c r="P11810" s="1094">
        <v>4860</v>
      </c>
      <c r="Q11810" t="s">
        <v>12124</v>
      </c>
      <c r="R11810" t="s">
        <v>614</v>
      </c>
      <c r="S11810">
        <v>145.88878199999999</v>
      </c>
      <c r="T11810" s="1095">
        <v>-17.520343</v>
      </c>
    </row>
    <row r="11811" spans="16:20">
      <c r="P11811" s="1094">
        <v>4860</v>
      </c>
      <c r="Q11811" t="s">
        <v>12125</v>
      </c>
      <c r="R11811" t="s">
        <v>614</v>
      </c>
      <c r="S11811">
        <v>145.88878199999999</v>
      </c>
      <c r="T11811" s="1095">
        <v>-17.520343</v>
      </c>
    </row>
    <row r="11812" spans="16:20">
      <c r="P11812" s="1094">
        <v>4860</v>
      </c>
      <c r="Q11812" t="s">
        <v>12126</v>
      </c>
      <c r="R11812" t="s">
        <v>614</v>
      </c>
      <c r="S11812">
        <v>145.88878199999999</v>
      </c>
      <c r="T11812" s="1095">
        <v>-17.520343</v>
      </c>
    </row>
    <row r="11813" spans="16:20">
      <c r="P11813" s="1094">
        <v>4860</v>
      </c>
      <c r="Q11813" t="s">
        <v>12127</v>
      </c>
      <c r="R11813" t="s">
        <v>614</v>
      </c>
      <c r="S11813">
        <v>145.88878199999999</v>
      </c>
      <c r="T11813" s="1095">
        <v>-17.520343</v>
      </c>
    </row>
    <row r="11814" spans="16:20">
      <c r="P11814" s="1094">
        <v>4860</v>
      </c>
      <c r="Q11814" t="s">
        <v>12128</v>
      </c>
      <c r="R11814" t="s">
        <v>614</v>
      </c>
      <c r="S11814">
        <v>145.88878199999999</v>
      </c>
      <c r="T11814" s="1095">
        <v>-17.520343</v>
      </c>
    </row>
    <row r="11815" spans="16:20">
      <c r="P11815" s="1094">
        <v>4860</v>
      </c>
      <c r="Q11815" t="s">
        <v>12129</v>
      </c>
      <c r="R11815" t="s">
        <v>614</v>
      </c>
      <c r="S11815">
        <v>145.88878199999999</v>
      </c>
      <c r="T11815" s="1095">
        <v>-17.520343</v>
      </c>
    </row>
    <row r="11816" spans="16:20">
      <c r="P11816" s="1094">
        <v>4860</v>
      </c>
      <c r="Q11816" t="s">
        <v>12130</v>
      </c>
      <c r="R11816" t="s">
        <v>614</v>
      </c>
      <c r="S11816">
        <v>145.88878199999999</v>
      </c>
      <c r="T11816" s="1095">
        <v>-17.520343</v>
      </c>
    </row>
    <row r="11817" spans="16:20">
      <c r="P11817" s="1094">
        <v>4860</v>
      </c>
      <c r="Q11817" t="s">
        <v>12131</v>
      </c>
      <c r="R11817" t="s">
        <v>614</v>
      </c>
      <c r="S11817">
        <v>145.88878199999999</v>
      </c>
      <c r="T11817" s="1095">
        <v>-17.520343</v>
      </c>
    </row>
    <row r="11818" spans="16:20">
      <c r="P11818" s="1094">
        <v>4860</v>
      </c>
      <c r="Q11818" t="s">
        <v>12132</v>
      </c>
      <c r="R11818" t="s">
        <v>614</v>
      </c>
      <c r="S11818">
        <v>145.88878199999999</v>
      </c>
      <c r="T11818" s="1095">
        <v>-17.520343</v>
      </c>
    </row>
    <row r="11819" spans="16:20">
      <c r="P11819" s="1094">
        <v>4860</v>
      </c>
      <c r="Q11819" t="s">
        <v>1522</v>
      </c>
      <c r="R11819" t="s">
        <v>614</v>
      </c>
      <c r="S11819">
        <v>145.88878199999999</v>
      </c>
      <c r="T11819" s="1095">
        <v>-17.520343</v>
      </c>
    </row>
    <row r="11820" spans="16:20">
      <c r="P11820" s="1094">
        <v>4860</v>
      </c>
      <c r="Q11820" t="s">
        <v>12133</v>
      </c>
      <c r="R11820" t="s">
        <v>614</v>
      </c>
      <c r="S11820">
        <v>145.88878199999999</v>
      </c>
      <c r="T11820" s="1095">
        <v>-17.520343</v>
      </c>
    </row>
    <row r="11821" spans="16:20">
      <c r="P11821" s="1094">
        <v>4860</v>
      </c>
      <c r="Q11821" t="s">
        <v>12134</v>
      </c>
      <c r="R11821" t="s">
        <v>614</v>
      </c>
      <c r="S11821">
        <v>145.88878199999999</v>
      </c>
      <c r="T11821" s="1095">
        <v>-17.520343</v>
      </c>
    </row>
    <row r="11822" spans="16:20">
      <c r="P11822" s="1094">
        <v>4860</v>
      </c>
      <c r="Q11822" t="s">
        <v>12135</v>
      </c>
      <c r="R11822" t="s">
        <v>614</v>
      </c>
      <c r="S11822">
        <v>145.88878199999999</v>
      </c>
      <c r="T11822" s="1095">
        <v>-17.520343</v>
      </c>
    </row>
    <row r="11823" spans="16:20">
      <c r="P11823" s="1094">
        <v>4860</v>
      </c>
      <c r="Q11823" t="s">
        <v>12136</v>
      </c>
      <c r="R11823" t="s">
        <v>614</v>
      </c>
      <c r="S11823">
        <v>145.88878199999999</v>
      </c>
      <c r="T11823" s="1095">
        <v>-17.520343</v>
      </c>
    </row>
    <row r="11824" spans="16:20">
      <c r="P11824" s="1094">
        <v>4860</v>
      </c>
      <c r="Q11824" t="s">
        <v>12137</v>
      </c>
      <c r="R11824" t="s">
        <v>614</v>
      </c>
      <c r="S11824">
        <v>145.88878199999999</v>
      </c>
      <c r="T11824" s="1095">
        <v>-17.520343</v>
      </c>
    </row>
    <row r="11825" spans="16:20">
      <c r="P11825" s="1094">
        <v>4860</v>
      </c>
      <c r="Q11825" t="s">
        <v>12138</v>
      </c>
      <c r="R11825" t="s">
        <v>614</v>
      </c>
      <c r="S11825">
        <v>145.88878199999999</v>
      </c>
      <c r="T11825" s="1095">
        <v>-17.520343</v>
      </c>
    </row>
    <row r="11826" spans="16:20">
      <c r="P11826" s="1094">
        <v>4860</v>
      </c>
      <c r="Q11826" t="s">
        <v>12139</v>
      </c>
      <c r="R11826" t="s">
        <v>614</v>
      </c>
      <c r="S11826">
        <v>145.88878199999999</v>
      </c>
      <c r="T11826" s="1095">
        <v>-17.520343</v>
      </c>
    </row>
    <row r="11827" spans="16:20">
      <c r="P11827" s="1094">
        <v>4860</v>
      </c>
      <c r="Q11827" t="s">
        <v>12140</v>
      </c>
      <c r="R11827" t="s">
        <v>614</v>
      </c>
      <c r="S11827">
        <v>145.88878199999999</v>
      </c>
      <c r="T11827" s="1095">
        <v>-17.520343</v>
      </c>
    </row>
    <row r="11828" spans="16:20">
      <c r="P11828" s="1094">
        <v>4860</v>
      </c>
      <c r="Q11828" t="s">
        <v>12141</v>
      </c>
      <c r="R11828" t="s">
        <v>614</v>
      </c>
      <c r="S11828">
        <v>145.88878199999999</v>
      </c>
      <c r="T11828" s="1095">
        <v>-17.520343</v>
      </c>
    </row>
    <row r="11829" spans="16:20">
      <c r="P11829" s="1094">
        <v>4860</v>
      </c>
      <c r="Q11829" t="s">
        <v>12142</v>
      </c>
      <c r="R11829" t="s">
        <v>614</v>
      </c>
      <c r="S11829">
        <v>145.88878199999999</v>
      </c>
      <c r="T11829" s="1095">
        <v>-17.520343</v>
      </c>
    </row>
    <row r="11830" spans="16:20">
      <c r="P11830" s="1094">
        <v>4861</v>
      </c>
      <c r="Q11830" t="s">
        <v>12143</v>
      </c>
      <c r="R11830" t="s">
        <v>614</v>
      </c>
      <c r="S11830">
        <v>145.87216599999999</v>
      </c>
      <c r="T11830" s="1095">
        <v>-17.352820999999999</v>
      </c>
    </row>
    <row r="11831" spans="16:20">
      <c r="P11831" s="1094">
        <v>4861</v>
      </c>
      <c r="Q11831" t="s">
        <v>12144</v>
      </c>
      <c r="R11831" t="s">
        <v>614</v>
      </c>
      <c r="S11831">
        <v>145.87216599999999</v>
      </c>
      <c r="T11831" s="1095">
        <v>-17.352820999999999</v>
      </c>
    </row>
    <row r="11832" spans="16:20">
      <c r="P11832" s="1094">
        <v>4861</v>
      </c>
      <c r="Q11832" t="s">
        <v>12145</v>
      </c>
      <c r="R11832" t="s">
        <v>614</v>
      </c>
      <c r="S11832">
        <v>145.87216599999999</v>
      </c>
      <c r="T11832" s="1095">
        <v>-17.352820999999999</v>
      </c>
    </row>
    <row r="11833" spans="16:20">
      <c r="P11833" s="1094">
        <v>4865</v>
      </c>
      <c r="Q11833" t="s">
        <v>7729</v>
      </c>
      <c r="R11833" t="s">
        <v>614</v>
      </c>
      <c r="S11833">
        <v>145.78276500000001</v>
      </c>
      <c r="T11833" s="1095">
        <v>-17.095516</v>
      </c>
    </row>
    <row r="11834" spans="16:20">
      <c r="P11834" s="1094">
        <v>4865</v>
      </c>
      <c r="Q11834" t="s">
        <v>12146</v>
      </c>
      <c r="R11834" t="s">
        <v>614</v>
      </c>
      <c r="S11834">
        <v>145.78276500000001</v>
      </c>
      <c r="T11834" s="1095">
        <v>-17.095516</v>
      </c>
    </row>
    <row r="11835" spans="16:20">
      <c r="P11835" s="1094">
        <v>4865</v>
      </c>
      <c r="Q11835" t="s">
        <v>12147</v>
      </c>
      <c r="R11835" t="s">
        <v>614</v>
      </c>
      <c r="S11835">
        <v>145.78276500000001</v>
      </c>
      <c r="T11835" s="1095">
        <v>-17.095516</v>
      </c>
    </row>
    <row r="11836" spans="16:20">
      <c r="P11836" s="1094">
        <v>4865</v>
      </c>
      <c r="Q11836" t="s">
        <v>12148</v>
      </c>
      <c r="R11836" t="s">
        <v>614</v>
      </c>
      <c r="S11836">
        <v>145.78276500000001</v>
      </c>
      <c r="T11836" s="1095">
        <v>-17.095516</v>
      </c>
    </row>
    <row r="11837" spans="16:20">
      <c r="P11837" s="1094">
        <v>4865</v>
      </c>
      <c r="Q11837" t="s">
        <v>12149</v>
      </c>
      <c r="R11837" t="s">
        <v>614</v>
      </c>
      <c r="S11837">
        <v>145.78276500000001</v>
      </c>
      <c r="T11837" s="1095">
        <v>-17.095516</v>
      </c>
    </row>
    <row r="11838" spans="16:20">
      <c r="P11838" s="1094">
        <v>4865</v>
      </c>
      <c r="Q11838" t="s">
        <v>12150</v>
      </c>
      <c r="R11838" t="s">
        <v>614</v>
      </c>
      <c r="S11838">
        <v>145.78276500000001</v>
      </c>
      <c r="T11838" s="1095">
        <v>-17.095516</v>
      </c>
    </row>
    <row r="11839" spans="16:20">
      <c r="P11839" s="1094">
        <v>4865</v>
      </c>
      <c r="Q11839" t="s">
        <v>3574</v>
      </c>
      <c r="R11839" t="s">
        <v>614</v>
      </c>
      <c r="S11839">
        <v>145.78276500000001</v>
      </c>
      <c r="T11839" s="1095">
        <v>-17.095516</v>
      </c>
    </row>
    <row r="11840" spans="16:20">
      <c r="P11840" s="1094">
        <v>4868</v>
      </c>
      <c r="Q11840" t="s">
        <v>12151</v>
      </c>
      <c r="R11840" t="s">
        <v>614</v>
      </c>
      <c r="S11840">
        <v>145.72919300000001</v>
      </c>
      <c r="T11840" s="1095">
        <v>-16.993753000000002</v>
      </c>
    </row>
    <row r="11841" spans="16:20">
      <c r="P11841" s="1094">
        <v>4868</v>
      </c>
      <c r="Q11841" t="s">
        <v>12152</v>
      </c>
      <c r="R11841" t="s">
        <v>614</v>
      </c>
      <c r="S11841">
        <v>145.72919300000001</v>
      </c>
      <c r="T11841" s="1095">
        <v>-16.993753000000002</v>
      </c>
    </row>
    <row r="11842" spans="16:20">
      <c r="P11842" s="1094">
        <v>4868</v>
      </c>
      <c r="Q11842" t="s">
        <v>8685</v>
      </c>
      <c r="R11842" t="s">
        <v>614</v>
      </c>
      <c r="S11842">
        <v>145.72919300000001</v>
      </c>
      <c r="T11842" s="1095">
        <v>-16.993753000000002</v>
      </c>
    </row>
    <row r="11843" spans="16:20">
      <c r="P11843" s="1094">
        <v>4868</v>
      </c>
      <c r="Q11843" t="s">
        <v>5840</v>
      </c>
      <c r="R11843" t="s">
        <v>614</v>
      </c>
      <c r="S11843">
        <v>145.72919300000001</v>
      </c>
      <c r="T11843" s="1095">
        <v>-16.993753000000002</v>
      </c>
    </row>
    <row r="11844" spans="16:20">
      <c r="P11844" s="1094">
        <v>4868</v>
      </c>
      <c r="Q11844" t="s">
        <v>12153</v>
      </c>
      <c r="R11844" t="s">
        <v>614</v>
      </c>
      <c r="S11844">
        <v>145.72919300000001</v>
      </c>
      <c r="T11844" s="1095">
        <v>-16.993753000000002</v>
      </c>
    </row>
    <row r="11845" spans="16:20">
      <c r="P11845" s="1094">
        <v>4869</v>
      </c>
      <c r="Q11845" t="s">
        <v>12154</v>
      </c>
      <c r="R11845" t="s">
        <v>614</v>
      </c>
      <c r="S11845">
        <v>145.730423</v>
      </c>
      <c r="T11845" s="1095">
        <v>-17.025592</v>
      </c>
    </row>
    <row r="11846" spans="16:20">
      <c r="P11846" s="1094">
        <v>4869</v>
      </c>
      <c r="Q11846" t="s">
        <v>12155</v>
      </c>
      <c r="R11846" t="s">
        <v>614</v>
      </c>
      <c r="S11846">
        <v>145.730423</v>
      </c>
      <c r="T11846" s="1095">
        <v>-17.025592</v>
      </c>
    </row>
    <row r="11847" spans="16:20">
      <c r="P11847" s="1094">
        <v>4869</v>
      </c>
      <c r="Q11847" t="s">
        <v>12156</v>
      </c>
      <c r="R11847" t="s">
        <v>614</v>
      </c>
      <c r="S11847">
        <v>145.730423</v>
      </c>
      <c r="T11847" s="1095">
        <v>-17.025592</v>
      </c>
    </row>
    <row r="11848" spans="16:20">
      <c r="P11848" s="1094">
        <v>4869</v>
      </c>
      <c r="Q11848" t="s">
        <v>12157</v>
      </c>
      <c r="R11848" t="s">
        <v>614</v>
      </c>
      <c r="S11848">
        <v>145.730423</v>
      </c>
      <c r="T11848" s="1095">
        <v>-17.025592</v>
      </c>
    </row>
    <row r="11849" spans="16:20">
      <c r="P11849" s="1094">
        <v>4869</v>
      </c>
      <c r="Q11849" t="s">
        <v>12158</v>
      </c>
      <c r="R11849" t="s">
        <v>614</v>
      </c>
      <c r="S11849">
        <v>145.730423</v>
      </c>
      <c r="T11849" s="1095">
        <v>-17.025592</v>
      </c>
    </row>
    <row r="11850" spans="16:20">
      <c r="P11850" s="1094">
        <v>4869</v>
      </c>
      <c r="Q11850" t="s">
        <v>12159</v>
      </c>
      <c r="R11850" t="s">
        <v>614</v>
      </c>
      <c r="S11850">
        <v>145.730423</v>
      </c>
      <c r="T11850" s="1095">
        <v>-17.025592</v>
      </c>
    </row>
    <row r="11851" spans="16:20">
      <c r="P11851" s="1094">
        <v>4870</v>
      </c>
      <c r="Q11851" t="s">
        <v>12160</v>
      </c>
      <c r="R11851" t="s">
        <v>614</v>
      </c>
      <c r="S11851">
        <v>145.74230299999999</v>
      </c>
      <c r="T11851" s="1095">
        <v>-16.923760999999999</v>
      </c>
    </row>
    <row r="11852" spans="16:20">
      <c r="P11852" s="1094">
        <v>4870</v>
      </c>
      <c r="Q11852" t="s">
        <v>12161</v>
      </c>
      <c r="R11852" t="s">
        <v>614</v>
      </c>
      <c r="S11852">
        <v>145.74230299999999</v>
      </c>
      <c r="T11852" s="1095">
        <v>-16.923760999999999</v>
      </c>
    </row>
    <row r="11853" spans="16:20">
      <c r="P11853" s="1094">
        <v>4870</v>
      </c>
      <c r="Q11853" t="s">
        <v>12162</v>
      </c>
      <c r="R11853" t="s">
        <v>614</v>
      </c>
      <c r="S11853">
        <v>145.74230299999999</v>
      </c>
      <c r="T11853" s="1095">
        <v>-16.923760999999999</v>
      </c>
    </row>
    <row r="11854" spans="16:20">
      <c r="P11854" s="1094">
        <v>4870</v>
      </c>
      <c r="Q11854" t="s">
        <v>12163</v>
      </c>
      <c r="R11854" t="s">
        <v>614</v>
      </c>
      <c r="S11854">
        <v>145.74230299999999</v>
      </c>
      <c r="T11854" s="1095">
        <v>-16.923760999999999</v>
      </c>
    </row>
    <row r="11855" spans="16:20">
      <c r="P11855" s="1094">
        <v>4870</v>
      </c>
      <c r="Q11855" t="s">
        <v>12164</v>
      </c>
      <c r="R11855" t="s">
        <v>614</v>
      </c>
      <c r="S11855">
        <v>145.74230299999999</v>
      </c>
      <c r="T11855" s="1095">
        <v>-16.923760999999999</v>
      </c>
    </row>
    <row r="11856" spans="16:20">
      <c r="P11856" s="1094">
        <v>4870</v>
      </c>
      <c r="Q11856" t="s">
        <v>12165</v>
      </c>
      <c r="R11856" t="s">
        <v>614</v>
      </c>
      <c r="S11856">
        <v>145.74230299999999</v>
      </c>
      <c r="T11856" s="1095">
        <v>-16.923760999999999</v>
      </c>
    </row>
    <row r="11857" spans="16:20">
      <c r="P11857" s="1094">
        <v>4870</v>
      </c>
      <c r="Q11857" t="s">
        <v>12166</v>
      </c>
      <c r="R11857" t="s">
        <v>614</v>
      </c>
      <c r="S11857">
        <v>145.74230299999999</v>
      </c>
      <c r="T11857" s="1095">
        <v>-16.923760999999999</v>
      </c>
    </row>
    <row r="11858" spans="16:20">
      <c r="P11858" s="1094">
        <v>4870</v>
      </c>
      <c r="Q11858" t="s">
        <v>12167</v>
      </c>
      <c r="R11858" t="s">
        <v>614</v>
      </c>
      <c r="S11858">
        <v>145.74230299999999</v>
      </c>
      <c r="T11858" s="1095">
        <v>-16.923760999999999</v>
      </c>
    </row>
    <row r="11859" spans="16:20">
      <c r="P11859" s="1094">
        <v>4870</v>
      </c>
      <c r="Q11859" t="s">
        <v>12168</v>
      </c>
      <c r="R11859" t="s">
        <v>614</v>
      </c>
      <c r="S11859">
        <v>145.74230299999999</v>
      </c>
      <c r="T11859" s="1095">
        <v>-16.923760999999999</v>
      </c>
    </row>
    <row r="11860" spans="16:20">
      <c r="P11860" s="1094">
        <v>4870</v>
      </c>
      <c r="Q11860" t="s">
        <v>12169</v>
      </c>
      <c r="R11860" t="s">
        <v>614</v>
      </c>
      <c r="S11860">
        <v>145.74230299999999</v>
      </c>
      <c r="T11860" s="1095">
        <v>-16.923760999999999</v>
      </c>
    </row>
    <row r="11861" spans="16:20">
      <c r="P11861" s="1094">
        <v>4870</v>
      </c>
      <c r="Q11861" t="s">
        <v>12170</v>
      </c>
      <c r="R11861" t="s">
        <v>614</v>
      </c>
      <c r="S11861">
        <v>145.74230299999999</v>
      </c>
      <c r="T11861" s="1095">
        <v>-16.923760999999999</v>
      </c>
    </row>
    <row r="11862" spans="16:20">
      <c r="P11862" s="1094">
        <v>4870</v>
      </c>
      <c r="Q11862" t="s">
        <v>12171</v>
      </c>
      <c r="R11862" t="s">
        <v>614</v>
      </c>
      <c r="S11862">
        <v>145.74230299999999</v>
      </c>
      <c r="T11862" s="1095">
        <v>-16.923760999999999</v>
      </c>
    </row>
    <row r="11863" spans="16:20">
      <c r="P11863" s="1094">
        <v>4870</v>
      </c>
      <c r="Q11863" t="s">
        <v>12172</v>
      </c>
      <c r="R11863" t="s">
        <v>614</v>
      </c>
      <c r="S11863">
        <v>145.74230299999999</v>
      </c>
      <c r="T11863" s="1095">
        <v>-16.923760999999999</v>
      </c>
    </row>
    <row r="11864" spans="16:20">
      <c r="P11864" s="1094">
        <v>4870</v>
      </c>
      <c r="Q11864" t="s">
        <v>12173</v>
      </c>
      <c r="R11864" t="s">
        <v>614</v>
      </c>
      <c r="S11864">
        <v>145.74230299999999</v>
      </c>
      <c r="T11864" s="1095">
        <v>-16.923760999999999</v>
      </c>
    </row>
    <row r="11865" spans="16:20">
      <c r="P11865" s="1094">
        <v>4870</v>
      </c>
      <c r="Q11865" t="s">
        <v>12174</v>
      </c>
      <c r="R11865" t="s">
        <v>614</v>
      </c>
      <c r="S11865">
        <v>145.74230299999999</v>
      </c>
      <c r="T11865" s="1095">
        <v>-16.923760999999999</v>
      </c>
    </row>
    <row r="11866" spans="16:20">
      <c r="P11866" s="1094">
        <v>4870</v>
      </c>
      <c r="Q11866" t="s">
        <v>5731</v>
      </c>
      <c r="R11866" t="s">
        <v>614</v>
      </c>
      <c r="S11866">
        <v>145.74230299999999</v>
      </c>
      <c r="T11866" s="1095">
        <v>-16.923760999999999</v>
      </c>
    </row>
    <row r="11867" spans="16:20">
      <c r="P11867" s="1094">
        <v>4870</v>
      </c>
      <c r="Q11867" t="s">
        <v>12175</v>
      </c>
      <c r="R11867" t="s">
        <v>614</v>
      </c>
      <c r="S11867">
        <v>145.74230299999999</v>
      </c>
      <c r="T11867" s="1095">
        <v>-16.923760999999999</v>
      </c>
    </row>
    <row r="11868" spans="16:20">
      <c r="P11868" s="1094">
        <v>4870</v>
      </c>
      <c r="Q11868" t="s">
        <v>12176</v>
      </c>
      <c r="R11868" t="s">
        <v>614</v>
      </c>
      <c r="S11868">
        <v>145.74230299999999</v>
      </c>
      <c r="T11868" s="1095">
        <v>-16.923760999999999</v>
      </c>
    </row>
    <row r="11869" spans="16:20">
      <c r="P11869" s="1094">
        <v>4870</v>
      </c>
      <c r="Q11869" t="s">
        <v>12177</v>
      </c>
      <c r="R11869" t="s">
        <v>614</v>
      </c>
      <c r="S11869">
        <v>145.74230299999999</v>
      </c>
      <c r="T11869" s="1095">
        <v>-16.923760999999999</v>
      </c>
    </row>
    <row r="11870" spans="16:20">
      <c r="P11870" s="1094">
        <v>4870</v>
      </c>
      <c r="Q11870" t="s">
        <v>12178</v>
      </c>
      <c r="R11870" t="s">
        <v>614</v>
      </c>
      <c r="S11870">
        <v>145.74230299999999</v>
      </c>
      <c r="T11870" s="1095">
        <v>-16.923760999999999</v>
      </c>
    </row>
    <row r="11871" spans="16:20">
      <c r="P11871" s="1094">
        <v>4870</v>
      </c>
      <c r="Q11871" t="s">
        <v>12179</v>
      </c>
      <c r="R11871" t="s">
        <v>614</v>
      </c>
      <c r="S11871">
        <v>145.74230299999999</v>
      </c>
      <c r="T11871" s="1095">
        <v>-16.923760999999999</v>
      </c>
    </row>
    <row r="11872" spans="16:20">
      <c r="P11872" s="1094">
        <v>4870</v>
      </c>
      <c r="Q11872" t="s">
        <v>12180</v>
      </c>
      <c r="R11872" t="s">
        <v>614</v>
      </c>
      <c r="S11872">
        <v>145.74230299999999</v>
      </c>
      <c r="T11872" s="1095">
        <v>-16.923760999999999</v>
      </c>
    </row>
    <row r="11873" spans="16:20">
      <c r="P11873" s="1094">
        <v>4870</v>
      </c>
      <c r="Q11873" t="s">
        <v>12181</v>
      </c>
      <c r="R11873" t="s">
        <v>614</v>
      </c>
      <c r="S11873">
        <v>145.74230299999999</v>
      </c>
      <c r="T11873" s="1095">
        <v>-16.923760999999999</v>
      </c>
    </row>
    <row r="11874" spans="16:20">
      <c r="P11874" s="1094">
        <v>4870</v>
      </c>
      <c r="Q11874" t="s">
        <v>12182</v>
      </c>
      <c r="R11874" t="s">
        <v>614</v>
      </c>
      <c r="S11874">
        <v>145.74230299999999</v>
      </c>
      <c r="T11874" s="1095">
        <v>-16.923760999999999</v>
      </c>
    </row>
    <row r="11875" spans="16:20">
      <c r="P11875" s="1094">
        <v>4870</v>
      </c>
      <c r="Q11875" t="s">
        <v>12183</v>
      </c>
      <c r="R11875" t="s">
        <v>614</v>
      </c>
      <c r="S11875">
        <v>145.74230299999999</v>
      </c>
      <c r="T11875" s="1095">
        <v>-16.923760999999999</v>
      </c>
    </row>
    <row r="11876" spans="16:20">
      <c r="P11876" s="1094">
        <v>4870</v>
      </c>
      <c r="Q11876" t="s">
        <v>12184</v>
      </c>
      <c r="R11876" t="s">
        <v>614</v>
      </c>
      <c r="S11876">
        <v>145.74230299999999</v>
      </c>
      <c r="T11876" s="1095">
        <v>-16.923760999999999</v>
      </c>
    </row>
    <row r="11877" spans="16:20">
      <c r="P11877" s="1094">
        <v>4870</v>
      </c>
      <c r="Q11877" t="s">
        <v>3293</v>
      </c>
      <c r="R11877" t="s">
        <v>614</v>
      </c>
      <c r="S11877">
        <v>145.74230299999999</v>
      </c>
      <c r="T11877" s="1095">
        <v>-16.923760999999999</v>
      </c>
    </row>
    <row r="11878" spans="16:20">
      <c r="P11878" s="1094">
        <v>4870</v>
      </c>
      <c r="Q11878" t="s">
        <v>12185</v>
      </c>
      <c r="R11878" t="s">
        <v>614</v>
      </c>
      <c r="S11878">
        <v>145.74230299999999</v>
      </c>
      <c r="T11878" s="1095">
        <v>-16.923760999999999</v>
      </c>
    </row>
    <row r="11879" spans="16:20">
      <c r="P11879" s="1094">
        <v>4870</v>
      </c>
      <c r="Q11879" t="s">
        <v>8603</v>
      </c>
      <c r="R11879" t="s">
        <v>614</v>
      </c>
      <c r="S11879">
        <v>145.74230299999999</v>
      </c>
      <c r="T11879" s="1095">
        <v>-16.923760999999999</v>
      </c>
    </row>
    <row r="11880" spans="16:20">
      <c r="P11880" s="1094">
        <v>4871</v>
      </c>
      <c r="Q11880" t="s">
        <v>12186</v>
      </c>
      <c r="R11880" t="s">
        <v>614</v>
      </c>
      <c r="S11880">
        <v>145.99407500000001</v>
      </c>
      <c r="T11880" s="1095">
        <v>-16.934183999999998</v>
      </c>
    </row>
    <row r="11881" spans="16:20">
      <c r="P11881" s="1094">
        <v>4871</v>
      </c>
      <c r="Q11881" t="s">
        <v>12187</v>
      </c>
      <c r="R11881" t="s">
        <v>614</v>
      </c>
      <c r="S11881">
        <v>145.99407500000001</v>
      </c>
      <c r="T11881" s="1095">
        <v>-16.934183999999998</v>
      </c>
    </row>
    <row r="11882" spans="16:20">
      <c r="P11882" s="1094">
        <v>4871</v>
      </c>
      <c r="Q11882" t="s">
        <v>12188</v>
      </c>
      <c r="R11882" t="s">
        <v>614</v>
      </c>
      <c r="S11882">
        <v>145.99407500000001</v>
      </c>
      <c r="T11882" s="1095">
        <v>-16.934183999999998</v>
      </c>
    </row>
    <row r="11883" spans="16:20">
      <c r="P11883" s="1094">
        <v>4871</v>
      </c>
      <c r="Q11883" t="s">
        <v>12189</v>
      </c>
      <c r="R11883" t="s">
        <v>614</v>
      </c>
      <c r="S11883">
        <v>145.99407500000001</v>
      </c>
      <c r="T11883" s="1095">
        <v>-16.934183999999998</v>
      </c>
    </row>
    <row r="11884" spans="16:20">
      <c r="P11884" s="1094">
        <v>4871</v>
      </c>
      <c r="Q11884" t="s">
        <v>12190</v>
      </c>
      <c r="R11884" t="s">
        <v>614</v>
      </c>
      <c r="S11884">
        <v>145.99407500000001</v>
      </c>
      <c r="T11884" s="1095">
        <v>-16.934183999999998</v>
      </c>
    </row>
    <row r="11885" spans="16:20">
      <c r="P11885" s="1094">
        <v>4871</v>
      </c>
      <c r="Q11885" t="s">
        <v>12191</v>
      </c>
      <c r="R11885" t="s">
        <v>614</v>
      </c>
      <c r="S11885">
        <v>145.99407500000001</v>
      </c>
      <c r="T11885" s="1095">
        <v>-16.934183999999998</v>
      </c>
    </row>
    <row r="11886" spans="16:20">
      <c r="P11886" s="1094">
        <v>4871</v>
      </c>
      <c r="Q11886" t="s">
        <v>12192</v>
      </c>
      <c r="R11886" t="s">
        <v>614</v>
      </c>
      <c r="S11886">
        <v>145.99407500000001</v>
      </c>
      <c r="T11886" s="1095">
        <v>-16.934183999999998</v>
      </c>
    </row>
    <row r="11887" spans="16:20">
      <c r="P11887" s="1094">
        <v>4871</v>
      </c>
      <c r="Q11887" t="s">
        <v>12193</v>
      </c>
      <c r="R11887" t="s">
        <v>614</v>
      </c>
      <c r="S11887">
        <v>145.99407500000001</v>
      </c>
      <c r="T11887" s="1095">
        <v>-16.934183999999998</v>
      </c>
    </row>
    <row r="11888" spans="16:20">
      <c r="P11888" s="1094">
        <v>4871</v>
      </c>
      <c r="Q11888" t="s">
        <v>12194</v>
      </c>
      <c r="R11888" t="s">
        <v>614</v>
      </c>
      <c r="S11888">
        <v>145.99407500000001</v>
      </c>
      <c r="T11888" s="1095">
        <v>-16.934183999999998</v>
      </c>
    </row>
    <row r="11889" spans="16:20">
      <c r="P11889" s="1094">
        <v>4871</v>
      </c>
      <c r="Q11889" t="s">
        <v>12195</v>
      </c>
      <c r="R11889" t="s">
        <v>614</v>
      </c>
      <c r="S11889">
        <v>145.99407500000001</v>
      </c>
      <c r="T11889" s="1095">
        <v>-16.934183999999998</v>
      </c>
    </row>
    <row r="11890" spans="16:20">
      <c r="P11890" s="1094">
        <v>4871</v>
      </c>
      <c r="Q11890" t="s">
        <v>12196</v>
      </c>
      <c r="R11890" t="s">
        <v>614</v>
      </c>
      <c r="S11890">
        <v>145.99407500000001</v>
      </c>
      <c r="T11890" s="1095">
        <v>-16.934183999999998</v>
      </c>
    </row>
    <row r="11891" spans="16:20">
      <c r="P11891" s="1094">
        <v>4871</v>
      </c>
      <c r="Q11891" t="s">
        <v>12197</v>
      </c>
      <c r="R11891" t="s">
        <v>614</v>
      </c>
      <c r="S11891">
        <v>145.99407500000001</v>
      </c>
      <c r="T11891" s="1095">
        <v>-16.934183999999998</v>
      </c>
    </row>
    <row r="11892" spans="16:20">
      <c r="P11892" s="1094">
        <v>4871</v>
      </c>
      <c r="Q11892" t="s">
        <v>12198</v>
      </c>
      <c r="R11892" t="s">
        <v>614</v>
      </c>
      <c r="S11892">
        <v>145.99407500000001</v>
      </c>
      <c r="T11892" s="1095">
        <v>-16.934183999999998</v>
      </c>
    </row>
    <row r="11893" spans="16:20">
      <c r="P11893" s="1094">
        <v>4871</v>
      </c>
      <c r="Q11893" t="s">
        <v>12199</v>
      </c>
      <c r="R11893" t="s">
        <v>614</v>
      </c>
      <c r="S11893">
        <v>145.99407500000001</v>
      </c>
      <c r="T11893" s="1095">
        <v>-16.934183999999998</v>
      </c>
    </row>
    <row r="11894" spans="16:20">
      <c r="P11894" s="1094">
        <v>4871</v>
      </c>
      <c r="Q11894" t="s">
        <v>12200</v>
      </c>
      <c r="R11894" t="s">
        <v>614</v>
      </c>
      <c r="S11894">
        <v>145.99407500000001</v>
      </c>
      <c r="T11894" s="1095">
        <v>-16.934183999999998</v>
      </c>
    </row>
    <row r="11895" spans="16:20">
      <c r="P11895" s="1094">
        <v>4871</v>
      </c>
      <c r="Q11895" t="s">
        <v>12201</v>
      </c>
      <c r="R11895" t="s">
        <v>614</v>
      </c>
      <c r="S11895">
        <v>145.99407500000001</v>
      </c>
      <c r="T11895" s="1095">
        <v>-16.934183999999998</v>
      </c>
    </row>
    <row r="11896" spans="16:20">
      <c r="P11896" s="1094">
        <v>4871</v>
      </c>
      <c r="Q11896" t="s">
        <v>12202</v>
      </c>
      <c r="R11896" t="s">
        <v>614</v>
      </c>
      <c r="S11896">
        <v>145.99407500000001</v>
      </c>
      <c r="T11896" s="1095">
        <v>-16.934183999999998</v>
      </c>
    </row>
    <row r="11897" spans="16:20">
      <c r="P11897" s="1094">
        <v>4871</v>
      </c>
      <c r="Q11897" t="s">
        <v>12203</v>
      </c>
      <c r="R11897" t="s">
        <v>614</v>
      </c>
      <c r="S11897">
        <v>145.99407500000001</v>
      </c>
      <c r="T11897" s="1095">
        <v>-16.934183999999998</v>
      </c>
    </row>
    <row r="11898" spans="16:20">
      <c r="P11898" s="1094">
        <v>4871</v>
      </c>
      <c r="Q11898" t="s">
        <v>12204</v>
      </c>
      <c r="R11898" t="s">
        <v>614</v>
      </c>
      <c r="S11898">
        <v>145.99407500000001</v>
      </c>
      <c r="T11898" s="1095">
        <v>-16.934183999999998</v>
      </c>
    </row>
    <row r="11899" spans="16:20">
      <c r="P11899" s="1094">
        <v>4871</v>
      </c>
      <c r="Q11899" t="s">
        <v>2006</v>
      </c>
      <c r="R11899" t="s">
        <v>614</v>
      </c>
      <c r="S11899">
        <v>145.99407500000001</v>
      </c>
      <c r="T11899" s="1095">
        <v>-16.934183999999998</v>
      </c>
    </row>
    <row r="11900" spans="16:20">
      <c r="P11900" s="1094">
        <v>4871</v>
      </c>
      <c r="Q11900" t="s">
        <v>12205</v>
      </c>
      <c r="R11900" t="s">
        <v>614</v>
      </c>
      <c r="S11900">
        <v>145.99407500000001</v>
      </c>
      <c r="T11900" s="1095">
        <v>-16.934183999999998</v>
      </c>
    </row>
    <row r="11901" spans="16:20">
      <c r="P11901" s="1094">
        <v>4871</v>
      </c>
      <c r="Q11901" t="s">
        <v>12206</v>
      </c>
      <c r="R11901" t="s">
        <v>614</v>
      </c>
      <c r="S11901">
        <v>145.99407500000001</v>
      </c>
      <c r="T11901" s="1095">
        <v>-16.934183999999998</v>
      </c>
    </row>
    <row r="11902" spans="16:20">
      <c r="P11902" s="1094">
        <v>4871</v>
      </c>
      <c r="Q11902" t="s">
        <v>12207</v>
      </c>
      <c r="R11902" t="s">
        <v>614</v>
      </c>
      <c r="S11902">
        <v>145.99407500000001</v>
      </c>
      <c r="T11902" s="1095">
        <v>-16.934183999999998</v>
      </c>
    </row>
    <row r="11903" spans="16:20">
      <c r="P11903" s="1094">
        <v>4871</v>
      </c>
      <c r="Q11903" t="s">
        <v>12208</v>
      </c>
      <c r="R11903" t="s">
        <v>614</v>
      </c>
      <c r="S11903">
        <v>145.99407500000001</v>
      </c>
      <c r="T11903" s="1095">
        <v>-16.934183999999998</v>
      </c>
    </row>
    <row r="11904" spans="16:20">
      <c r="P11904" s="1094">
        <v>4871</v>
      </c>
      <c r="Q11904" t="s">
        <v>12209</v>
      </c>
      <c r="R11904" t="s">
        <v>614</v>
      </c>
      <c r="S11904">
        <v>145.99407500000001</v>
      </c>
      <c r="T11904" s="1095">
        <v>-16.934183999999998</v>
      </c>
    </row>
    <row r="11905" spans="16:20">
      <c r="P11905" s="1094">
        <v>4871</v>
      </c>
      <c r="Q11905" t="s">
        <v>12210</v>
      </c>
      <c r="R11905" t="s">
        <v>614</v>
      </c>
      <c r="S11905">
        <v>145.99407500000001</v>
      </c>
      <c r="T11905" s="1095">
        <v>-16.934183999999998</v>
      </c>
    </row>
    <row r="11906" spans="16:20">
      <c r="P11906" s="1094">
        <v>4871</v>
      </c>
      <c r="Q11906" t="s">
        <v>12211</v>
      </c>
      <c r="R11906" t="s">
        <v>614</v>
      </c>
      <c r="S11906">
        <v>145.99407500000001</v>
      </c>
      <c r="T11906" s="1095">
        <v>-16.934183999999998</v>
      </c>
    </row>
    <row r="11907" spans="16:20">
      <c r="P11907" s="1094">
        <v>4871</v>
      </c>
      <c r="Q11907" t="s">
        <v>12212</v>
      </c>
      <c r="R11907" t="s">
        <v>614</v>
      </c>
      <c r="S11907">
        <v>145.99407500000001</v>
      </c>
      <c r="T11907" s="1095">
        <v>-16.934183999999998</v>
      </c>
    </row>
    <row r="11908" spans="16:20">
      <c r="P11908" s="1094">
        <v>4871</v>
      </c>
      <c r="Q11908" t="s">
        <v>12213</v>
      </c>
      <c r="R11908" t="s">
        <v>614</v>
      </c>
      <c r="S11908">
        <v>145.99407500000001</v>
      </c>
      <c r="T11908" s="1095">
        <v>-16.934183999999998</v>
      </c>
    </row>
    <row r="11909" spans="16:20">
      <c r="P11909" s="1094">
        <v>4871</v>
      </c>
      <c r="Q11909" t="s">
        <v>12214</v>
      </c>
      <c r="R11909" t="s">
        <v>614</v>
      </c>
      <c r="S11909">
        <v>145.99407500000001</v>
      </c>
      <c r="T11909" s="1095">
        <v>-16.934183999999998</v>
      </c>
    </row>
    <row r="11910" spans="16:20">
      <c r="P11910" s="1094">
        <v>4871</v>
      </c>
      <c r="Q11910" t="s">
        <v>2519</v>
      </c>
      <c r="R11910" t="s">
        <v>614</v>
      </c>
      <c r="S11910">
        <v>145.99407500000001</v>
      </c>
      <c r="T11910" s="1095">
        <v>-16.934183999999998</v>
      </c>
    </row>
    <row r="11911" spans="16:20">
      <c r="P11911" s="1094">
        <v>4871</v>
      </c>
      <c r="Q11911" t="s">
        <v>8627</v>
      </c>
      <c r="R11911" t="s">
        <v>614</v>
      </c>
      <c r="S11911">
        <v>145.99407500000001</v>
      </c>
      <c r="T11911" s="1095">
        <v>-16.934183999999998</v>
      </c>
    </row>
    <row r="11912" spans="16:20">
      <c r="P11912" s="1094">
        <v>4871</v>
      </c>
      <c r="Q11912" t="s">
        <v>12215</v>
      </c>
      <c r="R11912" t="s">
        <v>614</v>
      </c>
      <c r="S11912">
        <v>145.99407500000001</v>
      </c>
      <c r="T11912" s="1095">
        <v>-16.934183999999998</v>
      </c>
    </row>
    <row r="11913" spans="16:20">
      <c r="P11913" s="1094">
        <v>4871</v>
      </c>
      <c r="Q11913" t="s">
        <v>12216</v>
      </c>
      <c r="R11913" t="s">
        <v>614</v>
      </c>
      <c r="S11913">
        <v>145.99407500000001</v>
      </c>
      <c r="T11913" s="1095">
        <v>-16.934183999999998</v>
      </c>
    </row>
    <row r="11914" spans="16:20">
      <c r="P11914" s="1094">
        <v>4871</v>
      </c>
      <c r="Q11914" t="s">
        <v>12217</v>
      </c>
      <c r="R11914" t="s">
        <v>614</v>
      </c>
      <c r="S11914">
        <v>145.99407500000001</v>
      </c>
      <c r="T11914" s="1095">
        <v>-16.934183999999998</v>
      </c>
    </row>
    <row r="11915" spans="16:20">
      <c r="P11915" s="1094">
        <v>4871</v>
      </c>
      <c r="Q11915" t="s">
        <v>12218</v>
      </c>
      <c r="R11915" t="s">
        <v>614</v>
      </c>
      <c r="S11915">
        <v>145.99407500000001</v>
      </c>
      <c r="T11915" s="1095">
        <v>-16.934183999999998</v>
      </c>
    </row>
    <row r="11916" spans="16:20">
      <c r="P11916" s="1094">
        <v>4871</v>
      </c>
      <c r="Q11916" t="s">
        <v>12219</v>
      </c>
      <c r="R11916" t="s">
        <v>614</v>
      </c>
      <c r="S11916">
        <v>145.99407500000001</v>
      </c>
      <c r="T11916" s="1095">
        <v>-16.934183999999998</v>
      </c>
    </row>
    <row r="11917" spans="16:20">
      <c r="P11917" s="1094">
        <v>4871</v>
      </c>
      <c r="Q11917" t="s">
        <v>12220</v>
      </c>
      <c r="R11917" t="s">
        <v>614</v>
      </c>
      <c r="S11917">
        <v>145.99407500000001</v>
      </c>
      <c r="T11917" s="1095">
        <v>-16.934183999999998</v>
      </c>
    </row>
    <row r="11918" spans="16:20">
      <c r="P11918" s="1094">
        <v>4871</v>
      </c>
      <c r="Q11918" t="s">
        <v>12221</v>
      </c>
      <c r="R11918" t="s">
        <v>614</v>
      </c>
      <c r="S11918">
        <v>145.99407500000001</v>
      </c>
      <c r="T11918" s="1095">
        <v>-16.934183999999998</v>
      </c>
    </row>
    <row r="11919" spans="16:20">
      <c r="P11919" s="1094">
        <v>4871</v>
      </c>
      <c r="Q11919" t="s">
        <v>12222</v>
      </c>
      <c r="R11919" t="s">
        <v>614</v>
      </c>
      <c r="S11919">
        <v>145.99407500000001</v>
      </c>
      <c r="T11919" s="1095">
        <v>-16.934183999999998</v>
      </c>
    </row>
    <row r="11920" spans="16:20">
      <c r="P11920" s="1094">
        <v>4871</v>
      </c>
      <c r="Q11920" t="s">
        <v>12223</v>
      </c>
      <c r="R11920" t="s">
        <v>614</v>
      </c>
      <c r="S11920">
        <v>145.99407500000001</v>
      </c>
      <c r="T11920" s="1095">
        <v>-16.934183999999998</v>
      </c>
    </row>
    <row r="11921" spans="16:20">
      <c r="P11921" s="1094">
        <v>4871</v>
      </c>
      <c r="Q11921" t="s">
        <v>12224</v>
      </c>
      <c r="R11921" t="s">
        <v>614</v>
      </c>
      <c r="S11921">
        <v>145.99407500000001</v>
      </c>
      <c r="T11921" s="1095">
        <v>-16.934183999999998</v>
      </c>
    </row>
    <row r="11922" spans="16:20">
      <c r="P11922" s="1094">
        <v>4871</v>
      </c>
      <c r="Q11922" t="s">
        <v>12225</v>
      </c>
      <c r="R11922" t="s">
        <v>614</v>
      </c>
      <c r="S11922">
        <v>145.99407500000001</v>
      </c>
      <c r="T11922" s="1095">
        <v>-16.934183999999998</v>
      </c>
    </row>
    <row r="11923" spans="16:20">
      <c r="P11923" s="1094">
        <v>4871</v>
      </c>
      <c r="Q11923" t="s">
        <v>12226</v>
      </c>
      <c r="R11923" t="s">
        <v>614</v>
      </c>
      <c r="S11923">
        <v>145.99407500000001</v>
      </c>
      <c r="T11923" s="1095">
        <v>-16.934183999999998</v>
      </c>
    </row>
    <row r="11924" spans="16:20">
      <c r="P11924" s="1094">
        <v>4871</v>
      </c>
      <c r="Q11924" t="s">
        <v>12227</v>
      </c>
      <c r="R11924" t="s">
        <v>614</v>
      </c>
      <c r="S11924">
        <v>145.99407500000001</v>
      </c>
      <c r="T11924" s="1095">
        <v>-16.934183999999998</v>
      </c>
    </row>
    <row r="11925" spans="16:20">
      <c r="P11925" s="1094">
        <v>4871</v>
      </c>
      <c r="Q11925" t="s">
        <v>5245</v>
      </c>
      <c r="R11925" t="s">
        <v>614</v>
      </c>
      <c r="S11925">
        <v>145.99407500000001</v>
      </c>
      <c r="T11925" s="1095">
        <v>-16.934183999999998</v>
      </c>
    </row>
    <row r="11926" spans="16:20">
      <c r="P11926" s="1094">
        <v>4871</v>
      </c>
      <c r="Q11926" t="s">
        <v>12228</v>
      </c>
      <c r="R11926" t="s">
        <v>614</v>
      </c>
      <c r="S11926">
        <v>145.99407500000001</v>
      </c>
      <c r="T11926" s="1095">
        <v>-16.934183999999998</v>
      </c>
    </row>
    <row r="11927" spans="16:20">
      <c r="P11927" s="1094">
        <v>4871</v>
      </c>
      <c r="Q11927" t="s">
        <v>2962</v>
      </c>
      <c r="R11927" t="s">
        <v>614</v>
      </c>
      <c r="S11927">
        <v>145.99407500000001</v>
      </c>
      <c r="T11927" s="1095">
        <v>-16.934183999999998</v>
      </c>
    </row>
    <row r="11928" spans="16:20">
      <c r="P11928" s="1094">
        <v>4871</v>
      </c>
      <c r="Q11928" t="s">
        <v>12229</v>
      </c>
      <c r="R11928" t="s">
        <v>614</v>
      </c>
      <c r="S11928">
        <v>145.99407500000001</v>
      </c>
      <c r="T11928" s="1095">
        <v>-16.934183999999998</v>
      </c>
    </row>
    <row r="11929" spans="16:20">
      <c r="P11929" s="1094">
        <v>4871</v>
      </c>
      <c r="Q11929" t="s">
        <v>12230</v>
      </c>
      <c r="R11929" t="s">
        <v>614</v>
      </c>
      <c r="S11929">
        <v>145.99407500000001</v>
      </c>
      <c r="T11929" s="1095">
        <v>-16.934183999999998</v>
      </c>
    </row>
    <row r="11930" spans="16:20">
      <c r="P11930" s="1094">
        <v>4871</v>
      </c>
      <c r="Q11930" t="s">
        <v>12231</v>
      </c>
      <c r="R11930" t="s">
        <v>614</v>
      </c>
      <c r="S11930">
        <v>145.99407500000001</v>
      </c>
      <c r="T11930" s="1095">
        <v>-16.934183999999998</v>
      </c>
    </row>
    <row r="11931" spans="16:20">
      <c r="P11931" s="1094">
        <v>4871</v>
      </c>
      <c r="Q11931" t="s">
        <v>12232</v>
      </c>
      <c r="R11931" t="s">
        <v>614</v>
      </c>
      <c r="S11931">
        <v>145.99407500000001</v>
      </c>
      <c r="T11931" s="1095">
        <v>-16.934183999999998</v>
      </c>
    </row>
    <row r="11932" spans="16:20">
      <c r="P11932" s="1094">
        <v>4871</v>
      </c>
      <c r="Q11932" t="s">
        <v>12233</v>
      </c>
      <c r="R11932" t="s">
        <v>614</v>
      </c>
      <c r="S11932">
        <v>145.99407500000001</v>
      </c>
      <c r="T11932" s="1095">
        <v>-16.934183999999998</v>
      </c>
    </row>
    <row r="11933" spans="16:20">
      <c r="P11933" s="1094">
        <v>4871</v>
      </c>
      <c r="Q11933" t="s">
        <v>12234</v>
      </c>
      <c r="R11933" t="s">
        <v>614</v>
      </c>
      <c r="S11933">
        <v>145.99407500000001</v>
      </c>
      <c r="T11933" s="1095">
        <v>-16.934183999999998</v>
      </c>
    </row>
    <row r="11934" spans="16:20">
      <c r="P11934" s="1094">
        <v>4871</v>
      </c>
      <c r="Q11934" t="s">
        <v>12235</v>
      </c>
      <c r="R11934" t="s">
        <v>614</v>
      </c>
      <c r="S11934">
        <v>145.99407500000001</v>
      </c>
      <c r="T11934" s="1095">
        <v>-16.934183999999998</v>
      </c>
    </row>
    <row r="11935" spans="16:20">
      <c r="P11935" s="1094">
        <v>4871</v>
      </c>
      <c r="Q11935" t="s">
        <v>12236</v>
      </c>
      <c r="R11935" t="s">
        <v>614</v>
      </c>
      <c r="S11935">
        <v>145.99407500000001</v>
      </c>
      <c r="T11935" s="1095">
        <v>-16.934183999999998</v>
      </c>
    </row>
    <row r="11936" spans="16:20">
      <c r="P11936" s="1094">
        <v>4871</v>
      </c>
      <c r="Q11936" t="s">
        <v>12237</v>
      </c>
      <c r="R11936" t="s">
        <v>614</v>
      </c>
      <c r="S11936">
        <v>145.99407500000001</v>
      </c>
      <c r="T11936" s="1095">
        <v>-16.934183999999998</v>
      </c>
    </row>
    <row r="11937" spans="16:20">
      <c r="P11937" s="1094">
        <v>4871</v>
      </c>
      <c r="Q11937" t="s">
        <v>12238</v>
      </c>
      <c r="R11937" t="s">
        <v>614</v>
      </c>
      <c r="S11937">
        <v>145.99407500000001</v>
      </c>
      <c r="T11937" s="1095">
        <v>-16.934183999999998</v>
      </c>
    </row>
    <row r="11938" spans="16:20">
      <c r="P11938" s="1094">
        <v>4871</v>
      </c>
      <c r="Q11938" t="s">
        <v>12239</v>
      </c>
      <c r="R11938" t="s">
        <v>614</v>
      </c>
      <c r="S11938">
        <v>145.99407500000001</v>
      </c>
      <c r="T11938" s="1095">
        <v>-16.934183999999998</v>
      </c>
    </row>
    <row r="11939" spans="16:20">
      <c r="P11939" s="1094">
        <v>4871</v>
      </c>
      <c r="Q11939" t="s">
        <v>12240</v>
      </c>
      <c r="R11939" t="s">
        <v>614</v>
      </c>
      <c r="S11939">
        <v>145.99407500000001</v>
      </c>
      <c r="T11939" s="1095">
        <v>-16.934183999999998</v>
      </c>
    </row>
    <row r="11940" spans="16:20">
      <c r="P11940" s="1094">
        <v>4871</v>
      </c>
      <c r="Q11940" t="s">
        <v>12241</v>
      </c>
      <c r="R11940" t="s">
        <v>614</v>
      </c>
      <c r="S11940">
        <v>145.99407500000001</v>
      </c>
      <c r="T11940" s="1095">
        <v>-16.934183999999998</v>
      </c>
    </row>
    <row r="11941" spans="16:20">
      <c r="P11941" s="1094">
        <v>4871</v>
      </c>
      <c r="Q11941" t="s">
        <v>12242</v>
      </c>
      <c r="R11941" t="s">
        <v>614</v>
      </c>
      <c r="S11941">
        <v>145.99407500000001</v>
      </c>
      <c r="T11941" s="1095">
        <v>-16.934183999999998</v>
      </c>
    </row>
    <row r="11942" spans="16:20">
      <c r="P11942" s="1094">
        <v>4871</v>
      </c>
      <c r="Q11942" t="s">
        <v>2516</v>
      </c>
      <c r="R11942" t="s">
        <v>614</v>
      </c>
      <c r="S11942">
        <v>145.99407500000001</v>
      </c>
      <c r="T11942" s="1095">
        <v>-16.934183999999998</v>
      </c>
    </row>
    <row r="11943" spans="16:20">
      <c r="P11943" s="1094">
        <v>4871</v>
      </c>
      <c r="Q11943" t="s">
        <v>6438</v>
      </c>
      <c r="R11943" t="s">
        <v>614</v>
      </c>
      <c r="S11943">
        <v>145.99407500000001</v>
      </c>
      <c r="T11943" s="1095">
        <v>-16.934183999999998</v>
      </c>
    </row>
    <row r="11944" spans="16:20">
      <c r="P11944" s="1094">
        <v>4871</v>
      </c>
      <c r="Q11944" t="s">
        <v>12243</v>
      </c>
      <c r="R11944" t="s">
        <v>614</v>
      </c>
      <c r="S11944">
        <v>145.99407500000001</v>
      </c>
      <c r="T11944" s="1095">
        <v>-16.934183999999998</v>
      </c>
    </row>
    <row r="11945" spans="16:20">
      <c r="P11945" s="1094">
        <v>4871</v>
      </c>
      <c r="Q11945" t="s">
        <v>12244</v>
      </c>
      <c r="R11945" t="s">
        <v>614</v>
      </c>
      <c r="S11945">
        <v>145.99407500000001</v>
      </c>
      <c r="T11945" s="1095">
        <v>-16.934183999999998</v>
      </c>
    </row>
    <row r="11946" spans="16:20">
      <c r="P11946" s="1094">
        <v>4871</v>
      </c>
      <c r="Q11946" t="s">
        <v>12245</v>
      </c>
      <c r="R11946" t="s">
        <v>614</v>
      </c>
      <c r="S11946">
        <v>145.99407500000001</v>
      </c>
      <c r="T11946" s="1095">
        <v>-16.934183999999998</v>
      </c>
    </row>
    <row r="11947" spans="16:20">
      <c r="P11947" s="1094">
        <v>4871</v>
      </c>
      <c r="Q11947" t="s">
        <v>12246</v>
      </c>
      <c r="R11947" t="s">
        <v>614</v>
      </c>
      <c r="S11947">
        <v>145.99407500000001</v>
      </c>
      <c r="T11947" s="1095">
        <v>-16.934183999999998</v>
      </c>
    </row>
    <row r="11948" spans="16:20">
      <c r="P11948" s="1094">
        <v>4871</v>
      </c>
      <c r="Q11948" t="s">
        <v>12247</v>
      </c>
      <c r="R11948" t="s">
        <v>614</v>
      </c>
      <c r="S11948">
        <v>145.99407500000001</v>
      </c>
      <c r="T11948" s="1095">
        <v>-16.934183999999998</v>
      </c>
    </row>
    <row r="11949" spans="16:20">
      <c r="P11949" s="1094">
        <v>4871</v>
      </c>
      <c r="Q11949" t="s">
        <v>12248</v>
      </c>
      <c r="R11949" t="s">
        <v>614</v>
      </c>
      <c r="S11949">
        <v>145.99407500000001</v>
      </c>
      <c r="T11949" s="1095">
        <v>-16.934183999999998</v>
      </c>
    </row>
    <row r="11950" spans="16:20">
      <c r="P11950" s="1094">
        <v>4871</v>
      </c>
      <c r="Q11950" t="s">
        <v>12249</v>
      </c>
      <c r="R11950" t="s">
        <v>614</v>
      </c>
      <c r="S11950">
        <v>145.99407500000001</v>
      </c>
      <c r="T11950" s="1095">
        <v>-16.934183999999998</v>
      </c>
    </row>
    <row r="11951" spans="16:20">
      <c r="P11951" s="1094">
        <v>4872</v>
      </c>
      <c r="Q11951" t="s">
        <v>12250</v>
      </c>
      <c r="R11951" t="s">
        <v>614</v>
      </c>
      <c r="S11951">
        <v>145.15725699999999</v>
      </c>
      <c r="T11951" s="1095">
        <v>-18.028127999999999</v>
      </c>
    </row>
    <row r="11952" spans="16:20">
      <c r="P11952" s="1094">
        <v>4872</v>
      </c>
      <c r="Q11952" t="s">
        <v>12167</v>
      </c>
      <c r="R11952" t="s">
        <v>614</v>
      </c>
      <c r="S11952">
        <v>145.15725699999999</v>
      </c>
      <c r="T11952" s="1095">
        <v>-18.028127999999999</v>
      </c>
    </row>
    <row r="11953" spans="16:20">
      <c r="P11953" s="1094">
        <v>4872</v>
      </c>
      <c r="Q11953" t="s">
        <v>12251</v>
      </c>
      <c r="R11953" t="s">
        <v>614</v>
      </c>
      <c r="S11953">
        <v>145.15725699999999</v>
      </c>
      <c r="T11953" s="1095">
        <v>-18.028127999999999</v>
      </c>
    </row>
    <row r="11954" spans="16:20">
      <c r="P11954" s="1094">
        <v>4872</v>
      </c>
      <c r="Q11954" t="s">
        <v>12252</v>
      </c>
      <c r="R11954" t="s">
        <v>614</v>
      </c>
      <c r="S11954">
        <v>145.15725699999999</v>
      </c>
      <c r="T11954" s="1095">
        <v>-18.028127999999999</v>
      </c>
    </row>
    <row r="11955" spans="16:20">
      <c r="P11955" s="1094">
        <v>4872</v>
      </c>
      <c r="Q11955" t="s">
        <v>12253</v>
      </c>
      <c r="R11955" t="s">
        <v>614</v>
      </c>
      <c r="S11955">
        <v>145.15725699999999</v>
      </c>
      <c r="T11955" s="1095">
        <v>-18.028127999999999</v>
      </c>
    </row>
    <row r="11956" spans="16:20">
      <c r="P11956" s="1094">
        <v>4872</v>
      </c>
      <c r="Q11956" t="s">
        <v>12254</v>
      </c>
      <c r="R11956" t="s">
        <v>614</v>
      </c>
      <c r="S11956">
        <v>145.15725699999999</v>
      </c>
      <c r="T11956" s="1095">
        <v>-18.028127999999999</v>
      </c>
    </row>
    <row r="11957" spans="16:20">
      <c r="P11957" s="1094">
        <v>4872</v>
      </c>
      <c r="Q11957" t="s">
        <v>12255</v>
      </c>
      <c r="R11957" t="s">
        <v>614</v>
      </c>
      <c r="S11957">
        <v>145.15725699999999</v>
      </c>
      <c r="T11957" s="1095">
        <v>-18.028127999999999</v>
      </c>
    </row>
    <row r="11958" spans="16:20">
      <c r="P11958" s="1094">
        <v>4872</v>
      </c>
      <c r="Q11958" t="s">
        <v>12256</v>
      </c>
      <c r="R11958" t="s">
        <v>614</v>
      </c>
      <c r="S11958">
        <v>145.15725699999999</v>
      </c>
      <c r="T11958" s="1095">
        <v>-18.028127999999999</v>
      </c>
    </row>
    <row r="11959" spans="16:20">
      <c r="P11959" s="1094">
        <v>4872</v>
      </c>
      <c r="Q11959" t="s">
        <v>12257</v>
      </c>
      <c r="R11959" t="s">
        <v>614</v>
      </c>
      <c r="S11959">
        <v>145.15725699999999</v>
      </c>
      <c r="T11959" s="1095">
        <v>-18.028127999999999</v>
      </c>
    </row>
    <row r="11960" spans="16:20">
      <c r="P11960" s="1094">
        <v>4872</v>
      </c>
      <c r="Q11960" t="s">
        <v>12258</v>
      </c>
      <c r="R11960" t="s">
        <v>614</v>
      </c>
      <c r="S11960">
        <v>145.15725699999999</v>
      </c>
      <c r="T11960" s="1095">
        <v>-18.028127999999999</v>
      </c>
    </row>
    <row r="11961" spans="16:20">
      <c r="P11961" s="1094">
        <v>4872</v>
      </c>
      <c r="Q11961" t="s">
        <v>12259</v>
      </c>
      <c r="R11961" t="s">
        <v>614</v>
      </c>
      <c r="S11961">
        <v>145.15725699999999</v>
      </c>
      <c r="T11961" s="1095">
        <v>-18.028127999999999</v>
      </c>
    </row>
    <row r="11962" spans="16:20">
      <c r="P11962" s="1094">
        <v>4872</v>
      </c>
      <c r="Q11962" t="s">
        <v>12260</v>
      </c>
      <c r="R11962" t="s">
        <v>614</v>
      </c>
      <c r="S11962">
        <v>145.15725699999999</v>
      </c>
      <c r="T11962" s="1095">
        <v>-18.028127999999999</v>
      </c>
    </row>
    <row r="11963" spans="16:20">
      <c r="P11963" s="1094">
        <v>4872</v>
      </c>
      <c r="Q11963" t="s">
        <v>12261</v>
      </c>
      <c r="R11963" t="s">
        <v>614</v>
      </c>
      <c r="S11963">
        <v>145.15725699999999</v>
      </c>
      <c r="T11963" s="1095">
        <v>-18.028127999999999</v>
      </c>
    </row>
    <row r="11964" spans="16:20">
      <c r="P11964" s="1094">
        <v>4872</v>
      </c>
      <c r="Q11964" t="s">
        <v>12262</v>
      </c>
      <c r="R11964" t="s">
        <v>614</v>
      </c>
      <c r="S11964">
        <v>145.15725699999999</v>
      </c>
      <c r="T11964" s="1095">
        <v>-18.028127999999999</v>
      </c>
    </row>
    <row r="11965" spans="16:20">
      <c r="P11965" s="1094">
        <v>4872</v>
      </c>
      <c r="Q11965" t="s">
        <v>12263</v>
      </c>
      <c r="R11965" t="s">
        <v>614</v>
      </c>
      <c r="S11965">
        <v>145.15725699999999</v>
      </c>
      <c r="T11965" s="1095">
        <v>-18.028127999999999</v>
      </c>
    </row>
    <row r="11966" spans="16:20">
      <c r="P11966" s="1094">
        <v>4872</v>
      </c>
      <c r="Q11966" t="s">
        <v>12264</v>
      </c>
      <c r="R11966" t="s">
        <v>614</v>
      </c>
      <c r="S11966">
        <v>145.15725699999999</v>
      </c>
      <c r="T11966" s="1095">
        <v>-18.028127999999999</v>
      </c>
    </row>
    <row r="11967" spans="16:20">
      <c r="P11967" s="1094">
        <v>4872</v>
      </c>
      <c r="Q11967" t="s">
        <v>12265</v>
      </c>
      <c r="R11967" t="s">
        <v>614</v>
      </c>
      <c r="S11967">
        <v>145.15725699999999</v>
      </c>
      <c r="T11967" s="1095">
        <v>-18.028127999999999</v>
      </c>
    </row>
    <row r="11968" spans="16:20">
      <c r="P11968" s="1094">
        <v>4872</v>
      </c>
      <c r="Q11968" t="s">
        <v>4373</v>
      </c>
      <c r="R11968" t="s">
        <v>614</v>
      </c>
      <c r="S11968">
        <v>145.15725699999999</v>
      </c>
      <c r="T11968" s="1095">
        <v>-18.028127999999999</v>
      </c>
    </row>
    <row r="11969" spans="16:20">
      <c r="P11969" s="1094">
        <v>4872</v>
      </c>
      <c r="Q11969" t="s">
        <v>12266</v>
      </c>
      <c r="R11969" t="s">
        <v>614</v>
      </c>
      <c r="S11969">
        <v>145.15725699999999</v>
      </c>
      <c r="T11969" s="1095">
        <v>-18.028127999999999</v>
      </c>
    </row>
    <row r="11970" spans="16:20">
      <c r="P11970" s="1094">
        <v>4872</v>
      </c>
      <c r="Q11970" t="s">
        <v>12267</v>
      </c>
      <c r="R11970" t="s">
        <v>614</v>
      </c>
      <c r="S11970">
        <v>145.15725699999999</v>
      </c>
      <c r="T11970" s="1095">
        <v>-18.028127999999999</v>
      </c>
    </row>
    <row r="11971" spans="16:20">
      <c r="P11971" s="1094">
        <v>4872</v>
      </c>
      <c r="Q11971" t="s">
        <v>12268</v>
      </c>
      <c r="R11971" t="s">
        <v>614</v>
      </c>
      <c r="S11971">
        <v>145.15725699999999</v>
      </c>
      <c r="T11971" s="1095">
        <v>-18.028127999999999</v>
      </c>
    </row>
    <row r="11972" spans="16:20">
      <c r="P11972" s="1094">
        <v>4872</v>
      </c>
      <c r="Q11972" t="s">
        <v>12269</v>
      </c>
      <c r="R11972" t="s">
        <v>614</v>
      </c>
      <c r="S11972">
        <v>145.15725699999999</v>
      </c>
      <c r="T11972" s="1095">
        <v>-18.028127999999999</v>
      </c>
    </row>
    <row r="11973" spans="16:20">
      <c r="P11973" s="1094">
        <v>4873</v>
      </c>
      <c r="Q11973" t="s">
        <v>12270</v>
      </c>
      <c r="R11973" t="s">
        <v>614</v>
      </c>
      <c r="S11973">
        <v>145.299094</v>
      </c>
      <c r="T11973" s="1095">
        <v>-16.230854000000001</v>
      </c>
    </row>
    <row r="11974" spans="16:20">
      <c r="P11974" s="1094">
        <v>4873</v>
      </c>
      <c r="Q11974" t="s">
        <v>12271</v>
      </c>
      <c r="R11974" t="s">
        <v>614</v>
      </c>
      <c r="S11974">
        <v>145.299094</v>
      </c>
      <c r="T11974" s="1095">
        <v>-16.230854000000001</v>
      </c>
    </row>
    <row r="11975" spans="16:20">
      <c r="P11975" s="1094">
        <v>4873</v>
      </c>
      <c r="Q11975" t="s">
        <v>8547</v>
      </c>
      <c r="R11975" t="s">
        <v>614</v>
      </c>
      <c r="S11975">
        <v>145.299094</v>
      </c>
      <c r="T11975" s="1095">
        <v>-16.230854000000001</v>
      </c>
    </row>
    <row r="11976" spans="16:20">
      <c r="P11976" s="1094">
        <v>4873</v>
      </c>
      <c r="Q11976" t="s">
        <v>12272</v>
      </c>
      <c r="R11976" t="s">
        <v>614</v>
      </c>
      <c r="S11976">
        <v>145.299094</v>
      </c>
      <c r="T11976" s="1095">
        <v>-16.230854000000001</v>
      </c>
    </row>
    <row r="11977" spans="16:20">
      <c r="P11977" s="1094">
        <v>4873</v>
      </c>
      <c r="Q11977" t="s">
        <v>12273</v>
      </c>
      <c r="R11977" t="s">
        <v>614</v>
      </c>
      <c r="S11977">
        <v>145.299094</v>
      </c>
      <c r="T11977" s="1095">
        <v>-16.230854000000001</v>
      </c>
    </row>
    <row r="11978" spans="16:20">
      <c r="P11978" s="1094">
        <v>4873</v>
      </c>
      <c r="Q11978" t="s">
        <v>12274</v>
      </c>
      <c r="R11978" t="s">
        <v>614</v>
      </c>
      <c r="S11978">
        <v>145.299094</v>
      </c>
      <c r="T11978" s="1095">
        <v>-16.230854000000001</v>
      </c>
    </row>
    <row r="11979" spans="16:20">
      <c r="P11979" s="1094">
        <v>4873</v>
      </c>
      <c r="Q11979" t="s">
        <v>12275</v>
      </c>
      <c r="R11979" t="s">
        <v>614</v>
      </c>
      <c r="S11979">
        <v>145.299094</v>
      </c>
      <c r="T11979" s="1095">
        <v>-16.230854000000001</v>
      </c>
    </row>
    <row r="11980" spans="16:20">
      <c r="P11980" s="1094">
        <v>4873</v>
      </c>
      <c r="Q11980" t="s">
        <v>12276</v>
      </c>
      <c r="R11980" t="s">
        <v>614</v>
      </c>
      <c r="S11980">
        <v>145.299094</v>
      </c>
      <c r="T11980" s="1095">
        <v>-16.230854000000001</v>
      </c>
    </row>
    <row r="11981" spans="16:20">
      <c r="P11981" s="1094">
        <v>4873</v>
      </c>
      <c r="Q11981" t="s">
        <v>12277</v>
      </c>
      <c r="R11981" t="s">
        <v>614</v>
      </c>
      <c r="S11981">
        <v>145.299094</v>
      </c>
      <c r="T11981" s="1095">
        <v>-16.230854000000001</v>
      </c>
    </row>
    <row r="11982" spans="16:20">
      <c r="P11982" s="1094">
        <v>4873</v>
      </c>
      <c r="Q11982" t="s">
        <v>12278</v>
      </c>
      <c r="R11982" t="s">
        <v>614</v>
      </c>
      <c r="S11982">
        <v>145.299094</v>
      </c>
      <c r="T11982" s="1095">
        <v>-16.230854000000001</v>
      </c>
    </row>
    <row r="11983" spans="16:20">
      <c r="P11983" s="1094">
        <v>4873</v>
      </c>
      <c r="Q11983" t="s">
        <v>12279</v>
      </c>
      <c r="R11983" t="s">
        <v>614</v>
      </c>
      <c r="S11983">
        <v>145.299094</v>
      </c>
      <c r="T11983" s="1095">
        <v>-16.230854000000001</v>
      </c>
    </row>
    <row r="11984" spans="16:20">
      <c r="P11984" s="1094">
        <v>4873</v>
      </c>
      <c r="Q11984" t="s">
        <v>12280</v>
      </c>
      <c r="R11984" t="s">
        <v>614</v>
      </c>
      <c r="S11984">
        <v>145.299094</v>
      </c>
      <c r="T11984" s="1095">
        <v>-16.230854000000001</v>
      </c>
    </row>
    <row r="11985" spans="16:20">
      <c r="P11985" s="1094">
        <v>4873</v>
      </c>
      <c r="Q11985" t="s">
        <v>12281</v>
      </c>
      <c r="R11985" t="s">
        <v>614</v>
      </c>
      <c r="S11985">
        <v>145.299094</v>
      </c>
      <c r="T11985" s="1095">
        <v>-16.230854000000001</v>
      </c>
    </row>
    <row r="11986" spans="16:20">
      <c r="P11986" s="1094">
        <v>4873</v>
      </c>
      <c r="Q11986" t="s">
        <v>12282</v>
      </c>
      <c r="R11986" t="s">
        <v>614</v>
      </c>
      <c r="S11986">
        <v>145.299094</v>
      </c>
      <c r="T11986" s="1095">
        <v>-16.230854000000001</v>
      </c>
    </row>
    <row r="11987" spans="16:20">
      <c r="P11987" s="1094">
        <v>4873</v>
      </c>
      <c r="Q11987" t="s">
        <v>12283</v>
      </c>
      <c r="R11987" t="s">
        <v>614</v>
      </c>
      <c r="S11987">
        <v>145.299094</v>
      </c>
      <c r="T11987" s="1095">
        <v>-16.230854000000001</v>
      </c>
    </row>
    <row r="11988" spans="16:20">
      <c r="P11988" s="1094">
        <v>4873</v>
      </c>
      <c r="Q11988" t="s">
        <v>12284</v>
      </c>
      <c r="R11988" t="s">
        <v>614</v>
      </c>
      <c r="S11988">
        <v>145.299094</v>
      </c>
      <c r="T11988" s="1095">
        <v>-16.230854000000001</v>
      </c>
    </row>
    <row r="11989" spans="16:20">
      <c r="P11989" s="1094">
        <v>4873</v>
      </c>
      <c r="Q11989" t="s">
        <v>12285</v>
      </c>
      <c r="R11989" t="s">
        <v>614</v>
      </c>
      <c r="S11989">
        <v>145.299094</v>
      </c>
      <c r="T11989" s="1095">
        <v>-16.230854000000001</v>
      </c>
    </row>
    <row r="11990" spans="16:20">
      <c r="P11990" s="1094">
        <v>4873</v>
      </c>
      <c r="Q11990" t="s">
        <v>12286</v>
      </c>
      <c r="R11990" t="s">
        <v>614</v>
      </c>
      <c r="S11990">
        <v>145.299094</v>
      </c>
      <c r="T11990" s="1095">
        <v>-16.230854000000001</v>
      </c>
    </row>
    <row r="11991" spans="16:20">
      <c r="P11991" s="1094">
        <v>4873</v>
      </c>
      <c r="Q11991" t="s">
        <v>12287</v>
      </c>
      <c r="R11991" t="s">
        <v>614</v>
      </c>
      <c r="S11991">
        <v>145.299094</v>
      </c>
      <c r="T11991" s="1095">
        <v>-16.230854000000001</v>
      </c>
    </row>
    <row r="11992" spans="16:20">
      <c r="P11992" s="1094">
        <v>4873</v>
      </c>
      <c r="Q11992" t="s">
        <v>12288</v>
      </c>
      <c r="R11992" t="s">
        <v>614</v>
      </c>
      <c r="S11992">
        <v>145.299094</v>
      </c>
      <c r="T11992" s="1095">
        <v>-16.230854000000001</v>
      </c>
    </row>
    <row r="11993" spans="16:20">
      <c r="P11993" s="1094">
        <v>4873</v>
      </c>
      <c r="Q11993" t="s">
        <v>2360</v>
      </c>
      <c r="R11993" t="s">
        <v>614</v>
      </c>
      <c r="S11993">
        <v>145.299094</v>
      </c>
      <c r="T11993" s="1095">
        <v>-16.230854000000001</v>
      </c>
    </row>
    <row r="11994" spans="16:20">
      <c r="P11994" s="1094">
        <v>4873</v>
      </c>
      <c r="Q11994" t="s">
        <v>9079</v>
      </c>
      <c r="R11994" t="s">
        <v>614</v>
      </c>
      <c r="S11994">
        <v>145.299094</v>
      </c>
      <c r="T11994" s="1095">
        <v>-16.230854000000001</v>
      </c>
    </row>
    <row r="11995" spans="16:20">
      <c r="P11995" s="1094">
        <v>4873</v>
      </c>
      <c r="Q11995" t="s">
        <v>12289</v>
      </c>
      <c r="R11995" t="s">
        <v>614</v>
      </c>
      <c r="S11995">
        <v>145.299094</v>
      </c>
      <c r="T11995" s="1095">
        <v>-16.230854000000001</v>
      </c>
    </row>
    <row r="11996" spans="16:20">
      <c r="P11996" s="1094">
        <v>4873</v>
      </c>
      <c r="Q11996" t="s">
        <v>12290</v>
      </c>
      <c r="R11996" t="s">
        <v>614</v>
      </c>
      <c r="S11996">
        <v>145.299094</v>
      </c>
      <c r="T11996" s="1095">
        <v>-16.230854000000001</v>
      </c>
    </row>
    <row r="11997" spans="16:20">
      <c r="P11997" s="1094">
        <v>4873</v>
      </c>
      <c r="Q11997" t="s">
        <v>12291</v>
      </c>
      <c r="R11997" t="s">
        <v>614</v>
      </c>
      <c r="S11997">
        <v>145.299094</v>
      </c>
      <c r="T11997" s="1095">
        <v>-16.230854000000001</v>
      </c>
    </row>
    <row r="11998" spans="16:20">
      <c r="P11998" s="1094">
        <v>4873</v>
      </c>
      <c r="Q11998" t="s">
        <v>12292</v>
      </c>
      <c r="R11998" t="s">
        <v>614</v>
      </c>
      <c r="S11998">
        <v>145.299094</v>
      </c>
      <c r="T11998" s="1095">
        <v>-16.230854000000001</v>
      </c>
    </row>
    <row r="11999" spans="16:20">
      <c r="P11999" s="1094">
        <v>4873</v>
      </c>
      <c r="Q11999" t="s">
        <v>12293</v>
      </c>
      <c r="R11999" t="s">
        <v>614</v>
      </c>
      <c r="S11999">
        <v>145.299094</v>
      </c>
      <c r="T11999" s="1095">
        <v>-16.230854000000001</v>
      </c>
    </row>
    <row r="12000" spans="16:20">
      <c r="P12000" s="1094">
        <v>4873</v>
      </c>
      <c r="Q12000" t="s">
        <v>9210</v>
      </c>
      <c r="R12000" t="s">
        <v>614</v>
      </c>
      <c r="S12000">
        <v>145.299094</v>
      </c>
      <c r="T12000" s="1095">
        <v>-16.230854000000001</v>
      </c>
    </row>
    <row r="12001" spans="16:20">
      <c r="P12001" s="1094">
        <v>4874</v>
      </c>
      <c r="Q12001" t="s">
        <v>12294</v>
      </c>
      <c r="R12001" t="s">
        <v>614</v>
      </c>
      <c r="S12001">
        <v>142.26793799999999</v>
      </c>
      <c r="T12001" s="1095">
        <v>-12.533944</v>
      </c>
    </row>
    <row r="12002" spans="16:20">
      <c r="P12002" s="1094">
        <v>4874</v>
      </c>
      <c r="Q12002" t="s">
        <v>12295</v>
      </c>
      <c r="R12002" t="s">
        <v>614</v>
      </c>
      <c r="S12002">
        <v>142.26793799999999</v>
      </c>
      <c r="T12002" s="1095">
        <v>-12.533944</v>
      </c>
    </row>
    <row r="12003" spans="16:20">
      <c r="P12003" s="1094">
        <v>4874</v>
      </c>
      <c r="Q12003" t="s">
        <v>12296</v>
      </c>
      <c r="R12003" t="s">
        <v>614</v>
      </c>
      <c r="S12003">
        <v>142.26793799999999</v>
      </c>
      <c r="T12003" s="1095">
        <v>-12.533944</v>
      </c>
    </row>
    <row r="12004" spans="16:20">
      <c r="P12004" s="1094">
        <v>4874</v>
      </c>
      <c r="Q12004" t="s">
        <v>2360</v>
      </c>
      <c r="R12004" t="s">
        <v>614</v>
      </c>
      <c r="S12004">
        <v>142.26793799999999</v>
      </c>
      <c r="T12004" s="1095">
        <v>-12.533944</v>
      </c>
    </row>
    <row r="12005" spans="16:20">
      <c r="P12005" s="1094">
        <v>4874</v>
      </c>
      <c r="Q12005" t="s">
        <v>12297</v>
      </c>
      <c r="R12005" t="s">
        <v>614</v>
      </c>
      <c r="S12005">
        <v>142.26793799999999</v>
      </c>
      <c r="T12005" s="1095">
        <v>-12.533944</v>
      </c>
    </row>
    <row r="12006" spans="16:20">
      <c r="P12006" s="1094">
        <v>4874</v>
      </c>
      <c r="Q12006" t="s">
        <v>12298</v>
      </c>
      <c r="R12006" t="s">
        <v>614</v>
      </c>
      <c r="S12006">
        <v>142.26793799999999</v>
      </c>
      <c r="T12006" s="1095">
        <v>-12.533944</v>
      </c>
    </row>
    <row r="12007" spans="16:20">
      <c r="P12007" s="1094">
        <v>4874</v>
      </c>
      <c r="Q12007" t="s">
        <v>12299</v>
      </c>
      <c r="R12007" t="s">
        <v>614</v>
      </c>
      <c r="S12007">
        <v>142.26793799999999</v>
      </c>
      <c r="T12007" s="1095">
        <v>-12.533944</v>
      </c>
    </row>
    <row r="12008" spans="16:20">
      <c r="P12008" s="1094">
        <v>4875</v>
      </c>
      <c r="Q12008" t="s">
        <v>12300</v>
      </c>
      <c r="R12008" t="s">
        <v>614</v>
      </c>
      <c r="S12008">
        <v>143.76921100000001</v>
      </c>
      <c r="T12008" s="1095">
        <v>-9.5849010000000003</v>
      </c>
    </row>
    <row r="12009" spans="16:20">
      <c r="P12009" s="1094">
        <v>4875</v>
      </c>
      <c r="Q12009" t="s">
        <v>12301</v>
      </c>
      <c r="R12009" t="s">
        <v>614</v>
      </c>
      <c r="S12009">
        <v>143.76921100000001</v>
      </c>
      <c r="T12009" s="1095">
        <v>-9.5849010000000003</v>
      </c>
    </row>
    <row r="12010" spans="16:20">
      <c r="P12010" s="1094">
        <v>4875</v>
      </c>
      <c r="Q12010" t="s">
        <v>12302</v>
      </c>
      <c r="R12010" t="s">
        <v>614</v>
      </c>
      <c r="S12010">
        <v>143.76921100000001</v>
      </c>
      <c r="T12010" s="1095">
        <v>-9.5849010000000003</v>
      </c>
    </row>
    <row r="12011" spans="16:20">
      <c r="P12011" s="1094">
        <v>4875</v>
      </c>
      <c r="Q12011" t="s">
        <v>12303</v>
      </c>
      <c r="R12011" t="s">
        <v>614</v>
      </c>
      <c r="S12011">
        <v>143.76921100000001</v>
      </c>
      <c r="T12011" s="1095">
        <v>-9.5849010000000003</v>
      </c>
    </row>
    <row r="12012" spans="16:20">
      <c r="P12012" s="1094">
        <v>4875</v>
      </c>
      <c r="Q12012" t="s">
        <v>12304</v>
      </c>
      <c r="R12012" t="s">
        <v>614</v>
      </c>
      <c r="S12012">
        <v>143.76921100000001</v>
      </c>
      <c r="T12012" s="1095">
        <v>-9.5849010000000003</v>
      </c>
    </row>
    <row r="12013" spans="16:20">
      <c r="P12013" s="1094">
        <v>4875</v>
      </c>
      <c r="Q12013" t="s">
        <v>12305</v>
      </c>
      <c r="R12013" t="s">
        <v>614</v>
      </c>
      <c r="S12013">
        <v>143.76921100000001</v>
      </c>
      <c r="T12013" s="1095">
        <v>-9.5849010000000003</v>
      </c>
    </row>
    <row r="12014" spans="16:20">
      <c r="P12014" s="1094">
        <v>4875</v>
      </c>
      <c r="Q12014" t="s">
        <v>12306</v>
      </c>
      <c r="R12014" t="s">
        <v>614</v>
      </c>
      <c r="S12014">
        <v>143.76921100000001</v>
      </c>
      <c r="T12014" s="1095">
        <v>-9.5849010000000003</v>
      </c>
    </row>
    <row r="12015" spans="16:20">
      <c r="P12015" s="1094">
        <v>4875</v>
      </c>
      <c r="Q12015" t="s">
        <v>12307</v>
      </c>
      <c r="R12015" t="s">
        <v>614</v>
      </c>
      <c r="S12015">
        <v>143.76921100000001</v>
      </c>
      <c r="T12015" s="1095">
        <v>-9.5849010000000003</v>
      </c>
    </row>
    <row r="12016" spans="16:20">
      <c r="P12016" s="1094">
        <v>4875</v>
      </c>
      <c r="Q12016" t="s">
        <v>12308</v>
      </c>
      <c r="R12016" t="s">
        <v>614</v>
      </c>
      <c r="S12016">
        <v>143.76921100000001</v>
      </c>
      <c r="T12016" s="1095">
        <v>-9.5849010000000003</v>
      </c>
    </row>
    <row r="12017" spans="16:20">
      <c r="P12017" s="1094">
        <v>4875</v>
      </c>
      <c r="Q12017" t="s">
        <v>12309</v>
      </c>
      <c r="R12017" t="s">
        <v>614</v>
      </c>
      <c r="S12017">
        <v>143.76921100000001</v>
      </c>
      <c r="T12017" s="1095">
        <v>-9.5849010000000003</v>
      </c>
    </row>
    <row r="12018" spans="16:20">
      <c r="P12018" s="1094">
        <v>4875</v>
      </c>
      <c r="Q12018" t="s">
        <v>12310</v>
      </c>
      <c r="R12018" t="s">
        <v>614</v>
      </c>
      <c r="S12018">
        <v>143.76921100000001</v>
      </c>
      <c r="T12018" s="1095">
        <v>-9.5849010000000003</v>
      </c>
    </row>
    <row r="12019" spans="16:20">
      <c r="P12019" s="1094">
        <v>4875</v>
      </c>
      <c r="Q12019" t="s">
        <v>12311</v>
      </c>
      <c r="R12019" t="s">
        <v>614</v>
      </c>
      <c r="S12019">
        <v>143.76921100000001</v>
      </c>
      <c r="T12019" s="1095">
        <v>-9.5849010000000003</v>
      </c>
    </row>
    <row r="12020" spans="16:20">
      <c r="P12020" s="1094">
        <v>4875</v>
      </c>
      <c r="Q12020" t="s">
        <v>12312</v>
      </c>
      <c r="R12020" t="s">
        <v>614</v>
      </c>
      <c r="S12020">
        <v>143.76921100000001</v>
      </c>
      <c r="T12020" s="1095">
        <v>-9.5849010000000003</v>
      </c>
    </row>
    <row r="12021" spans="16:20">
      <c r="P12021" s="1094">
        <v>4875</v>
      </c>
      <c r="Q12021" t="s">
        <v>12313</v>
      </c>
      <c r="R12021" t="s">
        <v>614</v>
      </c>
      <c r="S12021">
        <v>143.76921100000001</v>
      </c>
      <c r="T12021" s="1095">
        <v>-9.5849010000000003</v>
      </c>
    </row>
    <row r="12022" spans="16:20">
      <c r="P12022" s="1094">
        <v>4875</v>
      </c>
      <c r="Q12022" t="s">
        <v>12314</v>
      </c>
      <c r="R12022" t="s">
        <v>614</v>
      </c>
      <c r="S12022">
        <v>143.76921100000001</v>
      </c>
      <c r="T12022" s="1095">
        <v>-9.5849010000000003</v>
      </c>
    </row>
    <row r="12023" spans="16:20">
      <c r="P12023" s="1094">
        <v>4875</v>
      </c>
      <c r="Q12023" t="s">
        <v>12315</v>
      </c>
      <c r="R12023" t="s">
        <v>614</v>
      </c>
      <c r="S12023">
        <v>143.76921100000001</v>
      </c>
      <c r="T12023" s="1095">
        <v>-9.5849010000000003</v>
      </c>
    </row>
    <row r="12024" spans="16:20">
      <c r="P12024" s="1094">
        <v>4875</v>
      </c>
      <c r="Q12024" t="s">
        <v>12316</v>
      </c>
      <c r="R12024" t="s">
        <v>614</v>
      </c>
      <c r="S12024">
        <v>143.76921100000001</v>
      </c>
      <c r="T12024" s="1095">
        <v>-9.5849010000000003</v>
      </c>
    </row>
    <row r="12025" spans="16:20">
      <c r="P12025" s="1094">
        <v>4875</v>
      </c>
      <c r="Q12025" t="s">
        <v>12317</v>
      </c>
      <c r="R12025" t="s">
        <v>614</v>
      </c>
      <c r="S12025">
        <v>143.76921100000001</v>
      </c>
      <c r="T12025" s="1095">
        <v>-9.5849010000000003</v>
      </c>
    </row>
    <row r="12026" spans="16:20">
      <c r="P12026" s="1094">
        <v>4875</v>
      </c>
      <c r="Q12026" t="s">
        <v>12318</v>
      </c>
      <c r="R12026" t="s">
        <v>614</v>
      </c>
      <c r="S12026">
        <v>143.76921100000001</v>
      </c>
      <c r="T12026" s="1095">
        <v>-9.5849010000000003</v>
      </c>
    </row>
    <row r="12027" spans="16:20">
      <c r="P12027" s="1094">
        <v>4875</v>
      </c>
      <c r="Q12027" t="s">
        <v>12319</v>
      </c>
      <c r="R12027" t="s">
        <v>614</v>
      </c>
      <c r="S12027">
        <v>143.76921100000001</v>
      </c>
      <c r="T12027" s="1095">
        <v>-9.5849010000000003</v>
      </c>
    </row>
    <row r="12028" spans="16:20">
      <c r="P12028" s="1094">
        <v>4875</v>
      </c>
      <c r="Q12028" t="s">
        <v>12320</v>
      </c>
      <c r="R12028" t="s">
        <v>614</v>
      </c>
      <c r="S12028">
        <v>143.76921100000001</v>
      </c>
      <c r="T12028" s="1095">
        <v>-9.5849010000000003</v>
      </c>
    </row>
    <row r="12029" spans="16:20">
      <c r="P12029" s="1094">
        <v>4875</v>
      </c>
      <c r="Q12029" t="s">
        <v>12321</v>
      </c>
      <c r="R12029" t="s">
        <v>614</v>
      </c>
      <c r="S12029">
        <v>143.76921100000001</v>
      </c>
      <c r="T12029" s="1095">
        <v>-9.5849010000000003</v>
      </c>
    </row>
    <row r="12030" spans="16:20">
      <c r="P12030" s="1094">
        <v>4875</v>
      </c>
      <c r="Q12030" t="s">
        <v>12322</v>
      </c>
      <c r="R12030" t="s">
        <v>614</v>
      </c>
      <c r="S12030">
        <v>143.76921100000001</v>
      </c>
      <c r="T12030" s="1095">
        <v>-9.5849010000000003</v>
      </c>
    </row>
    <row r="12031" spans="16:20">
      <c r="P12031" s="1094">
        <v>4875</v>
      </c>
      <c r="Q12031" t="s">
        <v>12323</v>
      </c>
      <c r="R12031" t="s">
        <v>614</v>
      </c>
      <c r="S12031">
        <v>143.76921100000001</v>
      </c>
      <c r="T12031" s="1095">
        <v>-9.5849010000000003</v>
      </c>
    </row>
    <row r="12032" spans="16:20">
      <c r="P12032" s="1094">
        <v>4875</v>
      </c>
      <c r="Q12032" t="s">
        <v>12324</v>
      </c>
      <c r="R12032" t="s">
        <v>614</v>
      </c>
      <c r="S12032">
        <v>143.76921100000001</v>
      </c>
      <c r="T12032" s="1095">
        <v>-9.5849010000000003</v>
      </c>
    </row>
    <row r="12033" spans="16:20">
      <c r="P12033" s="1094">
        <v>4876</v>
      </c>
      <c r="Q12033" t="s">
        <v>12325</v>
      </c>
      <c r="R12033" t="s">
        <v>614</v>
      </c>
      <c r="S12033">
        <v>142.46539899999999</v>
      </c>
      <c r="T12033" s="1095">
        <v>-11.338520000000001</v>
      </c>
    </row>
    <row r="12034" spans="16:20">
      <c r="P12034" s="1094">
        <v>4876</v>
      </c>
      <c r="Q12034" t="s">
        <v>12326</v>
      </c>
      <c r="R12034" t="s">
        <v>614</v>
      </c>
      <c r="S12034">
        <v>142.46539899999999</v>
      </c>
      <c r="T12034" s="1095">
        <v>-11.338520000000001</v>
      </c>
    </row>
    <row r="12035" spans="16:20">
      <c r="P12035" s="1094">
        <v>4876</v>
      </c>
      <c r="Q12035" t="s">
        <v>12327</v>
      </c>
      <c r="R12035" t="s">
        <v>614</v>
      </c>
      <c r="S12035">
        <v>142.46539899999999</v>
      </c>
      <c r="T12035" s="1095">
        <v>-11.338520000000001</v>
      </c>
    </row>
    <row r="12036" spans="16:20">
      <c r="P12036" s="1094">
        <v>4876</v>
      </c>
      <c r="Q12036" t="s">
        <v>12328</v>
      </c>
      <c r="R12036" t="s">
        <v>614</v>
      </c>
      <c r="S12036">
        <v>142.46539899999999</v>
      </c>
      <c r="T12036" s="1095">
        <v>-11.338520000000001</v>
      </c>
    </row>
    <row r="12037" spans="16:20">
      <c r="P12037" s="1094">
        <v>4876</v>
      </c>
      <c r="Q12037" t="s">
        <v>12329</v>
      </c>
      <c r="R12037" t="s">
        <v>614</v>
      </c>
      <c r="S12037">
        <v>142.46539899999999</v>
      </c>
      <c r="T12037" s="1095">
        <v>-11.338520000000001</v>
      </c>
    </row>
    <row r="12038" spans="16:20">
      <c r="P12038" s="1094">
        <v>4877</v>
      </c>
      <c r="Q12038" t="s">
        <v>12330</v>
      </c>
      <c r="R12038" t="s">
        <v>614</v>
      </c>
      <c r="S12038">
        <v>0</v>
      </c>
      <c r="T12038" s="1095">
        <v>0</v>
      </c>
    </row>
    <row r="12039" spans="16:20">
      <c r="P12039" s="1094">
        <v>4877</v>
      </c>
      <c r="Q12039" t="s">
        <v>12331</v>
      </c>
      <c r="R12039" t="s">
        <v>614</v>
      </c>
      <c r="S12039">
        <v>0</v>
      </c>
      <c r="T12039" s="1095">
        <v>0</v>
      </c>
    </row>
    <row r="12040" spans="16:20">
      <c r="P12040" s="1094">
        <v>4877</v>
      </c>
      <c r="Q12040" t="s">
        <v>12332</v>
      </c>
      <c r="R12040" t="s">
        <v>614</v>
      </c>
      <c r="S12040">
        <v>0</v>
      </c>
      <c r="T12040" s="1095">
        <v>0</v>
      </c>
    </row>
    <row r="12041" spans="16:20">
      <c r="P12041" s="1094">
        <v>4877</v>
      </c>
      <c r="Q12041" t="s">
        <v>12333</v>
      </c>
      <c r="R12041" t="s">
        <v>614</v>
      </c>
      <c r="S12041">
        <v>0</v>
      </c>
      <c r="T12041" s="1095">
        <v>0</v>
      </c>
    </row>
    <row r="12042" spans="16:20">
      <c r="P12042" s="1094">
        <v>4877</v>
      </c>
      <c r="Q12042" t="s">
        <v>12334</v>
      </c>
      <c r="R12042" t="s">
        <v>614</v>
      </c>
      <c r="S12042">
        <v>0</v>
      </c>
      <c r="T12042" s="1095">
        <v>0</v>
      </c>
    </row>
    <row r="12043" spans="16:20">
      <c r="P12043" s="1094">
        <v>4877</v>
      </c>
      <c r="Q12043" t="s">
        <v>12335</v>
      </c>
      <c r="R12043" t="s">
        <v>614</v>
      </c>
      <c r="S12043">
        <v>0</v>
      </c>
      <c r="T12043" s="1095">
        <v>0</v>
      </c>
    </row>
    <row r="12044" spans="16:20">
      <c r="P12044" s="1094">
        <v>4877</v>
      </c>
      <c r="Q12044" t="s">
        <v>12336</v>
      </c>
      <c r="R12044" t="s">
        <v>614</v>
      </c>
      <c r="S12044">
        <v>0</v>
      </c>
      <c r="T12044" s="1095">
        <v>0</v>
      </c>
    </row>
    <row r="12045" spans="16:20">
      <c r="P12045" s="1094">
        <v>4878</v>
      </c>
      <c r="Q12045" t="s">
        <v>12337</v>
      </c>
      <c r="R12045" t="s">
        <v>614</v>
      </c>
      <c r="S12045">
        <v>145.71153100000001</v>
      </c>
      <c r="T12045" s="1095">
        <v>-16.839378</v>
      </c>
    </row>
    <row r="12046" spans="16:20">
      <c r="P12046" s="1094">
        <v>4878</v>
      </c>
      <c r="Q12046" t="s">
        <v>12338</v>
      </c>
      <c r="R12046" t="s">
        <v>614</v>
      </c>
      <c r="S12046">
        <v>145.71153100000001</v>
      </c>
      <c r="T12046" s="1095">
        <v>-16.839378</v>
      </c>
    </row>
    <row r="12047" spans="16:20">
      <c r="P12047" s="1094">
        <v>4878</v>
      </c>
      <c r="Q12047" t="s">
        <v>12339</v>
      </c>
      <c r="R12047" t="s">
        <v>614</v>
      </c>
      <c r="S12047">
        <v>145.71153100000001</v>
      </c>
      <c r="T12047" s="1095">
        <v>-16.839378</v>
      </c>
    </row>
    <row r="12048" spans="16:20">
      <c r="P12048" s="1094">
        <v>4878</v>
      </c>
      <c r="Q12048" t="s">
        <v>12340</v>
      </c>
      <c r="R12048" t="s">
        <v>614</v>
      </c>
      <c r="S12048">
        <v>145.71153100000001</v>
      </c>
      <c r="T12048" s="1095">
        <v>-16.839378</v>
      </c>
    </row>
    <row r="12049" spans="16:20">
      <c r="P12049" s="1094">
        <v>4878</v>
      </c>
      <c r="Q12049" t="s">
        <v>12341</v>
      </c>
      <c r="R12049" t="s">
        <v>614</v>
      </c>
      <c r="S12049">
        <v>145.71153100000001</v>
      </c>
      <c r="T12049" s="1095">
        <v>-16.839378</v>
      </c>
    </row>
    <row r="12050" spans="16:20">
      <c r="P12050" s="1094">
        <v>4878</v>
      </c>
      <c r="Q12050" t="s">
        <v>2092</v>
      </c>
      <c r="R12050" t="s">
        <v>614</v>
      </c>
      <c r="S12050">
        <v>145.71153100000001</v>
      </c>
      <c r="T12050" s="1095">
        <v>-16.839378</v>
      </c>
    </row>
    <row r="12051" spans="16:20">
      <c r="P12051" s="1094">
        <v>4878</v>
      </c>
      <c r="Q12051" t="s">
        <v>12342</v>
      </c>
      <c r="R12051" t="s">
        <v>614</v>
      </c>
      <c r="S12051">
        <v>145.71153100000001</v>
      </c>
      <c r="T12051" s="1095">
        <v>-16.839378</v>
      </c>
    </row>
    <row r="12052" spans="16:20">
      <c r="P12052" s="1094">
        <v>4879</v>
      </c>
      <c r="Q12052" t="s">
        <v>12343</v>
      </c>
      <c r="R12052" t="s">
        <v>614</v>
      </c>
      <c r="S12052">
        <v>145.66647399999999</v>
      </c>
      <c r="T12052" s="1095">
        <v>-16.789777000000001</v>
      </c>
    </row>
    <row r="12053" spans="16:20">
      <c r="P12053" s="1094">
        <v>4879</v>
      </c>
      <c r="Q12053" t="s">
        <v>12344</v>
      </c>
      <c r="R12053" t="s">
        <v>614</v>
      </c>
      <c r="S12053">
        <v>145.66647399999999</v>
      </c>
      <c r="T12053" s="1095">
        <v>-16.789777000000001</v>
      </c>
    </row>
    <row r="12054" spans="16:20">
      <c r="P12054" s="1094">
        <v>4879</v>
      </c>
      <c r="Q12054" t="s">
        <v>12345</v>
      </c>
      <c r="R12054" t="s">
        <v>614</v>
      </c>
      <c r="S12054">
        <v>145.66647399999999</v>
      </c>
      <c r="T12054" s="1095">
        <v>-16.789777000000001</v>
      </c>
    </row>
    <row r="12055" spans="16:20">
      <c r="P12055" s="1094">
        <v>4879</v>
      </c>
      <c r="Q12055" t="s">
        <v>12346</v>
      </c>
      <c r="R12055" t="s">
        <v>614</v>
      </c>
      <c r="S12055">
        <v>145.66647399999999</v>
      </c>
      <c r="T12055" s="1095">
        <v>-16.789777000000001</v>
      </c>
    </row>
    <row r="12056" spans="16:20">
      <c r="P12056" s="1094">
        <v>4879</v>
      </c>
      <c r="Q12056" t="s">
        <v>12347</v>
      </c>
      <c r="R12056" t="s">
        <v>614</v>
      </c>
      <c r="S12056">
        <v>145.66647399999999</v>
      </c>
      <c r="T12056" s="1095">
        <v>-16.789777000000001</v>
      </c>
    </row>
    <row r="12057" spans="16:20">
      <c r="P12057" s="1094">
        <v>4879</v>
      </c>
      <c r="Q12057" t="s">
        <v>12348</v>
      </c>
      <c r="R12057" t="s">
        <v>614</v>
      </c>
      <c r="S12057">
        <v>145.66647399999999</v>
      </c>
      <c r="T12057" s="1095">
        <v>-16.789777000000001</v>
      </c>
    </row>
    <row r="12058" spans="16:20">
      <c r="P12058" s="1094">
        <v>4879</v>
      </c>
      <c r="Q12058" t="s">
        <v>12349</v>
      </c>
      <c r="R12058" t="s">
        <v>614</v>
      </c>
      <c r="S12058">
        <v>145.66647399999999</v>
      </c>
      <c r="T12058" s="1095">
        <v>-16.789777000000001</v>
      </c>
    </row>
    <row r="12059" spans="16:20">
      <c r="P12059" s="1094">
        <v>4880</v>
      </c>
      <c r="Q12059" t="s">
        <v>12350</v>
      </c>
      <c r="R12059" t="s">
        <v>614</v>
      </c>
      <c r="S12059">
        <v>145.38309100000001</v>
      </c>
      <c r="T12059" s="1095">
        <v>-16.972341</v>
      </c>
    </row>
    <row r="12060" spans="16:20">
      <c r="P12060" s="1094">
        <v>4880</v>
      </c>
      <c r="Q12060" t="s">
        <v>12351</v>
      </c>
      <c r="R12060" t="s">
        <v>614</v>
      </c>
      <c r="S12060">
        <v>145.38309100000001</v>
      </c>
      <c r="T12060" s="1095">
        <v>-16.972341</v>
      </c>
    </row>
    <row r="12061" spans="16:20">
      <c r="P12061" s="1094">
        <v>4880</v>
      </c>
      <c r="Q12061" t="s">
        <v>12352</v>
      </c>
      <c r="R12061" t="s">
        <v>614</v>
      </c>
      <c r="S12061">
        <v>145.38309100000001</v>
      </c>
      <c r="T12061" s="1095">
        <v>-16.972341</v>
      </c>
    </row>
    <row r="12062" spans="16:20">
      <c r="P12062" s="1094">
        <v>4880</v>
      </c>
      <c r="Q12062" t="s">
        <v>12353</v>
      </c>
      <c r="R12062" t="s">
        <v>614</v>
      </c>
      <c r="S12062">
        <v>145.38309100000001</v>
      </c>
      <c r="T12062" s="1095">
        <v>-16.972341</v>
      </c>
    </row>
    <row r="12063" spans="16:20">
      <c r="P12063" s="1094">
        <v>4881</v>
      </c>
      <c r="Q12063" t="s">
        <v>12260</v>
      </c>
      <c r="R12063" t="s">
        <v>614</v>
      </c>
      <c r="S12063">
        <v>0</v>
      </c>
      <c r="T12063" s="1095">
        <v>0</v>
      </c>
    </row>
    <row r="12064" spans="16:20">
      <c r="P12064" s="1094">
        <v>4882</v>
      </c>
      <c r="Q12064" t="s">
        <v>12354</v>
      </c>
      <c r="R12064" t="s">
        <v>614</v>
      </c>
      <c r="S12064">
        <v>145.47283999999999</v>
      </c>
      <c r="T12064" s="1095">
        <v>-17.202517</v>
      </c>
    </row>
    <row r="12065" spans="16:20">
      <c r="P12065" s="1094">
        <v>4883</v>
      </c>
      <c r="Q12065" t="s">
        <v>12355</v>
      </c>
      <c r="R12065" t="s">
        <v>614</v>
      </c>
      <c r="S12065">
        <v>145.47665900000001</v>
      </c>
      <c r="T12065" s="1095">
        <v>-17.333269999999999</v>
      </c>
    </row>
    <row r="12066" spans="16:20">
      <c r="P12066" s="1094">
        <v>4883</v>
      </c>
      <c r="Q12066" t="s">
        <v>2514</v>
      </c>
      <c r="R12066" t="s">
        <v>614</v>
      </c>
      <c r="S12066">
        <v>145.47665900000001</v>
      </c>
      <c r="T12066" s="1095">
        <v>-17.333269999999999</v>
      </c>
    </row>
    <row r="12067" spans="16:20">
      <c r="P12067" s="1094">
        <v>4883</v>
      </c>
      <c r="Q12067" t="s">
        <v>12356</v>
      </c>
      <c r="R12067" t="s">
        <v>614</v>
      </c>
      <c r="S12067">
        <v>145.47665900000001</v>
      </c>
      <c r="T12067" s="1095">
        <v>-17.333269999999999</v>
      </c>
    </row>
    <row r="12068" spans="16:20">
      <c r="P12068" s="1094">
        <v>4883</v>
      </c>
      <c r="Q12068" t="s">
        <v>12357</v>
      </c>
      <c r="R12068" t="s">
        <v>614</v>
      </c>
      <c r="S12068">
        <v>145.47665900000001</v>
      </c>
      <c r="T12068" s="1095">
        <v>-17.333269999999999</v>
      </c>
    </row>
    <row r="12069" spans="16:20">
      <c r="P12069" s="1094">
        <v>4883</v>
      </c>
      <c r="Q12069" t="s">
        <v>12358</v>
      </c>
      <c r="R12069" t="s">
        <v>614</v>
      </c>
      <c r="S12069">
        <v>145.47665900000001</v>
      </c>
      <c r="T12069" s="1095">
        <v>-17.333269999999999</v>
      </c>
    </row>
    <row r="12070" spans="16:20">
      <c r="P12070" s="1094">
        <v>4884</v>
      </c>
      <c r="Q12070" t="s">
        <v>12359</v>
      </c>
      <c r="R12070" t="s">
        <v>614</v>
      </c>
      <c r="S12070">
        <v>0</v>
      </c>
      <c r="T12070" s="1095">
        <v>0</v>
      </c>
    </row>
    <row r="12071" spans="16:20">
      <c r="P12071" s="1094">
        <v>4884</v>
      </c>
      <c r="Q12071" t="s">
        <v>12360</v>
      </c>
      <c r="R12071" t="s">
        <v>614</v>
      </c>
      <c r="S12071">
        <v>0</v>
      </c>
      <c r="T12071" s="1095">
        <v>0</v>
      </c>
    </row>
    <row r="12072" spans="16:20">
      <c r="P12072" s="1094">
        <v>4884</v>
      </c>
      <c r="Q12072" t="s">
        <v>12361</v>
      </c>
      <c r="R12072" t="s">
        <v>614</v>
      </c>
      <c r="S12072">
        <v>0</v>
      </c>
      <c r="T12072" s="1095">
        <v>0</v>
      </c>
    </row>
    <row r="12073" spans="16:20">
      <c r="P12073" s="1094">
        <v>4884</v>
      </c>
      <c r="Q12073" t="s">
        <v>12362</v>
      </c>
      <c r="R12073" t="s">
        <v>614</v>
      </c>
      <c r="S12073">
        <v>0</v>
      </c>
      <c r="T12073" s="1095">
        <v>0</v>
      </c>
    </row>
    <row r="12074" spans="16:20">
      <c r="P12074" s="1094">
        <v>4885</v>
      </c>
      <c r="Q12074" t="s">
        <v>12363</v>
      </c>
      <c r="R12074" t="s">
        <v>614</v>
      </c>
      <c r="S12074">
        <v>145.624143</v>
      </c>
      <c r="T12074" s="1095">
        <v>-17.384187000000001</v>
      </c>
    </row>
    <row r="12075" spans="16:20">
      <c r="P12075" s="1094">
        <v>4885</v>
      </c>
      <c r="Q12075" t="s">
        <v>12364</v>
      </c>
      <c r="R12075" t="s">
        <v>614</v>
      </c>
      <c r="S12075">
        <v>145.624143</v>
      </c>
      <c r="T12075" s="1095">
        <v>-17.384187000000001</v>
      </c>
    </row>
    <row r="12076" spans="16:20">
      <c r="P12076" s="1094">
        <v>4885</v>
      </c>
      <c r="Q12076" t="s">
        <v>12365</v>
      </c>
      <c r="R12076" t="s">
        <v>614</v>
      </c>
      <c r="S12076">
        <v>145.624143</v>
      </c>
      <c r="T12076" s="1095">
        <v>-17.384187000000001</v>
      </c>
    </row>
    <row r="12077" spans="16:20">
      <c r="P12077" s="1094">
        <v>4885</v>
      </c>
      <c r="Q12077" t="s">
        <v>12366</v>
      </c>
      <c r="R12077" t="s">
        <v>614</v>
      </c>
      <c r="S12077">
        <v>145.624143</v>
      </c>
      <c r="T12077" s="1095">
        <v>-17.384187000000001</v>
      </c>
    </row>
    <row r="12078" spans="16:20">
      <c r="P12078" s="1094">
        <v>4885</v>
      </c>
      <c r="Q12078" t="s">
        <v>12367</v>
      </c>
      <c r="R12078" t="s">
        <v>614</v>
      </c>
      <c r="S12078">
        <v>145.624143</v>
      </c>
      <c r="T12078" s="1095">
        <v>-17.384187000000001</v>
      </c>
    </row>
    <row r="12079" spans="16:20">
      <c r="P12079" s="1094">
        <v>4885</v>
      </c>
      <c r="Q12079" t="s">
        <v>12368</v>
      </c>
      <c r="R12079" t="s">
        <v>614</v>
      </c>
      <c r="S12079">
        <v>145.624143</v>
      </c>
      <c r="T12079" s="1095">
        <v>-17.384187000000001</v>
      </c>
    </row>
    <row r="12080" spans="16:20">
      <c r="P12080" s="1094">
        <v>4885</v>
      </c>
      <c r="Q12080" t="s">
        <v>12369</v>
      </c>
      <c r="R12080" t="s">
        <v>614</v>
      </c>
      <c r="S12080">
        <v>145.624143</v>
      </c>
      <c r="T12080" s="1095">
        <v>-17.384187000000001</v>
      </c>
    </row>
    <row r="12081" spans="16:20">
      <c r="P12081" s="1094">
        <v>4885</v>
      </c>
      <c r="Q12081" t="s">
        <v>12370</v>
      </c>
      <c r="R12081" t="s">
        <v>614</v>
      </c>
      <c r="S12081">
        <v>145.624143</v>
      </c>
      <c r="T12081" s="1095">
        <v>-17.384187000000001</v>
      </c>
    </row>
    <row r="12082" spans="16:20">
      <c r="P12082" s="1094">
        <v>4885</v>
      </c>
      <c r="Q12082" t="s">
        <v>12371</v>
      </c>
      <c r="R12082" t="s">
        <v>614</v>
      </c>
      <c r="S12082">
        <v>145.624143</v>
      </c>
      <c r="T12082" s="1095">
        <v>-17.384187000000001</v>
      </c>
    </row>
    <row r="12083" spans="16:20">
      <c r="P12083" s="1094">
        <v>4886</v>
      </c>
      <c r="Q12083" t="s">
        <v>12372</v>
      </c>
      <c r="R12083" t="s">
        <v>614</v>
      </c>
      <c r="S12083">
        <v>145.63378900000001</v>
      </c>
      <c r="T12083" s="1095">
        <v>-17.535675999999999</v>
      </c>
    </row>
    <row r="12084" spans="16:20">
      <c r="P12084" s="1094">
        <v>4886</v>
      </c>
      <c r="Q12084" t="s">
        <v>12373</v>
      </c>
      <c r="R12084" t="s">
        <v>614</v>
      </c>
      <c r="S12084">
        <v>145.63378900000001</v>
      </c>
      <c r="T12084" s="1095">
        <v>-17.535675999999999</v>
      </c>
    </row>
    <row r="12085" spans="16:20">
      <c r="P12085" s="1094">
        <v>4886</v>
      </c>
      <c r="Q12085" t="s">
        <v>12374</v>
      </c>
      <c r="R12085" t="s">
        <v>614</v>
      </c>
      <c r="S12085">
        <v>145.63378900000001</v>
      </c>
      <c r="T12085" s="1095">
        <v>-17.535675999999999</v>
      </c>
    </row>
    <row r="12086" spans="16:20">
      <c r="P12086" s="1094">
        <v>4886</v>
      </c>
      <c r="Q12086" t="s">
        <v>12375</v>
      </c>
      <c r="R12086" t="s">
        <v>614</v>
      </c>
      <c r="S12086">
        <v>145.63378900000001</v>
      </c>
      <c r="T12086" s="1095">
        <v>-17.535675999999999</v>
      </c>
    </row>
    <row r="12087" spans="16:20">
      <c r="P12087" s="1094">
        <v>4886</v>
      </c>
      <c r="Q12087" t="s">
        <v>12376</v>
      </c>
      <c r="R12087" t="s">
        <v>614</v>
      </c>
      <c r="S12087">
        <v>145.63378900000001</v>
      </c>
      <c r="T12087" s="1095">
        <v>-17.535675999999999</v>
      </c>
    </row>
    <row r="12088" spans="16:20">
      <c r="P12088" s="1094">
        <v>4886</v>
      </c>
      <c r="Q12088" t="s">
        <v>12377</v>
      </c>
      <c r="R12088" t="s">
        <v>614</v>
      </c>
      <c r="S12088">
        <v>145.63378900000001</v>
      </c>
      <c r="T12088" s="1095">
        <v>-17.535675999999999</v>
      </c>
    </row>
    <row r="12089" spans="16:20">
      <c r="P12089" s="1094">
        <v>4886</v>
      </c>
      <c r="Q12089" t="s">
        <v>12378</v>
      </c>
      <c r="R12089" t="s">
        <v>614</v>
      </c>
      <c r="S12089">
        <v>145.63378900000001</v>
      </c>
      <c r="T12089" s="1095">
        <v>-17.535675999999999</v>
      </c>
    </row>
    <row r="12090" spans="16:20">
      <c r="P12090" s="1094">
        <v>4886</v>
      </c>
      <c r="Q12090" t="s">
        <v>12379</v>
      </c>
      <c r="R12090" t="s">
        <v>614</v>
      </c>
      <c r="S12090">
        <v>145.63378900000001</v>
      </c>
      <c r="T12090" s="1095">
        <v>-17.535675999999999</v>
      </c>
    </row>
    <row r="12091" spans="16:20">
      <c r="P12091" s="1094">
        <v>4887</v>
      </c>
      <c r="Q12091" t="s">
        <v>12380</v>
      </c>
      <c r="R12091" t="s">
        <v>614</v>
      </c>
      <c r="S12091">
        <v>0</v>
      </c>
      <c r="T12091" s="1095">
        <v>0</v>
      </c>
    </row>
    <row r="12092" spans="16:20">
      <c r="P12092" s="1094">
        <v>4887</v>
      </c>
      <c r="Q12092" t="s">
        <v>12381</v>
      </c>
      <c r="R12092" t="s">
        <v>614</v>
      </c>
      <c r="S12092">
        <v>0</v>
      </c>
      <c r="T12092" s="1095">
        <v>0</v>
      </c>
    </row>
    <row r="12093" spans="16:20">
      <c r="P12093" s="1094">
        <v>4887</v>
      </c>
      <c r="Q12093" t="s">
        <v>12382</v>
      </c>
      <c r="R12093" t="s">
        <v>614</v>
      </c>
      <c r="S12093">
        <v>0</v>
      </c>
      <c r="T12093" s="1095">
        <v>0</v>
      </c>
    </row>
    <row r="12094" spans="16:20">
      <c r="P12094" s="1094">
        <v>4887</v>
      </c>
      <c r="Q12094" t="s">
        <v>12383</v>
      </c>
      <c r="R12094" t="s">
        <v>614</v>
      </c>
      <c r="S12094">
        <v>0</v>
      </c>
      <c r="T12094" s="1095">
        <v>0</v>
      </c>
    </row>
    <row r="12095" spans="16:20">
      <c r="P12095" s="1094">
        <v>4887</v>
      </c>
      <c r="Q12095" t="s">
        <v>12384</v>
      </c>
      <c r="R12095" t="s">
        <v>614</v>
      </c>
      <c r="S12095">
        <v>0</v>
      </c>
      <c r="T12095" s="1095">
        <v>0</v>
      </c>
    </row>
    <row r="12096" spans="16:20">
      <c r="P12096" s="1094">
        <v>4888</v>
      </c>
      <c r="Q12096" t="s">
        <v>12385</v>
      </c>
      <c r="R12096" t="s">
        <v>614</v>
      </c>
      <c r="S12096">
        <v>0</v>
      </c>
      <c r="T12096" s="1095">
        <v>0</v>
      </c>
    </row>
    <row r="12097" spans="16:20">
      <c r="P12097" s="1094">
        <v>4888</v>
      </c>
      <c r="Q12097" t="s">
        <v>12386</v>
      </c>
      <c r="R12097" t="s">
        <v>614</v>
      </c>
      <c r="S12097">
        <v>0</v>
      </c>
      <c r="T12097" s="1095">
        <v>0</v>
      </c>
    </row>
    <row r="12098" spans="16:20">
      <c r="P12098" s="1094">
        <v>4888</v>
      </c>
      <c r="Q12098" t="s">
        <v>12387</v>
      </c>
      <c r="R12098" t="s">
        <v>614</v>
      </c>
      <c r="S12098">
        <v>0</v>
      </c>
      <c r="T12098" s="1095">
        <v>0</v>
      </c>
    </row>
    <row r="12099" spans="16:20">
      <c r="P12099" s="1094">
        <v>4888</v>
      </c>
      <c r="Q12099" t="s">
        <v>12388</v>
      </c>
      <c r="R12099" t="s">
        <v>614</v>
      </c>
      <c r="S12099">
        <v>0</v>
      </c>
      <c r="T12099" s="1095">
        <v>0</v>
      </c>
    </row>
    <row r="12100" spans="16:20">
      <c r="P12100" s="1094">
        <v>4888</v>
      </c>
      <c r="Q12100" t="s">
        <v>12389</v>
      </c>
      <c r="R12100" t="s">
        <v>614</v>
      </c>
      <c r="S12100">
        <v>0</v>
      </c>
      <c r="T12100" s="1095">
        <v>0</v>
      </c>
    </row>
    <row r="12101" spans="16:20">
      <c r="P12101" s="1094">
        <v>4890</v>
      </c>
      <c r="Q12101" t="s">
        <v>12390</v>
      </c>
      <c r="R12101" t="s">
        <v>614</v>
      </c>
      <c r="S12101">
        <v>141.18506199999999</v>
      </c>
      <c r="T12101" s="1095">
        <v>-17.741866999999999</v>
      </c>
    </row>
    <row r="12102" spans="16:20">
      <c r="P12102" s="1094">
        <v>4890</v>
      </c>
      <c r="Q12102" t="s">
        <v>12391</v>
      </c>
      <c r="R12102" t="s">
        <v>614</v>
      </c>
      <c r="S12102">
        <v>141.18506199999999</v>
      </c>
      <c r="T12102" s="1095">
        <v>-17.741866999999999</v>
      </c>
    </row>
    <row r="12103" spans="16:20">
      <c r="P12103" s="1094">
        <v>4890</v>
      </c>
      <c r="Q12103" t="s">
        <v>12392</v>
      </c>
      <c r="R12103" t="s">
        <v>614</v>
      </c>
      <c r="S12103">
        <v>141.18506199999999</v>
      </c>
      <c r="T12103" s="1095">
        <v>-17.741866999999999</v>
      </c>
    </row>
    <row r="12104" spans="16:20">
      <c r="P12104" s="1094">
        <v>4891</v>
      </c>
      <c r="Q12104" t="s">
        <v>12393</v>
      </c>
      <c r="R12104" t="s">
        <v>614</v>
      </c>
      <c r="S12104">
        <v>140.92883</v>
      </c>
      <c r="T12104" s="1095">
        <v>-17.447378</v>
      </c>
    </row>
    <row r="12105" spans="16:20">
      <c r="P12105" s="1094">
        <v>4895</v>
      </c>
      <c r="Q12105" t="s">
        <v>5866</v>
      </c>
      <c r="R12105" t="s">
        <v>614</v>
      </c>
      <c r="S12105">
        <v>0</v>
      </c>
      <c r="T12105" s="1095">
        <v>0</v>
      </c>
    </row>
    <row r="12106" spans="16:20">
      <c r="P12106" s="1094">
        <v>4895</v>
      </c>
      <c r="Q12106" t="s">
        <v>12394</v>
      </c>
      <c r="R12106" t="s">
        <v>614</v>
      </c>
      <c r="S12106">
        <v>0</v>
      </c>
      <c r="T12106" s="1095">
        <v>0</v>
      </c>
    </row>
    <row r="12107" spans="16:20">
      <c r="P12107" s="1094">
        <v>4895</v>
      </c>
      <c r="Q12107" t="s">
        <v>12395</v>
      </c>
      <c r="R12107" t="s">
        <v>614</v>
      </c>
      <c r="S12107">
        <v>0</v>
      </c>
      <c r="T12107" s="1095">
        <v>0</v>
      </c>
    </row>
    <row r="12108" spans="16:20">
      <c r="P12108" s="1094">
        <v>4895</v>
      </c>
      <c r="Q12108" t="s">
        <v>12396</v>
      </c>
      <c r="R12108" t="s">
        <v>614</v>
      </c>
      <c r="S12108">
        <v>0</v>
      </c>
      <c r="T12108" s="1095">
        <v>0</v>
      </c>
    </row>
    <row r="12109" spans="16:20">
      <c r="P12109" s="1094">
        <v>4895</v>
      </c>
      <c r="Q12109" t="s">
        <v>12397</v>
      </c>
      <c r="R12109" t="s">
        <v>614</v>
      </c>
      <c r="S12109">
        <v>0</v>
      </c>
      <c r="T12109" s="1095">
        <v>0</v>
      </c>
    </row>
    <row r="12110" spans="16:20">
      <c r="P12110" s="1094">
        <v>4895</v>
      </c>
      <c r="Q12110" t="s">
        <v>12398</v>
      </c>
      <c r="R12110" t="s">
        <v>614</v>
      </c>
      <c r="S12110">
        <v>0</v>
      </c>
      <c r="T12110" s="1095">
        <v>0</v>
      </c>
    </row>
    <row r="12111" spans="16:20">
      <c r="P12111" s="1094">
        <v>5000</v>
      </c>
      <c r="Q12111" t="s">
        <v>12399</v>
      </c>
      <c r="R12111" t="s">
        <v>615</v>
      </c>
      <c r="S12111">
        <v>138.60863699999999</v>
      </c>
      <c r="T12111" s="1095">
        <v>-34.937458999999997</v>
      </c>
    </row>
    <row r="12112" spans="16:20">
      <c r="P12112" s="1094">
        <v>5000</v>
      </c>
      <c r="Q12112" t="s">
        <v>12400</v>
      </c>
      <c r="R12112" t="s">
        <v>615</v>
      </c>
      <c r="S12112">
        <v>138.60863699999999</v>
      </c>
      <c r="T12112" s="1095">
        <v>-34.937458999999997</v>
      </c>
    </row>
    <row r="12113" spans="16:20">
      <c r="P12113" s="1094">
        <v>5000</v>
      </c>
      <c r="Q12113" t="s">
        <v>12401</v>
      </c>
      <c r="R12113" t="s">
        <v>615</v>
      </c>
      <c r="S12113">
        <v>138.60863699999999</v>
      </c>
      <c r="T12113" s="1095">
        <v>-34.937458999999997</v>
      </c>
    </row>
    <row r="12114" spans="16:20">
      <c r="P12114" s="1094">
        <v>5000</v>
      </c>
      <c r="Q12114" t="s">
        <v>12402</v>
      </c>
      <c r="R12114" t="s">
        <v>615</v>
      </c>
      <c r="S12114">
        <v>138.60863699999999</v>
      </c>
      <c r="T12114" s="1095">
        <v>-34.937458999999997</v>
      </c>
    </row>
    <row r="12115" spans="16:20">
      <c r="P12115" s="1094">
        <v>5000</v>
      </c>
      <c r="Q12115" t="s">
        <v>12403</v>
      </c>
      <c r="R12115" t="s">
        <v>615</v>
      </c>
      <c r="S12115">
        <v>138.60863699999999</v>
      </c>
      <c r="T12115" s="1095">
        <v>-34.937458999999997</v>
      </c>
    </row>
    <row r="12116" spans="16:20">
      <c r="P12116" s="1094">
        <v>5000</v>
      </c>
      <c r="Q12116" t="s">
        <v>1727</v>
      </c>
      <c r="R12116" t="s">
        <v>615</v>
      </c>
      <c r="S12116">
        <v>138.60863699999999</v>
      </c>
      <c r="T12116" s="1095">
        <v>-34.937458999999997</v>
      </c>
    </row>
    <row r="12117" spans="16:20">
      <c r="P12117" s="1094">
        <v>5000</v>
      </c>
      <c r="Q12117" t="s">
        <v>12404</v>
      </c>
      <c r="R12117" t="s">
        <v>615</v>
      </c>
      <c r="S12117">
        <v>138.60863699999999</v>
      </c>
      <c r="T12117" s="1095">
        <v>-34.937458999999997</v>
      </c>
    </row>
    <row r="12118" spans="16:20">
      <c r="P12118" s="1094">
        <v>5000</v>
      </c>
      <c r="Q12118" t="s">
        <v>12405</v>
      </c>
      <c r="R12118" t="s">
        <v>615</v>
      </c>
      <c r="S12118">
        <v>138.60863699999999</v>
      </c>
      <c r="T12118" s="1095">
        <v>-34.937458999999997</v>
      </c>
    </row>
    <row r="12119" spans="16:20">
      <c r="P12119" s="1094">
        <v>5000</v>
      </c>
      <c r="Q12119" t="s">
        <v>12406</v>
      </c>
      <c r="R12119" t="s">
        <v>615</v>
      </c>
      <c r="S12119">
        <v>138.60863699999999</v>
      </c>
      <c r="T12119" s="1095">
        <v>-34.937458999999997</v>
      </c>
    </row>
    <row r="12120" spans="16:20">
      <c r="P12120" s="1094">
        <v>5001</v>
      </c>
      <c r="Q12120" t="s">
        <v>12399</v>
      </c>
      <c r="R12120" t="s">
        <v>615</v>
      </c>
      <c r="S12120">
        <v>0</v>
      </c>
      <c r="T12120" s="1095">
        <v>0</v>
      </c>
    </row>
    <row r="12121" spans="16:20">
      <c r="P12121" s="1094">
        <v>5005</v>
      </c>
      <c r="Q12121" t="s">
        <v>12407</v>
      </c>
      <c r="R12121" t="s">
        <v>615</v>
      </c>
      <c r="S12121">
        <v>0</v>
      </c>
      <c r="T12121" s="1095">
        <v>0</v>
      </c>
    </row>
    <row r="12122" spans="16:20">
      <c r="P12122" s="1094">
        <v>5005</v>
      </c>
      <c r="Q12122" t="s">
        <v>12408</v>
      </c>
      <c r="R12122" t="s">
        <v>615</v>
      </c>
      <c r="S12122">
        <v>0</v>
      </c>
      <c r="T12122" s="1095">
        <v>0</v>
      </c>
    </row>
    <row r="12123" spans="16:20">
      <c r="P12123" s="1094">
        <v>5005</v>
      </c>
      <c r="Q12123" t="s">
        <v>12409</v>
      </c>
      <c r="R12123" t="s">
        <v>615</v>
      </c>
      <c r="S12123">
        <v>0</v>
      </c>
      <c r="T12123" s="1095">
        <v>0</v>
      </c>
    </row>
    <row r="12124" spans="16:20">
      <c r="P12124" s="1094">
        <v>5006</v>
      </c>
      <c r="Q12124" t="s">
        <v>12410</v>
      </c>
      <c r="R12124" t="s">
        <v>615</v>
      </c>
      <c r="S12124">
        <v>138.584497</v>
      </c>
      <c r="T12124" s="1095">
        <v>-34.911523000000003</v>
      </c>
    </row>
    <row r="12125" spans="16:20">
      <c r="P12125" s="1094">
        <v>5006</v>
      </c>
      <c r="Q12125" t="s">
        <v>12411</v>
      </c>
      <c r="R12125" t="s">
        <v>615</v>
      </c>
      <c r="S12125">
        <v>138.584497</v>
      </c>
      <c r="T12125" s="1095">
        <v>-34.911523000000003</v>
      </c>
    </row>
    <row r="12126" spans="16:20">
      <c r="P12126" s="1094">
        <v>5007</v>
      </c>
      <c r="Q12126" t="s">
        <v>12412</v>
      </c>
      <c r="R12126" t="s">
        <v>615</v>
      </c>
      <c r="S12126">
        <v>138.56787</v>
      </c>
      <c r="T12126" s="1095">
        <v>-34.903258999999998</v>
      </c>
    </row>
    <row r="12127" spans="16:20">
      <c r="P12127" s="1094">
        <v>5007</v>
      </c>
      <c r="Q12127" t="s">
        <v>12413</v>
      </c>
      <c r="R12127" t="s">
        <v>615</v>
      </c>
      <c r="S12127">
        <v>138.56787</v>
      </c>
      <c r="T12127" s="1095">
        <v>-34.903258999999998</v>
      </c>
    </row>
    <row r="12128" spans="16:20">
      <c r="P12128" s="1094">
        <v>5007</v>
      </c>
      <c r="Q12128" t="s">
        <v>12414</v>
      </c>
      <c r="R12128" t="s">
        <v>615</v>
      </c>
      <c r="S12128">
        <v>138.56787</v>
      </c>
      <c r="T12128" s="1095">
        <v>-34.903258999999998</v>
      </c>
    </row>
    <row r="12129" spans="16:20">
      <c r="P12129" s="1094">
        <v>5007</v>
      </c>
      <c r="Q12129" t="s">
        <v>12415</v>
      </c>
      <c r="R12129" t="s">
        <v>615</v>
      </c>
      <c r="S12129">
        <v>138.56787</v>
      </c>
      <c r="T12129" s="1095">
        <v>-34.903258999999998</v>
      </c>
    </row>
    <row r="12130" spans="16:20">
      <c r="P12130" s="1094">
        <v>5007</v>
      </c>
      <c r="Q12130" t="s">
        <v>12416</v>
      </c>
      <c r="R12130" t="s">
        <v>615</v>
      </c>
      <c r="S12130">
        <v>138.56787</v>
      </c>
      <c r="T12130" s="1095">
        <v>-34.903258999999998</v>
      </c>
    </row>
    <row r="12131" spans="16:20">
      <c r="P12131" s="1094">
        <v>5008</v>
      </c>
      <c r="Q12131" t="s">
        <v>2006</v>
      </c>
      <c r="R12131" t="s">
        <v>615</v>
      </c>
      <c r="S12131">
        <v>138.55940699999999</v>
      </c>
      <c r="T12131" s="1095">
        <v>-34.887511000000003</v>
      </c>
    </row>
    <row r="12132" spans="16:20">
      <c r="P12132" s="1094">
        <v>5008</v>
      </c>
      <c r="Q12132" t="s">
        <v>2007</v>
      </c>
      <c r="R12132" t="s">
        <v>615</v>
      </c>
      <c r="S12132">
        <v>138.55940699999999</v>
      </c>
      <c r="T12132" s="1095">
        <v>-34.887511000000003</v>
      </c>
    </row>
    <row r="12133" spans="16:20">
      <c r="P12133" s="1094">
        <v>5008</v>
      </c>
      <c r="Q12133" t="s">
        <v>12417</v>
      </c>
      <c r="R12133" t="s">
        <v>615</v>
      </c>
      <c r="S12133">
        <v>138.55940699999999</v>
      </c>
      <c r="T12133" s="1095">
        <v>-34.887511000000003</v>
      </c>
    </row>
    <row r="12134" spans="16:20">
      <c r="P12134" s="1094">
        <v>5008</v>
      </c>
      <c r="Q12134" t="s">
        <v>10394</v>
      </c>
      <c r="R12134" t="s">
        <v>615</v>
      </c>
      <c r="S12134">
        <v>138.55940699999999</v>
      </c>
      <c r="T12134" s="1095">
        <v>-34.887511000000003</v>
      </c>
    </row>
    <row r="12135" spans="16:20">
      <c r="P12135" s="1094">
        <v>5008</v>
      </c>
      <c r="Q12135" t="s">
        <v>12418</v>
      </c>
      <c r="R12135" t="s">
        <v>615</v>
      </c>
      <c r="S12135">
        <v>138.55940699999999</v>
      </c>
      <c r="T12135" s="1095">
        <v>-34.887511000000003</v>
      </c>
    </row>
    <row r="12136" spans="16:20">
      <c r="P12136" s="1094">
        <v>5008</v>
      </c>
      <c r="Q12136" t="s">
        <v>12419</v>
      </c>
      <c r="R12136" t="s">
        <v>615</v>
      </c>
      <c r="S12136">
        <v>138.55940699999999</v>
      </c>
      <c r="T12136" s="1095">
        <v>-34.887511000000003</v>
      </c>
    </row>
    <row r="12137" spans="16:20">
      <c r="P12137" s="1094">
        <v>5008</v>
      </c>
      <c r="Q12137" t="s">
        <v>12420</v>
      </c>
      <c r="R12137" t="s">
        <v>615</v>
      </c>
      <c r="S12137">
        <v>138.55940699999999</v>
      </c>
      <c r="T12137" s="1095">
        <v>-34.887511000000003</v>
      </c>
    </row>
    <row r="12138" spans="16:20">
      <c r="P12138" s="1094">
        <v>5008</v>
      </c>
      <c r="Q12138" t="s">
        <v>12421</v>
      </c>
      <c r="R12138" t="s">
        <v>615</v>
      </c>
      <c r="S12138">
        <v>138.55940699999999</v>
      </c>
      <c r="T12138" s="1095">
        <v>-34.887511000000003</v>
      </c>
    </row>
    <row r="12139" spans="16:20">
      <c r="P12139" s="1094">
        <v>5009</v>
      </c>
      <c r="Q12139" t="s">
        <v>12422</v>
      </c>
      <c r="R12139" t="s">
        <v>615</v>
      </c>
      <c r="S12139">
        <v>138.54249300000001</v>
      </c>
      <c r="T12139" s="1095">
        <v>-34.896906000000001</v>
      </c>
    </row>
    <row r="12140" spans="16:20">
      <c r="P12140" s="1094">
        <v>5009</v>
      </c>
      <c r="Q12140" t="s">
        <v>12423</v>
      </c>
      <c r="R12140" t="s">
        <v>615</v>
      </c>
      <c r="S12140">
        <v>138.54249300000001</v>
      </c>
      <c r="T12140" s="1095">
        <v>-34.896906000000001</v>
      </c>
    </row>
    <row r="12141" spans="16:20">
      <c r="P12141" s="1094">
        <v>5009</v>
      </c>
      <c r="Q12141" t="s">
        <v>12424</v>
      </c>
      <c r="R12141" t="s">
        <v>615</v>
      </c>
      <c r="S12141">
        <v>138.54249300000001</v>
      </c>
      <c r="T12141" s="1095">
        <v>-34.896906000000001</v>
      </c>
    </row>
    <row r="12142" spans="16:20">
      <c r="P12142" s="1094">
        <v>5010</v>
      </c>
      <c r="Q12142" t="s">
        <v>12425</v>
      </c>
      <c r="R12142" t="s">
        <v>615</v>
      </c>
      <c r="S12142">
        <v>138.55831800000001</v>
      </c>
      <c r="T12142" s="1095">
        <v>-34.857497000000002</v>
      </c>
    </row>
    <row r="12143" spans="16:20">
      <c r="P12143" s="1094">
        <v>5010</v>
      </c>
      <c r="Q12143" t="s">
        <v>12426</v>
      </c>
      <c r="R12143" t="s">
        <v>615</v>
      </c>
      <c r="S12143">
        <v>138.55831800000001</v>
      </c>
      <c r="T12143" s="1095">
        <v>-34.857497000000002</v>
      </c>
    </row>
    <row r="12144" spans="16:20">
      <c r="P12144" s="1094">
        <v>5010</v>
      </c>
      <c r="Q12144" t="s">
        <v>12427</v>
      </c>
      <c r="R12144" t="s">
        <v>615</v>
      </c>
      <c r="S12144">
        <v>138.55831800000001</v>
      </c>
      <c r="T12144" s="1095">
        <v>-34.857497000000002</v>
      </c>
    </row>
    <row r="12145" spans="16:20">
      <c r="P12145" s="1094">
        <v>5010</v>
      </c>
      <c r="Q12145" t="s">
        <v>12428</v>
      </c>
      <c r="R12145" t="s">
        <v>615</v>
      </c>
      <c r="S12145">
        <v>138.55831800000001</v>
      </c>
      <c r="T12145" s="1095">
        <v>-34.857497000000002</v>
      </c>
    </row>
    <row r="12146" spans="16:20">
      <c r="P12146" s="1094">
        <v>5011</v>
      </c>
      <c r="Q12146" t="s">
        <v>2635</v>
      </c>
      <c r="R12146" t="s">
        <v>615</v>
      </c>
      <c r="S12146">
        <v>138.52767700000001</v>
      </c>
      <c r="T12146" s="1095">
        <v>-34.883282000000001</v>
      </c>
    </row>
    <row r="12147" spans="16:20">
      <c r="P12147" s="1094">
        <v>5011</v>
      </c>
      <c r="Q12147" t="s">
        <v>12429</v>
      </c>
      <c r="R12147" t="s">
        <v>615</v>
      </c>
      <c r="S12147">
        <v>138.52767700000001</v>
      </c>
      <c r="T12147" s="1095">
        <v>-34.883282000000001</v>
      </c>
    </row>
    <row r="12148" spans="16:20">
      <c r="P12148" s="1094">
        <v>5011</v>
      </c>
      <c r="Q12148" t="s">
        <v>12430</v>
      </c>
      <c r="R12148" t="s">
        <v>615</v>
      </c>
      <c r="S12148">
        <v>138.52767700000001</v>
      </c>
      <c r="T12148" s="1095">
        <v>-34.883282000000001</v>
      </c>
    </row>
    <row r="12149" spans="16:20">
      <c r="P12149" s="1094">
        <v>5011</v>
      </c>
      <c r="Q12149" t="s">
        <v>12431</v>
      </c>
      <c r="R12149" t="s">
        <v>615</v>
      </c>
      <c r="S12149">
        <v>138.52767700000001</v>
      </c>
      <c r="T12149" s="1095">
        <v>-34.883282000000001</v>
      </c>
    </row>
    <row r="12150" spans="16:20">
      <c r="P12150" s="1094">
        <v>5012</v>
      </c>
      <c r="Q12150" t="s">
        <v>12432</v>
      </c>
      <c r="R12150" t="s">
        <v>615</v>
      </c>
      <c r="S12150">
        <v>138.54163700000001</v>
      </c>
      <c r="T12150" s="1095">
        <v>-34.863030000000002</v>
      </c>
    </row>
    <row r="12151" spans="16:20">
      <c r="P12151" s="1094">
        <v>5012</v>
      </c>
      <c r="Q12151" t="s">
        <v>12433</v>
      </c>
      <c r="R12151" t="s">
        <v>615</v>
      </c>
      <c r="S12151">
        <v>138.54163700000001</v>
      </c>
      <c r="T12151" s="1095">
        <v>-34.863030000000002</v>
      </c>
    </row>
    <row r="12152" spans="16:20">
      <c r="P12152" s="1094">
        <v>5012</v>
      </c>
      <c r="Q12152" t="s">
        <v>12434</v>
      </c>
      <c r="R12152" t="s">
        <v>615</v>
      </c>
      <c r="S12152">
        <v>138.54163700000001</v>
      </c>
      <c r="T12152" s="1095">
        <v>-34.863030000000002</v>
      </c>
    </row>
    <row r="12153" spans="16:20">
      <c r="P12153" s="1094">
        <v>5012</v>
      </c>
      <c r="Q12153" t="s">
        <v>12435</v>
      </c>
      <c r="R12153" t="s">
        <v>615</v>
      </c>
      <c r="S12153">
        <v>138.54163700000001</v>
      </c>
      <c r="T12153" s="1095">
        <v>-34.863030000000002</v>
      </c>
    </row>
    <row r="12154" spans="16:20">
      <c r="P12154" s="1094">
        <v>5013</v>
      </c>
      <c r="Q12154" t="s">
        <v>12436</v>
      </c>
      <c r="R12154" t="s">
        <v>615</v>
      </c>
      <c r="S12154">
        <v>138.55345299999999</v>
      </c>
      <c r="T12154" s="1095">
        <v>-34.841983999999997</v>
      </c>
    </row>
    <row r="12155" spans="16:20">
      <c r="P12155" s="1094">
        <v>5013</v>
      </c>
      <c r="Q12155" t="s">
        <v>12437</v>
      </c>
      <c r="R12155" t="s">
        <v>615</v>
      </c>
      <c r="S12155">
        <v>138.55345299999999</v>
      </c>
      <c r="T12155" s="1095">
        <v>-34.841983999999997</v>
      </c>
    </row>
    <row r="12156" spans="16:20">
      <c r="P12156" s="1094">
        <v>5013</v>
      </c>
      <c r="Q12156" t="s">
        <v>12438</v>
      </c>
      <c r="R12156" t="s">
        <v>615</v>
      </c>
      <c r="S12156">
        <v>138.55345299999999</v>
      </c>
      <c r="T12156" s="1095">
        <v>-34.841983999999997</v>
      </c>
    </row>
    <row r="12157" spans="16:20">
      <c r="P12157" s="1094">
        <v>5013</v>
      </c>
      <c r="Q12157" t="s">
        <v>12439</v>
      </c>
      <c r="R12157" t="s">
        <v>615</v>
      </c>
      <c r="S12157">
        <v>138.55345299999999</v>
      </c>
      <c r="T12157" s="1095">
        <v>-34.841983999999997</v>
      </c>
    </row>
    <row r="12158" spans="16:20">
      <c r="P12158" s="1094">
        <v>5013</v>
      </c>
      <c r="Q12158" t="s">
        <v>12440</v>
      </c>
      <c r="R12158" t="s">
        <v>615</v>
      </c>
      <c r="S12158">
        <v>138.55345299999999</v>
      </c>
      <c r="T12158" s="1095">
        <v>-34.841983999999997</v>
      </c>
    </row>
    <row r="12159" spans="16:20">
      <c r="P12159" s="1094">
        <v>5013</v>
      </c>
      <c r="Q12159" t="s">
        <v>12441</v>
      </c>
      <c r="R12159" t="s">
        <v>615</v>
      </c>
      <c r="S12159">
        <v>138.55345299999999</v>
      </c>
      <c r="T12159" s="1095">
        <v>-34.841983999999997</v>
      </c>
    </row>
    <row r="12160" spans="16:20">
      <c r="P12160" s="1094">
        <v>5014</v>
      </c>
      <c r="Q12160" t="s">
        <v>6788</v>
      </c>
      <c r="R12160" t="s">
        <v>615</v>
      </c>
      <c r="S12160">
        <v>138.50924699999999</v>
      </c>
      <c r="T12160" s="1095">
        <v>-34.864750000000001</v>
      </c>
    </row>
    <row r="12161" spans="16:20">
      <c r="P12161" s="1094">
        <v>5014</v>
      </c>
      <c r="Q12161" t="s">
        <v>9227</v>
      </c>
      <c r="R12161" t="s">
        <v>615</v>
      </c>
      <c r="S12161">
        <v>138.50924699999999</v>
      </c>
      <c r="T12161" s="1095">
        <v>-34.864750000000001</v>
      </c>
    </row>
    <row r="12162" spans="16:20">
      <c r="P12162" s="1094">
        <v>5014</v>
      </c>
      <c r="Q12162" t="s">
        <v>1994</v>
      </c>
      <c r="R12162" t="s">
        <v>615</v>
      </c>
      <c r="S12162">
        <v>138.50924699999999</v>
      </c>
      <c r="T12162" s="1095">
        <v>-34.864750000000001</v>
      </c>
    </row>
    <row r="12163" spans="16:20">
      <c r="P12163" s="1094">
        <v>5014</v>
      </c>
      <c r="Q12163" t="s">
        <v>12442</v>
      </c>
      <c r="R12163" t="s">
        <v>615</v>
      </c>
      <c r="S12163">
        <v>138.50924699999999</v>
      </c>
      <c r="T12163" s="1095">
        <v>-34.864750000000001</v>
      </c>
    </row>
    <row r="12164" spans="16:20">
      <c r="P12164" s="1094">
        <v>5014</v>
      </c>
      <c r="Q12164" t="s">
        <v>12443</v>
      </c>
      <c r="R12164" t="s">
        <v>615</v>
      </c>
      <c r="S12164">
        <v>138.50924699999999</v>
      </c>
      <c r="T12164" s="1095">
        <v>-34.864750000000001</v>
      </c>
    </row>
    <row r="12165" spans="16:20">
      <c r="P12165" s="1094">
        <v>5014</v>
      </c>
      <c r="Q12165" t="s">
        <v>12444</v>
      </c>
      <c r="R12165" t="s">
        <v>615</v>
      </c>
      <c r="S12165">
        <v>138.50924699999999</v>
      </c>
      <c r="T12165" s="1095">
        <v>-34.864750000000001</v>
      </c>
    </row>
    <row r="12166" spans="16:20">
      <c r="P12166" s="1094">
        <v>5015</v>
      </c>
      <c r="Q12166" t="s">
        <v>12445</v>
      </c>
      <c r="R12166" t="s">
        <v>615</v>
      </c>
      <c r="S12166">
        <v>138.531567</v>
      </c>
      <c r="T12166" s="1095">
        <v>-34.808422</v>
      </c>
    </row>
    <row r="12167" spans="16:20">
      <c r="P12167" s="1094">
        <v>5015</v>
      </c>
      <c r="Q12167" t="s">
        <v>12446</v>
      </c>
      <c r="R12167" t="s">
        <v>615</v>
      </c>
      <c r="S12167">
        <v>138.531567</v>
      </c>
      <c r="T12167" s="1095">
        <v>-34.808422</v>
      </c>
    </row>
    <row r="12168" spans="16:20">
      <c r="P12168" s="1094">
        <v>5015</v>
      </c>
      <c r="Q12168" t="s">
        <v>12447</v>
      </c>
      <c r="R12168" t="s">
        <v>615</v>
      </c>
      <c r="S12168">
        <v>138.531567</v>
      </c>
      <c r="T12168" s="1095">
        <v>-34.808422</v>
      </c>
    </row>
    <row r="12169" spans="16:20">
      <c r="P12169" s="1094">
        <v>5015</v>
      </c>
      <c r="Q12169" t="s">
        <v>12448</v>
      </c>
      <c r="R12169" t="s">
        <v>615</v>
      </c>
      <c r="S12169">
        <v>138.531567</v>
      </c>
      <c r="T12169" s="1095">
        <v>-34.808422</v>
      </c>
    </row>
    <row r="12170" spans="16:20">
      <c r="P12170" s="1094">
        <v>5015</v>
      </c>
      <c r="Q12170" t="s">
        <v>12449</v>
      </c>
      <c r="R12170" t="s">
        <v>615</v>
      </c>
      <c r="S12170">
        <v>138.531567</v>
      </c>
      <c r="T12170" s="1095">
        <v>-34.808422</v>
      </c>
    </row>
    <row r="12171" spans="16:20">
      <c r="P12171" s="1094">
        <v>5015</v>
      </c>
      <c r="Q12171" t="s">
        <v>12450</v>
      </c>
      <c r="R12171" t="s">
        <v>615</v>
      </c>
      <c r="S12171">
        <v>138.531567</v>
      </c>
      <c r="T12171" s="1095">
        <v>-34.808422</v>
      </c>
    </row>
    <row r="12172" spans="16:20">
      <c r="P12172" s="1094">
        <v>5016</v>
      </c>
      <c r="Q12172" t="s">
        <v>12451</v>
      </c>
      <c r="R12172" t="s">
        <v>615</v>
      </c>
      <c r="S12172">
        <v>138.493796</v>
      </c>
      <c r="T12172" s="1095">
        <v>-34.824516000000003</v>
      </c>
    </row>
    <row r="12173" spans="16:20">
      <c r="P12173" s="1094">
        <v>5016</v>
      </c>
      <c r="Q12173" t="s">
        <v>12452</v>
      </c>
      <c r="R12173" t="s">
        <v>615</v>
      </c>
      <c r="S12173">
        <v>138.493796</v>
      </c>
      <c r="T12173" s="1095">
        <v>-34.824516000000003</v>
      </c>
    </row>
    <row r="12174" spans="16:20">
      <c r="P12174" s="1094">
        <v>5016</v>
      </c>
      <c r="Q12174" t="s">
        <v>12453</v>
      </c>
      <c r="R12174" t="s">
        <v>615</v>
      </c>
      <c r="S12174">
        <v>138.493796</v>
      </c>
      <c r="T12174" s="1095">
        <v>-34.824516000000003</v>
      </c>
    </row>
    <row r="12175" spans="16:20">
      <c r="P12175" s="1094">
        <v>5017</v>
      </c>
      <c r="Q12175" t="s">
        <v>5247</v>
      </c>
      <c r="R12175" t="s">
        <v>615</v>
      </c>
      <c r="S12175">
        <v>138.49812800000001</v>
      </c>
      <c r="T12175" s="1095">
        <v>-34.806494000000001</v>
      </c>
    </row>
    <row r="12176" spans="16:20">
      <c r="P12176" s="1094">
        <v>5017</v>
      </c>
      <c r="Q12176" t="s">
        <v>12454</v>
      </c>
      <c r="R12176" t="s">
        <v>615</v>
      </c>
      <c r="S12176">
        <v>138.49812800000001</v>
      </c>
      <c r="T12176" s="1095">
        <v>-34.806494000000001</v>
      </c>
    </row>
    <row r="12177" spans="16:20">
      <c r="P12177" s="1094">
        <v>5018</v>
      </c>
      <c r="Q12177" t="s">
        <v>3529</v>
      </c>
      <c r="R12177" t="s">
        <v>615</v>
      </c>
      <c r="S12177">
        <v>138.49958000000001</v>
      </c>
      <c r="T12177" s="1095">
        <v>-34.779057000000002</v>
      </c>
    </row>
    <row r="12178" spans="16:20">
      <c r="P12178" s="1094">
        <v>5018</v>
      </c>
      <c r="Q12178" t="s">
        <v>12455</v>
      </c>
      <c r="R12178" t="s">
        <v>615</v>
      </c>
      <c r="S12178">
        <v>138.49958000000001</v>
      </c>
      <c r="T12178" s="1095">
        <v>-34.779057000000002</v>
      </c>
    </row>
    <row r="12179" spans="16:20">
      <c r="P12179" s="1094">
        <v>5019</v>
      </c>
      <c r="Q12179" t="s">
        <v>4639</v>
      </c>
      <c r="R12179" t="s">
        <v>615</v>
      </c>
      <c r="S12179">
        <v>138.47705400000001</v>
      </c>
      <c r="T12179" s="1095">
        <v>-34.847707</v>
      </c>
    </row>
    <row r="12180" spans="16:20">
      <c r="P12180" s="1094">
        <v>5019</v>
      </c>
      <c r="Q12180" t="s">
        <v>12456</v>
      </c>
      <c r="R12180" t="s">
        <v>615</v>
      </c>
      <c r="S12180">
        <v>138.47705400000001</v>
      </c>
      <c r="T12180" s="1095">
        <v>-34.847707</v>
      </c>
    </row>
    <row r="12181" spans="16:20">
      <c r="P12181" s="1094">
        <v>5019</v>
      </c>
      <c r="Q12181" t="s">
        <v>12457</v>
      </c>
      <c r="R12181" t="s">
        <v>615</v>
      </c>
      <c r="S12181">
        <v>138.47705400000001</v>
      </c>
      <c r="T12181" s="1095">
        <v>-34.847707</v>
      </c>
    </row>
    <row r="12182" spans="16:20">
      <c r="P12182" s="1094">
        <v>5019</v>
      </c>
      <c r="Q12182" t="s">
        <v>12458</v>
      </c>
      <c r="R12182" t="s">
        <v>615</v>
      </c>
      <c r="S12182">
        <v>138.47705400000001</v>
      </c>
      <c r="T12182" s="1095">
        <v>-34.847707</v>
      </c>
    </row>
    <row r="12183" spans="16:20">
      <c r="P12183" s="1094">
        <v>5020</v>
      </c>
      <c r="Q12183" t="s">
        <v>12459</v>
      </c>
      <c r="R12183" t="s">
        <v>615</v>
      </c>
      <c r="S12183">
        <v>138.481639</v>
      </c>
      <c r="T12183" s="1095">
        <v>-34.867317999999997</v>
      </c>
    </row>
    <row r="12184" spans="16:20">
      <c r="P12184" s="1094">
        <v>5021</v>
      </c>
      <c r="Q12184" t="s">
        <v>12460</v>
      </c>
      <c r="R12184" t="s">
        <v>615</v>
      </c>
      <c r="S12184">
        <v>138.492908</v>
      </c>
      <c r="T12184" s="1095">
        <v>-34.866280000000003</v>
      </c>
    </row>
    <row r="12185" spans="16:20">
      <c r="P12185" s="1094">
        <v>5022</v>
      </c>
      <c r="Q12185" t="s">
        <v>9411</v>
      </c>
      <c r="R12185" t="s">
        <v>615</v>
      </c>
      <c r="S12185">
        <v>138.49263999999999</v>
      </c>
      <c r="T12185" s="1095">
        <v>-34.905461000000003</v>
      </c>
    </row>
    <row r="12186" spans="16:20">
      <c r="P12186" s="1094">
        <v>5022</v>
      </c>
      <c r="Q12186" t="s">
        <v>12461</v>
      </c>
      <c r="R12186" t="s">
        <v>615</v>
      </c>
      <c r="S12186">
        <v>138.49263999999999</v>
      </c>
      <c r="T12186" s="1095">
        <v>-34.905461000000003</v>
      </c>
    </row>
    <row r="12187" spans="16:20">
      <c r="P12187" s="1094">
        <v>5022</v>
      </c>
      <c r="Q12187" t="s">
        <v>12462</v>
      </c>
      <c r="R12187" t="s">
        <v>615</v>
      </c>
      <c r="S12187">
        <v>138.49263999999999</v>
      </c>
      <c r="T12187" s="1095">
        <v>-34.905461000000003</v>
      </c>
    </row>
    <row r="12188" spans="16:20">
      <c r="P12188" s="1094">
        <v>5022</v>
      </c>
      <c r="Q12188" t="s">
        <v>12463</v>
      </c>
      <c r="R12188" t="s">
        <v>615</v>
      </c>
      <c r="S12188">
        <v>138.49263999999999</v>
      </c>
      <c r="T12188" s="1095">
        <v>-34.905461000000003</v>
      </c>
    </row>
    <row r="12189" spans="16:20">
      <c r="P12189" s="1094">
        <v>5022</v>
      </c>
      <c r="Q12189" t="s">
        <v>5576</v>
      </c>
      <c r="R12189" t="s">
        <v>615</v>
      </c>
      <c r="S12189">
        <v>138.49263999999999</v>
      </c>
      <c r="T12189" s="1095">
        <v>-34.905461000000003</v>
      </c>
    </row>
    <row r="12190" spans="16:20">
      <c r="P12190" s="1094">
        <v>5023</v>
      </c>
      <c r="Q12190" t="s">
        <v>12464</v>
      </c>
      <c r="R12190" t="s">
        <v>615</v>
      </c>
      <c r="S12190">
        <v>138.51199</v>
      </c>
      <c r="T12190" s="1095">
        <v>-34.900730000000003</v>
      </c>
    </row>
    <row r="12191" spans="16:20">
      <c r="P12191" s="1094">
        <v>5023</v>
      </c>
      <c r="Q12191" t="s">
        <v>8908</v>
      </c>
      <c r="R12191" t="s">
        <v>615</v>
      </c>
      <c r="S12191">
        <v>138.51199</v>
      </c>
      <c r="T12191" s="1095">
        <v>-34.900730000000003</v>
      </c>
    </row>
    <row r="12192" spans="16:20">
      <c r="P12192" s="1094">
        <v>5023</v>
      </c>
      <c r="Q12192" t="s">
        <v>12465</v>
      </c>
      <c r="R12192" t="s">
        <v>615</v>
      </c>
      <c r="S12192">
        <v>138.51199</v>
      </c>
      <c r="T12192" s="1095">
        <v>-34.900730000000003</v>
      </c>
    </row>
    <row r="12193" spans="16:20">
      <c r="P12193" s="1094">
        <v>5024</v>
      </c>
      <c r="Q12193" t="s">
        <v>8879</v>
      </c>
      <c r="R12193" t="s">
        <v>615</v>
      </c>
      <c r="S12193">
        <v>138.50605200000001</v>
      </c>
      <c r="T12193" s="1095">
        <v>-34.948827000000001</v>
      </c>
    </row>
    <row r="12194" spans="16:20">
      <c r="P12194" s="1094">
        <v>5024</v>
      </c>
      <c r="Q12194" t="s">
        <v>12466</v>
      </c>
      <c r="R12194" t="s">
        <v>615</v>
      </c>
      <c r="S12194">
        <v>138.50605200000001</v>
      </c>
      <c r="T12194" s="1095">
        <v>-34.948827000000001</v>
      </c>
    </row>
    <row r="12195" spans="16:20">
      <c r="P12195" s="1094">
        <v>5024</v>
      </c>
      <c r="Q12195" t="s">
        <v>12467</v>
      </c>
      <c r="R12195" t="s">
        <v>615</v>
      </c>
      <c r="S12195">
        <v>138.50605200000001</v>
      </c>
      <c r="T12195" s="1095">
        <v>-34.948827000000001</v>
      </c>
    </row>
    <row r="12196" spans="16:20">
      <c r="P12196" s="1094">
        <v>5025</v>
      </c>
      <c r="Q12196" t="s">
        <v>12468</v>
      </c>
      <c r="R12196" t="s">
        <v>615</v>
      </c>
      <c r="S12196">
        <v>138.529573</v>
      </c>
      <c r="T12196" s="1095">
        <v>-34.912384000000003</v>
      </c>
    </row>
    <row r="12197" spans="16:20">
      <c r="P12197" s="1094">
        <v>5025</v>
      </c>
      <c r="Q12197" t="s">
        <v>12469</v>
      </c>
      <c r="R12197" t="s">
        <v>615</v>
      </c>
      <c r="S12197">
        <v>138.529573</v>
      </c>
      <c r="T12197" s="1095">
        <v>-34.912384000000003</v>
      </c>
    </row>
    <row r="12198" spans="16:20">
      <c r="P12198" s="1094">
        <v>5031</v>
      </c>
      <c r="Q12198" t="s">
        <v>12470</v>
      </c>
      <c r="R12198" t="s">
        <v>615</v>
      </c>
      <c r="S12198">
        <v>138.57087300000001</v>
      </c>
      <c r="T12198" s="1095">
        <v>-34.936926</v>
      </c>
    </row>
    <row r="12199" spans="16:20">
      <c r="P12199" s="1094">
        <v>5031</v>
      </c>
      <c r="Q12199" t="s">
        <v>12471</v>
      </c>
      <c r="R12199" t="s">
        <v>615</v>
      </c>
      <c r="S12199">
        <v>138.57087300000001</v>
      </c>
      <c r="T12199" s="1095">
        <v>-34.936926</v>
      </c>
    </row>
    <row r="12200" spans="16:20">
      <c r="P12200" s="1094">
        <v>5031</v>
      </c>
      <c r="Q12200" t="s">
        <v>12472</v>
      </c>
      <c r="R12200" t="s">
        <v>615</v>
      </c>
      <c r="S12200">
        <v>138.57087300000001</v>
      </c>
      <c r="T12200" s="1095">
        <v>-34.936926</v>
      </c>
    </row>
    <row r="12201" spans="16:20">
      <c r="P12201" s="1094">
        <v>5031</v>
      </c>
      <c r="Q12201" t="s">
        <v>12473</v>
      </c>
      <c r="R12201" t="s">
        <v>615</v>
      </c>
      <c r="S12201">
        <v>138.57087300000001</v>
      </c>
      <c r="T12201" s="1095">
        <v>-34.936926</v>
      </c>
    </row>
    <row r="12202" spans="16:20">
      <c r="P12202" s="1094">
        <v>5031</v>
      </c>
      <c r="Q12202" t="s">
        <v>12474</v>
      </c>
      <c r="R12202" t="s">
        <v>615</v>
      </c>
      <c r="S12202">
        <v>138.57087300000001</v>
      </c>
      <c r="T12202" s="1095">
        <v>-34.936926</v>
      </c>
    </row>
    <row r="12203" spans="16:20">
      <c r="P12203" s="1094">
        <v>5032</v>
      </c>
      <c r="Q12203" t="s">
        <v>12475</v>
      </c>
      <c r="R12203" t="s">
        <v>615</v>
      </c>
      <c r="S12203">
        <v>138.54435799999999</v>
      </c>
      <c r="T12203" s="1095">
        <v>-34.935733999999997</v>
      </c>
    </row>
    <row r="12204" spans="16:20">
      <c r="P12204" s="1094">
        <v>5032</v>
      </c>
      <c r="Q12204" t="s">
        <v>12476</v>
      </c>
      <c r="R12204" t="s">
        <v>615</v>
      </c>
      <c r="S12204">
        <v>138.54435799999999</v>
      </c>
      <c r="T12204" s="1095">
        <v>-34.935733999999997</v>
      </c>
    </row>
    <row r="12205" spans="16:20">
      <c r="P12205" s="1094">
        <v>5032</v>
      </c>
      <c r="Q12205" t="s">
        <v>12477</v>
      </c>
      <c r="R12205" t="s">
        <v>615</v>
      </c>
      <c r="S12205">
        <v>138.54435799999999</v>
      </c>
      <c r="T12205" s="1095">
        <v>-34.935733999999997</v>
      </c>
    </row>
    <row r="12206" spans="16:20">
      <c r="P12206" s="1094">
        <v>5033</v>
      </c>
      <c r="Q12206" t="s">
        <v>12478</v>
      </c>
      <c r="R12206" t="s">
        <v>615</v>
      </c>
      <c r="S12206">
        <v>138.55845099999999</v>
      </c>
      <c r="T12206" s="1095">
        <v>-34.938858000000003</v>
      </c>
    </row>
    <row r="12207" spans="16:20">
      <c r="P12207" s="1094">
        <v>5033</v>
      </c>
      <c r="Q12207" t="s">
        <v>12479</v>
      </c>
      <c r="R12207" t="s">
        <v>615</v>
      </c>
      <c r="S12207">
        <v>138.55845099999999</v>
      </c>
      <c r="T12207" s="1095">
        <v>-34.938858000000003</v>
      </c>
    </row>
    <row r="12208" spans="16:20">
      <c r="P12208" s="1094">
        <v>5033</v>
      </c>
      <c r="Q12208" t="s">
        <v>12480</v>
      </c>
      <c r="R12208" t="s">
        <v>615</v>
      </c>
      <c r="S12208">
        <v>138.55845099999999</v>
      </c>
      <c r="T12208" s="1095">
        <v>-34.938858000000003</v>
      </c>
    </row>
    <row r="12209" spans="16:20">
      <c r="P12209" s="1094">
        <v>5033</v>
      </c>
      <c r="Q12209" t="s">
        <v>12481</v>
      </c>
      <c r="R12209" t="s">
        <v>615</v>
      </c>
      <c r="S12209">
        <v>138.55845099999999</v>
      </c>
      <c r="T12209" s="1095">
        <v>-34.938858000000003</v>
      </c>
    </row>
    <row r="12210" spans="16:20">
      <c r="P12210" s="1094">
        <v>5033</v>
      </c>
      <c r="Q12210" t="s">
        <v>12482</v>
      </c>
      <c r="R12210" t="s">
        <v>615</v>
      </c>
      <c r="S12210">
        <v>138.55845099999999</v>
      </c>
      <c r="T12210" s="1095">
        <v>-34.938858000000003</v>
      </c>
    </row>
    <row r="12211" spans="16:20">
      <c r="P12211" s="1094">
        <v>5033</v>
      </c>
      <c r="Q12211" t="s">
        <v>5573</v>
      </c>
      <c r="R12211" t="s">
        <v>615</v>
      </c>
      <c r="S12211">
        <v>138.55845099999999</v>
      </c>
      <c r="T12211" s="1095">
        <v>-34.938858000000003</v>
      </c>
    </row>
    <row r="12212" spans="16:20">
      <c r="P12212" s="1094">
        <v>5033</v>
      </c>
      <c r="Q12212" t="s">
        <v>12483</v>
      </c>
      <c r="R12212" t="s">
        <v>615</v>
      </c>
      <c r="S12212">
        <v>138.55845099999999</v>
      </c>
      <c r="T12212" s="1095">
        <v>-34.938858000000003</v>
      </c>
    </row>
    <row r="12213" spans="16:20">
      <c r="P12213" s="1094">
        <v>5034</v>
      </c>
      <c r="Q12213" t="s">
        <v>12484</v>
      </c>
      <c r="R12213" t="s">
        <v>615</v>
      </c>
      <c r="S12213">
        <v>138.58811</v>
      </c>
      <c r="T12213" s="1095">
        <v>-34.956226999999998</v>
      </c>
    </row>
    <row r="12214" spans="16:20">
      <c r="P12214" s="1094">
        <v>5034</v>
      </c>
      <c r="Q12214" t="s">
        <v>11205</v>
      </c>
      <c r="R12214" t="s">
        <v>615</v>
      </c>
      <c r="S12214">
        <v>138.58811</v>
      </c>
      <c r="T12214" s="1095">
        <v>-34.956226999999998</v>
      </c>
    </row>
    <row r="12215" spans="16:20">
      <c r="P12215" s="1094">
        <v>5034</v>
      </c>
      <c r="Q12215" t="s">
        <v>2054</v>
      </c>
      <c r="R12215" t="s">
        <v>615</v>
      </c>
      <c r="S12215">
        <v>138.58811</v>
      </c>
      <c r="T12215" s="1095">
        <v>-34.956226999999998</v>
      </c>
    </row>
    <row r="12216" spans="16:20">
      <c r="P12216" s="1094">
        <v>5034</v>
      </c>
      <c r="Q12216" t="s">
        <v>12485</v>
      </c>
      <c r="R12216" t="s">
        <v>615</v>
      </c>
      <c r="S12216">
        <v>138.58811</v>
      </c>
      <c r="T12216" s="1095">
        <v>-34.956226999999998</v>
      </c>
    </row>
    <row r="12217" spans="16:20">
      <c r="P12217" s="1094">
        <v>5034</v>
      </c>
      <c r="Q12217" t="s">
        <v>12486</v>
      </c>
      <c r="R12217" t="s">
        <v>615</v>
      </c>
      <c r="S12217">
        <v>138.58811</v>
      </c>
      <c r="T12217" s="1095">
        <v>-34.956226999999998</v>
      </c>
    </row>
    <row r="12218" spans="16:20">
      <c r="P12218" s="1094">
        <v>5035</v>
      </c>
      <c r="Q12218" t="s">
        <v>3043</v>
      </c>
      <c r="R12218" t="s">
        <v>615</v>
      </c>
      <c r="S12218">
        <v>138.575187</v>
      </c>
      <c r="T12218" s="1095">
        <v>-34.952075000000001</v>
      </c>
    </row>
    <row r="12219" spans="16:20">
      <c r="P12219" s="1094">
        <v>5035</v>
      </c>
      <c r="Q12219" t="s">
        <v>12487</v>
      </c>
      <c r="R12219" t="s">
        <v>615</v>
      </c>
      <c r="S12219">
        <v>138.575187</v>
      </c>
      <c r="T12219" s="1095">
        <v>-34.952075000000001</v>
      </c>
    </row>
    <row r="12220" spans="16:20">
      <c r="P12220" s="1094">
        <v>5035</v>
      </c>
      <c r="Q12220" t="s">
        <v>12488</v>
      </c>
      <c r="R12220" t="s">
        <v>615</v>
      </c>
      <c r="S12220">
        <v>138.575187</v>
      </c>
      <c r="T12220" s="1095">
        <v>-34.952075000000001</v>
      </c>
    </row>
    <row r="12221" spans="16:20">
      <c r="P12221" s="1094">
        <v>5035</v>
      </c>
      <c r="Q12221" t="s">
        <v>1894</v>
      </c>
      <c r="R12221" t="s">
        <v>615</v>
      </c>
      <c r="S12221">
        <v>138.575187</v>
      </c>
      <c r="T12221" s="1095">
        <v>-34.952075000000001</v>
      </c>
    </row>
    <row r="12222" spans="16:20">
      <c r="P12222" s="1094">
        <v>5035</v>
      </c>
      <c r="Q12222" t="s">
        <v>12489</v>
      </c>
      <c r="R12222" t="s">
        <v>615</v>
      </c>
      <c r="S12222">
        <v>138.575187</v>
      </c>
      <c r="T12222" s="1095">
        <v>-34.952075000000001</v>
      </c>
    </row>
    <row r="12223" spans="16:20">
      <c r="P12223" s="1094">
        <v>5035</v>
      </c>
      <c r="Q12223" t="s">
        <v>12490</v>
      </c>
      <c r="R12223" t="s">
        <v>615</v>
      </c>
      <c r="S12223">
        <v>138.575187</v>
      </c>
      <c r="T12223" s="1095">
        <v>-34.952075000000001</v>
      </c>
    </row>
    <row r="12224" spans="16:20">
      <c r="P12224" s="1094">
        <v>5037</v>
      </c>
      <c r="Q12224" t="s">
        <v>12491</v>
      </c>
      <c r="R12224" t="s">
        <v>615</v>
      </c>
      <c r="S12224">
        <v>138.54582600000001</v>
      </c>
      <c r="T12224" s="1095">
        <v>-34.957399000000002</v>
      </c>
    </row>
    <row r="12225" spans="16:20">
      <c r="P12225" s="1094">
        <v>5037</v>
      </c>
      <c r="Q12225" t="s">
        <v>12492</v>
      </c>
      <c r="R12225" t="s">
        <v>615</v>
      </c>
      <c r="S12225">
        <v>138.54582600000001</v>
      </c>
      <c r="T12225" s="1095">
        <v>-34.957399000000002</v>
      </c>
    </row>
    <row r="12226" spans="16:20">
      <c r="P12226" s="1094">
        <v>5037</v>
      </c>
      <c r="Q12226" t="s">
        <v>12493</v>
      </c>
      <c r="R12226" t="s">
        <v>615</v>
      </c>
      <c r="S12226">
        <v>138.54582600000001</v>
      </c>
      <c r="T12226" s="1095">
        <v>-34.957399000000002</v>
      </c>
    </row>
    <row r="12227" spans="16:20">
      <c r="P12227" s="1094">
        <v>5037</v>
      </c>
      <c r="Q12227" t="s">
        <v>12494</v>
      </c>
      <c r="R12227" t="s">
        <v>615</v>
      </c>
      <c r="S12227">
        <v>138.54582600000001</v>
      </c>
      <c r="T12227" s="1095">
        <v>-34.957399000000002</v>
      </c>
    </row>
    <row r="12228" spans="16:20">
      <c r="P12228" s="1094">
        <v>5038</v>
      </c>
      <c r="Q12228" t="s">
        <v>4556</v>
      </c>
      <c r="R12228" t="s">
        <v>615</v>
      </c>
      <c r="S12228">
        <v>138.54836700000001</v>
      </c>
      <c r="T12228" s="1095">
        <v>-34.968051000000003</v>
      </c>
    </row>
    <row r="12229" spans="16:20">
      <c r="P12229" s="1094">
        <v>5038</v>
      </c>
      <c r="Q12229" t="s">
        <v>12495</v>
      </c>
      <c r="R12229" t="s">
        <v>615</v>
      </c>
      <c r="S12229">
        <v>138.54836700000001</v>
      </c>
      <c r="T12229" s="1095">
        <v>-34.968051000000003</v>
      </c>
    </row>
    <row r="12230" spans="16:20">
      <c r="P12230" s="1094">
        <v>5038</v>
      </c>
      <c r="Q12230" t="s">
        <v>12496</v>
      </c>
      <c r="R12230" t="s">
        <v>615</v>
      </c>
      <c r="S12230">
        <v>138.54836700000001</v>
      </c>
      <c r="T12230" s="1095">
        <v>-34.968051000000003</v>
      </c>
    </row>
    <row r="12231" spans="16:20">
      <c r="P12231" s="1094">
        <v>5038</v>
      </c>
      <c r="Q12231" t="s">
        <v>12497</v>
      </c>
      <c r="R12231" t="s">
        <v>615</v>
      </c>
      <c r="S12231">
        <v>138.54836700000001</v>
      </c>
      <c r="T12231" s="1095">
        <v>-34.968051000000003</v>
      </c>
    </row>
    <row r="12232" spans="16:20">
      <c r="P12232" s="1094">
        <v>5039</v>
      </c>
      <c r="Q12232" t="s">
        <v>12498</v>
      </c>
      <c r="R12232" t="s">
        <v>615</v>
      </c>
      <c r="S12232">
        <v>138.570739</v>
      </c>
      <c r="T12232" s="1095">
        <v>-34.976263000000003</v>
      </c>
    </row>
    <row r="12233" spans="16:20">
      <c r="P12233" s="1094">
        <v>5039</v>
      </c>
      <c r="Q12233" t="s">
        <v>5471</v>
      </c>
      <c r="R12233" t="s">
        <v>615</v>
      </c>
      <c r="S12233">
        <v>138.570739</v>
      </c>
      <c r="T12233" s="1095">
        <v>-34.976263000000003</v>
      </c>
    </row>
    <row r="12234" spans="16:20">
      <c r="P12234" s="1094">
        <v>5039</v>
      </c>
      <c r="Q12234" t="s">
        <v>1983</v>
      </c>
      <c r="R12234" t="s">
        <v>615</v>
      </c>
      <c r="S12234">
        <v>138.570739</v>
      </c>
      <c r="T12234" s="1095">
        <v>-34.976263000000003</v>
      </c>
    </row>
    <row r="12235" spans="16:20">
      <c r="P12235" s="1094">
        <v>5039</v>
      </c>
      <c r="Q12235" t="s">
        <v>12499</v>
      </c>
      <c r="R12235" t="s">
        <v>615</v>
      </c>
      <c r="S12235">
        <v>138.570739</v>
      </c>
      <c r="T12235" s="1095">
        <v>-34.976263000000003</v>
      </c>
    </row>
    <row r="12236" spans="16:20">
      <c r="P12236" s="1094">
        <v>5040</v>
      </c>
      <c r="Q12236" t="s">
        <v>12500</v>
      </c>
      <c r="R12236" t="s">
        <v>615</v>
      </c>
      <c r="S12236">
        <v>138.527412</v>
      </c>
      <c r="T12236" s="1095">
        <v>-34.963082999999997</v>
      </c>
    </row>
    <row r="12237" spans="16:20">
      <c r="P12237" s="1094">
        <v>5041</v>
      </c>
      <c r="Q12237" t="s">
        <v>12501</v>
      </c>
      <c r="R12237" t="s">
        <v>615</v>
      </c>
      <c r="S12237">
        <v>138.594176</v>
      </c>
      <c r="T12237" s="1095">
        <v>-35.002980000000001</v>
      </c>
    </row>
    <row r="12238" spans="16:20">
      <c r="P12238" s="1094">
        <v>5041</v>
      </c>
      <c r="Q12238" t="s">
        <v>12502</v>
      </c>
      <c r="R12238" t="s">
        <v>615</v>
      </c>
      <c r="S12238">
        <v>138.594176</v>
      </c>
      <c r="T12238" s="1095">
        <v>-35.002980000000001</v>
      </c>
    </row>
    <row r="12239" spans="16:20">
      <c r="P12239" s="1094">
        <v>5041</v>
      </c>
      <c r="Q12239" t="s">
        <v>12503</v>
      </c>
      <c r="R12239" t="s">
        <v>615</v>
      </c>
      <c r="S12239">
        <v>138.594176</v>
      </c>
      <c r="T12239" s="1095">
        <v>-35.002980000000001</v>
      </c>
    </row>
    <row r="12240" spans="16:20">
      <c r="P12240" s="1094">
        <v>5041</v>
      </c>
      <c r="Q12240" t="s">
        <v>12504</v>
      </c>
      <c r="R12240" t="s">
        <v>615</v>
      </c>
      <c r="S12240">
        <v>138.594176</v>
      </c>
      <c r="T12240" s="1095">
        <v>-35.002980000000001</v>
      </c>
    </row>
    <row r="12241" spans="16:20">
      <c r="P12241" s="1094">
        <v>5041</v>
      </c>
      <c r="Q12241" t="s">
        <v>12505</v>
      </c>
      <c r="R12241" t="s">
        <v>615</v>
      </c>
      <c r="S12241">
        <v>138.594176</v>
      </c>
      <c r="T12241" s="1095">
        <v>-35.002980000000001</v>
      </c>
    </row>
    <row r="12242" spans="16:20">
      <c r="P12242" s="1094">
        <v>5042</v>
      </c>
      <c r="Q12242" t="s">
        <v>12506</v>
      </c>
      <c r="R12242" t="s">
        <v>615</v>
      </c>
      <c r="S12242">
        <v>138.57502299999999</v>
      </c>
      <c r="T12242" s="1095">
        <v>-35.007340999999997</v>
      </c>
    </row>
    <row r="12243" spans="16:20">
      <c r="P12243" s="1094">
        <v>5042</v>
      </c>
      <c r="Q12243" t="s">
        <v>12507</v>
      </c>
      <c r="R12243" t="s">
        <v>615</v>
      </c>
      <c r="S12243">
        <v>138.57502299999999</v>
      </c>
      <c r="T12243" s="1095">
        <v>-35.007340999999997</v>
      </c>
    </row>
    <row r="12244" spans="16:20">
      <c r="P12244" s="1094">
        <v>5042</v>
      </c>
      <c r="Q12244" t="s">
        <v>12508</v>
      </c>
      <c r="R12244" t="s">
        <v>615</v>
      </c>
      <c r="S12244">
        <v>138.57502299999999</v>
      </c>
      <c r="T12244" s="1095">
        <v>-35.007340999999997</v>
      </c>
    </row>
    <row r="12245" spans="16:20">
      <c r="P12245" s="1094">
        <v>5042</v>
      </c>
      <c r="Q12245" t="s">
        <v>12509</v>
      </c>
      <c r="R12245" t="s">
        <v>615</v>
      </c>
      <c r="S12245">
        <v>138.57502299999999</v>
      </c>
      <c r="T12245" s="1095">
        <v>-35.007340999999997</v>
      </c>
    </row>
    <row r="12246" spans="16:20">
      <c r="P12246" s="1094">
        <v>5042</v>
      </c>
      <c r="Q12246" t="s">
        <v>1705</v>
      </c>
      <c r="R12246" t="s">
        <v>615</v>
      </c>
      <c r="S12246">
        <v>138.57502299999999</v>
      </c>
      <c r="T12246" s="1095">
        <v>-35.007340999999997</v>
      </c>
    </row>
    <row r="12247" spans="16:20">
      <c r="P12247" s="1094">
        <v>5043</v>
      </c>
      <c r="Q12247" t="s">
        <v>12510</v>
      </c>
      <c r="R12247" t="s">
        <v>615</v>
      </c>
      <c r="S12247">
        <v>138.553853</v>
      </c>
      <c r="T12247" s="1095">
        <v>-35.005491999999997</v>
      </c>
    </row>
    <row r="12248" spans="16:20">
      <c r="P12248" s="1094">
        <v>5043</v>
      </c>
      <c r="Q12248" t="s">
        <v>12511</v>
      </c>
      <c r="R12248" t="s">
        <v>615</v>
      </c>
      <c r="S12248">
        <v>138.553853</v>
      </c>
      <c r="T12248" s="1095">
        <v>-35.005491999999997</v>
      </c>
    </row>
    <row r="12249" spans="16:20">
      <c r="P12249" s="1094">
        <v>5043</v>
      </c>
      <c r="Q12249" t="s">
        <v>7314</v>
      </c>
      <c r="R12249" t="s">
        <v>615</v>
      </c>
      <c r="S12249">
        <v>138.553853</v>
      </c>
      <c r="T12249" s="1095">
        <v>-35.005491999999997</v>
      </c>
    </row>
    <row r="12250" spans="16:20">
      <c r="P12250" s="1094">
        <v>5043</v>
      </c>
      <c r="Q12250" t="s">
        <v>12512</v>
      </c>
      <c r="R12250" t="s">
        <v>615</v>
      </c>
      <c r="S12250">
        <v>138.553853</v>
      </c>
      <c r="T12250" s="1095">
        <v>-35.005491999999997</v>
      </c>
    </row>
    <row r="12251" spans="16:20">
      <c r="P12251" s="1094">
        <v>5043</v>
      </c>
      <c r="Q12251" t="s">
        <v>12513</v>
      </c>
      <c r="R12251" t="s">
        <v>615</v>
      </c>
      <c r="S12251">
        <v>138.553853</v>
      </c>
      <c r="T12251" s="1095">
        <v>-35.005491999999997</v>
      </c>
    </row>
    <row r="12252" spans="16:20">
      <c r="P12252" s="1094">
        <v>5044</v>
      </c>
      <c r="Q12252" t="s">
        <v>12514</v>
      </c>
      <c r="R12252" t="s">
        <v>615</v>
      </c>
      <c r="S12252">
        <v>138.51631399999999</v>
      </c>
      <c r="T12252" s="1095">
        <v>-35.001213</v>
      </c>
    </row>
    <row r="12253" spans="16:20">
      <c r="P12253" s="1094">
        <v>5044</v>
      </c>
      <c r="Q12253" t="s">
        <v>8892</v>
      </c>
      <c r="R12253" t="s">
        <v>615</v>
      </c>
      <c r="S12253">
        <v>138.51631399999999</v>
      </c>
      <c r="T12253" s="1095">
        <v>-35.001213</v>
      </c>
    </row>
    <row r="12254" spans="16:20">
      <c r="P12254" s="1094">
        <v>5045</v>
      </c>
      <c r="Q12254" t="s">
        <v>5920</v>
      </c>
      <c r="R12254" t="s">
        <v>615</v>
      </c>
      <c r="S12254">
        <v>138.51697300000001</v>
      </c>
      <c r="T12254" s="1095">
        <v>-34.977122000000001</v>
      </c>
    </row>
    <row r="12255" spans="16:20">
      <c r="P12255" s="1094">
        <v>5045</v>
      </c>
      <c r="Q12255" t="s">
        <v>12515</v>
      </c>
      <c r="R12255" t="s">
        <v>615</v>
      </c>
      <c r="S12255">
        <v>138.51697300000001</v>
      </c>
      <c r="T12255" s="1095">
        <v>-34.977122000000001</v>
      </c>
    </row>
    <row r="12256" spans="16:20">
      <c r="P12256" s="1094">
        <v>5045</v>
      </c>
      <c r="Q12256" t="s">
        <v>12516</v>
      </c>
      <c r="R12256" t="s">
        <v>615</v>
      </c>
      <c r="S12256">
        <v>138.51697300000001</v>
      </c>
      <c r="T12256" s="1095">
        <v>-34.977122000000001</v>
      </c>
    </row>
    <row r="12257" spans="16:20">
      <c r="P12257" s="1094">
        <v>5045</v>
      </c>
      <c r="Q12257" t="s">
        <v>12517</v>
      </c>
      <c r="R12257" t="s">
        <v>615</v>
      </c>
      <c r="S12257">
        <v>138.51697300000001</v>
      </c>
      <c r="T12257" s="1095">
        <v>-34.977122000000001</v>
      </c>
    </row>
    <row r="12258" spans="16:20">
      <c r="P12258" s="1094">
        <v>5045</v>
      </c>
      <c r="Q12258" t="s">
        <v>12518</v>
      </c>
      <c r="R12258" t="s">
        <v>615</v>
      </c>
      <c r="S12258">
        <v>138.51697300000001</v>
      </c>
      <c r="T12258" s="1095">
        <v>-34.977122000000001</v>
      </c>
    </row>
    <row r="12259" spans="16:20">
      <c r="P12259" s="1094">
        <v>5046</v>
      </c>
      <c r="Q12259" t="s">
        <v>12519</v>
      </c>
      <c r="R12259" t="s">
        <v>615</v>
      </c>
      <c r="S12259">
        <v>138.53543400000001</v>
      </c>
      <c r="T12259" s="1095">
        <v>-35.003793999999999</v>
      </c>
    </row>
    <row r="12260" spans="16:20">
      <c r="P12260" s="1094">
        <v>5046</v>
      </c>
      <c r="Q12260" t="s">
        <v>12520</v>
      </c>
      <c r="R12260" t="s">
        <v>615</v>
      </c>
      <c r="S12260">
        <v>138.53543400000001</v>
      </c>
      <c r="T12260" s="1095">
        <v>-35.003793999999999</v>
      </c>
    </row>
    <row r="12261" spans="16:20">
      <c r="P12261" s="1094">
        <v>5046</v>
      </c>
      <c r="Q12261" t="s">
        <v>12521</v>
      </c>
      <c r="R12261" t="s">
        <v>615</v>
      </c>
      <c r="S12261">
        <v>138.53543400000001</v>
      </c>
      <c r="T12261" s="1095">
        <v>-35.003793999999999</v>
      </c>
    </row>
    <row r="12262" spans="16:20">
      <c r="P12262" s="1094">
        <v>5047</v>
      </c>
      <c r="Q12262" t="s">
        <v>1734</v>
      </c>
      <c r="R12262" t="s">
        <v>615</v>
      </c>
      <c r="S12262">
        <v>138.546572</v>
      </c>
      <c r="T12262" s="1095">
        <v>-35.030701999999998</v>
      </c>
    </row>
    <row r="12263" spans="16:20">
      <c r="P12263" s="1094">
        <v>5047</v>
      </c>
      <c r="Q12263" t="s">
        <v>12522</v>
      </c>
      <c r="R12263" t="s">
        <v>615</v>
      </c>
      <c r="S12263">
        <v>138.546572</v>
      </c>
      <c r="T12263" s="1095">
        <v>-35.030701999999998</v>
      </c>
    </row>
    <row r="12264" spans="16:20">
      <c r="P12264" s="1094">
        <v>5047</v>
      </c>
      <c r="Q12264" t="s">
        <v>12523</v>
      </c>
      <c r="R12264" t="s">
        <v>615</v>
      </c>
      <c r="S12264">
        <v>138.546572</v>
      </c>
      <c r="T12264" s="1095">
        <v>-35.030701999999998</v>
      </c>
    </row>
    <row r="12265" spans="16:20">
      <c r="P12265" s="1094">
        <v>5047</v>
      </c>
      <c r="Q12265" t="s">
        <v>12002</v>
      </c>
      <c r="R12265" t="s">
        <v>615</v>
      </c>
      <c r="S12265">
        <v>138.546572</v>
      </c>
      <c r="T12265" s="1095">
        <v>-35.030701999999998</v>
      </c>
    </row>
    <row r="12266" spans="16:20">
      <c r="P12266" s="1094">
        <v>5048</v>
      </c>
      <c r="Q12266" t="s">
        <v>6736</v>
      </c>
      <c r="R12266" t="s">
        <v>615</v>
      </c>
      <c r="S12266">
        <v>138.52045899999999</v>
      </c>
      <c r="T12266" s="1095">
        <v>-35.017415999999997</v>
      </c>
    </row>
    <row r="12267" spans="16:20">
      <c r="P12267" s="1094">
        <v>5048</v>
      </c>
      <c r="Q12267" t="s">
        <v>12524</v>
      </c>
      <c r="R12267" t="s">
        <v>615</v>
      </c>
      <c r="S12267">
        <v>138.52045899999999</v>
      </c>
      <c r="T12267" s="1095">
        <v>-35.017415999999997</v>
      </c>
    </row>
    <row r="12268" spans="16:20">
      <c r="P12268" s="1094">
        <v>5048</v>
      </c>
      <c r="Q12268" t="s">
        <v>12525</v>
      </c>
      <c r="R12268" t="s">
        <v>615</v>
      </c>
      <c r="S12268">
        <v>138.52045899999999</v>
      </c>
      <c r="T12268" s="1095">
        <v>-35.017415999999997</v>
      </c>
    </row>
    <row r="12269" spans="16:20">
      <c r="P12269" s="1094">
        <v>5048</v>
      </c>
      <c r="Q12269" t="s">
        <v>12526</v>
      </c>
      <c r="R12269" t="s">
        <v>615</v>
      </c>
      <c r="S12269">
        <v>138.52045899999999</v>
      </c>
      <c r="T12269" s="1095">
        <v>-35.017415999999997</v>
      </c>
    </row>
    <row r="12270" spans="16:20">
      <c r="P12270" s="1094">
        <v>5048</v>
      </c>
      <c r="Q12270" t="s">
        <v>12527</v>
      </c>
      <c r="R12270" t="s">
        <v>615</v>
      </c>
      <c r="S12270">
        <v>138.52045899999999</v>
      </c>
      <c r="T12270" s="1095">
        <v>-35.017415999999997</v>
      </c>
    </row>
    <row r="12271" spans="16:20">
      <c r="P12271" s="1094">
        <v>5049</v>
      </c>
      <c r="Q12271" t="s">
        <v>12528</v>
      </c>
      <c r="R12271" t="s">
        <v>615</v>
      </c>
      <c r="S12271">
        <v>138.52271999999999</v>
      </c>
      <c r="T12271" s="1095">
        <v>-35.045389</v>
      </c>
    </row>
    <row r="12272" spans="16:20">
      <c r="P12272" s="1094">
        <v>5049</v>
      </c>
      <c r="Q12272" t="s">
        <v>12529</v>
      </c>
      <c r="R12272" t="s">
        <v>615</v>
      </c>
      <c r="S12272">
        <v>138.52271999999999</v>
      </c>
      <c r="T12272" s="1095">
        <v>-35.045389</v>
      </c>
    </row>
    <row r="12273" spans="16:20">
      <c r="P12273" s="1094">
        <v>5049</v>
      </c>
      <c r="Q12273" t="s">
        <v>12530</v>
      </c>
      <c r="R12273" t="s">
        <v>615</v>
      </c>
      <c r="S12273">
        <v>138.52271999999999</v>
      </c>
      <c r="T12273" s="1095">
        <v>-35.045389</v>
      </c>
    </row>
    <row r="12274" spans="16:20">
      <c r="P12274" s="1094">
        <v>5049</v>
      </c>
      <c r="Q12274" t="s">
        <v>12531</v>
      </c>
      <c r="R12274" t="s">
        <v>615</v>
      </c>
      <c r="S12274">
        <v>138.52271999999999</v>
      </c>
      <c r="T12274" s="1095">
        <v>-35.045389</v>
      </c>
    </row>
    <row r="12275" spans="16:20">
      <c r="P12275" s="1094">
        <v>5049</v>
      </c>
      <c r="Q12275" t="s">
        <v>12532</v>
      </c>
      <c r="R12275" t="s">
        <v>615</v>
      </c>
      <c r="S12275">
        <v>138.52271999999999</v>
      </c>
      <c r="T12275" s="1095">
        <v>-35.045389</v>
      </c>
    </row>
    <row r="12276" spans="16:20">
      <c r="P12276" s="1094">
        <v>5050</v>
      </c>
      <c r="Q12276" t="s">
        <v>12533</v>
      </c>
      <c r="R12276" t="s">
        <v>615</v>
      </c>
      <c r="S12276">
        <v>138.60127199999999</v>
      </c>
      <c r="T12276" s="1095">
        <v>-35.026307000000003</v>
      </c>
    </row>
    <row r="12277" spans="16:20">
      <c r="P12277" s="1094">
        <v>5050</v>
      </c>
      <c r="Q12277" t="s">
        <v>12534</v>
      </c>
      <c r="R12277" t="s">
        <v>615</v>
      </c>
      <c r="S12277">
        <v>138.60127199999999</v>
      </c>
      <c r="T12277" s="1095">
        <v>-35.026307000000003</v>
      </c>
    </row>
    <row r="12278" spans="16:20">
      <c r="P12278" s="1094">
        <v>5051</v>
      </c>
      <c r="Q12278" t="s">
        <v>7647</v>
      </c>
      <c r="R12278" t="s">
        <v>615</v>
      </c>
      <c r="S12278">
        <v>138.62040500000001</v>
      </c>
      <c r="T12278" s="1095">
        <v>-35.033768999999999</v>
      </c>
    </row>
    <row r="12279" spans="16:20">
      <c r="P12279" s="1094">
        <v>5051</v>
      </c>
      <c r="Q12279" t="s">
        <v>12535</v>
      </c>
      <c r="R12279" t="s">
        <v>615</v>
      </c>
      <c r="S12279">
        <v>138.62040500000001</v>
      </c>
      <c r="T12279" s="1095">
        <v>-35.033768999999999</v>
      </c>
    </row>
    <row r="12280" spans="16:20">
      <c r="P12280" s="1094">
        <v>5051</v>
      </c>
      <c r="Q12280" t="s">
        <v>12536</v>
      </c>
      <c r="R12280" t="s">
        <v>615</v>
      </c>
      <c r="S12280">
        <v>138.62040500000001</v>
      </c>
      <c r="T12280" s="1095">
        <v>-35.033768999999999</v>
      </c>
    </row>
    <row r="12281" spans="16:20">
      <c r="P12281" s="1094">
        <v>5051</v>
      </c>
      <c r="Q12281" t="s">
        <v>12537</v>
      </c>
      <c r="R12281" t="s">
        <v>615</v>
      </c>
      <c r="S12281">
        <v>138.62040500000001</v>
      </c>
      <c r="T12281" s="1095">
        <v>-35.033768999999999</v>
      </c>
    </row>
    <row r="12282" spans="16:20">
      <c r="P12282" s="1094">
        <v>5052</v>
      </c>
      <c r="Q12282" t="s">
        <v>12538</v>
      </c>
      <c r="R12282" t="s">
        <v>615</v>
      </c>
      <c r="S12282">
        <v>138.618684</v>
      </c>
      <c r="T12282" s="1095">
        <v>-35.003888000000003</v>
      </c>
    </row>
    <row r="12283" spans="16:20">
      <c r="P12283" s="1094">
        <v>5052</v>
      </c>
      <c r="Q12283" t="s">
        <v>12539</v>
      </c>
      <c r="R12283" t="s">
        <v>615</v>
      </c>
      <c r="S12283">
        <v>138.618684</v>
      </c>
      <c r="T12283" s="1095">
        <v>-35.003888000000003</v>
      </c>
    </row>
    <row r="12284" spans="16:20">
      <c r="P12284" s="1094">
        <v>5061</v>
      </c>
      <c r="Q12284" t="s">
        <v>11857</v>
      </c>
      <c r="R12284" t="s">
        <v>615</v>
      </c>
      <c r="S12284">
        <v>138.60648</v>
      </c>
      <c r="T12284" s="1095">
        <v>-34.957194999999999</v>
      </c>
    </row>
    <row r="12285" spans="16:20">
      <c r="P12285" s="1094">
        <v>5061</v>
      </c>
      <c r="Q12285" t="s">
        <v>6645</v>
      </c>
      <c r="R12285" t="s">
        <v>615</v>
      </c>
      <c r="S12285">
        <v>138.60648</v>
      </c>
      <c r="T12285" s="1095">
        <v>-34.957194999999999</v>
      </c>
    </row>
    <row r="12286" spans="16:20">
      <c r="P12286" s="1094">
        <v>5061</v>
      </c>
      <c r="Q12286" t="s">
        <v>12540</v>
      </c>
      <c r="R12286" t="s">
        <v>615</v>
      </c>
      <c r="S12286">
        <v>138.60648</v>
      </c>
      <c r="T12286" s="1095">
        <v>-34.957194999999999</v>
      </c>
    </row>
    <row r="12287" spans="16:20">
      <c r="P12287" s="1094">
        <v>5061</v>
      </c>
      <c r="Q12287" t="s">
        <v>12541</v>
      </c>
      <c r="R12287" t="s">
        <v>615</v>
      </c>
      <c r="S12287">
        <v>138.60648</v>
      </c>
      <c r="T12287" s="1095">
        <v>-34.957194999999999</v>
      </c>
    </row>
    <row r="12288" spans="16:20">
      <c r="P12288" s="1094">
        <v>5061</v>
      </c>
      <c r="Q12288" t="s">
        <v>12542</v>
      </c>
      <c r="R12288" t="s">
        <v>615</v>
      </c>
      <c r="S12288">
        <v>138.60648</v>
      </c>
      <c r="T12288" s="1095">
        <v>-34.957194999999999</v>
      </c>
    </row>
    <row r="12289" spans="16:20">
      <c r="P12289" s="1094">
        <v>5061</v>
      </c>
      <c r="Q12289" t="s">
        <v>12543</v>
      </c>
      <c r="R12289" t="s">
        <v>615</v>
      </c>
      <c r="S12289">
        <v>138.60648</v>
      </c>
      <c r="T12289" s="1095">
        <v>-34.957194999999999</v>
      </c>
    </row>
    <row r="12290" spans="16:20">
      <c r="P12290" s="1094">
        <v>5062</v>
      </c>
      <c r="Q12290" t="s">
        <v>12544</v>
      </c>
      <c r="R12290" t="s">
        <v>615</v>
      </c>
      <c r="S12290">
        <v>138.60238699999999</v>
      </c>
      <c r="T12290" s="1095">
        <v>-35.004063000000002</v>
      </c>
    </row>
    <row r="12291" spans="16:20">
      <c r="P12291" s="1094">
        <v>5062</v>
      </c>
      <c r="Q12291" t="s">
        <v>12545</v>
      </c>
      <c r="R12291" t="s">
        <v>615</v>
      </c>
      <c r="S12291">
        <v>138.60238699999999</v>
      </c>
      <c r="T12291" s="1095">
        <v>-35.004063000000002</v>
      </c>
    </row>
    <row r="12292" spans="16:20">
      <c r="P12292" s="1094">
        <v>5062</v>
      </c>
      <c r="Q12292" t="s">
        <v>6582</v>
      </c>
      <c r="R12292" t="s">
        <v>615</v>
      </c>
      <c r="S12292">
        <v>138.60238699999999</v>
      </c>
      <c r="T12292" s="1095">
        <v>-35.004063000000002</v>
      </c>
    </row>
    <row r="12293" spans="16:20">
      <c r="P12293" s="1094">
        <v>5062</v>
      </c>
      <c r="Q12293" t="s">
        <v>2884</v>
      </c>
      <c r="R12293" t="s">
        <v>615</v>
      </c>
      <c r="S12293">
        <v>138.60238699999999</v>
      </c>
      <c r="T12293" s="1095">
        <v>-35.004063000000002</v>
      </c>
    </row>
    <row r="12294" spans="16:20">
      <c r="P12294" s="1094">
        <v>5062</v>
      </c>
      <c r="Q12294" t="s">
        <v>12546</v>
      </c>
      <c r="R12294" t="s">
        <v>615</v>
      </c>
      <c r="S12294">
        <v>138.60238699999999</v>
      </c>
      <c r="T12294" s="1095">
        <v>-35.004063000000002</v>
      </c>
    </row>
    <row r="12295" spans="16:20">
      <c r="P12295" s="1094">
        <v>5062</v>
      </c>
      <c r="Q12295" t="s">
        <v>12547</v>
      </c>
      <c r="R12295" t="s">
        <v>615</v>
      </c>
      <c r="S12295">
        <v>138.60238699999999</v>
      </c>
      <c r="T12295" s="1095">
        <v>-35.004063000000002</v>
      </c>
    </row>
    <row r="12296" spans="16:20">
      <c r="P12296" s="1094">
        <v>5062</v>
      </c>
      <c r="Q12296" t="s">
        <v>6610</v>
      </c>
      <c r="R12296" t="s">
        <v>615</v>
      </c>
      <c r="S12296">
        <v>138.60238699999999</v>
      </c>
      <c r="T12296" s="1095">
        <v>-35.004063000000002</v>
      </c>
    </row>
    <row r="12297" spans="16:20">
      <c r="P12297" s="1094">
        <v>5062</v>
      </c>
      <c r="Q12297" t="s">
        <v>12548</v>
      </c>
      <c r="R12297" t="s">
        <v>615</v>
      </c>
      <c r="S12297">
        <v>138.60238699999999</v>
      </c>
      <c r="T12297" s="1095">
        <v>-35.004063000000002</v>
      </c>
    </row>
    <row r="12298" spans="16:20">
      <c r="P12298" s="1094">
        <v>5062</v>
      </c>
      <c r="Q12298" t="s">
        <v>7560</v>
      </c>
      <c r="R12298" t="s">
        <v>615</v>
      </c>
      <c r="S12298">
        <v>138.60238699999999</v>
      </c>
      <c r="T12298" s="1095">
        <v>-35.004063000000002</v>
      </c>
    </row>
    <row r="12299" spans="16:20">
      <c r="P12299" s="1094">
        <v>5062</v>
      </c>
      <c r="Q12299" t="s">
        <v>2295</v>
      </c>
      <c r="R12299" t="s">
        <v>615</v>
      </c>
      <c r="S12299">
        <v>138.60238699999999</v>
      </c>
      <c r="T12299" s="1095">
        <v>-35.004063000000002</v>
      </c>
    </row>
    <row r="12300" spans="16:20">
      <c r="P12300" s="1094">
        <v>5062</v>
      </c>
      <c r="Q12300" t="s">
        <v>12549</v>
      </c>
      <c r="R12300" t="s">
        <v>615</v>
      </c>
      <c r="S12300">
        <v>138.60238699999999</v>
      </c>
      <c r="T12300" s="1095">
        <v>-35.004063000000002</v>
      </c>
    </row>
    <row r="12301" spans="16:20">
      <c r="P12301" s="1094">
        <v>5063</v>
      </c>
      <c r="Q12301" t="s">
        <v>1998</v>
      </c>
      <c r="R12301" t="s">
        <v>615</v>
      </c>
      <c r="S12301">
        <v>138.621477</v>
      </c>
      <c r="T12301" s="1095">
        <v>-34.954324999999997</v>
      </c>
    </row>
    <row r="12302" spans="16:20">
      <c r="P12302" s="1094">
        <v>5063</v>
      </c>
      <c r="Q12302" t="s">
        <v>12550</v>
      </c>
      <c r="R12302" t="s">
        <v>615</v>
      </c>
      <c r="S12302">
        <v>138.621477</v>
      </c>
      <c r="T12302" s="1095">
        <v>-34.954324999999997</v>
      </c>
    </row>
    <row r="12303" spans="16:20">
      <c r="P12303" s="1094">
        <v>5063</v>
      </c>
      <c r="Q12303" t="s">
        <v>12551</v>
      </c>
      <c r="R12303" t="s">
        <v>615</v>
      </c>
      <c r="S12303">
        <v>138.621477</v>
      </c>
      <c r="T12303" s="1095">
        <v>-34.954324999999997</v>
      </c>
    </row>
    <row r="12304" spans="16:20">
      <c r="P12304" s="1094">
        <v>5063</v>
      </c>
      <c r="Q12304" t="s">
        <v>12552</v>
      </c>
      <c r="R12304" t="s">
        <v>615</v>
      </c>
      <c r="S12304">
        <v>138.621477</v>
      </c>
      <c r="T12304" s="1095">
        <v>-34.954324999999997</v>
      </c>
    </row>
    <row r="12305" spans="16:20">
      <c r="P12305" s="1094">
        <v>5063</v>
      </c>
      <c r="Q12305" t="s">
        <v>11822</v>
      </c>
      <c r="R12305" t="s">
        <v>615</v>
      </c>
      <c r="S12305">
        <v>138.621477</v>
      </c>
      <c r="T12305" s="1095">
        <v>-34.954324999999997</v>
      </c>
    </row>
    <row r="12306" spans="16:20">
      <c r="P12306" s="1094">
        <v>5064</v>
      </c>
      <c r="Q12306" t="s">
        <v>12553</v>
      </c>
      <c r="R12306" t="s">
        <v>615</v>
      </c>
      <c r="S12306">
        <v>138.64918299999999</v>
      </c>
      <c r="T12306" s="1095">
        <v>-34.963194999999999</v>
      </c>
    </row>
    <row r="12307" spans="16:20">
      <c r="P12307" s="1094">
        <v>5064</v>
      </c>
      <c r="Q12307" t="s">
        <v>12554</v>
      </c>
      <c r="R12307" t="s">
        <v>615</v>
      </c>
      <c r="S12307">
        <v>138.64918299999999</v>
      </c>
      <c r="T12307" s="1095">
        <v>-34.963194999999999</v>
      </c>
    </row>
    <row r="12308" spans="16:20">
      <c r="P12308" s="1094">
        <v>5064</v>
      </c>
      <c r="Q12308" t="s">
        <v>12555</v>
      </c>
      <c r="R12308" t="s">
        <v>615</v>
      </c>
      <c r="S12308">
        <v>138.64918299999999</v>
      </c>
      <c r="T12308" s="1095">
        <v>-34.963194999999999</v>
      </c>
    </row>
    <row r="12309" spans="16:20">
      <c r="P12309" s="1094">
        <v>5064</v>
      </c>
      <c r="Q12309" t="s">
        <v>12556</v>
      </c>
      <c r="R12309" t="s">
        <v>615</v>
      </c>
      <c r="S12309">
        <v>138.64918299999999</v>
      </c>
      <c r="T12309" s="1095">
        <v>-34.963194999999999</v>
      </c>
    </row>
    <row r="12310" spans="16:20">
      <c r="P12310" s="1094">
        <v>5064</v>
      </c>
      <c r="Q12310" t="s">
        <v>12557</v>
      </c>
      <c r="R12310" t="s">
        <v>615</v>
      </c>
      <c r="S12310">
        <v>138.64918299999999</v>
      </c>
      <c r="T12310" s="1095">
        <v>-34.963194999999999</v>
      </c>
    </row>
    <row r="12311" spans="16:20">
      <c r="P12311" s="1094">
        <v>5064</v>
      </c>
      <c r="Q12311" t="s">
        <v>12558</v>
      </c>
      <c r="R12311" t="s">
        <v>615</v>
      </c>
      <c r="S12311">
        <v>138.64918299999999</v>
      </c>
      <c r="T12311" s="1095">
        <v>-34.963194999999999</v>
      </c>
    </row>
    <row r="12312" spans="16:20">
      <c r="P12312" s="1094">
        <v>5065</v>
      </c>
      <c r="Q12312" t="s">
        <v>12559</v>
      </c>
      <c r="R12312" t="s">
        <v>615</v>
      </c>
      <c r="S12312">
        <v>138.63397399999999</v>
      </c>
      <c r="T12312" s="1095">
        <v>-34.940362</v>
      </c>
    </row>
    <row r="12313" spans="16:20">
      <c r="P12313" s="1094">
        <v>5065</v>
      </c>
      <c r="Q12313" t="s">
        <v>12560</v>
      </c>
      <c r="R12313" t="s">
        <v>615</v>
      </c>
      <c r="S12313">
        <v>138.63397399999999</v>
      </c>
      <c r="T12313" s="1095">
        <v>-34.940362</v>
      </c>
    </row>
    <row r="12314" spans="16:20">
      <c r="P12314" s="1094">
        <v>5065</v>
      </c>
      <c r="Q12314" t="s">
        <v>12561</v>
      </c>
      <c r="R12314" t="s">
        <v>615</v>
      </c>
      <c r="S12314">
        <v>138.63397399999999</v>
      </c>
      <c r="T12314" s="1095">
        <v>-34.940362</v>
      </c>
    </row>
    <row r="12315" spans="16:20">
      <c r="P12315" s="1094">
        <v>5065</v>
      </c>
      <c r="Q12315" t="s">
        <v>12562</v>
      </c>
      <c r="R12315" t="s">
        <v>615</v>
      </c>
      <c r="S12315">
        <v>138.63397399999999</v>
      </c>
      <c r="T12315" s="1095">
        <v>-34.940362</v>
      </c>
    </row>
    <row r="12316" spans="16:20">
      <c r="P12316" s="1094">
        <v>5065</v>
      </c>
      <c r="Q12316" t="s">
        <v>12563</v>
      </c>
      <c r="R12316" t="s">
        <v>615</v>
      </c>
      <c r="S12316">
        <v>138.63397399999999</v>
      </c>
      <c r="T12316" s="1095">
        <v>-34.940362</v>
      </c>
    </row>
    <row r="12317" spans="16:20">
      <c r="P12317" s="1094">
        <v>5066</v>
      </c>
      <c r="Q12317" t="s">
        <v>4611</v>
      </c>
      <c r="R12317" t="s">
        <v>615</v>
      </c>
      <c r="S12317">
        <v>138.66029</v>
      </c>
      <c r="T12317" s="1095">
        <v>-34.940961999999999</v>
      </c>
    </row>
    <row r="12318" spans="16:20">
      <c r="P12318" s="1094">
        <v>5066</v>
      </c>
      <c r="Q12318" t="s">
        <v>6389</v>
      </c>
      <c r="R12318" t="s">
        <v>615</v>
      </c>
      <c r="S12318">
        <v>138.66029</v>
      </c>
      <c r="T12318" s="1095">
        <v>-34.940961999999999</v>
      </c>
    </row>
    <row r="12319" spans="16:20">
      <c r="P12319" s="1094">
        <v>5066</v>
      </c>
      <c r="Q12319" t="s">
        <v>12564</v>
      </c>
      <c r="R12319" t="s">
        <v>615</v>
      </c>
      <c r="S12319">
        <v>138.66029</v>
      </c>
      <c r="T12319" s="1095">
        <v>-34.940961999999999</v>
      </c>
    </row>
    <row r="12320" spans="16:20">
      <c r="P12320" s="1094">
        <v>5066</v>
      </c>
      <c r="Q12320" t="s">
        <v>12565</v>
      </c>
      <c r="R12320" t="s">
        <v>615</v>
      </c>
      <c r="S12320">
        <v>138.66029</v>
      </c>
      <c r="T12320" s="1095">
        <v>-34.940961999999999</v>
      </c>
    </row>
    <row r="12321" spans="16:20">
      <c r="P12321" s="1094">
        <v>5066</v>
      </c>
      <c r="Q12321" t="s">
        <v>12566</v>
      </c>
      <c r="R12321" t="s">
        <v>615</v>
      </c>
      <c r="S12321">
        <v>138.66029</v>
      </c>
      <c r="T12321" s="1095">
        <v>-34.940961999999999</v>
      </c>
    </row>
    <row r="12322" spans="16:20">
      <c r="P12322" s="1094">
        <v>5066</v>
      </c>
      <c r="Q12322" t="s">
        <v>12567</v>
      </c>
      <c r="R12322" t="s">
        <v>615</v>
      </c>
      <c r="S12322">
        <v>138.66029</v>
      </c>
      <c r="T12322" s="1095">
        <v>-34.940961999999999</v>
      </c>
    </row>
    <row r="12323" spans="16:20">
      <c r="P12323" s="1094">
        <v>5066</v>
      </c>
      <c r="Q12323" t="s">
        <v>6600</v>
      </c>
      <c r="R12323" t="s">
        <v>615</v>
      </c>
      <c r="S12323">
        <v>138.66029</v>
      </c>
      <c r="T12323" s="1095">
        <v>-34.940961999999999</v>
      </c>
    </row>
    <row r="12324" spans="16:20">
      <c r="P12324" s="1094">
        <v>5067</v>
      </c>
      <c r="Q12324" t="s">
        <v>12568</v>
      </c>
      <c r="R12324" t="s">
        <v>615</v>
      </c>
      <c r="S12324">
        <v>138.63057499999999</v>
      </c>
      <c r="T12324" s="1095">
        <v>-34.919984999999997</v>
      </c>
    </row>
    <row r="12325" spans="16:20">
      <c r="P12325" s="1094">
        <v>5067</v>
      </c>
      <c r="Q12325" t="s">
        <v>12569</v>
      </c>
      <c r="R12325" t="s">
        <v>615</v>
      </c>
      <c r="S12325">
        <v>138.63057499999999</v>
      </c>
      <c r="T12325" s="1095">
        <v>-34.919984999999997</v>
      </c>
    </row>
    <row r="12326" spans="16:20">
      <c r="P12326" s="1094">
        <v>5067</v>
      </c>
      <c r="Q12326" t="s">
        <v>12570</v>
      </c>
      <c r="R12326" t="s">
        <v>615</v>
      </c>
      <c r="S12326">
        <v>138.63057499999999</v>
      </c>
      <c r="T12326" s="1095">
        <v>-34.919984999999997</v>
      </c>
    </row>
    <row r="12327" spans="16:20">
      <c r="P12327" s="1094">
        <v>5067</v>
      </c>
      <c r="Q12327" t="s">
        <v>12571</v>
      </c>
      <c r="R12327" t="s">
        <v>615</v>
      </c>
      <c r="S12327">
        <v>138.63057499999999</v>
      </c>
      <c r="T12327" s="1095">
        <v>-34.919984999999997</v>
      </c>
    </row>
    <row r="12328" spans="16:20">
      <c r="P12328" s="1094">
        <v>5067</v>
      </c>
      <c r="Q12328" t="s">
        <v>12572</v>
      </c>
      <c r="R12328" t="s">
        <v>615</v>
      </c>
      <c r="S12328">
        <v>138.63057499999999</v>
      </c>
      <c r="T12328" s="1095">
        <v>-34.919984999999997</v>
      </c>
    </row>
    <row r="12329" spans="16:20">
      <c r="P12329" s="1094">
        <v>5068</v>
      </c>
      <c r="Q12329" t="s">
        <v>12573</v>
      </c>
      <c r="R12329" t="s">
        <v>615</v>
      </c>
      <c r="S12329">
        <v>138.654999</v>
      </c>
      <c r="T12329" s="1095">
        <v>-34.922604999999997</v>
      </c>
    </row>
    <row r="12330" spans="16:20">
      <c r="P12330" s="1094">
        <v>5068</v>
      </c>
      <c r="Q12330" t="s">
        <v>1665</v>
      </c>
      <c r="R12330" t="s">
        <v>615</v>
      </c>
      <c r="S12330">
        <v>138.654999</v>
      </c>
      <c r="T12330" s="1095">
        <v>-34.922604999999997</v>
      </c>
    </row>
    <row r="12331" spans="16:20">
      <c r="P12331" s="1094">
        <v>5068</v>
      </c>
      <c r="Q12331" t="s">
        <v>12574</v>
      </c>
      <c r="R12331" t="s">
        <v>615</v>
      </c>
      <c r="S12331">
        <v>138.654999</v>
      </c>
      <c r="T12331" s="1095">
        <v>-34.922604999999997</v>
      </c>
    </row>
    <row r="12332" spans="16:20">
      <c r="P12332" s="1094">
        <v>5068</v>
      </c>
      <c r="Q12332" t="s">
        <v>12575</v>
      </c>
      <c r="R12332" t="s">
        <v>615</v>
      </c>
      <c r="S12332">
        <v>138.654999</v>
      </c>
      <c r="T12332" s="1095">
        <v>-34.922604999999997</v>
      </c>
    </row>
    <row r="12333" spans="16:20">
      <c r="P12333" s="1094">
        <v>5068</v>
      </c>
      <c r="Q12333" t="s">
        <v>12576</v>
      </c>
      <c r="R12333" t="s">
        <v>615</v>
      </c>
      <c r="S12333">
        <v>138.654999</v>
      </c>
      <c r="T12333" s="1095">
        <v>-34.922604999999997</v>
      </c>
    </row>
    <row r="12334" spans="16:20">
      <c r="P12334" s="1094">
        <v>5068</v>
      </c>
      <c r="Q12334" t="s">
        <v>12577</v>
      </c>
      <c r="R12334" t="s">
        <v>615</v>
      </c>
      <c r="S12334">
        <v>138.654999</v>
      </c>
      <c r="T12334" s="1095">
        <v>-34.922604999999997</v>
      </c>
    </row>
    <row r="12335" spans="16:20">
      <c r="P12335" s="1094">
        <v>5068</v>
      </c>
      <c r="Q12335" t="s">
        <v>12578</v>
      </c>
      <c r="R12335" t="s">
        <v>615</v>
      </c>
      <c r="S12335">
        <v>138.654999</v>
      </c>
      <c r="T12335" s="1095">
        <v>-34.922604999999997</v>
      </c>
    </row>
    <row r="12336" spans="16:20">
      <c r="P12336" s="1094">
        <v>5068</v>
      </c>
      <c r="Q12336" t="s">
        <v>12579</v>
      </c>
      <c r="R12336" t="s">
        <v>615</v>
      </c>
      <c r="S12336">
        <v>138.654999</v>
      </c>
      <c r="T12336" s="1095">
        <v>-34.922604999999997</v>
      </c>
    </row>
    <row r="12337" spans="16:20">
      <c r="P12337" s="1094">
        <v>5069</v>
      </c>
      <c r="Q12337" t="s">
        <v>12580</v>
      </c>
      <c r="R12337" t="s">
        <v>615</v>
      </c>
      <c r="S12337">
        <v>138.623527</v>
      </c>
      <c r="T12337" s="1095">
        <v>-34.907597000000003</v>
      </c>
    </row>
    <row r="12338" spans="16:20">
      <c r="P12338" s="1094">
        <v>5069</v>
      </c>
      <c r="Q12338" t="s">
        <v>12581</v>
      </c>
      <c r="R12338" t="s">
        <v>615</v>
      </c>
      <c r="S12338">
        <v>138.623527</v>
      </c>
      <c r="T12338" s="1095">
        <v>-34.907597000000003</v>
      </c>
    </row>
    <row r="12339" spans="16:20">
      <c r="P12339" s="1094">
        <v>5069</v>
      </c>
      <c r="Q12339" t="s">
        <v>12582</v>
      </c>
      <c r="R12339" t="s">
        <v>615</v>
      </c>
      <c r="S12339">
        <v>138.623527</v>
      </c>
      <c r="T12339" s="1095">
        <v>-34.907597000000003</v>
      </c>
    </row>
    <row r="12340" spans="16:20">
      <c r="P12340" s="1094">
        <v>5069</v>
      </c>
      <c r="Q12340" t="s">
        <v>12583</v>
      </c>
      <c r="R12340" t="s">
        <v>615</v>
      </c>
      <c r="S12340">
        <v>138.623527</v>
      </c>
      <c r="T12340" s="1095">
        <v>-34.907597000000003</v>
      </c>
    </row>
    <row r="12341" spans="16:20">
      <c r="P12341" s="1094">
        <v>5069</v>
      </c>
      <c r="Q12341" t="s">
        <v>1807</v>
      </c>
      <c r="R12341" t="s">
        <v>615</v>
      </c>
      <c r="S12341">
        <v>138.623527</v>
      </c>
      <c r="T12341" s="1095">
        <v>-34.907597000000003</v>
      </c>
    </row>
    <row r="12342" spans="16:20">
      <c r="P12342" s="1094">
        <v>5069</v>
      </c>
      <c r="Q12342" t="s">
        <v>12584</v>
      </c>
      <c r="R12342" t="s">
        <v>615</v>
      </c>
      <c r="S12342">
        <v>138.623527</v>
      </c>
      <c r="T12342" s="1095">
        <v>-34.907597000000003</v>
      </c>
    </row>
    <row r="12343" spans="16:20">
      <c r="P12343" s="1094">
        <v>5070</v>
      </c>
      <c r="Q12343" t="s">
        <v>12585</v>
      </c>
      <c r="R12343" t="s">
        <v>615</v>
      </c>
      <c r="S12343">
        <v>138.64217199999999</v>
      </c>
      <c r="T12343" s="1095">
        <v>-34.900495999999997</v>
      </c>
    </row>
    <row r="12344" spans="16:20">
      <c r="P12344" s="1094">
        <v>5070</v>
      </c>
      <c r="Q12344" t="s">
        <v>12586</v>
      </c>
      <c r="R12344" t="s">
        <v>615</v>
      </c>
      <c r="S12344">
        <v>138.64217199999999</v>
      </c>
      <c r="T12344" s="1095">
        <v>-34.900495999999997</v>
      </c>
    </row>
    <row r="12345" spans="16:20">
      <c r="P12345" s="1094">
        <v>5070</v>
      </c>
      <c r="Q12345" t="s">
        <v>12587</v>
      </c>
      <c r="R12345" t="s">
        <v>615</v>
      </c>
      <c r="S12345">
        <v>138.64217199999999</v>
      </c>
      <c r="T12345" s="1095">
        <v>-34.900495999999997</v>
      </c>
    </row>
    <row r="12346" spans="16:20">
      <c r="P12346" s="1094">
        <v>5070</v>
      </c>
      <c r="Q12346" t="s">
        <v>12588</v>
      </c>
      <c r="R12346" t="s">
        <v>615</v>
      </c>
      <c r="S12346">
        <v>138.64217199999999</v>
      </c>
      <c r="T12346" s="1095">
        <v>-34.900495999999997</v>
      </c>
    </row>
    <row r="12347" spans="16:20">
      <c r="P12347" s="1094">
        <v>5070</v>
      </c>
      <c r="Q12347" t="s">
        <v>12589</v>
      </c>
      <c r="R12347" t="s">
        <v>615</v>
      </c>
      <c r="S12347">
        <v>138.64217199999999</v>
      </c>
      <c r="T12347" s="1095">
        <v>-34.900495999999997</v>
      </c>
    </row>
    <row r="12348" spans="16:20">
      <c r="P12348" s="1094">
        <v>5070</v>
      </c>
      <c r="Q12348" t="s">
        <v>12590</v>
      </c>
      <c r="R12348" t="s">
        <v>615</v>
      </c>
      <c r="S12348">
        <v>138.64217199999999</v>
      </c>
      <c r="T12348" s="1095">
        <v>-34.900495999999997</v>
      </c>
    </row>
    <row r="12349" spans="16:20">
      <c r="P12349" s="1094">
        <v>5070</v>
      </c>
      <c r="Q12349" t="s">
        <v>12591</v>
      </c>
      <c r="R12349" t="s">
        <v>615</v>
      </c>
      <c r="S12349">
        <v>138.64217199999999</v>
      </c>
      <c r="T12349" s="1095">
        <v>-34.900495999999997</v>
      </c>
    </row>
    <row r="12350" spans="16:20">
      <c r="P12350" s="1094">
        <v>5070</v>
      </c>
      <c r="Q12350" t="s">
        <v>12592</v>
      </c>
      <c r="R12350" t="s">
        <v>615</v>
      </c>
      <c r="S12350">
        <v>138.64217199999999</v>
      </c>
      <c r="T12350" s="1095">
        <v>-34.900495999999997</v>
      </c>
    </row>
    <row r="12351" spans="16:20">
      <c r="P12351" s="1094">
        <v>5070</v>
      </c>
      <c r="Q12351" t="s">
        <v>12593</v>
      </c>
      <c r="R12351" t="s">
        <v>615</v>
      </c>
      <c r="S12351">
        <v>138.64217199999999</v>
      </c>
      <c r="T12351" s="1095">
        <v>-34.900495999999997</v>
      </c>
    </row>
    <row r="12352" spans="16:20">
      <c r="P12352" s="1094">
        <v>5070</v>
      </c>
      <c r="Q12352" t="s">
        <v>12594</v>
      </c>
      <c r="R12352" t="s">
        <v>615</v>
      </c>
      <c r="S12352">
        <v>138.64217199999999</v>
      </c>
      <c r="T12352" s="1095">
        <v>-34.900495999999997</v>
      </c>
    </row>
    <row r="12353" spans="16:20">
      <c r="P12353" s="1094">
        <v>5071</v>
      </c>
      <c r="Q12353" t="s">
        <v>12569</v>
      </c>
      <c r="R12353" t="s">
        <v>615</v>
      </c>
      <c r="S12353">
        <v>0</v>
      </c>
      <c r="T12353" s="1095">
        <v>0</v>
      </c>
    </row>
    <row r="12354" spans="16:20">
      <c r="P12354" s="1094">
        <v>5071</v>
      </c>
      <c r="Q12354" t="s">
        <v>12595</v>
      </c>
      <c r="R12354" t="s">
        <v>615</v>
      </c>
      <c r="S12354">
        <v>0</v>
      </c>
      <c r="T12354" s="1095">
        <v>0</v>
      </c>
    </row>
    <row r="12355" spans="16:20">
      <c r="P12355" s="1094">
        <v>5072</v>
      </c>
      <c r="Q12355" t="s">
        <v>12596</v>
      </c>
      <c r="R12355" t="s">
        <v>615</v>
      </c>
      <c r="S12355">
        <v>138.696113</v>
      </c>
      <c r="T12355" s="1095">
        <v>-34.912078000000001</v>
      </c>
    </row>
    <row r="12356" spans="16:20">
      <c r="P12356" s="1094">
        <v>5072</v>
      </c>
      <c r="Q12356" t="s">
        <v>12597</v>
      </c>
      <c r="R12356" t="s">
        <v>615</v>
      </c>
      <c r="S12356">
        <v>138.696113</v>
      </c>
      <c r="T12356" s="1095">
        <v>-34.912078000000001</v>
      </c>
    </row>
    <row r="12357" spans="16:20">
      <c r="P12357" s="1094">
        <v>5072</v>
      </c>
      <c r="Q12357" t="s">
        <v>12598</v>
      </c>
      <c r="R12357" t="s">
        <v>615</v>
      </c>
      <c r="S12357">
        <v>138.696113</v>
      </c>
      <c r="T12357" s="1095">
        <v>-34.912078000000001</v>
      </c>
    </row>
    <row r="12358" spans="16:20">
      <c r="P12358" s="1094">
        <v>5072</v>
      </c>
      <c r="Q12358" t="s">
        <v>12599</v>
      </c>
      <c r="R12358" t="s">
        <v>615</v>
      </c>
      <c r="S12358">
        <v>138.696113</v>
      </c>
      <c r="T12358" s="1095">
        <v>-34.912078000000001</v>
      </c>
    </row>
    <row r="12359" spans="16:20">
      <c r="P12359" s="1094">
        <v>5072</v>
      </c>
      <c r="Q12359" t="s">
        <v>12600</v>
      </c>
      <c r="R12359" t="s">
        <v>615</v>
      </c>
      <c r="S12359">
        <v>138.696113</v>
      </c>
      <c r="T12359" s="1095">
        <v>-34.912078000000001</v>
      </c>
    </row>
    <row r="12360" spans="16:20">
      <c r="P12360" s="1094">
        <v>5072</v>
      </c>
      <c r="Q12360" t="s">
        <v>9259</v>
      </c>
      <c r="R12360" t="s">
        <v>615</v>
      </c>
      <c r="S12360">
        <v>138.696113</v>
      </c>
      <c r="T12360" s="1095">
        <v>-34.912078000000001</v>
      </c>
    </row>
    <row r="12361" spans="16:20">
      <c r="P12361" s="1094">
        <v>5072</v>
      </c>
      <c r="Q12361" t="s">
        <v>12601</v>
      </c>
      <c r="R12361" t="s">
        <v>615</v>
      </c>
      <c r="S12361">
        <v>138.696113</v>
      </c>
      <c r="T12361" s="1095">
        <v>-34.912078000000001</v>
      </c>
    </row>
    <row r="12362" spans="16:20">
      <c r="P12362" s="1094">
        <v>5072</v>
      </c>
      <c r="Q12362" t="s">
        <v>12602</v>
      </c>
      <c r="R12362" t="s">
        <v>615</v>
      </c>
      <c r="S12362">
        <v>138.696113</v>
      </c>
      <c r="T12362" s="1095">
        <v>-34.912078000000001</v>
      </c>
    </row>
    <row r="12363" spans="16:20">
      <c r="P12363" s="1094">
        <v>5073</v>
      </c>
      <c r="Q12363" t="s">
        <v>12603</v>
      </c>
      <c r="R12363" t="s">
        <v>615</v>
      </c>
      <c r="S12363">
        <v>138.68315100000001</v>
      </c>
      <c r="T12363" s="1095">
        <v>-34.89528</v>
      </c>
    </row>
    <row r="12364" spans="16:20">
      <c r="P12364" s="1094">
        <v>5073</v>
      </c>
      <c r="Q12364" t="s">
        <v>12604</v>
      </c>
      <c r="R12364" t="s">
        <v>615</v>
      </c>
      <c r="S12364">
        <v>138.68315100000001</v>
      </c>
      <c r="T12364" s="1095">
        <v>-34.89528</v>
      </c>
    </row>
    <row r="12365" spans="16:20">
      <c r="P12365" s="1094">
        <v>5073</v>
      </c>
      <c r="Q12365" t="s">
        <v>12605</v>
      </c>
      <c r="R12365" t="s">
        <v>615</v>
      </c>
      <c r="S12365">
        <v>138.68315100000001</v>
      </c>
      <c r="T12365" s="1095">
        <v>-34.89528</v>
      </c>
    </row>
    <row r="12366" spans="16:20">
      <c r="P12366" s="1094">
        <v>5073</v>
      </c>
      <c r="Q12366" t="s">
        <v>12606</v>
      </c>
      <c r="R12366" t="s">
        <v>615</v>
      </c>
      <c r="S12366">
        <v>138.68315100000001</v>
      </c>
      <c r="T12366" s="1095">
        <v>-34.89528</v>
      </c>
    </row>
    <row r="12367" spans="16:20">
      <c r="P12367" s="1094">
        <v>5074</v>
      </c>
      <c r="Q12367" t="s">
        <v>4518</v>
      </c>
      <c r="R12367" t="s">
        <v>615</v>
      </c>
      <c r="S12367">
        <v>138.669275</v>
      </c>
      <c r="T12367" s="1095">
        <v>-34.884233000000002</v>
      </c>
    </row>
    <row r="12368" spans="16:20">
      <c r="P12368" s="1094">
        <v>5074</v>
      </c>
      <c r="Q12368" t="s">
        <v>12607</v>
      </c>
      <c r="R12368" t="s">
        <v>615</v>
      </c>
      <c r="S12368">
        <v>138.669275</v>
      </c>
      <c r="T12368" s="1095">
        <v>-34.884233000000002</v>
      </c>
    </row>
    <row r="12369" spans="16:20">
      <c r="P12369" s="1094">
        <v>5075</v>
      </c>
      <c r="Q12369" t="s">
        <v>12608</v>
      </c>
      <c r="R12369" t="s">
        <v>615</v>
      </c>
      <c r="S12369">
        <v>138.675254</v>
      </c>
      <c r="T12369" s="1095">
        <v>-34.861331999999997</v>
      </c>
    </row>
    <row r="12370" spans="16:20">
      <c r="P12370" s="1094">
        <v>5075</v>
      </c>
      <c r="Q12370" t="s">
        <v>3036</v>
      </c>
      <c r="R12370" t="s">
        <v>615</v>
      </c>
      <c r="S12370">
        <v>138.675254</v>
      </c>
      <c r="T12370" s="1095">
        <v>-34.861331999999997</v>
      </c>
    </row>
    <row r="12371" spans="16:20">
      <c r="P12371" s="1094">
        <v>5076</v>
      </c>
      <c r="Q12371" t="s">
        <v>12609</v>
      </c>
      <c r="R12371" t="s">
        <v>615</v>
      </c>
      <c r="S12371">
        <v>138.70368300000001</v>
      </c>
      <c r="T12371" s="1095">
        <v>-34.873843999999998</v>
      </c>
    </row>
    <row r="12372" spans="16:20">
      <c r="P12372" s="1094">
        <v>5076</v>
      </c>
      <c r="Q12372" t="s">
        <v>12610</v>
      </c>
      <c r="R12372" t="s">
        <v>615</v>
      </c>
      <c r="S12372">
        <v>138.70368300000001</v>
      </c>
      <c r="T12372" s="1095">
        <v>-34.873843999999998</v>
      </c>
    </row>
    <row r="12373" spans="16:20">
      <c r="P12373" s="1094">
        <v>5081</v>
      </c>
      <c r="Q12373" t="s">
        <v>12611</v>
      </c>
      <c r="R12373" t="s">
        <v>615</v>
      </c>
      <c r="S12373">
        <v>138.617673</v>
      </c>
      <c r="T12373" s="1095">
        <v>-34.891416999999997</v>
      </c>
    </row>
    <row r="12374" spans="16:20">
      <c r="P12374" s="1094">
        <v>5081</v>
      </c>
      <c r="Q12374" t="s">
        <v>6498</v>
      </c>
      <c r="R12374" t="s">
        <v>615</v>
      </c>
      <c r="S12374">
        <v>138.617673</v>
      </c>
      <c r="T12374" s="1095">
        <v>-34.891416999999997</v>
      </c>
    </row>
    <row r="12375" spans="16:20">
      <c r="P12375" s="1094">
        <v>5081</v>
      </c>
      <c r="Q12375" t="s">
        <v>12612</v>
      </c>
      <c r="R12375" t="s">
        <v>615</v>
      </c>
      <c r="S12375">
        <v>138.617673</v>
      </c>
      <c r="T12375" s="1095">
        <v>-34.891416999999997</v>
      </c>
    </row>
    <row r="12376" spans="16:20">
      <c r="P12376" s="1094">
        <v>5081</v>
      </c>
      <c r="Q12376" t="s">
        <v>12613</v>
      </c>
      <c r="R12376" t="s">
        <v>615</v>
      </c>
      <c r="S12376">
        <v>138.617673</v>
      </c>
      <c r="T12376" s="1095">
        <v>-34.891416999999997</v>
      </c>
    </row>
    <row r="12377" spans="16:20">
      <c r="P12377" s="1094">
        <v>5081</v>
      </c>
      <c r="Q12377" t="s">
        <v>12614</v>
      </c>
      <c r="R12377" t="s">
        <v>615</v>
      </c>
      <c r="S12377">
        <v>138.617673</v>
      </c>
      <c r="T12377" s="1095">
        <v>-34.891416999999997</v>
      </c>
    </row>
    <row r="12378" spans="16:20">
      <c r="P12378" s="1094">
        <v>5081</v>
      </c>
      <c r="Q12378" t="s">
        <v>9190</v>
      </c>
      <c r="R12378" t="s">
        <v>615</v>
      </c>
      <c r="S12378">
        <v>138.617673</v>
      </c>
      <c r="T12378" s="1095">
        <v>-34.891416999999997</v>
      </c>
    </row>
    <row r="12379" spans="16:20">
      <c r="P12379" s="1094">
        <v>5082</v>
      </c>
      <c r="Q12379" t="s">
        <v>6491</v>
      </c>
      <c r="R12379" t="s">
        <v>615</v>
      </c>
      <c r="S12379">
        <v>138.58708300000001</v>
      </c>
      <c r="T12379" s="1095">
        <v>-34.886018</v>
      </c>
    </row>
    <row r="12380" spans="16:20">
      <c r="P12380" s="1094">
        <v>5082</v>
      </c>
      <c r="Q12380" t="s">
        <v>12615</v>
      </c>
      <c r="R12380" t="s">
        <v>615</v>
      </c>
      <c r="S12380">
        <v>138.58708300000001</v>
      </c>
      <c r="T12380" s="1095">
        <v>-34.886018</v>
      </c>
    </row>
    <row r="12381" spans="16:20">
      <c r="P12381" s="1094">
        <v>5082</v>
      </c>
      <c r="Q12381" t="s">
        <v>2056</v>
      </c>
      <c r="R12381" t="s">
        <v>615</v>
      </c>
      <c r="S12381">
        <v>138.58708300000001</v>
      </c>
      <c r="T12381" s="1095">
        <v>-34.886018</v>
      </c>
    </row>
    <row r="12382" spans="16:20">
      <c r="P12382" s="1094">
        <v>5082</v>
      </c>
      <c r="Q12382" t="s">
        <v>12616</v>
      </c>
      <c r="R12382" t="s">
        <v>615</v>
      </c>
      <c r="S12382">
        <v>138.58708300000001</v>
      </c>
      <c r="T12382" s="1095">
        <v>-34.886018</v>
      </c>
    </row>
    <row r="12383" spans="16:20">
      <c r="P12383" s="1094">
        <v>5082</v>
      </c>
      <c r="Q12383" t="s">
        <v>12617</v>
      </c>
      <c r="R12383" t="s">
        <v>615</v>
      </c>
      <c r="S12383">
        <v>138.58708300000001</v>
      </c>
      <c r="T12383" s="1095">
        <v>-34.886018</v>
      </c>
    </row>
    <row r="12384" spans="16:20">
      <c r="P12384" s="1094">
        <v>5082</v>
      </c>
      <c r="Q12384" t="s">
        <v>12618</v>
      </c>
      <c r="R12384" t="s">
        <v>615</v>
      </c>
      <c r="S12384">
        <v>138.58708300000001</v>
      </c>
      <c r="T12384" s="1095">
        <v>-34.886018</v>
      </c>
    </row>
    <row r="12385" spans="16:20">
      <c r="P12385" s="1094">
        <v>5083</v>
      </c>
      <c r="Q12385" t="s">
        <v>12619</v>
      </c>
      <c r="R12385" t="s">
        <v>615</v>
      </c>
      <c r="S12385">
        <v>138.609927</v>
      </c>
      <c r="T12385" s="1095">
        <v>-34.879356999999999</v>
      </c>
    </row>
    <row r="12386" spans="16:20">
      <c r="P12386" s="1094">
        <v>5083</v>
      </c>
      <c r="Q12386" t="s">
        <v>12620</v>
      </c>
      <c r="R12386" t="s">
        <v>615</v>
      </c>
      <c r="S12386">
        <v>138.609927</v>
      </c>
      <c r="T12386" s="1095">
        <v>-34.879356999999999</v>
      </c>
    </row>
    <row r="12387" spans="16:20">
      <c r="P12387" s="1094">
        <v>5083</v>
      </c>
      <c r="Q12387" t="s">
        <v>12621</v>
      </c>
      <c r="R12387" t="s">
        <v>615</v>
      </c>
      <c r="S12387">
        <v>138.609927</v>
      </c>
      <c r="T12387" s="1095">
        <v>-34.879356999999999</v>
      </c>
    </row>
    <row r="12388" spans="16:20">
      <c r="P12388" s="1094">
        <v>5084</v>
      </c>
      <c r="Q12388" t="s">
        <v>4516</v>
      </c>
      <c r="R12388" t="s">
        <v>615</v>
      </c>
      <c r="S12388">
        <v>138.581605</v>
      </c>
      <c r="T12388" s="1095">
        <v>-34.864409000000002</v>
      </c>
    </row>
    <row r="12389" spans="16:20">
      <c r="P12389" s="1094">
        <v>5084</v>
      </c>
      <c r="Q12389" t="s">
        <v>12622</v>
      </c>
      <c r="R12389" t="s">
        <v>615</v>
      </c>
      <c r="S12389">
        <v>138.581605</v>
      </c>
      <c r="T12389" s="1095">
        <v>-34.864409000000002</v>
      </c>
    </row>
    <row r="12390" spans="16:20">
      <c r="P12390" s="1094">
        <v>5084</v>
      </c>
      <c r="Q12390" t="s">
        <v>12623</v>
      </c>
      <c r="R12390" t="s">
        <v>615</v>
      </c>
      <c r="S12390">
        <v>138.581605</v>
      </c>
      <c r="T12390" s="1095">
        <v>-34.864409000000002</v>
      </c>
    </row>
    <row r="12391" spans="16:20">
      <c r="P12391" s="1094">
        <v>5084</v>
      </c>
      <c r="Q12391" t="s">
        <v>12624</v>
      </c>
      <c r="R12391" t="s">
        <v>615</v>
      </c>
      <c r="S12391">
        <v>138.581605</v>
      </c>
      <c r="T12391" s="1095">
        <v>-34.864409000000002</v>
      </c>
    </row>
    <row r="12392" spans="16:20">
      <c r="P12392" s="1094">
        <v>5085</v>
      </c>
      <c r="Q12392" t="s">
        <v>12625</v>
      </c>
      <c r="R12392" t="s">
        <v>615</v>
      </c>
      <c r="S12392">
        <v>138.61295899999999</v>
      </c>
      <c r="T12392" s="1095">
        <v>-34.856239000000002</v>
      </c>
    </row>
    <row r="12393" spans="16:20">
      <c r="P12393" s="1094">
        <v>5085</v>
      </c>
      <c r="Q12393" t="s">
        <v>2011</v>
      </c>
      <c r="R12393" t="s">
        <v>615</v>
      </c>
      <c r="S12393">
        <v>138.61295899999999</v>
      </c>
      <c r="T12393" s="1095">
        <v>-34.856239000000002</v>
      </c>
    </row>
    <row r="12394" spans="16:20">
      <c r="P12394" s="1094">
        <v>5085</v>
      </c>
      <c r="Q12394" t="s">
        <v>12626</v>
      </c>
      <c r="R12394" t="s">
        <v>615</v>
      </c>
      <c r="S12394">
        <v>138.61295899999999</v>
      </c>
      <c r="T12394" s="1095">
        <v>-34.856239000000002</v>
      </c>
    </row>
    <row r="12395" spans="16:20">
      <c r="P12395" s="1094">
        <v>5085</v>
      </c>
      <c r="Q12395" t="s">
        <v>12627</v>
      </c>
      <c r="R12395" t="s">
        <v>615</v>
      </c>
      <c r="S12395">
        <v>138.61295899999999</v>
      </c>
      <c r="T12395" s="1095">
        <v>-34.856239000000002</v>
      </c>
    </row>
    <row r="12396" spans="16:20">
      <c r="P12396" s="1094">
        <v>5085</v>
      </c>
      <c r="Q12396" t="s">
        <v>9354</v>
      </c>
      <c r="R12396" t="s">
        <v>615</v>
      </c>
      <c r="S12396">
        <v>138.61295899999999</v>
      </c>
      <c r="T12396" s="1095">
        <v>-34.856239000000002</v>
      </c>
    </row>
    <row r="12397" spans="16:20">
      <c r="P12397" s="1094">
        <v>5086</v>
      </c>
      <c r="Q12397" t="s">
        <v>12628</v>
      </c>
      <c r="R12397" t="s">
        <v>615</v>
      </c>
      <c r="S12397">
        <v>138.64344</v>
      </c>
      <c r="T12397" s="1095">
        <v>-34.854247000000001</v>
      </c>
    </row>
    <row r="12398" spans="16:20">
      <c r="P12398" s="1094">
        <v>5086</v>
      </c>
      <c r="Q12398" t="s">
        <v>12629</v>
      </c>
      <c r="R12398" t="s">
        <v>615</v>
      </c>
      <c r="S12398">
        <v>138.64344</v>
      </c>
      <c r="T12398" s="1095">
        <v>-34.854247000000001</v>
      </c>
    </row>
    <row r="12399" spans="16:20">
      <c r="P12399" s="1094">
        <v>5086</v>
      </c>
      <c r="Q12399" t="s">
        <v>12630</v>
      </c>
      <c r="R12399" t="s">
        <v>615</v>
      </c>
      <c r="S12399">
        <v>138.64344</v>
      </c>
      <c r="T12399" s="1095">
        <v>-34.854247000000001</v>
      </c>
    </row>
    <row r="12400" spans="16:20">
      <c r="P12400" s="1094">
        <v>5086</v>
      </c>
      <c r="Q12400" t="s">
        <v>7256</v>
      </c>
      <c r="R12400" t="s">
        <v>615</v>
      </c>
      <c r="S12400">
        <v>138.64344</v>
      </c>
      <c r="T12400" s="1095">
        <v>-34.854247000000001</v>
      </c>
    </row>
    <row r="12401" spans="16:20">
      <c r="P12401" s="1094">
        <v>5086</v>
      </c>
      <c r="Q12401" t="s">
        <v>12631</v>
      </c>
      <c r="R12401" t="s">
        <v>615</v>
      </c>
      <c r="S12401">
        <v>138.64344</v>
      </c>
      <c r="T12401" s="1095">
        <v>-34.854247000000001</v>
      </c>
    </row>
    <row r="12402" spans="16:20">
      <c r="P12402" s="1094">
        <v>5086</v>
      </c>
      <c r="Q12402" t="s">
        <v>12632</v>
      </c>
      <c r="R12402" t="s">
        <v>615</v>
      </c>
      <c r="S12402">
        <v>138.64344</v>
      </c>
      <c r="T12402" s="1095">
        <v>-34.854247000000001</v>
      </c>
    </row>
    <row r="12403" spans="16:20">
      <c r="P12403" s="1094">
        <v>5087</v>
      </c>
      <c r="Q12403" t="s">
        <v>12633</v>
      </c>
      <c r="R12403" t="s">
        <v>615</v>
      </c>
      <c r="S12403">
        <v>138.63770700000001</v>
      </c>
      <c r="T12403" s="1095">
        <v>-34.876987999999997</v>
      </c>
    </row>
    <row r="12404" spans="16:20">
      <c r="P12404" s="1094">
        <v>5087</v>
      </c>
      <c r="Q12404" t="s">
        <v>12634</v>
      </c>
      <c r="R12404" t="s">
        <v>615</v>
      </c>
      <c r="S12404">
        <v>138.63770700000001</v>
      </c>
      <c r="T12404" s="1095">
        <v>-34.876987999999997</v>
      </c>
    </row>
    <row r="12405" spans="16:20">
      <c r="P12405" s="1094">
        <v>5088</v>
      </c>
      <c r="Q12405" t="s">
        <v>12635</v>
      </c>
      <c r="R12405" t="s">
        <v>615</v>
      </c>
      <c r="S12405">
        <v>138.67378299999999</v>
      </c>
      <c r="T12405" s="1095">
        <v>-34.847141000000001</v>
      </c>
    </row>
    <row r="12406" spans="16:20">
      <c r="P12406" s="1094">
        <v>5089</v>
      </c>
      <c r="Q12406" t="s">
        <v>12636</v>
      </c>
      <c r="R12406" t="s">
        <v>615</v>
      </c>
      <c r="S12406">
        <v>138.72448700000001</v>
      </c>
      <c r="T12406" s="1095">
        <v>-34.851049000000003</v>
      </c>
    </row>
    <row r="12407" spans="16:20">
      <c r="P12407" s="1094">
        <v>5090</v>
      </c>
      <c r="Q12407" t="s">
        <v>12637</v>
      </c>
      <c r="R12407" t="s">
        <v>615</v>
      </c>
      <c r="S12407">
        <v>138.70462800000001</v>
      </c>
      <c r="T12407" s="1095">
        <v>-34.843345999999997</v>
      </c>
    </row>
    <row r="12408" spans="16:20">
      <c r="P12408" s="1094">
        <v>5091</v>
      </c>
      <c r="Q12408" t="s">
        <v>12638</v>
      </c>
      <c r="R12408" t="s">
        <v>615</v>
      </c>
      <c r="S12408">
        <v>138.73557199999999</v>
      </c>
      <c r="T12408" s="1095">
        <v>-34.822614999999999</v>
      </c>
    </row>
    <row r="12409" spans="16:20">
      <c r="P12409" s="1094">
        <v>5091</v>
      </c>
      <c r="Q12409" t="s">
        <v>12639</v>
      </c>
      <c r="R12409" t="s">
        <v>615</v>
      </c>
      <c r="S12409">
        <v>138.73557199999999</v>
      </c>
      <c r="T12409" s="1095">
        <v>-34.822614999999999</v>
      </c>
    </row>
    <row r="12410" spans="16:20">
      <c r="P12410" s="1094">
        <v>5091</v>
      </c>
      <c r="Q12410" t="s">
        <v>12640</v>
      </c>
      <c r="R12410" t="s">
        <v>615</v>
      </c>
      <c r="S12410">
        <v>138.73557199999999</v>
      </c>
      <c r="T12410" s="1095">
        <v>-34.822614999999999</v>
      </c>
    </row>
    <row r="12411" spans="16:20">
      <c r="P12411" s="1094">
        <v>5092</v>
      </c>
      <c r="Q12411" t="s">
        <v>12641</v>
      </c>
      <c r="R12411" t="s">
        <v>615</v>
      </c>
      <c r="S12411">
        <v>138.680226</v>
      </c>
      <c r="T12411" s="1095">
        <v>-34.821319000000003</v>
      </c>
    </row>
    <row r="12412" spans="16:20">
      <c r="P12412" s="1094">
        <v>5092</v>
      </c>
      <c r="Q12412" t="s">
        <v>12642</v>
      </c>
      <c r="R12412" t="s">
        <v>615</v>
      </c>
      <c r="S12412">
        <v>138.680226</v>
      </c>
      <c r="T12412" s="1095">
        <v>-34.821319000000003</v>
      </c>
    </row>
    <row r="12413" spans="16:20">
      <c r="P12413" s="1094">
        <v>5092</v>
      </c>
      <c r="Q12413" t="s">
        <v>12643</v>
      </c>
      <c r="R12413" t="s">
        <v>615</v>
      </c>
      <c r="S12413">
        <v>138.680226</v>
      </c>
      <c r="T12413" s="1095">
        <v>-34.821319000000003</v>
      </c>
    </row>
    <row r="12414" spans="16:20">
      <c r="P12414" s="1094">
        <v>5092</v>
      </c>
      <c r="Q12414" t="s">
        <v>12644</v>
      </c>
      <c r="R12414" t="s">
        <v>615</v>
      </c>
      <c r="S12414">
        <v>138.680226</v>
      </c>
      <c r="T12414" s="1095">
        <v>-34.821319000000003</v>
      </c>
    </row>
    <row r="12415" spans="16:20">
      <c r="P12415" s="1094">
        <v>5093</v>
      </c>
      <c r="Q12415" t="s">
        <v>12645</v>
      </c>
      <c r="R12415" t="s">
        <v>615</v>
      </c>
      <c r="S12415">
        <v>138.657974</v>
      </c>
      <c r="T12415" s="1095">
        <v>-34.839770000000001</v>
      </c>
    </row>
    <row r="12416" spans="16:20">
      <c r="P12416" s="1094">
        <v>5093</v>
      </c>
      <c r="Q12416" t="s">
        <v>12646</v>
      </c>
      <c r="R12416" t="s">
        <v>615</v>
      </c>
      <c r="S12416">
        <v>138.657974</v>
      </c>
      <c r="T12416" s="1095">
        <v>-34.839770000000001</v>
      </c>
    </row>
    <row r="12417" spans="16:20">
      <c r="P12417" s="1094">
        <v>5094</v>
      </c>
      <c r="Q12417" t="s">
        <v>4708</v>
      </c>
      <c r="R12417" t="s">
        <v>615</v>
      </c>
      <c r="S12417">
        <v>138.581513</v>
      </c>
      <c r="T12417" s="1095">
        <v>-34.802736000000003</v>
      </c>
    </row>
    <row r="12418" spans="16:20">
      <c r="P12418" s="1094">
        <v>5094</v>
      </c>
      <c r="Q12418" t="s">
        <v>2828</v>
      </c>
      <c r="R12418" t="s">
        <v>615</v>
      </c>
      <c r="S12418">
        <v>138.581513</v>
      </c>
      <c r="T12418" s="1095">
        <v>-34.802736000000003</v>
      </c>
    </row>
    <row r="12419" spans="16:20">
      <c r="P12419" s="1094">
        <v>5094</v>
      </c>
      <c r="Q12419" t="s">
        <v>12647</v>
      </c>
      <c r="R12419" t="s">
        <v>615</v>
      </c>
      <c r="S12419">
        <v>138.581513</v>
      </c>
      <c r="T12419" s="1095">
        <v>-34.802736000000003</v>
      </c>
    </row>
    <row r="12420" spans="16:20">
      <c r="P12420" s="1094">
        <v>5095</v>
      </c>
      <c r="Q12420" t="s">
        <v>12648</v>
      </c>
      <c r="R12420" t="s">
        <v>615</v>
      </c>
      <c r="S12420">
        <v>138.6199</v>
      </c>
      <c r="T12420" s="1095">
        <v>-34.820684999999997</v>
      </c>
    </row>
    <row r="12421" spans="16:20">
      <c r="P12421" s="1094">
        <v>5095</v>
      </c>
      <c r="Q12421" t="s">
        <v>12649</v>
      </c>
      <c r="R12421" t="s">
        <v>615</v>
      </c>
      <c r="S12421">
        <v>138.6199</v>
      </c>
      <c r="T12421" s="1095">
        <v>-34.820684999999997</v>
      </c>
    </row>
    <row r="12422" spans="16:20">
      <c r="P12422" s="1094">
        <v>5095</v>
      </c>
      <c r="Q12422" t="s">
        <v>12650</v>
      </c>
      <c r="R12422" t="s">
        <v>615</v>
      </c>
      <c r="S12422">
        <v>138.6199</v>
      </c>
      <c r="T12422" s="1095">
        <v>-34.820684999999997</v>
      </c>
    </row>
    <row r="12423" spans="16:20">
      <c r="P12423" s="1094">
        <v>5096</v>
      </c>
      <c r="Q12423" t="s">
        <v>12651</v>
      </c>
      <c r="R12423" t="s">
        <v>615</v>
      </c>
      <c r="S12423">
        <v>138.64468500000001</v>
      </c>
      <c r="T12423" s="1095">
        <v>-34.798549000000001</v>
      </c>
    </row>
    <row r="12424" spans="16:20">
      <c r="P12424" s="1094">
        <v>5096</v>
      </c>
      <c r="Q12424" t="s">
        <v>12652</v>
      </c>
      <c r="R12424" t="s">
        <v>615</v>
      </c>
      <c r="S12424">
        <v>138.64468500000001</v>
      </c>
      <c r="T12424" s="1095">
        <v>-34.798549000000001</v>
      </c>
    </row>
    <row r="12425" spans="16:20">
      <c r="P12425" s="1094">
        <v>5096</v>
      </c>
      <c r="Q12425" t="s">
        <v>12653</v>
      </c>
      <c r="R12425" t="s">
        <v>615</v>
      </c>
      <c r="S12425">
        <v>138.64468500000001</v>
      </c>
      <c r="T12425" s="1095">
        <v>-34.798549000000001</v>
      </c>
    </row>
    <row r="12426" spans="16:20">
      <c r="P12426" s="1094">
        <v>5097</v>
      </c>
      <c r="Q12426" t="s">
        <v>12654</v>
      </c>
      <c r="R12426" t="s">
        <v>615</v>
      </c>
      <c r="S12426">
        <v>138.70726099999999</v>
      </c>
      <c r="T12426" s="1095">
        <v>-34.819614000000001</v>
      </c>
    </row>
    <row r="12427" spans="16:20">
      <c r="P12427" s="1094">
        <v>5097</v>
      </c>
      <c r="Q12427" t="s">
        <v>12655</v>
      </c>
      <c r="R12427" t="s">
        <v>615</v>
      </c>
      <c r="S12427">
        <v>138.70726099999999</v>
      </c>
      <c r="T12427" s="1095">
        <v>-34.819614000000001</v>
      </c>
    </row>
    <row r="12428" spans="16:20">
      <c r="P12428" s="1094">
        <v>5097</v>
      </c>
      <c r="Q12428" t="s">
        <v>11290</v>
      </c>
      <c r="R12428" t="s">
        <v>615</v>
      </c>
      <c r="S12428">
        <v>138.70726099999999</v>
      </c>
      <c r="T12428" s="1095">
        <v>-34.819614000000001</v>
      </c>
    </row>
    <row r="12429" spans="16:20">
      <c r="P12429" s="1094">
        <v>5098</v>
      </c>
      <c r="Q12429" t="s">
        <v>12656</v>
      </c>
      <c r="R12429" t="s">
        <v>615</v>
      </c>
      <c r="S12429">
        <v>138.638946</v>
      </c>
      <c r="T12429" s="1095">
        <v>-34.829602999999999</v>
      </c>
    </row>
    <row r="12430" spans="16:20">
      <c r="P12430" s="1094">
        <v>5098</v>
      </c>
      <c r="Q12430" t="s">
        <v>12657</v>
      </c>
      <c r="R12430" t="s">
        <v>615</v>
      </c>
      <c r="S12430">
        <v>138.638946</v>
      </c>
      <c r="T12430" s="1095">
        <v>-34.829602999999999</v>
      </c>
    </row>
    <row r="12431" spans="16:20">
      <c r="P12431" s="1094">
        <v>5106</v>
      </c>
      <c r="Q12431" t="s">
        <v>12658</v>
      </c>
      <c r="R12431" t="s">
        <v>615</v>
      </c>
      <c r="S12431">
        <v>138.62946299999999</v>
      </c>
      <c r="T12431" s="1095">
        <v>-34.793168999999999</v>
      </c>
    </row>
    <row r="12432" spans="16:20">
      <c r="P12432" s="1094">
        <v>5106</v>
      </c>
      <c r="Q12432" t="s">
        <v>12659</v>
      </c>
      <c r="R12432" t="s">
        <v>615</v>
      </c>
      <c r="S12432">
        <v>138.62946299999999</v>
      </c>
      <c r="T12432" s="1095">
        <v>-34.793168999999999</v>
      </c>
    </row>
    <row r="12433" spans="16:20">
      <c r="P12433" s="1094">
        <v>5106</v>
      </c>
      <c r="Q12433" t="s">
        <v>12660</v>
      </c>
      <c r="R12433" t="s">
        <v>615</v>
      </c>
      <c r="S12433">
        <v>138.62946299999999</v>
      </c>
      <c r="T12433" s="1095">
        <v>-34.793168999999999</v>
      </c>
    </row>
    <row r="12434" spans="16:20">
      <c r="P12434" s="1094">
        <v>5106</v>
      </c>
      <c r="Q12434" t="s">
        <v>12661</v>
      </c>
      <c r="R12434" t="s">
        <v>615</v>
      </c>
      <c r="S12434">
        <v>138.62946299999999</v>
      </c>
      <c r="T12434" s="1095">
        <v>-34.793168999999999</v>
      </c>
    </row>
    <row r="12435" spans="16:20">
      <c r="P12435" s="1094">
        <v>5106</v>
      </c>
      <c r="Q12435" t="s">
        <v>12662</v>
      </c>
      <c r="R12435" t="s">
        <v>615</v>
      </c>
      <c r="S12435">
        <v>138.62946299999999</v>
      </c>
      <c r="T12435" s="1095">
        <v>-34.793168999999999</v>
      </c>
    </row>
    <row r="12436" spans="16:20">
      <c r="P12436" s="1094">
        <v>5107</v>
      </c>
      <c r="Q12436" t="s">
        <v>12663</v>
      </c>
      <c r="R12436" t="s">
        <v>615</v>
      </c>
      <c r="S12436">
        <v>138.60987399999999</v>
      </c>
      <c r="T12436" s="1095">
        <v>-34.784447</v>
      </c>
    </row>
    <row r="12437" spans="16:20">
      <c r="P12437" s="1094">
        <v>5107</v>
      </c>
      <c r="Q12437" t="s">
        <v>12664</v>
      </c>
      <c r="R12437" t="s">
        <v>615</v>
      </c>
      <c r="S12437">
        <v>138.60987399999999</v>
      </c>
      <c r="T12437" s="1095">
        <v>-34.784447</v>
      </c>
    </row>
    <row r="12438" spans="16:20">
      <c r="P12438" s="1094">
        <v>5108</v>
      </c>
      <c r="Q12438" t="s">
        <v>12665</v>
      </c>
      <c r="R12438" t="s">
        <v>615</v>
      </c>
      <c r="S12438">
        <v>138.61884000000001</v>
      </c>
      <c r="T12438" s="1095">
        <v>-34.761552999999999</v>
      </c>
    </row>
    <row r="12439" spans="16:20">
      <c r="P12439" s="1094">
        <v>5108</v>
      </c>
      <c r="Q12439" t="s">
        <v>3246</v>
      </c>
      <c r="R12439" t="s">
        <v>615</v>
      </c>
      <c r="S12439">
        <v>138.61884000000001</v>
      </c>
      <c r="T12439" s="1095">
        <v>-34.761552999999999</v>
      </c>
    </row>
    <row r="12440" spans="16:20">
      <c r="P12440" s="1094">
        <v>5108</v>
      </c>
      <c r="Q12440" t="s">
        <v>12666</v>
      </c>
      <c r="R12440" t="s">
        <v>615</v>
      </c>
      <c r="S12440">
        <v>138.61884000000001</v>
      </c>
      <c r="T12440" s="1095">
        <v>-34.761552999999999</v>
      </c>
    </row>
    <row r="12441" spans="16:20">
      <c r="P12441" s="1094">
        <v>5108</v>
      </c>
      <c r="Q12441" t="s">
        <v>12667</v>
      </c>
      <c r="R12441" t="s">
        <v>615</v>
      </c>
      <c r="S12441">
        <v>138.61884000000001</v>
      </c>
      <c r="T12441" s="1095">
        <v>-34.761552999999999</v>
      </c>
    </row>
    <row r="12442" spans="16:20">
      <c r="P12442" s="1094">
        <v>5108</v>
      </c>
      <c r="Q12442" t="s">
        <v>12668</v>
      </c>
      <c r="R12442" t="s">
        <v>615</v>
      </c>
      <c r="S12442">
        <v>138.61884000000001</v>
      </c>
      <c r="T12442" s="1095">
        <v>-34.761552999999999</v>
      </c>
    </row>
    <row r="12443" spans="16:20">
      <c r="P12443" s="1094">
        <v>5109</v>
      </c>
      <c r="Q12443" t="s">
        <v>12669</v>
      </c>
      <c r="R12443" t="s">
        <v>615</v>
      </c>
      <c r="S12443">
        <v>138.663871</v>
      </c>
      <c r="T12443" s="1095">
        <v>-34.771431999999997</v>
      </c>
    </row>
    <row r="12444" spans="16:20">
      <c r="P12444" s="1094">
        <v>5109</v>
      </c>
      <c r="Q12444" t="s">
        <v>9530</v>
      </c>
      <c r="R12444" t="s">
        <v>615</v>
      </c>
      <c r="S12444">
        <v>138.663871</v>
      </c>
      <c r="T12444" s="1095">
        <v>-34.771431999999997</v>
      </c>
    </row>
    <row r="12445" spans="16:20">
      <c r="P12445" s="1094">
        <v>5109</v>
      </c>
      <c r="Q12445" t="s">
        <v>12670</v>
      </c>
      <c r="R12445" t="s">
        <v>615</v>
      </c>
      <c r="S12445">
        <v>138.663871</v>
      </c>
      <c r="T12445" s="1095">
        <v>-34.771431999999997</v>
      </c>
    </row>
    <row r="12446" spans="16:20">
      <c r="P12446" s="1094">
        <v>5109</v>
      </c>
      <c r="Q12446" t="s">
        <v>12671</v>
      </c>
      <c r="R12446" t="s">
        <v>615</v>
      </c>
      <c r="S12446">
        <v>138.663871</v>
      </c>
      <c r="T12446" s="1095">
        <v>-34.771431999999997</v>
      </c>
    </row>
    <row r="12447" spans="16:20">
      <c r="P12447" s="1094">
        <v>5109</v>
      </c>
      <c r="Q12447" t="s">
        <v>12672</v>
      </c>
      <c r="R12447" t="s">
        <v>615</v>
      </c>
      <c r="S12447">
        <v>138.663871</v>
      </c>
      <c r="T12447" s="1095">
        <v>-34.771431999999997</v>
      </c>
    </row>
    <row r="12448" spans="16:20">
      <c r="P12448" s="1094">
        <v>5109</v>
      </c>
      <c r="Q12448" t="s">
        <v>12673</v>
      </c>
      <c r="R12448" t="s">
        <v>615</v>
      </c>
      <c r="S12448">
        <v>138.663871</v>
      </c>
      <c r="T12448" s="1095">
        <v>-34.771431999999997</v>
      </c>
    </row>
    <row r="12449" spans="16:20">
      <c r="P12449" s="1094">
        <v>5110</v>
      </c>
      <c r="Q12449" t="s">
        <v>12674</v>
      </c>
      <c r="R12449" t="s">
        <v>615</v>
      </c>
      <c r="S12449">
        <v>138.56503699999999</v>
      </c>
      <c r="T12449" s="1095">
        <v>-34.72213</v>
      </c>
    </row>
    <row r="12450" spans="16:20">
      <c r="P12450" s="1094">
        <v>5110</v>
      </c>
      <c r="Q12450" t="s">
        <v>11699</v>
      </c>
      <c r="R12450" t="s">
        <v>615</v>
      </c>
      <c r="S12450">
        <v>138.56503699999999</v>
      </c>
      <c r="T12450" s="1095">
        <v>-34.72213</v>
      </c>
    </row>
    <row r="12451" spans="16:20">
      <c r="P12451" s="1094">
        <v>5110</v>
      </c>
      <c r="Q12451" t="s">
        <v>12675</v>
      </c>
      <c r="R12451" t="s">
        <v>615</v>
      </c>
      <c r="S12451">
        <v>138.56503699999999</v>
      </c>
      <c r="T12451" s="1095">
        <v>-34.72213</v>
      </c>
    </row>
    <row r="12452" spans="16:20">
      <c r="P12452" s="1094">
        <v>5110</v>
      </c>
      <c r="Q12452" t="s">
        <v>12676</v>
      </c>
      <c r="R12452" t="s">
        <v>615</v>
      </c>
      <c r="S12452">
        <v>138.56503699999999</v>
      </c>
      <c r="T12452" s="1095">
        <v>-34.72213</v>
      </c>
    </row>
    <row r="12453" spans="16:20">
      <c r="P12453" s="1094">
        <v>5110</v>
      </c>
      <c r="Q12453" t="s">
        <v>6726</v>
      </c>
      <c r="R12453" t="s">
        <v>615</v>
      </c>
      <c r="S12453">
        <v>138.56503699999999</v>
      </c>
      <c r="T12453" s="1095">
        <v>-34.72213</v>
      </c>
    </row>
    <row r="12454" spans="16:20">
      <c r="P12454" s="1094">
        <v>5110</v>
      </c>
      <c r="Q12454" t="s">
        <v>12677</v>
      </c>
      <c r="R12454" t="s">
        <v>615</v>
      </c>
      <c r="S12454">
        <v>138.56503699999999</v>
      </c>
      <c r="T12454" s="1095">
        <v>-34.72213</v>
      </c>
    </row>
    <row r="12455" spans="16:20">
      <c r="P12455" s="1094">
        <v>5111</v>
      </c>
      <c r="Q12455" t="s">
        <v>12678</v>
      </c>
      <c r="R12455" t="s">
        <v>615</v>
      </c>
      <c r="S12455">
        <v>138.62531999999999</v>
      </c>
      <c r="T12455" s="1095">
        <v>-34.709347000000001</v>
      </c>
    </row>
    <row r="12456" spans="16:20">
      <c r="P12456" s="1094">
        <v>5112</v>
      </c>
      <c r="Q12456" t="s">
        <v>12679</v>
      </c>
      <c r="R12456" t="s">
        <v>615</v>
      </c>
      <c r="S12456">
        <v>138.66661500000001</v>
      </c>
      <c r="T12456" s="1095">
        <v>-34.726228999999996</v>
      </c>
    </row>
    <row r="12457" spans="16:20">
      <c r="P12457" s="1094">
        <v>5112</v>
      </c>
      <c r="Q12457" t="s">
        <v>12680</v>
      </c>
      <c r="R12457" t="s">
        <v>615</v>
      </c>
      <c r="S12457">
        <v>138.66661500000001</v>
      </c>
      <c r="T12457" s="1095">
        <v>-34.726228999999996</v>
      </c>
    </row>
    <row r="12458" spans="16:20">
      <c r="P12458" s="1094">
        <v>5112</v>
      </c>
      <c r="Q12458" t="s">
        <v>12681</v>
      </c>
      <c r="R12458" t="s">
        <v>615</v>
      </c>
      <c r="S12458">
        <v>138.66661500000001</v>
      </c>
      <c r="T12458" s="1095">
        <v>-34.726228999999996</v>
      </c>
    </row>
    <row r="12459" spans="16:20">
      <c r="P12459" s="1094">
        <v>5112</v>
      </c>
      <c r="Q12459" t="s">
        <v>12682</v>
      </c>
      <c r="R12459" t="s">
        <v>615</v>
      </c>
      <c r="S12459">
        <v>138.66661500000001</v>
      </c>
      <c r="T12459" s="1095">
        <v>-34.726228999999996</v>
      </c>
    </row>
    <row r="12460" spans="16:20">
      <c r="P12460" s="1094">
        <v>5112</v>
      </c>
      <c r="Q12460" t="s">
        <v>12683</v>
      </c>
      <c r="R12460" t="s">
        <v>615</v>
      </c>
      <c r="S12460">
        <v>138.66661500000001</v>
      </c>
      <c r="T12460" s="1095">
        <v>-34.726228999999996</v>
      </c>
    </row>
    <row r="12461" spans="16:20">
      <c r="P12461" s="1094">
        <v>5112</v>
      </c>
      <c r="Q12461" t="s">
        <v>12684</v>
      </c>
      <c r="R12461" t="s">
        <v>615</v>
      </c>
      <c r="S12461">
        <v>138.66661500000001</v>
      </c>
      <c r="T12461" s="1095">
        <v>-34.726228999999996</v>
      </c>
    </row>
    <row r="12462" spans="16:20">
      <c r="P12462" s="1094">
        <v>5113</v>
      </c>
      <c r="Q12462" t="s">
        <v>12685</v>
      </c>
      <c r="R12462" t="s">
        <v>615</v>
      </c>
      <c r="S12462">
        <v>138.67444900000001</v>
      </c>
      <c r="T12462" s="1095">
        <v>-34.702506</v>
      </c>
    </row>
    <row r="12463" spans="16:20">
      <c r="P12463" s="1094">
        <v>5113</v>
      </c>
      <c r="Q12463" t="s">
        <v>12686</v>
      </c>
      <c r="R12463" t="s">
        <v>615</v>
      </c>
      <c r="S12463">
        <v>138.67444900000001</v>
      </c>
      <c r="T12463" s="1095">
        <v>-34.702506</v>
      </c>
    </row>
    <row r="12464" spans="16:20">
      <c r="P12464" s="1094">
        <v>5113</v>
      </c>
      <c r="Q12464" t="s">
        <v>12687</v>
      </c>
      <c r="R12464" t="s">
        <v>615</v>
      </c>
      <c r="S12464">
        <v>138.67444900000001</v>
      </c>
      <c r="T12464" s="1095">
        <v>-34.702506</v>
      </c>
    </row>
    <row r="12465" spans="16:20">
      <c r="P12465" s="1094">
        <v>5113</v>
      </c>
      <c r="Q12465" t="s">
        <v>12688</v>
      </c>
      <c r="R12465" t="s">
        <v>615</v>
      </c>
      <c r="S12465">
        <v>138.67444900000001</v>
      </c>
      <c r="T12465" s="1095">
        <v>-34.702506</v>
      </c>
    </row>
    <row r="12466" spans="16:20">
      <c r="P12466" s="1094">
        <v>5113</v>
      </c>
      <c r="Q12466" t="s">
        <v>12689</v>
      </c>
      <c r="R12466" t="s">
        <v>615</v>
      </c>
      <c r="S12466">
        <v>138.67444900000001</v>
      </c>
      <c r="T12466" s="1095">
        <v>-34.702506</v>
      </c>
    </row>
    <row r="12467" spans="16:20">
      <c r="P12467" s="1094">
        <v>5113</v>
      </c>
      <c r="Q12467" t="s">
        <v>12690</v>
      </c>
      <c r="R12467" t="s">
        <v>615</v>
      </c>
      <c r="S12467">
        <v>138.67444900000001</v>
      </c>
      <c r="T12467" s="1095">
        <v>-34.702506</v>
      </c>
    </row>
    <row r="12468" spans="16:20">
      <c r="P12468" s="1094">
        <v>5113</v>
      </c>
      <c r="Q12468" t="s">
        <v>12691</v>
      </c>
      <c r="R12468" t="s">
        <v>615</v>
      </c>
      <c r="S12468">
        <v>138.67444900000001</v>
      </c>
      <c r="T12468" s="1095">
        <v>-34.702506</v>
      </c>
    </row>
    <row r="12469" spans="16:20">
      <c r="P12469" s="1094">
        <v>5113</v>
      </c>
      <c r="Q12469" t="s">
        <v>12692</v>
      </c>
      <c r="R12469" t="s">
        <v>615</v>
      </c>
      <c r="S12469">
        <v>138.67444900000001</v>
      </c>
      <c r="T12469" s="1095">
        <v>-34.702506</v>
      </c>
    </row>
    <row r="12470" spans="16:20">
      <c r="P12470" s="1094">
        <v>5114</v>
      </c>
      <c r="Q12470" t="s">
        <v>12693</v>
      </c>
      <c r="R12470" t="s">
        <v>615</v>
      </c>
      <c r="S12470">
        <v>138.754254</v>
      </c>
      <c r="T12470" s="1095">
        <v>-34.718680999999997</v>
      </c>
    </row>
    <row r="12471" spans="16:20">
      <c r="P12471" s="1094">
        <v>5114</v>
      </c>
      <c r="Q12471" t="s">
        <v>12694</v>
      </c>
      <c r="R12471" t="s">
        <v>615</v>
      </c>
      <c r="S12471">
        <v>138.754254</v>
      </c>
      <c r="T12471" s="1095">
        <v>-34.718680999999997</v>
      </c>
    </row>
    <row r="12472" spans="16:20">
      <c r="P12472" s="1094">
        <v>5114</v>
      </c>
      <c r="Q12472" t="s">
        <v>12695</v>
      </c>
      <c r="R12472" t="s">
        <v>615</v>
      </c>
      <c r="S12472">
        <v>138.754254</v>
      </c>
      <c r="T12472" s="1095">
        <v>-34.718680999999997</v>
      </c>
    </row>
    <row r="12473" spans="16:20">
      <c r="P12473" s="1094">
        <v>5114</v>
      </c>
      <c r="Q12473" t="s">
        <v>12696</v>
      </c>
      <c r="R12473" t="s">
        <v>615</v>
      </c>
      <c r="S12473">
        <v>138.754254</v>
      </c>
      <c r="T12473" s="1095">
        <v>-34.718680999999997</v>
      </c>
    </row>
    <row r="12474" spans="16:20">
      <c r="P12474" s="1094">
        <v>5114</v>
      </c>
      <c r="Q12474" t="s">
        <v>12697</v>
      </c>
      <c r="R12474" t="s">
        <v>615</v>
      </c>
      <c r="S12474">
        <v>138.754254</v>
      </c>
      <c r="T12474" s="1095">
        <v>-34.718680999999997</v>
      </c>
    </row>
    <row r="12475" spans="16:20">
      <c r="P12475" s="1094">
        <v>5114</v>
      </c>
      <c r="Q12475" t="s">
        <v>12698</v>
      </c>
      <c r="R12475" t="s">
        <v>615</v>
      </c>
      <c r="S12475">
        <v>138.754254</v>
      </c>
      <c r="T12475" s="1095">
        <v>-34.718680999999997</v>
      </c>
    </row>
    <row r="12476" spans="16:20">
      <c r="P12476" s="1094">
        <v>5114</v>
      </c>
      <c r="Q12476" t="s">
        <v>12699</v>
      </c>
      <c r="R12476" t="s">
        <v>615</v>
      </c>
      <c r="S12476">
        <v>138.754254</v>
      </c>
      <c r="T12476" s="1095">
        <v>-34.718680999999997</v>
      </c>
    </row>
    <row r="12477" spans="16:20">
      <c r="P12477" s="1094">
        <v>5114</v>
      </c>
      <c r="Q12477" t="s">
        <v>2092</v>
      </c>
      <c r="R12477" t="s">
        <v>615</v>
      </c>
      <c r="S12477">
        <v>138.754254</v>
      </c>
      <c r="T12477" s="1095">
        <v>-34.718680999999997</v>
      </c>
    </row>
    <row r="12478" spans="16:20">
      <c r="P12478" s="1094">
        <v>5114</v>
      </c>
      <c r="Q12478" t="s">
        <v>12700</v>
      </c>
      <c r="R12478" t="s">
        <v>615</v>
      </c>
      <c r="S12478">
        <v>138.754254</v>
      </c>
      <c r="T12478" s="1095">
        <v>-34.718680999999997</v>
      </c>
    </row>
    <row r="12479" spans="16:20">
      <c r="P12479" s="1094">
        <v>5114</v>
      </c>
      <c r="Q12479" t="s">
        <v>2093</v>
      </c>
      <c r="R12479" t="s">
        <v>615</v>
      </c>
      <c r="S12479">
        <v>138.754254</v>
      </c>
      <c r="T12479" s="1095">
        <v>-34.718680999999997</v>
      </c>
    </row>
    <row r="12480" spans="16:20">
      <c r="P12480" s="1094">
        <v>5114</v>
      </c>
      <c r="Q12480" t="s">
        <v>12701</v>
      </c>
      <c r="R12480" t="s">
        <v>615</v>
      </c>
      <c r="S12480">
        <v>138.754254</v>
      </c>
      <c r="T12480" s="1095">
        <v>-34.718680999999997</v>
      </c>
    </row>
    <row r="12481" spans="16:20">
      <c r="P12481" s="1094">
        <v>5114</v>
      </c>
      <c r="Q12481" t="s">
        <v>2312</v>
      </c>
      <c r="R12481" t="s">
        <v>615</v>
      </c>
      <c r="S12481">
        <v>138.754254</v>
      </c>
      <c r="T12481" s="1095">
        <v>-34.718680999999997</v>
      </c>
    </row>
    <row r="12482" spans="16:20">
      <c r="P12482" s="1094">
        <v>5115</v>
      </c>
      <c r="Q12482" t="s">
        <v>12702</v>
      </c>
      <c r="R12482" t="s">
        <v>615</v>
      </c>
      <c r="S12482">
        <v>138.681702</v>
      </c>
      <c r="T12482" s="1095">
        <v>-34.669485999999999</v>
      </c>
    </row>
    <row r="12483" spans="16:20">
      <c r="P12483" s="1094">
        <v>5115</v>
      </c>
      <c r="Q12483" t="s">
        <v>12703</v>
      </c>
      <c r="R12483" t="s">
        <v>615</v>
      </c>
      <c r="S12483">
        <v>138.681702</v>
      </c>
      <c r="T12483" s="1095">
        <v>-34.669485999999999</v>
      </c>
    </row>
    <row r="12484" spans="16:20">
      <c r="P12484" s="1094">
        <v>5115</v>
      </c>
      <c r="Q12484" t="s">
        <v>12704</v>
      </c>
      <c r="R12484" t="s">
        <v>615</v>
      </c>
      <c r="S12484">
        <v>138.681702</v>
      </c>
      <c r="T12484" s="1095">
        <v>-34.669485999999999</v>
      </c>
    </row>
    <row r="12485" spans="16:20">
      <c r="P12485" s="1094">
        <v>5115</v>
      </c>
      <c r="Q12485" t="s">
        <v>12705</v>
      </c>
      <c r="R12485" t="s">
        <v>615</v>
      </c>
      <c r="S12485">
        <v>138.681702</v>
      </c>
      <c r="T12485" s="1095">
        <v>-34.669485999999999</v>
      </c>
    </row>
    <row r="12486" spans="16:20">
      <c r="P12486" s="1094">
        <v>5116</v>
      </c>
      <c r="Q12486" t="s">
        <v>12706</v>
      </c>
      <c r="R12486" t="s">
        <v>615</v>
      </c>
      <c r="S12486">
        <v>138.72405900000001</v>
      </c>
      <c r="T12486" s="1095">
        <v>-34.622782999999998</v>
      </c>
    </row>
    <row r="12487" spans="16:20">
      <c r="P12487" s="1094">
        <v>5116</v>
      </c>
      <c r="Q12487" t="s">
        <v>12707</v>
      </c>
      <c r="R12487" t="s">
        <v>615</v>
      </c>
      <c r="S12487">
        <v>138.72405900000001</v>
      </c>
      <c r="T12487" s="1095">
        <v>-34.622782999999998</v>
      </c>
    </row>
    <row r="12488" spans="16:20">
      <c r="P12488" s="1094">
        <v>5116</v>
      </c>
      <c r="Q12488" t="s">
        <v>12708</v>
      </c>
      <c r="R12488" t="s">
        <v>615</v>
      </c>
      <c r="S12488">
        <v>138.72405900000001</v>
      </c>
      <c r="T12488" s="1095">
        <v>-34.622782999999998</v>
      </c>
    </row>
    <row r="12489" spans="16:20">
      <c r="P12489" s="1094">
        <v>5116</v>
      </c>
      <c r="Q12489" t="s">
        <v>12709</v>
      </c>
      <c r="R12489" t="s">
        <v>615</v>
      </c>
      <c r="S12489">
        <v>138.72405900000001</v>
      </c>
      <c r="T12489" s="1095">
        <v>-34.622782999999998</v>
      </c>
    </row>
    <row r="12490" spans="16:20">
      <c r="P12490" s="1094">
        <v>5116</v>
      </c>
      <c r="Q12490" t="s">
        <v>12710</v>
      </c>
      <c r="R12490" t="s">
        <v>615</v>
      </c>
      <c r="S12490">
        <v>138.72405900000001</v>
      </c>
      <c r="T12490" s="1095">
        <v>-34.622782999999998</v>
      </c>
    </row>
    <row r="12491" spans="16:20">
      <c r="P12491" s="1094">
        <v>5117</v>
      </c>
      <c r="Q12491" t="s">
        <v>12711</v>
      </c>
      <c r="R12491" t="s">
        <v>615</v>
      </c>
      <c r="S12491">
        <v>138.636537</v>
      </c>
      <c r="T12491" s="1095">
        <v>-34.641266999999999</v>
      </c>
    </row>
    <row r="12492" spans="16:20">
      <c r="P12492" s="1094">
        <v>5118</v>
      </c>
      <c r="Q12492" t="s">
        <v>12712</v>
      </c>
      <c r="R12492" t="s">
        <v>615</v>
      </c>
      <c r="S12492">
        <v>138.70567500000001</v>
      </c>
      <c r="T12492" s="1095">
        <v>-34.583779999999997</v>
      </c>
    </row>
    <row r="12493" spans="16:20">
      <c r="P12493" s="1094">
        <v>5118</v>
      </c>
      <c r="Q12493" t="s">
        <v>12713</v>
      </c>
      <c r="R12493" t="s">
        <v>615</v>
      </c>
      <c r="S12493">
        <v>138.70567500000001</v>
      </c>
      <c r="T12493" s="1095">
        <v>-34.583779999999997</v>
      </c>
    </row>
    <row r="12494" spans="16:20">
      <c r="P12494" s="1094">
        <v>5118</v>
      </c>
      <c r="Q12494" t="s">
        <v>12714</v>
      </c>
      <c r="R12494" t="s">
        <v>615</v>
      </c>
      <c r="S12494">
        <v>138.70567500000001</v>
      </c>
      <c r="T12494" s="1095">
        <v>-34.583779999999997</v>
      </c>
    </row>
    <row r="12495" spans="16:20">
      <c r="P12495" s="1094">
        <v>5118</v>
      </c>
      <c r="Q12495" t="s">
        <v>12715</v>
      </c>
      <c r="R12495" t="s">
        <v>615</v>
      </c>
      <c r="S12495">
        <v>138.70567500000001</v>
      </c>
      <c r="T12495" s="1095">
        <v>-34.583779999999997</v>
      </c>
    </row>
    <row r="12496" spans="16:20">
      <c r="P12496" s="1094">
        <v>5118</v>
      </c>
      <c r="Q12496" t="s">
        <v>12716</v>
      </c>
      <c r="R12496" t="s">
        <v>615</v>
      </c>
      <c r="S12496">
        <v>138.70567500000001</v>
      </c>
      <c r="T12496" s="1095">
        <v>-34.583779999999997</v>
      </c>
    </row>
    <row r="12497" spans="16:20">
      <c r="P12497" s="1094">
        <v>5118</v>
      </c>
      <c r="Q12497" t="s">
        <v>12717</v>
      </c>
      <c r="R12497" t="s">
        <v>615</v>
      </c>
      <c r="S12497">
        <v>138.70567500000001</v>
      </c>
      <c r="T12497" s="1095">
        <v>-34.583779999999997</v>
      </c>
    </row>
    <row r="12498" spans="16:20">
      <c r="P12498" s="1094">
        <v>5118</v>
      </c>
      <c r="Q12498" t="s">
        <v>12718</v>
      </c>
      <c r="R12498" t="s">
        <v>615</v>
      </c>
      <c r="S12498">
        <v>138.70567500000001</v>
      </c>
      <c r="T12498" s="1095">
        <v>-34.583779999999997</v>
      </c>
    </row>
    <row r="12499" spans="16:20">
      <c r="P12499" s="1094">
        <v>5118</v>
      </c>
      <c r="Q12499" t="s">
        <v>12719</v>
      </c>
      <c r="R12499" t="s">
        <v>615</v>
      </c>
      <c r="S12499">
        <v>138.70567500000001</v>
      </c>
      <c r="T12499" s="1095">
        <v>-34.583779999999997</v>
      </c>
    </row>
    <row r="12500" spans="16:20">
      <c r="P12500" s="1094">
        <v>5118</v>
      </c>
      <c r="Q12500" t="s">
        <v>12720</v>
      </c>
      <c r="R12500" t="s">
        <v>615</v>
      </c>
      <c r="S12500">
        <v>138.70567500000001</v>
      </c>
      <c r="T12500" s="1095">
        <v>-34.583779999999997</v>
      </c>
    </row>
    <row r="12501" spans="16:20">
      <c r="P12501" s="1094">
        <v>5118</v>
      </c>
      <c r="Q12501" t="s">
        <v>12721</v>
      </c>
      <c r="R12501" t="s">
        <v>615</v>
      </c>
      <c r="S12501">
        <v>138.70567500000001</v>
      </c>
      <c r="T12501" s="1095">
        <v>-34.583779999999997</v>
      </c>
    </row>
    <row r="12502" spans="16:20">
      <c r="P12502" s="1094">
        <v>5118</v>
      </c>
      <c r="Q12502" t="s">
        <v>12722</v>
      </c>
      <c r="R12502" t="s">
        <v>615</v>
      </c>
      <c r="S12502">
        <v>138.70567500000001</v>
      </c>
      <c r="T12502" s="1095">
        <v>-34.583779999999997</v>
      </c>
    </row>
    <row r="12503" spans="16:20">
      <c r="P12503" s="1094">
        <v>5118</v>
      </c>
      <c r="Q12503" t="s">
        <v>6095</v>
      </c>
      <c r="R12503" t="s">
        <v>615</v>
      </c>
      <c r="S12503">
        <v>138.70567500000001</v>
      </c>
      <c r="T12503" s="1095">
        <v>-34.583779999999997</v>
      </c>
    </row>
    <row r="12504" spans="16:20">
      <c r="P12504" s="1094">
        <v>5118</v>
      </c>
      <c r="Q12504" t="s">
        <v>1780</v>
      </c>
      <c r="R12504" t="s">
        <v>615</v>
      </c>
      <c r="S12504">
        <v>138.70567500000001</v>
      </c>
      <c r="T12504" s="1095">
        <v>-34.583779999999997</v>
      </c>
    </row>
    <row r="12505" spans="16:20">
      <c r="P12505" s="1094">
        <v>5118</v>
      </c>
      <c r="Q12505" t="s">
        <v>12723</v>
      </c>
      <c r="R12505" t="s">
        <v>615</v>
      </c>
      <c r="S12505">
        <v>138.70567500000001</v>
      </c>
      <c r="T12505" s="1095">
        <v>-34.583779999999997</v>
      </c>
    </row>
    <row r="12506" spans="16:20">
      <c r="P12506" s="1094">
        <v>5118</v>
      </c>
      <c r="Q12506" t="s">
        <v>12724</v>
      </c>
      <c r="R12506" t="s">
        <v>615</v>
      </c>
      <c r="S12506">
        <v>138.70567500000001</v>
      </c>
      <c r="T12506" s="1095">
        <v>-34.583779999999997</v>
      </c>
    </row>
    <row r="12507" spans="16:20">
      <c r="P12507" s="1094">
        <v>5120</v>
      </c>
      <c r="Q12507" t="s">
        <v>12725</v>
      </c>
      <c r="R12507" t="s">
        <v>615</v>
      </c>
      <c r="S12507">
        <v>138.50789900000001</v>
      </c>
      <c r="T12507" s="1095">
        <v>-34.668553000000003</v>
      </c>
    </row>
    <row r="12508" spans="16:20">
      <c r="P12508" s="1094">
        <v>5120</v>
      </c>
      <c r="Q12508" t="s">
        <v>1507</v>
      </c>
      <c r="R12508" t="s">
        <v>615</v>
      </c>
      <c r="S12508">
        <v>138.50789900000001</v>
      </c>
      <c r="T12508" s="1095">
        <v>-34.668553000000003</v>
      </c>
    </row>
    <row r="12509" spans="16:20">
      <c r="P12509" s="1094">
        <v>5121</v>
      </c>
      <c r="Q12509" t="s">
        <v>12726</v>
      </c>
      <c r="R12509" t="s">
        <v>615</v>
      </c>
      <c r="S12509">
        <v>138.61615699999999</v>
      </c>
      <c r="T12509" s="1095">
        <v>-34.681077000000002</v>
      </c>
    </row>
    <row r="12510" spans="16:20">
      <c r="P12510" s="1094">
        <v>5121</v>
      </c>
      <c r="Q12510" t="s">
        <v>12727</v>
      </c>
      <c r="R12510" t="s">
        <v>615</v>
      </c>
      <c r="S12510">
        <v>138.61615699999999</v>
      </c>
      <c r="T12510" s="1095">
        <v>-34.681077000000002</v>
      </c>
    </row>
    <row r="12511" spans="16:20">
      <c r="P12511" s="1094">
        <v>5121</v>
      </c>
      <c r="Q12511" t="s">
        <v>12728</v>
      </c>
      <c r="R12511" t="s">
        <v>615</v>
      </c>
      <c r="S12511">
        <v>138.61615699999999</v>
      </c>
      <c r="T12511" s="1095">
        <v>-34.681077000000002</v>
      </c>
    </row>
    <row r="12512" spans="16:20">
      <c r="P12512" s="1094">
        <v>5125</v>
      </c>
      <c r="Q12512" t="s">
        <v>1735</v>
      </c>
      <c r="R12512" t="s">
        <v>615</v>
      </c>
      <c r="S12512">
        <v>138.738733</v>
      </c>
      <c r="T12512" s="1095">
        <v>-34.773234000000002</v>
      </c>
    </row>
    <row r="12513" spans="16:20">
      <c r="P12513" s="1094">
        <v>5125</v>
      </c>
      <c r="Q12513" t="s">
        <v>12729</v>
      </c>
      <c r="R12513" t="s">
        <v>615</v>
      </c>
      <c r="S12513">
        <v>138.738733</v>
      </c>
      <c r="T12513" s="1095">
        <v>-34.773234000000002</v>
      </c>
    </row>
    <row r="12514" spans="16:20">
      <c r="P12514" s="1094">
        <v>5125</v>
      </c>
      <c r="Q12514" t="s">
        <v>12730</v>
      </c>
      <c r="R12514" t="s">
        <v>615</v>
      </c>
      <c r="S12514">
        <v>138.738733</v>
      </c>
      <c r="T12514" s="1095">
        <v>-34.773234000000002</v>
      </c>
    </row>
    <row r="12515" spans="16:20">
      <c r="P12515" s="1094">
        <v>5126</v>
      </c>
      <c r="Q12515" t="s">
        <v>12731</v>
      </c>
      <c r="R12515" t="s">
        <v>615</v>
      </c>
      <c r="S12515">
        <v>138.724953</v>
      </c>
      <c r="T12515" s="1095">
        <v>-34.793413999999999</v>
      </c>
    </row>
    <row r="12516" spans="16:20">
      <c r="P12516" s="1094">
        <v>5126</v>
      </c>
      <c r="Q12516" t="s">
        <v>12732</v>
      </c>
      <c r="R12516" t="s">
        <v>615</v>
      </c>
      <c r="S12516">
        <v>138.724953</v>
      </c>
      <c r="T12516" s="1095">
        <v>-34.793413999999999</v>
      </c>
    </row>
    <row r="12517" spans="16:20">
      <c r="P12517" s="1094">
        <v>5126</v>
      </c>
      <c r="Q12517" t="s">
        <v>12733</v>
      </c>
      <c r="R12517" t="s">
        <v>615</v>
      </c>
      <c r="S12517">
        <v>138.724953</v>
      </c>
      <c r="T12517" s="1095">
        <v>-34.793413999999999</v>
      </c>
    </row>
    <row r="12518" spans="16:20">
      <c r="P12518" s="1094">
        <v>5127</v>
      </c>
      <c r="Q12518" t="s">
        <v>12734</v>
      </c>
      <c r="R12518" t="s">
        <v>615</v>
      </c>
      <c r="S12518">
        <v>138.674657</v>
      </c>
      <c r="T12518" s="1095">
        <v>-34.796681999999997</v>
      </c>
    </row>
    <row r="12519" spans="16:20">
      <c r="P12519" s="1094">
        <v>5131</v>
      </c>
      <c r="Q12519" t="s">
        <v>12735</v>
      </c>
      <c r="R12519" t="s">
        <v>615</v>
      </c>
      <c r="S12519">
        <v>138.75811100000001</v>
      </c>
      <c r="T12519" s="1095">
        <v>-34.795292000000003</v>
      </c>
    </row>
    <row r="12520" spans="16:20">
      <c r="P12520" s="1094">
        <v>5131</v>
      </c>
      <c r="Q12520" t="s">
        <v>12736</v>
      </c>
      <c r="R12520" t="s">
        <v>615</v>
      </c>
      <c r="S12520">
        <v>138.75811100000001</v>
      </c>
      <c r="T12520" s="1095">
        <v>-34.795292000000003</v>
      </c>
    </row>
    <row r="12521" spans="16:20">
      <c r="P12521" s="1094">
        <v>5131</v>
      </c>
      <c r="Q12521" t="s">
        <v>12737</v>
      </c>
      <c r="R12521" t="s">
        <v>615</v>
      </c>
      <c r="S12521">
        <v>138.75811100000001</v>
      </c>
      <c r="T12521" s="1095">
        <v>-34.795292000000003</v>
      </c>
    </row>
    <row r="12522" spans="16:20">
      <c r="P12522" s="1094">
        <v>5132</v>
      </c>
      <c r="Q12522" t="s">
        <v>12738</v>
      </c>
      <c r="R12522" t="s">
        <v>615</v>
      </c>
      <c r="S12522">
        <v>138.75702999999999</v>
      </c>
      <c r="T12522" s="1095">
        <v>-34.857323999999998</v>
      </c>
    </row>
    <row r="12523" spans="16:20">
      <c r="P12523" s="1094">
        <v>5133</v>
      </c>
      <c r="Q12523" t="s">
        <v>7871</v>
      </c>
      <c r="R12523" t="s">
        <v>615</v>
      </c>
      <c r="S12523">
        <v>138.77697599999999</v>
      </c>
      <c r="T12523" s="1095">
        <v>-34.810927999999997</v>
      </c>
    </row>
    <row r="12524" spans="16:20">
      <c r="P12524" s="1094">
        <v>5134</v>
      </c>
      <c r="Q12524" t="s">
        <v>12739</v>
      </c>
      <c r="R12524" t="s">
        <v>615</v>
      </c>
      <c r="S12524">
        <v>138.76055199999999</v>
      </c>
      <c r="T12524" s="1095">
        <v>-34.891863000000001</v>
      </c>
    </row>
    <row r="12525" spans="16:20">
      <c r="P12525" s="1094">
        <v>5134</v>
      </c>
      <c r="Q12525" t="s">
        <v>12740</v>
      </c>
      <c r="R12525" t="s">
        <v>615</v>
      </c>
      <c r="S12525">
        <v>138.76055199999999</v>
      </c>
      <c r="T12525" s="1095">
        <v>-34.891863000000001</v>
      </c>
    </row>
    <row r="12526" spans="16:20">
      <c r="P12526" s="1094">
        <v>5136</v>
      </c>
      <c r="Q12526" t="s">
        <v>12741</v>
      </c>
      <c r="R12526" t="s">
        <v>615</v>
      </c>
      <c r="S12526">
        <v>138.735107</v>
      </c>
      <c r="T12526" s="1095">
        <v>-34.921123000000001</v>
      </c>
    </row>
    <row r="12527" spans="16:20">
      <c r="P12527" s="1094">
        <v>5137</v>
      </c>
      <c r="Q12527" t="s">
        <v>12742</v>
      </c>
      <c r="R12527" t="s">
        <v>615</v>
      </c>
      <c r="S12527">
        <v>138.735962</v>
      </c>
      <c r="T12527" s="1095">
        <v>-34.945777</v>
      </c>
    </row>
    <row r="12528" spans="16:20">
      <c r="P12528" s="1094">
        <v>5137</v>
      </c>
      <c r="Q12528" t="s">
        <v>12743</v>
      </c>
      <c r="R12528" t="s">
        <v>615</v>
      </c>
      <c r="S12528">
        <v>138.735962</v>
      </c>
      <c r="T12528" s="1095">
        <v>-34.945777</v>
      </c>
    </row>
    <row r="12529" spans="16:20">
      <c r="P12529" s="1094">
        <v>5138</v>
      </c>
      <c r="Q12529" t="s">
        <v>12744</v>
      </c>
      <c r="R12529" t="s">
        <v>615</v>
      </c>
      <c r="S12529">
        <v>138.768586</v>
      </c>
      <c r="T12529" s="1095">
        <v>-34.934913999999999</v>
      </c>
    </row>
    <row r="12530" spans="16:20">
      <c r="P12530" s="1094">
        <v>5139</v>
      </c>
      <c r="Q12530" t="s">
        <v>12745</v>
      </c>
      <c r="R12530" t="s">
        <v>615</v>
      </c>
      <c r="S12530">
        <v>138.78870499999999</v>
      </c>
      <c r="T12530" s="1095">
        <v>-34.924843000000003</v>
      </c>
    </row>
    <row r="12531" spans="16:20">
      <c r="P12531" s="1094">
        <v>5140</v>
      </c>
      <c r="Q12531" t="s">
        <v>7606</v>
      </c>
      <c r="R12531" t="s">
        <v>615</v>
      </c>
      <c r="S12531">
        <v>138.71020300000001</v>
      </c>
      <c r="T12531" s="1095">
        <v>-34.939245</v>
      </c>
    </row>
    <row r="12532" spans="16:20">
      <c r="P12532" s="1094">
        <v>5141</v>
      </c>
      <c r="Q12532" t="s">
        <v>12746</v>
      </c>
      <c r="R12532" t="s">
        <v>615</v>
      </c>
      <c r="S12532">
        <v>138.722419</v>
      </c>
      <c r="T12532" s="1095">
        <v>-34.957324999999997</v>
      </c>
    </row>
    <row r="12533" spans="16:20">
      <c r="P12533" s="1094">
        <v>5141</v>
      </c>
      <c r="Q12533" t="s">
        <v>12747</v>
      </c>
      <c r="R12533" t="s">
        <v>615</v>
      </c>
      <c r="S12533">
        <v>138.722419</v>
      </c>
      <c r="T12533" s="1095">
        <v>-34.957324999999997</v>
      </c>
    </row>
    <row r="12534" spans="16:20">
      <c r="P12534" s="1094">
        <v>5142</v>
      </c>
      <c r="Q12534" t="s">
        <v>12748</v>
      </c>
      <c r="R12534" t="s">
        <v>615</v>
      </c>
      <c r="S12534">
        <v>138.74022299999999</v>
      </c>
      <c r="T12534" s="1095">
        <v>-34.960813000000002</v>
      </c>
    </row>
    <row r="12535" spans="16:20">
      <c r="P12535" s="1094">
        <v>5144</v>
      </c>
      <c r="Q12535" t="s">
        <v>12749</v>
      </c>
      <c r="R12535" t="s">
        <v>615</v>
      </c>
      <c r="S12535">
        <v>138.76903100000001</v>
      </c>
      <c r="T12535" s="1095">
        <v>-34.968504000000003</v>
      </c>
    </row>
    <row r="12536" spans="16:20">
      <c r="P12536" s="1094">
        <v>5150</v>
      </c>
      <c r="Q12536" t="s">
        <v>12750</v>
      </c>
      <c r="R12536" t="s">
        <v>615</v>
      </c>
      <c r="S12536">
        <v>138.65494200000001</v>
      </c>
      <c r="T12536" s="1095">
        <v>-35.010885999999999</v>
      </c>
    </row>
    <row r="12537" spans="16:20">
      <c r="P12537" s="1094">
        <v>5150</v>
      </c>
      <c r="Q12537" t="s">
        <v>12751</v>
      </c>
      <c r="R12537" t="s">
        <v>615</v>
      </c>
      <c r="S12537">
        <v>138.65494200000001</v>
      </c>
      <c r="T12537" s="1095">
        <v>-35.010885999999999</v>
      </c>
    </row>
    <row r="12538" spans="16:20">
      <c r="P12538" s="1094">
        <v>5151</v>
      </c>
      <c r="Q12538" t="s">
        <v>12752</v>
      </c>
      <c r="R12538" t="s">
        <v>615</v>
      </c>
      <c r="S12538">
        <v>138.72389699999999</v>
      </c>
      <c r="T12538" s="1095">
        <v>-34.974283</v>
      </c>
    </row>
    <row r="12539" spans="16:20">
      <c r="P12539" s="1094">
        <v>5152</v>
      </c>
      <c r="Q12539" t="s">
        <v>12753</v>
      </c>
      <c r="R12539" t="s">
        <v>615</v>
      </c>
      <c r="S12539">
        <v>138.703957</v>
      </c>
      <c r="T12539" s="1095">
        <v>-34.998401000000001</v>
      </c>
    </row>
    <row r="12540" spans="16:20">
      <c r="P12540" s="1094">
        <v>5152</v>
      </c>
      <c r="Q12540" t="s">
        <v>12754</v>
      </c>
      <c r="R12540" t="s">
        <v>615</v>
      </c>
      <c r="S12540">
        <v>138.703957</v>
      </c>
      <c r="T12540" s="1095">
        <v>-34.998401000000001</v>
      </c>
    </row>
    <row r="12541" spans="16:20">
      <c r="P12541" s="1094">
        <v>5152</v>
      </c>
      <c r="Q12541" t="s">
        <v>12755</v>
      </c>
      <c r="R12541" t="s">
        <v>615</v>
      </c>
      <c r="S12541">
        <v>138.703957</v>
      </c>
      <c r="T12541" s="1095">
        <v>-34.998401000000001</v>
      </c>
    </row>
    <row r="12542" spans="16:20">
      <c r="P12542" s="1094">
        <v>5152</v>
      </c>
      <c r="Q12542" t="s">
        <v>10170</v>
      </c>
      <c r="R12542" t="s">
        <v>615</v>
      </c>
      <c r="S12542">
        <v>138.703957</v>
      </c>
      <c r="T12542" s="1095">
        <v>-34.998401000000001</v>
      </c>
    </row>
    <row r="12543" spans="16:20">
      <c r="P12543" s="1094">
        <v>5152</v>
      </c>
      <c r="Q12543" t="s">
        <v>4842</v>
      </c>
      <c r="R12543" t="s">
        <v>615</v>
      </c>
      <c r="S12543">
        <v>138.703957</v>
      </c>
      <c r="T12543" s="1095">
        <v>-34.998401000000001</v>
      </c>
    </row>
    <row r="12544" spans="16:20">
      <c r="P12544" s="1094">
        <v>5153</v>
      </c>
      <c r="Q12544" t="s">
        <v>12756</v>
      </c>
      <c r="R12544" t="s">
        <v>615</v>
      </c>
      <c r="S12544">
        <v>138.75794500000001</v>
      </c>
      <c r="T12544" s="1095">
        <v>-35.091002000000003</v>
      </c>
    </row>
    <row r="12545" spans="16:20">
      <c r="P12545" s="1094">
        <v>5153</v>
      </c>
      <c r="Q12545" t="s">
        <v>4517</v>
      </c>
      <c r="R12545" t="s">
        <v>615</v>
      </c>
      <c r="S12545">
        <v>138.75794500000001</v>
      </c>
      <c r="T12545" s="1095">
        <v>-35.091002000000003</v>
      </c>
    </row>
    <row r="12546" spans="16:20">
      <c r="P12546" s="1094">
        <v>5153</v>
      </c>
      <c r="Q12546" t="s">
        <v>12757</v>
      </c>
      <c r="R12546" t="s">
        <v>615</v>
      </c>
      <c r="S12546">
        <v>138.75794500000001</v>
      </c>
      <c r="T12546" s="1095">
        <v>-35.091002000000003</v>
      </c>
    </row>
    <row r="12547" spans="16:20">
      <c r="P12547" s="1094">
        <v>5153</v>
      </c>
      <c r="Q12547" t="s">
        <v>12758</v>
      </c>
      <c r="R12547" t="s">
        <v>615</v>
      </c>
      <c r="S12547">
        <v>138.75794500000001</v>
      </c>
      <c r="T12547" s="1095">
        <v>-35.091002000000003</v>
      </c>
    </row>
    <row r="12548" spans="16:20">
      <c r="P12548" s="1094">
        <v>5153</v>
      </c>
      <c r="Q12548" t="s">
        <v>12759</v>
      </c>
      <c r="R12548" t="s">
        <v>615</v>
      </c>
      <c r="S12548">
        <v>138.75794500000001</v>
      </c>
      <c r="T12548" s="1095">
        <v>-35.091002000000003</v>
      </c>
    </row>
    <row r="12549" spans="16:20">
      <c r="P12549" s="1094">
        <v>5153</v>
      </c>
      <c r="Q12549" t="s">
        <v>12760</v>
      </c>
      <c r="R12549" t="s">
        <v>615</v>
      </c>
      <c r="S12549">
        <v>138.75794500000001</v>
      </c>
      <c r="T12549" s="1095">
        <v>-35.091002000000003</v>
      </c>
    </row>
    <row r="12550" spans="16:20">
      <c r="P12550" s="1094">
        <v>5153</v>
      </c>
      <c r="Q12550" t="s">
        <v>8338</v>
      </c>
      <c r="R12550" t="s">
        <v>615</v>
      </c>
      <c r="S12550">
        <v>138.75794500000001</v>
      </c>
      <c r="T12550" s="1095">
        <v>-35.091002000000003</v>
      </c>
    </row>
    <row r="12551" spans="16:20">
      <c r="P12551" s="1094">
        <v>5153</v>
      </c>
      <c r="Q12551" t="s">
        <v>8705</v>
      </c>
      <c r="R12551" t="s">
        <v>615</v>
      </c>
      <c r="S12551">
        <v>138.75794500000001</v>
      </c>
      <c r="T12551" s="1095">
        <v>-35.091002000000003</v>
      </c>
    </row>
    <row r="12552" spans="16:20">
      <c r="P12552" s="1094">
        <v>5153</v>
      </c>
      <c r="Q12552" t="s">
        <v>12761</v>
      </c>
      <c r="R12552" t="s">
        <v>615</v>
      </c>
      <c r="S12552">
        <v>138.75794500000001</v>
      </c>
      <c r="T12552" s="1095">
        <v>-35.091002000000003</v>
      </c>
    </row>
    <row r="12553" spans="16:20">
      <c r="P12553" s="1094">
        <v>5153</v>
      </c>
      <c r="Q12553" t="s">
        <v>12762</v>
      </c>
      <c r="R12553" t="s">
        <v>615</v>
      </c>
      <c r="S12553">
        <v>138.75794500000001</v>
      </c>
      <c r="T12553" s="1095">
        <v>-35.091002000000003</v>
      </c>
    </row>
    <row r="12554" spans="16:20">
      <c r="P12554" s="1094">
        <v>5154</v>
      </c>
      <c r="Q12554" t="s">
        <v>12763</v>
      </c>
      <c r="R12554" t="s">
        <v>615</v>
      </c>
      <c r="S12554">
        <v>138.73591999999999</v>
      </c>
      <c r="T12554" s="1095">
        <v>-35.023251999999999</v>
      </c>
    </row>
    <row r="12555" spans="16:20">
      <c r="P12555" s="1094">
        <v>5155</v>
      </c>
      <c r="Q12555" t="s">
        <v>7861</v>
      </c>
      <c r="R12555" t="s">
        <v>615</v>
      </c>
      <c r="S12555">
        <v>138.75672800000001</v>
      </c>
      <c r="T12555" s="1095">
        <v>-35.020077000000001</v>
      </c>
    </row>
    <row r="12556" spans="16:20">
      <c r="P12556" s="1094">
        <v>5155</v>
      </c>
      <c r="Q12556" t="s">
        <v>3326</v>
      </c>
      <c r="R12556" t="s">
        <v>615</v>
      </c>
      <c r="S12556">
        <v>138.75672800000001</v>
      </c>
      <c r="T12556" s="1095">
        <v>-35.020077000000001</v>
      </c>
    </row>
    <row r="12557" spans="16:20">
      <c r="P12557" s="1094">
        <v>5156</v>
      </c>
      <c r="Q12557" t="s">
        <v>12764</v>
      </c>
      <c r="R12557" t="s">
        <v>615</v>
      </c>
      <c r="S12557">
        <v>138.65669700000001</v>
      </c>
      <c r="T12557" s="1095">
        <v>-35.030185000000003</v>
      </c>
    </row>
    <row r="12558" spans="16:20">
      <c r="P12558" s="1094">
        <v>5157</v>
      </c>
      <c r="Q12558" t="s">
        <v>7592</v>
      </c>
      <c r="R12558" t="s">
        <v>615</v>
      </c>
      <c r="S12558">
        <v>138.633118</v>
      </c>
      <c r="T12558" s="1095">
        <v>-35.143492000000002</v>
      </c>
    </row>
    <row r="12559" spans="16:20">
      <c r="P12559" s="1094">
        <v>5157</v>
      </c>
      <c r="Q12559" t="s">
        <v>12765</v>
      </c>
      <c r="R12559" t="s">
        <v>615</v>
      </c>
      <c r="S12559">
        <v>138.633118</v>
      </c>
      <c r="T12559" s="1095">
        <v>-35.143492000000002</v>
      </c>
    </row>
    <row r="12560" spans="16:20">
      <c r="P12560" s="1094">
        <v>5157</v>
      </c>
      <c r="Q12560" t="s">
        <v>12766</v>
      </c>
      <c r="R12560" t="s">
        <v>615</v>
      </c>
      <c r="S12560">
        <v>138.633118</v>
      </c>
      <c r="T12560" s="1095">
        <v>-35.143492000000002</v>
      </c>
    </row>
    <row r="12561" spans="16:20">
      <c r="P12561" s="1094">
        <v>5157</v>
      </c>
      <c r="Q12561" t="s">
        <v>5581</v>
      </c>
      <c r="R12561" t="s">
        <v>615</v>
      </c>
      <c r="S12561">
        <v>138.633118</v>
      </c>
      <c r="T12561" s="1095">
        <v>-35.143492000000002</v>
      </c>
    </row>
    <row r="12562" spans="16:20">
      <c r="P12562" s="1094">
        <v>5157</v>
      </c>
      <c r="Q12562" t="s">
        <v>12767</v>
      </c>
      <c r="R12562" t="s">
        <v>615</v>
      </c>
      <c r="S12562">
        <v>138.633118</v>
      </c>
      <c r="T12562" s="1095">
        <v>-35.143492000000002</v>
      </c>
    </row>
    <row r="12563" spans="16:20">
      <c r="P12563" s="1094">
        <v>5157</v>
      </c>
      <c r="Q12563" t="s">
        <v>12768</v>
      </c>
      <c r="R12563" t="s">
        <v>615</v>
      </c>
      <c r="S12563">
        <v>138.633118</v>
      </c>
      <c r="T12563" s="1095">
        <v>-35.143492000000002</v>
      </c>
    </row>
    <row r="12564" spans="16:20">
      <c r="P12564" s="1094">
        <v>5157</v>
      </c>
      <c r="Q12564" t="s">
        <v>12769</v>
      </c>
      <c r="R12564" t="s">
        <v>615</v>
      </c>
      <c r="S12564">
        <v>138.633118</v>
      </c>
      <c r="T12564" s="1095">
        <v>-35.143492000000002</v>
      </c>
    </row>
    <row r="12565" spans="16:20">
      <c r="P12565" s="1094">
        <v>5157</v>
      </c>
      <c r="Q12565" t="s">
        <v>12770</v>
      </c>
      <c r="R12565" t="s">
        <v>615</v>
      </c>
      <c r="S12565">
        <v>138.633118</v>
      </c>
      <c r="T12565" s="1095">
        <v>-35.143492000000002</v>
      </c>
    </row>
    <row r="12566" spans="16:20">
      <c r="P12566" s="1094">
        <v>5158</v>
      </c>
      <c r="Q12566" t="s">
        <v>12771</v>
      </c>
      <c r="R12566" t="s">
        <v>615</v>
      </c>
      <c r="S12566">
        <v>138.51978099999999</v>
      </c>
      <c r="T12566" s="1095">
        <v>-35.084001000000001</v>
      </c>
    </row>
    <row r="12567" spans="16:20">
      <c r="P12567" s="1094">
        <v>5158</v>
      </c>
      <c r="Q12567" t="s">
        <v>12772</v>
      </c>
      <c r="R12567" t="s">
        <v>615</v>
      </c>
      <c r="S12567">
        <v>138.51978099999999</v>
      </c>
      <c r="T12567" s="1095">
        <v>-35.084001000000001</v>
      </c>
    </row>
    <row r="12568" spans="16:20">
      <c r="P12568" s="1094">
        <v>5158</v>
      </c>
      <c r="Q12568" t="s">
        <v>12773</v>
      </c>
      <c r="R12568" t="s">
        <v>615</v>
      </c>
      <c r="S12568">
        <v>138.51978099999999</v>
      </c>
      <c r="T12568" s="1095">
        <v>-35.084001000000001</v>
      </c>
    </row>
    <row r="12569" spans="16:20">
      <c r="P12569" s="1094">
        <v>5158</v>
      </c>
      <c r="Q12569" t="s">
        <v>12774</v>
      </c>
      <c r="R12569" t="s">
        <v>615</v>
      </c>
      <c r="S12569">
        <v>138.51978099999999</v>
      </c>
      <c r="T12569" s="1095">
        <v>-35.084001000000001</v>
      </c>
    </row>
    <row r="12570" spans="16:20">
      <c r="P12570" s="1094">
        <v>5158</v>
      </c>
      <c r="Q12570" t="s">
        <v>12775</v>
      </c>
      <c r="R12570" t="s">
        <v>615</v>
      </c>
      <c r="S12570">
        <v>138.51978099999999</v>
      </c>
      <c r="T12570" s="1095">
        <v>-35.084001000000001</v>
      </c>
    </row>
    <row r="12571" spans="16:20">
      <c r="P12571" s="1094">
        <v>5159</v>
      </c>
      <c r="Q12571" t="s">
        <v>12776</v>
      </c>
      <c r="R12571" t="s">
        <v>615</v>
      </c>
      <c r="S12571">
        <v>138.60389699999999</v>
      </c>
      <c r="T12571" s="1095">
        <v>-35.061705000000003</v>
      </c>
    </row>
    <row r="12572" spans="16:20">
      <c r="P12572" s="1094">
        <v>5159</v>
      </c>
      <c r="Q12572" t="s">
        <v>12777</v>
      </c>
      <c r="R12572" t="s">
        <v>615</v>
      </c>
      <c r="S12572">
        <v>138.60389699999999</v>
      </c>
      <c r="T12572" s="1095">
        <v>-35.061705000000003</v>
      </c>
    </row>
    <row r="12573" spans="16:20">
      <c r="P12573" s="1094">
        <v>5159</v>
      </c>
      <c r="Q12573" t="s">
        <v>12778</v>
      </c>
      <c r="R12573" t="s">
        <v>615</v>
      </c>
      <c r="S12573">
        <v>138.60389699999999</v>
      </c>
      <c r="T12573" s="1095">
        <v>-35.061705000000003</v>
      </c>
    </row>
    <row r="12574" spans="16:20">
      <c r="P12574" s="1094">
        <v>5159</v>
      </c>
      <c r="Q12574" t="s">
        <v>3404</v>
      </c>
      <c r="R12574" t="s">
        <v>615</v>
      </c>
      <c r="S12574">
        <v>138.60389699999999</v>
      </c>
      <c r="T12574" s="1095">
        <v>-35.061705000000003</v>
      </c>
    </row>
    <row r="12575" spans="16:20">
      <c r="P12575" s="1094">
        <v>5160</v>
      </c>
      <c r="Q12575" t="s">
        <v>12779</v>
      </c>
      <c r="R12575" t="s">
        <v>615</v>
      </c>
      <c r="S12575">
        <v>138.50172000000001</v>
      </c>
      <c r="T12575" s="1095">
        <v>-35.110123000000002</v>
      </c>
    </row>
    <row r="12576" spans="16:20">
      <c r="P12576" s="1094">
        <v>5160</v>
      </c>
      <c r="Q12576" t="s">
        <v>12780</v>
      </c>
      <c r="R12576" t="s">
        <v>615</v>
      </c>
      <c r="S12576">
        <v>138.50172000000001</v>
      </c>
      <c r="T12576" s="1095">
        <v>-35.110123000000002</v>
      </c>
    </row>
    <row r="12577" spans="16:20">
      <c r="P12577" s="1094">
        <v>5160</v>
      </c>
      <c r="Q12577" t="s">
        <v>12781</v>
      </c>
      <c r="R12577" t="s">
        <v>615</v>
      </c>
      <c r="S12577">
        <v>138.50172000000001</v>
      </c>
      <c r="T12577" s="1095">
        <v>-35.110123000000002</v>
      </c>
    </row>
    <row r="12578" spans="16:20">
      <c r="P12578" s="1094">
        <v>5161</v>
      </c>
      <c r="Q12578" t="s">
        <v>12782</v>
      </c>
      <c r="R12578" t="s">
        <v>615</v>
      </c>
      <c r="S12578">
        <v>138.51565199999999</v>
      </c>
      <c r="T12578" s="1095">
        <v>-35.096383000000003</v>
      </c>
    </row>
    <row r="12579" spans="16:20">
      <c r="P12579" s="1094">
        <v>5161</v>
      </c>
      <c r="Q12579" t="s">
        <v>12783</v>
      </c>
      <c r="R12579" t="s">
        <v>615</v>
      </c>
      <c r="S12579">
        <v>138.51565199999999</v>
      </c>
      <c r="T12579" s="1095">
        <v>-35.096383000000003</v>
      </c>
    </row>
    <row r="12580" spans="16:20">
      <c r="P12580" s="1094">
        <v>5161</v>
      </c>
      <c r="Q12580" t="s">
        <v>12784</v>
      </c>
      <c r="R12580" t="s">
        <v>615</v>
      </c>
      <c r="S12580">
        <v>138.51565199999999</v>
      </c>
      <c r="T12580" s="1095">
        <v>-35.096383000000003</v>
      </c>
    </row>
    <row r="12581" spans="16:20">
      <c r="P12581" s="1094">
        <v>5162</v>
      </c>
      <c r="Q12581" t="s">
        <v>12785</v>
      </c>
      <c r="R12581" t="s">
        <v>615</v>
      </c>
      <c r="S12581">
        <v>138.565224</v>
      </c>
      <c r="T12581" s="1095">
        <v>-35.112119</v>
      </c>
    </row>
    <row r="12582" spans="16:20">
      <c r="P12582" s="1094">
        <v>5162</v>
      </c>
      <c r="Q12582" t="s">
        <v>5640</v>
      </c>
      <c r="R12582" t="s">
        <v>615</v>
      </c>
      <c r="S12582">
        <v>138.565224</v>
      </c>
      <c r="T12582" s="1095">
        <v>-35.112119</v>
      </c>
    </row>
    <row r="12583" spans="16:20">
      <c r="P12583" s="1094">
        <v>5163</v>
      </c>
      <c r="Q12583" t="s">
        <v>12786</v>
      </c>
      <c r="R12583" t="s">
        <v>615</v>
      </c>
      <c r="S12583">
        <v>138.552209</v>
      </c>
      <c r="T12583" s="1095">
        <v>-35.147922999999999</v>
      </c>
    </row>
    <row r="12584" spans="16:20">
      <c r="P12584" s="1094">
        <v>5163</v>
      </c>
      <c r="Q12584" t="s">
        <v>12787</v>
      </c>
      <c r="R12584" t="s">
        <v>615</v>
      </c>
      <c r="S12584">
        <v>138.552209</v>
      </c>
      <c r="T12584" s="1095">
        <v>-35.147922999999999</v>
      </c>
    </row>
    <row r="12585" spans="16:20">
      <c r="P12585" s="1094">
        <v>5163</v>
      </c>
      <c r="Q12585" t="s">
        <v>12788</v>
      </c>
      <c r="R12585" t="s">
        <v>615</v>
      </c>
      <c r="S12585">
        <v>138.552209</v>
      </c>
      <c r="T12585" s="1095">
        <v>-35.147922999999999</v>
      </c>
    </row>
    <row r="12586" spans="16:20">
      <c r="P12586" s="1094">
        <v>5163</v>
      </c>
      <c r="Q12586" t="s">
        <v>12789</v>
      </c>
      <c r="R12586" t="s">
        <v>615</v>
      </c>
      <c r="S12586">
        <v>138.552209</v>
      </c>
      <c r="T12586" s="1095">
        <v>-35.147922999999999</v>
      </c>
    </row>
    <row r="12587" spans="16:20">
      <c r="P12587" s="1094">
        <v>5164</v>
      </c>
      <c r="Q12587" t="s">
        <v>12790</v>
      </c>
      <c r="R12587" t="s">
        <v>615</v>
      </c>
      <c r="S12587">
        <v>138.50036499999999</v>
      </c>
      <c r="T12587" s="1095">
        <v>-35.124823999999997</v>
      </c>
    </row>
    <row r="12588" spans="16:20">
      <c r="P12588" s="1094">
        <v>5165</v>
      </c>
      <c r="Q12588" t="s">
        <v>12791</v>
      </c>
      <c r="R12588" t="s">
        <v>615</v>
      </c>
      <c r="S12588">
        <v>138.47509199999999</v>
      </c>
      <c r="T12588" s="1095">
        <v>-35.137388999999999</v>
      </c>
    </row>
    <row r="12589" spans="16:20">
      <c r="P12589" s="1094">
        <v>5165</v>
      </c>
      <c r="Q12589" t="s">
        <v>12792</v>
      </c>
      <c r="R12589" t="s">
        <v>615</v>
      </c>
      <c r="S12589">
        <v>138.47509199999999</v>
      </c>
      <c r="T12589" s="1095">
        <v>-35.137388999999999</v>
      </c>
    </row>
    <row r="12590" spans="16:20">
      <c r="P12590" s="1094">
        <v>5166</v>
      </c>
      <c r="Q12590" t="s">
        <v>12793</v>
      </c>
      <c r="R12590" t="s">
        <v>615</v>
      </c>
      <c r="S12590">
        <v>138.473209</v>
      </c>
      <c r="T12590" s="1095">
        <v>-35.124125999999997</v>
      </c>
    </row>
    <row r="12591" spans="16:20">
      <c r="P12591" s="1094">
        <v>5167</v>
      </c>
      <c r="Q12591" t="s">
        <v>12794</v>
      </c>
      <c r="R12591" t="s">
        <v>615</v>
      </c>
      <c r="S12591">
        <v>138.481211</v>
      </c>
      <c r="T12591" s="1095">
        <v>-35.166865999999999</v>
      </c>
    </row>
    <row r="12592" spans="16:20">
      <c r="P12592" s="1094">
        <v>5167</v>
      </c>
      <c r="Q12592" t="s">
        <v>12795</v>
      </c>
      <c r="R12592" t="s">
        <v>615</v>
      </c>
      <c r="S12592">
        <v>138.481211</v>
      </c>
      <c r="T12592" s="1095">
        <v>-35.166865999999999</v>
      </c>
    </row>
    <row r="12593" spans="16:20">
      <c r="P12593" s="1094">
        <v>5168</v>
      </c>
      <c r="Q12593" t="s">
        <v>12796</v>
      </c>
      <c r="R12593" t="s">
        <v>615</v>
      </c>
      <c r="S12593">
        <v>138.49632</v>
      </c>
      <c r="T12593" s="1095">
        <v>-35.149737000000002</v>
      </c>
    </row>
    <row r="12594" spans="16:20">
      <c r="P12594" s="1094">
        <v>5168</v>
      </c>
      <c r="Q12594" t="s">
        <v>12797</v>
      </c>
      <c r="R12594" t="s">
        <v>615</v>
      </c>
      <c r="S12594">
        <v>138.49632</v>
      </c>
      <c r="T12594" s="1095">
        <v>-35.149737000000002</v>
      </c>
    </row>
    <row r="12595" spans="16:20">
      <c r="P12595" s="1094">
        <v>5168</v>
      </c>
      <c r="Q12595" t="s">
        <v>12798</v>
      </c>
      <c r="R12595" t="s">
        <v>615</v>
      </c>
      <c r="S12595">
        <v>138.49632</v>
      </c>
      <c r="T12595" s="1095">
        <v>-35.149737000000002</v>
      </c>
    </row>
    <row r="12596" spans="16:20">
      <c r="P12596" s="1094">
        <v>5169</v>
      </c>
      <c r="Q12596" t="s">
        <v>12799</v>
      </c>
      <c r="R12596" t="s">
        <v>615</v>
      </c>
      <c r="S12596">
        <v>138.477958</v>
      </c>
      <c r="T12596" s="1095">
        <v>-35.194211000000003</v>
      </c>
    </row>
    <row r="12597" spans="16:20">
      <c r="P12597" s="1094">
        <v>5169</v>
      </c>
      <c r="Q12597" t="s">
        <v>6771</v>
      </c>
      <c r="R12597" t="s">
        <v>615</v>
      </c>
      <c r="S12597">
        <v>138.477958</v>
      </c>
      <c r="T12597" s="1095">
        <v>-35.194211000000003</v>
      </c>
    </row>
    <row r="12598" spans="16:20">
      <c r="P12598" s="1094">
        <v>5169</v>
      </c>
      <c r="Q12598" t="s">
        <v>12800</v>
      </c>
      <c r="R12598" t="s">
        <v>615</v>
      </c>
      <c r="S12598">
        <v>138.477958</v>
      </c>
      <c r="T12598" s="1095">
        <v>-35.194211000000003</v>
      </c>
    </row>
    <row r="12599" spans="16:20">
      <c r="P12599" s="1094">
        <v>5169</v>
      </c>
      <c r="Q12599" t="s">
        <v>12801</v>
      </c>
      <c r="R12599" t="s">
        <v>615</v>
      </c>
      <c r="S12599">
        <v>138.477958</v>
      </c>
      <c r="T12599" s="1095">
        <v>-35.194211000000003</v>
      </c>
    </row>
    <row r="12600" spans="16:20">
      <c r="P12600" s="1094">
        <v>5169</v>
      </c>
      <c r="Q12600" t="s">
        <v>12802</v>
      </c>
      <c r="R12600" t="s">
        <v>615</v>
      </c>
      <c r="S12600">
        <v>138.477958</v>
      </c>
      <c r="T12600" s="1095">
        <v>-35.194211000000003</v>
      </c>
    </row>
    <row r="12601" spans="16:20">
      <c r="P12601" s="1094">
        <v>5170</v>
      </c>
      <c r="Q12601" t="s">
        <v>12803</v>
      </c>
      <c r="R12601" t="s">
        <v>615</v>
      </c>
      <c r="S12601">
        <v>138.47894299999999</v>
      </c>
      <c r="T12601" s="1095">
        <v>-35.237265000000001</v>
      </c>
    </row>
    <row r="12602" spans="16:20">
      <c r="P12602" s="1094">
        <v>5171</v>
      </c>
      <c r="Q12602" t="s">
        <v>12804</v>
      </c>
      <c r="R12602" t="s">
        <v>615</v>
      </c>
      <c r="S12602">
        <v>138.553437</v>
      </c>
      <c r="T12602" s="1095">
        <v>-35.196480999999999</v>
      </c>
    </row>
    <row r="12603" spans="16:20">
      <c r="P12603" s="1094">
        <v>5171</v>
      </c>
      <c r="Q12603" t="s">
        <v>12805</v>
      </c>
      <c r="R12603" t="s">
        <v>615</v>
      </c>
      <c r="S12603">
        <v>138.553437</v>
      </c>
      <c r="T12603" s="1095">
        <v>-35.196480999999999</v>
      </c>
    </row>
    <row r="12604" spans="16:20">
      <c r="P12604" s="1094">
        <v>5171</v>
      </c>
      <c r="Q12604" t="s">
        <v>12806</v>
      </c>
      <c r="R12604" t="s">
        <v>615</v>
      </c>
      <c r="S12604">
        <v>138.553437</v>
      </c>
      <c r="T12604" s="1095">
        <v>-35.196480999999999</v>
      </c>
    </row>
    <row r="12605" spans="16:20">
      <c r="P12605" s="1094">
        <v>5171</v>
      </c>
      <c r="Q12605" t="s">
        <v>12807</v>
      </c>
      <c r="R12605" t="s">
        <v>615</v>
      </c>
      <c r="S12605">
        <v>138.553437</v>
      </c>
      <c r="T12605" s="1095">
        <v>-35.196480999999999</v>
      </c>
    </row>
    <row r="12606" spans="16:20">
      <c r="P12606" s="1094">
        <v>5171</v>
      </c>
      <c r="Q12606" t="s">
        <v>12808</v>
      </c>
      <c r="R12606" t="s">
        <v>615</v>
      </c>
      <c r="S12606">
        <v>138.553437</v>
      </c>
      <c r="T12606" s="1095">
        <v>-35.196480999999999</v>
      </c>
    </row>
    <row r="12607" spans="16:20">
      <c r="P12607" s="1094">
        <v>5172</v>
      </c>
      <c r="Q12607" t="s">
        <v>12809</v>
      </c>
      <c r="R12607" t="s">
        <v>615</v>
      </c>
      <c r="S12607">
        <v>138.55516900000001</v>
      </c>
      <c r="T12607" s="1095">
        <v>-35.287750000000003</v>
      </c>
    </row>
    <row r="12608" spans="16:20">
      <c r="P12608" s="1094">
        <v>5172</v>
      </c>
      <c r="Q12608" t="s">
        <v>12810</v>
      </c>
      <c r="R12608" t="s">
        <v>615</v>
      </c>
      <c r="S12608">
        <v>138.55516900000001</v>
      </c>
      <c r="T12608" s="1095">
        <v>-35.287750000000003</v>
      </c>
    </row>
    <row r="12609" spans="16:20">
      <c r="P12609" s="1094">
        <v>5172</v>
      </c>
      <c r="Q12609" t="s">
        <v>12811</v>
      </c>
      <c r="R12609" t="s">
        <v>615</v>
      </c>
      <c r="S12609">
        <v>138.55516900000001</v>
      </c>
      <c r="T12609" s="1095">
        <v>-35.287750000000003</v>
      </c>
    </row>
    <row r="12610" spans="16:20">
      <c r="P12610" s="1094">
        <v>5172</v>
      </c>
      <c r="Q12610" t="s">
        <v>12812</v>
      </c>
      <c r="R12610" t="s">
        <v>615</v>
      </c>
      <c r="S12610">
        <v>138.55516900000001</v>
      </c>
      <c r="T12610" s="1095">
        <v>-35.287750000000003</v>
      </c>
    </row>
    <row r="12611" spans="16:20">
      <c r="P12611" s="1094">
        <v>5172</v>
      </c>
      <c r="Q12611" t="s">
        <v>12813</v>
      </c>
      <c r="R12611" t="s">
        <v>615</v>
      </c>
      <c r="S12611">
        <v>138.55516900000001</v>
      </c>
      <c r="T12611" s="1095">
        <v>-35.287750000000003</v>
      </c>
    </row>
    <row r="12612" spans="16:20">
      <c r="P12612" s="1094">
        <v>5172</v>
      </c>
      <c r="Q12612" t="s">
        <v>12814</v>
      </c>
      <c r="R12612" t="s">
        <v>615</v>
      </c>
      <c r="S12612">
        <v>138.55516900000001</v>
      </c>
      <c r="T12612" s="1095">
        <v>-35.287750000000003</v>
      </c>
    </row>
    <row r="12613" spans="16:20">
      <c r="P12613" s="1094">
        <v>5172</v>
      </c>
      <c r="Q12613" t="s">
        <v>12815</v>
      </c>
      <c r="R12613" t="s">
        <v>615</v>
      </c>
      <c r="S12613">
        <v>138.55516900000001</v>
      </c>
      <c r="T12613" s="1095">
        <v>-35.287750000000003</v>
      </c>
    </row>
    <row r="12614" spans="16:20">
      <c r="P12614" s="1094">
        <v>5172</v>
      </c>
      <c r="Q12614" t="s">
        <v>11380</v>
      </c>
      <c r="R12614" t="s">
        <v>615</v>
      </c>
      <c r="S12614">
        <v>138.55516900000001</v>
      </c>
      <c r="T12614" s="1095">
        <v>-35.287750000000003</v>
      </c>
    </row>
    <row r="12615" spans="16:20">
      <c r="P12615" s="1094">
        <v>5172</v>
      </c>
      <c r="Q12615" t="s">
        <v>12816</v>
      </c>
      <c r="R12615" t="s">
        <v>615</v>
      </c>
      <c r="S12615">
        <v>138.55516900000001</v>
      </c>
      <c r="T12615" s="1095">
        <v>-35.287750000000003</v>
      </c>
    </row>
    <row r="12616" spans="16:20">
      <c r="P12616" s="1094">
        <v>5172</v>
      </c>
      <c r="Q12616" t="s">
        <v>12817</v>
      </c>
      <c r="R12616" t="s">
        <v>615</v>
      </c>
      <c r="S12616">
        <v>138.55516900000001</v>
      </c>
      <c r="T12616" s="1095">
        <v>-35.287750000000003</v>
      </c>
    </row>
    <row r="12617" spans="16:20">
      <c r="P12617" s="1094">
        <v>5172</v>
      </c>
      <c r="Q12617" t="s">
        <v>12818</v>
      </c>
      <c r="R12617" t="s">
        <v>615</v>
      </c>
      <c r="S12617">
        <v>138.55516900000001</v>
      </c>
      <c r="T12617" s="1095">
        <v>-35.287750000000003</v>
      </c>
    </row>
    <row r="12618" spans="16:20">
      <c r="P12618" s="1094">
        <v>5172</v>
      </c>
      <c r="Q12618" t="s">
        <v>12819</v>
      </c>
      <c r="R12618" t="s">
        <v>615</v>
      </c>
      <c r="S12618">
        <v>138.55516900000001</v>
      </c>
      <c r="T12618" s="1095">
        <v>-35.287750000000003</v>
      </c>
    </row>
    <row r="12619" spans="16:20">
      <c r="P12619" s="1094">
        <v>5172</v>
      </c>
      <c r="Q12619" t="s">
        <v>12820</v>
      </c>
      <c r="R12619" t="s">
        <v>615</v>
      </c>
      <c r="S12619">
        <v>138.55516900000001</v>
      </c>
      <c r="T12619" s="1095">
        <v>-35.287750000000003</v>
      </c>
    </row>
    <row r="12620" spans="16:20">
      <c r="P12620" s="1094">
        <v>5173</v>
      </c>
      <c r="Q12620" t="s">
        <v>12821</v>
      </c>
      <c r="R12620" t="s">
        <v>615</v>
      </c>
      <c r="S12620">
        <v>138.47000199999999</v>
      </c>
      <c r="T12620" s="1095">
        <v>-35.290568</v>
      </c>
    </row>
    <row r="12621" spans="16:20">
      <c r="P12621" s="1094">
        <v>5173</v>
      </c>
      <c r="Q12621" t="s">
        <v>12822</v>
      </c>
      <c r="R12621" t="s">
        <v>615</v>
      </c>
      <c r="S12621">
        <v>138.47000199999999</v>
      </c>
      <c r="T12621" s="1095">
        <v>-35.290568</v>
      </c>
    </row>
    <row r="12622" spans="16:20">
      <c r="P12622" s="1094">
        <v>5173</v>
      </c>
      <c r="Q12622" t="s">
        <v>12823</v>
      </c>
      <c r="R12622" t="s">
        <v>615</v>
      </c>
      <c r="S12622">
        <v>138.47000199999999</v>
      </c>
      <c r="T12622" s="1095">
        <v>-35.290568</v>
      </c>
    </row>
    <row r="12623" spans="16:20">
      <c r="P12623" s="1094">
        <v>5173</v>
      </c>
      <c r="Q12623" t="s">
        <v>12824</v>
      </c>
      <c r="R12623" t="s">
        <v>615</v>
      </c>
      <c r="S12623">
        <v>138.47000199999999</v>
      </c>
      <c r="T12623" s="1095">
        <v>-35.290568</v>
      </c>
    </row>
    <row r="12624" spans="16:20">
      <c r="P12624" s="1094">
        <v>5174</v>
      </c>
      <c r="Q12624" t="s">
        <v>12825</v>
      </c>
      <c r="R12624" t="s">
        <v>615</v>
      </c>
      <c r="S12624">
        <v>138.47117</v>
      </c>
      <c r="T12624" s="1095">
        <v>-35.330568999999997</v>
      </c>
    </row>
    <row r="12625" spans="16:20">
      <c r="P12625" s="1094">
        <v>5174</v>
      </c>
      <c r="Q12625" t="s">
        <v>12826</v>
      </c>
      <c r="R12625" t="s">
        <v>615</v>
      </c>
      <c r="S12625">
        <v>138.47117</v>
      </c>
      <c r="T12625" s="1095">
        <v>-35.330568999999997</v>
      </c>
    </row>
    <row r="12626" spans="16:20">
      <c r="P12626" s="1094">
        <v>5201</v>
      </c>
      <c r="Q12626" t="s">
        <v>12827</v>
      </c>
      <c r="R12626" t="s">
        <v>615</v>
      </c>
      <c r="S12626">
        <v>138.72717900000001</v>
      </c>
      <c r="T12626" s="1095">
        <v>-35.206107000000003</v>
      </c>
    </row>
    <row r="12627" spans="16:20">
      <c r="P12627" s="1094">
        <v>5201</v>
      </c>
      <c r="Q12627" t="s">
        <v>12828</v>
      </c>
      <c r="R12627" t="s">
        <v>615</v>
      </c>
      <c r="S12627">
        <v>138.72717900000001</v>
      </c>
      <c r="T12627" s="1095">
        <v>-35.206107000000003</v>
      </c>
    </row>
    <row r="12628" spans="16:20">
      <c r="P12628" s="1094">
        <v>5201</v>
      </c>
      <c r="Q12628" t="s">
        <v>12829</v>
      </c>
      <c r="R12628" t="s">
        <v>615</v>
      </c>
      <c r="S12628">
        <v>138.72717900000001</v>
      </c>
      <c r="T12628" s="1095">
        <v>-35.206107000000003</v>
      </c>
    </row>
    <row r="12629" spans="16:20">
      <c r="P12629" s="1094">
        <v>5201</v>
      </c>
      <c r="Q12629" t="s">
        <v>12830</v>
      </c>
      <c r="R12629" t="s">
        <v>615</v>
      </c>
      <c r="S12629">
        <v>138.72717900000001</v>
      </c>
      <c r="T12629" s="1095">
        <v>-35.206107000000003</v>
      </c>
    </row>
    <row r="12630" spans="16:20">
      <c r="P12630" s="1094">
        <v>5202</v>
      </c>
      <c r="Q12630" t="s">
        <v>12831</v>
      </c>
      <c r="R12630" t="s">
        <v>615</v>
      </c>
      <c r="S12630">
        <v>138.505922</v>
      </c>
      <c r="T12630" s="1095">
        <v>-35.386024999999997</v>
      </c>
    </row>
    <row r="12631" spans="16:20">
      <c r="P12631" s="1094">
        <v>5202</v>
      </c>
      <c r="Q12631" t="s">
        <v>12832</v>
      </c>
      <c r="R12631" t="s">
        <v>615</v>
      </c>
      <c r="S12631">
        <v>138.505922</v>
      </c>
      <c r="T12631" s="1095">
        <v>-35.386024999999997</v>
      </c>
    </row>
    <row r="12632" spans="16:20">
      <c r="P12632" s="1094">
        <v>5202</v>
      </c>
      <c r="Q12632" t="s">
        <v>12833</v>
      </c>
      <c r="R12632" t="s">
        <v>615</v>
      </c>
      <c r="S12632">
        <v>138.505922</v>
      </c>
      <c r="T12632" s="1095">
        <v>-35.386024999999997</v>
      </c>
    </row>
    <row r="12633" spans="16:20">
      <c r="P12633" s="1094">
        <v>5203</v>
      </c>
      <c r="Q12633" t="s">
        <v>4434</v>
      </c>
      <c r="R12633" t="s">
        <v>615</v>
      </c>
      <c r="S12633">
        <v>138.38813200000001</v>
      </c>
      <c r="T12633" s="1095">
        <v>-35.450839000000002</v>
      </c>
    </row>
    <row r="12634" spans="16:20">
      <c r="P12634" s="1094">
        <v>5203</v>
      </c>
      <c r="Q12634" t="s">
        <v>12834</v>
      </c>
      <c r="R12634" t="s">
        <v>615</v>
      </c>
      <c r="S12634">
        <v>138.38813200000001</v>
      </c>
      <c r="T12634" s="1095">
        <v>-35.450839000000002</v>
      </c>
    </row>
    <row r="12635" spans="16:20">
      <c r="P12635" s="1094">
        <v>5203</v>
      </c>
      <c r="Q12635" t="s">
        <v>12835</v>
      </c>
      <c r="R12635" t="s">
        <v>615</v>
      </c>
      <c r="S12635">
        <v>138.38813200000001</v>
      </c>
      <c r="T12635" s="1095">
        <v>-35.450839000000002</v>
      </c>
    </row>
    <row r="12636" spans="16:20">
      <c r="P12636" s="1094">
        <v>5203</v>
      </c>
      <c r="Q12636" t="s">
        <v>12836</v>
      </c>
      <c r="R12636" t="s">
        <v>615</v>
      </c>
      <c r="S12636">
        <v>138.38813200000001</v>
      </c>
      <c r="T12636" s="1095">
        <v>-35.450839000000002</v>
      </c>
    </row>
    <row r="12637" spans="16:20">
      <c r="P12637" s="1094">
        <v>5203</v>
      </c>
      <c r="Q12637" t="s">
        <v>5837</v>
      </c>
      <c r="R12637" t="s">
        <v>615</v>
      </c>
      <c r="S12637">
        <v>138.38813200000001</v>
      </c>
      <c r="T12637" s="1095">
        <v>-35.450839000000002</v>
      </c>
    </row>
    <row r="12638" spans="16:20">
      <c r="P12638" s="1094">
        <v>5203</v>
      </c>
      <c r="Q12638" t="s">
        <v>12837</v>
      </c>
      <c r="R12638" t="s">
        <v>615</v>
      </c>
      <c r="S12638">
        <v>138.38813200000001</v>
      </c>
      <c r="T12638" s="1095">
        <v>-35.450839000000002</v>
      </c>
    </row>
    <row r="12639" spans="16:20">
      <c r="P12639" s="1094">
        <v>5204</v>
      </c>
      <c r="Q12639" t="s">
        <v>12838</v>
      </c>
      <c r="R12639" t="s">
        <v>615</v>
      </c>
      <c r="S12639">
        <v>138.324567</v>
      </c>
      <c r="T12639" s="1095">
        <v>-35.572164000000001</v>
      </c>
    </row>
    <row r="12640" spans="16:20">
      <c r="P12640" s="1094">
        <v>5204</v>
      </c>
      <c r="Q12640" t="s">
        <v>12839</v>
      </c>
      <c r="R12640" t="s">
        <v>615</v>
      </c>
      <c r="S12640">
        <v>138.324567</v>
      </c>
      <c r="T12640" s="1095">
        <v>-35.572164000000001</v>
      </c>
    </row>
    <row r="12641" spans="16:20">
      <c r="P12641" s="1094">
        <v>5204</v>
      </c>
      <c r="Q12641" t="s">
        <v>3455</v>
      </c>
      <c r="R12641" t="s">
        <v>615</v>
      </c>
      <c r="S12641">
        <v>138.324567</v>
      </c>
      <c r="T12641" s="1095">
        <v>-35.572164000000001</v>
      </c>
    </row>
    <row r="12642" spans="16:20">
      <c r="P12642" s="1094">
        <v>5204</v>
      </c>
      <c r="Q12642" t="s">
        <v>12840</v>
      </c>
      <c r="R12642" t="s">
        <v>615</v>
      </c>
      <c r="S12642">
        <v>138.324567</v>
      </c>
      <c r="T12642" s="1095">
        <v>-35.572164000000001</v>
      </c>
    </row>
    <row r="12643" spans="16:20">
      <c r="P12643" s="1094">
        <v>5204</v>
      </c>
      <c r="Q12643" t="s">
        <v>12841</v>
      </c>
      <c r="R12643" t="s">
        <v>615</v>
      </c>
      <c r="S12643">
        <v>138.324567</v>
      </c>
      <c r="T12643" s="1095">
        <v>-35.572164000000001</v>
      </c>
    </row>
    <row r="12644" spans="16:20">
      <c r="P12644" s="1094">
        <v>5204</v>
      </c>
      <c r="Q12644" t="s">
        <v>8149</v>
      </c>
      <c r="R12644" t="s">
        <v>615</v>
      </c>
      <c r="S12644">
        <v>138.324567</v>
      </c>
      <c r="T12644" s="1095">
        <v>-35.572164000000001</v>
      </c>
    </row>
    <row r="12645" spans="16:20">
      <c r="P12645" s="1094">
        <v>5204</v>
      </c>
      <c r="Q12645" t="s">
        <v>12842</v>
      </c>
      <c r="R12645" t="s">
        <v>615</v>
      </c>
      <c r="S12645">
        <v>138.324567</v>
      </c>
      <c r="T12645" s="1095">
        <v>-35.572164000000001</v>
      </c>
    </row>
    <row r="12646" spans="16:20">
      <c r="P12646" s="1094">
        <v>5204</v>
      </c>
      <c r="Q12646" t="s">
        <v>12843</v>
      </c>
      <c r="R12646" t="s">
        <v>615</v>
      </c>
      <c r="S12646">
        <v>138.324567</v>
      </c>
      <c r="T12646" s="1095">
        <v>-35.572164000000001</v>
      </c>
    </row>
    <row r="12647" spans="16:20">
      <c r="P12647" s="1094">
        <v>5204</v>
      </c>
      <c r="Q12647" t="s">
        <v>6321</v>
      </c>
      <c r="R12647" t="s">
        <v>615</v>
      </c>
      <c r="S12647">
        <v>138.324567</v>
      </c>
      <c r="T12647" s="1095">
        <v>-35.572164000000001</v>
      </c>
    </row>
    <row r="12648" spans="16:20">
      <c r="P12648" s="1094">
        <v>5204</v>
      </c>
      <c r="Q12648" t="s">
        <v>12844</v>
      </c>
      <c r="R12648" t="s">
        <v>615</v>
      </c>
      <c r="S12648">
        <v>138.324567</v>
      </c>
      <c r="T12648" s="1095">
        <v>-35.572164000000001</v>
      </c>
    </row>
    <row r="12649" spans="16:20">
      <c r="P12649" s="1094">
        <v>5210</v>
      </c>
      <c r="Q12649" t="s">
        <v>12845</v>
      </c>
      <c r="R12649" t="s">
        <v>615</v>
      </c>
      <c r="S12649">
        <v>138.65568400000001</v>
      </c>
      <c r="T12649" s="1095">
        <v>-35.387709000000001</v>
      </c>
    </row>
    <row r="12650" spans="16:20">
      <c r="P12650" s="1094">
        <v>5210</v>
      </c>
      <c r="Q12650" t="s">
        <v>12846</v>
      </c>
      <c r="R12650" t="s">
        <v>615</v>
      </c>
      <c r="S12650">
        <v>138.65568400000001</v>
      </c>
      <c r="T12650" s="1095">
        <v>-35.387709000000001</v>
      </c>
    </row>
    <row r="12651" spans="16:20">
      <c r="P12651" s="1094">
        <v>5210</v>
      </c>
      <c r="Q12651" t="s">
        <v>12847</v>
      </c>
      <c r="R12651" t="s">
        <v>615</v>
      </c>
      <c r="S12651">
        <v>138.65568400000001</v>
      </c>
      <c r="T12651" s="1095">
        <v>-35.387709000000001</v>
      </c>
    </row>
    <row r="12652" spans="16:20">
      <c r="P12652" s="1094">
        <v>5211</v>
      </c>
      <c r="Q12652" t="s">
        <v>12848</v>
      </c>
      <c r="R12652" t="s">
        <v>615</v>
      </c>
      <c r="S12652">
        <v>138.62797499999999</v>
      </c>
      <c r="T12652" s="1095">
        <v>-35.566153</v>
      </c>
    </row>
    <row r="12653" spans="16:20">
      <c r="P12653" s="1094">
        <v>5211</v>
      </c>
      <c r="Q12653" t="s">
        <v>12849</v>
      </c>
      <c r="R12653" t="s">
        <v>615</v>
      </c>
      <c r="S12653">
        <v>138.62797499999999</v>
      </c>
      <c r="T12653" s="1095">
        <v>-35.566153</v>
      </c>
    </row>
    <row r="12654" spans="16:20">
      <c r="P12654" s="1094">
        <v>5211</v>
      </c>
      <c r="Q12654" t="s">
        <v>12850</v>
      </c>
      <c r="R12654" t="s">
        <v>615</v>
      </c>
      <c r="S12654">
        <v>138.62797499999999</v>
      </c>
      <c r="T12654" s="1095">
        <v>-35.566153</v>
      </c>
    </row>
    <row r="12655" spans="16:20">
      <c r="P12655" s="1094">
        <v>5211</v>
      </c>
      <c r="Q12655" t="s">
        <v>12851</v>
      </c>
      <c r="R12655" t="s">
        <v>615</v>
      </c>
      <c r="S12655">
        <v>138.62797499999999</v>
      </c>
      <c r="T12655" s="1095">
        <v>-35.566153</v>
      </c>
    </row>
    <row r="12656" spans="16:20">
      <c r="P12656" s="1094">
        <v>5211</v>
      </c>
      <c r="Q12656" t="s">
        <v>12852</v>
      </c>
      <c r="R12656" t="s">
        <v>615</v>
      </c>
      <c r="S12656">
        <v>138.62797499999999</v>
      </c>
      <c r="T12656" s="1095">
        <v>-35.566153</v>
      </c>
    </row>
    <row r="12657" spans="16:20">
      <c r="P12657" s="1094">
        <v>5211</v>
      </c>
      <c r="Q12657" t="s">
        <v>12853</v>
      </c>
      <c r="R12657" t="s">
        <v>615</v>
      </c>
      <c r="S12657">
        <v>138.62797499999999</v>
      </c>
      <c r="T12657" s="1095">
        <v>-35.566153</v>
      </c>
    </row>
    <row r="12658" spans="16:20">
      <c r="P12658" s="1094">
        <v>5211</v>
      </c>
      <c r="Q12658" t="s">
        <v>12854</v>
      </c>
      <c r="R12658" t="s">
        <v>615</v>
      </c>
      <c r="S12658">
        <v>138.62797499999999</v>
      </c>
      <c r="T12658" s="1095">
        <v>-35.566153</v>
      </c>
    </row>
    <row r="12659" spans="16:20">
      <c r="P12659" s="1094">
        <v>5211</v>
      </c>
      <c r="Q12659" t="s">
        <v>12855</v>
      </c>
      <c r="R12659" t="s">
        <v>615</v>
      </c>
      <c r="S12659">
        <v>138.62797499999999</v>
      </c>
      <c r="T12659" s="1095">
        <v>-35.566153</v>
      </c>
    </row>
    <row r="12660" spans="16:20">
      <c r="P12660" s="1094">
        <v>5211</v>
      </c>
      <c r="Q12660" t="s">
        <v>12856</v>
      </c>
      <c r="R12660" t="s">
        <v>615</v>
      </c>
      <c r="S12660">
        <v>138.62797499999999</v>
      </c>
      <c r="T12660" s="1095">
        <v>-35.566153</v>
      </c>
    </row>
    <row r="12661" spans="16:20">
      <c r="P12661" s="1094">
        <v>5211</v>
      </c>
      <c r="Q12661" t="s">
        <v>12857</v>
      </c>
      <c r="R12661" t="s">
        <v>615</v>
      </c>
      <c r="S12661">
        <v>138.62797499999999</v>
      </c>
      <c r="T12661" s="1095">
        <v>-35.566153</v>
      </c>
    </row>
    <row r="12662" spans="16:20">
      <c r="P12662" s="1094">
        <v>5211</v>
      </c>
      <c r="Q12662" t="s">
        <v>12858</v>
      </c>
      <c r="R12662" t="s">
        <v>615</v>
      </c>
      <c r="S12662">
        <v>138.62797499999999</v>
      </c>
      <c r="T12662" s="1095">
        <v>-35.566153</v>
      </c>
    </row>
    <row r="12663" spans="16:20">
      <c r="P12663" s="1094">
        <v>5211</v>
      </c>
      <c r="Q12663" t="s">
        <v>12859</v>
      </c>
      <c r="R12663" t="s">
        <v>615</v>
      </c>
      <c r="S12663">
        <v>138.62797499999999</v>
      </c>
      <c r="T12663" s="1095">
        <v>-35.566153</v>
      </c>
    </row>
    <row r="12664" spans="16:20">
      <c r="P12664" s="1094">
        <v>5212</v>
      </c>
      <c r="Q12664" t="s">
        <v>12860</v>
      </c>
      <c r="R12664" t="s">
        <v>615</v>
      </c>
      <c r="S12664">
        <v>138.66877500000001</v>
      </c>
      <c r="T12664" s="1095">
        <v>-35.520797000000002</v>
      </c>
    </row>
    <row r="12665" spans="16:20">
      <c r="P12665" s="1094">
        <v>5213</v>
      </c>
      <c r="Q12665" t="s">
        <v>11593</v>
      </c>
      <c r="R12665" t="s">
        <v>615</v>
      </c>
      <c r="S12665">
        <v>138.710195</v>
      </c>
      <c r="T12665" s="1095">
        <v>-35.500615000000003</v>
      </c>
    </row>
    <row r="12666" spans="16:20">
      <c r="P12666" s="1094">
        <v>5214</v>
      </c>
      <c r="Q12666" t="s">
        <v>12861</v>
      </c>
      <c r="R12666" t="s">
        <v>615</v>
      </c>
      <c r="S12666">
        <v>138.83480599999999</v>
      </c>
      <c r="T12666" s="1095">
        <v>-35.491205999999998</v>
      </c>
    </row>
    <row r="12667" spans="16:20">
      <c r="P12667" s="1094">
        <v>5214</v>
      </c>
      <c r="Q12667" t="s">
        <v>12862</v>
      </c>
      <c r="R12667" t="s">
        <v>615</v>
      </c>
      <c r="S12667">
        <v>138.83480599999999</v>
      </c>
      <c r="T12667" s="1095">
        <v>-35.491205999999998</v>
      </c>
    </row>
    <row r="12668" spans="16:20">
      <c r="P12668" s="1094">
        <v>5214</v>
      </c>
      <c r="Q12668" t="s">
        <v>12863</v>
      </c>
      <c r="R12668" t="s">
        <v>615</v>
      </c>
      <c r="S12668">
        <v>138.83480599999999</v>
      </c>
      <c r="T12668" s="1095">
        <v>-35.491205999999998</v>
      </c>
    </row>
    <row r="12669" spans="16:20">
      <c r="P12669" s="1094">
        <v>5214</v>
      </c>
      <c r="Q12669" t="s">
        <v>12864</v>
      </c>
      <c r="R12669" t="s">
        <v>615</v>
      </c>
      <c r="S12669">
        <v>138.83480599999999</v>
      </c>
      <c r="T12669" s="1095">
        <v>-35.491205999999998</v>
      </c>
    </row>
    <row r="12670" spans="16:20">
      <c r="P12670" s="1094">
        <v>5214</v>
      </c>
      <c r="Q12670" t="s">
        <v>12865</v>
      </c>
      <c r="R12670" t="s">
        <v>615</v>
      </c>
      <c r="S12670">
        <v>138.83480599999999</v>
      </c>
      <c r="T12670" s="1095">
        <v>-35.491205999999998</v>
      </c>
    </row>
    <row r="12671" spans="16:20">
      <c r="P12671" s="1094">
        <v>5214</v>
      </c>
      <c r="Q12671" t="s">
        <v>12866</v>
      </c>
      <c r="R12671" t="s">
        <v>615</v>
      </c>
      <c r="S12671">
        <v>138.83480599999999</v>
      </c>
      <c r="T12671" s="1095">
        <v>-35.491205999999998</v>
      </c>
    </row>
    <row r="12672" spans="16:20">
      <c r="P12672" s="1094">
        <v>5214</v>
      </c>
      <c r="Q12672" t="s">
        <v>12867</v>
      </c>
      <c r="R12672" t="s">
        <v>615</v>
      </c>
      <c r="S12672">
        <v>138.83480599999999</v>
      </c>
      <c r="T12672" s="1095">
        <v>-35.491205999999998</v>
      </c>
    </row>
    <row r="12673" spans="16:20">
      <c r="P12673" s="1094">
        <v>5214</v>
      </c>
      <c r="Q12673" t="s">
        <v>12868</v>
      </c>
      <c r="R12673" t="s">
        <v>615</v>
      </c>
      <c r="S12673">
        <v>138.83480599999999</v>
      </c>
      <c r="T12673" s="1095">
        <v>-35.491205999999998</v>
      </c>
    </row>
    <row r="12674" spans="16:20">
      <c r="P12674" s="1094">
        <v>5220</v>
      </c>
      <c r="Q12674" t="s">
        <v>12869</v>
      </c>
      <c r="R12674" t="s">
        <v>615</v>
      </c>
      <c r="S12674">
        <v>137.23674600000001</v>
      </c>
      <c r="T12674" s="1095">
        <v>-35.744959000000001</v>
      </c>
    </row>
    <row r="12675" spans="16:20">
      <c r="P12675" s="1094">
        <v>5221</v>
      </c>
      <c r="Q12675" t="s">
        <v>12870</v>
      </c>
      <c r="R12675" t="s">
        <v>615</v>
      </c>
      <c r="S12675">
        <v>137.72022000000001</v>
      </c>
      <c r="T12675" s="1095">
        <v>-35.793776000000001</v>
      </c>
    </row>
    <row r="12676" spans="16:20">
      <c r="P12676" s="1094">
        <v>5221</v>
      </c>
      <c r="Q12676" t="s">
        <v>12871</v>
      </c>
      <c r="R12676" t="s">
        <v>615</v>
      </c>
      <c r="S12676">
        <v>137.72022000000001</v>
      </c>
      <c r="T12676" s="1095">
        <v>-35.793776000000001</v>
      </c>
    </row>
    <row r="12677" spans="16:20">
      <c r="P12677" s="1094">
        <v>5221</v>
      </c>
      <c r="Q12677" t="s">
        <v>12872</v>
      </c>
      <c r="R12677" t="s">
        <v>615</v>
      </c>
      <c r="S12677">
        <v>137.72022000000001</v>
      </c>
      <c r="T12677" s="1095">
        <v>-35.793776000000001</v>
      </c>
    </row>
    <row r="12678" spans="16:20">
      <c r="P12678" s="1094">
        <v>5222</v>
      </c>
      <c r="Q12678" t="s">
        <v>12873</v>
      </c>
      <c r="R12678" t="s">
        <v>615</v>
      </c>
      <c r="S12678">
        <v>137.92465899999999</v>
      </c>
      <c r="T12678" s="1095">
        <v>-35.803421</v>
      </c>
    </row>
    <row r="12679" spans="16:20">
      <c r="P12679" s="1094">
        <v>5222</v>
      </c>
      <c r="Q12679" t="s">
        <v>12874</v>
      </c>
      <c r="R12679" t="s">
        <v>615</v>
      </c>
      <c r="S12679">
        <v>137.92465899999999</v>
      </c>
      <c r="T12679" s="1095">
        <v>-35.803421</v>
      </c>
    </row>
    <row r="12680" spans="16:20">
      <c r="P12680" s="1094">
        <v>5222</v>
      </c>
      <c r="Q12680" t="s">
        <v>12875</v>
      </c>
      <c r="R12680" t="s">
        <v>615</v>
      </c>
      <c r="S12680">
        <v>137.92465899999999</v>
      </c>
      <c r="T12680" s="1095">
        <v>-35.803421</v>
      </c>
    </row>
    <row r="12681" spans="16:20">
      <c r="P12681" s="1094">
        <v>5222</v>
      </c>
      <c r="Q12681" t="s">
        <v>12876</v>
      </c>
      <c r="R12681" t="s">
        <v>615</v>
      </c>
      <c r="S12681">
        <v>137.92465899999999</v>
      </c>
      <c r="T12681" s="1095">
        <v>-35.803421</v>
      </c>
    </row>
    <row r="12682" spans="16:20">
      <c r="P12682" s="1094">
        <v>5222</v>
      </c>
      <c r="Q12682" t="s">
        <v>12877</v>
      </c>
      <c r="R12682" t="s">
        <v>615</v>
      </c>
      <c r="S12682">
        <v>137.92465899999999</v>
      </c>
      <c r="T12682" s="1095">
        <v>-35.803421</v>
      </c>
    </row>
    <row r="12683" spans="16:20">
      <c r="P12683" s="1094">
        <v>5222</v>
      </c>
      <c r="Q12683" t="s">
        <v>12878</v>
      </c>
      <c r="R12683" t="s">
        <v>615</v>
      </c>
      <c r="S12683">
        <v>137.92465899999999</v>
      </c>
      <c r="T12683" s="1095">
        <v>-35.803421</v>
      </c>
    </row>
    <row r="12684" spans="16:20">
      <c r="P12684" s="1094">
        <v>5222</v>
      </c>
      <c r="Q12684" t="s">
        <v>12879</v>
      </c>
      <c r="R12684" t="s">
        <v>615</v>
      </c>
      <c r="S12684">
        <v>137.92465899999999</v>
      </c>
      <c r="T12684" s="1095">
        <v>-35.803421</v>
      </c>
    </row>
    <row r="12685" spans="16:20">
      <c r="P12685" s="1094">
        <v>5222</v>
      </c>
      <c r="Q12685" t="s">
        <v>10578</v>
      </c>
      <c r="R12685" t="s">
        <v>615</v>
      </c>
      <c r="S12685">
        <v>137.92465899999999</v>
      </c>
      <c r="T12685" s="1095">
        <v>-35.803421</v>
      </c>
    </row>
    <row r="12686" spans="16:20">
      <c r="P12686" s="1094">
        <v>5222</v>
      </c>
      <c r="Q12686" t="s">
        <v>12880</v>
      </c>
      <c r="R12686" t="s">
        <v>615</v>
      </c>
      <c r="S12686">
        <v>137.92465899999999</v>
      </c>
      <c r="T12686" s="1095">
        <v>-35.803421</v>
      </c>
    </row>
    <row r="12687" spans="16:20">
      <c r="P12687" s="1094">
        <v>5222</v>
      </c>
      <c r="Q12687" t="s">
        <v>12881</v>
      </c>
      <c r="R12687" t="s">
        <v>615</v>
      </c>
      <c r="S12687">
        <v>137.92465899999999</v>
      </c>
      <c r="T12687" s="1095">
        <v>-35.803421</v>
      </c>
    </row>
    <row r="12688" spans="16:20">
      <c r="P12688" s="1094">
        <v>5222</v>
      </c>
      <c r="Q12688" t="s">
        <v>12882</v>
      </c>
      <c r="R12688" t="s">
        <v>615</v>
      </c>
      <c r="S12688">
        <v>137.92465899999999</v>
      </c>
      <c r="T12688" s="1095">
        <v>-35.803421</v>
      </c>
    </row>
    <row r="12689" spans="16:20">
      <c r="P12689" s="1094">
        <v>5222</v>
      </c>
      <c r="Q12689" t="s">
        <v>12883</v>
      </c>
      <c r="R12689" t="s">
        <v>615</v>
      </c>
      <c r="S12689">
        <v>137.92465899999999</v>
      </c>
      <c r="T12689" s="1095">
        <v>-35.803421</v>
      </c>
    </row>
    <row r="12690" spans="16:20">
      <c r="P12690" s="1094">
        <v>5222</v>
      </c>
      <c r="Q12690" t="s">
        <v>12884</v>
      </c>
      <c r="R12690" t="s">
        <v>615</v>
      </c>
      <c r="S12690">
        <v>137.92465899999999</v>
      </c>
      <c r="T12690" s="1095">
        <v>-35.803421</v>
      </c>
    </row>
    <row r="12691" spans="16:20">
      <c r="P12691" s="1094">
        <v>5222</v>
      </c>
      <c r="Q12691" t="s">
        <v>12885</v>
      </c>
      <c r="R12691" t="s">
        <v>615</v>
      </c>
      <c r="S12691">
        <v>137.92465899999999</v>
      </c>
      <c r="T12691" s="1095">
        <v>-35.803421</v>
      </c>
    </row>
    <row r="12692" spans="16:20">
      <c r="P12692" s="1094">
        <v>5222</v>
      </c>
      <c r="Q12692" t="s">
        <v>12886</v>
      </c>
      <c r="R12692" t="s">
        <v>615</v>
      </c>
      <c r="S12692">
        <v>137.92465899999999</v>
      </c>
      <c r="T12692" s="1095">
        <v>-35.803421</v>
      </c>
    </row>
    <row r="12693" spans="16:20">
      <c r="P12693" s="1094">
        <v>5222</v>
      </c>
      <c r="Q12693" t="s">
        <v>1849</v>
      </c>
      <c r="R12693" t="s">
        <v>615</v>
      </c>
      <c r="S12693">
        <v>137.92465899999999</v>
      </c>
      <c r="T12693" s="1095">
        <v>-35.803421</v>
      </c>
    </row>
    <row r="12694" spans="16:20">
      <c r="P12694" s="1094">
        <v>5222</v>
      </c>
      <c r="Q12694" t="s">
        <v>12887</v>
      </c>
      <c r="R12694" t="s">
        <v>615</v>
      </c>
      <c r="S12694">
        <v>137.92465899999999</v>
      </c>
      <c r="T12694" s="1095">
        <v>-35.803421</v>
      </c>
    </row>
    <row r="12695" spans="16:20">
      <c r="P12695" s="1094">
        <v>5223</v>
      </c>
      <c r="Q12695" t="s">
        <v>12888</v>
      </c>
      <c r="R12695" t="s">
        <v>615</v>
      </c>
      <c r="S12695">
        <v>137.54171500000001</v>
      </c>
      <c r="T12695" s="1095">
        <v>-35.811357999999998</v>
      </c>
    </row>
    <row r="12696" spans="16:20">
      <c r="P12696" s="1094">
        <v>5223</v>
      </c>
      <c r="Q12696" t="s">
        <v>12889</v>
      </c>
      <c r="R12696" t="s">
        <v>615</v>
      </c>
      <c r="S12696">
        <v>137.54171500000001</v>
      </c>
      <c r="T12696" s="1095">
        <v>-35.811357999999998</v>
      </c>
    </row>
    <row r="12697" spans="16:20">
      <c r="P12697" s="1094">
        <v>5223</v>
      </c>
      <c r="Q12697" t="s">
        <v>12890</v>
      </c>
      <c r="R12697" t="s">
        <v>615</v>
      </c>
      <c r="S12697">
        <v>137.54171500000001</v>
      </c>
      <c r="T12697" s="1095">
        <v>-35.811357999999998</v>
      </c>
    </row>
    <row r="12698" spans="16:20">
      <c r="P12698" s="1094">
        <v>5223</v>
      </c>
      <c r="Q12698" t="s">
        <v>12891</v>
      </c>
      <c r="R12698" t="s">
        <v>615</v>
      </c>
      <c r="S12698">
        <v>137.54171500000001</v>
      </c>
      <c r="T12698" s="1095">
        <v>-35.811357999999998</v>
      </c>
    </row>
    <row r="12699" spans="16:20">
      <c r="P12699" s="1094">
        <v>5223</v>
      </c>
      <c r="Q12699" t="s">
        <v>12892</v>
      </c>
      <c r="R12699" t="s">
        <v>615</v>
      </c>
      <c r="S12699">
        <v>137.54171500000001</v>
      </c>
      <c r="T12699" s="1095">
        <v>-35.811357999999998</v>
      </c>
    </row>
    <row r="12700" spans="16:20">
      <c r="P12700" s="1094">
        <v>5223</v>
      </c>
      <c r="Q12700" t="s">
        <v>12893</v>
      </c>
      <c r="R12700" t="s">
        <v>615</v>
      </c>
      <c r="S12700">
        <v>137.54171500000001</v>
      </c>
      <c r="T12700" s="1095">
        <v>-35.811357999999998</v>
      </c>
    </row>
    <row r="12701" spans="16:20">
      <c r="P12701" s="1094">
        <v>5223</v>
      </c>
      <c r="Q12701" t="s">
        <v>12894</v>
      </c>
      <c r="R12701" t="s">
        <v>615</v>
      </c>
      <c r="S12701">
        <v>137.54171500000001</v>
      </c>
      <c r="T12701" s="1095">
        <v>-35.811357999999998</v>
      </c>
    </row>
    <row r="12702" spans="16:20">
      <c r="P12702" s="1094">
        <v>5223</v>
      </c>
      <c r="Q12702" t="s">
        <v>12895</v>
      </c>
      <c r="R12702" t="s">
        <v>615</v>
      </c>
      <c r="S12702">
        <v>137.54171500000001</v>
      </c>
      <c r="T12702" s="1095">
        <v>-35.811357999999998</v>
      </c>
    </row>
    <row r="12703" spans="16:20">
      <c r="P12703" s="1094">
        <v>5223</v>
      </c>
      <c r="Q12703" t="s">
        <v>12896</v>
      </c>
      <c r="R12703" t="s">
        <v>615</v>
      </c>
      <c r="S12703">
        <v>137.54171500000001</v>
      </c>
      <c r="T12703" s="1095">
        <v>-35.811357999999998</v>
      </c>
    </row>
    <row r="12704" spans="16:20">
      <c r="P12704" s="1094">
        <v>5223</v>
      </c>
      <c r="Q12704" t="s">
        <v>12897</v>
      </c>
      <c r="R12704" t="s">
        <v>615</v>
      </c>
      <c r="S12704">
        <v>137.54171500000001</v>
      </c>
      <c r="T12704" s="1095">
        <v>-35.811357999999998</v>
      </c>
    </row>
    <row r="12705" spans="16:20">
      <c r="P12705" s="1094">
        <v>5223</v>
      </c>
      <c r="Q12705" t="s">
        <v>12898</v>
      </c>
      <c r="R12705" t="s">
        <v>615</v>
      </c>
      <c r="S12705">
        <v>137.54171500000001</v>
      </c>
      <c r="T12705" s="1095">
        <v>-35.811357999999998</v>
      </c>
    </row>
    <row r="12706" spans="16:20">
      <c r="P12706" s="1094">
        <v>5223</v>
      </c>
      <c r="Q12706" t="s">
        <v>12899</v>
      </c>
      <c r="R12706" t="s">
        <v>615</v>
      </c>
      <c r="S12706">
        <v>137.54171500000001</v>
      </c>
      <c r="T12706" s="1095">
        <v>-35.811357999999998</v>
      </c>
    </row>
    <row r="12707" spans="16:20">
      <c r="P12707" s="1094">
        <v>5223</v>
      </c>
      <c r="Q12707" t="s">
        <v>12900</v>
      </c>
      <c r="R12707" t="s">
        <v>615</v>
      </c>
      <c r="S12707">
        <v>137.54171500000001</v>
      </c>
      <c r="T12707" s="1095">
        <v>-35.811357999999998</v>
      </c>
    </row>
    <row r="12708" spans="16:20">
      <c r="P12708" s="1094">
        <v>5223</v>
      </c>
      <c r="Q12708" t="s">
        <v>12901</v>
      </c>
      <c r="R12708" t="s">
        <v>615</v>
      </c>
      <c r="S12708">
        <v>137.54171500000001</v>
      </c>
      <c r="T12708" s="1095">
        <v>-35.811357999999998</v>
      </c>
    </row>
    <row r="12709" spans="16:20">
      <c r="P12709" s="1094">
        <v>5223</v>
      </c>
      <c r="Q12709" t="s">
        <v>12902</v>
      </c>
      <c r="R12709" t="s">
        <v>615</v>
      </c>
      <c r="S12709">
        <v>137.54171500000001</v>
      </c>
      <c r="T12709" s="1095">
        <v>-35.811357999999998</v>
      </c>
    </row>
    <row r="12710" spans="16:20">
      <c r="P12710" s="1094">
        <v>5223</v>
      </c>
      <c r="Q12710" t="s">
        <v>12903</v>
      </c>
      <c r="R12710" t="s">
        <v>615</v>
      </c>
      <c r="S12710">
        <v>137.54171500000001</v>
      </c>
      <c r="T12710" s="1095">
        <v>-35.811357999999998</v>
      </c>
    </row>
    <row r="12711" spans="16:20">
      <c r="P12711" s="1094">
        <v>5223</v>
      </c>
      <c r="Q12711" t="s">
        <v>12904</v>
      </c>
      <c r="R12711" t="s">
        <v>615</v>
      </c>
      <c r="S12711">
        <v>137.54171500000001</v>
      </c>
      <c r="T12711" s="1095">
        <v>-35.811357999999998</v>
      </c>
    </row>
    <row r="12712" spans="16:20">
      <c r="P12712" s="1094">
        <v>5223</v>
      </c>
      <c r="Q12712" t="s">
        <v>12905</v>
      </c>
      <c r="R12712" t="s">
        <v>615</v>
      </c>
      <c r="S12712">
        <v>137.54171500000001</v>
      </c>
      <c r="T12712" s="1095">
        <v>-35.811357999999998</v>
      </c>
    </row>
    <row r="12713" spans="16:20">
      <c r="P12713" s="1094">
        <v>5223</v>
      </c>
      <c r="Q12713" t="s">
        <v>11983</v>
      </c>
      <c r="R12713" t="s">
        <v>615</v>
      </c>
      <c r="S12713">
        <v>137.54171500000001</v>
      </c>
      <c r="T12713" s="1095">
        <v>-35.811357999999998</v>
      </c>
    </row>
    <row r="12714" spans="16:20">
      <c r="P12714" s="1094">
        <v>5223</v>
      </c>
      <c r="Q12714" t="s">
        <v>12906</v>
      </c>
      <c r="R12714" t="s">
        <v>615</v>
      </c>
      <c r="S12714">
        <v>137.54171500000001</v>
      </c>
      <c r="T12714" s="1095">
        <v>-35.811357999999998</v>
      </c>
    </row>
    <row r="12715" spans="16:20">
      <c r="P12715" s="1094">
        <v>5223</v>
      </c>
      <c r="Q12715" t="s">
        <v>12907</v>
      </c>
      <c r="R12715" t="s">
        <v>615</v>
      </c>
      <c r="S12715">
        <v>137.54171500000001</v>
      </c>
      <c r="T12715" s="1095">
        <v>-35.811357999999998</v>
      </c>
    </row>
    <row r="12716" spans="16:20">
      <c r="P12716" s="1094">
        <v>5223</v>
      </c>
      <c r="Q12716" t="s">
        <v>12908</v>
      </c>
      <c r="R12716" t="s">
        <v>615</v>
      </c>
      <c r="S12716">
        <v>137.54171500000001</v>
      </c>
      <c r="T12716" s="1095">
        <v>-35.811357999999998</v>
      </c>
    </row>
    <row r="12717" spans="16:20">
      <c r="P12717" s="1094">
        <v>5223</v>
      </c>
      <c r="Q12717" t="s">
        <v>12909</v>
      </c>
      <c r="R12717" t="s">
        <v>615</v>
      </c>
      <c r="S12717">
        <v>137.54171500000001</v>
      </c>
      <c r="T12717" s="1095">
        <v>-35.811357999999998</v>
      </c>
    </row>
    <row r="12718" spans="16:20">
      <c r="P12718" s="1094">
        <v>5223</v>
      </c>
      <c r="Q12718" t="s">
        <v>12910</v>
      </c>
      <c r="R12718" t="s">
        <v>615</v>
      </c>
      <c r="S12718">
        <v>137.54171500000001</v>
      </c>
      <c r="T12718" s="1095">
        <v>-35.811357999999998</v>
      </c>
    </row>
    <row r="12719" spans="16:20">
      <c r="P12719" s="1094">
        <v>5223</v>
      </c>
      <c r="Q12719" t="s">
        <v>12911</v>
      </c>
      <c r="R12719" t="s">
        <v>615</v>
      </c>
      <c r="S12719">
        <v>137.54171500000001</v>
      </c>
      <c r="T12719" s="1095">
        <v>-35.811357999999998</v>
      </c>
    </row>
    <row r="12720" spans="16:20">
      <c r="P12720" s="1094">
        <v>5223</v>
      </c>
      <c r="Q12720" t="s">
        <v>12912</v>
      </c>
      <c r="R12720" t="s">
        <v>615</v>
      </c>
      <c r="S12720">
        <v>137.54171500000001</v>
      </c>
      <c r="T12720" s="1095">
        <v>-35.811357999999998</v>
      </c>
    </row>
    <row r="12721" spans="16:20">
      <c r="P12721" s="1094">
        <v>5223</v>
      </c>
      <c r="Q12721" t="s">
        <v>12913</v>
      </c>
      <c r="R12721" t="s">
        <v>615</v>
      </c>
      <c r="S12721">
        <v>137.54171500000001</v>
      </c>
      <c r="T12721" s="1095">
        <v>-35.811357999999998</v>
      </c>
    </row>
    <row r="12722" spans="16:20">
      <c r="P12722" s="1094">
        <v>5223</v>
      </c>
      <c r="Q12722" t="s">
        <v>12914</v>
      </c>
      <c r="R12722" t="s">
        <v>615</v>
      </c>
      <c r="S12722">
        <v>137.54171500000001</v>
      </c>
      <c r="T12722" s="1095">
        <v>-35.811357999999998</v>
      </c>
    </row>
    <row r="12723" spans="16:20">
      <c r="P12723" s="1094">
        <v>5223</v>
      </c>
      <c r="Q12723" t="s">
        <v>12915</v>
      </c>
      <c r="R12723" t="s">
        <v>615</v>
      </c>
      <c r="S12723">
        <v>137.54171500000001</v>
      </c>
      <c r="T12723" s="1095">
        <v>-35.811357999999998</v>
      </c>
    </row>
    <row r="12724" spans="16:20">
      <c r="P12724" s="1094">
        <v>5231</v>
      </c>
      <c r="Q12724" t="s">
        <v>12916</v>
      </c>
      <c r="R12724" t="s">
        <v>615</v>
      </c>
      <c r="S12724">
        <v>138.83222499999999</v>
      </c>
      <c r="T12724" s="1095">
        <v>-34.766452000000001</v>
      </c>
    </row>
    <row r="12725" spans="16:20">
      <c r="P12725" s="1094">
        <v>5232</v>
      </c>
      <c r="Q12725" t="s">
        <v>12917</v>
      </c>
      <c r="R12725" t="s">
        <v>615</v>
      </c>
      <c r="S12725">
        <v>138.81596400000001</v>
      </c>
      <c r="T12725" s="1095">
        <v>-34.855449</v>
      </c>
    </row>
    <row r="12726" spans="16:20">
      <c r="P12726" s="1094">
        <v>5233</v>
      </c>
      <c r="Q12726" t="s">
        <v>12918</v>
      </c>
      <c r="R12726" t="s">
        <v>615</v>
      </c>
      <c r="S12726">
        <v>138.88240300000001</v>
      </c>
      <c r="T12726" s="1095">
        <v>-34.839936999999999</v>
      </c>
    </row>
    <row r="12727" spans="16:20">
      <c r="P12727" s="1094">
        <v>5233</v>
      </c>
      <c r="Q12727" t="s">
        <v>12919</v>
      </c>
      <c r="R12727" t="s">
        <v>615</v>
      </c>
      <c r="S12727">
        <v>138.88240300000001</v>
      </c>
      <c r="T12727" s="1095">
        <v>-34.839936999999999</v>
      </c>
    </row>
    <row r="12728" spans="16:20">
      <c r="P12728" s="1094">
        <v>5233</v>
      </c>
      <c r="Q12728" t="s">
        <v>5969</v>
      </c>
      <c r="R12728" t="s">
        <v>615</v>
      </c>
      <c r="S12728">
        <v>138.88240300000001</v>
      </c>
      <c r="T12728" s="1095">
        <v>-34.839936999999999</v>
      </c>
    </row>
    <row r="12729" spans="16:20">
      <c r="P12729" s="1094">
        <v>5234</v>
      </c>
      <c r="Q12729" t="s">
        <v>3550</v>
      </c>
      <c r="R12729" t="s">
        <v>615</v>
      </c>
      <c r="S12729">
        <v>138.96607499999999</v>
      </c>
      <c r="T12729" s="1095">
        <v>-34.805140999999999</v>
      </c>
    </row>
    <row r="12730" spans="16:20">
      <c r="P12730" s="1094">
        <v>5235</v>
      </c>
      <c r="Q12730" t="s">
        <v>1920</v>
      </c>
      <c r="R12730" t="s">
        <v>615</v>
      </c>
      <c r="S12730">
        <v>139.084565</v>
      </c>
      <c r="T12730" s="1095">
        <v>-34.705292</v>
      </c>
    </row>
    <row r="12731" spans="16:20">
      <c r="P12731" s="1094">
        <v>5235</v>
      </c>
      <c r="Q12731" t="s">
        <v>12920</v>
      </c>
      <c r="R12731" t="s">
        <v>615</v>
      </c>
      <c r="S12731">
        <v>139.084565</v>
      </c>
      <c r="T12731" s="1095">
        <v>-34.705292</v>
      </c>
    </row>
    <row r="12732" spans="16:20">
      <c r="P12732" s="1094">
        <v>5235</v>
      </c>
      <c r="Q12732" t="s">
        <v>4204</v>
      </c>
      <c r="R12732" t="s">
        <v>615</v>
      </c>
      <c r="S12732">
        <v>139.084565</v>
      </c>
      <c r="T12732" s="1095">
        <v>-34.705292</v>
      </c>
    </row>
    <row r="12733" spans="16:20">
      <c r="P12733" s="1094">
        <v>5235</v>
      </c>
      <c r="Q12733" t="s">
        <v>12921</v>
      </c>
      <c r="R12733" t="s">
        <v>615</v>
      </c>
      <c r="S12733">
        <v>139.084565</v>
      </c>
      <c r="T12733" s="1095">
        <v>-34.705292</v>
      </c>
    </row>
    <row r="12734" spans="16:20">
      <c r="P12734" s="1094">
        <v>5236</v>
      </c>
      <c r="Q12734" t="s">
        <v>12922</v>
      </c>
      <c r="R12734" t="s">
        <v>615</v>
      </c>
      <c r="S12734">
        <v>139.05169799999999</v>
      </c>
      <c r="T12734" s="1095">
        <v>-34.829433000000002</v>
      </c>
    </row>
    <row r="12735" spans="16:20">
      <c r="P12735" s="1094">
        <v>5237</v>
      </c>
      <c r="Q12735" t="s">
        <v>12923</v>
      </c>
      <c r="R12735" t="s">
        <v>615</v>
      </c>
      <c r="S12735">
        <v>139.191868</v>
      </c>
      <c r="T12735" s="1095">
        <v>-34.823113999999997</v>
      </c>
    </row>
    <row r="12736" spans="16:20">
      <c r="P12736" s="1094">
        <v>5237</v>
      </c>
      <c r="Q12736" t="s">
        <v>12924</v>
      </c>
      <c r="R12736" t="s">
        <v>615</v>
      </c>
      <c r="S12736">
        <v>139.191868</v>
      </c>
      <c r="T12736" s="1095">
        <v>-34.823113999999997</v>
      </c>
    </row>
    <row r="12737" spans="16:20">
      <c r="P12737" s="1094">
        <v>5237</v>
      </c>
      <c r="Q12737" t="s">
        <v>12925</v>
      </c>
      <c r="R12737" t="s">
        <v>615</v>
      </c>
      <c r="S12737">
        <v>139.191868</v>
      </c>
      <c r="T12737" s="1095">
        <v>-34.823113999999997</v>
      </c>
    </row>
    <row r="12738" spans="16:20">
      <c r="P12738" s="1094">
        <v>5237</v>
      </c>
      <c r="Q12738" t="s">
        <v>12926</v>
      </c>
      <c r="R12738" t="s">
        <v>615</v>
      </c>
      <c r="S12738">
        <v>139.191868</v>
      </c>
      <c r="T12738" s="1095">
        <v>-34.823113999999997</v>
      </c>
    </row>
    <row r="12739" spans="16:20">
      <c r="P12739" s="1094">
        <v>5238</v>
      </c>
      <c r="Q12739" t="s">
        <v>12927</v>
      </c>
      <c r="R12739" t="s">
        <v>615</v>
      </c>
      <c r="S12739">
        <v>139.497207</v>
      </c>
      <c r="T12739" s="1095">
        <v>-34.867708999999998</v>
      </c>
    </row>
    <row r="12740" spans="16:20">
      <c r="P12740" s="1094">
        <v>5238</v>
      </c>
      <c r="Q12740" t="s">
        <v>6338</v>
      </c>
      <c r="R12740" t="s">
        <v>615</v>
      </c>
      <c r="S12740">
        <v>139.497207</v>
      </c>
      <c r="T12740" s="1095">
        <v>-34.867708999999998</v>
      </c>
    </row>
    <row r="12741" spans="16:20">
      <c r="P12741" s="1094">
        <v>5238</v>
      </c>
      <c r="Q12741" t="s">
        <v>12928</v>
      </c>
      <c r="R12741" t="s">
        <v>615</v>
      </c>
      <c r="S12741">
        <v>139.497207</v>
      </c>
      <c r="T12741" s="1095">
        <v>-34.867708999999998</v>
      </c>
    </row>
    <row r="12742" spans="16:20">
      <c r="P12742" s="1094">
        <v>5238</v>
      </c>
      <c r="Q12742" t="s">
        <v>12929</v>
      </c>
      <c r="R12742" t="s">
        <v>615</v>
      </c>
      <c r="S12742">
        <v>139.497207</v>
      </c>
      <c r="T12742" s="1095">
        <v>-34.867708999999998</v>
      </c>
    </row>
    <row r="12743" spans="16:20">
      <c r="P12743" s="1094">
        <v>5238</v>
      </c>
      <c r="Q12743" t="s">
        <v>12930</v>
      </c>
      <c r="R12743" t="s">
        <v>615</v>
      </c>
      <c r="S12743">
        <v>139.497207</v>
      </c>
      <c r="T12743" s="1095">
        <v>-34.867708999999998</v>
      </c>
    </row>
    <row r="12744" spans="16:20">
      <c r="P12744" s="1094">
        <v>5238</v>
      </c>
      <c r="Q12744" t="s">
        <v>12931</v>
      </c>
      <c r="R12744" t="s">
        <v>615</v>
      </c>
      <c r="S12744">
        <v>139.497207</v>
      </c>
      <c r="T12744" s="1095">
        <v>-34.867708999999998</v>
      </c>
    </row>
    <row r="12745" spans="16:20">
      <c r="P12745" s="1094">
        <v>5238</v>
      </c>
      <c r="Q12745" t="s">
        <v>3350</v>
      </c>
      <c r="R12745" t="s">
        <v>615</v>
      </c>
      <c r="S12745">
        <v>139.497207</v>
      </c>
      <c r="T12745" s="1095">
        <v>-34.867708999999998</v>
      </c>
    </row>
    <row r="12746" spans="16:20">
      <c r="P12746" s="1094">
        <v>5238</v>
      </c>
      <c r="Q12746" t="s">
        <v>12932</v>
      </c>
      <c r="R12746" t="s">
        <v>615</v>
      </c>
      <c r="S12746">
        <v>139.497207</v>
      </c>
      <c r="T12746" s="1095">
        <v>-34.867708999999998</v>
      </c>
    </row>
    <row r="12747" spans="16:20">
      <c r="P12747" s="1094">
        <v>5238</v>
      </c>
      <c r="Q12747" t="s">
        <v>12933</v>
      </c>
      <c r="R12747" t="s">
        <v>615</v>
      </c>
      <c r="S12747">
        <v>139.497207</v>
      </c>
      <c r="T12747" s="1095">
        <v>-34.867708999999998</v>
      </c>
    </row>
    <row r="12748" spans="16:20">
      <c r="P12748" s="1094">
        <v>5238</v>
      </c>
      <c r="Q12748" t="s">
        <v>12934</v>
      </c>
      <c r="R12748" t="s">
        <v>615</v>
      </c>
      <c r="S12748">
        <v>139.497207</v>
      </c>
      <c r="T12748" s="1095">
        <v>-34.867708999999998</v>
      </c>
    </row>
    <row r="12749" spans="16:20">
      <c r="P12749" s="1094">
        <v>5238</v>
      </c>
      <c r="Q12749" t="s">
        <v>12935</v>
      </c>
      <c r="R12749" t="s">
        <v>615</v>
      </c>
      <c r="S12749">
        <v>139.497207</v>
      </c>
      <c r="T12749" s="1095">
        <v>-34.867708999999998</v>
      </c>
    </row>
    <row r="12750" spans="16:20">
      <c r="P12750" s="1094">
        <v>5238</v>
      </c>
      <c r="Q12750" t="s">
        <v>12936</v>
      </c>
      <c r="R12750" t="s">
        <v>615</v>
      </c>
      <c r="S12750">
        <v>139.497207</v>
      </c>
      <c r="T12750" s="1095">
        <v>-34.867708999999998</v>
      </c>
    </row>
    <row r="12751" spans="16:20">
      <c r="P12751" s="1094">
        <v>5238</v>
      </c>
      <c r="Q12751" t="s">
        <v>12937</v>
      </c>
      <c r="R12751" t="s">
        <v>615</v>
      </c>
      <c r="S12751">
        <v>139.497207</v>
      </c>
      <c r="T12751" s="1095">
        <v>-34.867708999999998</v>
      </c>
    </row>
    <row r="12752" spans="16:20">
      <c r="P12752" s="1094">
        <v>5238</v>
      </c>
      <c r="Q12752" t="s">
        <v>12938</v>
      </c>
      <c r="R12752" t="s">
        <v>615</v>
      </c>
      <c r="S12752">
        <v>139.497207</v>
      </c>
      <c r="T12752" s="1095">
        <v>-34.867708999999998</v>
      </c>
    </row>
    <row r="12753" spans="16:20">
      <c r="P12753" s="1094">
        <v>5238</v>
      </c>
      <c r="Q12753" t="s">
        <v>12939</v>
      </c>
      <c r="R12753" t="s">
        <v>615</v>
      </c>
      <c r="S12753">
        <v>139.497207</v>
      </c>
      <c r="T12753" s="1095">
        <v>-34.867708999999998</v>
      </c>
    </row>
    <row r="12754" spans="16:20">
      <c r="P12754" s="1094">
        <v>5238</v>
      </c>
      <c r="Q12754" t="s">
        <v>12940</v>
      </c>
      <c r="R12754" t="s">
        <v>615</v>
      </c>
      <c r="S12754">
        <v>139.497207</v>
      </c>
      <c r="T12754" s="1095">
        <v>-34.867708999999998</v>
      </c>
    </row>
    <row r="12755" spans="16:20">
      <c r="P12755" s="1094">
        <v>5238</v>
      </c>
      <c r="Q12755" t="s">
        <v>12941</v>
      </c>
      <c r="R12755" t="s">
        <v>615</v>
      </c>
      <c r="S12755">
        <v>139.497207</v>
      </c>
      <c r="T12755" s="1095">
        <v>-34.867708999999998</v>
      </c>
    </row>
    <row r="12756" spans="16:20">
      <c r="P12756" s="1094">
        <v>5240</v>
      </c>
      <c r="Q12756" t="s">
        <v>12942</v>
      </c>
      <c r="R12756" t="s">
        <v>615</v>
      </c>
      <c r="S12756">
        <v>138.81527700000001</v>
      </c>
      <c r="T12756" s="1095">
        <v>-34.906905000000002</v>
      </c>
    </row>
    <row r="12757" spans="16:20">
      <c r="P12757" s="1094">
        <v>5241</v>
      </c>
      <c r="Q12757" t="s">
        <v>12943</v>
      </c>
      <c r="R12757" t="s">
        <v>615</v>
      </c>
      <c r="S12757">
        <v>138.86435900000001</v>
      </c>
      <c r="T12757" s="1095">
        <v>-34.897167000000003</v>
      </c>
    </row>
    <row r="12758" spans="16:20">
      <c r="P12758" s="1094">
        <v>5242</v>
      </c>
      <c r="Q12758" t="s">
        <v>12944</v>
      </c>
      <c r="R12758" t="s">
        <v>615</v>
      </c>
      <c r="S12758">
        <v>138.81912500000001</v>
      </c>
      <c r="T12758" s="1095">
        <v>-34.998415999999999</v>
      </c>
    </row>
    <row r="12759" spans="16:20">
      <c r="P12759" s="1094">
        <v>5243</v>
      </c>
      <c r="Q12759" t="s">
        <v>12945</v>
      </c>
      <c r="R12759" t="s">
        <v>615</v>
      </c>
      <c r="S12759">
        <v>138.82816099999999</v>
      </c>
      <c r="T12759" s="1095">
        <v>-34.96322</v>
      </c>
    </row>
    <row r="12760" spans="16:20">
      <c r="P12760" s="1094">
        <v>5244</v>
      </c>
      <c r="Q12760" t="s">
        <v>12946</v>
      </c>
      <c r="R12760" t="s">
        <v>615</v>
      </c>
      <c r="S12760">
        <v>138.94638399999999</v>
      </c>
      <c r="T12760" s="1095">
        <v>-34.938664000000003</v>
      </c>
    </row>
    <row r="12761" spans="16:20">
      <c r="P12761" s="1094">
        <v>5244</v>
      </c>
      <c r="Q12761" t="s">
        <v>12947</v>
      </c>
      <c r="R12761" t="s">
        <v>615</v>
      </c>
      <c r="S12761">
        <v>138.94638399999999</v>
      </c>
      <c r="T12761" s="1095">
        <v>-34.938664000000003</v>
      </c>
    </row>
    <row r="12762" spans="16:20">
      <c r="P12762" s="1094">
        <v>5244</v>
      </c>
      <c r="Q12762" t="s">
        <v>12948</v>
      </c>
      <c r="R12762" t="s">
        <v>615</v>
      </c>
      <c r="S12762">
        <v>138.94638399999999</v>
      </c>
      <c r="T12762" s="1095">
        <v>-34.938664000000003</v>
      </c>
    </row>
    <row r="12763" spans="16:20">
      <c r="P12763" s="1094">
        <v>5244</v>
      </c>
      <c r="Q12763" t="s">
        <v>12949</v>
      </c>
      <c r="R12763" t="s">
        <v>615</v>
      </c>
      <c r="S12763">
        <v>138.94638399999999</v>
      </c>
      <c r="T12763" s="1095">
        <v>-34.938664000000003</v>
      </c>
    </row>
    <row r="12764" spans="16:20">
      <c r="P12764" s="1094">
        <v>5244</v>
      </c>
      <c r="Q12764" t="s">
        <v>3330</v>
      </c>
      <c r="R12764" t="s">
        <v>615</v>
      </c>
      <c r="S12764">
        <v>138.94638399999999</v>
      </c>
      <c r="T12764" s="1095">
        <v>-34.938664000000003</v>
      </c>
    </row>
    <row r="12765" spans="16:20">
      <c r="P12765" s="1094">
        <v>5245</v>
      </c>
      <c r="Q12765" t="s">
        <v>12950</v>
      </c>
      <c r="R12765" t="s">
        <v>615</v>
      </c>
      <c r="S12765">
        <v>138.791651</v>
      </c>
      <c r="T12765" s="1095">
        <v>-35.020412</v>
      </c>
    </row>
    <row r="12766" spans="16:20">
      <c r="P12766" s="1094">
        <v>5245</v>
      </c>
      <c r="Q12766" t="s">
        <v>12951</v>
      </c>
      <c r="R12766" t="s">
        <v>615</v>
      </c>
      <c r="S12766">
        <v>138.791651</v>
      </c>
      <c r="T12766" s="1095">
        <v>-35.020412</v>
      </c>
    </row>
    <row r="12767" spans="16:20">
      <c r="P12767" s="1094">
        <v>5246</v>
      </c>
      <c r="Q12767" t="s">
        <v>7068</v>
      </c>
      <c r="R12767" t="s">
        <v>615</v>
      </c>
      <c r="S12767">
        <v>0</v>
      </c>
      <c r="T12767" s="1095">
        <v>0</v>
      </c>
    </row>
    <row r="12768" spans="16:20">
      <c r="P12768" s="1094">
        <v>5250</v>
      </c>
      <c r="Q12768" t="s">
        <v>12952</v>
      </c>
      <c r="R12768" t="s">
        <v>615</v>
      </c>
      <c r="S12768">
        <v>138.85642899999999</v>
      </c>
      <c r="T12768" s="1095">
        <v>-35.041550999999998</v>
      </c>
    </row>
    <row r="12769" spans="16:20">
      <c r="P12769" s="1094">
        <v>5251</v>
      </c>
      <c r="Q12769" t="s">
        <v>12953</v>
      </c>
      <c r="R12769" t="s">
        <v>615</v>
      </c>
      <c r="S12769">
        <v>138.88180299999999</v>
      </c>
      <c r="T12769" s="1095">
        <v>-35.093257000000001</v>
      </c>
    </row>
    <row r="12770" spans="16:20">
      <c r="P12770" s="1094">
        <v>5251</v>
      </c>
      <c r="Q12770" t="s">
        <v>12954</v>
      </c>
      <c r="R12770" t="s">
        <v>615</v>
      </c>
      <c r="S12770">
        <v>138.88180299999999</v>
      </c>
      <c r="T12770" s="1095">
        <v>-35.093257000000001</v>
      </c>
    </row>
    <row r="12771" spans="16:20">
      <c r="P12771" s="1094">
        <v>5252</v>
      </c>
      <c r="Q12771" t="s">
        <v>12955</v>
      </c>
      <c r="R12771" t="s">
        <v>615</v>
      </c>
      <c r="S12771">
        <v>138.94718900000001</v>
      </c>
      <c r="T12771" s="1095">
        <v>-35.035729000000003</v>
      </c>
    </row>
    <row r="12772" spans="16:20">
      <c r="P12772" s="1094">
        <v>5252</v>
      </c>
      <c r="Q12772" t="s">
        <v>12956</v>
      </c>
      <c r="R12772" t="s">
        <v>615</v>
      </c>
      <c r="S12772">
        <v>138.94718900000001</v>
      </c>
      <c r="T12772" s="1095">
        <v>-35.035729000000003</v>
      </c>
    </row>
    <row r="12773" spans="16:20">
      <c r="P12773" s="1094">
        <v>5252</v>
      </c>
      <c r="Q12773" t="s">
        <v>12957</v>
      </c>
      <c r="R12773" t="s">
        <v>615</v>
      </c>
      <c r="S12773">
        <v>138.94718900000001</v>
      </c>
      <c r="T12773" s="1095">
        <v>-35.035729000000003</v>
      </c>
    </row>
    <row r="12774" spans="16:20">
      <c r="P12774" s="1094">
        <v>5252</v>
      </c>
      <c r="Q12774" t="s">
        <v>12958</v>
      </c>
      <c r="R12774" t="s">
        <v>615</v>
      </c>
      <c r="S12774">
        <v>138.94718900000001</v>
      </c>
      <c r="T12774" s="1095">
        <v>-35.035729000000003</v>
      </c>
    </row>
    <row r="12775" spans="16:20">
      <c r="P12775" s="1094">
        <v>5253</v>
      </c>
      <c r="Q12775" t="s">
        <v>12959</v>
      </c>
      <c r="R12775" t="s">
        <v>615</v>
      </c>
      <c r="S12775">
        <v>139.273641</v>
      </c>
      <c r="T12775" s="1095">
        <v>-35.109082999999998</v>
      </c>
    </row>
    <row r="12776" spans="16:20">
      <c r="P12776" s="1094">
        <v>5253</v>
      </c>
      <c r="Q12776" t="s">
        <v>12960</v>
      </c>
      <c r="R12776" t="s">
        <v>615</v>
      </c>
      <c r="S12776">
        <v>139.273641</v>
      </c>
      <c r="T12776" s="1095">
        <v>-35.109082999999998</v>
      </c>
    </row>
    <row r="12777" spans="16:20">
      <c r="P12777" s="1094">
        <v>5253</v>
      </c>
      <c r="Q12777" t="s">
        <v>5907</v>
      </c>
      <c r="R12777" t="s">
        <v>615</v>
      </c>
      <c r="S12777">
        <v>139.273641</v>
      </c>
      <c r="T12777" s="1095">
        <v>-35.109082999999998</v>
      </c>
    </row>
    <row r="12778" spans="16:20">
      <c r="P12778" s="1094">
        <v>5253</v>
      </c>
      <c r="Q12778" t="s">
        <v>12961</v>
      </c>
      <c r="R12778" t="s">
        <v>615</v>
      </c>
      <c r="S12778">
        <v>139.273641</v>
      </c>
      <c r="T12778" s="1095">
        <v>-35.109082999999998</v>
      </c>
    </row>
    <row r="12779" spans="16:20">
      <c r="P12779" s="1094">
        <v>5253</v>
      </c>
      <c r="Q12779" t="s">
        <v>3901</v>
      </c>
      <c r="R12779" t="s">
        <v>615</v>
      </c>
      <c r="S12779">
        <v>139.273641</v>
      </c>
      <c r="T12779" s="1095">
        <v>-35.109082999999998</v>
      </c>
    </row>
    <row r="12780" spans="16:20">
      <c r="P12780" s="1094">
        <v>5253</v>
      </c>
      <c r="Q12780" t="s">
        <v>12962</v>
      </c>
      <c r="R12780" t="s">
        <v>615</v>
      </c>
      <c r="S12780">
        <v>139.273641</v>
      </c>
      <c r="T12780" s="1095">
        <v>-35.109082999999998</v>
      </c>
    </row>
    <row r="12781" spans="16:20">
      <c r="P12781" s="1094">
        <v>5253</v>
      </c>
      <c r="Q12781" t="s">
        <v>12963</v>
      </c>
      <c r="R12781" t="s">
        <v>615</v>
      </c>
      <c r="S12781">
        <v>139.273641</v>
      </c>
      <c r="T12781" s="1095">
        <v>-35.109082999999998</v>
      </c>
    </row>
    <row r="12782" spans="16:20">
      <c r="P12782" s="1094">
        <v>5253</v>
      </c>
      <c r="Q12782" t="s">
        <v>3566</v>
      </c>
      <c r="R12782" t="s">
        <v>615</v>
      </c>
      <c r="S12782">
        <v>139.273641</v>
      </c>
      <c r="T12782" s="1095">
        <v>-35.109082999999998</v>
      </c>
    </row>
    <row r="12783" spans="16:20">
      <c r="P12783" s="1094">
        <v>5253</v>
      </c>
      <c r="Q12783" t="s">
        <v>12964</v>
      </c>
      <c r="R12783" t="s">
        <v>615</v>
      </c>
      <c r="S12783">
        <v>139.273641</v>
      </c>
      <c r="T12783" s="1095">
        <v>-35.109082999999998</v>
      </c>
    </row>
    <row r="12784" spans="16:20">
      <c r="P12784" s="1094">
        <v>5253</v>
      </c>
      <c r="Q12784" t="s">
        <v>12965</v>
      </c>
      <c r="R12784" t="s">
        <v>615</v>
      </c>
      <c r="S12784">
        <v>139.273641</v>
      </c>
      <c r="T12784" s="1095">
        <v>-35.109082999999998</v>
      </c>
    </row>
    <row r="12785" spans="16:20">
      <c r="P12785" s="1094">
        <v>5253</v>
      </c>
      <c r="Q12785" t="s">
        <v>12966</v>
      </c>
      <c r="R12785" t="s">
        <v>615</v>
      </c>
      <c r="S12785">
        <v>139.273641</v>
      </c>
      <c r="T12785" s="1095">
        <v>-35.109082999999998</v>
      </c>
    </row>
    <row r="12786" spans="16:20">
      <c r="P12786" s="1094">
        <v>5253</v>
      </c>
      <c r="Q12786" t="s">
        <v>12967</v>
      </c>
      <c r="R12786" t="s">
        <v>615</v>
      </c>
      <c r="S12786">
        <v>139.273641</v>
      </c>
      <c r="T12786" s="1095">
        <v>-35.109082999999998</v>
      </c>
    </row>
    <row r="12787" spans="16:20">
      <c r="P12787" s="1094">
        <v>5253</v>
      </c>
      <c r="Q12787" t="s">
        <v>12968</v>
      </c>
      <c r="R12787" t="s">
        <v>615</v>
      </c>
      <c r="S12787">
        <v>139.273641</v>
      </c>
      <c r="T12787" s="1095">
        <v>-35.109082999999998</v>
      </c>
    </row>
    <row r="12788" spans="16:20">
      <c r="P12788" s="1094">
        <v>5253</v>
      </c>
      <c r="Q12788" t="s">
        <v>12969</v>
      </c>
      <c r="R12788" t="s">
        <v>615</v>
      </c>
      <c r="S12788">
        <v>139.273641</v>
      </c>
      <c r="T12788" s="1095">
        <v>-35.109082999999998</v>
      </c>
    </row>
    <row r="12789" spans="16:20">
      <c r="P12789" s="1094">
        <v>5253</v>
      </c>
      <c r="Q12789" t="s">
        <v>12970</v>
      </c>
      <c r="R12789" t="s">
        <v>615</v>
      </c>
      <c r="S12789">
        <v>139.273641</v>
      </c>
      <c r="T12789" s="1095">
        <v>-35.109082999999998</v>
      </c>
    </row>
    <row r="12790" spans="16:20">
      <c r="P12790" s="1094">
        <v>5253</v>
      </c>
      <c r="Q12790" t="s">
        <v>12971</v>
      </c>
      <c r="R12790" t="s">
        <v>615</v>
      </c>
      <c r="S12790">
        <v>139.273641</v>
      </c>
      <c r="T12790" s="1095">
        <v>-35.109082999999998</v>
      </c>
    </row>
    <row r="12791" spans="16:20">
      <c r="P12791" s="1094">
        <v>5253</v>
      </c>
      <c r="Q12791" t="s">
        <v>12972</v>
      </c>
      <c r="R12791" t="s">
        <v>615</v>
      </c>
      <c r="S12791">
        <v>139.273641</v>
      </c>
      <c r="T12791" s="1095">
        <v>-35.109082999999998</v>
      </c>
    </row>
    <row r="12792" spans="16:20">
      <c r="P12792" s="1094">
        <v>5253</v>
      </c>
      <c r="Q12792" t="s">
        <v>12973</v>
      </c>
      <c r="R12792" t="s">
        <v>615</v>
      </c>
      <c r="S12792">
        <v>139.273641</v>
      </c>
      <c r="T12792" s="1095">
        <v>-35.109082999999998</v>
      </c>
    </row>
    <row r="12793" spans="16:20">
      <c r="P12793" s="1094">
        <v>5253</v>
      </c>
      <c r="Q12793" t="s">
        <v>3126</v>
      </c>
      <c r="R12793" t="s">
        <v>615</v>
      </c>
      <c r="S12793">
        <v>139.273641</v>
      </c>
      <c r="T12793" s="1095">
        <v>-35.109082999999998</v>
      </c>
    </row>
    <row r="12794" spans="16:20">
      <c r="P12794" s="1094">
        <v>5253</v>
      </c>
      <c r="Q12794" t="s">
        <v>12974</v>
      </c>
      <c r="R12794" t="s">
        <v>615</v>
      </c>
      <c r="S12794">
        <v>139.273641</v>
      </c>
      <c r="T12794" s="1095">
        <v>-35.109082999999998</v>
      </c>
    </row>
    <row r="12795" spans="16:20">
      <c r="P12795" s="1094">
        <v>5253</v>
      </c>
      <c r="Q12795" t="s">
        <v>9216</v>
      </c>
      <c r="R12795" t="s">
        <v>615</v>
      </c>
      <c r="S12795">
        <v>139.273641</v>
      </c>
      <c r="T12795" s="1095">
        <v>-35.109082999999998</v>
      </c>
    </row>
    <row r="12796" spans="16:20">
      <c r="P12796" s="1094">
        <v>5253</v>
      </c>
      <c r="Q12796" t="s">
        <v>12975</v>
      </c>
      <c r="R12796" t="s">
        <v>615</v>
      </c>
      <c r="S12796">
        <v>139.273641</v>
      </c>
      <c r="T12796" s="1095">
        <v>-35.109082999999998</v>
      </c>
    </row>
    <row r="12797" spans="16:20">
      <c r="P12797" s="1094">
        <v>5253</v>
      </c>
      <c r="Q12797" t="s">
        <v>12976</v>
      </c>
      <c r="R12797" t="s">
        <v>615</v>
      </c>
      <c r="S12797">
        <v>139.273641</v>
      </c>
      <c r="T12797" s="1095">
        <v>-35.109082999999998</v>
      </c>
    </row>
    <row r="12798" spans="16:20">
      <c r="P12798" s="1094">
        <v>5253</v>
      </c>
      <c r="Q12798" t="s">
        <v>12977</v>
      </c>
      <c r="R12798" t="s">
        <v>615</v>
      </c>
      <c r="S12798">
        <v>139.273641</v>
      </c>
      <c r="T12798" s="1095">
        <v>-35.109082999999998</v>
      </c>
    </row>
    <row r="12799" spans="16:20">
      <c r="P12799" s="1094">
        <v>5253</v>
      </c>
      <c r="Q12799" t="s">
        <v>8574</v>
      </c>
      <c r="R12799" t="s">
        <v>615</v>
      </c>
      <c r="S12799">
        <v>139.273641</v>
      </c>
      <c r="T12799" s="1095">
        <v>-35.109082999999998</v>
      </c>
    </row>
    <row r="12800" spans="16:20">
      <c r="P12800" s="1094">
        <v>5254</v>
      </c>
      <c r="Q12800" t="s">
        <v>12978</v>
      </c>
      <c r="R12800" t="s">
        <v>615</v>
      </c>
      <c r="S12800">
        <v>139.47594599999999</v>
      </c>
      <c r="T12800" s="1095">
        <v>-35.097045000000001</v>
      </c>
    </row>
    <row r="12801" spans="16:20">
      <c r="P12801" s="1094">
        <v>5254</v>
      </c>
      <c r="Q12801" t="s">
        <v>12979</v>
      </c>
      <c r="R12801" t="s">
        <v>615</v>
      </c>
      <c r="S12801">
        <v>139.47594599999999</v>
      </c>
      <c r="T12801" s="1095">
        <v>-35.097045000000001</v>
      </c>
    </row>
    <row r="12802" spans="16:20">
      <c r="P12802" s="1094">
        <v>5254</v>
      </c>
      <c r="Q12802" t="s">
        <v>12980</v>
      </c>
      <c r="R12802" t="s">
        <v>615</v>
      </c>
      <c r="S12802">
        <v>139.47594599999999</v>
      </c>
      <c r="T12802" s="1095">
        <v>-35.097045000000001</v>
      </c>
    </row>
    <row r="12803" spans="16:20">
      <c r="P12803" s="1094">
        <v>5254</v>
      </c>
      <c r="Q12803" t="s">
        <v>12981</v>
      </c>
      <c r="R12803" t="s">
        <v>615</v>
      </c>
      <c r="S12803">
        <v>139.47594599999999</v>
      </c>
      <c r="T12803" s="1095">
        <v>-35.097045000000001</v>
      </c>
    </row>
    <row r="12804" spans="16:20">
      <c r="P12804" s="1094">
        <v>5254</v>
      </c>
      <c r="Q12804" t="s">
        <v>12982</v>
      </c>
      <c r="R12804" t="s">
        <v>615</v>
      </c>
      <c r="S12804">
        <v>139.47594599999999</v>
      </c>
      <c r="T12804" s="1095">
        <v>-35.097045000000001</v>
      </c>
    </row>
    <row r="12805" spans="16:20">
      <c r="P12805" s="1094">
        <v>5254</v>
      </c>
      <c r="Q12805" t="s">
        <v>12983</v>
      </c>
      <c r="R12805" t="s">
        <v>615</v>
      </c>
      <c r="S12805">
        <v>139.47594599999999</v>
      </c>
      <c r="T12805" s="1095">
        <v>-35.097045000000001</v>
      </c>
    </row>
    <row r="12806" spans="16:20">
      <c r="P12806" s="1094">
        <v>5254</v>
      </c>
      <c r="Q12806" t="s">
        <v>12966</v>
      </c>
      <c r="R12806" t="s">
        <v>615</v>
      </c>
      <c r="S12806">
        <v>139.47594599999999</v>
      </c>
      <c r="T12806" s="1095">
        <v>-35.097045000000001</v>
      </c>
    </row>
    <row r="12807" spans="16:20">
      <c r="P12807" s="1094">
        <v>5254</v>
      </c>
      <c r="Q12807" t="s">
        <v>12984</v>
      </c>
      <c r="R12807" t="s">
        <v>615</v>
      </c>
      <c r="S12807">
        <v>139.47594599999999</v>
      </c>
      <c r="T12807" s="1095">
        <v>-35.097045000000001</v>
      </c>
    </row>
    <row r="12808" spans="16:20">
      <c r="P12808" s="1094">
        <v>5254</v>
      </c>
      <c r="Q12808" t="s">
        <v>12985</v>
      </c>
      <c r="R12808" t="s">
        <v>615</v>
      </c>
      <c r="S12808">
        <v>139.47594599999999</v>
      </c>
      <c r="T12808" s="1095">
        <v>-35.097045000000001</v>
      </c>
    </row>
    <row r="12809" spans="16:20">
      <c r="P12809" s="1094">
        <v>5254</v>
      </c>
      <c r="Q12809" t="s">
        <v>12986</v>
      </c>
      <c r="R12809" t="s">
        <v>615</v>
      </c>
      <c r="S12809">
        <v>139.47594599999999</v>
      </c>
      <c r="T12809" s="1095">
        <v>-35.097045000000001</v>
      </c>
    </row>
    <row r="12810" spans="16:20">
      <c r="P12810" s="1094">
        <v>5254</v>
      </c>
      <c r="Q12810" t="s">
        <v>12987</v>
      </c>
      <c r="R12810" t="s">
        <v>615</v>
      </c>
      <c r="S12810">
        <v>139.47594599999999</v>
      </c>
      <c r="T12810" s="1095">
        <v>-35.097045000000001</v>
      </c>
    </row>
    <row r="12811" spans="16:20">
      <c r="P12811" s="1094">
        <v>5254</v>
      </c>
      <c r="Q12811" t="s">
        <v>12988</v>
      </c>
      <c r="R12811" t="s">
        <v>615</v>
      </c>
      <c r="S12811">
        <v>139.47594599999999</v>
      </c>
      <c r="T12811" s="1095">
        <v>-35.097045000000001</v>
      </c>
    </row>
    <row r="12812" spans="16:20">
      <c r="P12812" s="1094">
        <v>5255</v>
      </c>
      <c r="Q12812" t="s">
        <v>12989</v>
      </c>
      <c r="R12812" t="s">
        <v>615</v>
      </c>
      <c r="S12812">
        <v>138.97586100000001</v>
      </c>
      <c r="T12812" s="1095">
        <v>-35.248539000000001</v>
      </c>
    </row>
    <row r="12813" spans="16:20">
      <c r="P12813" s="1094">
        <v>5255</v>
      </c>
      <c r="Q12813" t="s">
        <v>12990</v>
      </c>
      <c r="R12813" t="s">
        <v>615</v>
      </c>
      <c r="S12813">
        <v>138.97586100000001</v>
      </c>
      <c r="T12813" s="1095">
        <v>-35.248539000000001</v>
      </c>
    </row>
    <row r="12814" spans="16:20">
      <c r="P12814" s="1094">
        <v>5255</v>
      </c>
      <c r="Q12814" t="s">
        <v>12991</v>
      </c>
      <c r="R12814" t="s">
        <v>615</v>
      </c>
      <c r="S12814">
        <v>138.97586100000001</v>
      </c>
      <c r="T12814" s="1095">
        <v>-35.248539000000001</v>
      </c>
    </row>
    <row r="12815" spans="16:20">
      <c r="P12815" s="1094">
        <v>5255</v>
      </c>
      <c r="Q12815" t="s">
        <v>12992</v>
      </c>
      <c r="R12815" t="s">
        <v>615</v>
      </c>
      <c r="S12815">
        <v>138.97586100000001</v>
      </c>
      <c r="T12815" s="1095">
        <v>-35.248539000000001</v>
      </c>
    </row>
    <row r="12816" spans="16:20">
      <c r="P12816" s="1094">
        <v>5255</v>
      </c>
      <c r="Q12816" t="s">
        <v>12993</v>
      </c>
      <c r="R12816" t="s">
        <v>615</v>
      </c>
      <c r="S12816">
        <v>138.97586100000001</v>
      </c>
      <c r="T12816" s="1095">
        <v>-35.248539000000001</v>
      </c>
    </row>
    <row r="12817" spans="16:20">
      <c r="P12817" s="1094">
        <v>5255</v>
      </c>
      <c r="Q12817" t="s">
        <v>5727</v>
      </c>
      <c r="R12817" t="s">
        <v>615</v>
      </c>
      <c r="S12817">
        <v>138.97586100000001</v>
      </c>
      <c r="T12817" s="1095">
        <v>-35.248539000000001</v>
      </c>
    </row>
    <row r="12818" spans="16:20">
      <c r="P12818" s="1094">
        <v>5255</v>
      </c>
      <c r="Q12818" t="s">
        <v>12994</v>
      </c>
      <c r="R12818" t="s">
        <v>615</v>
      </c>
      <c r="S12818">
        <v>138.97586100000001</v>
      </c>
      <c r="T12818" s="1095">
        <v>-35.248539000000001</v>
      </c>
    </row>
    <row r="12819" spans="16:20">
      <c r="P12819" s="1094">
        <v>5255</v>
      </c>
      <c r="Q12819" t="s">
        <v>12995</v>
      </c>
      <c r="R12819" t="s">
        <v>615</v>
      </c>
      <c r="S12819">
        <v>138.97586100000001</v>
      </c>
      <c r="T12819" s="1095">
        <v>-35.248539000000001</v>
      </c>
    </row>
    <row r="12820" spans="16:20">
      <c r="P12820" s="1094">
        <v>5255</v>
      </c>
      <c r="Q12820" t="s">
        <v>12996</v>
      </c>
      <c r="R12820" t="s">
        <v>615</v>
      </c>
      <c r="S12820">
        <v>138.97586100000001</v>
      </c>
      <c r="T12820" s="1095">
        <v>-35.248539000000001</v>
      </c>
    </row>
    <row r="12821" spans="16:20">
      <c r="P12821" s="1094">
        <v>5255</v>
      </c>
      <c r="Q12821" t="s">
        <v>12997</v>
      </c>
      <c r="R12821" t="s">
        <v>615</v>
      </c>
      <c r="S12821">
        <v>138.97586100000001</v>
      </c>
      <c r="T12821" s="1095">
        <v>-35.248539000000001</v>
      </c>
    </row>
    <row r="12822" spans="16:20">
      <c r="P12822" s="1094">
        <v>5255</v>
      </c>
      <c r="Q12822" t="s">
        <v>12998</v>
      </c>
      <c r="R12822" t="s">
        <v>615</v>
      </c>
      <c r="S12822">
        <v>138.97586100000001</v>
      </c>
      <c r="T12822" s="1095">
        <v>-35.248539000000001</v>
      </c>
    </row>
    <row r="12823" spans="16:20">
      <c r="P12823" s="1094">
        <v>5255</v>
      </c>
      <c r="Q12823" t="s">
        <v>12999</v>
      </c>
      <c r="R12823" t="s">
        <v>615</v>
      </c>
      <c r="S12823">
        <v>138.97586100000001</v>
      </c>
      <c r="T12823" s="1095">
        <v>-35.248539000000001</v>
      </c>
    </row>
    <row r="12824" spans="16:20">
      <c r="P12824" s="1094">
        <v>5255</v>
      </c>
      <c r="Q12824" t="s">
        <v>13000</v>
      </c>
      <c r="R12824" t="s">
        <v>615</v>
      </c>
      <c r="S12824">
        <v>138.97586100000001</v>
      </c>
      <c r="T12824" s="1095">
        <v>-35.248539000000001</v>
      </c>
    </row>
    <row r="12825" spans="16:20">
      <c r="P12825" s="1094">
        <v>5255</v>
      </c>
      <c r="Q12825" t="s">
        <v>13001</v>
      </c>
      <c r="R12825" t="s">
        <v>615</v>
      </c>
      <c r="S12825">
        <v>138.97586100000001</v>
      </c>
      <c r="T12825" s="1095">
        <v>-35.248539000000001</v>
      </c>
    </row>
    <row r="12826" spans="16:20">
      <c r="P12826" s="1094">
        <v>5255</v>
      </c>
      <c r="Q12826" t="s">
        <v>13002</v>
      </c>
      <c r="R12826" t="s">
        <v>615</v>
      </c>
      <c r="S12826">
        <v>138.97586100000001</v>
      </c>
      <c r="T12826" s="1095">
        <v>-35.248539000000001</v>
      </c>
    </row>
    <row r="12827" spans="16:20">
      <c r="P12827" s="1094">
        <v>5255</v>
      </c>
      <c r="Q12827" t="s">
        <v>13003</v>
      </c>
      <c r="R12827" t="s">
        <v>615</v>
      </c>
      <c r="S12827">
        <v>138.97586100000001</v>
      </c>
      <c r="T12827" s="1095">
        <v>-35.248539000000001</v>
      </c>
    </row>
    <row r="12828" spans="16:20">
      <c r="P12828" s="1094">
        <v>5255</v>
      </c>
      <c r="Q12828" t="s">
        <v>13004</v>
      </c>
      <c r="R12828" t="s">
        <v>615</v>
      </c>
      <c r="S12828">
        <v>138.97586100000001</v>
      </c>
      <c r="T12828" s="1095">
        <v>-35.248539000000001</v>
      </c>
    </row>
    <row r="12829" spans="16:20">
      <c r="P12829" s="1094">
        <v>5255</v>
      </c>
      <c r="Q12829" t="s">
        <v>13005</v>
      </c>
      <c r="R12829" t="s">
        <v>615</v>
      </c>
      <c r="S12829">
        <v>138.97586100000001</v>
      </c>
      <c r="T12829" s="1095">
        <v>-35.248539000000001</v>
      </c>
    </row>
    <row r="12830" spans="16:20">
      <c r="P12830" s="1094">
        <v>5255</v>
      </c>
      <c r="Q12830" t="s">
        <v>13006</v>
      </c>
      <c r="R12830" t="s">
        <v>615</v>
      </c>
      <c r="S12830">
        <v>138.97586100000001</v>
      </c>
      <c r="T12830" s="1095">
        <v>-35.248539000000001</v>
      </c>
    </row>
    <row r="12831" spans="16:20">
      <c r="P12831" s="1094">
        <v>5256</v>
      </c>
      <c r="Q12831" t="s">
        <v>6701</v>
      </c>
      <c r="R12831" t="s">
        <v>615</v>
      </c>
      <c r="S12831">
        <v>139.03360000000001</v>
      </c>
      <c r="T12831" s="1095">
        <v>-35.492114000000001</v>
      </c>
    </row>
    <row r="12832" spans="16:20">
      <c r="P12832" s="1094">
        <v>5256</v>
      </c>
      <c r="Q12832" t="s">
        <v>13007</v>
      </c>
      <c r="R12832" t="s">
        <v>615</v>
      </c>
      <c r="S12832">
        <v>139.03360000000001</v>
      </c>
      <c r="T12832" s="1095">
        <v>-35.492114000000001</v>
      </c>
    </row>
    <row r="12833" spans="16:20">
      <c r="P12833" s="1094">
        <v>5256</v>
      </c>
      <c r="Q12833" t="s">
        <v>13008</v>
      </c>
      <c r="R12833" t="s">
        <v>615</v>
      </c>
      <c r="S12833">
        <v>139.03360000000001</v>
      </c>
      <c r="T12833" s="1095">
        <v>-35.492114000000001</v>
      </c>
    </row>
    <row r="12834" spans="16:20">
      <c r="P12834" s="1094">
        <v>5256</v>
      </c>
      <c r="Q12834" t="s">
        <v>13009</v>
      </c>
      <c r="R12834" t="s">
        <v>615</v>
      </c>
      <c r="S12834">
        <v>139.03360000000001</v>
      </c>
      <c r="T12834" s="1095">
        <v>-35.492114000000001</v>
      </c>
    </row>
    <row r="12835" spans="16:20">
      <c r="P12835" s="1094">
        <v>5256</v>
      </c>
      <c r="Q12835" t="s">
        <v>13010</v>
      </c>
      <c r="R12835" t="s">
        <v>615</v>
      </c>
      <c r="S12835">
        <v>139.03360000000001</v>
      </c>
      <c r="T12835" s="1095">
        <v>-35.492114000000001</v>
      </c>
    </row>
    <row r="12836" spans="16:20">
      <c r="P12836" s="1094">
        <v>5259</v>
      </c>
      <c r="Q12836" t="s">
        <v>4771</v>
      </c>
      <c r="R12836" t="s">
        <v>615</v>
      </c>
      <c r="S12836">
        <v>139.23656700000001</v>
      </c>
      <c r="T12836" s="1095">
        <v>-35.521405000000001</v>
      </c>
    </row>
    <row r="12837" spans="16:20">
      <c r="P12837" s="1094">
        <v>5259</v>
      </c>
      <c r="Q12837" t="s">
        <v>13011</v>
      </c>
      <c r="R12837" t="s">
        <v>615</v>
      </c>
      <c r="S12837">
        <v>139.23656700000001</v>
      </c>
      <c r="T12837" s="1095">
        <v>-35.521405000000001</v>
      </c>
    </row>
    <row r="12838" spans="16:20">
      <c r="P12838" s="1094">
        <v>5259</v>
      </c>
      <c r="Q12838" t="s">
        <v>13012</v>
      </c>
      <c r="R12838" t="s">
        <v>615</v>
      </c>
      <c r="S12838">
        <v>139.23656700000001</v>
      </c>
      <c r="T12838" s="1095">
        <v>-35.521405000000001</v>
      </c>
    </row>
    <row r="12839" spans="16:20">
      <c r="P12839" s="1094">
        <v>5259</v>
      </c>
      <c r="Q12839" t="s">
        <v>13013</v>
      </c>
      <c r="R12839" t="s">
        <v>615</v>
      </c>
      <c r="S12839">
        <v>139.23656700000001</v>
      </c>
      <c r="T12839" s="1095">
        <v>-35.521405000000001</v>
      </c>
    </row>
    <row r="12840" spans="16:20">
      <c r="P12840" s="1094">
        <v>5259</v>
      </c>
      <c r="Q12840" t="s">
        <v>13014</v>
      </c>
      <c r="R12840" t="s">
        <v>615</v>
      </c>
      <c r="S12840">
        <v>139.23656700000001</v>
      </c>
      <c r="T12840" s="1095">
        <v>-35.521405000000001</v>
      </c>
    </row>
    <row r="12841" spans="16:20">
      <c r="P12841" s="1094">
        <v>5259</v>
      </c>
      <c r="Q12841" t="s">
        <v>8195</v>
      </c>
      <c r="R12841" t="s">
        <v>615</v>
      </c>
      <c r="S12841">
        <v>139.23656700000001</v>
      </c>
      <c r="T12841" s="1095">
        <v>-35.521405000000001</v>
      </c>
    </row>
    <row r="12842" spans="16:20">
      <c r="P12842" s="1094">
        <v>5259</v>
      </c>
      <c r="Q12842" t="s">
        <v>13015</v>
      </c>
      <c r="R12842" t="s">
        <v>615</v>
      </c>
      <c r="S12842">
        <v>139.23656700000001</v>
      </c>
      <c r="T12842" s="1095">
        <v>-35.521405000000001</v>
      </c>
    </row>
    <row r="12843" spans="16:20">
      <c r="P12843" s="1094">
        <v>5259</v>
      </c>
      <c r="Q12843" t="s">
        <v>13016</v>
      </c>
      <c r="R12843" t="s">
        <v>615</v>
      </c>
      <c r="S12843">
        <v>139.23656700000001</v>
      </c>
      <c r="T12843" s="1095">
        <v>-35.521405000000001</v>
      </c>
    </row>
    <row r="12844" spans="16:20">
      <c r="P12844" s="1094">
        <v>5259</v>
      </c>
      <c r="Q12844" t="s">
        <v>13017</v>
      </c>
      <c r="R12844" t="s">
        <v>615</v>
      </c>
      <c r="S12844">
        <v>139.23656700000001</v>
      </c>
      <c r="T12844" s="1095">
        <v>-35.521405000000001</v>
      </c>
    </row>
    <row r="12845" spans="16:20">
      <c r="P12845" s="1094">
        <v>5259</v>
      </c>
      <c r="Q12845" t="s">
        <v>13018</v>
      </c>
      <c r="R12845" t="s">
        <v>615</v>
      </c>
      <c r="S12845">
        <v>139.23656700000001</v>
      </c>
      <c r="T12845" s="1095">
        <v>-35.521405000000001</v>
      </c>
    </row>
    <row r="12846" spans="16:20">
      <c r="P12846" s="1094">
        <v>5259</v>
      </c>
      <c r="Q12846" t="s">
        <v>13019</v>
      </c>
      <c r="R12846" t="s">
        <v>615</v>
      </c>
      <c r="S12846">
        <v>139.23656700000001</v>
      </c>
      <c r="T12846" s="1095">
        <v>-35.521405000000001</v>
      </c>
    </row>
    <row r="12847" spans="16:20">
      <c r="P12847" s="1094">
        <v>5259</v>
      </c>
      <c r="Q12847" t="s">
        <v>5948</v>
      </c>
      <c r="R12847" t="s">
        <v>615</v>
      </c>
      <c r="S12847">
        <v>139.23656700000001</v>
      </c>
      <c r="T12847" s="1095">
        <v>-35.521405000000001</v>
      </c>
    </row>
    <row r="12848" spans="16:20">
      <c r="P12848" s="1094">
        <v>5260</v>
      </c>
      <c r="Q12848" t="s">
        <v>13020</v>
      </c>
      <c r="R12848" t="s">
        <v>615</v>
      </c>
      <c r="S12848">
        <v>139.511686</v>
      </c>
      <c r="T12848" s="1095">
        <v>-35.233606000000002</v>
      </c>
    </row>
    <row r="12849" spans="16:20">
      <c r="P12849" s="1094">
        <v>5260</v>
      </c>
      <c r="Q12849" t="s">
        <v>13019</v>
      </c>
      <c r="R12849" t="s">
        <v>615</v>
      </c>
      <c r="S12849">
        <v>139.511686</v>
      </c>
      <c r="T12849" s="1095">
        <v>-35.233606000000002</v>
      </c>
    </row>
    <row r="12850" spans="16:20">
      <c r="P12850" s="1094">
        <v>5261</v>
      </c>
      <c r="Q12850" t="s">
        <v>13021</v>
      </c>
      <c r="R12850" t="s">
        <v>615</v>
      </c>
      <c r="S12850">
        <v>139.93516099999999</v>
      </c>
      <c r="T12850" s="1095">
        <v>-35.59601</v>
      </c>
    </row>
    <row r="12851" spans="16:20">
      <c r="P12851" s="1094">
        <v>5261</v>
      </c>
      <c r="Q12851" t="s">
        <v>13022</v>
      </c>
      <c r="R12851" t="s">
        <v>615</v>
      </c>
      <c r="S12851">
        <v>139.93516099999999</v>
      </c>
      <c r="T12851" s="1095">
        <v>-35.59601</v>
      </c>
    </row>
    <row r="12852" spans="16:20">
      <c r="P12852" s="1094">
        <v>5261</v>
      </c>
      <c r="Q12852" t="s">
        <v>13023</v>
      </c>
      <c r="R12852" t="s">
        <v>615</v>
      </c>
      <c r="S12852">
        <v>139.93516099999999</v>
      </c>
      <c r="T12852" s="1095">
        <v>-35.59601</v>
      </c>
    </row>
    <row r="12853" spans="16:20">
      <c r="P12853" s="1094">
        <v>5261</v>
      </c>
      <c r="Q12853" t="s">
        <v>13024</v>
      </c>
      <c r="R12853" t="s">
        <v>615</v>
      </c>
      <c r="S12853">
        <v>139.93516099999999</v>
      </c>
      <c r="T12853" s="1095">
        <v>-35.59601</v>
      </c>
    </row>
    <row r="12854" spans="16:20">
      <c r="P12854" s="1094">
        <v>5261</v>
      </c>
      <c r="Q12854" t="s">
        <v>13025</v>
      </c>
      <c r="R12854" t="s">
        <v>615</v>
      </c>
      <c r="S12854">
        <v>139.93516099999999</v>
      </c>
      <c r="T12854" s="1095">
        <v>-35.59601</v>
      </c>
    </row>
    <row r="12855" spans="16:20">
      <c r="P12855" s="1094">
        <v>5262</v>
      </c>
      <c r="Q12855" t="s">
        <v>13026</v>
      </c>
      <c r="R12855" t="s">
        <v>615</v>
      </c>
      <c r="S12855">
        <v>140.90454299999999</v>
      </c>
      <c r="T12855" s="1095">
        <v>-36.780524</v>
      </c>
    </row>
    <row r="12856" spans="16:20">
      <c r="P12856" s="1094">
        <v>5262</v>
      </c>
      <c r="Q12856" t="s">
        <v>13027</v>
      </c>
      <c r="R12856" t="s">
        <v>615</v>
      </c>
      <c r="S12856">
        <v>140.90454299999999</v>
      </c>
      <c r="T12856" s="1095">
        <v>-36.780524</v>
      </c>
    </row>
    <row r="12857" spans="16:20">
      <c r="P12857" s="1094">
        <v>5262</v>
      </c>
      <c r="Q12857" t="s">
        <v>13028</v>
      </c>
      <c r="R12857" t="s">
        <v>615</v>
      </c>
      <c r="S12857">
        <v>140.90454299999999</v>
      </c>
      <c r="T12857" s="1095">
        <v>-36.780524</v>
      </c>
    </row>
    <row r="12858" spans="16:20">
      <c r="P12858" s="1094">
        <v>5262</v>
      </c>
      <c r="Q12858" t="s">
        <v>13029</v>
      </c>
      <c r="R12858" t="s">
        <v>615</v>
      </c>
      <c r="S12858">
        <v>140.90454299999999</v>
      </c>
      <c r="T12858" s="1095">
        <v>-36.780524</v>
      </c>
    </row>
    <row r="12859" spans="16:20">
      <c r="P12859" s="1094">
        <v>5263</v>
      </c>
      <c r="Q12859" t="s">
        <v>1456</v>
      </c>
      <c r="R12859" t="s">
        <v>615</v>
      </c>
      <c r="S12859">
        <v>140.83844099999999</v>
      </c>
      <c r="T12859" s="1095">
        <v>-37.307042000000003</v>
      </c>
    </row>
    <row r="12860" spans="16:20">
      <c r="P12860" s="1094">
        <v>5264</v>
      </c>
      <c r="Q12860" t="s">
        <v>13030</v>
      </c>
      <c r="R12860" t="s">
        <v>615</v>
      </c>
      <c r="S12860">
        <v>139.27573699999999</v>
      </c>
      <c r="T12860" s="1095">
        <v>-35.669947000000001</v>
      </c>
    </row>
    <row r="12861" spans="16:20">
      <c r="P12861" s="1094">
        <v>5264</v>
      </c>
      <c r="Q12861" t="s">
        <v>13031</v>
      </c>
      <c r="R12861" t="s">
        <v>615</v>
      </c>
      <c r="S12861">
        <v>139.27573699999999</v>
      </c>
      <c r="T12861" s="1095">
        <v>-35.669947000000001</v>
      </c>
    </row>
    <row r="12862" spans="16:20">
      <c r="P12862" s="1094">
        <v>5264</v>
      </c>
      <c r="Q12862" t="s">
        <v>13032</v>
      </c>
      <c r="R12862" t="s">
        <v>615</v>
      </c>
      <c r="S12862">
        <v>139.27573699999999</v>
      </c>
      <c r="T12862" s="1095">
        <v>-35.669947000000001</v>
      </c>
    </row>
    <row r="12863" spans="16:20">
      <c r="P12863" s="1094">
        <v>5264</v>
      </c>
      <c r="Q12863" t="s">
        <v>13033</v>
      </c>
      <c r="R12863" t="s">
        <v>615</v>
      </c>
      <c r="S12863">
        <v>139.27573699999999</v>
      </c>
      <c r="T12863" s="1095">
        <v>-35.669947000000001</v>
      </c>
    </row>
    <row r="12864" spans="16:20">
      <c r="P12864" s="1094">
        <v>5264</v>
      </c>
      <c r="Q12864" t="s">
        <v>13034</v>
      </c>
      <c r="R12864" t="s">
        <v>615</v>
      </c>
      <c r="S12864">
        <v>139.27573699999999</v>
      </c>
      <c r="T12864" s="1095">
        <v>-35.669947000000001</v>
      </c>
    </row>
    <row r="12865" spans="16:20">
      <c r="P12865" s="1094">
        <v>5264</v>
      </c>
      <c r="Q12865" t="s">
        <v>13035</v>
      </c>
      <c r="R12865" t="s">
        <v>615</v>
      </c>
      <c r="S12865">
        <v>139.27573699999999</v>
      </c>
      <c r="T12865" s="1095">
        <v>-35.669947000000001</v>
      </c>
    </row>
    <row r="12866" spans="16:20">
      <c r="P12866" s="1094">
        <v>5264</v>
      </c>
      <c r="Q12866" t="s">
        <v>13036</v>
      </c>
      <c r="R12866" t="s">
        <v>615</v>
      </c>
      <c r="S12866">
        <v>139.27573699999999</v>
      </c>
      <c r="T12866" s="1095">
        <v>-35.669947000000001</v>
      </c>
    </row>
    <row r="12867" spans="16:20">
      <c r="P12867" s="1094">
        <v>5265</v>
      </c>
      <c r="Q12867" t="s">
        <v>13037</v>
      </c>
      <c r="R12867" t="s">
        <v>615</v>
      </c>
      <c r="S12867">
        <v>139.74342200000001</v>
      </c>
      <c r="T12867" s="1095">
        <v>-35.718823</v>
      </c>
    </row>
    <row r="12868" spans="16:20">
      <c r="P12868" s="1094">
        <v>5265</v>
      </c>
      <c r="Q12868" t="s">
        <v>13038</v>
      </c>
      <c r="R12868" t="s">
        <v>615</v>
      </c>
      <c r="S12868">
        <v>139.74342200000001</v>
      </c>
      <c r="T12868" s="1095">
        <v>-35.718823</v>
      </c>
    </row>
    <row r="12869" spans="16:20">
      <c r="P12869" s="1094">
        <v>5266</v>
      </c>
      <c r="Q12869" t="s">
        <v>13039</v>
      </c>
      <c r="R12869" t="s">
        <v>615</v>
      </c>
      <c r="S12869">
        <v>139.815539</v>
      </c>
      <c r="T12869" s="1095">
        <v>-35.902842</v>
      </c>
    </row>
    <row r="12870" spans="16:20">
      <c r="P12870" s="1094">
        <v>5266</v>
      </c>
      <c r="Q12870" t="s">
        <v>13040</v>
      </c>
      <c r="R12870" t="s">
        <v>615</v>
      </c>
      <c r="S12870">
        <v>139.815539</v>
      </c>
      <c r="T12870" s="1095">
        <v>-35.902842</v>
      </c>
    </row>
    <row r="12871" spans="16:20">
      <c r="P12871" s="1094">
        <v>5266</v>
      </c>
      <c r="Q12871" t="s">
        <v>3100</v>
      </c>
      <c r="R12871" t="s">
        <v>615</v>
      </c>
      <c r="S12871">
        <v>139.815539</v>
      </c>
      <c r="T12871" s="1095">
        <v>-35.902842</v>
      </c>
    </row>
    <row r="12872" spans="16:20">
      <c r="P12872" s="1094">
        <v>5266</v>
      </c>
      <c r="Q12872" t="s">
        <v>13041</v>
      </c>
      <c r="R12872" t="s">
        <v>615</v>
      </c>
      <c r="S12872">
        <v>139.815539</v>
      </c>
      <c r="T12872" s="1095">
        <v>-35.902842</v>
      </c>
    </row>
    <row r="12873" spans="16:20">
      <c r="P12873" s="1094">
        <v>5267</v>
      </c>
      <c r="Q12873" t="s">
        <v>13042</v>
      </c>
      <c r="R12873" t="s">
        <v>615</v>
      </c>
      <c r="S12873">
        <v>140.34870699999999</v>
      </c>
      <c r="T12873" s="1095">
        <v>-36.093533999999998</v>
      </c>
    </row>
    <row r="12874" spans="16:20">
      <c r="P12874" s="1094">
        <v>5267</v>
      </c>
      <c r="Q12874" t="s">
        <v>13043</v>
      </c>
      <c r="R12874" t="s">
        <v>615</v>
      </c>
      <c r="S12874">
        <v>140.34870699999999</v>
      </c>
      <c r="T12874" s="1095">
        <v>-36.093533999999998</v>
      </c>
    </row>
    <row r="12875" spans="16:20">
      <c r="P12875" s="1094">
        <v>5267</v>
      </c>
      <c r="Q12875" t="s">
        <v>13044</v>
      </c>
      <c r="R12875" t="s">
        <v>615</v>
      </c>
      <c r="S12875">
        <v>140.34870699999999</v>
      </c>
      <c r="T12875" s="1095">
        <v>-36.093533999999998</v>
      </c>
    </row>
    <row r="12876" spans="16:20">
      <c r="P12876" s="1094">
        <v>5267</v>
      </c>
      <c r="Q12876" t="s">
        <v>13045</v>
      </c>
      <c r="R12876" t="s">
        <v>615</v>
      </c>
      <c r="S12876">
        <v>140.34870699999999</v>
      </c>
      <c r="T12876" s="1095">
        <v>-36.093533999999998</v>
      </c>
    </row>
    <row r="12877" spans="16:20">
      <c r="P12877" s="1094">
        <v>5267</v>
      </c>
      <c r="Q12877" t="s">
        <v>13046</v>
      </c>
      <c r="R12877" t="s">
        <v>615</v>
      </c>
      <c r="S12877">
        <v>140.34870699999999</v>
      </c>
      <c r="T12877" s="1095">
        <v>-36.093533999999998</v>
      </c>
    </row>
    <row r="12878" spans="16:20">
      <c r="P12878" s="1094">
        <v>5267</v>
      </c>
      <c r="Q12878" t="s">
        <v>13047</v>
      </c>
      <c r="R12878" t="s">
        <v>615</v>
      </c>
      <c r="S12878">
        <v>140.34870699999999</v>
      </c>
      <c r="T12878" s="1095">
        <v>-36.093533999999998</v>
      </c>
    </row>
    <row r="12879" spans="16:20">
      <c r="P12879" s="1094">
        <v>5267</v>
      </c>
      <c r="Q12879" t="s">
        <v>13048</v>
      </c>
      <c r="R12879" t="s">
        <v>615</v>
      </c>
      <c r="S12879">
        <v>140.34870699999999</v>
      </c>
      <c r="T12879" s="1095">
        <v>-36.093533999999998</v>
      </c>
    </row>
    <row r="12880" spans="16:20">
      <c r="P12880" s="1094">
        <v>5267</v>
      </c>
      <c r="Q12880" t="s">
        <v>13049</v>
      </c>
      <c r="R12880" t="s">
        <v>615</v>
      </c>
      <c r="S12880">
        <v>140.34870699999999</v>
      </c>
      <c r="T12880" s="1095">
        <v>-36.093533999999998</v>
      </c>
    </row>
    <row r="12881" spans="16:20">
      <c r="P12881" s="1094">
        <v>5267</v>
      </c>
      <c r="Q12881" t="s">
        <v>3475</v>
      </c>
      <c r="R12881" t="s">
        <v>615</v>
      </c>
      <c r="S12881">
        <v>140.34870699999999</v>
      </c>
      <c r="T12881" s="1095">
        <v>-36.093533999999998</v>
      </c>
    </row>
    <row r="12882" spans="16:20">
      <c r="P12882" s="1094">
        <v>5267</v>
      </c>
      <c r="Q12882" t="s">
        <v>13050</v>
      </c>
      <c r="R12882" t="s">
        <v>615</v>
      </c>
      <c r="S12882">
        <v>140.34870699999999</v>
      </c>
      <c r="T12882" s="1095">
        <v>-36.093533999999998</v>
      </c>
    </row>
    <row r="12883" spans="16:20">
      <c r="P12883" s="1094">
        <v>5267</v>
      </c>
      <c r="Q12883" t="s">
        <v>13051</v>
      </c>
      <c r="R12883" t="s">
        <v>615</v>
      </c>
      <c r="S12883">
        <v>140.34870699999999</v>
      </c>
      <c r="T12883" s="1095">
        <v>-36.093533999999998</v>
      </c>
    </row>
    <row r="12884" spans="16:20">
      <c r="P12884" s="1094">
        <v>5268</v>
      </c>
      <c r="Q12884" t="s">
        <v>13052</v>
      </c>
      <c r="R12884" t="s">
        <v>615</v>
      </c>
      <c r="S12884">
        <v>140.78819899999999</v>
      </c>
      <c r="T12884" s="1095">
        <v>-36.189376000000003</v>
      </c>
    </row>
    <row r="12885" spans="16:20">
      <c r="P12885" s="1094">
        <v>5268</v>
      </c>
      <c r="Q12885" t="s">
        <v>13053</v>
      </c>
      <c r="R12885" t="s">
        <v>615</v>
      </c>
      <c r="S12885">
        <v>140.78819899999999</v>
      </c>
      <c r="T12885" s="1095">
        <v>-36.189376000000003</v>
      </c>
    </row>
    <row r="12886" spans="16:20">
      <c r="P12886" s="1094">
        <v>5268</v>
      </c>
      <c r="Q12886" t="s">
        <v>13054</v>
      </c>
      <c r="R12886" t="s">
        <v>615</v>
      </c>
      <c r="S12886">
        <v>140.78819899999999</v>
      </c>
      <c r="T12886" s="1095">
        <v>-36.189376000000003</v>
      </c>
    </row>
    <row r="12887" spans="16:20">
      <c r="P12887" s="1094">
        <v>5268</v>
      </c>
      <c r="Q12887" t="s">
        <v>13055</v>
      </c>
      <c r="R12887" t="s">
        <v>615</v>
      </c>
      <c r="S12887">
        <v>140.78819899999999</v>
      </c>
      <c r="T12887" s="1095">
        <v>-36.189376000000003</v>
      </c>
    </row>
    <row r="12888" spans="16:20">
      <c r="P12888" s="1094">
        <v>5268</v>
      </c>
      <c r="Q12888" t="s">
        <v>13056</v>
      </c>
      <c r="R12888" t="s">
        <v>615</v>
      </c>
      <c r="S12888">
        <v>140.78819899999999</v>
      </c>
      <c r="T12888" s="1095">
        <v>-36.189376000000003</v>
      </c>
    </row>
    <row r="12889" spans="16:20">
      <c r="P12889" s="1094">
        <v>5268</v>
      </c>
      <c r="Q12889" t="s">
        <v>13057</v>
      </c>
      <c r="R12889" t="s">
        <v>615</v>
      </c>
      <c r="S12889">
        <v>140.78819899999999</v>
      </c>
      <c r="T12889" s="1095">
        <v>-36.189376000000003</v>
      </c>
    </row>
    <row r="12890" spans="16:20">
      <c r="P12890" s="1094">
        <v>5268</v>
      </c>
      <c r="Q12890" t="s">
        <v>13058</v>
      </c>
      <c r="R12890" t="s">
        <v>615</v>
      </c>
      <c r="S12890">
        <v>140.78819899999999</v>
      </c>
      <c r="T12890" s="1095">
        <v>-36.189376000000003</v>
      </c>
    </row>
    <row r="12891" spans="16:20">
      <c r="P12891" s="1094">
        <v>5268</v>
      </c>
      <c r="Q12891" t="s">
        <v>13059</v>
      </c>
      <c r="R12891" t="s">
        <v>615</v>
      </c>
      <c r="S12891">
        <v>140.78819899999999</v>
      </c>
      <c r="T12891" s="1095">
        <v>-36.189376000000003</v>
      </c>
    </row>
    <row r="12892" spans="16:20">
      <c r="P12892" s="1094">
        <v>5268</v>
      </c>
      <c r="Q12892" t="s">
        <v>13060</v>
      </c>
      <c r="R12892" t="s">
        <v>615</v>
      </c>
      <c r="S12892">
        <v>140.78819899999999</v>
      </c>
      <c r="T12892" s="1095">
        <v>-36.189376000000003</v>
      </c>
    </row>
    <row r="12893" spans="16:20">
      <c r="P12893" s="1094">
        <v>5269</v>
      </c>
      <c r="Q12893" t="s">
        <v>13061</v>
      </c>
      <c r="R12893" t="s">
        <v>615</v>
      </c>
      <c r="S12893">
        <v>140.91972699999999</v>
      </c>
      <c r="T12893" s="1095">
        <v>-36.343395000000001</v>
      </c>
    </row>
    <row r="12894" spans="16:20">
      <c r="P12894" s="1094">
        <v>5269</v>
      </c>
      <c r="Q12894" t="s">
        <v>13062</v>
      </c>
      <c r="R12894" t="s">
        <v>615</v>
      </c>
      <c r="S12894">
        <v>140.91972699999999</v>
      </c>
      <c r="T12894" s="1095">
        <v>-36.343395000000001</v>
      </c>
    </row>
    <row r="12895" spans="16:20">
      <c r="P12895" s="1094">
        <v>5270</v>
      </c>
      <c r="Q12895" t="s">
        <v>11971</v>
      </c>
      <c r="R12895" t="s">
        <v>615</v>
      </c>
      <c r="S12895">
        <v>140.60167200000001</v>
      </c>
      <c r="T12895" s="1095">
        <v>-36.404918000000002</v>
      </c>
    </row>
    <row r="12896" spans="16:20">
      <c r="P12896" s="1094">
        <v>5270</v>
      </c>
      <c r="Q12896" t="s">
        <v>13063</v>
      </c>
      <c r="R12896" t="s">
        <v>615</v>
      </c>
      <c r="S12896">
        <v>140.60167200000001</v>
      </c>
      <c r="T12896" s="1095">
        <v>-36.404918000000002</v>
      </c>
    </row>
    <row r="12897" spans="16:20">
      <c r="P12897" s="1094">
        <v>5270</v>
      </c>
      <c r="Q12897" t="s">
        <v>13064</v>
      </c>
      <c r="R12897" t="s">
        <v>615</v>
      </c>
      <c r="S12897">
        <v>140.60167200000001</v>
      </c>
      <c r="T12897" s="1095">
        <v>-36.404918000000002</v>
      </c>
    </row>
    <row r="12898" spans="16:20">
      <c r="P12898" s="1094">
        <v>5270</v>
      </c>
      <c r="Q12898" t="s">
        <v>13065</v>
      </c>
      <c r="R12898" t="s">
        <v>615</v>
      </c>
      <c r="S12898">
        <v>140.60167200000001</v>
      </c>
      <c r="T12898" s="1095">
        <v>-36.404918000000002</v>
      </c>
    </row>
    <row r="12899" spans="16:20">
      <c r="P12899" s="1094">
        <v>5270</v>
      </c>
      <c r="Q12899" t="s">
        <v>13066</v>
      </c>
      <c r="R12899" t="s">
        <v>615</v>
      </c>
      <c r="S12899">
        <v>140.60167200000001</v>
      </c>
      <c r="T12899" s="1095">
        <v>-36.404918000000002</v>
      </c>
    </row>
    <row r="12900" spans="16:20">
      <c r="P12900" s="1094">
        <v>5270</v>
      </c>
      <c r="Q12900" t="s">
        <v>13067</v>
      </c>
      <c r="R12900" t="s">
        <v>615</v>
      </c>
      <c r="S12900">
        <v>140.60167200000001</v>
      </c>
      <c r="T12900" s="1095">
        <v>-36.404918000000002</v>
      </c>
    </row>
    <row r="12901" spans="16:20">
      <c r="P12901" s="1094">
        <v>5271</v>
      </c>
      <c r="Q12901" t="s">
        <v>13068</v>
      </c>
      <c r="R12901" t="s">
        <v>615</v>
      </c>
      <c r="S12901">
        <v>140.49649600000001</v>
      </c>
      <c r="T12901" s="1095">
        <v>-36.792946000000001</v>
      </c>
    </row>
    <row r="12902" spans="16:20">
      <c r="P12902" s="1094">
        <v>5271</v>
      </c>
      <c r="Q12902" t="s">
        <v>13069</v>
      </c>
      <c r="R12902" t="s">
        <v>615</v>
      </c>
      <c r="S12902">
        <v>140.49649600000001</v>
      </c>
      <c r="T12902" s="1095">
        <v>-36.792946000000001</v>
      </c>
    </row>
    <row r="12903" spans="16:20">
      <c r="P12903" s="1094">
        <v>5271</v>
      </c>
      <c r="Q12903" t="s">
        <v>13070</v>
      </c>
      <c r="R12903" t="s">
        <v>615</v>
      </c>
      <c r="S12903">
        <v>140.49649600000001</v>
      </c>
      <c r="T12903" s="1095">
        <v>-36.792946000000001</v>
      </c>
    </row>
    <row r="12904" spans="16:20">
      <c r="P12904" s="1094">
        <v>5271</v>
      </c>
      <c r="Q12904" t="s">
        <v>13071</v>
      </c>
      <c r="R12904" t="s">
        <v>615</v>
      </c>
      <c r="S12904">
        <v>140.49649600000001</v>
      </c>
      <c r="T12904" s="1095">
        <v>-36.792946000000001</v>
      </c>
    </row>
    <row r="12905" spans="16:20">
      <c r="P12905" s="1094">
        <v>5271</v>
      </c>
      <c r="Q12905" t="s">
        <v>13072</v>
      </c>
      <c r="R12905" t="s">
        <v>615</v>
      </c>
      <c r="S12905">
        <v>140.49649600000001</v>
      </c>
      <c r="T12905" s="1095">
        <v>-36.792946000000001</v>
      </c>
    </row>
    <row r="12906" spans="16:20">
      <c r="P12906" s="1094">
        <v>5271</v>
      </c>
      <c r="Q12906" t="s">
        <v>4871</v>
      </c>
      <c r="R12906" t="s">
        <v>615</v>
      </c>
      <c r="S12906">
        <v>140.49649600000001</v>
      </c>
      <c r="T12906" s="1095">
        <v>-36.792946000000001</v>
      </c>
    </row>
    <row r="12907" spans="16:20">
      <c r="P12907" s="1094">
        <v>5271</v>
      </c>
      <c r="Q12907" t="s">
        <v>13073</v>
      </c>
      <c r="R12907" t="s">
        <v>615</v>
      </c>
      <c r="S12907">
        <v>140.49649600000001</v>
      </c>
      <c r="T12907" s="1095">
        <v>-36.792946000000001</v>
      </c>
    </row>
    <row r="12908" spans="16:20">
      <c r="P12908" s="1094">
        <v>5271</v>
      </c>
      <c r="Q12908" t="s">
        <v>13074</v>
      </c>
      <c r="R12908" t="s">
        <v>615</v>
      </c>
      <c r="S12908">
        <v>140.49649600000001</v>
      </c>
      <c r="T12908" s="1095">
        <v>-36.792946000000001</v>
      </c>
    </row>
    <row r="12909" spans="16:20">
      <c r="P12909" s="1094">
        <v>5272</v>
      </c>
      <c r="Q12909" t="s">
        <v>13075</v>
      </c>
      <c r="R12909" t="s">
        <v>615</v>
      </c>
      <c r="S12909">
        <v>140.321798</v>
      </c>
      <c r="T12909" s="1095">
        <v>-37.162861999999997</v>
      </c>
    </row>
    <row r="12910" spans="16:20">
      <c r="P12910" s="1094">
        <v>5272</v>
      </c>
      <c r="Q12910" t="s">
        <v>13076</v>
      </c>
      <c r="R12910" t="s">
        <v>615</v>
      </c>
      <c r="S12910">
        <v>140.321798</v>
      </c>
      <c r="T12910" s="1095">
        <v>-37.162861999999997</v>
      </c>
    </row>
    <row r="12911" spans="16:20">
      <c r="P12911" s="1094">
        <v>5272</v>
      </c>
      <c r="Q12911" t="s">
        <v>13077</v>
      </c>
      <c r="R12911" t="s">
        <v>615</v>
      </c>
      <c r="S12911">
        <v>140.321798</v>
      </c>
      <c r="T12911" s="1095">
        <v>-37.162861999999997</v>
      </c>
    </row>
    <row r="12912" spans="16:20">
      <c r="P12912" s="1094">
        <v>5272</v>
      </c>
      <c r="Q12912" t="s">
        <v>13078</v>
      </c>
      <c r="R12912" t="s">
        <v>615</v>
      </c>
      <c r="S12912">
        <v>140.321798</v>
      </c>
      <c r="T12912" s="1095">
        <v>-37.162861999999997</v>
      </c>
    </row>
    <row r="12913" spans="16:20">
      <c r="P12913" s="1094">
        <v>5272</v>
      </c>
      <c r="Q12913" t="s">
        <v>13079</v>
      </c>
      <c r="R12913" t="s">
        <v>615</v>
      </c>
      <c r="S12913">
        <v>140.321798</v>
      </c>
      <c r="T12913" s="1095">
        <v>-37.162861999999997</v>
      </c>
    </row>
    <row r="12914" spans="16:20">
      <c r="P12914" s="1094">
        <v>5272</v>
      </c>
      <c r="Q12914" t="s">
        <v>13080</v>
      </c>
      <c r="R12914" t="s">
        <v>615</v>
      </c>
      <c r="S12914">
        <v>140.321798</v>
      </c>
      <c r="T12914" s="1095">
        <v>-37.162861999999997</v>
      </c>
    </row>
    <row r="12915" spans="16:20">
      <c r="P12915" s="1094">
        <v>5273</v>
      </c>
      <c r="Q12915" t="s">
        <v>13081</v>
      </c>
      <c r="R12915" t="s">
        <v>615</v>
      </c>
      <c r="S12915">
        <v>140.24606399999999</v>
      </c>
      <c r="T12915" s="1095">
        <v>-36.942585999999999</v>
      </c>
    </row>
    <row r="12916" spans="16:20">
      <c r="P12916" s="1094">
        <v>5275</v>
      </c>
      <c r="Q12916" t="s">
        <v>13082</v>
      </c>
      <c r="R12916" t="s">
        <v>615</v>
      </c>
      <c r="S12916">
        <v>139.93712600000001</v>
      </c>
      <c r="T12916" s="1095">
        <v>-36.613230000000001</v>
      </c>
    </row>
    <row r="12917" spans="16:20">
      <c r="P12917" s="1094">
        <v>5275</v>
      </c>
      <c r="Q12917" t="s">
        <v>13083</v>
      </c>
      <c r="R12917" t="s">
        <v>615</v>
      </c>
      <c r="S12917">
        <v>139.93712600000001</v>
      </c>
      <c r="T12917" s="1095">
        <v>-36.613230000000001</v>
      </c>
    </row>
    <row r="12918" spans="16:20">
      <c r="P12918" s="1094">
        <v>5275</v>
      </c>
      <c r="Q12918" t="s">
        <v>13084</v>
      </c>
      <c r="R12918" t="s">
        <v>615</v>
      </c>
      <c r="S12918">
        <v>139.93712600000001</v>
      </c>
      <c r="T12918" s="1095">
        <v>-36.613230000000001</v>
      </c>
    </row>
    <row r="12919" spans="16:20">
      <c r="P12919" s="1094">
        <v>5275</v>
      </c>
      <c r="Q12919" t="s">
        <v>13085</v>
      </c>
      <c r="R12919" t="s">
        <v>615</v>
      </c>
      <c r="S12919">
        <v>139.93712600000001</v>
      </c>
      <c r="T12919" s="1095">
        <v>-36.613230000000001</v>
      </c>
    </row>
    <row r="12920" spans="16:20">
      <c r="P12920" s="1094">
        <v>5275</v>
      </c>
      <c r="Q12920" t="s">
        <v>13086</v>
      </c>
      <c r="R12920" t="s">
        <v>615</v>
      </c>
      <c r="S12920">
        <v>139.93712600000001</v>
      </c>
      <c r="T12920" s="1095">
        <v>-36.613230000000001</v>
      </c>
    </row>
    <row r="12921" spans="16:20">
      <c r="P12921" s="1094">
        <v>5275</v>
      </c>
      <c r="Q12921" t="s">
        <v>13087</v>
      </c>
      <c r="R12921" t="s">
        <v>615</v>
      </c>
      <c r="S12921">
        <v>139.93712600000001</v>
      </c>
      <c r="T12921" s="1095">
        <v>-36.613230000000001</v>
      </c>
    </row>
    <row r="12922" spans="16:20">
      <c r="P12922" s="1094">
        <v>5275</v>
      </c>
      <c r="Q12922" t="s">
        <v>13088</v>
      </c>
      <c r="R12922" t="s">
        <v>615</v>
      </c>
      <c r="S12922">
        <v>139.93712600000001</v>
      </c>
      <c r="T12922" s="1095">
        <v>-36.613230000000001</v>
      </c>
    </row>
    <row r="12923" spans="16:20">
      <c r="P12923" s="1094">
        <v>5275</v>
      </c>
      <c r="Q12923" t="s">
        <v>2778</v>
      </c>
      <c r="R12923" t="s">
        <v>615</v>
      </c>
      <c r="S12923">
        <v>139.93712600000001</v>
      </c>
      <c r="T12923" s="1095">
        <v>-36.613230000000001</v>
      </c>
    </row>
    <row r="12924" spans="16:20">
      <c r="P12924" s="1094">
        <v>5275</v>
      </c>
      <c r="Q12924" t="s">
        <v>13089</v>
      </c>
      <c r="R12924" t="s">
        <v>615</v>
      </c>
      <c r="S12924">
        <v>139.93712600000001</v>
      </c>
      <c r="T12924" s="1095">
        <v>-36.613230000000001</v>
      </c>
    </row>
    <row r="12925" spans="16:20">
      <c r="P12925" s="1094">
        <v>5275</v>
      </c>
      <c r="Q12925" t="s">
        <v>13090</v>
      </c>
      <c r="R12925" t="s">
        <v>615</v>
      </c>
      <c r="S12925">
        <v>139.93712600000001</v>
      </c>
      <c r="T12925" s="1095">
        <v>-36.613230000000001</v>
      </c>
    </row>
    <row r="12926" spans="16:20">
      <c r="P12926" s="1094">
        <v>5275</v>
      </c>
      <c r="Q12926" t="s">
        <v>13091</v>
      </c>
      <c r="R12926" t="s">
        <v>615</v>
      </c>
      <c r="S12926">
        <v>139.93712600000001</v>
      </c>
      <c r="T12926" s="1095">
        <v>-36.613230000000001</v>
      </c>
    </row>
    <row r="12927" spans="16:20">
      <c r="P12927" s="1094">
        <v>5275</v>
      </c>
      <c r="Q12927" t="s">
        <v>13092</v>
      </c>
      <c r="R12927" t="s">
        <v>615</v>
      </c>
      <c r="S12927">
        <v>139.93712600000001</v>
      </c>
      <c r="T12927" s="1095">
        <v>-36.613230000000001</v>
      </c>
    </row>
    <row r="12928" spans="16:20">
      <c r="P12928" s="1094">
        <v>5275</v>
      </c>
      <c r="Q12928" t="s">
        <v>13093</v>
      </c>
      <c r="R12928" t="s">
        <v>615</v>
      </c>
      <c r="S12928">
        <v>139.93712600000001</v>
      </c>
      <c r="T12928" s="1095">
        <v>-36.613230000000001</v>
      </c>
    </row>
    <row r="12929" spans="16:20">
      <c r="P12929" s="1094">
        <v>5275</v>
      </c>
      <c r="Q12929" t="s">
        <v>13094</v>
      </c>
      <c r="R12929" t="s">
        <v>615</v>
      </c>
      <c r="S12929">
        <v>139.93712600000001</v>
      </c>
      <c r="T12929" s="1095">
        <v>-36.613230000000001</v>
      </c>
    </row>
    <row r="12930" spans="16:20">
      <c r="P12930" s="1094">
        <v>5275</v>
      </c>
      <c r="Q12930" t="s">
        <v>13095</v>
      </c>
      <c r="R12930" t="s">
        <v>615</v>
      </c>
      <c r="S12930">
        <v>139.93712600000001</v>
      </c>
      <c r="T12930" s="1095">
        <v>-36.613230000000001</v>
      </c>
    </row>
    <row r="12931" spans="16:20">
      <c r="P12931" s="1094">
        <v>5276</v>
      </c>
      <c r="Q12931" t="s">
        <v>13096</v>
      </c>
      <c r="R12931" t="s">
        <v>615</v>
      </c>
      <c r="S12931">
        <v>139.91737699999999</v>
      </c>
      <c r="T12931" s="1095">
        <v>-37.214146999999997</v>
      </c>
    </row>
    <row r="12932" spans="16:20">
      <c r="P12932" s="1094">
        <v>5276</v>
      </c>
      <c r="Q12932" t="s">
        <v>13097</v>
      </c>
      <c r="R12932" t="s">
        <v>615</v>
      </c>
      <c r="S12932">
        <v>139.91737699999999</v>
      </c>
      <c r="T12932" s="1095">
        <v>-37.214146999999997</v>
      </c>
    </row>
    <row r="12933" spans="16:20">
      <c r="P12933" s="1094">
        <v>5276</v>
      </c>
      <c r="Q12933" t="s">
        <v>13098</v>
      </c>
      <c r="R12933" t="s">
        <v>615</v>
      </c>
      <c r="S12933">
        <v>139.91737699999999</v>
      </c>
      <c r="T12933" s="1095">
        <v>-37.214146999999997</v>
      </c>
    </row>
    <row r="12934" spans="16:20">
      <c r="P12934" s="1094">
        <v>5277</v>
      </c>
      <c r="Q12934" t="s">
        <v>13099</v>
      </c>
      <c r="R12934" t="s">
        <v>615</v>
      </c>
      <c r="S12934">
        <v>140.852283</v>
      </c>
      <c r="T12934" s="1095">
        <v>-37.435507000000001</v>
      </c>
    </row>
    <row r="12935" spans="16:20">
      <c r="P12935" s="1094">
        <v>5277</v>
      </c>
      <c r="Q12935" t="s">
        <v>5083</v>
      </c>
      <c r="R12935" t="s">
        <v>615</v>
      </c>
      <c r="S12935">
        <v>140.852283</v>
      </c>
      <c r="T12935" s="1095">
        <v>-37.435507000000001</v>
      </c>
    </row>
    <row r="12936" spans="16:20">
      <c r="P12936" s="1094">
        <v>5277</v>
      </c>
      <c r="Q12936" t="s">
        <v>13100</v>
      </c>
      <c r="R12936" t="s">
        <v>615</v>
      </c>
      <c r="S12936">
        <v>140.852283</v>
      </c>
      <c r="T12936" s="1095">
        <v>-37.435507000000001</v>
      </c>
    </row>
    <row r="12937" spans="16:20">
      <c r="P12937" s="1094">
        <v>5277</v>
      </c>
      <c r="Q12937" t="s">
        <v>13101</v>
      </c>
      <c r="R12937" t="s">
        <v>615</v>
      </c>
      <c r="S12937">
        <v>140.852283</v>
      </c>
      <c r="T12937" s="1095">
        <v>-37.435507000000001</v>
      </c>
    </row>
    <row r="12938" spans="16:20">
      <c r="P12938" s="1094">
        <v>5277</v>
      </c>
      <c r="Q12938" t="s">
        <v>13102</v>
      </c>
      <c r="R12938" t="s">
        <v>615</v>
      </c>
      <c r="S12938">
        <v>140.852283</v>
      </c>
      <c r="T12938" s="1095">
        <v>-37.435507000000001</v>
      </c>
    </row>
    <row r="12939" spans="16:20">
      <c r="P12939" s="1094">
        <v>5277</v>
      </c>
      <c r="Q12939" t="s">
        <v>13103</v>
      </c>
      <c r="R12939" t="s">
        <v>615</v>
      </c>
      <c r="S12939">
        <v>140.852283</v>
      </c>
      <c r="T12939" s="1095">
        <v>-37.435507000000001</v>
      </c>
    </row>
    <row r="12940" spans="16:20">
      <c r="P12940" s="1094">
        <v>5278</v>
      </c>
      <c r="Q12940" t="s">
        <v>13104</v>
      </c>
      <c r="R12940" t="s">
        <v>615</v>
      </c>
      <c r="S12940">
        <v>140.616636</v>
      </c>
      <c r="T12940" s="1095">
        <v>-37.527141999999998</v>
      </c>
    </row>
    <row r="12941" spans="16:20">
      <c r="P12941" s="1094">
        <v>5278</v>
      </c>
      <c r="Q12941" t="s">
        <v>13105</v>
      </c>
      <c r="R12941" t="s">
        <v>615</v>
      </c>
      <c r="S12941">
        <v>140.616636</v>
      </c>
      <c r="T12941" s="1095">
        <v>-37.527141999999998</v>
      </c>
    </row>
    <row r="12942" spans="16:20">
      <c r="P12942" s="1094">
        <v>5279</v>
      </c>
      <c r="Q12942" t="s">
        <v>13106</v>
      </c>
      <c r="R12942" t="s">
        <v>615</v>
      </c>
      <c r="S12942">
        <v>140.46248700000001</v>
      </c>
      <c r="T12942" s="1095">
        <v>-37.574691000000001</v>
      </c>
    </row>
    <row r="12943" spans="16:20">
      <c r="P12943" s="1094">
        <v>5279</v>
      </c>
      <c r="Q12943" t="s">
        <v>13107</v>
      </c>
      <c r="R12943" t="s">
        <v>615</v>
      </c>
      <c r="S12943">
        <v>140.46248700000001</v>
      </c>
      <c r="T12943" s="1095">
        <v>-37.574691000000001</v>
      </c>
    </row>
    <row r="12944" spans="16:20">
      <c r="P12944" s="1094">
        <v>5279</v>
      </c>
      <c r="Q12944" t="s">
        <v>13108</v>
      </c>
      <c r="R12944" t="s">
        <v>615</v>
      </c>
      <c r="S12944">
        <v>140.46248700000001</v>
      </c>
      <c r="T12944" s="1095">
        <v>-37.574691000000001</v>
      </c>
    </row>
    <row r="12945" spans="16:20">
      <c r="P12945" s="1094">
        <v>5279</v>
      </c>
      <c r="Q12945" t="s">
        <v>13109</v>
      </c>
      <c r="R12945" t="s">
        <v>615</v>
      </c>
      <c r="S12945">
        <v>140.46248700000001</v>
      </c>
      <c r="T12945" s="1095">
        <v>-37.574691000000001</v>
      </c>
    </row>
    <row r="12946" spans="16:20">
      <c r="P12946" s="1094">
        <v>5279</v>
      </c>
      <c r="Q12946" t="s">
        <v>13110</v>
      </c>
      <c r="R12946" t="s">
        <v>615</v>
      </c>
      <c r="S12946">
        <v>140.46248700000001</v>
      </c>
      <c r="T12946" s="1095">
        <v>-37.574691000000001</v>
      </c>
    </row>
    <row r="12947" spans="16:20">
      <c r="P12947" s="1094">
        <v>5279</v>
      </c>
      <c r="Q12947" t="s">
        <v>13111</v>
      </c>
      <c r="R12947" t="s">
        <v>615</v>
      </c>
      <c r="S12947">
        <v>140.46248700000001</v>
      </c>
      <c r="T12947" s="1095">
        <v>-37.574691000000001</v>
      </c>
    </row>
    <row r="12948" spans="16:20">
      <c r="P12948" s="1094">
        <v>5280</v>
      </c>
      <c r="Q12948" t="s">
        <v>13112</v>
      </c>
      <c r="R12948" t="s">
        <v>615</v>
      </c>
      <c r="S12948">
        <v>140.260783</v>
      </c>
      <c r="T12948" s="1095">
        <v>-37.449179000000001</v>
      </c>
    </row>
    <row r="12949" spans="16:20">
      <c r="P12949" s="1094">
        <v>5280</v>
      </c>
      <c r="Q12949" t="s">
        <v>13113</v>
      </c>
      <c r="R12949" t="s">
        <v>615</v>
      </c>
      <c r="S12949">
        <v>140.260783</v>
      </c>
      <c r="T12949" s="1095">
        <v>-37.449179000000001</v>
      </c>
    </row>
    <row r="12950" spans="16:20">
      <c r="P12950" s="1094">
        <v>5280</v>
      </c>
      <c r="Q12950" t="s">
        <v>13114</v>
      </c>
      <c r="R12950" t="s">
        <v>615</v>
      </c>
      <c r="S12950">
        <v>140.260783</v>
      </c>
      <c r="T12950" s="1095">
        <v>-37.449179000000001</v>
      </c>
    </row>
    <row r="12951" spans="16:20">
      <c r="P12951" s="1094">
        <v>5280</v>
      </c>
      <c r="Q12951" t="s">
        <v>11713</v>
      </c>
      <c r="R12951" t="s">
        <v>615</v>
      </c>
      <c r="S12951">
        <v>140.260783</v>
      </c>
      <c r="T12951" s="1095">
        <v>-37.449179000000001</v>
      </c>
    </row>
    <row r="12952" spans="16:20">
      <c r="P12952" s="1094">
        <v>5280</v>
      </c>
      <c r="Q12952" t="s">
        <v>13115</v>
      </c>
      <c r="R12952" t="s">
        <v>615</v>
      </c>
      <c r="S12952">
        <v>140.260783</v>
      </c>
      <c r="T12952" s="1095">
        <v>-37.449179000000001</v>
      </c>
    </row>
    <row r="12953" spans="16:20">
      <c r="P12953" s="1094">
        <v>5280</v>
      </c>
      <c r="Q12953" t="s">
        <v>13116</v>
      </c>
      <c r="R12953" t="s">
        <v>615</v>
      </c>
      <c r="S12953">
        <v>140.260783</v>
      </c>
      <c r="T12953" s="1095">
        <v>-37.449179000000001</v>
      </c>
    </row>
    <row r="12954" spans="16:20">
      <c r="P12954" s="1094">
        <v>5280</v>
      </c>
      <c r="Q12954" t="s">
        <v>13117</v>
      </c>
      <c r="R12954" t="s">
        <v>615</v>
      </c>
      <c r="S12954">
        <v>140.260783</v>
      </c>
      <c r="T12954" s="1095">
        <v>-37.449179000000001</v>
      </c>
    </row>
    <row r="12955" spans="16:20">
      <c r="P12955" s="1094">
        <v>5280</v>
      </c>
      <c r="Q12955" t="s">
        <v>13118</v>
      </c>
      <c r="R12955" t="s">
        <v>615</v>
      </c>
      <c r="S12955">
        <v>140.260783</v>
      </c>
      <c r="T12955" s="1095">
        <v>-37.449179000000001</v>
      </c>
    </row>
    <row r="12956" spans="16:20">
      <c r="P12956" s="1094">
        <v>5280</v>
      </c>
      <c r="Q12956" t="s">
        <v>13119</v>
      </c>
      <c r="R12956" t="s">
        <v>615</v>
      </c>
      <c r="S12956">
        <v>140.260783</v>
      </c>
      <c r="T12956" s="1095">
        <v>-37.449179000000001</v>
      </c>
    </row>
    <row r="12957" spans="16:20">
      <c r="P12957" s="1094">
        <v>5280</v>
      </c>
      <c r="Q12957" t="s">
        <v>5292</v>
      </c>
      <c r="R12957" t="s">
        <v>615</v>
      </c>
      <c r="S12957">
        <v>140.260783</v>
      </c>
      <c r="T12957" s="1095">
        <v>-37.449179000000001</v>
      </c>
    </row>
    <row r="12958" spans="16:20">
      <c r="P12958" s="1094">
        <v>5280</v>
      </c>
      <c r="Q12958" t="s">
        <v>13120</v>
      </c>
      <c r="R12958" t="s">
        <v>615</v>
      </c>
      <c r="S12958">
        <v>140.260783</v>
      </c>
      <c r="T12958" s="1095">
        <v>-37.449179000000001</v>
      </c>
    </row>
    <row r="12959" spans="16:20">
      <c r="P12959" s="1094">
        <v>5280</v>
      </c>
      <c r="Q12959" t="s">
        <v>13121</v>
      </c>
      <c r="R12959" t="s">
        <v>615</v>
      </c>
      <c r="S12959">
        <v>140.260783</v>
      </c>
      <c r="T12959" s="1095">
        <v>-37.449179000000001</v>
      </c>
    </row>
    <row r="12960" spans="16:20">
      <c r="P12960" s="1094">
        <v>5280</v>
      </c>
      <c r="Q12960" t="s">
        <v>13122</v>
      </c>
      <c r="R12960" t="s">
        <v>615</v>
      </c>
      <c r="S12960">
        <v>140.260783</v>
      </c>
      <c r="T12960" s="1095">
        <v>-37.449179000000001</v>
      </c>
    </row>
    <row r="12961" spans="16:20">
      <c r="P12961" s="1094">
        <v>5290</v>
      </c>
      <c r="Q12961" t="s">
        <v>13123</v>
      </c>
      <c r="R12961" t="s">
        <v>615</v>
      </c>
      <c r="S12961">
        <v>140.764545</v>
      </c>
      <c r="T12961" s="1095">
        <v>-37.839841</v>
      </c>
    </row>
    <row r="12962" spans="16:20">
      <c r="P12962" s="1094">
        <v>5290</v>
      </c>
      <c r="Q12962" t="s">
        <v>13124</v>
      </c>
      <c r="R12962" t="s">
        <v>615</v>
      </c>
      <c r="S12962">
        <v>140.764545</v>
      </c>
      <c r="T12962" s="1095">
        <v>-37.839841</v>
      </c>
    </row>
    <row r="12963" spans="16:20">
      <c r="P12963" s="1094">
        <v>5291</v>
      </c>
      <c r="Q12963" t="s">
        <v>13125</v>
      </c>
      <c r="R12963" t="s">
        <v>615</v>
      </c>
      <c r="S12963">
        <v>140.71963400000001</v>
      </c>
      <c r="T12963" s="1095">
        <v>-37.927953000000002</v>
      </c>
    </row>
    <row r="12964" spans="16:20">
      <c r="P12964" s="1094">
        <v>5291</v>
      </c>
      <c r="Q12964" t="s">
        <v>13126</v>
      </c>
      <c r="R12964" t="s">
        <v>615</v>
      </c>
      <c r="S12964">
        <v>140.71963400000001</v>
      </c>
      <c r="T12964" s="1095">
        <v>-37.927953000000002</v>
      </c>
    </row>
    <row r="12965" spans="16:20">
      <c r="P12965" s="1094">
        <v>5291</v>
      </c>
      <c r="Q12965" t="s">
        <v>13127</v>
      </c>
      <c r="R12965" t="s">
        <v>615</v>
      </c>
      <c r="S12965">
        <v>140.71963400000001</v>
      </c>
      <c r="T12965" s="1095">
        <v>-37.927953000000002</v>
      </c>
    </row>
    <row r="12966" spans="16:20">
      <c r="P12966" s="1094">
        <v>5291</v>
      </c>
      <c r="Q12966" t="s">
        <v>13128</v>
      </c>
      <c r="R12966" t="s">
        <v>615</v>
      </c>
      <c r="S12966">
        <v>140.71963400000001</v>
      </c>
      <c r="T12966" s="1095">
        <v>-37.927953000000002</v>
      </c>
    </row>
    <row r="12967" spans="16:20">
      <c r="P12967" s="1094">
        <v>5291</v>
      </c>
      <c r="Q12967" t="s">
        <v>13129</v>
      </c>
      <c r="R12967" t="s">
        <v>615</v>
      </c>
      <c r="S12967">
        <v>140.71963400000001</v>
      </c>
      <c r="T12967" s="1095">
        <v>-37.927953000000002</v>
      </c>
    </row>
    <row r="12968" spans="16:20">
      <c r="P12968" s="1094">
        <v>5291</v>
      </c>
      <c r="Q12968" t="s">
        <v>13130</v>
      </c>
      <c r="R12968" t="s">
        <v>615</v>
      </c>
      <c r="S12968">
        <v>140.71963400000001</v>
      </c>
      <c r="T12968" s="1095">
        <v>-37.927953000000002</v>
      </c>
    </row>
    <row r="12969" spans="16:20">
      <c r="P12969" s="1094">
        <v>5291</v>
      </c>
      <c r="Q12969" t="s">
        <v>13131</v>
      </c>
      <c r="R12969" t="s">
        <v>615</v>
      </c>
      <c r="S12969">
        <v>140.71963400000001</v>
      </c>
      <c r="T12969" s="1095">
        <v>-37.927953000000002</v>
      </c>
    </row>
    <row r="12970" spans="16:20">
      <c r="P12970" s="1094">
        <v>5291</v>
      </c>
      <c r="Q12970" t="s">
        <v>13132</v>
      </c>
      <c r="R12970" t="s">
        <v>615</v>
      </c>
      <c r="S12970">
        <v>140.71963400000001</v>
      </c>
      <c r="T12970" s="1095">
        <v>-37.927953000000002</v>
      </c>
    </row>
    <row r="12971" spans="16:20">
      <c r="P12971" s="1094">
        <v>5291</v>
      </c>
      <c r="Q12971" t="s">
        <v>13133</v>
      </c>
      <c r="R12971" t="s">
        <v>615</v>
      </c>
      <c r="S12971">
        <v>140.71963400000001</v>
      </c>
      <c r="T12971" s="1095">
        <v>-37.927953000000002</v>
      </c>
    </row>
    <row r="12972" spans="16:20">
      <c r="P12972" s="1094">
        <v>5291</v>
      </c>
      <c r="Q12972" t="s">
        <v>13134</v>
      </c>
      <c r="R12972" t="s">
        <v>615</v>
      </c>
      <c r="S12972">
        <v>140.71963400000001</v>
      </c>
      <c r="T12972" s="1095">
        <v>-37.927953000000002</v>
      </c>
    </row>
    <row r="12973" spans="16:20">
      <c r="P12973" s="1094">
        <v>5291</v>
      </c>
      <c r="Q12973" t="s">
        <v>13135</v>
      </c>
      <c r="R12973" t="s">
        <v>615</v>
      </c>
      <c r="S12973">
        <v>140.71963400000001</v>
      </c>
      <c r="T12973" s="1095">
        <v>-37.927953000000002</v>
      </c>
    </row>
    <row r="12974" spans="16:20">
      <c r="P12974" s="1094">
        <v>5291</v>
      </c>
      <c r="Q12974" t="s">
        <v>11814</v>
      </c>
      <c r="R12974" t="s">
        <v>615</v>
      </c>
      <c r="S12974">
        <v>140.71963400000001</v>
      </c>
      <c r="T12974" s="1095">
        <v>-37.927953000000002</v>
      </c>
    </row>
    <row r="12975" spans="16:20">
      <c r="P12975" s="1094">
        <v>5291</v>
      </c>
      <c r="Q12975" t="s">
        <v>13136</v>
      </c>
      <c r="R12975" t="s">
        <v>615</v>
      </c>
      <c r="S12975">
        <v>140.71963400000001</v>
      </c>
      <c r="T12975" s="1095">
        <v>-37.927953000000002</v>
      </c>
    </row>
    <row r="12976" spans="16:20">
      <c r="P12976" s="1094">
        <v>5291</v>
      </c>
      <c r="Q12976" t="s">
        <v>3060</v>
      </c>
      <c r="R12976" t="s">
        <v>615</v>
      </c>
      <c r="S12976">
        <v>140.71963400000001</v>
      </c>
      <c r="T12976" s="1095">
        <v>-37.927953000000002</v>
      </c>
    </row>
    <row r="12977" spans="16:20">
      <c r="P12977" s="1094">
        <v>5291</v>
      </c>
      <c r="Q12977" t="s">
        <v>13137</v>
      </c>
      <c r="R12977" t="s">
        <v>615</v>
      </c>
      <c r="S12977">
        <v>140.71963400000001</v>
      </c>
      <c r="T12977" s="1095">
        <v>-37.927953000000002</v>
      </c>
    </row>
    <row r="12978" spans="16:20">
      <c r="P12978" s="1094">
        <v>5291</v>
      </c>
      <c r="Q12978" t="s">
        <v>13138</v>
      </c>
      <c r="R12978" t="s">
        <v>615</v>
      </c>
      <c r="S12978">
        <v>140.71963400000001</v>
      </c>
      <c r="T12978" s="1095">
        <v>-37.927953000000002</v>
      </c>
    </row>
    <row r="12979" spans="16:20">
      <c r="P12979" s="1094">
        <v>5291</v>
      </c>
      <c r="Q12979" t="s">
        <v>13139</v>
      </c>
      <c r="R12979" t="s">
        <v>615</v>
      </c>
      <c r="S12979">
        <v>140.71963400000001</v>
      </c>
      <c r="T12979" s="1095">
        <v>-37.927953000000002</v>
      </c>
    </row>
    <row r="12980" spans="16:20">
      <c r="P12980" s="1094">
        <v>5291</v>
      </c>
      <c r="Q12980" t="s">
        <v>13140</v>
      </c>
      <c r="R12980" t="s">
        <v>615</v>
      </c>
      <c r="S12980">
        <v>140.71963400000001</v>
      </c>
      <c r="T12980" s="1095">
        <v>-37.927953000000002</v>
      </c>
    </row>
    <row r="12981" spans="16:20">
      <c r="P12981" s="1094">
        <v>5291</v>
      </c>
      <c r="Q12981" t="s">
        <v>13141</v>
      </c>
      <c r="R12981" t="s">
        <v>615</v>
      </c>
      <c r="S12981">
        <v>140.71963400000001</v>
      </c>
      <c r="T12981" s="1095">
        <v>-37.927953000000002</v>
      </c>
    </row>
    <row r="12982" spans="16:20">
      <c r="P12982" s="1094">
        <v>5291</v>
      </c>
      <c r="Q12982" t="s">
        <v>13123</v>
      </c>
      <c r="R12982" t="s">
        <v>615</v>
      </c>
      <c r="S12982">
        <v>140.71963400000001</v>
      </c>
      <c r="T12982" s="1095">
        <v>-37.927953000000002</v>
      </c>
    </row>
    <row r="12983" spans="16:20">
      <c r="P12983" s="1094">
        <v>5291</v>
      </c>
      <c r="Q12983" t="s">
        <v>13142</v>
      </c>
      <c r="R12983" t="s">
        <v>615</v>
      </c>
      <c r="S12983">
        <v>140.71963400000001</v>
      </c>
      <c r="T12983" s="1095">
        <v>-37.927953000000002</v>
      </c>
    </row>
    <row r="12984" spans="16:20">
      <c r="P12984" s="1094">
        <v>5291</v>
      </c>
      <c r="Q12984" t="s">
        <v>13143</v>
      </c>
      <c r="R12984" t="s">
        <v>615</v>
      </c>
      <c r="S12984">
        <v>140.71963400000001</v>
      </c>
      <c r="T12984" s="1095">
        <v>-37.927953000000002</v>
      </c>
    </row>
    <row r="12985" spans="16:20">
      <c r="P12985" s="1094">
        <v>5291</v>
      </c>
      <c r="Q12985" t="s">
        <v>13144</v>
      </c>
      <c r="R12985" t="s">
        <v>615</v>
      </c>
      <c r="S12985">
        <v>140.71963400000001</v>
      </c>
      <c r="T12985" s="1095">
        <v>-37.927953000000002</v>
      </c>
    </row>
    <row r="12986" spans="16:20">
      <c r="P12986" s="1094">
        <v>5291</v>
      </c>
      <c r="Q12986" t="s">
        <v>13145</v>
      </c>
      <c r="R12986" t="s">
        <v>615</v>
      </c>
      <c r="S12986">
        <v>140.71963400000001</v>
      </c>
      <c r="T12986" s="1095">
        <v>-37.927953000000002</v>
      </c>
    </row>
    <row r="12987" spans="16:20">
      <c r="P12987" s="1094">
        <v>5291</v>
      </c>
      <c r="Q12987" t="s">
        <v>13146</v>
      </c>
      <c r="R12987" t="s">
        <v>615</v>
      </c>
      <c r="S12987">
        <v>140.71963400000001</v>
      </c>
      <c r="T12987" s="1095">
        <v>-37.927953000000002</v>
      </c>
    </row>
    <row r="12988" spans="16:20">
      <c r="P12988" s="1094">
        <v>5291</v>
      </c>
      <c r="Q12988" t="s">
        <v>13147</v>
      </c>
      <c r="R12988" t="s">
        <v>615</v>
      </c>
      <c r="S12988">
        <v>140.71963400000001</v>
      </c>
      <c r="T12988" s="1095">
        <v>-37.927953000000002</v>
      </c>
    </row>
    <row r="12989" spans="16:20">
      <c r="P12989" s="1094">
        <v>5291</v>
      </c>
      <c r="Q12989" t="s">
        <v>13148</v>
      </c>
      <c r="R12989" t="s">
        <v>615</v>
      </c>
      <c r="S12989">
        <v>140.71963400000001</v>
      </c>
      <c r="T12989" s="1095">
        <v>-37.927953000000002</v>
      </c>
    </row>
    <row r="12990" spans="16:20">
      <c r="P12990" s="1094">
        <v>5291</v>
      </c>
      <c r="Q12990" t="s">
        <v>13149</v>
      </c>
      <c r="R12990" t="s">
        <v>615</v>
      </c>
      <c r="S12990">
        <v>140.71963400000001</v>
      </c>
      <c r="T12990" s="1095">
        <v>-37.927953000000002</v>
      </c>
    </row>
    <row r="12991" spans="16:20">
      <c r="P12991" s="1094">
        <v>5291</v>
      </c>
      <c r="Q12991" t="s">
        <v>13150</v>
      </c>
      <c r="R12991" t="s">
        <v>615</v>
      </c>
      <c r="S12991">
        <v>140.71963400000001</v>
      </c>
      <c r="T12991" s="1095">
        <v>-37.927953000000002</v>
      </c>
    </row>
    <row r="12992" spans="16:20">
      <c r="P12992" s="1094">
        <v>5291</v>
      </c>
      <c r="Q12992" t="s">
        <v>13151</v>
      </c>
      <c r="R12992" t="s">
        <v>615</v>
      </c>
      <c r="S12992">
        <v>140.71963400000001</v>
      </c>
      <c r="T12992" s="1095">
        <v>-37.927953000000002</v>
      </c>
    </row>
    <row r="12993" spans="16:20">
      <c r="P12993" s="1094">
        <v>5291</v>
      </c>
      <c r="Q12993" t="s">
        <v>13152</v>
      </c>
      <c r="R12993" t="s">
        <v>615</v>
      </c>
      <c r="S12993">
        <v>140.71963400000001</v>
      </c>
      <c r="T12993" s="1095">
        <v>-37.927953000000002</v>
      </c>
    </row>
    <row r="12994" spans="16:20">
      <c r="P12994" s="1094">
        <v>5291</v>
      </c>
      <c r="Q12994" t="s">
        <v>13153</v>
      </c>
      <c r="R12994" t="s">
        <v>615</v>
      </c>
      <c r="S12994">
        <v>140.71963400000001</v>
      </c>
      <c r="T12994" s="1095">
        <v>-37.927953000000002</v>
      </c>
    </row>
    <row r="12995" spans="16:20">
      <c r="P12995" s="1094">
        <v>5291</v>
      </c>
      <c r="Q12995" t="s">
        <v>13154</v>
      </c>
      <c r="R12995" t="s">
        <v>615</v>
      </c>
      <c r="S12995">
        <v>140.71963400000001</v>
      </c>
      <c r="T12995" s="1095">
        <v>-37.927953000000002</v>
      </c>
    </row>
    <row r="12996" spans="16:20">
      <c r="P12996" s="1094">
        <v>5301</v>
      </c>
      <c r="Q12996" t="s">
        <v>13155</v>
      </c>
      <c r="R12996" t="s">
        <v>615</v>
      </c>
      <c r="S12996">
        <v>140.030554</v>
      </c>
      <c r="T12996" s="1095">
        <v>-35.449886999999997</v>
      </c>
    </row>
    <row r="12997" spans="16:20">
      <c r="P12997" s="1094">
        <v>5301</v>
      </c>
      <c r="Q12997" t="s">
        <v>13156</v>
      </c>
      <c r="R12997" t="s">
        <v>615</v>
      </c>
      <c r="S12997">
        <v>140.030554</v>
      </c>
      <c r="T12997" s="1095">
        <v>-35.449886999999997</v>
      </c>
    </row>
    <row r="12998" spans="16:20">
      <c r="P12998" s="1094">
        <v>5301</v>
      </c>
      <c r="Q12998" t="s">
        <v>13157</v>
      </c>
      <c r="R12998" t="s">
        <v>615</v>
      </c>
      <c r="S12998">
        <v>140.030554</v>
      </c>
      <c r="T12998" s="1095">
        <v>-35.449886999999997</v>
      </c>
    </row>
    <row r="12999" spans="16:20">
      <c r="P12999" s="1094">
        <v>5301</v>
      </c>
      <c r="Q12999" t="s">
        <v>13158</v>
      </c>
      <c r="R12999" t="s">
        <v>615</v>
      </c>
      <c r="S12999">
        <v>140.030554</v>
      </c>
      <c r="T12999" s="1095">
        <v>-35.449886999999997</v>
      </c>
    </row>
    <row r="13000" spans="16:20">
      <c r="P13000" s="1094">
        <v>5301</v>
      </c>
      <c r="Q13000" t="s">
        <v>13159</v>
      </c>
      <c r="R13000" t="s">
        <v>615</v>
      </c>
      <c r="S13000">
        <v>140.030554</v>
      </c>
      <c r="T13000" s="1095">
        <v>-35.449886999999997</v>
      </c>
    </row>
    <row r="13001" spans="16:20">
      <c r="P13001" s="1094">
        <v>5301</v>
      </c>
      <c r="Q13001" t="s">
        <v>13160</v>
      </c>
      <c r="R13001" t="s">
        <v>615</v>
      </c>
      <c r="S13001">
        <v>140.030554</v>
      </c>
      <c r="T13001" s="1095">
        <v>-35.449886999999997</v>
      </c>
    </row>
    <row r="13002" spans="16:20">
      <c r="P13002" s="1094">
        <v>5301</v>
      </c>
      <c r="Q13002" t="s">
        <v>13161</v>
      </c>
      <c r="R13002" t="s">
        <v>615</v>
      </c>
      <c r="S13002">
        <v>140.030554</v>
      </c>
      <c r="T13002" s="1095">
        <v>-35.449886999999997</v>
      </c>
    </row>
    <row r="13003" spans="16:20">
      <c r="P13003" s="1094">
        <v>5301</v>
      </c>
      <c r="Q13003" t="s">
        <v>13162</v>
      </c>
      <c r="R13003" t="s">
        <v>615</v>
      </c>
      <c r="S13003">
        <v>140.030554</v>
      </c>
      <c r="T13003" s="1095">
        <v>-35.449886999999997</v>
      </c>
    </row>
    <row r="13004" spans="16:20">
      <c r="P13004" s="1094">
        <v>5302</v>
      </c>
      <c r="Q13004" t="s">
        <v>13163</v>
      </c>
      <c r="R13004" t="s">
        <v>615</v>
      </c>
      <c r="S13004">
        <v>140.32532</v>
      </c>
      <c r="T13004" s="1095">
        <v>-35.579512999999999</v>
      </c>
    </row>
    <row r="13005" spans="16:20">
      <c r="P13005" s="1094">
        <v>5302</v>
      </c>
      <c r="Q13005" t="s">
        <v>13164</v>
      </c>
      <c r="R13005" t="s">
        <v>615</v>
      </c>
      <c r="S13005">
        <v>140.32532</v>
      </c>
      <c r="T13005" s="1095">
        <v>-35.579512999999999</v>
      </c>
    </row>
    <row r="13006" spans="16:20">
      <c r="P13006" s="1094">
        <v>5302</v>
      </c>
      <c r="Q13006" t="s">
        <v>13165</v>
      </c>
      <c r="R13006" t="s">
        <v>615</v>
      </c>
      <c r="S13006">
        <v>140.32532</v>
      </c>
      <c r="T13006" s="1095">
        <v>-35.579512999999999</v>
      </c>
    </row>
    <row r="13007" spans="16:20">
      <c r="P13007" s="1094">
        <v>5303</v>
      </c>
      <c r="Q13007" t="s">
        <v>13166</v>
      </c>
      <c r="R13007" t="s">
        <v>615</v>
      </c>
      <c r="S13007">
        <v>140.685318</v>
      </c>
      <c r="T13007" s="1095">
        <v>-35.191375000000001</v>
      </c>
    </row>
    <row r="13008" spans="16:20">
      <c r="P13008" s="1094">
        <v>5304</v>
      </c>
      <c r="Q13008" t="s">
        <v>13167</v>
      </c>
      <c r="R13008" t="s">
        <v>615</v>
      </c>
      <c r="S13008">
        <v>140.73218199999999</v>
      </c>
      <c r="T13008" s="1095">
        <v>-35.55097</v>
      </c>
    </row>
    <row r="13009" spans="16:20">
      <c r="P13009" s="1094">
        <v>5304</v>
      </c>
      <c r="Q13009" t="s">
        <v>13168</v>
      </c>
      <c r="R13009" t="s">
        <v>615</v>
      </c>
      <c r="S13009">
        <v>140.73218199999999</v>
      </c>
      <c r="T13009" s="1095">
        <v>-35.55097</v>
      </c>
    </row>
    <row r="13010" spans="16:20">
      <c r="P13010" s="1094">
        <v>5304</v>
      </c>
      <c r="Q13010" t="s">
        <v>13169</v>
      </c>
      <c r="R13010" t="s">
        <v>615</v>
      </c>
      <c r="S13010">
        <v>140.73218199999999</v>
      </c>
      <c r="T13010" s="1095">
        <v>-35.55097</v>
      </c>
    </row>
    <row r="13011" spans="16:20">
      <c r="P13011" s="1094">
        <v>5306</v>
      </c>
      <c r="Q13011" t="s">
        <v>13170</v>
      </c>
      <c r="R13011" t="s">
        <v>615</v>
      </c>
      <c r="S13011">
        <v>139.690888</v>
      </c>
      <c r="T13011" s="1095">
        <v>-35.096798</v>
      </c>
    </row>
    <row r="13012" spans="16:20">
      <c r="P13012" s="1094">
        <v>5307</v>
      </c>
      <c r="Q13012" t="s">
        <v>13171</v>
      </c>
      <c r="R13012" t="s">
        <v>615</v>
      </c>
      <c r="S13012">
        <v>140.24214699999999</v>
      </c>
      <c r="T13012" s="1095">
        <v>-35.037557999999997</v>
      </c>
    </row>
    <row r="13013" spans="16:20">
      <c r="P13013" s="1094">
        <v>5307</v>
      </c>
      <c r="Q13013" t="s">
        <v>13172</v>
      </c>
      <c r="R13013" t="s">
        <v>615</v>
      </c>
      <c r="S13013">
        <v>140.24214699999999</v>
      </c>
      <c r="T13013" s="1095">
        <v>-35.037557999999997</v>
      </c>
    </row>
    <row r="13014" spans="16:20">
      <c r="P13014" s="1094">
        <v>5307</v>
      </c>
      <c r="Q13014" t="s">
        <v>13173</v>
      </c>
      <c r="R13014" t="s">
        <v>615</v>
      </c>
      <c r="S13014">
        <v>140.24214699999999</v>
      </c>
      <c r="T13014" s="1095">
        <v>-35.037557999999997</v>
      </c>
    </row>
    <row r="13015" spans="16:20">
      <c r="P13015" s="1094">
        <v>5307</v>
      </c>
      <c r="Q13015" t="s">
        <v>13174</v>
      </c>
      <c r="R13015" t="s">
        <v>615</v>
      </c>
      <c r="S13015">
        <v>140.24214699999999</v>
      </c>
      <c r="T13015" s="1095">
        <v>-35.037557999999997</v>
      </c>
    </row>
    <row r="13016" spans="16:20">
      <c r="P13016" s="1094">
        <v>5307</v>
      </c>
      <c r="Q13016" t="s">
        <v>13175</v>
      </c>
      <c r="R13016" t="s">
        <v>615</v>
      </c>
      <c r="S13016">
        <v>140.24214699999999</v>
      </c>
      <c r="T13016" s="1095">
        <v>-35.037557999999997</v>
      </c>
    </row>
    <row r="13017" spans="16:20">
      <c r="P13017" s="1094">
        <v>5307</v>
      </c>
      <c r="Q13017" t="s">
        <v>13176</v>
      </c>
      <c r="R13017" t="s">
        <v>615</v>
      </c>
      <c r="S13017">
        <v>140.24214699999999</v>
      </c>
      <c r="T13017" s="1095">
        <v>-35.037557999999997</v>
      </c>
    </row>
    <row r="13018" spans="16:20">
      <c r="P13018" s="1094">
        <v>5308</v>
      </c>
      <c r="Q13018" t="s">
        <v>13177</v>
      </c>
      <c r="R13018" t="s">
        <v>615</v>
      </c>
      <c r="S13018">
        <v>140.05065300000001</v>
      </c>
      <c r="T13018" s="1095">
        <v>-34.627125999999997</v>
      </c>
    </row>
    <row r="13019" spans="16:20">
      <c r="P13019" s="1094">
        <v>5308</v>
      </c>
      <c r="Q13019" t="s">
        <v>13178</v>
      </c>
      <c r="R13019" t="s">
        <v>615</v>
      </c>
      <c r="S13019">
        <v>140.05065300000001</v>
      </c>
      <c r="T13019" s="1095">
        <v>-34.627125999999997</v>
      </c>
    </row>
    <row r="13020" spans="16:20">
      <c r="P13020" s="1094">
        <v>5308</v>
      </c>
      <c r="Q13020" t="s">
        <v>13179</v>
      </c>
      <c r="R13020" t="s">
        <v>615</v>
      </c>
      <c r="S13020">
        <v>140.05065300000001</v>
      </c>
      <c r="T13020" s="1095">
        <v>-34.627125999999997</v>
      </c>
    </row>
    <row r="13021" spans="16:20">
      <c r="P13021" s="1094">
        <v>5308</v>
      </c>
      <c r="Q13021" t="s">
        <v>13180</v>
      </c>
      <c r="R13021" t="s">
        <v>615</v>
      </c>
      <c r="S13021">
        <v>140.05065300000001</v>
      </c>
      <c r="T13021" s="1095">
        <v>-34.627125999999997</v>
      </c>
    </row>
    <row r="13022" spans="16:20">
      <c r="P13022" s="1094">
        <v>5308</v>
      </c>
      <c r="Q13022" t="s">
        <v>13181</v>
      </c>
      <c r="R13022" t="s">
        <v>615</v>
      </c>
      <c r="S13022">
        <v>140.05065300000001</v>
      </c>
      <c r="T13022" s="1095">
        <v>-34.627125999999997</v>
      </c>
    </row>
    <row r="13023" spans="16:20">
      <c r="P13023" s="1094">
        <v>5308</v>
      </c>
      <c r="Q13023" t="s">
        <v>13182</v>
      </c>
      <c r="R13023" t="s">
        <v>615</v>
      </c>
      <c r="S13023">
        <v>140.05065300000001</v>
      </c>
      <c r="T13023" s="1095">
        <v>-34.627125999999997</v>
      </c>
    </row>
    <row r="13024" spans="16:20">
      <c r="P13024" s="1094">
        <v>5308</v>
      </c>
      <c r="Q13024" t="s">
        <v>13183</v>
      </c>
      <c r="R13024" t="s">
        <v>615</v>
      </c>
      <c r="S13024">
        <v>140.05065300000001</v>
      </c>
      <c r="T13024" s="1095">
        <v>-34.627125999999997</v>
      </c>
    </row>
    <row r="13025" spans="16:20">
      <c r="P13025" s="1094">
        <v>5309</v>
      </c>
      <c r="Q13025" t="s">
        <v>13184</v>
      </c>
      <c r="R13025" t="s">
        <v>615</v>
      </c>
      <c r="S13025">
        <v>140.114394</v>
      </c>
      <c r="T13025" s="1095">
        <v>-34.850669000000003</v>
      </c>
    </row>
    <row r="13026" spans="16:20">
      <c r="P13026" s="1094">
        <v>5309</v>
      </c>
      <c r="Q13026" t="s">
        <v>13185</v>
      </c>
      <c r="R13026" t="s">
        <v>615</v>
      </c>
      <c r="S13026">
        <v>140.114394</v>
      </c>
      <c r="T13026" s="1095">
        <v>-34.850669000000003</v>
      </c>
    </row>
    <row r="13027" spans="16:20">
      <c r="P13027" s="1094">
        <v>5309</v>
      </c>
      <c r="Q13027" t="s">
        <v>13186</v>
      </c>
      <c r="R13027" t="s">
        <v>615</v>
      </c>
      <c r="S13027">
        <v>140.114394</v>
      </c>
      <c r="T13027" s="1095">
        <v>-34.850669000000003</v>
      </c>
    </row>
    <row r="13028" spans="16:20">
      <c r="P13028" s="1094">
        <v>5309</v>
      </c>
      <c r="Q13028" t="s">
        <v>13187</v>
      </c>
      <c r="R13028" t="s">
        <v>615</v>
      </c>
      <c r="S13028">
        <v>140.114394</v>
      </c>
      <c r="T13028" s="1095">
        <v>-34.850669000000003</v>
      </c>
    </row>
    <row r="13029" spans="16:20">
      <c r="P13029" s="1094">
        <v>5310</v>
      </c>
      <c r="Q13029" t="s">
        <v>13188</v>
      </c>
      <c r="R13029" t="s">
        <v>615</v>
      </c>
      <c r="S13029">
        <v>140.367313</v>
      </c>
      <c r="T13029" s="1095">
        <v>-34.794834000000002</v>
      </c>
    </row>
    <row r="13030" spans="16:20">
      <c r="P13030" s="1094">
        <v>5310</v>
      </c>
      <c r="Q13030" t="s">
        <v>13189</v>
      </c>
      <c r="R13030" t="s">
        <v>615</v>
      </c>
      <c r="S13030">
        <v>140.367313</v>
      </c>
      <c r="T13030" s="1095">
        <v>-34.794834000000002</v>
      </c>
    </row>
    <row r="13031" spans="16:20">
      <c r="P13031" s="1094">
        <v>5311</v>
      </c>
      <c r="Q13031" t="s">
        <v>13190</v>
      </c>
      <c r="R13031" t="s">
        <v>615</v>
      </c>
      <c r="S13031">
        <v>140.811093</v>
      </c>
      <c r="T13031" s="1095">
        <v>-34.721845000000002</v>
      </c>
    </row>
    <row r="13032" spans="16:20">
      <c r="P13032" s="1094">
        <v>5311</v>
      </c>
      <c r="Q13032" t="s">
        <v>13191</v>
      </c>
      <c r="R13032" t="s">
        <v>615</v>
      </c>
      <c r="S13032">
        <v>140.811093</v>
      </c>
      <c r="T13032" s="1095">
        <v>-34.721845000000002</v>
      </c>
    </row>
    <row r="13033" spans="16:20">
      <c r="P13033" s="1094">
        <v>5311</v>
      </c>
      <c r="Q13033" t="s">
        <v>13192</v>
      </c>
      <c r="R13033" t="s">
        <v>615</v>
      </c>
      <c r="S13033">
        <v>140.811093</v>
      </c>
      <c r="T13033" s="1095">
        <v>-34.721845000000002</v>
      </c>
    </row>
    <row r="13034" spans="16:20">
      <c r="P13034" s="1094">
        <v>5311</v>
      </c>
      <c r="Q13034" t="s">
        <v>13193</v>
      </c>
      <c r="R13034" t="s">
        <v>615</v>
      </c>
      <c r="S13034">
        <v>140.811093</v>
      </c>
      <c r="T13034" s="1095">
        <v>-34.721845000000002</v>
      </c>
    </row>
    <row r="13035" spans="16:20">
      <c r="P13035" s="1094">
        <v>5311</v>
      </c>
      <c r="Q13035" t="s">
        <v>13194</v>
      </c>
      <c r="R13035" t="s">
        <v>615</v>
      </c>
      <c r="S13035">
        <v>140.811093</v>
      </c>
      <c r="T13035" s="1095">
        <v>-34.721845000000002</v>
      </c>
    </row>
    <row r="13036" spans="16:20">
      <c r="P13036" s="1094">
        <v>5311</v>
      </c>
      <c r="Q13036" t="s">
        <v>13195</v>
      </c>
      <c r="R13036" t="s">
        <v>615</v>
      </c>
      <c r="S13036">
        <v>140.811093</v>
      </c>
      <c r="T13036" s="1095">
        <v>-34.721845000000002</v>
      </c>
    </row>
    <row r="13037" spans="16:20">
      <c r="P13037" s="1094">
        <v>5311</v>
      </c>
      <c r="Q13037" t="s">
        <v>13196</v>
      </c>
      <c r="R13037" t="s">
        <v>615</v>
      </c>
      <c r="S13037">
        <v>140.811093</v>
      </c>
      <c r="T13037" s="1095">
        <v>-34.721845000000002</v>
      </c>
    </row>
    <row r="13038" spans="16:20">
      <c r="P13038" s="1094">
        <v>5311</v>
      </c>
      <c r="Q13038" t="s">
        <v>13197</v>
      </c>
      <c r="R13038" t="s">
        <v>615</v>
      </c>
      <c r="S13038">
        <v>140.811093</v>
      </c>
      <c r="T13038" s="1095">
        <v>-34.721845000000002</v>
      </c>
    </row>
    <row r="13039" spans="16:20">
      <c r="P13039" s="1094">
        <v>5311</v>
      </c>
      <c r="Q13039" t="s">
        <v>9155</v>
      </c>
      <c r="R13039" t="s">
        <v>615</v>
      </c>
      <c r="S13039">
        <v>140.811093</v>
      </c>
      <c r="T13039" s="1095">
        <v>-34.721845000000002</v>
      </c>
    </row>
    <row r="13040" spans="16:20">
      <c r="P13040" s="1094">
        <v>5311</v>
      </c>
      <c r="Q13040" t="s">
        <v>13198</v>
      </c>
      <c r="R13040" t="s">
        <v>615</v>
      </c>
      <c r="S13040">
        <v>140.811093</v>
      </c>
      <c r="T13040" s="1095">
        <v>-34.721845000000002</v>
      </c>
    </row>
    <row r="13041" spans="16:20">
      <c r="P13041" s="1094">
        <v>5312</v>
      </c>
      <c r="Q13041" t="s">
        <v>13199</v>
      </c>
      <c r="R13041" t="s">
        <v>615</v>
      </c>
      <c r="S13041">
        <v>140.515131</v>
      </c>
      <c r="T13041" s="1095">
        <v>-34.610739000000002</v>
      </c>
    </row>
    <row r="13042" spans="16:20">
      <c r="P13042" s="1094">
        <v>5320</v>
      </c>
      <c r="Q13042" t="s">
        <v>13200</v>
      </c>
      <c r="R13042" t="s">
        <v>615</v>
      </c>
      <c r="S13042">
        <v>139.53027700000001</v>
      </c>
      <c r="T13042" s="1095">
        <v>-34.010094000000002</v>
      </c>
    </row>
    <row r="13043" spans="16:20">
      <c r="P13043" s="1094">
        <v>5320</v>
      </c>
      <c r="Q13043" t="s">
        <v>13201</v>
      </c>
      <c r="R13043" t="s">
        <v>615</v>
      </c>
      <c r="S13043">
        <v>139.53027700000001</v>
      </c>
      <c r="T13043" s="1095">
        <v>-34.010094000000002</v>
      </c>
    </row>
    <row r="13044" spans="16:20">
      <c r="P13044" s="1094">
        <v>5320</v>
      </c>
      <c r="Q13044" t="s">
        <v>13202</v>
      </c>
      <c r="R13044" t="s">
        <v>615</v>
      </c>
      <c r="S13044">
        <v>139.53027700000001</v>
      </c>
      <c r="T13044" s="1095">
        <v>-34.010094000000002</v>
      </c>
    </row>
    <row r="13045" spans="16:20">
      <c r="P13045" s="1094">
        <v>5321</v>
      </c>
      <c r="Q13045" t="s">
        <v>13203</v>
      </c>
      <c r="R13045" t="s">
        <v>615</v>
      </c>
      <c r="S13045">
        <v>139.78662700000001</v>
      </c>
      <c r="T13045" s="1095">
        <v>-34.064708000000003</v>
      </c>
    </row>
    <row r="13046" spans="16:20">
      <c r="P13046" s="1094">
        <v>5322</v>
      </c>
      <c r="Q13046" t="s">
        <v>13204</v>
      </c>
      <c r="R13046" t="s">
        <v>615</v>
      </c>
      <c r="S13046">
        <v>139.955939</v>
      </c>
      <c r="T13046" s="1095">
        <v>-34.177880999999999</v>
      </c>
    </row>
    <row r="13047" spans="16:20">
      <c r="P13047" s="1094">
        <v>5322</v>
      </c>
      <c r="Q13047" t="s">
        <v>13205</v>
      </c>
      <c r="R13047" t="s">
        <v>615</v>
      </c>
      <c r="S13047">
        <v>139.955939</v>
      </c>
      <c r="T13047" s="1095">
        <v>-34.177880999999999</v>
      </c>
    </row>
    <row r="13048" spans="16:20">
      <c r="P13048" s="1094">
        <v>5322</v>
      </c>
      <c r="Q13048" t="s">
        <v>13206</v>
      </c>
      <c r="R13048" t="s">
        <v>615</v>
      </c>
      <c r="S13048">
        <v>139.955939</v>
      </c>
      <c r="T13048" s="1095">
        <v>-34.177880999999999</v>
      </c>
    </row>
    <row r="13049" spans="16:20">
      <c r="P13049" s="1094">
        <v>5322</v>
      </c>
      <c r="Q13049" t="s">
        <v>13207</v>
      </c>
      <c r="R13049" t="s">
        <v>615</v>
      </c>
      <c r="S13049">
        <v>139.955939</v>
      </c>
      <c r="T13049" s="1095">
        <v>-34.177880999999999</v>
      </c>
    </row>
    <row r="13050" spans="16:20">
      <c r="P13050" s="1094">
        <v>5322</v>
      </c>
      <c r="Q13050" t="s">
        <v>13208</v>
      </c>
      <c r="R13050" t="s">
        <v>615</v>
      </c>
      <c r="S13050">
        <v>139.955939</v>
      </c>
      <c r="T13050" s="1095">
        <v>-34.177880999999999</v>
      </c>
    </row>
    <row r="13051" spans="16:20">
      <c r="P13051" s="1094">
        <v>5330</v>
      </c>
      <c r="Q13051" t="s">
        <v>13209</v>
      </c>
      <c r="R13051" t="s">
        <v>615</v>
      </c>
      <c r="S13051">
        <v>139.97542100000001</v>
      </c>
      <c r="T13051" s="1095">
        <v>-33.947069999999997</v>
      </c>
    </row>
    <row r="13052" spans="16:20">
      <c r="P13052" s="1094">
        <v>5330</v>
      </c>
      <c r="Q13052" t="s">
        <v>13210</v>
      </c>
      <c r="R13052" t="s">
        <v>615</v>
      </c>
      <c r="S13052">
        <v>139.97542100000001</v>
      </c>
      <c r="T13052" s="1095">
        <v>-33.947069999999997</v>
      </c>
    </row>
    <row r="13053" spans="16:20">
      <c r="P13053" s="1094">
        <v>5330</v>
      </c>
      <c r="Q13053" t="s">
        <v>13211</v>
      </c>
      <c r="R13053" t="s">
        <v>615</v>
      </c>
      <c r="S13053">
        <v>139.97542100000001</v>
      </c>
      <c r="T13053" s="1095">
        <v>-33.947069999999997</v>
      </c>
    </row>
    <row r="13054" spans="16:20">
      <c r="P13054" s="1094">
        <v>5330</v>
      </c>
      <c r="Q13054" t="s">
        <v>4838</v>
      </c>
      <c r="R13054" t="s">
        <v>615</v>
      </c>
      <c r="S13054">
        <v>139.97542100000001</v>
      </c>
      <c r="T13054" s="1095">
        <v>-33.947069999999997</v>
      </c>
    </row>
    <row r="13055" spans="16:20">
      <c r="P13055" s="1094">
        <v>5330</v>
      </c>
      <c r="Q13055" t="s">
        <v>13212</v>
      </c>
      <c r="R13055" t="s">
        <v>615</v>
      </c>
      <c r="S13055">
        <v>139.97542100000001</v>
      </c>
      <c r="T13055" s="1095">
        <v>-33.947069999999997</v>
      </c>
    </row>
    <row r="13056" spans="16:20">
      <c r="P13056" s="1094">
        <v>5330</v>
      </c>
      <c r="Q13056" t="s">
        <v>13213</v>
      </c>
      <c r="R13056" t="s">
        <v>615</v>
      </c>
      <c r="S13056">
        <v>139.97542100000001</v>
      </c>
      <c r="T13056" s="1095">
        <v>-33.947069999999997</v>
      </c>
    </row>
    <row r="13057" spans="16:20">
      <c r="P13057" s="1094">
        <v>5330</v>
      </c>
      <c r="Q13057" t="s">
        <v>13214</v>
      </c>
      <c r="R13057" t="s">
        <v>615</v>
      </c>
      <c r="S13057">
        <v>139.97542100000001</v>
      </c>
      <c r="T13057" s="1095">
        <v>-33.947069999999997</v>
      </c>
    </row>
    <row r="13058" spans="16:20">
      <c r="P13058" s="1094">
        <v>5330</v>
      </c>
      <c r="Q13058" t="s">
        <v>13215</v>
      </c>
      <c r="R13058" t="s">
        <v>615</v>
      </c>
      <c r="S13058">
        <v>139.97542100000001</v>
      </c>
      <c r="T13058" s="1095">
        <v>-33.947069999999997</v>
      </c>
    </row>
    <row r="13059" spans="16:20">
      <c r="P13059" s="1094">
        <v>5330</v>
      </c>
      <c r="Q13059" t="s">
        <v>13216</v>
      </c>
      <c r="R13059" t="s">
        <v>615</v>
      </c>
      <c r="S13059">
        <v>139.97542100000001</v>
      </c>
      <c r="T13059" s="1095">
        <v>-33.947069999999997</v>
      </c>
    </row>
    <row r="13060" spans="16:20">
      <c r="P13060" s="1094">
        <v>5330</v>
      </c>
      <c r="Q13060" t="s">
        <v>13217</v>
      </c>
      <c r="R13060" t="s">
        <v>615</v>
      </c>
      <c r="S13060">
        <v>139.97542100000001</v>
      </c>
      <c r="T13060" s="1095">
        <v>-33.947069999999997</v>
      </c>
    </row>
    <row r="13061" spans="16:20">
      <c r="P13061" s="1094">
        <v>5330</v>
      </c>
      <c r="Q13061" t="s">
        <v>13218</v>
      </c>
      <c r="R13061" t="s">
        <v>615</v>
      </c>
      <c r="S13061">
        <v>139.97542100000001</v>
      </c>
      <c r="T13061" s="1095">
        <v>-33.947069999999997</v>
      </c>
    </row>
    <row r="13062" spans="16:20">
      <c r="P13062" s="1094">
        <v>5330</v>
      </c>
      <c r="Q13062" t="s">
        <v>13219</v>
      </c>
      <c r="R13062" t="s">
        <v>615</v>
      </c>
      <c r="S13062">
        <v>139.97542100000001</v>
      </c>
      <c r="T13062" s="1095">
        <v>-33.947069999999997</v>
      </c>
    </row>
    <row r="13063" spans="16:20">
      <c r="P13063" s="1094">
        <v>5330</v>
      </c>
      <c r="Q13063" t="s">
        <v>13220</v>
      </c>
      <c r="R13063" t="s">
        <v>615</v>
      </c>
      <c r="S13063">
        <v>139.97542100000001</v>
      </c>
      <c r="T13063" s="1095">
        <v>-33.947069999999997</v>
      </c>
    </row>
    <row r="13064" spans="16:20">
      <c r="P13064" s="1094">
        <v>5331</v>
      </c>
      <c r="Q13064" t="s">
        <v>13221</v>
      </c>
      <c r="R13064" t="s">
        <v>615</v>
      </c>
      <c r="S13064">
        <v>140.31935100000001</v>
      </c>
      <c r="T13064" s="1095">
        <v>-34.214118999999997</v>
      </c>
    </row>
    <row r="13065" spans="16:20">
      <c r="P13065" s="1094">
        <v>5332</v>
      </c>
      <c r="Q13065" t="s">
        <v>13222</v>
      </c>
      <c r="R13065" t="s">
        <v>615</v>
      </c>
      <c r="S13065">
        <v>140.28103999999999</v>
      </c>
      <c r="T13065" s="1095">
        <v>-34.251100999999998</v>
      </c>
    </row>
    <row r="13066" spans="16:20">
      <c r="P13066" s="1094">
        <v>5332</v>
      </c>
      <c r="Q13066" t="s">
        <v>13223</v>
      </c>
      <c r="R13066" t="s">
        <v>615</v>
      </c>
      <c r="S13066">
        <v>140.28103999999999</v>
      </c>
      <c r="T13066" s="1095">
        <v>-34.251100999999998</v>
      </c>
    </row>
    <row r="13067" spans="16:20">
      <c r="P13067" s="1094">
        <v>5332</v>
      </c>
      <c r="Q13067" t="s">
        <v>13224</v>
      </c>
      <c r="R13067" t="s">
        <v>615</v>
      </c>
      <c r="S13067">
        <v>140.28103999999999</v>
      </c>
      <c r="T13067" s="1095">
        <v>-34.251100999999998</v>
      </c>
    </row>
    <row r="13068" spans="16:20">
      <c r="P13068" s="1094">
        <v>5332</v>
      </c>
      <c r="Q13068" t="s">
        <v>13225</v>
      </c>
      <c r="R13068" t="s">
        <v>615</v>
      </c>
      <c r="S13068">
        <v>140.28103999999999</v>
      </c>
      <c r="T13068" s="1095">
        <v>-34.251100999999998</v>
      </c>
    </row>
    <row r="13069" spans="16:20">
      <c r="P13069" s="1094">
        <v>5333</v>
      </c>
      <c r="Q13069" t="s">
        <v>13226</v>
      </c>
      <c r="R13069" t="s">
        <v>615</v>
      </c>
      <c r="S13069">
        <v>140.63513</v>
      </c>
      <c r="T13069" s="1095">
        <v>-34.485635000000002</v>
      </c>
    </row>
    <row r="13070" spans="16:20">
      <c r="P13070" s="1094">
        <v>5333</v>
      </c>
      <c r="Q13070" t="s">
        <v>13227</v>
      </c>
      <c r="R13070" t="s">
        <v>615</v>
      </c>
      <c r="S13070">
        <v>140.63513</v>
      </c>
      <c r="T13070" s="1095">
        <v>-34.485635000000002</v>
      </c>
    </row>
    <row r="13071" spans="16:20">
      <c r="P13071" s="1094">
        <v>5333</v>
      </c>
      <c r="Q13071" t="s">
        <v>13228</v>
      </c>
      <c r="R13071" t="s">
        <v>615</v>
      </c>
      <c r="S13071">
        <v>140.63513</v>
      </c>
      <c r="T13071" s="1095">
        <v>-34.485635000000002</v>
      </c>
    </row>
    <row r="13072" spans="16:20">
      <c r="P13072" s="1094">
        <v>5333</v>
      </c>
      <c r="Q13072" t="s">
        <v>13229</v>
      </c>
      <c r="R13072" t="s">
        <v>615</v>
      </c>
      <c r="S13072">
        <v>140.63513</v>
      </c>
      <c r="T13072" s="1095">
        <v>-34.485635000000002</v>
      </c>
    </row>
    <row r="13073" spans="16:20">
      <c r="P13073" s="1094">
        <v>5333</v>
      </c>
      <c r="Q13073" t="s">
        <v>13230</v>
      </c>
      <c r="R13073" t="s">
        <v>615</v>
      </c>
      <c r="S13073">
        <v>140.63513</v>
      </c>
      <c r="T13073" s="1095">
        <v>-34.485635000000002</v>
      </c>
    </row>
    <row r="13074" spans="16:20">
      <c r="P13074" s="1094">
        <v>5333</v>
      </c>
      <c r="Q13074" t="s">
        <v>13231</v>
      </c>
      <c r="R13074" t="s">
        <v>615</v>
      </c>
      <c r="S13074">
        <v>140.63513</v>
      </c>
      <c r="T13074" s="1095">
        <v>-34.485635000000002</v>
      </c>
    </row>
    <row r="13075" spans="16:20">
      <c r="P13075" s="1094">
        <v>5333</v>
      </c>
      <c r="Q13075" t="s">
        <v>13232</v>
      </c>
      <c r="R13075" t="s">
        <v>615</v>
      </c>
      <c r="S13075">
        <v>140.63513</v>
      </c>
      <c r="T13075" s="1095">
        <v>-34.485635000000002</v>
      </c>
    </row>
    <row r="13076" spans="16:20">
      <c r="P13076" s="1094">
        <v>5333</v>
      </c>
      <c r="Q13076" t="s">
        <v>13233</v>
      </c>
      <c r="R13076" t="s">
        <v>615</v>
      </c>
      <c r="S13076">
        <v>140.63513</v>
      </c>
      <c r="T13076" s="1095">
        <v>-34.485635000000002</v>
      </c>
    </row>
    <row r="13077" spans="16:20">
      <c r="P13077" s="1094">
        <v>5333</v>
      </c>
      <c r="Q13077" t="s">
        <v>13234</v>
      </c>
      <c r="R13077" t="s">
        <v>615</v>
      </c>
      <c r="S13077">
        <v>140.63513</v>
      </c>
      <c r="T13077" s="1095">
        <v>-34.485635000000002</v>
      </c>
    </row>
    <row r="13078" spans="16:20">
      <c r="P13078" s="1094">
        <v>5340</v>
      </c>
      <c r="Q13078" t="s">
        <v>13235</v>
      </c>
      <c r="R13078" t="s">
        <v>615</v>
      </c>
      <c r="S13078">
        <v>140.782026</v>
      </c>
      <c r="T13078" s="1095">
        <v>-34.176844000000003</v>
      </c>
    </row>
    <row r="13079" spans="16:20">
      <c r="P13079" s="1094">
        <v>5340</v>
      </c>
      <c r="Q13079" t="s">
        <v>13236</v>
      </c>
      <c r="R13079" t="s">
        <v>615</v>
      </c>
      <c r="S13079">
        <v>140.782026</v>
      </c>
      <c r="T13079" s="1095">
        <v>-34.176844000000003</v>
      </c>
    </row>
    <row r="13080" spans="16:20">
      <c r="P13080" s="1094">
        <v>5340</v>
      </c>
      <c r="Q13080" t="s">
        <v>13237</v>
      </c>
      <c r="R13080" t="s">
        <v>615</v>
      </c>
      <c r="S13080">
        <v>140.782026</v>
      </c>
      <c r="T13080" s="1095">
        <v>-34.176844000000003</v>
      </c>
    </row>
    <row r="13081" spans="16:20">
      <c r="P13081" s="1094">
        <v>5340</v>
      </c>
      <c r="Q13081" t="s">
        <v>13238</v>
      </c>
      <c r="R13081" t="s">
        <v>615</v>
      </c>
      <c r="S13081">
        <v>140.782026</v>
      </c>
      <c r="T13081" s="1095">
        <v>-34.176844000000003</v>
      </c>
    </row>
    <row r="13082" spans="16:20">
      <c r="P13082" s="1094">
        <v>5340</v>
      </c>
      <c r="Q13082" t="s">
        <v>13239</v>
      </c>
      <c r="R13082" t="s">
        <v>615</v>
      </c>
      <c r="S13082">
        <v>140.782026</v>
      </c>
      <c r="T13082" s="1095">
        <v>-34.176844000000003</v>
      </c>
    </row>
    <row r="13083" spans="16:20">
      <c r="P13083" s="1094">
        <v>5341</v>
      </c>
      <c r="Q13083" t="s">
        <v>13240</v>
      </c>
      <c r="R13083" t="s">
        <v>615</v>
      </c>
      <c r="S13083">
        <v>140.75317799999999</v>
      </c>
      <c r="T13083" s="1095">
        <v>-33.739083999999998</v>
      </c>
    </row>
    <row r="13084" spans="16:20">
      <c r="P13084" s="1094">
        <v>5341</v>
      </c>
      <c r="Q13084" t="s">
        <v>13241</v>
      </c>
      <c r="R13084" t="s">
        <v>615</v>
      </c>
      <c r="S13084">
        <v>140.75317799999999</v>
      </c>
      <c r="T13084" s="1095">
        <v>-33.739083999999998</v>
      </c>
    </row>
    <row r="13085" spans="16:20">
      <c r="P13085" s="1094">
        <v>5341</v>
      </c>
      <c r="Q13085" t="s">
        <v>13242</v>
      </c>
      <c r="R13085" t="s">
        <v>615</v>
      </c>
      <c r="S13085">
        <v>140.75317799999999</v>
      </c>
      <c r="T13085" s="1095">
        <v>-33.739083999999998</v>
      </c>
    </row>
    <row r="13086" spans="16:20">
      <c r="P13086" s="1094">
        <v>5341</v>
      </c>
      <c r="Q13086" t="s">
        <v>13243</v>
      </c>
      <c r="R13086" t="s">
        <v>615</v>
      </c>
      <c r="S13086">
        <v>140.75317799999999</v>
      </c>
      <c r="T13086" s="1095">
        <v>-33.739083999999998</v>
      </c>
    </row>
    <row r="13087" spans="16:20">
      <c r="P13087" s="1094">
        <v>5341</v>
      </c>
      <c r="Q13087" t="s">
        <v>13244</v>
      </c>
      <c r="R13087" t="s">
        <v>615</v>
      </c>
      <c r="S13087">
        <v>140.75317799999999</v>
      </c>
      <c r="T13087" s="1095">
        <v>-33.739083999999998</v>
      </c>
    </row>
    <row r="13088" spans="16:20">
      <c r="P13088" s="1094">
        <v>5341</v>
      </c>
      <c r="Q13088" t="s">
        <v>13245</v>
      </c>
      <c r="R13088" t="s">
        <v>615</v>
      </c>
      <c r="S13088">
        <v>140.75317799999999</v>
      </c>
      <c r="T13088" s="1095">
        <v>-33.739083999999998</v>
      </c>
    </row>
    <row r="13089" spans="16:20">
      <c r="P13089" s="1094">
        <v>5341</v>
      </c>
      <c r="Q13089" t="s">
        <v>13246</v>
      </c>
      <c r="R13089" t="s">
        <v>615</v>
      </c>
      <c r="S13089">
        <v>140.75317799999999</v>
      </c>
      <c r="T13089" s="1095">
        <v>-33.739083999999998</v>
      </c>
    </row>
    <row r="13090" spans="16:20">
      <c r="P13090" s="1094">
        <v>5341</v>
      </c>
      <c r="Q13090" t="s">
        <v>13247</v>
      </c>
      <c r="R13090" t="s">
        <v>615</v>
      </c>
      <c r="S13090">
        <v>140.75317799999999</v>
      </c>
      <c r="T13090" s="1095">
        <v>-33.739083999999998</v>
      </c>
    </row>
    <row r="13091" spans="16:20">
      <c r="P13091" s="1094">
        <v>5341</v>
      </c>
      <c r="Q13091" t="s">
        <v>3801</v>
      </c>
      <c r="R13091" t="s">
        <v>615</v>
      </c>
      <c r="S13091">
        <v>140.75317799999999</v>
      </c>
      <c r="T13091" s="1095">
        <v>-33.739083999999998</v>
      </c>
    </row>
    <row r="13092" spans="16:20">
      <c r="P13092" s="1094">
        <v>5342</v>
      </c>
      <c r="Q13092" t="s">
        <v>6337</v>
      </c>
      <c r="R13092" t="s">
        <v>615</v>
      </c>
      <c r="S13092">
        <v>140.551874</v>
      </c>
      <c r="T13092" s="1095">
        <v>-34.240296000000001</v>
      </c>
    </row>
    <row r="13093" spans="16:20">
      <c r="P13093" s="1094">
        <v>5343</v>
      </c>
      <c r="Q13093" t="s">
        <v>13248</v>
      </c>
      <c r="R13093" t="s">
        <v>615</v>
      </c>
      <c r="S13093">
        <v>140.55618100000001</v>
      </c>
      <c r="T13093" s="1095">
        <v>-34.321288000000003</v>
      </c>
    </row>
    <row r="13094" spans="16:20">
      <c r="P13094" s="1094">
        <v>5343</v>
      </c>
      <c r="Q13094" t="s">
        <v>13249</v>
      </c>
      <c r="R13094" t="s">
        <v>615</v>
      </c>
      <c r="S13094">
        <v>140.55618100000001</v>
      </c>
      <c r="T13094" s="1095">
        <v>-34.321288000000003</v>
      </c>
    </row>
    <row r="13095" spans="16:20">
      <c r="P13095" s="1094">
        <v>5343</v>
      </c>
      <c r="Q13095" t="s">
        <v>13250</v>
      </c>
      <c r="R13095" t="s">
        <v>615</v>
      </c>
      <c r="S13095">
        <v>140.55618100000001</v>
      </c>
      <c r="T13095" s="1095">
        <v>-34.321288000000003</v>
      </c>
    </row>
    <row r="13096" spans="16:20">
      <c r="P13096" s="1094">
        <v>5343</v>
      </c>
      <c r="Q13096" t="s">
        <v>13251</v>
      </c>
      <c r="R13096" t="s">
        <v>615</v>
      </c>
      <c r="S13096">
        <v>140.55618100000001</v>
      </c>
      <c r="T13096" s="1095">
        <v>-34.321288000000003</v>
      </c>
    </row>
    <row r="13097" spans="16:20">
      <c r="P13097" s="1094">
        <v>5343</v>
      </c>
      <c r="Q13097" t="s">
        <v>13252</v>
      </c>
      <c r="R13097" t="s">
        <v>615</v>
      </c>
      <c r="S13097">
        <v>140.55618100000001</v>
      </c>
      <c r="T13097" s="1095">
        <v>-34.321288000000003</v>
      </c>
    </row>
    <row r="13098" spans="16:20">
      <c r="P13098" s="1094">
        <v>5343</v>
      </c>
      <c r="Q13098" t="s">
        <v>13253</v>
      </c>
      <c r="R13098" t="s">
        <v>615</v>
      </c>
      <c r="S13098">
        <v>140.55618100000001</v>
      </c>
      <c r="T13098" s="1095">
        <v>-34.321288000000003</v>
      </c>
    </row>
    <row r="13099" spans="16:20">
      <c r="P13099" s="1094">
        <v>5344</v>
      </c>
      <c r="Q13099" t="s">
        <v>13254</v>
      </c>
      <c r="R13099" t="s">
        <v>615</v>
      </c>
      <c r="S13099">
        <v>140.51443</v>
      </c>
      <c r="T13099" s="1095">
        <v>-34.285345</v>
      </c>
    </row>
    <row r="13100" spans="16:20">
      <c r="P13100" s="1094">
        <v>5345</v>
      </c>
      <c r="Q13100" t="s">
        <v>13255</v>
      </c>
      <c r="R13100" t="s">
        <v>615</v>
      </c>
      <c r="S13100">
        <v>140.45450600000001</v>
      </c>
      <c r="T13100" s="1095">
        <v>-34.187027</v>
      </c>
    </row>
    <row r="13101" spans="16:20">
      <c r="P13101" s="1094">
        <v>5345</v>
      </c>
      <c r="Q13101" t="s">
        <v>13256</v>
      </c>
      <c r="R13101" t="s">
        <v>615</v>
      </c>
      <c r="S13101">
        <v>140.45450600000001</v>
      </c>
      <c r="T13101" s="1095">
        <v>-34.187027</v>
      </c>
    </row>
    <row r="13102" spans="16:20">
      <c r="P13102" s="1094">
        <v>5345</v>
      </c>
      <c r="Q13102" t="s">
        <v>13257</v>
      </c>
      <c r="R13102" t="s">
        <v>615</v>
      </c>
      <c r="S13102">
        <v>140.45450600000001</v>
      </c>
      <c r="T13102" s="1095">
        <v>-34.187027</v>
      </c>
    </row>
    <row r="13103" spans="16:20">
      <c r="P13103" s="1094">
        <v>5346</v>
      </c>
      <c r="Q13103" t="s">
        <v>13258</v>
      </c>
      <c r="R13103" t="s">
        <v>615</v>
      </c>
      <c r="S13103">
        <v>140.397201</v>
      </c>
      <c r="T13103" s="1095">
        <v>-34.250013000000003</v>
      </c>
    </row>
    <row r="13104" spans="16:20">
      <c r="P13104" s="1094">
        <v>5350</v>
      </c>
      <c r="Q13104" t="s">
        <v>4299</v>
      </c>
      <c r="R13104" t="s">
        <v>615</v>
      </c>
      <c r="S13104">
        <v>138.83422999999999</v>
      </c>
      <c r="T13104" s="1095">
        <v>-34.550896999999999</v>
      </c>
    </row>
    <row r="13105" spans="16:20">
      <c r="P13105" s="1094">
        <v>5350</v>
      </c>
      <c r="Q13105" t="s">
        <v>2856</v>
      </c>
      <c r="R13105" t="s">
        <v>615</v>
      </c>
      <c r="S13105">
        <v>138.83422999999999</v>
      </c>
      <c r="T13105" s="1095">
        <v>-34.550896999999999</v>
      </c>
    </row>
    <row r="13106" spans="16:20">
      <c r="P13106" s="1094">
        <v>5351</v>
      </c>
      <c r="Q13106" t="s">
        <v>6376</v>
      </c>
      <c r="R13106" t="s">
        <v>615</v>
      </c>
      <c r="S13106">
        <v>138.89780200000001</v>
      </c>
      <c r="T13106" s="1095">
        <v>-34.638218000000002</v>
      </c>
    </row>
    <row r="13107" spans="16:20">
      <c r="P13107" s="1094">
        <v>5351</v>
      </c>
      <c r="Q13107" t="s">
        <v>13259</v>
      </c>
      <c r="R13107" t="s">
        <v>615</v>
      </c>
      <c r="S13107">
        <v>138.89780200000001</v>
      </c>
      <c r="T13107" s="1095">
        <v>-34.638218000000002</v>
      </c>
    </row>
    <row r="13108" spans="16:20">
      <c r="P13108" s="1094">
        <v>5351</v>
      </c>
      <c r="Q13108" t="s">
        <v>13260</v>
      </c>
      <c r="R13108" t="s">
        <v>615</v>
      </c>
      <c r="S13108">
        <v>138.89780200000001</v>
      </c>
      <c r="T13108" s="1095">
        <v>-34.638218000000002</v>
      </c>
    </row>
    <row r="13109" spans="16:20">
      <c r="P13109" s="1094">
        <v>5351</v>
      </c>
      <c r="Q13109" t="s">
        <v>13261</v>
      </c>
      <c r="R13109" t="s">
        <v>615</v>
      </c>
      <c r="S13109">
        <v>138.89780200000001</v>
      </c>
      <c r="T13109" s="1095">
        <v>-34.638218000000002</v>
      </c>
    </row>
    <row r="13110" spans="16:20">
      <c r="P13110" s="1094">
        <v>5351</v>
      </c>
      <c r="Q13110" t="s">
        <v>13262</v>
      </c>
      <c r="R13110" t="s">
        <v>615</v>
      </c>
      <c r="S13110">
        <v>138.89780200000001</v>
      </c>
      <c r="T13110" s="1095">
        <v>-34.638218000000002</v>
      </c>
    </row>
    <row r="13111" spans="16:20">
      <c r="P13111" s="1094">
        <v>5351</v>
      </c>
      <c r="Q13111" t="s">
        <v>6374</v>
      </c>
      <c r="R13111" t="s">
        <v>615</v>
      </c>
      <c r="S13111">
        <v>138.89780200000001</v>
      </c>
      <c r="T13111" s="1095">
        <v>-34.638218000000002</v>
      </c>
    </row>
    <row r="13112" spans="16:20">
      <c r="P13112" s="1094">
        <v>5352</v>
      </c>
      <c r="Q13112" t="s">
        <v>13263</v>
      </c>
      <c r="R13112" t="s">
        <v>615</v>
      </c>
      <c r="S13112">
        <v>138.93904900000001</v>
      </c>
      <c r="T13112" s="1095">
        <v>-34.549295000000001</v>
      </c>
    </row>
    <row r="13113" spans="16:20">
      <c r="P13113" s="1094">
        <v>5352</v>
      </c>
      <c r="Q13113" t="s">
        <v>13264</v>
      </c>
      <c r="R13113" t="s">
        <v>615</v>
      </c>
      <c r="S13113">
        <v>138.93904900000001</v>
      </c>
      <c r="T13113" s="1095">
        <v>-34.549295000000001</v>
      </c>
    </row>
    <row r="13114" spans="16:20">
      <c r="P13114" s="1094">
        <v>5352</v>
      </c>
      <c r="Q13114" t="s">
        <v>13265</v>
      </c>
      <c r="R13114" t="s">
        <v>615</v>
      </c>
      <c r="S13114">
        <v>138.93904900000001</v>
      </c>
      <c r="T13114" s="1095">
        <v>-34.549295000000001</v>
      </c>
    </row>
    <row r="13115" spans="16:20">
      <c r="P13115" s="1094">
        <v>5352</v>
      </c>
      <c r="Q13115" t="s">
        <v>13266</v>
      </c>
      <c r="R13115" t="s">
        <v>615</v>
      </c>
      <c r="S13115">
        <v>138.93904900000001</v>
      </c>
      <c r="T13115" s="1095">
        <v>-34.549295000000001</v>
      </c>
    </row>
    <row r="13116" spans="16:20">
      <c r="P13116" s="1094">
        <v>5353</v>
      </c>
      <c r="Q13116" t="s">
        <v>13267</v>
      </c>
      <c r="R13116" t="s">
        <v>615</v>
      </c>
      <c r="S13116">
        <v>139.32697899999999</v>
      </c>
      <c r="T13116" s="1095">
        <v>-34.577328000000001</v>
      </c>
    </row>
    <row r="13117" spans="16:20">
      <c r="P13117" s="1094">
        <v>5353</v>
      </c>
      <c r="Q13117" t="s">
        <v>2637</v>
      </c>
      <c r="R13117" t="s">
        <v>615</v>
      </c>
      <c r="S13117">
        <v>139.32697899999999</v>
      </c>
      <c r="T13117" s="1095">
        <v>-34.577328000000001</v>
      </c>
    </row>
    <row r="13118" spans="16:20">
      <c r="P13118" s="1094">
        <v>5353</v>
      </c>
      <c r="Q13118" t="s">
        <v>13268</v>
      </c>
      <c r="R13118" t="s">
        <v>615</v>
      </c>
      <c r="S13118">
        <v>139.32697899999999</v>
      </c>
      <c r="T13118" s="1095">
        <v>-34.577328000000001</v>
      </c>
    </row>
    <row r="13119" spans="16:20">
      <c r="P13119" s="1094">
        <v>5353</v>
      </c>
      <c r="Q13119" t="s">
        <v>13269</v>
      </c>
      <c r="R13119" t="s">
        <v>615</v>
      </c>
      <c r="S13119">
        <v>139.32697899999999</v>
      </c>
      <c r="T13119" s="1095">
        <v>-34.577328000000001</v>
      </c>
    </row>
    <row r="13120" spans="16:20">
      <c r="P13120" s="1094">
        <v>5353</v>
      </c>
      <c r="Q13120" t="s">
        <v>13270</v>
      </c>
      <c r="R13120" t="s">
        <v>615</v>
      </c>
      <c r="S13120">
        <v>139.32697899999999</v>
      </c>
      <c r="T13120" s="1095">
        <v>-34.577328000000001</v>
      </c>
    </row>
    <row r="13121" spans="16:20">
      <c r="P13121" s="1094">
        <v>5353</v>
      </c>
      <c r="Q13121" t="s">
        <v>13271</v>
      </c>
      <c r="R13121" t="s">
        <v>615</v>
      </c>
      <c r="S13121">
        <v>139.32697899999999</v>
      </c>
      <c r="T13121" s="1095">
        <v>-34.577328000000001</v>
      </c>
    </row>
    <row r="13122" spans="16:20">
      <c r="P13122" s="1094">
        <v>5353</v>
      </c>
      <c r="Q13122" t="s">
        <v>13272</v>
      </c>
      <c r="R13122" t="s">
        <v>615</v>
      </c>
      <c r="S13122">
        <v>139.32697899999999</v>
      </c>
      <c r="T13122" s="1095">
        <v>-34.577328000000001</v>
      </c>
    </row>
    <row r="13123" spans="16:20">
      <c r="P13123" s="1094">
        <v>5353</v>
      </c>
      <c r="Q13123" t="s">
        <v>13273</v>
      </c>
      <c r="R13123" t="s">
        <v>615</v>
      </c>
      <c r="S13123">
        <v>139.32697899999999</v>
      </c>
      <c r="T13123" s="1095">
        <v>-34.577328000000001</v>
      </c>
    </row>
    <row r="13124" spans="16:20">
      <c r="P13124" s="1094">
        <v>5353</v>
      </c>
      <c r="Q13124" t="s">
        <v>13274</v>
      </c>
      <c r="R13124" t="s">
        <v>615</v>
      </c>
      <c r="S13124">
        <v>139.32697899999999</v>
      </c>
      <c r="T13124" s="1095">
        <v>-34.577328000000001</v>
      </c>
    </row>
    <row r="13125" spans="16:20">
      <c r="P13125" s="1094">
        <v>5354</v>
      </c>
      <c r="Q13125" t="s">
        <v>13275</v>
      </c>
      <c r="R13125" t="s">
        <v>615</v>
      </c>
      <c r="S13125">
        <v>139.65264199999999</v>
      </c>
      <c r="T13125" s="1095">
        <v>-34.538012999999999</v>
      </c>
    </row>
    <row r="13126" spans="16:20">
      <c r="P13126" s="1094">
        <v>5354</v>
      </c>
      <c r="Q13126" t="s">
        <v>13276</v>
      </c>
      <c r="R13126" t="s">
        <v>615</v>
      </c>
      <c r="S13126">
        <v>139.65264199999999</v>
      </c>
      <c r="T13126" s="1095">
        <v>-34.538012999999999</v>
      </c>
    </row>
    <row r="13127" spans="16:20">
      <c r="P13127" s="1094">
        <v>5354</v>
      </c>
      <c r="Q13127" t="s">
        <v>13277</v>
      </c>
      <c r="R13127" t="s">
        <v>615</v>
      </c>
      <c r="S13127">
        <v>139.65264199999999</v>
      </c>
      <c r="T13127" s="1095">
        <v>-34.538012999999999</v>
      </c>
    </row>
    <row r="13128" spans="16:20">
      <c r="P13128" s="1094">
        <v>5354</v>
      </c>
      <c r="Q13128" t="s">
        <v>13278</v>
      </c>
      <c r="R13128" t="s">
        <v>615</v>
      </c>
      <c r="S13128">
        <v>139.65264199999999</v>
      </c>
      <c r="T13128" s="1095">
        <v>-34.538012999999999</v>
      </c>
    </row>
    <row r="13129" spans="16:20">
      <c r="P13129" s="1094">
        <v>5354</v>
      </c>
      <c r="Q13129" t="s">
        <v>9085</v>
      </c>
      <c r="R13129" t="s">
        <v>615</v>
      </c>
      <c r="S13129">
        <v>139.65264199999999</v>
      </c>
      <c r="T13129" s="1095">
        <v>-34.538012999999999</v>
      </c>
    </row>
    <row r="13130" spans="16:20">
      <c r="P13130" s="1094">
        <v>5355</v>
      </c>
      <c r="Q13130" t="s">
        <v>13279</v>
      </c>
      <c r="R13130" t="s">
        <v>615</v>
      </c>
      <c r="S13130">
        <v>139.00788600000001</v>
      </c>
      <c r="T13130" s="1095">
        <v>-34.443966000000003</v>
      </c>
    </row>
    <row r="13131" spans="16:20">
      <c r="P13131" s="1094">
        <v>5355</v>
      </c>
      <c r="Q13131" t="s">
        <v>5585</v>
      </c>
      <c r="R13131" t="s">
        <v>615</v>
      </c>
      <c r="S13131">
        <v>139.00788600000001</v>
      </c>
      <c r="T13131" s="1095">
        <v>-34.443966000000003</v>
      </c>
    </row>
    <row r="13132" spans="16:20">
      <c r="P13132" s="1094">
        <v>5355</v>
      </c>
      <c r="Q13132" t="s">
        <v>13280</v>
      </c>
      <c r="R13132" t="s">
        <v>615</v>
      </c>
      <c r="S13132">
        <v>139.00788600000001</v>
      </c>
      <c r="T13132" s="1095">
        <v>-34.443966000000003</v>
      </c>
    </row>
    <row r="13133" spans="16:20">
      <c r="P13133" s="1094">
        <v>5355</v>
      </c>
      <c r="Q13133" t="s">
        <v>13281</v>
      </c>
      <c r="R13133" t="s">
        <v>615</v>
      </c>
      <c r="S13133">
        <v>139.00788600000001</v>
      </c>
      <c r="T13133" s="1095">
        <v>-34.443966000000003</v>
      </c>
    </row>
    <row r="13134" spans="16:20">
      <c r="P13134" s="1094">
        <v>5355</v>
      </c>
      <c r="Q13134" t="s">
        <v>13282</v>
      </c>
      <c r="R13134" t="s">
        <v>615</v>
      </c>
      <c r="S13134">
        <v>139.00788600000001</v>
      </c>
      <c r="T13134" s="1095">
        <v>-34.443966000000003</v>
      </c>
    </row>
    <row r="13135" spans="16:20">
      <c r="P13135" s="1094">
        <v>5355</v>
      </c>
      <c r="Q13135" t="s">
        <v>13283</v>
      </c>
      <c r="R13135" t="s">
        <v>615</v>
      </c>
      <c r="S13135">
        <v>139.00788600000001</v>
      </c>
      <c r="T13135" s="1095">
        <v>-34.443966000000003</v>
      </c>
    </row>
    <row r="13136" spans="16:20">
      <c r="P13136" s="1094">
        <v>5355</v>
      </c>
      <c r="Q13136" t="s">
        <v>13284</v>
      </c>
      <c r="R13136" t="s">
        <v>615</v>
      </c>
      <c r="S13136">
        <v>139.00788600000001</v>
      </c>
      <c r="T13136" s="1095">
        <v>-34.443966000000003</v>
      </c>
    </row>
    <row r="13137" spans="16:20">
      <c r="P13137" s="1094">
        <v>5355</v>
      </c>
      <c r="Q13137" t="s">
        <v>13285</v>
      </c>
      <c r="R13137" t="s">
        <v>615</v>
      </c>
      <c r="S13137">
        <v>139.00788600000001</v>
      </c>
      <c r="T13137" s="1095">
        <v>-34.443966000000003</v>
      </c>
    </row>
    <row r="13138" spans="16:20">
      <c r="P13138" s="1094">
        <v>5356</v>
      </c>
      <c r="Q13138" t="s">
        <v>13286</v>
      </c>
      <c r="R13138" t="s">
        <v>615</v>
      </c>
      <c r="S13138">
        <v>139.24094600000001</v>
      </c>
      <c r="T13138" s="1095">
        <v>-34.353109000000003</v>
      </c>
    </row>
    <row r="13139" spans="16:20">
      <c r="P13139" s="1094">
        <v>5356</v>
      </c>
      <c r="Q13139" t="s">
        <v>13287</v>
      </c>
      <c r="R13139" t="s">
        <v>615</v>
      </c>
      <c r="S13139">
        <v>139.24094600000001</v>
      </c>
      <c r="T13139" s="1095">
        <v>-34.353109000000003</v>
      </c>
    </row>
    <row r="13140" spans="16:20">
      <c r="P13140" s="1094">
        <v>5356</v>
      </c>
      <c r="Q13140" t="s">
        <v>13288</v>
      </c>
      <c r="R13140" t="s">
        <v>615</v>
      </c>
      <c r="S13140">
        <v>139.24094600000001</v>
      </c>
      <c r="T13140" s="1095">
        <v>-34.353109000000003</v>
      </c>
    </row>
    <row r="13141" spans="16:20">
      <c r="P13141" s="1094">
        <v>5356</v>
      </c>
      <c r="Q13141" t="s">
        <v>13289</v>
      </c>
      <c r="R13141" t="s">
        <v>615</v>
      </c>
      <c r="S13141">
        <v>139.24094600000001</v>
      </c>
      <c r="T13141" s="1095">
        <v>-34.353109000000003</v>
      </c>
    </row>
    <row r="13142" spans="16:20">
      <c r="P13142" s="1094">
        <v>5357</v>
      </c>
      <c r="Q13142" t="s">
        <v>13290</v>
      </c>
      <c r="R13142" t="s">
        <v>615</v>
      </c>
      <c r="S13142">
        <v>139.525937</v>
      </c>
      <c r="T13142" s="1095">
        <v>-34.343392999999999</v>
      </c>
    </row>
    <row r="13143" spans="16:20">
      <c r="P13143" s="1094">
        <v>5357</v>
      </c>
      <c r="Q13143" t="s">
        <v>13291</v>
      </c>
      <c r="R13143" t="s">
        <v>615</v>
      </c>
      <c r="S13143">
        <v>139.525937</v>
      </c>
      <c r="T13143" s="1095">
        <v>-34.343392999999999</v>
      </c>
    </row>
    <row r="13144" spans="16:20">
      <c r="P13144" s="1094">
        <v>5357</v>
      </c>
      <c r="Q13144" t="s">
        <v>13292</v>
      </c>
      <c r="R13144" t="s">
        <v>615</v>
      </c>
      <c r="S13144">
        <v>139.525937</v>
      </c>
      <c r="T13144" s="1095">
        <v>-34.343392999999999</v>
      </c>
    </row>
    <row r="13145" spans="16:20">
      <c r="P13145" s="1094">
        <v>5357</v>
      </c>
      <c r="Q13145" t="s">
        <v>13293</v>
      </c>
      <c r="R13145" t="s">
        <v>615</v>
      </c>
      <c r="S13145">
        <v>139.525937</v>
      </c>
      <c r="T13145" s="1095">
        <v>-34.343392999999999</v>
      </c>
    </row>
    <row r="13146" spans="16:20">
      <c r="P13146" s="1094">
        <v>5357</v>
      </c>
      <c r="Q13146" t="s">
        <v>13294</v>
      </c>
      <c r="R13146" t="s">
        <v>615</v>
      </c>
      <c r="S13146">
        <v>139.525937</v>
      </c>
      <c r="T13146" s="1095">
        <v>-34.343392999999999</v>
      </c>
    </row>
    <row r="13147" spans="16:20">
      <c r="P13147" s="1094">
        <v>5357</v>
      </c>
      <c r="Q13147" t="s">
        <v>13295</v>
      </c>
      <c r="R13147" t="s">
        <v>615</v>
      </c>
      <c r="S13147">
        <v>139.525937</v>
      </c>
      <c r="T13147" s="1095">
        <v>-34.343392999999999</v>
      </c>
    </row>
    <row r="13148" spans="16:20">
      <c r="P13148" s="1094">
        <v>5360</v>
      </c>
      <c r="Q13148" t="s">
        <v>13296</v>
      </c>
      <c r="R13148" t="s">
        <v>615</v>
      </c>
      <c r="S13148">
        <v>138.897955</v>
      </c>
      <c r="T13148" s="1095">
        <v>-34.446812999999999</v>
      </c>
    </row>
    <row r="13149" spans="16:20">
      <c r="P13149" s="1094">
        <v>5360</v>
      </c>
      <c r="Q13149" t="s">
        <v>13297</v>
      </c>
      <c r="R13149" t="s">
        <v>615</v>
      </c>
      <c r="S13149">
        <v>138.897955</v>
      </c>
      <c r="T13149" s="1095">
        <v>-34.446812999999999</v>
      </c>
    </row>
    <row r="13150" spans="16:20">
      <c r="P13150" s="1094">
        <v>5371</v>
      </c>
      <c r="Q13150" t="s">
        <v>13298</v>
      </c>
      <c r="R13150" t="s">
        <v>615</v>
      </c>
      <c r="S13150">
        <v>138.76534899999999</v>
      </c>
      <c r="T13150" s="1095">
        <v>-34.517974000000002</v>
      </c>
    </row>
    <row r="13151" spans="16:20">
      <c r="P13151" s="1094">
        <v>5371</v>
      </c>
      <c r="Q13151" t="s">
        <v>13299</v>
      </c>
      <c r="R13151" t="s">
        <v>615</v>
      </c>
      <c r="S13151">
        <v>138.76534899999999</v>
      </c>
      <c r="T13151" s="1095">
        <v>-34.517974000000002</v>
      </c>
    </row>
    <row r="13152" spans="16:20">
      <c r="P13152" s="1094">
        <v>5371</v>
      </c>
      <c r="Q13152" t="s">
        <v>13300</v>
      </c>
      <c r="R13152" t="s">
        <v>615</v>
      </c>
      <c r="S13152">
        <v>138.76534899999999</v>
      </c>
      <c r="T13152" s="1095">
        <v>-34.517974000000002</v>
      </c>
    </row>
    <row r="13153" spans="16:20">
      <c r="P13153" s="1094">
        <v>5372</v>
      </c>
      <c r="Q13153" t="s">
        <v>13301</v>
      </c>
      <c r="R13153" t="s">
        <v>615</v>
      </c>
      <c r="S13153">
        <v>138.798551</v>
      </c>
      <c r="T13153" s="1095">
        <v>-34.435921</v>
      </c>
    </row>
    <row r="13154" spans="16:20">
      <c r="P13154" s="1094">
        <v>5373</v>
      </c>
      <c r="Q13154" t="s">
        <v>13302</v>
      </c>
      <c r="R13154" t="s">
        <v>615</v>
      </c>
      <c r="S13154">
        <v>138.93033500000001</v>
      </c>
      <c r="T13154" s="1095">
        <v>-34.303007000000001</v>
      </c>
    </row>
    <row r="13155" spans="16:20">
      <c r="P13155" s="1094">
        <v>5373</v>
      </c>
      <c r="Q13155" t="s">
        <v>13303</v>
      </c>
      <c r="R13155" t="s">
        <v>615</v>
      </c>
      <c r="S13155">
        <v>138.93033500000001</v>
      </c>
      <c r="T13155" s="1095">
        <v>-34.303007000000001</v>
      </c>
    </row>
    <row r="13156" spans="16:20">
      <c r="P13156" s="1094">
        <v>5373</v>
      </c>
      <c r="Q13156" t="s">
        <v>13304</v>
      </c>
      <c r="R13156" t="s">
        <v>615</v>
      </c>
      <c r="S13156">
        <v>138.93033500000001</v>
      </c>
      <c r="T13156" s="1095">
        <v>-34.303007000000001</v>
      </c>
    </row>
    <row r="13157" spans="16:20">
      <c r="P13157" s="1094">
        <v>5373</v>
      </c>
      <c r="Q13157" t="s">
        <v>13305</v>
      </c>
      <c r="R13157" t="s">
        <v>615</v>
      </c>
      <c r="S13157">
        <v>138.93033500000001</v>
      </c>
      <c r="T13157" s="1095">
        <v>-34.303007000000001</v>
      </c>
    </row>
    <row r="13158" spans="16:20">
      <c r="P13158" s="1094">
        <v>5373</v>
      </c>
      <c r="Q13158" t="s">
        <v>2531</v>
      </c>
      <c r="R13158" t="s">
        <v>615</v>
      </c>
      <c r="S13158">
        <v>138.93033500000001</v>
      </c>
      <c r="T13158" s="1095">
        <v>-34.303007000000001</v>
      </c>
    </row>
    <row r="13159" spans="16:20">
      <c r="P13159" s="1094">
        <v>5373</v>
      </c>
      <c r="Q13159" t="s">
        <v>13306</v>
      </c>
      <c r="R13159" t="s">
        <v>615</v>
      </c>
      <c r="S13159">
        <v>138.93033500000001</v>
      </c>
      <c r="T13159" s="1095">
        <v>-34.303007000000001</v>
      </c>
    </row>
    <row r="13160" spans="16:20">
      <c r="P13160" s="1094">
        <v>5373</v>
      </c>
      <c r="Q13160" t="s">
        <v>13307</v>
      </c>
      <c r="R13160" t="s">
        <v>615</v>
      </c>
      <c r="S13160">
        <v>138.93033500000001</v>
      </c>
      <c r="T13160" s="1095">
        <v>-34.303007000000001</v>
      </c>
    </row>
    <row r="13161" spans="16:20">
      <c r="P13161" s="1094">
        <v>5373</v>
      </c>
      <c r="Q13161" t="s">
        <v>13308</v>
      </c>
      <c r="R13161" t="s">
        <v>615</v>
      </c>
      <c r="S13161">
        <v>138.93033500000001</v>
      </c>
      <c r="T13161" s="1095">
        <v>-34.303007000000001</v>
      </c>
    </row>
    <row r="13162" spans="16:20">
      <c r="P13162" s="1094">
        <v>5374</v>
      </c>
      <c r="Q13162" t="s">
        <v>13309</v>
      </c>
      <c r="R13162" t="s">
        <v>615</v>
      </c>
      <c r="S13162">
        <v>139.12487999999999</v>
      </c>
      <c r="T13162" s="1095">
        <v>-34.152476999999998</v>
      </c>
    </row>
    <row r="13163" spans="16:20">
      <c r="P13163" s="1094">
        <v>5374</v>
      </c>
      <c r="Q13163" t="s">
        <v>13310</v>
      </c>
      <c r="R13163" t="s">
        <v>615</v>
      </c>
      <c r="S13163">
        <v>139.12487999999999</v>
      </c>
      <c r="T13163" s="1095">
        <v>-34.152476999999998</v>
      </c>
    </row>
    <row r="13164" spans="16:20">
      <c r="P13164" s="1094">
        <v>5374</v>
      </c>
      <c r="Q13164" t="s">
        <v>12890</v>
      </c>
      <c r="R13164" t="s">
        <v>615</v>
      </c>
      <c r="S13164">
        <v>139.12487999999999</v>
      </c>
      <c r="T13164" s="1095">
        <v>-34.152476999999998</v>
      </c>
    </row>
    <row r="13165" spans="16:20">
      <c r="P13165" s="1094">
        <v>5374</v>
      </c>
      <c r="Q13165" t="s">
        <v>2647</v>
      </c>
      <c r="R13165" t="s">
        <v>615</v>
      </c>
      <c r="S13165">
        <v>139.12487999999999</v>
      </c>
      <c r="T13165" s="1095">
        <v>-34.152476999999998</v>
      </c>
    </row>
    <row r="13166" spans="16:20">
      <c r="P13166" s="1094">
        <v>5374</v>
      </c>
      <c r="Q13166" t="s">
        <v>13311</v>
      </c>
      <c r="R13166" t="s">
        <v>615</v>
      </c>
      <c r="S13166">
        <v>139.12487999999999</v>
      </c>
      <c r="T13166" s="1095">
        <v>-34.152476999999998</v>
      </c>
    </row>
    <row r="13167" spans="16:20">
      <c r="P13167" s="1094">
        <v>5374</v>
      </c>
      <c r="Q13167" t="s">
        <v>13312</v>
      </c>
      <c r="R13167" t="s">
        <v>615</v>
      </c>
      <c r="S13167">
        <v>139.12487999999999</v>
      </c>
      <c r="T13167" s="1095">
        <v>-34.152476999999998</v>
      </c>
    </row>
    <row r="13168" spans="16:20">
      <c r="P13168" s="1094">
        <v>5374</v>
      </c>
      <c r="Q13168" t="s">
        <v>11679</v>
      </c>
      <c r="R13168" t="s">
        <v>615</v>
      </c>
      <c r="S13168">
        <v>139.12487999999999</v>
      </c>
      <c r="T13168" s="1095">
        <v>-34.152476999999998</v>
      </c>
    </row>
    <row r="13169" spans="16:20">
      <c r="P13169" s="1094">
        <v>5374</v>
      </c>
      <c r="Q13169" t="s">
        <v>13313</v>
      </c>
      <c r="R13169" t="s">
        <v>615</v>
      </c>
      <c r="S13169">
        <v>139.12487999999999</v>
      </c>
      <c r="T13169" s="1095">
        <v>-34.152476999999998</v>
      </c>
    </row>
    <row r="13170" spans="16:20">
      <c r="P13170" s="1094">
        <v>5374</v>
      </c>
      <c r="Q13170" t="s">
        <v>13314</v>
      </c>
      <c r="R13170" t="s">
        <v>615</v>
      </c>
      <c r="S13170">
        <v>139.12487999999999</v>
      </c>
      <c r="T13170" s="1095">
        <v>-34.152476999999998</v>
      </c>
    </row>
    <row r="13171" spans="16:20">
      <c r="P13171" s="1094">
        <v>5374</v>
      </c>
      <c r="Q13171" t="s">
        <v>13315</v>
      </c>
      <c r="R13171" t="s">
        <v>615</v>
      </c>
      <c r="S13171">
        <v>139.12487999999999</v>
      </c>
      <c r="T13171" s="1095">
        <v>-34.152476999999998</v>
      </c>
    </row>
    <row r="13172" spans="16:20">
      <c r="P13172" s="1094">
        <v>5374</v>
      </c>
      <c r="Q13172" t="s">
        <v>13316</v>
      </c>
      <c r="R13172" t="s">
        <v>615</v>
      </c>
      <c r="S13172">
        <v>139.12487999999999</v>
      </c>
      <c r="T13172" s="1095">
        <v>-34.152476999999998</v>
      </c>
    </row>
    <row r="13173" spans="16:20">
      <c r="P13173" s="1094">
        <v>5374</v>
      </c>
      <c r="Q13173" t="s">
        <v>13317</v>
      </c>
      <c r="R13173" t="s">
        <v>615</v>
      </c>
      <c r="S13173">
        <v>139.12487999999999</v>
      </c>
      <c r="T13173" s="1095">
        <v>-34.152476999999998</v>
      </c>
    </row>
    <row r="13174" spans="16:20">
      <c r="P13174" s="1094">
        <v>5374</v>
      </c>
      <c r="Q13174" t="s">
        <v>13318</v>
      </c>
      <c r="R13174" t="s">
        <v>615</v>
      </c>
      <c r="S13174">
        <v>139.12487999999999</v>
      </c>
      <c r="T13174" s="1095">
        <v>-34.152476999999998</v>
      </c>
    </row>
    <row r="13175" spans="16:20">
      <c r="P13175" s="1094">
        <v>5374</v>
      </c>
      <c r="Q13175" t="s">
        <v>13319</v>
      </c>
      <c r="R13175" t="s">
        <v>615</v>
      </c>
      <c r="S13175">
        <v>139.12487999999999</v>
      </c>
      <c r="T13175" s="1095">
        <v>-34.152476999999998</v>
      </c>
    </row>
    <row r="13176" spans="16:20">
      <c r="P13176" s="1094">
        <v>5374</v>
      </c>
      <c r="Q13176" t="s">
        <v>13320</v>
      </c>
      <c r="R13176" t="s">
        <v>615</v>
      </c>
      <c r="S13176">
        <v>139.12487999999999</v>
      </c>
      <c r="T13176" s="1095">
        <v>-34.152476999999998</v>
      </c>
    </row>
    <row r="13177" spans="16:20">
      <c r="P13177" s="1094">
        <v>5381</v>
      </c>
      <c r="Q13177" t="s">
        <v>13321</v>
      </c>
      <c r="R13177" t="s">
        <v>615</v>
      </c>
      <c r="S13177">
        <v>139.140266</v>
      </c>
      <c r="T13177" s="1095">
        <v>-33.965473000000003</v>
      </c>
    </row>
    <row r="13178" spans="16:20">
      <c r="P13178" s="1094">
        <v>5381</v>
      </c>
      <c r="Q13178" t="s">
        <v>13322</v>
      </c>
      <c r="R13178" t="s">
        <v>615</v>
      </c>
      <c r="S13178">
        <v>139.140266</v>
      </c>
      <c r="T13178" s="1095">
        <v>-33.965473000000003</v>
      </c>
    </row>
    <row r="13179" spans="16:20">
      <c r="P13179" s="1094">
        <v>5381</v>
      </c>
      <c r="Q13179" t="s">
        <v>13323</v>
      </c>
      <c r="R13179" t="s">
        <v>615</v>
      </c>
      <c r="S13179">
        <v>139.140266</v>
      </c>
      <c r="T13179" s="1095">
        <v>-33.965473000000003</v>
      </c>
    </row>
    <row r="13180" spans="16:20">
      <c r="P13180" s="1094">
        <v>5381</v>
      </c>
      <c r="Q13180" t="s">
        <v>13324</v>
      </c>
      <c r="R13180" t="s">
        <v>615</v>
      </c>
      <c r="S13180">
        <v>139.140266</v>
      </c>
      <c r="T13180" s="1095">
        <v>-33.965473000000003</v>
      </c>
    </row>
    <row r="13181" spans="16:20">
      <c r="P13181" s="1094">
        <v>5381</v>
      </c>
      <c r="Q13181" t="s">
        <v>13325</v>
      </c>
      <c r="R13181" t="s">
        <v>615</v>
      </c>
      <c r="S13181">
        <v>139.140266</v>
      </c>
      <c r="T13181" s="1095">
        <v>-33.965473000000003</v>
      </c>
    </row>
    <row r="13182" spans="16:20">
      <c r="P13182" s="1094">
        <v>5381</v>
      </c>
      <c r="Q13182" t="s">
        <v>6203</v>
      </c>
      <c r="R13182" t="s">
        <v>615</v>
      </c>
      <c r="S13182">
        <v>139.140266</v>
      </c>
      <c r="T13182" s="1095">
        <v>-33.965473000000003</v>
      </c>
    </row>
    <row r="13183" spans="16:20">
      <c r="P13183" s="1094">
        <v>5381</v>
      </c>
      <c r="Q13183" t="s">
        <v>13326</v>
      </c>
      <c r="R13183" t="s">
        <v>615</v>
      </c>
      <c r="S13183">
        <v>139.140266</v>
      </c>
      <c r="T13183" s="1095">
        <v>-33.965473000000003</v>
      </c>
    </row>
    <row r="13184" spans="16:20">
      <c r="P13184" s="1094">
        <v>5400</v>
      </c>
      <c r="Q13184" t="s">
        <v>13327</v>
      </c>
      <c r="R13184" t="s">
        <v>615</v>
      </c>
      <c r="S13184">
        <v>138.68551199999999</v>
      </c>
      <c r="T13184" s="1095">
        <v>-34.461249000000002</v>
      </c>
    </row>
    <row r="13185" spans="16:20">
      <c r="P13185" s="1094">
        <v>5400</v>
      </c>
      <c r="Q13185" t="s">
        <v>13328</v>
      </c>
      <c r="R13185" t="s">
        <v>615</v>
      </c>
      <c r="S13185">
        <v>138.68551199999999</v>
      </c>
      <c r="T13185" s="1095">
        <v>-34.461249000000002</v>
      </c>
    </row>
    <row r="13186" spans="16:20">
      <c r="P13186" s="1094">
        <v>5401</v>
      </c>
      <c r="Q13186" t="s">
        <v>7701</v>
      </c>
      <c r="R13186" t="s">
        <v>615</v>
      </c>
      <c r="S13186">
        <v>138.65986599999999</v>
      </c>
      <c r="T13186" s="1095">
        <v>-34.297739999999997</v>
      </c>
    </row>
    <row r="13187" spans="16:20">
      <c r="P13187" s="1094">
        <v>5401</v>
      </c>
      <c r="Q13187" t="s">
        <v>13329</v>
      </c>
      <c r="R13187" t="s">
        <v>615</v>
      </c>
      <c r="S13187">
        <v>138.65986599999999</v>
      </c>
      <c r="T13187" s="1095">
        <v>-34.297739999999997</v>
      </c>
    </row>
    <row r="13188" spans="16:20">
      <c r="P13188" s="1094">
        <v>5401</v>
      </c>
      <c r="Q13188" t="s">
        <v>13330</v>
      </c>
      <c r="R13188" t="s">
        <v>615</v>
      </c>
      <c r="S13188">
        <v>138.65986599999999</v>
      </c>
      <c r="T13188" s="1095">
        <v>-34.297739999999997</v>
      </c>
    </row>
    <row r="13189" spans="16:20">
      <c r="P13189" s="1094">
        <v>5410</v>
      </c>
      <c r="Q13189" t="s">
        <v>13331</v>
      </c>
      <c r="R13189" t="s">
        <v>615</v>
      </c>
      <c r="S13189">
        <v>138.768325</v>
      </c>
      <c r="T13189" s="1095">
        <v>-34.366816</v>
      </c>
    </row>
    <row r="13190" spans="16:20">
      <c r="P13190" s="1094">
        <v>5410</v>
      </c>
      <c r="Q13190" t="s">
        <v>13332</v>
      </c>
      <c r="R13190" t="s">
        <v>615</v>
      </c>
      <c r="S13190">
        <v>138.768325</v>
      </c>
      <c r="T13190" s="1095">
        <v>-34.366816</v>
      </c>
    </row>
    <row r="13191" spans="16:20">
      <c r="P13191" s="1094">
        <v>5411</v>
      </c>
      <c r="Q13191" t="s">
        <v>13333</v>
      </c>
      <c r="R13191" t="s">
        <v>615</v>
      </c>
      <c r="S13191">
        <v>138.772345</v>
      </c>
      <c r="T13191" s="1095">
        <v>-34.256363</v>
      </c>
    </row>
    <row r="13192" spans="16:20">
      <c r="P13192" s="1094">
        <v>5411</v>
      </c>
      <c r="Q13192" t="s">
        <v>13334</v>
      </c>
      <c r="R13192" t="s">
        <v>615</v>
      </c>
      <c r="S13192">
        <v>138.772345</v>
      </c>
      <c r="T13192" s="1095">
        <v>-34.256363</v>
      </c>
    </row>
    <row r="13193" spans="16:20">
      <c r="P13193" s="1094">
        <v>5412</v>
      </c>
      <c r="Q13193" t="s">
        <v>13335</v>
      </c>
      <c r="R13193" t="s">
        <v>615</v>
      </c>
      <c r="S13193">
        <v>138.77526599999999</v>
      </c>
      <c r="T13193" s="1095">
        <v>-34.18289</v>
      </c>
    </row>
    <row r="13194" spans="16:20">
      <c r="P13194" s="1094">
        <v>5412</v>
      </c>
      <c r="Q13194" t="s">
        <v>13336</v>
      </c>
      <c r="R13194" t="s">
        <v>615</v>
      </c>
      <c r="S13194">
        <v>138.77526599999999</v>
      </c>
      <c r="T13194" s="1095">
        <v>-34.18289</v>
      </c>
    </row>
    <row r="13195" spans="16:20">
      <c r="P13195" s="1094">
        <v>5412</v>
      </c>
      <c r="Q13195" t="s">
        <v>10365</v>
      </c>
      <c r="R13195" t="s">
        <v>615</v>
      </c>
      <c r="S13195">
        <v>138.77526599999999</v>
      </c>
      <c r="T13195" s="1095">
        <v>-34.18289</v>
      </c>
    </row>
    <row r="13196" spans="16:20">
      <c r="P13196" s="1094">
        <v>5412</v>
      </c>
      <c r="Q13196" t="s">
        <v>7892</v>
      </c>
      <c r="R13196" t="s">
        <v>615</v>
      </c>
      <c r="S13196">
        <v>138.77526599999999</v>
      </c>
      <c r="T13196" s="1095">
        <v>-34.18289</v>
      </c>
    </row>
    <row r="13197" spans="16:20">
      <c r="P13197" s="1094">
        <v>5413</v>
      </c>
      <c r="Q13197" t="s">
        <v>13337</v>
      </c>
      <c r="R13197" t="s">
        <v>615</v>
      </c>
      <c r="S13197">
        <v>138.88345899999999</v>
      </c>
      <c r="T13197" s="1095">
        <v>-34.080278</v>
      </c>
    </row>
    <row r="13198" spans="16:20">
      <c r="P13198" s="1094">
        <v>5413</v>
      </c>
      <c r="Q13198" t="s">
        <v>5700</v>
      </c>
      <c r="R13198" t="s">
        <v>615</v>
      </c>
      <c r="S13198">
        <v>138.88345899999999</v>
      </c>
      <c r="T13198" s="1095">
        <v>-34.080278</v>
      </c>
    </row>
    <row r="13199" spans="16:20">
      <c r="P13199" s="1094">
        <v>5413</v>
      </c>
      <c r="Q13199" t="s">
        <v>13338</v>
      </c>
      <c r="R13199" t="s">
        <v>615</v>
      </c>
      <c r="S13199">
        <v>138.88345899999999</v>
      </c>
      <c r="T13199" s="1095">
        <v>-34.080278</v>
      </c>
    </row>
    <row r="13200" spans="16:20">
      <c r="P13200" s="1094">
        <v>5413</v>
      </c>
      <c r="Q13200" t="s">
        <v>13339</v>
      </c>
      <c r="R13200" t="s">
        <v>615</v>
      </c>
      <c r="S13200">
        <v>138.88345899999999</v>
      </c>
      <c r="T13200" s="1095">
        <v>-34.080278</v>
      </c>
    </row>
    <row r="13201" spans="16:20">
      <c r="P13201" s="1094">
        <v>5413</v>
      </c>
      <c r="Q13201" t="s">
        <v>13340</v>
      </c>
      <c r="R13201" t="s">
        <v>615</v>
      </c>
      <c r="S13201">
        <v>138.88345899999999</v>
      </c>
      <c r="T13201" s="1095">
        <v>-34.080278</v>
      </c>
    </row>
    <row r="13202" spans="16:20">
      <c r="P13202" s="1094">
        <v>5413</v>
      </c>
      <c r="Q13202" t="s">
        <v>13341</v>
      </c>
      <c r="R13202" t="s">
        <v>615</v>
      </c>
      <c r="S13202">
        <v>138.88345899999999</v>
      </c>
      <c r="T13202" s="1095">
        <v>-34.080278</v>
      </c>
    </row>
    <row r="13203" spans="16:20">
      <c r="P13203" s="1094">
        <v>5413</v>
      </c>
      <c r="Q13203" t="s">
        <v>13342</v>
      </c>
      <c r="R13203" t="s">
        <v>615</v>
      </c>
      <c r="S13203">
        <v>138.88345899999999</v>
      </c>
      <c r="T13203" s="1095">
        <v>-34.080278</v>
      </c>
    </row>
    <row r="13204" spans="16:20">
      <c r="P13204" s="1094">
        <v>5413</v>
      </c>
      <c r="Q13204" t="s">
        <v>13343</v>
      </c>
      <c r="R13204" t="s">
        <v>615</v>
      </c>
      <c r="S13204">
        <v>138.88345899999999</v>
      </c>
      <c r="T13204" s="1095">
        <v>-34.080278</v>
      </c>
    </row>
    <row r="13205" spans="16:20">
      <c r="P13205" s="1094">
        <v>5413</v>
      </c>
      <c r="Q13205" t="s">
        <v>1661</v>
      </c>
      <c r="R13205" t="s">
        <v>615</v>
      </c>
      <c r="S13205">
        <v>138.88345899999999</v>
      </c>
      <c r="T13205" s="1095">
        <v>-34.080278</v>
      </c>
    </row>
    <row r="13206" spans="16:20">
      <c r="P13206" s="1094">
        <v>5414</v>
      </c>
      <c r="Q13206" t="s">
        <v>12177</v>
      </c>
      <c r="R13206" t="s">
        <v>615</v>
      </c>
      <c r="S13206">
        <v>138.773663</v>
      </c>
      <c r="T13206" s="1095">
        <v>-33.949430999999997</v>
      </c>
    </row>
    <row r="13207" spans="16:20">
      <c r="P13207" s="1094">
        <v>5415</v>
      </c>
      <c r="Q13207" t="s">
        <v>13344</v>
      </c>
      <c r="R13207" t="s">
        <v>615</v>
      </c>
      <c r="S13207">
        <v>138.72287600000001</v>
      </c>
      <c r="T13207" s="1095">
        <v>-33.942677000000003</v>
      </c>
    </row>
    <row r="13208" spans="16:20">
      <c r="P13208" s="1094">
        <v>5415</v>
      </c>
      <c r="Q13208" t="s">
        <v>8639</v>
      </c>
      <c r="R13208" t="s">
        <v>615</v>
      </c>
      <c r="S13208">
        <v>138.72287600000001</v>
      </c>
      <c r="T13208" s="1095">
        <v>-33.942677000000003</v>
      </c>
    </row>
    <row r="13209" spans="16:20">
      <c r="P13209" s="1094">
        <v>5416</v>
      </c>
      <c r="Q13209" t="s">
        <v>13345</v>
      </c>
      <c r="R13209" t="s">
        <v>615</v>
      </c>
      <c r="S13209">
        <v>138.79612499999999</v>
      </c>
      <c r="T13209" s="1095">
        <v>-33.804668999999997</v>
      </c>
    </row>
    <row r="13210" spans="16:20">
      <c r="P13210" s="1094">
        <v>5417</v>
      </c>
      <c r="Q13210" t="s">
        <v>13346</v>
      </c>
      <c r="R13210" t="s">
        <v>615</v>
      </c>
      <c r="S13210">
        <v>139.73254499999999</v>
      </c>
      <c r="T13210" s="1095">
        <v>-33.455088000000003</v>
      </c>
    </row>
    <row r="13211" spans="16:20">
      <c r="P13211" s="1094">
        <v>5417</v>
      </c>
      <c r="Q13211" t="s">
        <v>13347</v>
      </c>
      <c r="R13211" t="s">
        <v>615</v>
      </c>
      <c r="S13211">
        <v>139.73254499999999</v>
      </c>
      <c r="T13211" s="1095">
        <v>-33.455088000000003</v>
      </c>
    </row>
    <row r="13212" spans="16:20">
      <c r="P13212" s="1094">
        <v>5417</v>
      </c>
      <c r="Q13212" t="s">
        <v>4884</v>
      </c>
      <c r="R13212" t="s">
        <v>615</v>
      </c>
      <c r="S13212">
        <v>139.73254499999999</v>
      </c>
      <c r="T13212" s="1095">
        <v>-33.455088000000003</v>
      </c>
    </row>
    <row r="13213" spans="16:20">
      <c r="P13213" s="1094">
        <v>5417</v>
      </c>
      <c r="Q13213" t="s">
        <v>13348</v>
      </c>
      <c r="R13213" t="s">
        <v>615</v>
      </c>
      <c r="S13213">
        <v>139.73254499999999</v>
      </c>
      <c r="T13213" s="1095">
        <v>-33.455088000000003</v>
      </c>
    </row>
    <row r="13214" spans="16:20">
      <c r="P13214" s="1094">
        <v>5417</v>
      </c>
      <c r="Q13214" t="s">
        <v>13349</v>
      </c>
      <c r="R13214" t="s">
        <v>615</v>
      </c>
      <c r="S13214">
        <v>139.73254499999999</v>
      </c>
      <c r="T13214" s="1095">
        <v>-33.455088000000003</v>
      </c>
    </row>
    <row r="13215" spans="16:20">
      <c r="P13215" s="1094">
        <v>5417</v>
      </c>
      <c r="Q13215" t="s">
        <v>13350</v>
      </c>
      <c r="R13215" t="s">
        <v>615</v>
      </c>
      <c r="S13215">
        <v>139.73254499999999</v>
      </c>
      <c r="T13215" s="1095">
        <v>-33.455088000000003</v>
      </c>
    </row>
    <row r="13216" spans="16:20">
      <c r="P13216" s="1094">
        <v>5417</v>
      </c>
      <c r="Q13216" t="s">
        <v>13351</v>
      </c>
      <c r="R13216" t="s">
        <v>615</v>
      </c>
      <c r="S13216">
        <v>139.73254499999999</v>
      </c>
      <c r="T13216" s="1095">
        <v>-33.455088000000003</v>
      </c>
    </row>
    <row r="13217" spans="16:20">
      <c r="P13217" s="1094">
        <v>5417</v>
      </c>
      <c r="Q13217" t="s">
        <v>13352</v>
      </c>
      <c r="R13217" t="s">
        <v>615</v>
      </c>
      <c r="S13217">
        <v>139.73254499999999</v>
      </c>
      <c r="T13217" s="1095">
        <v>-33.455088000000003</v>
      </c>
    </row>
    <row r="13218" spans="16:20">
      <c r="P13218" s="1094">
        <v>5418</v>
      </c>
      <c r="Q13218" t="s">
        <v>11785</v>
      </c>
      <c r="R13218" t="s">
        <v>615</v>
      </c>
      <c r="S13218">
        <v>139.14382800000001</v>
      </c>
      <c r="T13218" s="1095">
        <v>-33.357329</v>
      </c>
    </row>
    <row r="13219" spans="16:20">
      <c r="P13219" s="1094">
        <v>5418</v>
      </c>
      <c r="Q13219" t="s">
        <v>13353</v>
      </c>
      <c r="R13219" t="s">
        <v>615</v>
      </c>
      <c r="S13219">
        <v>139.14382800000001</v>
      </c>
      <c r="T13219" s="1095">
        <v>-33.357329</v>
      </c>
    </row>
    <row r="13220" spans="16:20">
      <c r="P13220" s="1094">
        <v>5419</v>
      </c>
      <c r="Q13220" t="s">
        <v>13354</v>
      </c>
      <c r="R13220" t="s">
        <v>615</v>
      </c>
      <c r="S13220">
        <v>138.893337</v>
      </c>
      <c r="T13220" s="1095">
        <v>-33.397741000000003</v>
      </c>
    </row>
    <row r="13221" spans="16:20">
      <c r="P13221" s="1094">
        <v>5419</v>
      </c>
      <c r="Q13221" t="s">
        <v>13355</v>
      </c>
      <c r="R13221" t="s">
        <v>615</v>
      </c>
      <c r="S13221">
        <v>138.893337</v>
      </c>
      <c r="T13221" s="1095">
        <v>-33.397741000000003</v>
      </c>
    </row>
    <row r="13222" spans="16:20">
      <c r="P13222" s="1094">
        <v>5419</v>
      </c>
      <c r="Q13222" t="s">
        <v>13356</v>
      </c>
      <c r="R13222" t="s">
        <v>615</v>
      </c>
      <c r="S13222">
        <v>138.893337</v>
      </c>
      <c r="T13222" s="1095">
        <v>-33.397741000000003</v>
      </c>
    </row>
    <row r="13223" spans="16:20">
      <c r="P13223" s="1094">
        <v>5419</v>
      </c>
      <c r="Q13223" t="s">
        <v>1544</v>
      </c>
      <c r="R13223" t="s">
        <v>615</v>
      </c>
      <c r="S13223">
        <v>138.893337</v>
      </c>
      <c r="T13223" s="1095">
        <v>-33.397741000000003</v>
      </c>
    </row>
    <row r="13224" spans="16:20">
      <c r="P13224" s="1094">
        <v>5419</v>
      </c>
      <c r="Q13224" t="s">
        <v>13357</v>
      </c>
      <c r="R13224" t="s">
        <v>615</v>
      </c>
      <c r="S13224">
        <v>138.893337</v>
      </c>
      <c r="T13224" s="1095">
        <v>-33.397741000000003</v>
      </c>
    </row>
    <row r="13225" spans="16:20">
      <c r="P13225" s="1094">
        <v>5419</v>
      </c>
      <c r="Q13225" t="s">
        <v>13358</v>
      </c>
      <c r="R13225" t="s">
        <v>615</v>
      </c>
      <c r="S13225">
        <v>138.893337</v>
      </c>
      <c r="T13225" s="1095">
        <v>-33.397741000000003</v>
      </c>
    </row>
    <row r="13226" spans="16:20">
      <c r="P13226" s="1094">
        <v>5419</v>
      </c>
      <c r="Q13226" t="s">
        <v>13359</v>
      </c>
      <c r="R13226" t="s">
        <v>615</v>
      </c>
      <c r="S13226">
        <v>138.893337</v>
      </c>
      <c r="T13226" s="1095">
        <v>-33.397741000000003</v>
      </c>
    </row>
    <row r="13227" spans="16:20">
      <c r="P13227" s="1094">
        <v>5420</v>
      </c>
      <c r="Q13227" t="s">
        <v>13360</v>
      </c>
      <c r="R13227" t="s">
        <v>615</v>
      </c>
      <c r="S13227">
        <v>138.961232</v>
      </c>
      <c r="T13227" s="1095">
        <v>-33.252592</v>
      </c>
    </row>
    <row r="13228" spans="16:20">
      <c r="P13228" s="1094">
        <v>5420</v>
      </c>
      <c r="Q13228" t="s">
        <v>13361</v>
      </c>
      <c r="R13228" t="s">
        <v>615</v>
      </c>
      <c r="S13228">
        <v>138.961232</v>
      </c>
      <c r="T13228" s="1095">
        <v>-33.252592</v>
      </c>
    </row>
    <row r="13229" spans="16:20">
      <c r="P13229" s="1094">
        <v>5421</v>
      </c>
      <c r="Q13229" t="s">
        <v>13362</v>
      </c>
      <c r="R13229" t="s">
        <v>615</v>
      </c>
      <c r="S13229">
        <v>138.98583199999999</v>
      </c>
      <c r="T13229" s="1095">
        <v>-33.13467</v>
      </c>
    </row>
    <row r="13230" spans="16:20">
      <c r="P13230" s="1094">
        <v>5421</v>
      </c>
      <c r="Q13230" t="s">
        <v>13363</v>
      </c>
      <c r="R13230" t="s">
        <v>615</v>
      </c>
      <c r="S13230">
        <v>138.98583199999999</v>
      </c>
      <c r="T13230" s="1095">
        <v>-33.13467</v>
      </c>
    </row>
    <row r="13231" spans="16:20">
      <c r="P13231" s="1094">
        <v>5422</v>
      </c>
      <c r="Q13231" t="s">
        <v>13364</v>
      </c>
      <c r="R13231" t="s">
        <v>615</v>
      </c>
      <c r="S13231">
        <v>138.771209</v>
      </c>
      <c r="T13231" s="1095">
        <v>-32.973379999999999</v>
      </c>
    </row>
    <row r="13232" spans="16:20">
      <c r="P13232" s="1094">
        <v>5422</v>
      </c>
      <c r="Q13232" t="s">
        <v>8901</v>
      </c>
      <c r="R13232" t="s">
        <v>615</v>
      </c>
      <c r="S13232">
        <v>138.771209</v>
      </c>
      <c r="T13232" s="1095">
        <v>-32.973379999999999</v>
      </c>
    </row>
    <row r="13233" spans="16:20">
      <c r="P13233" s="1094">
        <v>5422</v>
      </c>
      <c r="Q13233" t="s">
        <v>13365</v>
      </c>
      <c r="R13233" t="s">
        <v>615</v>
      </c>
      <c r="S13233">
        <v>138.771209</v>
      </c>
      <c r="T13233" s="1095">
        <v>-32.973379999999999</v>
      </c>
    </row>
    <row r="13234" spans="16:20">
      <c r="P13234" s="1094">
        <v>5422</v>
      </c>
      <c r="Q13234" t="s">
        <v>13366</v>
      </c>
      <c r="R13234" t="s">
        <v>615</v>
      </c>
      <c r="S13234">
        <v>138.771209</v>
      </c>
      <c r="T13234" s="1095">
        <v>-32.973379999999999</v>
      </c>
    </row>
    <row r="13235" spans="16:20">
      <c r="P13235" s="1094">
        <v>5422</v>
      </c>
      <c r="Q13235" t="s">
        <v>13367</v>
      </c>
      <c r="R13235" t="s">
        <v>615</v>
      </c>
      <c r="S13235">
        <v>138.771209</v>
      </c>
      <c r="T13235" s="1095">
        <v>-32.973379999999999</v>
      </c>
    </row>
    <row r="13236" spans="16:20">
      <c r="P13236" s="1094">
        <v>5422</v>
      </c>
      <c r="Q13236" t="s">
        <v>13368</v>
      </c>
      <c r="R13236" t="s">
        <v>615</v>
      </c>
      <c r="S13236">
        <v>138.771209</v>
      </c>
      <c r="T13236" s="1095">
        <v>-32.973379999999999</v>
      </c>
    </row>
    <row r="13237" spans="16:20">
      <c r="P13237" s="1094">
        <v>5422</v>
      </c>
      <c r="Q13237" t="s">
        <v>13369</v>
      </c>
      <c r="R13237" t="s">
        <v>615</v>
      </c>
      <c r="S13237">
        <v>138.771209</v>
      </c>
      <c r="T13237" s="1095">
        <v>-32.973379999999999</v>
      </c>
    </row>
    <row r="13238" spans="16:20">
      <c r="P13238" s="1094">
        <v>5422</v>
      </c>
      <c r="Q13238" t="s">
        <v>13370</v>
      </c>
      <c r="R13238" t="s">
        <v>615</v>
      </c>
      <c r="S13238">
        <v>138.771209</v>
      </c>
      <c r="T13238" s="1095">
        <v>-32.973379999999999</v>
      </c>
    </row>
    <row r="13239" spans="16:20">
      <c r="P13239" s="1094">
        <v>5422</v>
      </c>
      <c r="Q13239" t="s">
        <v>13371</v>
      </c>
      <c r="R13239" t="s">
        <v>615</v>
      </c>
      <c r="S13239">
        <v>138.771209</v>
      </c>
      <c r="T13239" s="1095">
        <v>-32.973379999999999</v>
      </c>
    </row>
    <row r="13240" spans="16:20">
      <c r="P13240" s="1094">
        <v>5422</v>
      </c>
      <c r="Q13240" t="s">
        <v>7008</v>
      </c>
      <c r="R13240" t="s">
        <v>615</v>
      </c>
      <c r="S13240">
        <v>138.771209</v>
      </c>
      <c r="T13240" s="1095">
        <v>-32.973379999999999</v>
      </c>
    </row>
    <row r="13241" spans="16:20">
      <c r="P13241" s="1094">
        <v>5422</v>
      </c>
      <c r="Q13241" t="s">
        <v>13372</v>
      </c>
      <c r="R13241" t="s">
        <v>615</v>
      </c>
      <c r="S13241">
        <v>138.771209</v>
      </c>
      <c r="T13241" s="1095">
        <v>-32.973379999999999</v>
      </c>
    </row>
    <row r="13242" spans="16:20">
      <c r="P13242" s="1094">
        <v>5422</v>
      </c>
      <c r="Q13242" t="s">
        <v>13373</v>
      </c>
      <c r="R13242" t="s">
        <v>615</v>
      </c>
      <c r="S13242">
        <v>138.771209</v>
      </c>
      <c r="T13242" s="1095">
        <v>-32.973379999999999</v>
      </c>
    </row>
    <row r="13243" spans="16:20">
      <c r="P13243" s="1094">
        <v>5422</v>
      </c>
      <c r="Q13243" t="s">
        <v>13374</v>
      </c>
      <c r="R13243" t="s">
        <v>615</v>
      </c>
      <c r="S13243">
        <v>138.771209</v>
      </c>
      <c r="T13243" s="1095">
        <v>-32.973379999999999</v>
      </c>
    </row>
    <row r="13244" spans="16:20">
      <c r="P13244" s="1094">
        <v>5431</v>
      </c>
      <c r="Q13244" t="s">
        <v>13375</v>
      </c>
      <c r="R13244" t="s">
        <v>615</v>
      </c>
      <c r="S13244">
        <v>138.88397800000001</v>
      </c>
      <c r="T13244" s="1095">
        <v>-32.212021</v>
      </c>
    </row>
    <row r="13245" spans="16:20">
      <c r="P13245" s="1094">
        <v>5431</v>
      </c>
      <c r="Q13245" t="s">
        <v>6752</v>
      </c>
      <c r="R13245" t="s">
        <v>615</v>
      </c>
      <c r="S13245">
        <v>138.88397800000001</v>
      </c>
      <c r="T13245" s="1095">
        <v>-32.212021</v>
      </c>
    </row>
    <row r="13246" spans="16:20">
      <c r="P13246" s="1094">
        <v>5431</v>
      </c>
      <c r="Q13246" t="s">
        <v>13376</v>
      </c>
      <c r="R13246" t="s">
        <v>615</v>
      </c>
      <c r="S13246">
        <v>138.88397800000001</v>
      </c>
      <c r="T13246" s="1095">
        <v>-32.212021</v>
      </c>
    </row>
    <row r="13247" spans="16:20">
      <c r="P13247" s="1094">
        <v>5431</v>
      </c>
      <c r="Q13247" t="s">
        <v>13377</v>
      </c>
      <c r="R13247" t="s">
        <v>615</v>
      </c>
      <c r="S13247">
        <v>138.88397800000001</v>
      </c>
      <c r="T13247" s="1095">
        <v>-32.212021</v>
      </c>
    </row>
    <row r="13248" spans="16:20">
      <c r="P13248" s="1094">
        <v>5431</v>
      </c>
      <c r="Q13248" t="s">
        <v>13378</v>
      </c>
      <c r="R13248" t="s">
        <v>615</v>
      </c>
      <c r="S13248">
        <v>138.88397800000001</v>
      </c>
      <c r="T13248" s="1095">
        <v>-32.212021</v>
      </c>
    </row>
    <row r="13249" spans="16:20">
      <c r="P13249" s="1094">
        <v>5431</v>
      </c>
      <c r="Q13249" t="s">
        <v>13379</v>
      </c>
      <c r="R13249" t="s">
        <v>615</v>
      </c>
      <c r="S13249">
        <v>138.88397800000001</v>
      </c>
      <c r="T13249" s="1095">
        <v>-32.212021</v>
      </c>
    </row>
    <row r="13250" spans="16:20">
      <c r="P13250" s="1094">
        <v>5431</v>
      </c>
      <c r="Q13250" t="s">
        <v>13380</v>
      </c>
      <c r="R13250" t="s">
        <v>615</v>
      </c>
      <c r="S13250">
        <v>138.88397800000001</v>
      </c>
      <c r="T13250" s="1095">
        <v>-32.212021</v>
      </c>
    </row>
    <row r="13251" spans="16:20">
      <c r="P13251" s="1094">
        <v>5431</v>
      </c>
      <c r="Q13251" t="s">
        <v>13381</v>
      </c>
      <c r="R13251" t="s">
        <v>615</v>
      </c>
      <c r="S13251">
        <v>138.88397800000001</v>
      </c>
      <c r="T13251" s="1095">
        <v>-32.212021</v>
      </c>
    </row>
    <row r="13252" spans="16:20">
      <c r="P13252" s="1094">
        <v>5431</v>
      </c>
      <c r="Q13252" t="s">
        <v>13382</v>
      </c>
      <c r="R13252" t="s">
        <v>615</v>
      </c>
      <c r="S13252">
        <v>138.88397800000001</v>
      </c>
      <c r="T13252" s="1095">
        <v>-32.212021</v>
      </c>
    </row>
    <row r="13253" spans="16:20">
      <c r="P13253" s="1094">
        <v>5431</v>
      </c>
      <c r="Q13253" t="s">
        <v>13383</v>
      </c>
      <c r="R13253" t="s">
        <v>615</v>
      </c>
      <c r="S13253">
        <v>138.88397800000001</v>
      </c>
      <c r="T13253" s="1095">
        <v>-32.212021</v>
      </c>
    </row>
    <row r="13254" spans="16:20">
      <c r="P13254" s="1094">
        <v>5431</v>
      </c>
      <c r="Q13254" t="s">
        <v>13384</v>
      </c>
      <c r="R13254" t="s">
        <v>615</v>
      </c>
      <c r="S13254">
        <v>138.88397800000001</v>
      </c>
      <c r="T13254" s="1095">
        <v>-32.212021</v>
      </c>
    </row>
    <row r="13255" spans="16:20">
      <c r="P13255" s="1094">
        <v>5431</v>
      </c>
      <c r="Q13255" t="s">
        <v>13385</v>
      </c>
      <c r="R13255" t="s">
        <v>615</v>
      </c>
      <c r="S13255">
        <v>138.88397800000001</v>
      </c>
      <c r="T13255" s="1095">
        <v>-32.212021</v>
      </c>
    </row>
    <row r="13256" spans="16:20">
      <c r="P13256" s="1094">
        <v>5431</v>
      </c>
      <c r="Q13256" t="s">
        <v>13386</v>
      </c>
      <c r="R13256" t="s">
        <v>615</v>
      </c>
      <c r="S13256">
        <v>138.88397800000001</v>
      </c>
      <c r="T13256" s="1095">
        <v>-32.212021</v>
      </c>
    </row>
    <row r="13257" spans="16:20">
      <c r="P13257" s="1094">
        <v>5431</v>
      </c>
      <c r="Q13257" t="s">
        <v>13387</v>
      </c>
      <c r="R13257" t="s">
        <v>615</v>
      </c>
      <c r="S13257">
        <v>138.88397800000001</v>
      </c>
      <c r="T13257" s="1095">
        <v>-32.212021</v>
      </c>
    </row>
    <row r="13258" spans="16:20">
      <c r="P13258" s="1094">
        <v>5432</v>
      </c>
      <c r="Q13258" t="s">
        <v>13388</v>
      </c>
      <c r="R13258" t="s">
        <v>615</v>
      </c>
      <c r="S13258">
        <v>138.46868599999999</v>
      </c>
      <c r="T13258" s="1095">
        <v>-32.242313000000003</v>
      </c>
    </row>
    <row r="13259" spans="16:20">
      <c r="P13259" s="1094">
        <v>5432</v>
      </c>
      <c r="Q13259" t="s">
        <v>13389</v>
      </c>
      <c r="R13259" t="s">
        <v>615</v>
      </c>
      <c r="S13259">
        <v>138.46868599999999</v>
      </c>
      <c r="T13259" s="1095">
        <v>-32.242313000000003</v>
      </c>
    </row>
    <row r="13260" spans="16:20">
      <c r="P13260" s="1094">
        <v>5432</v>
      </c>
      <c r="Q13260" t="s">
        <v>13390</v>
      </c>
      <c r="R13260" t="s">
        <v>615</v>
      </c>
      <c r="S13260">
        <v>138.46868599999999</v>
      </c>
      <c r="T13260" s="1095">
        <v>-32.242313000000003</v>
      </c>
    </row>
    <row r="13261" spans="16:20">
      <c r="P13261" s="1094">
        <v>5432</v>
      </c>
      <c r="Q13261" t="s">
        <v>13391</v>
      </c>
      <c r="R13261" t="s">
        <v>615</v>
      </c>
      <c r="S13261">
        <v>138.46868599999999</v>
      </c>
      <c r="T13261" s="1095">
        <v>-32.242313000000003</v>
      </c>
    </row>
    <row r="13262" spans="16:20">
      <c r="P13262" s="1094">
        <v>5432</v>
      </c>
      <c r="Q13262" t="s">
        <v>13392</v>
      </c>
      <c r="R13262" t="s">
        <v>615</v>
      </c>
      <c r="S13262">
        <v>138.46868599999999</v>
      </c>
      <c r="T13262" s="1095">
        <v>-32.242313000000003</v>
      </c>
    </row>
    <row r="13263" spans="16:20">
      <c r="P13263" s="1094">
        <v>5433</v>
      </c>
      <c r="Q13263" t="s">
        <v>4874</v>
      </c>
      <c r="R13263" t="s">
        <v>615</v>
      </c>
      <c r="S13263">
        <v>138.10560000000001</v>
      </c>
      <c r="T13263" s="1095">
        <v>-32.180855999999999</v>
      </c>
    </row>
    <row r="13264" spans="16:20">
      <c r="P13264" s="1094">
        <v>5433</v>
      </c>
      <c r="Q13264" t="s">
        <v>13393</v>
      </c>
      <c r="R13264" t="s">
        <v>615</v>
      </c>
      <c r="S13264">
        <v>138.10560000000001</v>
      </c>
      <c r="T13264" s="1095">
        <v>-32.180855999999999</v>
      </c>
    </row>
    <row r="13265" spans="16:20">
      <c r="P13265" s="1094">
        <v>5433</v>
      </c>
      <c r="Q13265" t="s">
        <v>13394</v>
      </c>
      <c r="R13265" t="s">
        <v>615</v>
      </c>
      <c r="S13265">
        <v>138.10560000000001</v>
      </c>
      <c r="T13265" s="1095">
        <v>-32.180855999999999</v>
      </c>
    </row>
    <row r="13266" spans="16:20">
      <c r="P13266" s="1094">
        <v>5433</v>
      </c>
      <c r="Q13266" t="s">
        <v>13395</v>
      </c>
      <c r="R13266" t="s">
        <v>615</v>
      </c>
      <c r="S13266">
        <v>138.10560000000001</v>
      </c>
      <c r="T13266" s="1095">
        <v>-32.180855999999999</v>
      </c>
    </row>
    <row r="13267" spans="16:20">
      <c r="P13267" s="1094">
        <v>5433</v>
      </c>
      <c r="Q13267" t="s">
        <v>13396</v>
      </c>
      <c r="R13267" t="s">
        <v>615</v>
      </c>
      <c r="S13267">
        <v>138.10560000000001</v>
      </c>
      <c r="T13267" s="1095">
        <v>-32.180855999999999</v>
      </c>
    </row>
    <row r="13268" spans="16:20">
      <c r="P13268" s="1094">
        <v>5434</v>
      </c>
      <c r="Q13268" t="s">
        <v>13397</v>
      </c>
      <c r="R13268" t="s">
        <v>615</v>
      </c>
      <c r="S13268">
        <v>138.70506</v>
      </c>
      <c r="T13268" s="1095">
        <v>-31.568218000000002</v>
      </c>
    </row>
    <row r="13269" spans="16:20">
      <c r="P13269" s="1094">
        <v>5434</v>
      </c>
      <c r="Q13269" t="s">
        <v>4853</v>
      </c>
      <c r="R13269" t="s">
        <v>615</v>
      </c>
      <c r="S13269">
        <v>138.70506</v>
      </c>
      <c r="T13269" s="1095">
        <v>-31.568218000000002</v>
      </c>
    </row>
    <row r="13270" spans="16:20">
      <c r="P13270" s="1094">
        <v>5434</v>
      </c>
      <c r="Q13270" t="s">
        <v>13398</v>
      </c>
      <c r="R13270" t="s">
        <v>615</v>
      </c>
      <c r="S13270">
        <v>138.70506</v>
      </c>
      <c r="T13270" s="1095">
        <v>-31.568218000000002</v>
      </c>
    </row>
    <row r="13271" spans="16:20">
      <c r="P13271" s="1094">
        <v>5440</v>
      </c>
      <c r="Q13271" t="s">
        <v>13399</v>
      </c>
      <c r="R13271" t="s">
        <v>615</v>
      </c>
      <c r="S13271">
        <v>140.02734599999999</v>
      </c>
      <c r="T13271" s="1095">
        <v>-32.339759000000001</v>
      </c>
    </row>
    <row r="13272" spans="16:20">
      <c r="P13272" s="1094">
        <v>5440</v>
      </c>
      <c r="Q13272" t="s">
        <v>13400</v>
      </c>
      <c r="R13272" t="s">
        <v>615</v>
      </c>
      <c r="S13272">
        <v>140.02734599999999</v>
      </c>
      <c r="T13272" s="1095">
        <v>-32.339759000000001</v>
      </c>
    </row>
    <row r="13273" spans="16:20">
      <c r="P13273" s="1094">
        <v>5440</v>
      </c>
      <c r="Q13273" t="s">
        <v>13401</v>
      </c>
      <c r="R13273" t="s">
        <v>615</v>
      </c>
      <c r="S13273">
        <v>140.02734599999999</v>
      </c>
      <c r="T13273" s="1095">
        <v>-32.339759000000001</v>
      </c>
    </row>
    <row r="13274" spans="16:20">
      <c r="P13274" s="1094">
        <v>5440</v>
      </c>
      <c r="Q13274" t="s">
        <v>13402</v>
      </c>
      <c r="R13274" t="s">
        <v>615</v>
      </c>
      <c r="S13274">
        <v>140.02734599999999</v>
      </c>
      <c r="T13274" s="1095">
        <v>-32.339759000000001</v>
      </c>
    </row>
    <row r="13275" spans="16:20">
      <c r="P13275" s="1094">
        <v>5440</v>
      </c>
      <c r="Q13275" t="s">
        <v>13403</v>
      </c>
      <c r="R13275" t="s">
        <v>615</v>
      </c>
      <c r="S13275">
        <v>140.02734599999999</v>
      </c>
      <c r="T13275" s="1095">
        <v>-32.339759000000001</v>
      </c>
    </row>
    <row r="13276" spans="16:20">
      <c r="P13276" s="1094">
        <v>5440</v>
      </c>
      <c r="Q13276" t="s">
        <v>13404</v>
      </c>
      <c r="R13276" t="s">
        <v>615</v>
      </c>
      <c r="S13276">
        <v>140.02734599999999</v>
      </c>
      <c r="T13276" s="1095">
        <v>-32.339759000000001</v>
      </c>
    </row>
    <row r="13277" spans="16:20">
      <c r="P13277" s="1094">
        <v>5451</v>
      </c>
      <c r="Q13277" t="s">
        <v>1713</v>
      </c>
      <c r="R13277" t="s">
        <v>615</v>
      </c>
      <c r="S13277">
        <v>138.62088299999999</v>
      </c>
      <c r="T13277" s="1095">
        <v>-34.092233</v>
      </c>
    </row>
    <row r="13278" spans="16:20">
      <c r="P13278" s="1094">
        <v>5451</v>
      </c>
      <c r="Q13278" t="s">
        <v>13405</v>
      </c>
      <c r="R13278" t="s">
        <v>615</v>
      </c>
      <c r="S13278">
        <v>138.62088299999999</v>
      </c>
      <c r="T13278" s="1095">
        <v>-34.092233</v>
      </c>
    </row>
    <row r="13279" spans="16:20">
      <c r="P13279" s="1094">
        <v>5452</v>
      </c>
      <c r="Q13279" t="s">
        <v>13406</v>
      </c>
      <c r="R13279" t="s">
        <v>615</v>
      </c>
      <c r="S13279">
        <v>138.652781</v>
      </c>
      <c r="T13279" s="1095">
        <v>-33.969453999999999</v>
      </c>
    </row>
    <row r="13280" spans="16:20">
      <c r="P13280" s="1094">
        <v>5452</v>
      </c>
      <c r="Q13280" t="s">
        <v>13407</v>
      </c>
      <c r="R13280" t="s">
        <v>615</v>
      </c>
      <c r="S13280">
        <v>138.652781</v>
      </c>
      <c r="T13280" s="1095">
        <v>-33.969453999999999</v>
      </c>
    </row>
    <row r="13281" spans="16:20">
      <c r="P13281" s="1094">
        <v>5453</v>
      </c>
      <c r="Q13281" t="s">
        <v>13408</v>
      </c>
      <c r="R13281" t="s">
        <v>615</v>
      </c>
      <c r="S13281">
        <v>138.58268100000001</v>
      </c>
      <c r="T13281" s="1095">
        <v>-33.802931999999998</v>
      </c>
    </row>
    <row r="13282" spans="16:20">
      <c r="P13282" s="1094">
        <v>5453</v>
      </c>
      <c r="Q13282" t="s">
        <v>13409</v>
      </c>
      <c r="R13282" t="s">
        <v>615</v>
      </c>
      <c r="S13282">
        <v>138.58268100000001</v>
      </c>
      <c r="T13282" s="1095">
        <v>-33.802931999999998</v>
      </c>
    </row>
    <row r="13283" spans="16:20">
      <c r="P13283" s="1094">
        <v>5453</v>
      </c>
      <c r="Q13283" t="s">
        <v>13410</v>
      </c>
      <c r="R13283" t="s">
        <v>615</v>
      </c>
      <c r="S13283">
        <v>138.58268100000001</v>
      </c>
      <c r="T13283" s="1095">
        <v>-33.802931999999998</v>
      </c>
    </row>
    <row r="13284" spans="16:20">
      <c r="P13284" s="1094">
        <v>5453</v>
      </c>
      <c r="Q13284" t="s">
        <v>13411</v>
      </c>
      <c r="R13284" t="s">
        <v>615</v>
      </c>
      <c r="S13284">
        <v>138.58268100000001</v>
      </c>
      <c r="T13284" s="1095">
        <v>-33.802931999999998</v>
      </c>
    </row>
    <row r="13285" spans="16:20">
      <c r="P13285" s="1094">
        <v>5453</v>
      </c>
      <c r="Q13285" t="s">
        <v>11812</v>
      </c>
      <c r="R13285" t="s">
        <v>615</v>
      </c>
      <c r="S13285">
        <v>138.58268100000001</v>
      </c>
      <c r="T13285" s="1095">
        <v>-33.802931999999998</v>
      </c>
    </row>
    <row r="13286" spans="16:20">
      <c r="P13286" s="1094">
        <v>5453</v>
      </c>
      <c r="Q13286" t="s">
        <v>7898</v>
      </c>
      <c r="R13286" t="s">
        <v>615</v>
      </c>
      <c r="S13286">
        <v>138.58268100000001</v>
      </c>
      <c r="T13286" s="1095">
        <v>-33.802931999999998</v>
      </c>
    </row>
    <row r="13287" spans="16:20">
      <c r="P13287" s="1094">
        <v>5453</v>
      </c>
      <c r="Q13287" t="s">
        <v>13412</v>
      </c>
      <c r="R13287" t="s">
        <v>615</v>
      </c>
      <c r="S13287">
        <v>138.58268100000001</v>
      </c>
      <c r="T13287" s="1095">
        <v>-33.802931999999998</v>
      </c>
    </row>
    <row r="13288" spans="16:20">
      <c r="P13288" s="1094">
        <v>5453</v>
      </c>
      <c r="Q13288" t="s">
        <v>13413</v>
      </c>
      <c r="R13288" t="s">
        <v>615</v>
      </c>
      <c r="S13288">
        <v>138.58268100000001</v>
      </c>
      <c r="T13288" s="1095">
        <v>-33.802931999999998</v>
      </c>
    </row>
    <row r="13289" spans="16:20">
      <c r="P13289" s="1094">
        <v>5453</v>
      </c>
      <c r="Q13289" t="s">
        <v>13414</v>
      </c>
      <c r="R13289" t="s">
        <v>615</v>
      </c>
      <c r="S13289">
        <v>138.58268100000001</v>
      </c>
      <c r="T13289" s="1095">
        <v>-33.802931999999998</v>
      </c>
    </row>
    <row r="13290" spans="16:20">
      <c r="P13290" s="1094">
        <v>5453</v>
      </c>
      <c r="Q13290" t="s">
        <v>13415</v>
      </c>
      <c r="R13290" t="s">
        <v>615</v>
      </c>
      <c r="S13290">
        <v>138.58268100000001</v>
      </c>
      <c r="T13290" s="1095">
        <v>-33.802931999999998</v>
      </c>
    </row>
    <row r="13291" spans="16:20">
      <c r="P13291" s="1094">
        <v>5453</v>
      </c>
      <c r="Q13291" t="s">
        <v>13416</v>
      </c>
      <c r="R13291" t="s">
        <v>615</v>
      </c>
      <c r="S13291">
        <v>138.58268100000001</v>
      </c>
      <c r="T13291" s="1095">
        <v>-33.802931999999998</v>
      </c>
    </row>
    <row r="13292" spans="16:20">
      <c r="P13292" s="1094">
        <v>5453</v>
      </c>
      <c r="Q13292" t="s">
        <v>13417</v>
      </c>
      <c r="R13292" t="s">
        <v>615</v>
      </c>
      <c r="S13292">
        <v>138.58268100000001</v>
      </c>
      <c r="T13292" s="1095">
        <v>-33.802931999999998</v>
      </c>
    </row>
    <row r="13293" spans="16:20">
      <c r="P13293" s="1094">
        <v>5453</v>
      </c>
      <c r="Q13293" t="s">
        <v>13418</v>
      </c>
      <c r="R13293" t="s">
        <v>615</v>
      </c>
      <c r="S13293">
        <v>138.58268100000001</v>
      </c>
      <c r="T13293" s="1095">
        <v>-33.802931999999998</v>
      </c>
    </row>
    <row r="13294" spans="16:20">
      <c r="P13294" s="1094">
        <v>5453</v>
      </c>
      <c r="Q13294" t="s">
        <v>4570</v>
      </c>
      <c r="R13294" t="s">
        <v>615</v>
      </c>
      <c r="S13294">
        <v>138.58268100000001</v>
      </c>
      <c r="T13294" s="1095">
        <v>-33.802931999999998</v>
      </c>
    </row>
    <row r="13295" spans="16:20">
      <c r="P13295" s="1094">
        <v>5453</v>
      </c>
      <c r="Q13295" t="s">
        <v>7987</v>
      </c>
      <c r="R13295" t="s">
        <v>615</v>
      </c>
      <c r="S13295">
        <v>138.58268100000001</v>
      </c>
      <c r="T13295" s="1095">
        <v>-33.802931999999998</v>
      </c>
    </row>
    <row r="13296" spans="16:20">
      <c r="P13296" s="1094">
        <v>5453</v>
      </c>
      <c r="Q13296" t="s">
        <v>13419</v>
      </c>
      <c r="R13296" t="s">
        <v>615</v>
      </c>
      <c r="S13296">
        <v>138.58268100000001</v>
      </c>
      <c r="T13296" s="1095">
        <v>-33.802931999999998</v>
      </c>
    </row>
    <row r="13297" spans="16:20">
      <c r="P13297" s="1094">
        <v>5454</v>
      </c>
      <c r="Q13297" t="s">
        <v>13420</v>
      </c>
      <c r="R13297" t="s">
        <v>615</v>
      </c>
      <c r="S13297">
        <v>138.604466</v>
      </c>
      <c r="T13297" s="1095">
        <v>-33.531714000000001</v>
      </c>
    </row>
    <row r="13298" spans="16:20">
      <c r="P13298" s="1094">
        <v>5454</v>
      </c>
      <c r="Q13298" t="s">
        <v>13421</v>
      </c>
      <c r="R13298" t="s">
        <v>615</v>
      </c>
      <c r="S13298">
        <v>138.604466</v>
      </c>
      <c r="T13298" s="1095">
        <v>-33.531714000000001</v>
      </c>
    </row>
    <row r="13299" spans="16:20">
      <c r="P13299" s="1094">
        <v>5455</v>
      </c>
      <c r="Q13299" t="s">
        <v>13422</v>
      </c>
      <c r="R13299" t="s">
        <v>615</v>
      </c>
      <c r="S13299">
        <v>138.63347400000001</v>
      </c>
      <c r="T13299" s="1095">
        <v>-33.673948000000003</v>
      </c>
    </row>
    <row r="13300" spans="16:20">
      <c r="P13300" s="1094">
        <v>5460</v>
      </c>
      <c r="Q13300" t="s">
        <v>13423</v>
      </c>
      <c r="R13300" t="s">
        <v>615</v>
      </c>
      <c r="S13300">
        <v>138.517968</v>
      </c>
      <c r="T13300" s="1095">
        <v>-34.312427</v>
      </c>
    </row>
    <row r="13301" spans="16:20">
      <c r="P13301" s="1094">
        <v>5460</v>
      </c>
      <c r="Q13301" t="s">
        <v>13424</v>
      </c>
      <c r="R13301" t="s">
        <v>615</v>
      </c>
      <c r="S13301">
        <v>138.517968</v>
      </c>
      <c r="T13301" s="1095">
        <v>-34.312427</v>
      </c>
    </row>
    <row r="13302" spans="16:20">
      <c r="P13302" s="1094">
        <v>5460</v>
      </c>
      <c r="Q13302" t="s">
        <v>13425</v>
      </c>
      <c r="R13302" t="s">
        <v>615</v>
      </c>
      <c r="S13302">
        <v>138.517968</v>
      </c>
      <c r="T13302" s="1095">
        <v>-34.312427</v>
      </c>
    </row>
    <row r="13303" spans="16:20">
      <c r="P13303" s="1094">
        <v>5460</v>
      </c>
      <c r="Q13303" t="s">
        <v>3754</v>
      </c>
      <c r="R13303" t="s">
        <v>615</v>
      </c>
      <c r="S13303">
        <v>138.517968</v>
      </c>
      <c r="T13303" s="1095">
        <v>-34.312427</v>
      </c>
    </row>
    <row r="13304" spans="16:20">
      <c r="P13304" s="1094">
        <v>5461</v>
      </c>
      <c r="Q13304" t="s">
        <v>13426</v>
      </c>
      <c r="R13304" t="s">
        <v>615</v>
      </c>
      <c r="S13304">
        <v>138.444457</v>
      </c>
      <c r="T13304" s="1095">
        <v>-34.095314000000002</v>
      </c>
    </row>
    <row r="13305" spans="16:20">
      <c r="P13305" s="1094">
        <v>5461</v>
      </c>
      <c r="Q13305" t="s">
        <v>13427</v>
      </c>
      <c r="R13305" t="s">
        <v>615</v>
      </c>
      <c r="S13305">
        <v>138.444457</v>
      </c>
      <c r="T13305" s="1095">
        <v>-34.095314000000002</v>
      </c>
    </row>
    <row r="13306" spans="16:20">
      <c r="P13306" s="1094">
        <v>5461</v>
      </c>
      <c r="Q13306" t="s">
        <v>13428</v>
      </c>
      <c r="R13306" t="s">
        <v>615</v>
      </c>
      <c r="S13306">
        <v>138.444457</v>
      </c>
      <c r="T13306" s="1095">
        <v>-34.095314000000002</v>
      </c>
    </row>
    <row r="13307" spans="16:20">
      <c r="P13307" s="1094">
        <v>5461</v>
      </c>
      <c r="Q13307" t="s">
        <v>13429</v>
      </c>
      <c r="R13307" t="s">
        <v>615</v>
      </c>
      <c r="S13307">
        <v>138.444457</v>
      </c>
      <c r="T13307" s="1095">
        <v>-34.095314000000002</v>
      </c>
    </row>
    <row r="13308" spans="16:20">
      <c r="P13308" s="1094">
        <v>5461</v>
      </c>
      <c r="Q13308" t="s">
        <v>13430</v>
      </c>
      <c r="R13308" t="s">
        <v>615</v>
      </c>
      <c r="S13308">
        <v>138.444457</v>
      </c>
      <c r="T13308" s="1095">
        <v>-34.095314000000002</v>
      </c>
    </row>
    <row r="13309" spans="16:20">
      <c r="P13309" s="1094">
        <v>5461</v>
      </c>
      <c r="Q13309" t="s">
        <v>13431</v>
      </c>
      <c r="R13309" t="s">
        <v>615</v>
      </c>
      <c r="S13309">
        <v>138.444457</v>
      </c>
      <c r="T13309" s="1095">
        <v>-34.095314000000002</v>
      </c>
    </row>
    <row r="13310" spans="16:20">
      <c r="P13310" s="1094">
        <v>5461</v>
      </c>
      <c r="Q13310" t="s">
        <v>13432</v>
      </c>
      <c r="R13310" t="s">
        <v>615</v>
      </c>
      <c r="S13310">
        <v>138.444457</v>
      </c>
      <c r="T13310" s="1095">
        <v>-34.095314000000002</v>
      </c>
    </row>
    <row r="13311" spans="16:20">
      <c r="P13311" s="1094">
        <v>5461</v>
      </c>
      <c r="Q13311" t="s">
        <v>13433</v>
      </c>
      <c r="R13311" t="s">
        <v>615</v>
      </c>
      <c r="S13311">
        <v>138.444457</v>
      </c>
      <c r="T13311" s="1095">
        <v>-34.095314000000002</v>
      </c>
    </row>
    <row r="13312" spans="16:20">
      <c r="P13312" s="1094">
        <v>5461</v>
      </c>
      <c r="Q13312" t="s">
        <v>13434</v>
      </c>
      <c r="R13312" t="s">
        <v>615</v>
      </c>
      <c r="S13312">
        <v>138.444457</v>
      </c>
      <c r="T13312" s="1095">
        <v>-34.095314000000002</v>
      </c>
    </row>
    <row r="13313" spans="16:20">
      <c r="P13313" s="1094">
        <v>5461</v>
      </c>
      <c r="Q13313" t="s">
        <v>13435</v>
      </c>
      <c r="R13313" t="s">
        <v>615</v>
      </c>
      <c r="S13313">
        <v>138.444457</v>
      </c>
      <c r="T13313" s="1095">
        <v>-34.095314000000002</v>
      </c>
    </row>
    <row r="13314" spans="16:20">
      <c r="P13314" s="1094">
        <v>5461</v>
      </c>
      <c r="Q13314" t="s">
        <v>13436</v>
      </c>
      <c r="R13314" t="s">
        <v>615</v>
      </c>
      <c r="S13314">
        <v>138.444457</v>
      </c>
      <c r="T13314" s="1095">
        <v>-34.095314000000002</v>
      </c>
    </row>
    <row r="13315" spans="16:20">
      <c r="P13315" s="1094">
        <v>5461</v>
      </c>
      <c r="Q13315" t="s">
        <v>13437</v>
      </c>
      <c r="R13315" t="s">
        <v>615</v>
      </c>
      <c r="S13315">
        <v>138.444457</v>
      </c>
      <c r="T13315" s="1095">
        <v>-34.095314000000002</v>
      </c>
    </row>
    <row r="13316" spans="16:20">
      <c r="P13316" s="1094">
        <v>5461</v>
      </c>
      <c r="Q13316" t="s">
        <v>13438</v>
      </c>
      <c r="R13316" t="s">
        <v>615</v>
      </c>
      <c r="S13316">
        <v>138.444457</v>
      </c>
      <c r="T13316" s="1095">
        <v>-34.095314000000002</v>
      </c>
    </row>
    <row r="13317" spans="16:20">
      <c r="P13317" s="1094">
        <v>5462</v>
      </c>
      <c r="Q13317" t="s">
        <v>13439</v>
      </c>
      <c r="R13317" t="s">
        <v>615</v>
      </c>
      <c r="S13317">
        <v>138.43015</v>
      </c>
      <c r="T13317" s="1095">
        <v>-33.896377999999999</v>
      </c>
    </row>
    <row r="13318" spans="16:20">
      <c r="P13318" s="1094">
        <v>5464</v>
      </c>
      <c r="Q13318" t="s">
        <v>13440</v>
      </c>
      <c r="R13318" t="s">
        <v>615</v>
      </c>
      <c r="S13318">
        <v>138.39411000000001</v>
      </c>
      <c r="T13318" s="1095">
        <v>-33.676423999999997</v>
      </c>
    </row>
    <row r="13319" spans="16:20">
      <c r="P13319" s="1094">
        <v>5464</v>
      </c>
      <c r="Q13319" t="s">
        <v>13441</v>
      </c>
      <c r="R13319" t="s">
        <v>615</v>
      </c>
      <c r="S13319">
        <v>138.39411000000001</v>
      </c>
      <c r="T13319" s="1095">
        <v>-33.676423999999997</v>
      </c>
    </row>
    <row r="13320" spans="16:20">
      <c r="P13320" s="1094">
        <v>5464</v>
      </c>
      <c r="Q13320" t="s">
        <v>7284</v>
      </c>
      <c r="R13320" t="s">
        <v>615</v>
      </c>
      <c r="S13320">
        <v>138.39411000000001</v>
      </c>
      <c r="T13320" s="1095">
        <v>-33.676423999999997</v>
      </c>
    </row>
    <row r="13321" spans="16:20">
      <c r="P13321" s="1094">
        <v>5464</v>
      </c>
      <c r="Q13321" t="s">
        <v>13442</v>
      </c>
      <c r="R13321" t="s">
        <v>615</v>
      </c>
      <c r="S13321">
        <v>138.39411000000001</v>
      </c>
      <c r="T13321" s="1095">
        <v>-33.676423999999997</v>
      </c>
    </row>
    <row r="13322" spans="16:20">
      <c r="P13322" s="1094">
        <v>5464</v>
      </c>
      <c r="Q13322" t="s">
        <v>13443</v>
      </c>
      <c r="R13322" t="s">
        <v>615</v>
      </c>
      <c r="S13322">
        <v>138.39411000000001</v>
      </c>
      <c r="T13322" s="1095">
        <v>-33.676423999999997</v>
      </c>
    </row>
    <row r="13323" spans="16:20">
      <c r="P13323" s="1094">
        <v>5464</v>
      </c>
      <c r="Q13323" t="s">
        <v>13444</v>
      </c>
      <c r="R13323" t="s">
        <v>615</v>
      </c>
      <c r="S13323">
        <v>138.39411000000001</v>
      </c>
      <c r="T13323" s="1095">
        <v>-33.676423999999997</v>
      </c>
    </row>
    <row r="13324" spans="16:20">
      <c r="P13324" s="1094">
        <v>5464</v>
      </c>
      <c r="Q13324" t="s">
        <v>13445</v>
      </c>
      <c r="R13324" t="s">
        <v>615</v>
      </c>
      <c r="S13324">
        <v>138.39411000000001</v>
      </c>
      <c r="T13324" s="1095">
        <v>-33.676423999999997</v>
      </c>
    </row>
    <row r="13325" spans="16:20">
      <c r="P13325" s="1094">
        <v>5464</v>
      </c>
      <c r="Q13325" t="s">
        <v>8065</v>
      </c>
      <c r="R13325" t="s">
        <v>615</v>
      </c>
      <c r="S13325">
        <v>138.39411000000001</v>
      </c>
      <c r="T13325" s="1095">
        <v>-33.676423999999997</v>
      </c>
    </row>
    <row r="13326" spans="16:20">
      <c r="P13326" s="1094">
        <v>5470</v>
      </c>
      <c r="Q13326" t="s">
        <v>13446</v>
      </c>
      <c r="R13326" t="s">
        <v>615</v>
      </c>
      <c r="S13326">
        <v>138.48268100000001</v>
      </c>
      <c r="T13326" s="1095">
        <v>-33.575378999999998</v>
      </c>
    </row>
    <row r="13327" spans="16:20">
      <c r="P13327" s="1094">
        <v>5471</v>
      </c>
      <c r="Q13327" t="s">
        <v>13447</v>
      </c>
      <c r="R13327" t="s">
        <v>615</v>
      </c>
      <c r="S13327">
        <v>138.42432199999999</v>
      </c>
      <c r="T13327" s="1095">
        <v>-33.476109999999998</v>
      </c>
    </row>
    <row r="13328" spans="16:20">
      <c r="P13328" s="1094">
        <v>5472</v>
      </c>
      <c r="Q13328" t="s">
        <v>2519</v>
      </c>
      <c r="R13328" t="s">
        <v>615</v>
      </c>
      <c r="S13328">
        <v>138.41028700000001</v>
      </c>
      <c r="T13328" s="1095">
        <v>-33.387233999999999</v>
      </c>
    </row>
    <row r="13329" spans="16:20">
      <c r="P13329" s="1094">
        <v>5473</v>
      </c>
      <c r="Q13329" t="s">
        <v>3460</v>
      </c>
      <c r="R13329" t="s">
        <v>615</v>
      </c>
      <c r="S13329">
        <v>138.351282</v>
      </c>
      <c r="T13329" s="1095">
        <v>-33.257131000000001</v>
      </c>
    </row>
    <row r="13330" spans="16:20">
      <c r="P13330" s="1094">
        <v>5480</v>
      </c>
      <c r="Q13330" t="s">
        <v>13448</v>
      </c>
      <c r="R13330" t="s">
        <v>615</v>
      </c>
      <c r="S13330">
        <v>138.31983399999999</v>
      </c>
      <c r="T13330" s="1095">
        <v>-33.125751000000001</v>
      </c>
    </row>
    <row r="13331" spans="16:20">
      <c r="P13331" s="1094">
        <v>5480</v>
      </c>
      <c r="Q13331" t="s">
        <v>12227</v>
      </c>
      <c r="R13331" t="s">
        <v>615</v>
      </c>
      <c r="S13331">
        <v>138.31983399999999</v>
      </c>
      <c r="T13331" s="1095">
        <v>-33.125751000000001</v>
      </c>
    </row>
    <row r="13332" spans="16:20">
      <c r="P13332" s="1094">
        <v>5480</v>
      </c>
      <c r="Q13332" t="s">
        <v>13449</v>
      </c>
      <c r="R13332" t="s">
        <v>615</v>
      </c>
      <c r="S13332">
        <v>138.31983399999999</v>
      </c>
      <c r="T13332" s="1095">
        <v>-33.125751000000001</v>
      </c>
    </row>
    <row r="13333" spans="16:20">
      <c r="P13333" s="1094">
        <v>5481</v>
      </c>
      <c r="Q13333" t="s">
        <v>2260</v>
      </c>
      <c r="R13333" t="s">
        <v>615</v>
      </c>
      <c r="S13333">
        <v>138.23971900000001</v>
      </c>
      <c r="T13333" s="1095">
        <v>-33.012445999999997</v>
      </c>
    </row>
    <row r="13334" spans="16:20">
      <c r="P13334" s="1094">
        <v>5481</v>
      </c>
      <c r="Q13334" t="s">
        <v>13450</v>
      </c>
      <c r="R13334" t="s">
        <v>615</v>
      </c>
      <c r="S13334">
        <v>138.23971900000001</v>
      </c>
      <c r="T13334" s="1095">
        <v>-33.012445999999997</v>
      </c>
    </row>
    <row r="13335" spans="16:20">
      <c r="P13335" s="1094">
        <v>5481</v>
      </c>
      <c r="Q13335" t="s">
        <v>13451</v>
      </c>
      <c r="R13335" t="s">
        <v>615</v>
      </c>
      <c r="S13335">
        <v>138.23971900000001</v>
      </c>
      <c r="T13335" s="1095">
        <v>-33.012445999999997</v>
      </c>
    </row>
    <row r="13336" spans="16:20">
      <c r="P13336" s="1094">
        <v>5481</v>
      </c>
      <c r="Q13336" t="s">
        <v>13452</v>
      </c>
      <c r="R13336" t="s">
        <v>615</v>
      </c>
      <c r="S13336">
        <v>138.23971900000001</v>
      </c>
      <c r="T13336" s="1095">
        <v>-33.012445999999997</v>
      </c>
    </row>
    <row r="13337" spans="16:20">
      <c r="P13337" s="1094">
        <v>5482</v>
      </c>
      <c r="Q13337" t="s">
        <v>13453</v>
      </c>
      <c r="R13337" t="s">
        <v>615</v>
      </c>
      <c r="S13337">
        <v>138.357347</v>
      </c>
      <c r="T13337" s="1095">
        <v>-32.842201000000003</v>
      </c>
    </row>
    <row r="13338" spans="16:20">
      <c r="P13338" s="1094">
        <v>5482</v>
      </c>
      <c r="Q13338" t="s">
        <v>13454</v>
      </c>
      <c r="R13338" t="s">
        <v>615</v>
      </c>
      <c r="S13338">
        <v>138.357347</v>
      </c>
      <c r="T13338" s="1095">
        <v>-32.842201000000003</v>
      </c>
    </row>
    <row r="13339" spans="16:20">
      <c r="P13339" s="1094">
        <v>5483</v>
      </c>
      <c r="Q13339" t="s">
        <v>10996</v>
      </c>
      <c r="R13339" t="s">
        <v>615</v>
      </c>
      <c r="S13339">
        <v>138.12370999999999</v>
      </c>
      <c r="T13339" s="1095">
        <v>-32.886299999999999</v>
      </c>
    </row>
    <row r="13340" spans="16:20">
      <c r="P13340" s="1094">
        <v>5485</v>
      </c>
      <c r="Q13340" t="s">
        <v>13455</v>
      </c>
      <c r="R13340" t="s">
        <v>615</v>
      </c>
      <c r="S13340">
        <v>138.207041</v>
      </c>
      <c r="T13340" s="1095">
        <v>-32.546382999999999</v>
      </c>
    </row>
    <row r="13341" spans="16:20">
      <c r="P13341" s="1094">
        <v>5490</v>
      </c>
      <c r="Q13341" t="s">
        <v>13456</v>
      </c>
      <c r="R13341" t="s">
        <v>615</v>
      </c>
      <c r="S13341">
        <v>138.48215500000001</v>
      </c>
      <c r="T13341" s="1095">
        <v>-33.169136999999999</v>
      </c>
    </row>
    <row r="13342" spans="16:20">
      <c r="P13342" s="1094">
        <v>5491</v>
      </c>
      <c r="Q13342" t="s">
        <v>13457</v>
      </c>
      <c r="R13342" t="s">
        <v>615</v>
      </c>
      <c r="S13342">
        <v>138.64379400000001</v>
      </c>
      <c r="T13342" s="1095">
        <v>-33.194457</v>
      </c>
    </row>
    <row r="13343" spans="16:20">
      <c r="P13343" s="1094">
        <v>5491</v>
      </c>
      <c r="Q13343" t="s">
        <v>13458</v>
      </c>
      <c r="R13343" t="s">
        <v>615</v>
      </c>
      <c r="S13343">
        <v>138.64379400000001</v>
      </c>
      <c r="T13343" s="1095">
        <v>-33.194457</v>
      </c>
    </row>
    <row r="13344" spans="16:20">
      <c r="P13344" s="1094">
        <v>5493</v>
      </c>
      <c r="Q13344" t="s">
        <v>13459</v>
      </c>
      <c r="R13344" t="s">
        <v>615</v>
      </c>
      <c r="S13344">
        <v>138.74659500000001</v>
      </c>
      <c r="T13344" s="1095">
        <v>-33.015031</v>
      </c>
    </row>
    <row r="13345" spans="16:20">
      <c r="P13345" s="1094">
        <v>5495</v>
      </c>
      <c r="Q13345" t="s">
        <v>13460</v>
      </c>
      <c r="R13345" t="s">
        <v>615</v>
      </c>
      <c r="S13345">
        <v>137.94625500000001</v>
      </c>
      <c r="T13345" s="1095">
        <v>-32.882190000000001</v>
      </c>
    </row>
    <row r="13346" spans="16:20">
      <c r="P13346" s="1094">
        <v>5495</v>
      </c>
      <c r="Q13346" t="s">
        <v>13461</v>
      </c>
      <c r="R13346" t="s">
        <v>615</v>
      </c>
      <c r="S13346">
        <v>137.94625500000001</v>
      </c>
      <c r="T13346" s="1095">
        <v>-32.882190000000001</v>
      </c>
    </row>
    <row r="13347" spans="16:20">
      <c r="P13347" s="1094">
        <v>5495</v>
      </c>
      <c r="Q13347" t="s">
        <v>13462</v>
      </c>
      <c r="R13347" t="s">
        <v>615</v>
      </c>
      <c r="S13347">
        <v>137.94625500000001</v>
      </c>
      <c r="T13347" s="1095">
        <v>-32.882190000000001</v>
      </c>
    </row>
    <row r="13348" spans="16:20">
      <c r="P13348" s="1094">
        <v>5495</v>
      </c>
      <c r="Q13348" t="s">
        <v>13463</v>
      </c>
      <c r="R13348" t="s">
        <v>615</v>
      </c>
      <c r="S13348">
        <v>137.94625500000001</v>
      </c>
      <c r="T13348" s="1095">
        <v>-32.882190000000001</v>
      </c>
    </row>
    <row r="13349" spans="16:20">
      <c r="P13349" s="1094">
        <v>5495</v>
      </c>
      <c r="Q13349" t="s">
        <v>13464</v>
      </c>
      <c r="R13349" t="s">
        <v>615</v>
      </c>
      <c r="S13349">
        <v>137.94625500000001</v>
      </c>
      <c r="T13349" s="1095">
        <v>-32.882190000000001</v>
      </c>
    </row>
    <row r="13350" spans="16:20">
      <c r="P13350" s="1094">
        <v>5501</v>
      </c>
      <c r="Q13350" t="s">
        <v>13465</v>
      </c>
      <c r="R13350" t="s">
        <v>615</v>
      </c>
      <c r="S13350">
        <v>138.54799800000001</v>
      </c>
      <c r="T13350" s="1095">
        <v>-34.595072999999999</v>
      </c>
    </row>
    <row r="13351" spans="16:20">
      <c r="P13351" s="1094">
        <v>5501</v>
      </c>
      <c r="Q13351" t="s">
        <v>13466</v>
      </c>
      <c r="R13351" t="s">
        <v>615</v>
      </c>
      <c r="S13351">
        <v>138.54799800000001</v>
      </c>
      <c r="T13351" s="1095">
        <v>-34.595072999999999</v>
      </c>
    </row>
    <row r="13352" spans="16:20">
      <c r="P13352" s="1094">
        <v>5501</v>
      </c>
      <c r="Q13352" t="s">
        <v>13467</v>
      </c>
      <c r="R13352" t="s">
        <v>615</v>
      </c>
      <c r="S13352">
        <v>138.54799800000001</v>
      </c>
      <c r="T13352" s="1095">
        <v>-34.595072999999999</v>
      </c>
    </row>
    <row r="13353" spans="16:20">
      <c r="P13353" s="1094">
        <v>5501</v>
      </c>
      <c r="Q13353" t="s">
        <v>13468</v>
      </c>
      <c r="R13353" t="s">
        <v>615</v>
      </c>
      <c r="S13353">
        <v>138.54799800000001</v>
      </c>
      <c r="T13353" s="1095">
        <v>-34.595072999999999</v>
      </c>
    </row>
    <row r="13354" spans="16:20">
      <c r="P13354" s="1094">
        <v>5501</v>
      </c>
      <c r="Q13354" t="s">
        <v>13469</v>
      </c>
      <c r="R13354" t="s">
        <v>615</v>
      </c>
      <c r="S13354">
        <v>138.54799800000001</v>
      </c>
      <c r="T13354" s="1095">
        <v>-34.595072999999999</v>
      </c>
    </row>
    <row r="13355" spans="16:20">
      <c r="P13355" s="1094">
        <v>5501</v>
      </c>
      <c r="Q13355" t="s">
        <v>13470</v>
      </c>
      <c r="R13355" t="s">
        <v>615</v>
      </c>
      <c r="S13355">
        <v>138.54799800000001</v>
      </c>
      <c r="T13355" s="1095">
        <v>-34.595072999999999</v>
      </c>
    </row>
    <row r="13356" spans="16:20">
      <c r="P13356" s="1094">
        <v>5501</v>
      </c>
      <c r="Q13356" t="s">
        <v>13471</v>
      </c>
      <c r="R13356" t="s">
        <v>615</v>
      </c>
      <c r="S13356">
        <v>138.54799800000001</v>
      </c>
      <c r="T13356" s="1095">
        <v>-34.595072999999999</v>
      </c>
    </row>
    <row r="13357" spans="16:20">
      <c r="P13357" s="1094">
        <v>5501</v>
      </c>
      <c r="Q13357" t="s">
        <v>13472</v>
      </c>
      <c r="R13357" t="s">
        <v>615</v>
      </c>
      <c r="S13357">
        <v>138.54799800000001</v>
      </c>
      <c r="T13357" s="1095">
        <v>-34.595072999999999</v>
      </c>
    </row>
    <row r="13358" spans="16:20">
      <c r="P13358" s="1094">
        <v>5501</v>
      </c>
      <c r="Q13358" t="s">
        <v>13473</v>
      </c>
      <c r="R13358" t="s">
        <v>615</v>
      </c>
      <c r="S13358">
        <v>138.54799800000001</v>
      </c>
      <c r="T13358" s="1095">
        <v>-34.595072999999999</v>
      </c>
    </row>
    <row r="13359" spans="16:20">
      <c r="P13359" s="1094">
        <v>5501</v>
      </c>
      <c r="Q13359" t="s">
        <v>13474</v>
      </c>
      <c r="R13359" t="s">
        <v>615</v>
      </c>
      <c r="S13359">
        <v>138.54799800000001</v>
      </c>
      <c r="T13359" s="1095">
        <v>-34.595072999999999</v>
      </c>
    </row>
    <row r="13360" spans="16:20">
      <c r="P13360" s="1094">
        <v>5501</v>
      </c>
      <c r="Q13360" t="s">
        <v>13475</v>
      </c>
      <c r="R13360" t="s">
        <v>615</v>
      </c>
      <c r="S13360">
        <v>138.54799800000001</v>
      </c>
      <c r="T13360" s="1095">
        <v>-34.595072999999999</v>
      </c>
    </row>
    <row r="13361" spans="16:20">
      <c r="P13361" s="1094">
        <v>5501</v>
      </c>
      <c r="Q13361" t="s">
        <v>13476</v>
      </c>
      <c r="R13361" t="s">
        <v>615</v>
      </c>
      <c r="S13361">
        <v>138.54799800000001</v>
      </c>
      <c r="T13361" s="1095">
        <v>-34.595072999999999</v>
      </c>
    </row>
    <row r="13362" spans="16:20">
      <c r="P13362" s="1094">
        <v>5501</v>
      </c>
      <c r="Q13362" t="s">
        <v>13477</v>
      </c>
      <c r="R13362" t="s">
        <v>615</v>
      </c>
      <c r="S13362">
        <v>138.54799800000001</v>
      </c>
      <c r="T13362" s="1095">
        <v>-34.595072999999999</v>
      </c>
    </row>
    <row r="13363" spans="16:20">
      <c r="P13363" s="1094">
        <v>5501</v>
      </c>
      <c r="Q13363" t="s">
        <v>5602</v>
      </c>
      <c r="R13363" t="s">
        <v>615</v>
      </c>
      <c r="S13363">
        <v>138.54799800000001</v>
      </c>
      <c r="T13363" s="1095">
        <v>-34.595072999999999</v>
      </c>
    </row>
    <row r="13364" spans="16:20">
      <c r="P13364" s="1094">
        <v>5502</v>
      </c>
      <c r="Q13364" t="s">
        <v>13478</v>
      </c>
      <c r="R13364" t="s">
        <v>615</v>
      </c>
      <c r="S13364">
        <v>138.56028599999999</v>
      </c>
      <c r="T13364" s="1095">
        <v>-34.507413</v>
      </c>
    </row>
    <row r="13365" spans="16:20">
      <c r="P13365" s="1094">
        <v>5502</v>
      </c>
      <c r="Q13365" t="s">
        <v>13479</v>
      </c>
      <c r="R13365" t="s">
        <v>615</v>
      </c>
      <c r="S13365">
        <v>138.56028599999999</v>
      </c>
      <c r="T13365" s="1095">
        <v>-34.507413</v>
      </c>
    </row>
    <row r="13366" spans="16:20">
      <c r="P13366" s="1094">
        <v>5502</v>
      </c>
      <c r="Q13366" t="s">
        <v>13480</v>
      </c>
      <c r="R13366" t="s">
        <v>615</v>
      </c>
      <c r="S13366">
        <v>138.56028599999999</v>
      </c>
      <c r="T13366" s="1095">
        <v>-34.507413</v>
      </c>
    </row>
    <row r="13367" spans="16:20">
      <c r="P13367" s="1094">
        <v>5502</v>
      </c>
      <c r="Q13367" t="s">
        <v>13481</v>
      </c>
      <c r="R13367" t="s">
        <v>615</v>
      </c>
      <c r="S13367">
        <v>138.56028599999999</v>
      </c>
      <c r="T13367" s="1095">
        <v>-34.507413</v>
      </c>
    </row>
    <row r="13368" spans="16:20">
      <c r="P13368" s="1094">
        <v>5502</v>
      </c>
      <c r="Q13368" t="s">
        <v>13482</v>
      </c>
      <c r="R13368" t="s">
        <v>615</v>
      </c>
      <c r="S13368">
        <v>138.56028599999999</v>
      </c>
      <c r="T13368" s="1095">
        <v>-34.507413</v>
      </c>
    </row>
    <row r="13369" spans="16:20">
      <c r="P13369" s="1094">
        <v>5510</v>
      </c>
      <c r="Q13369" t="s">
        <v>4436</v>
      </c>
      <c r="R13369" t="s">
        <v>615</v>
      </c>
      <c r="S13369">
        <v>138.18898799999999</v>
      </c>
      <c r="T13369" s="1095">
        <v>-33.949100000000001</v>
      </c>
    </row>
    <row r="13370" spans="16:20">
      <c r="P13370" s="1094">
        <v>5520</v>
      </c>
      <c r="Q13370" t="s">
        <v>13483</v>
      </c>
      <c r="R13370" t="s">
        <v>615</v>
      </c>
      <c r="S13370">
        <v>138.12018</v>
      </c>
      <c r="T13370" s="1095">
        <v>-33.769106999999998</v>
      </c>
    </row>
    <row r="13371" spans="16:20">
      <c r="P13371" s="1094">
        <v>5520</v>
      </c>
      <c r="Q13371" t="s">
        <v>13484</v>
      </c>
      <c r="R13371" t="s">
        <v>615</v>
      </c>
      <c r="S13371">
        <v>138.12018</v>
      </c>
      <c r="T13371" s="1095">
        <v>-33.769106999999998</v>
      </c>
    </row>
    <row r="13372" spans="16:20">
      <c r="P13372" s="1094">
        <v>5520</v>
      </c>
      <c r="Q13372" t="s">
        <v>13485</v>
      </c>
      <c r="R13372" t="s">
        <v>615</v>
      </c>
      <c r="S13372">
        <v>138.12018</v>
      </c>
      <c r="T13372" s="1095">
        <v>-33.769106999999998</v>
      </c>
    </row>
    <row r="13373" spans="16:20">
      <c r="P13373" s="1094">
        <v>5520</v>
      </c>
      <c r="Q13373" t="s">
        <v>13486</v>
      </c>
      <c r="R13373" t="s">
        <v>615</v>
      </c>
      <c r="S13373">
        <v>138.12018</v>
      </c>
      <c r="T13373" s="1095">
        <v>-33.769106999999998</v>
      </c>
    </row>
    <row r="13374" spans="16:20">
      <c r="P13374" s="1094">
        <v>5520</v>
      </c>
      <c r="Q13374" t="s">
        <v>13487</v>
      </c>
      <c r="R13374" t="s">
        <v>615</v>
      </c>
      <c r="S13374">
        <v>138.12018</v>
      </c>
      <c r="T13374" s="1095">
        <v>-33.769106999999998</v>
      </c>
    </row>
    <row r="13375" spans="16:20">
      <c r="P13375" s="1094">
        <v>5520</v>
      </c>
      <c r="Q13375" t="s">
        <v>13488</v>
      </c>
      <c r="R13375" t="s">
        <v>615</v>
      </c>
      <c r="S13375">
        <v>138.12018</v>
      </c>
      <c r="T13375" s="1095">
        <v>-33.769106999999998</v>
      </c>
    </row>
    <row r="13376" spans="16:20">
      <c r="P13376" s="1094">
        <v>5521</v>
      </c>
      <c r="Q13376" t="s">
        <v>13489</v>
      </c>
      <c r="R13376" t="s">
        <v>615</v>
      </c>
      <c r="S13376">
        <v>138.21004300000001</v>
      </c>
      <c r="T13376" s="1095">
        <v>-33.567546</v>
      </c>
    </row>
    <row r="13377" spans="16:20">
      <c r="P13377" s="1094">
        <v>5522</v>
      </c>
      <c r="Q13377" t="s">
        <v>13490</v>
      </c>
      <c r="R13377" t="s">
        <v>615</v>
      </c>
      <c r="S13377">
        <v>138.00332499999999</v>
      </c>
      <c r="T13377" s="1095">
        <v>-33.578187999999997</v>
      </c>
    </row>
    <row r="13378" spans="16:20">
      <c r="P13378" s="1094">
        <v>5522</v>
      </c>
      <c r="Q13378" t="s">
        <v>13491</v>
      </c>
      <c r="R13378" t="s">
        <v>615</v>
      </c>
      <c r="S13378">
        <v>138.00332499999999</v>
      </c>
      <c r="T13378" s="1095">
        <v>-33.578187999999997</v>
      </c>
    </row>
    <row r="13379" spans="16:20">
      <c r="P13379" s="1094">
        <v>5522</v>
      </c>
      <c r="Q13379" t="s">
        <v>13492</v>
      </c>
      <c r="R13379" t="s">
        <v>615</v>
      </c>
      <c r="S13379">
        <v>138.00332499999999</v>
      </c>
      <c r="T13379" s="1095">
        <v>-33.578187999999997</v>
      </c>
    </row>
    <row r="13380" spans="16:20">
      <c r="P13380" s="1094">
        <v>5522</v>
      </c>
      <c r="Q13380" t="s">
        <v>13493</v>
      </c>
      <c r="R13380" t="s">
        <v>615</v>
      </c>
      <c r="S13380">
        <v>138.00332499999999</v>
      </c>
      <c r="T13380" s="1095">
        <v>-33.578187999999997</v>
      </c>
    </row>
    <row r="13381" spans="16:20">
      <c r="P13381" s="1094">
        <v>5523</v>
      </c>
      <c r="Q13381" t="s">
        <v>13494</v>
      </c>
      <c r="R13381" t="s">
        <v>615</v>
      </c>
      <c r="S13381">
        <v>138.165325</v>
      </c>
      <c r="T13381" s="1095">
        <v>-33.401828999999999</v>
      </c>
    </row>
    <row r="13382" spans="16:20">
      <c r="P13382" s="1094">
        <v>5523</v>
      </c>
      <c r="Q13382" t="s">
        <v>11748</v>
      </c>
      <c r="R13382" t="s">
        <v>615</v>
      </c>
      <c r="S13382">
        <v>138.165325</v>
      </c>
      <c r="T13382" s="1095">
        <v>-33.401828999999999</v>
      </c>
    </row>
    <row r="13383" spans="16:20">
      <c r="P13383" s="1094">
        <v>5523</v>
      </c>
      <c r="Q13383" t="s">
        <v>13495</v>
      </c>
      <c r="R13383" t="s">
        <v>615</v>
      </c>
      <c r="S13383">
        <v>138.165325</v>
      </c>
      <c r="T13383" s="1095">
        <v>-33.401828999999999</v>
      </c>
    </row>
    <row r="13384" spans="16:20">
      <c r="P13384" s="1094">
        <v>5523</v>
      </c>
      <c r="Q13384" t="s">
        <v>13496</v>
      </c>
      <c r="R13384" t="s">
        <v>615</v>
      </c>
      <c r="S13384">
        <v>138.165325</v>
      </c>
      <c r="T13384" s="1095">
        <v>-33.401828999999999</v>
      </c>
    </row>
    <row r="13385" spans="16:20">
      <c r="P13385" s="1094">
        <v>5523</v>
      </c>
      <c r="Q13385" t="s">
        <v>13497</v>
      </c>
      <c r="R13385" t="s">
        <v>615</v>
      </c>
      <c r="S13385">
        <v>138.165325</v>
      </c>
      <c r="T13385" s="1095">
        <v>-33.401828999999999</v>
      </c>
    </row>
    <row r="13386" spans="16:20">
      <c r="P13386" s="1094">
        <v>5523</v>
      </c>
      <c r="Q13386" t="s">
        <v>13498</v>
      </c>
      <c r="R13386" t="s">
        <v>615</v>
      </c>
      <c r="S13386">
        <v>138.165325</v>
      </c>
      <c r="T13386" s="1095">
        <v>-33.401828999999999</v>
      </c>
    </row>
    <row r="13387" spans="16:20">
      <c r="P13387" s="1094">
        <v>5523</v>
      </c>
      <c r="Q13387" t="s">
        <v>13499</v>
      </c>
      <c r="R13387" t="s">
        <v>615</v>
      </c>
      <c r="S13387">
        <v>138.165325</v>
      </c>
      <c r="T13387" s="1095">
        <v>-33.401828999999999</v>
      </c>
    </row>
    <row r="13388" spans="16:20">
      <c r="P13388" s="1094">
        <v>5540</v>
      </c>
      <c r="Q13388" t="s">
        <v>13500</v>
      </c>
      <c r="R13388" t="s">
        <v>615</v>
      </c>
      <c r="S13388">
        <v>138.08019100000001</v>
      </c>
      <c r="T13388" s="1095">
        <v>-33.205773000000001</v>
      </c>
    </row>
    <row r="13389" spans="16:20">
      <c r="P13389" s="1094">
        <v>5540</v>
      </c>
      <c r="Q13389" t="s">
        <v>13501</v>
      </c>
      <c r="R13389" t="s">
        <v>615</v>
      </c>
      <c r="S13389">
        <v>138.08019100000001</v>
      </c>
      <c r="T13389" s="1095">
        <v>-33.205773000000001</v>
      </c>
    </row>
    <row r="13390" spans="16:20">
      <c r="P13390" s="1094">
        <v>5540</v>
      </c>
      <c r="Q13390" t="s">
        <v>13502</v>
      </c>
      <c r="R13390" t="s">
        <v>615</v>
      </c>
      <c r="S13390">
        <v>138.08019100000001</v>
      </c>
      <c r="T13390" s="1095">
        <v>-33.205773000000001</v>
      </c>
    </row>
    <row r="13391" spans="16:20">
      <c r="P13391" s="1094">
        <v>5540</v>
      </c>
      <c r="Q13391" t="s">
        <v>13503</v>
      </c>
      <c r="R13391" t="s">
        <v>615</v>
      </c>
      <c r="S13391">
        <v>138.08019100000001</v>
      </c>
      <c r="T13391" s="1095">
        <v>-33.205773000000001</v>
      </c>
    </row>
    <row r="13392" spans="16:20">
      <c r="P13392" s="1094">
        <v>5540</v>
      </c>
      <c r="Q13392" t="s">
        <v>13504</v>
      </c>
      <c r="R13392" t="s">
        <v>615</v>
      </c>
      <c r="S13392">
        <v>138.08019100000001</v>
      </c>
      <c r="T13392" s="1095">
        <v>-33.205773000000001</v>
      </c>
    </row>
    <row r="13393" spans="16:20">
      <c r="P13393" s="1094">
        <v>5540</v>
      </c>
      <c r="Q13393" t="s">
        <v>13505</v>
      </c>
      <c r="R13393" t="s">
        <v>615</v>
      </c>
      <c r="S13393">
        <v>138.08019100000001</v>
      </c>
      <c r="T13393" s="1095">
        <v>-33.205773000000001</v>
      </c>
    </row>
    <row r="13394" spans="16:20">
      <c r="P13394" s="1094">
        <v>5540</v>
      </c>
      <c r="Q13394" t="s">
        <v>13506</v>
      </c>
      <c r="R13394" t="s">
        <v>615</v>
      </c>
      <c r="S13394">
        <v>138.08019100000001</v>
      </c>
      <c r="T13394" s="1095">
        <v>-33.205773000000001</v>
      </c>
    </row>
    <row r="13395" spans="16:20">
      <c r="P13395" s="1094">
        <v>5540</v>
      </c>
      <c r="Q13395" t="s">
        <v>13507</v>
      </c>
      <c r="R13395" t="s">
        <v>615</v>
      </c>
      <c r="S13395">
        <v>138.08019100000001</v>
      </c>
      <c r="T13395" s="1095">
        <v>-33.205773000000001</v>
      </c>
    </row>
    <row r="13396" spans="16:20">
      <c r="P13396" s="1094">
        <v>5540</v>
      </c>
      <c r="Q13396" t="s">
        <v>13508</v>
      </c>
      <c r="R13396" t="s">
        <v>615</v>
      </c>
      <c r="S13396">
        <v>138.08019100000001</v>
      </c>
      <c r="T13396" s="1095">
        <v>-33.205773000000001</v>
      </c>
    </row>
    <row r="13397" spans="16:20">
      <c r="P13397" s="1094">
        <v>5540</v>
      </c>
      <c r="Q13397" t="s">
        <v>13509</v>
      </c>
      <c r="R13397" t="s">
        <v>615</v>
      </c>
      <c r="S13397">
        <v>138.08019100000001</v>
      </c>
      <c r="T13397" s="1095">
        <v>-33.205773000000001</v>
      </c>
    </row>
    <row r="13398" spans="16:20">
      <c r="P13398" s="1094">
        <v>5540</v>
      </c>
      <c r="Q13398" t="s">
        <v>13510</v>
      </c>
      <c r="R13398" t="s">
        <v>615</v>
      </c>
      <c r="S13398">
        <v>138.08019100000001</v>
      </c>
      <c r="T13398" s="1095">
        <v>-33.205773000000001</v>
      </c>
    </row>
    <row r="13399" spans="16:20">
      <c r="P13399" s="1094">
        <v>5540</v>
      </c>
      <c r="Q13399" t="s">
        <v>13511</v>
      </c>
      <c r="R13399" t="s">
        <v>615</v>
      </c>
      <c r="S13399">
        <v>138.08019100000001</v>
      </c>
      <c r="T13399" s="1095">
        <v>-33.205773000000001</v>
      </c>
    </row>
    <row r="13400" spans="16:20">
      <c r="P13400" s="1094">
        <v>5540</v>
      </c>
      <c r="Q13400" t="s">
        <v>13512</v>
      </c>
      <c r="R13400" t="s">
        <v>615</v>
      </c>
      <c r="S13400">
        <v>138.08019100000001</v>
      </c>
      <c r="T13400" s="1095">
        <v>-33.205773000000001</v>
      </c>
    </row>
    <row r="13401" spans="16:20">
      <c r="P13401" s="1094">
        <v>5550</v>
      </c>
      <c r="Q13401" t="s">
        <v>7382</v>
      </c>
      <c r="R13401" t="s">
        <v>615</v>
      </c>
      <c r="S13401">
        <v>138.243785</v>
      </c>
      <c r="T13401" s="1095">
        <v>-34.093038</v>
      </c>
    </row>
    <row r="13402" spans="16:20">
      <c r="P13402" s="1094">
        <v>5550</v>
      </c>
      <c r="Q13402" t="s">
        <v>13513</v>
      </c>
      <c r="R13402" t="s">
        <v>615</v>
      </c>
      <c r="S13402">
        <v>138.243785</v>
      </c>
      <c r="T13402" s="1095">
        <v>-34.093038</v>
      </c>
    </row>
    <row r="13403" spans="16:20">
      <c r="P13403" s="1094">
        <v>5550</v>
      </c>
      <c r="Q13403" t="s">
        <v>7730</v>
      </c>
      <c r="R13403" t="s">
        <v>615</v>
      </c>
      <c r="S13403">
        <v>138.243785</v>
      </c>
      <c r="T13403" s="1095">
        <v>-34.093038</v>
      </c>
    </row>
    <row r="13404" spans="16:20">
      <c r="P13404" s="1094">
        <v>5550</v>
      </c>
      <c r="Q13404" t="s">
        <v>13514</v>
      </c>
      <c r="R13404" t="s">
        <v>615</v>
      </c>
      <c r="S13404">
        <v>138.243785</v>
      </c>
      <c r="T13404" s="1095">
        <v>-34.093038</v>
      </c>
    </row>
    <row r="13405" spans="16:20">
      <c r="P13405" s="1094">
        <v>5550</v>
      </c>
      <c r="Q13405" t="s">
        <v>13515</v>
      </c>
      <c r="R13405" t="s">
        <v>615</v>
      </c>
      <c r="S13405">
        <v>138.243785</v>
      </c>
      <c r="T13405" s="1095">
        <v>-34.093038</v>
      </c>
    </row>
    <row r="13406" spans="16:20">
      <c r="P13406" s="1094">
        <v>5550</v>
      </c>
      <c r="Q13406" t="s">
        <v>13516</v>
      </c>
      <c r="R13406" t="s">
        <v>615</v>
      </c>
      <c r="S13406">
        <v>138.243785</v>
      </c>
      <c r="T13406" s="1095">
        <v>-34.093038</v>
      </c>
    </row>
    <row r="13407" spans="16:20">
      <c r="P13407" s="1094">
        <v>5550</v>
      </c>
      <c r="Q13407" t="s">
        <v>13517</v>
      </c>
      <c r="R13407" t="s">
        <v>615</v>
      </c>
      <c r="S13407">
        <v>138.243785</v>
      </c>
      <c r="T13407" s="1095">
        <v>-34.093038</v>
      </c>
    </row>
    <row r="13408" spans="16:20">
      <c r="P13408" s="1094">
        <v>5550</v>
      </c>
      <c r="Q13408" t="s">
        <v>13518</v>
      </c>
      <c r="R13408" t="s">
        <v>615</v>
      </c>
      <c r="S13408">
        <v>138.243785</v>
      </c>
      <c r="T13408" s="1095">
        <v>-34.093038</v>
      </c>
    </row>
    <row r="13409" spans="16:20">
      <c r="P13409" s="1094">
        <v>5552</v>
      </c>
      <c r="Q13409" t="s">
        <v>13519</v>
      </c>
      <c r="R13409" t="s">
        <v>615</v>
      </c>
      <c r="S13409">
        <v>137.862942</v>
      </c>
      <c r="T13409" s="1095">
        <v>-34.061253000000001</v>
      </c>
    </row>
    <row r="13410" spans="16:20">
      <c r="P13410" s="1094">
        <v>5552</v>
      </c>
      <c r="Q13410" t="s">
        <v>13520</v>
      </c>
      <c r="R13410" t="s">
        <v>615</v>
      </c>
      <c r="S13410">
        <v>137.862942</v>
      </c>
      <c r="T13410" s="1095">
        <v>-34.061253000000001</v>
      </c>
    </row>
    <row r="13411" spans="16:20">
      <c r="P13411" s="1094">
        <v>5552</v>
      </c>
      <c r="Q13411" t="s">
        <v>13521</v>
      </c>
      <c r="R13411" t="s">
        <v>615</v>
      </c>
      <c r="S13411">
        <v>137.862942</v>
      </c>
      <c r="T13411" s="1095">
        <v>-34.061253000000001</v>
      </c>
    </row>
    <row r="13412" spans="16:20">
      <c r="P13412" s="1094">
        <v>5552</v>
      </c>
      <c r="Q13412" t="s">
        <v>13522</v>
      </c>
      <c r="R13412" t="s">
        <v>615</v>
      </c>
      <c r="S13412">
        <v>137.862942</v>
      </c>
      <c r="T13412" s="1095">
        <v>-34.061253000000001</v>
      </c>
    </row>
    <row r="13413" spans="16:20">
      <c r="P13413" s="1094">
        <v>5554</v>
      </c>
      <c r="Q13413" t="s">
        <v>13523</v>
      </c>
      <c r="R13413" t="s">
        <v>615</v>
      </c>
      <c r="S13413">
        <v>137.756193</v>
      </c>
      <c r="T13413" s="1095">
        <v>-33.928029000000002</v>
      </c>
    </row>
    <row r="13414" spans="16:20">
      <c r="P13414" s="1094">
        <v>5554</v>
      </c>
      <c r="Q13414" t="s">
        <v>13524</v>
      </c>
      <c r="R13414" t="s">
        <v>615</v>
      </c>
      <c r="S13414">
        <v>137.756193</v>
      </c>
      <c r="T13414" s="1095">
        <v>-33.928029000000002</v>
      </c>
    </row>
    <row r="13415" spans="16:20">
      <c r="P13415" s="1094">
        <v>5554</v>
      </c>
      <c r="Q13415" t="s">
        <v>11580</v>
      </c>
      <c r="R13415" t="s">
        <v>615</v>
      </c>
      <c r="S13415">
        <v>137.756193</v>
      </c>
      <c r="T13415" s="1095">
        <v>-33.928029000000002</v>
      </c>
    </row>
    <row r="13416" spans="16:20">
      <c r="P13416" s="1094">
        <v>5554</v>
      </c>
      <c r="Q13416" t="s">
        <v>13525</v>
      </c>
      <c r="R13416" t="s">
        <v>615</v>
      </c>
      <c r="S13416">
        <v>137.756193</v>
      </c>
      <c r="T13416" s="1095">
        <v>-33.928029000000002</v>
      </c>
    </row>
    <row r="13417" spans="16:20">
      <c r="P13417" s="1094">
        <v>5554</v>
      </c>
      <c r="Q13417" t="s">
        <v>6254</v>
      </c>
      <c r="R13417" t="s">
        <v>615</v>
      </c>
      <c r="S13417">
        <v>137.756193</v>
      </c>
      <c r="T13417" s="1095">
        <v>-33.928029000000002</v>
      </c>
    </row>
    <row r="13418" spans="16:20">
      <c r="P13418" s="1094">
        <v>5554</v>
      </c>
      <c r="Q13418" t="s">
        <v>13526</v>
      </c>
      <c r="R13418" t="s">
        <v>615</v>
      </c>
      <c r="S13418">
        <v>137.756193</v>
      </c>
      <c r="T13418" s="1095">
        <v>-33.928029000000002</v>
      </c>
    </row>
    <row r="13419" spans="16:20">
      <c r="P13419" s="1094">
        <v>5554</v>
      </c>
      <c r="Q13419" t="s">
        <v>13527</v>
      </c>
      <c r="R13419" t="s">
        <v>615</v>
      </c>
      <c r="S13419">
        <v>137.756193</v>
      </c>
      <c r="T13419" s="1095">
        <v>-33.928029000000002</v>
      </c>
    </row>
    <row r="13420" spans="16:20">
      <c r="P13420" s="1094">
        <v>5554</v>
      </c>
      <c r="Q13420" t="s">
        <v>13528</v>
      </c>
      <c r="R13420" t="s">
        <v>615</v>
      </c>
      <c r="S13420">
        <v>137.756193</v>
      </c>
      <c r="T13420" s="1095">
        <v>-33.928029000000002</v>
      </c>
    </row>
    <row r="13421" spans="16:20">
      <c r="P13421" s="1094">
        <v>5554</v>
      </c>
      <c r="Q13421" t="s">
        <v>13529</v>
      </c>
      <c r="R13421" t="s">
        <v>615</v>
      </c>
      <c r="S13421">
        <v>137.756193</v>
      </c>
      <c r="T13421" s="1095">
        <v>-33.928029000000002</v>
      </c>
    </row>
    <row r="13422" spans="16:20">
      <c r="P13422" s="1094">
        <v>5554</v>
      </c>
      <c r="Q13422" t="s">
        <v>13530</v>
      </c>
      <c r="R13422" t="s">
        <v>615</v>
      </c>
      <c r="S13422">
        <v>137.756193</v>
      </c>
      <c r="T13422" s="1095">
        <v>-33.928029000000002</v>
      </c>
    </row>
    <row r="13423" spans="16:20">
      <c r="P13423" s="1094">
        <v>5555</v>
      </c>
      <c r="Q13423" t="s">
        <v>13531</v>
      </c>
      <c r="R13423" t="s">
        <v>615</v>
      </c>
      <c r="S13423">
        <v>138.19116099999999</v>
      </c>
      <c r="T13423" s="1095">
        <v>-33.656810999999998</v>
      </c>
    </row>
    <row r="13424" spans="16:20">
      <c r="P13424" s="1094">
        <v>5555</v>
      </c>
      <c r="Q13424" t="s">
        <v>13532</v>
      </c>
      <c r="R13424" t="s">
        <v>615</v>
      </c>
      <c r="S13424">
        <v>138.19116099999999</v>
      </c>
      <c r="T13424" s="1095">
        <v>-33.656810999999998</v>
      </c>
    </row>
    <row r="13425" spans="16:20">
      <c r="P13425" s="1094">
        <v>5555</v>
      </c>
      <c r="Q13425" t="s">
        <v>13533</v>
      </c>
      <c r="R13425" t="s">
        <v>615</v>
      </c>
      <c r="S13425">
        <v>138.19116099999999</v>
      </c>
      <c r="T13425" s="1095">
        <v>-33.656810999999998</v>
      </c>
    </row>
    <row r="13426" spans="16:20">
      <c r="P13426" s="1094">
        <v>5555</v>
      </c>
      <c r="Q13426" t="s">
        <v>13534</v>
      </c>
      <c r="R13426" t="s">
        <v>615</v>
      </c>
      <c r="S13426">
        <v>138.19116099999999</v>
      </c>
      <c r="T13426" s="1095">
        <v>-33.656810999999998</v>
      </c>
    </row>
    <row r="13427" spans="16:20">
      <c r="P13427" s="1094">
        <v>5555</v>
      </c>
      <c r="Q13427" t="s">
        <v>13535</v>
      </c>
      <c r="R13427" t="s">
        <v>615</v>
      </c>
      <c r="S13427">
        <v>138.19116099999999</v>
      </c>
      <c r="T13427" s="1095">
        <v>-33.656810999999998</v>
      </c>
    </row>
    <row r="13428" spans="16:20">
      <c r="P13428" s="1094">
        <v>5555</v>
      </c>
      <c r="Q13428" t="s">
        <v>13536</v>
      </c>
      <c r="R13428" t="s">
        <v>615</v>
      </c>
      <c r="S13428">
        <v>138.19116099999999</v>
      </c>
      <c r="T13428" s="1095">
        <v>-33.656810999999998</v>
      </c>
    </row>
    <row r="13429" spans="16:20">
      <c r="P13429" s="1094">
        <v>5555</v>
      </c>
      <c r="Q13429" t="s">
        <v>7202</v>
      </c>
      <c r="R13429" t="s">
        <v>615</v>
      </c>
      <c r="S13429">
        <v>138.19116099999999</v>
      </c>
      <c r="T13429" s="1095">
        <v>-33.656810999999998</v>
      </c>
    </row>
    <row r="13430" spans="16:20">
      <c r="P13430" s="1094">
        <v>5555</v>
      </c>
      <c r="Q13430" t="s">
        <v>13537</v>
      </c>
      <c r="R13430" t="s">
        <v>615</v>
      </c>
      <c r="S13430">
        <v>138.19116099999999</v>
      </c>
      <c r="T13430" s="1095">
        <v>-33.656810999999998</v>
      </c>
    </row>
    <row r="13431" spans="16:20">
      <c r="P13431" s="1094">
        <v>5555</v>
      </c>
      <c r="Q13431" t="s">
        <v>13538</v>
      </c>
      <c r="R13431" t="s">
        <v>615</v>
      </c>
      <c r="S13431">
        <v>138.19116099999999</v>
      </c>
      <c r="T13431" s="1095">
        <v>-33.656810999999998</v>
      </c>
    </row>
    <row r="13432" spans="16:20">
      <c r="P13432" s="1094">
        <v>5555</v>
      </c>
      <c r="Q13432" t="s">
        <v>13539</v>
      </c>
      <c r="R13432" t="s">
        <v>615</v>
      </c>
      <c r="S13432">
        <v>138.19116099999999</v>
      </c>
      <c r="T13432" s="1095">
        <v>-33.656810999999998</v>
      </c>
    </row>
    <row r="13433" spans="16:20">
      <c r="P13433" s="1094">
        <v>5556</v>
      </c>
      <c r="Q13433" t="s">
        <v>13540</v>
      </c>
      <c r="R13433" t="s">
        <v>615</v>
      </c>
      <c r="S13433">
        <v>137.610828</v>
      </c>
      <c r="T13433" s="1095">
        <v>-33.950853000000002</v>
      </c>
    </row>
    <row r="13434" spans="16:20">
      <c r="P13434" s="1094">
        <v>5556</v>
      </c>
      <c r="Q13434" t="s">
        <v>2681</v>
      </c>
      <c r="R13434" t="s">
        <v>615</v>
      </c>
      <c r="S13434">
        <v>137.610828</v>
      </c>
      <c r="T13434" s="1095">
        <v>-33.950853000000002</v>
      </c>
    </row>
    <row r="13435" spans="16:20">
      <c r="P13435" s="1094">
        <v>5556</v>
      </c>
      <c r="Q13435" t="s">
        <v>13541</v>
      </c>
      <c r="R13435" t="s">
        <v>615</v>
      </c>
      <c r="S13435">
        <v>137.610828</v>
      </c>
      <c r="T13435" s="1095">
        <v>-33.950853000000002</v>
      </c>
    </row>
    <row r="13436" spans="16:20">
      <c r="P13436" s="1094">
        <v>5556</v>
      </c>
      <c r="Q13436" t="s">
        <v>13542</v>
      </c>
      <c r="R13436" t="s">
        <v>615</v>
      </c>
      <c r="S13436">
        <v>137.610828</v>
      </c>
      <c r="T13436" s="1095">
        <v>-33.950853000000002</v>
      </c>
    </row>
    <row r="13437" spans="16:20">
      <c r="P13437" s="1094">
        <v>5558</v>
      </c>
      <c r="Q13437" t="s">
        <v>13543</v>
      </c>
      <c r="R13437" t="s">
        <v>615</v>
      </c>
      <c r="S13437">
        <v>137.59844899999999</v>
      </c>
      <c r="T13437" s="1095">
        <v>-34.105204999999998</v>
      </c>
    </row>
    <row r="13438" spans="16:20">
      <c r="P13438" s="1094">
        <v>5558</v>
      </c>
      <c r="Q13438" t="s">
        <v>6149</v>
      </c>
      <c r="R13438" t="s">
        <v>615</v>
      </c>
      <c r="S13438">
        <v>137.59844899999999</v>
      </c>
      <c r="T13438" s="1095">
        <v>-34.105204999999998</v>
      </c>
    </row>
    <row r="13439" spans="16:20">
      <c r="P13439" s="1094">
        <v>5558</v>
      </c>
      <c r="Q13439" t="s">
        <v>13544</v>
      </c>
      <c r="R13439" t="s">
        <v>615</v>
      </c>
      <c r="S13439">
        <v>137.59844899999999</v>
      </c>
      <c r="T13439" s="1095">
        <v>-34.105204999999998</v>
      </c>
    </row>
    <row r="13440" spans="16:20">
      <c r="P13440" s="1094">
        <v>5558</v>
      </c>
      <c r="Q13440" t="s">
        <v>13545</v>
      </c>
      <c r="R13440" t="s">
        <v>615</v>
      </c>
      <c r="S13440">
        <v>137.59844899999999</v>
      </c>
      <c r="T13440" s="1095">
        <v>-34.105204999999998</v>
      </c>
    </row>
    <row r="13441" spans="16:20">
      <c r="P13441" s="1094">
        <v>5558</v>
      </c>
      <c r="Q13441" t="s">
        <v>13546</v>
      </c>
      <c r="R13441" t="s">
        <v>615</v>
      </c>
      <c r="S13441">
        <v>137.59844899999999</v>
      </c>
      <c r="T13441" s="1095">
        <v>-34.105204999999998</v>
      </c>
    </row>
    <row r="13442" spans="16:20">
      <c r="P13442" s="1094">
        <v>5558</v>
      </c>
      <c r="Q13442" t="s">
        <v>13547</v>
      </c>
      <c r="R13442" t="s">
        <v>615</v>
      </c>
      <c r="S13442">
        <v>137.59844899999999</v>
      </c>
      <c r="T13442" s="1095">
        <v>-34.105204999999998</v>
      </c>
    </row>
    <row r="13443" spans="16:20">
      <c r="P13443" s="1094">
        <v>5558</v>
      </c>
      <c r="Q13443" t="s">
        <v>13548</v>
      </c>
      <c r="R13443" t="s">
        <v>615</v>
      </c>
      <c r="S13443">
        <v>137.59844899999999</v>
      </c>
      <c r="T13443" s="1095">
        <v>-34.105204999999998</v>
      </c>
    </row>
    <row r="13444" spans="16:20">
      <c r="P13444" s="1094">
        <v>5558</v>
      </c>
      <c r="Q13444" t="s">
        <v>13549</v>
      </c>
      <c r="R13444" t="s">
        <v>615</v>
      </c>
      <c r="S13444">
        <v>137.59844899999999</v>
      </c>
      <c r="T13444" s="1095">
        <v>-34.105204999999998</v>
      </c>
    </row>
    <row r="13445" spans="16:20">
      <c r="P13445" s="1094">
        <v>5558</v>
      </c>
      <c r="Q13445" t="s">
        <v>13550</v>
      </c>
      <c r="R13445" t="s">
        <v>615</v>
      </c>
      <c r="S13445">
        <v>137.59844899999999</v>
      </c>
      <c r="T13445" s="1095">
        <v>-34.105204999999998</v>
      </c>
    </row>
    <row r="13446" spans="16:20">
      <c r="P13446" s="1094">
        <v>5558</v>
      </c>
      <c r="Q13446" t="s">
        <v>13551</v>
      </c>
      <c r="R13446" t="s">
        <v>615</v>
      </c>
      <c r="S13446">
        <v>137.59844899999999</v>
      </c>
      <c r="T13446" s="1095">
        <v>-34.105204999999998</v>
      </c>
    </row>
    <row r="13447" spans="16:20">
      <c r="P13447" s="1094">
        <v>5558</v>
      </c>
      <c r="Q13447" t="s">
        <v>13552</v>
      </c>
      <c r="R13447" t="s">
        <v>615</v>
      </c>
      <c r="S13447">
        <v>137.59844899999999</v>
      </c>
      <c r="T13447" s="1095">
        <v>-34.105204999999998</v>
      </c>
    </row>
    <row r="13448" spans="16:20">
      <c r="P13448" s="1094">
        <v>5558</v>
      </c>
      <c r="Q13448" t="s">
        <v>13553</v>
      </c>
      <c r="R13448" t="s">
        <v>615</v>
      </c>
      <c r="S13448">
        <v>137.59844899999999</v>
      </c>
      <c r="T13448" s="1095">
        <v>-34.105204999999998</v>
      </c>
    </row>
    <row r="13449" spans="16:20">
      <c r="P13449" s="1094">
        <v>5558</v>
      </c>
      <c r="Q13449" t="s">
        <v>13554</v>
      </c>
      <c r="R13449" t="s">
        <v>615</v>
      </c>
      <c r="S13449">
        <v>137.59844899999999</v>
      </c>
      <c r="T13449" s="1095">
        <v>-34.105204999999998</v>
      </c>
    </row>
    <row r="13450" spans="16:20">
      <c r="P13450" s="1094">
        <v>5558</v>
      </c>
      <c r="Q13450" t="s">
        <v>7852</v>
      </c>
      <c r="R13450" t="s">
        <v>615</v>
      </c>
      <c r="S13450">
        <v>137.59844899999999</v>
      </c>
      <c r="T13450" s="1095">
        <v>-34.105204999999998</v>
      </c>
    </row>
    <row r="13451" spans="16:20">
      <c r="P13451" s="1094">
        <v>5560</v>
      </c>
      <c r="Q13451" t="s">
        <v>13555</v>
      </c>
      <c r="R13451" t="s">
        <v>615</v>
      </c>
      <c r="S13451">
        <v>138.03186700000001</v>
      </c>
      <c r="T13451" s="1095">
        <v>-33.895054999999999</v>
      </c>
    </row>
    <row r="13452" spans="16:20">
      <c r="P13452" s="1094">
        <v>5560</v>
      </c>
      <c r="Q13452" t="s">
        <v>13556</v>
      </c>
      <c r="R13452" t="s">
        <v>615</v>
      </c>
      <c r="S13452">
        <v>138.03186700000001</v>
      </c>
      <c r="T13452" s="1095">
        <v>-33.895054999999999</v>
      </c>
    </row>
    <row r="13453" spans="16:20">
      <c r="P13453" s="1094">
        <v>5570</v>
      </c>
      <c r="Q13453" t="s">
        <v>11330</v>
      </c>
      <c r="R13453" t="s">
        <v>615</v>
      </c>
      <c r="S13453">
        <v>137.956861</v>
      </c>
      <c r="T13453" s="1095">
        <v>-34.272303000000001</v>
      </c>
    </row>
    <row r="13454" spans="16:20">
      <c r="P13454" s="1094">
        <v>5570</v>
      </c>
      <c r="Q13454" t="s">
        <v>13557</v>
      </c>
      <c r="R13454" t="s">
        <v>615</v>
      </c>
      <c r="S13454">
        <v>137.956861</v>
      </c>
      <c r="T13454" s="1095">
        <v>-34.272303000000001</v>
      </c>
    </row>
    <row r="13455" spans="16:20">
      <c r="P13455" s="1094">
        <v>5570</v>
      </c>
      <c r="Q13455" t="s">
        <v>13558</v>
      </c>
      <c r="R13455" t="s">
        <v>615</v>
      </c>
      <c r="S13455">
        <v>137.956861</v>
      </c>
      <c r="T13455" s="1095">
        <v>-34.272303000000001</v>
      </c>
    </row>
    <row r="13456" spans="16:20">
      <c r="P13456" s="1094">
        <v>5570</v>
      </c>
      <c r="Q13456" t="s">
        <v>13559</v>
      </c>
      <c r="R13456" t="s">
        <v>615</v>
      </c>
      <c r="S13456">
        <v>137.956861</v>
      </c>
      <c r="T13456" s="1095">
        <v>-34.272303000000001</v>
      </c>
    </row>
    <row r="13457" spans="16:20">
      <c r="P13457" s="1094">
        <v>5571</v>
      </c>
      <c r="Q13457" t="s">
        <v>13560</v>
      </c>
      <c r="R13457" t="s">
        <v>615</v>
      </c>
      <c r="S13457">
        <v>137.81154100000001</v>
      </c>
      <c r="T13457" s="1095">
        <v>-34.514940000000003</v>
      </c>
    </row>
    <row r="13458" spans="16:20">
      <c r="P13458" s="1094">
        <v>5571</v>
      </c>
      <c r="Q13458" t="s">
        <v>13561</v>
      </c>
      <c r="R13458" t="s">
        <v>615</v>
      </c>
      <c r="S13458">
        <v>137.81154100000001</v>
      </c>
      <c r="T13458" s="1095">
        <v>-34.514940000000003</v>
      </c>
    </row>
    <row r="13459" spans="16:20">
      <c r="P13459" s="1094">
        <v>5571</v>
      </c>
      <c r="Q13459" t="s">
        <v>10336</v>
      </c>
      <c r="R13459" t="s">
        <v>615</v>
      </c>
      <c r="S13459">
        <v>137.81154100000001</v>
      </c>
      <c r="T13459" s="1095">
        <v>-34.514940000000003</v>
      </c>
    </row>
    <row r="13460" spans="16:20">
      <c r="P13460" s="1094">
        <v>5571</v>
      </c>
      <c r="Q13460" t="s">
        <v>13562</v>
      </c>
      <c r="R13460" t="s">
        <v>615</v>
      </c>
      <c r="S13460">
        <v>137.81154100000001</v>
      </c>
      <c r="T13460" s="1095">
        <v>-34.514940000000003</v>
      </c>
    </row>
    <row r="13461" spans="16:20">
      <c r="P13461" s="1094">
        <v>5571</v>
      </c>
      <c r="Q13461" t="s">
        <v>13563</v>
      </c>
      <c r="R13461" t="s">
        <v>615</v>
      </c>
      <c r="S13461">
        <v>137.81154100000001</v>
      </c>
      <c r="T13461" s="1095">
        <v>-34.514940000000003</v>
      </c>
    </row>
    <row r="13462" spans="16:20">
      <c r="P13462" s="1094">
        <v>5571</v>
      </c>
      <c r="Q13462" t="s">
        <v>13564</v>
      </c>
      <c r="R13462" t="s">
        <v>615</v>
      </c>
      <c r="S13462">
        <v>137.81154100000001</v>
      </c>
      <c r="T13462" s="1095">
        <v>-34.514940000000003</v>
      </c>
    </row>
    <row r="13463" spans="16:20">
      <c r="P13463" s="1094">
        <v>5571</v>
      </c>
      <c r="Q13463" t="s">
        <v>13565</v>
      </c>
      <c r="R13463" t="s">
        <v>615</v>
      </c>
      <c r="S13463">
        <v>137.81154100000001</v>
      </c>
      <c r="T13463" s="1095">
        <v>-34.514940000000003</v>
      </c>
    </row>
    <row r="13464" spans="16:20">
      <c r="P13464" s="1094">
        <v>5571</v>
      </c>
      <c r="Q13464" t="s">
        <v>13566</v>
      </c>
      <c r="R13464" t="s">
        <v>615</v>
      </c>
      <c r="S13464">
        <v>137.81154100000001</v>
      </c>
      <c r="T13464" s="1095">
        <v>-34.514940000000003</v>
      </c>
    </row>
    <row r="13465" spans="16:20">
      <c r="P13465" s="1094">
        <v>5571</v>
      </c>
      <c r="Q13465" t="s">
        <v>13567</v>
      </c>
      <c r="R13465" t="s">
        <v>615</v>
      </c>
      <c r="S13465">
        <v>137.81154100000001</v>
      </c>
      <c r="T13465" s="1095">
        <v>-34.514940000000003</v>
      </c>
    </row>
    <row r="13466" spans="16:20">
      <c r="P13466" s="1094">
        <v>5572</v>
      </c>
      <c r="Q13466" t="s">
        <v>13568</v>
      </c>
      <c r="R13466" t="s">
        <v>615</v>
      </c>
      <c r="S13466">
        <v>137.81252599999999</v>
      </c>
      <c r="T13466" s="1095">
        <v>-34.237138999999999</v>
      </c>
    </row>
    <row r="13467" spans="16:20">
      <c r="P13467" s="1094">
        <v>5572</v>
      </c>
      <c r="Q13467" t="s">
        <v>13569</v>
      </c>
      <c r="R13467" t="s">
        <v>615</v>
      </c>
      <c r="S13467">
        <v>137.81252599999999</v>
      </c>
      <c r="T13467" s="1095">
        <v>-34.237138999999999</v>
      </c>
    </row>
    <row r="13468" spans="16:20">
      <c r="P13468" s="1094">
        <v>5573</v>
      </c>
      <c r="Q13468" t="s">
        <v>10391</v>
      </c>
      <c r="R13468" t="s">
        <v>615</v>
      </c>
      <c r="S13468">
        <v>137.50860299999999</v>
      </c>
      <c r="T13468" s="1095">
        <v>-34.514149000000003</v>
      </c>
    </row>
    <row r="13469" spans="16:20">
      <c r="P13469" s="1094">
        <v>5573</v>
      </c>
      <c r="Q13469" t="s">
        <v>13570</v>
      </c>
      <c r="R13469" t="s">
        <v>615</v>
      </c>
      <c r="S13469">
        <v>137.50860299999999</v>
      </c>
      <c r="T13469" s="1095">
        <v>-34.514149000000003</v>
      </c>
    </row>
    <row r="13470" spans="16:20">
      <c r="P13470" s="1094">
        <v>5573</v>
      </c>
      <c r="Q13470" t="s">
        <v>2598</v>
      </c>
      <c r="R13470" t="s">
        <v>615</v>
      </c>
      <c r="S13470">
        <v>137.50860299999999</v>
      </c>
      <c r="T13470" s="1095">
        <v>-34.514149000000003</v>
      </c>
    </row>
    <row r="13471" spans="16:20">
      <c r="P13471" s="1094">
        <v>5573</v>
      </c>
      <c r="Q13471" t="s">
        <v>13571</v>
      </c>
      <c r="R13471" t="s">
        <v>615</v>
      </c>
      <c r="S13471">
        <v>137.50860299999999</v>
      </c>
      <c r="T13471" s="1095">
        <v>-34.514149000000003</v>
      </c>
    </row>
    <row r="13472" spans="16:20">
      <c r="P13472" s="1094">
        <v>5573</v>
      </c>
      <c r="Q13472" t="s">
        <v>13572</v>
      </c>
      <c r="R13472" t="s">
        <v>615</v>
      </c>
      <c r="S13472">
        <v>137.50860299999999</v>
      </c>
      <c r="T13472" s="1095">
        <v>-34.514149000000003</v>
      </c>
    </row>
    <row r="13473" spans="16:20">
      <c r="P13473" s="1094">
        <v>5573</v>
      </c>
      <c r="Q13473" t="s">
        <v>13573</v>
      </c>
      <c r="R13473" t="s">
        <v>615</v>
      </c>
      <c r="S13473">
        <v>137.50860299999999</v>
      </c>
      <c r="T13473" s="1095">
        <v>-34.514149000000003</v>
      </c>
    </row>
    <row r="13474" spans="16:20">
      <c r="P13474" s="1094">
        <v>5573</v>
      </c>
      <c r="Q13474" t="s">
        <v>13574</v>
      </c>
      <c r="R13474" t="s">
        <v>615</v>
      </c>
      <c r="S13474">
        <v>137.50860299999999</v>
      </c>
      <c r="T13474" s="1095">
        <v>-34.514149000000003</v>
      </c>
    </row>
    <row r="13475" spans="16:20">
      <c r="P13475" s="1094">
        <v>5573</v>
      </c>
      <c r="Q13475" t="s">
        <v>13575</v>
      </c>
      <c r="R13475" t="s">
        <v>615</v>
      </c>
      <c r="S13475">
        <v>137.50860299999999</v>
      </c>
      <c r="T13475" s="1095">
        <v>-34.514149000000003</v>
      </c>
    </row>
    <row r="13476" spans="16:20">
      <c r="P13476" s="1094">
        <v>5573</v>
      </c>
      <c r="Q13476" t="s">
        <v>13576</v>
      </c>
      <c r="R13476" t="s">
        <v>615</v>
      </c>
      <c r="S13476">
        <v>137.50860299999999</v>
      </c>
      <c r="T13476" s="1095">
        <v>-34.514149000000003</v>
      </c>
    </row>
    <row r="13477" spans="16:20">
      <c r="P13477" s="1094">
        <v>5573</v>
      </c>
      <c r="Q13477" t="s">
        <v>13577</v>
      </c>
      <c r="R13477" t="s">
        <v>615</v>
      </c>
      <c r="S13477">
        <v>137.50860299999999</v>
      </c>
      <c r="T13477" s="1095">
        <v>-34.514149000000003</v>
      </c>
    </row>
    <row r="13478" spans="16:20">
      <c r="P13478" s="1094">
        <v>5575</v>
      </c>
      <c r="Q13478" t="s">
        <v>13578</v>
      </c>
      <c r="R13478" t="s">
        <v>615</v>
      </c>
      <c r="S13478">
        <v>137.54460499999999</v>
      </c>
      <c r="T13478" s="1095">
        <v>-34.823141</v>
      </c>
    </row>
    <row r="13479" spans="16:20">
      <c r="P13479" s="1094">
        <v>5575</v>
      </c>
      <c r="Q13479" t="s">
        <v>13579</v>
      </c>
      <c r="R13479" t="s">
        <v>615</v>
      </c>
      <c r="S13479">
        <v>137.54460499999999</v>
      </c>
      <c r="T13479" s="1095">
        <v>-34.823141</v>
      </c>
    </row>
    <row r="13480" spans="16:20">
      <c r="P13480" s="1094">
        <v>5575</v>
      </c>
      <c r="Q13480" t="s">
        <v>13580</v>
      </c>
      <c r="R13480" t="s">
        <v>615</v>
      </c>
      <c r="S13480">
        <v>137.54460499999999</v>
      </c>
      <c r="T13480" s="1095">
        <v>-34.823141</v>
      </c>
    </row>
    <row r="13481" spans="16:20">
      <c r="P13481" s="1094">
        <v>5575</v>
      </c>
      <c r="Q13481" t="s">
        <v>13581</v>
      </c>
      <c r="R13481" t="s">
        <v>615</v>
      </c>
      <c r="S13481">
        <v>137.54460499999999</v>
      </c>
      <c r="T13481" s="1095">
        <v>-34.823141</v>
      </c>
    </row>
    <row r="13482" spans="16:20">
      <c r="P13482" s="1094">
        <v>5575</v>
      </c>
      <c r="Q13482" t="s">
        <v>13582</v>
      </c>
      <c r="R13482" t="s">
        <v>615</v>
      </c>
      <c r="S13482">
        <v>137.54460499999999</v>
      </c>
      <c r="T13482" s="1095">
        <v>-34.823141</v>
      </c>
    </row>
    <row r="13483" spans="16:20">
      <c r="P13483" s="1094">
        <v>5575</v>
      </c>
      <c r="Q13483" t="s">
        <v>13583</v>
      </c>
      <c r="R13483" t="s">
        <v>615</v>
      </c>
      <c r="S13483">
        <v>137.54460499999999</v>
      </c>
      <c r="T13483" s="1095">
        <v>-34.823141</v>
      </c>
    </row>
    <row r="13484" spans="16:20">
      <c r="P13484" s="1094">
        <v>5575</v>
      </c>
      <c r="Q13484" t="s">
        <v>13584</v>
      </c>
      <c r="R13484" t="s">
        <v>615</v>
      </c>
      <c r="S13484">
        <v>137.54460499999999</v>
      </c>
      <c r="T13484" s="1095">
        <v>-34.823141</v>
      </c>
    </row>
    <row r="13485" spans="16:20">
      <c r="P13485" s="1094">
        <v>5575</v>
      </c>
      <c r="Q13485" t="s">
        <v>13585</v>
      </c>
      <c r="R13485" t="s">
        <v>615</v>
      </c>
      <c r="S13485">
        <v>137.54460499999999</v>
      </c>
      <c r="T13485" s="1095">
        <v>-34.823141</v>
      </c>
    </row>
    <row r="13486" spans="16:20">
      <c r="P13486" s="1094">
        <v>5575</v>
      </c>
      <c r="Q13486" t="s">
        <v>13586</v>
      </c>
      <c r="R13486" t="s">
        <v>615</v>
      </c>
      <c r="S13486">
        <v>137.54460499999999</v>
      </c>
      <c r="T13486" s="1095">
        <v>-34.823141</v>
      </c>
    </row>
    <row r="13487" spans="16:20">
      <c r="P13487" s="1094">
        <v>5575</v>
      </c>
      <c r="Q13487" t="s">
        <v>13587</v>
      </c>
      <c r="R13487" t="s">
        <v>615</v>
      </c>
      <c r="S13487">
        <v>137.54460499999999</v>
      </c>
      <c r="T13487" s="1095">
        <v>-34.823141</v>
      </c>
    </row>
    <row r="13488" spans="16:20">
      <c r="P13488" s="1094">
        <v>5575</v>
      </c>
      <c r="Q13488" t="s">
        <v>13588</v>
      </c>
      <c r="R13488" t="s">
        <v>615</v>
      </c>
      <c r="S13488">
        <v>137.54460499999999</v>
      </c>
      <c r="T13488" s="1095">
        <v>-34.823141</v>
      </c>
    </row>
    <row r="13489" spans="16:20">
      <c r="P13489" s="1094">
        <v>5575</v>
      </c>
      <c r="Q13489" t="s">
        <v>13589</v>
      </c>
      <c r="R13489" t="s">
        <v>615</v>
      </c>
      <c r="S13489">
        <v>137.54460499999999</v>
      </c>
      <c r="T13489" s="1095">
        <v>-34.823141</v>
      </c>
    </row>
    <row r="13490" spans="16:20">
      <c r="P13490" s="1094">
        <v>5575</v>
      </c>
      <c r="Q13490" t="s">
        <v>10239</v>
      </c>
      <c r="R13490" t="s">
        <v>615</v>
      </c>
      <c r="S13490">
        <v>137.54460499999999</v>
      </c>
      <c r="T13490" s="1095">
        <v>-34.823141</v>
      </c>
    </row>
    <row r="13491" spans="16:20">
      <c r="P13491" s="1094">
        <v>5575</v>
      </c>
      <c r="Q13491" t="s">
        <v>13590</v>
      </c>
      <c r="R13491" t="s">
        <v>615</v>
      </c>
      <c r="S13491">
        <v>137.54460499999999</v>
      </c>
      <c r="T13491" s="1095">
        <v>-34.823141</v>
      </c>
    </row>
    <row r="13492" spans="16:20">
      <c r="P13492" s="1094">
        <v>5575</v>
      </c>
      <c r="Q13492" t="s">
        <v>6567</v>
      </c>
      <c r="R13492" t="s">
        <v>615</v>
      </c>
      <c r="S13492">
        <v>137.54460499999999</v>
      </c>
      <c r="T13492" s="1095">
        <v>-34.823141</v>
      </c>
    </row>
    <row r="13493" spans="16:20">
      <c r="P13493" s="1094">
        <v>5575</v>
      </c>
      <c r="Q13493" t="s">
        <v>13591</v>
      </c>
      <c r="R13493" t="s">
        <v>615</v>
      </c>
      <c r="S13493">
        <v>137.54460499999999</v>
      </c>
      <c r="T13493" s="1095">
        <v>-34.823141</v>
      </c>
    </row>
    <row r="13494" spans="16:20">
      <c r="P13494" s="1094">
        <v>5575</v>
      </c>
      <c r="Q13494" t="s">
        <v>13592</v>
      </c>
      <c r="R13494" t="s">
        <v>615</v>
      </c>
      <c r="S13494">
        <v>137.54460499999999</v>
      </c>
      <c r="T13494" s="1095">
        <v>-34.823141</v>
      </c>
    </row>
    <row r="13495" spans="16:20">
      <c r="P13495" s="1094">
        <v>5576</v>
      </c>
      <c r="Q13495" t="s">
        <v>13593</v>
      </c>
      <c r="R13495" t="s">
        <v>615</v>
      </c>
      <c r="S13495">
        <v>137.56046000000001</v>
      </c>
      <c r="T13495" s="1095">
        <v>-35.050773</v>
      </c>
    </row>
    <row r="13496" spans="16:20">
      <c r="P13496" s="1094">
        <v>5576</v>
      </c>
      <c r="Q13496" t="s">
        <v>13594</v>
      </c>
      <c r="R13496" t="s">
        <v>615</v>
      </c>
      <c r="S13496">
        <v>137.56046000000001</v>
      </c>
      <c r="T13496" s="1095">
        <v>-35.050773</v>
      </c>
    </row>
    <row r="13497" spans="16:20">
      <c r="P13497" s="1094">
        <v>5576</v>
      </c>
      <c r="Q13497" t="s">
        <v>13595</v>
      </c>
      <c r="R13497" t="s">
        <v>615</v>
      </c>
      <c r="S13497">
        <v>137.56046000000001</v>
      </c>
      <c r="T13497" s="1095">
        <v>-35.050773</v>
      </c>
    </row>
    <row r="13498" spans="16:20">
      <c r="P13498" s="1094">
        <v>5577</v>
      </c>
      <c r="Q13498" t="s">
        <v>13596</v>
      </c>
      <c r="R13498" t="s">
        <v>615</v>
      </c>
      <c r="S13498">
        <v>137.31002699999999</v>
      </c>
      <c r="T13498" s="1095">
        <v>-35.035673000000003</v>
      </c>
    </row>
    <row r="13499" spans="16:20">
      <c r="P13499" s="1094">
        <v>5577</v>
      </c>
      <c r="Q13499" t="s">
        <v>13597</v>
      </c>
      <c r="R13499" t="s">
        <v>615</v>
      </c>
      <c r="S13499">
        <v>137.31002699999999</v>
      </c>
      <c r="T13499" s="1095">
        <v>-35.035673000000003</v>
      </c>
    </row>
    <row r="13500" spans="16:20">
      <c r="P13500" s="1094">
        <v>5577</v>
      </c>
      <c r="Q13500" t="s">
        <v>13598</v>
      </c>
      <c r="R13500" t="s">
        <v>615</v>
      </c>
      <c r="S13500">
        <v>137.31002699999999</v>
      </c>
      <c r="T13500" s="1095">
        <v>-35.035673000000003</v>
      </c>
    </row>
    <row r="13501" spans="16:20">
      <c r="P13501" s="1094">
        <v>5580</v>
      </c>
      <c r="Q13501" t="s">
        <v>13599</v>
      </c>
      <c r="R13501" t="s">
        <v>615</v>
      </c>
      <c r="S13501">
        <v>137.70471900000001</v>
      </c>
      <c r="T13501" s="1095">
        <v>-34.658726000000001</v>
      </c>
    </row>
    <row r="13502" spans="16:20">
      <c r="P13502" s="1094">
        <v>5581</v>
      </c>
      <c r="Q13502" t="s">
        <v>13600</v>
      </c>
      <c r="R13502" t="s">
        <v>615</v>
      </c>
      <c r="S13502">
        <v>137.748829</v>
      </c>
      <c r="T13502" s="1095">
        <v>-34.789625000000001</v>
      </c>
    </row>
    <row r="13503" spans="16:20">
      <c r="P13503" s="1094">
        <v>5581</v>
      </c>
      <c r="Q13503" t="s">
        <v>13601</v>
      </c>
      <c r="R13503" t="s">
        <v>615</v>
      </c>
      <c r="S13503">
        <v>137.748829</v>
      </c>
      <c r="T13503" s="1095">
        <v>-34.789625000000001</v>
      </c>
    </row>
    <row r="13504" spans="16:20">
      <c r="P13504" s="1094">
        <v>5582</v>
      </c>
      <c r="Q13504" t="s">
        <v>13602</v>
      </c>
      <c r="R13504" t="s">
        <v>615</v>
      </c>
      <c r="S13504">
        <v>137.73459199999999</v>
      </c>
      <c r="T13504" s="1095">
        <v>-34.942309999999999</v>
      </c>
    </row>
    <row r="13505" spans="16:20">
      <c r="P13505" s="1094">
        <v>5582</v>
      </c>
      <c r="Q13505" t="s">
        <v>13603</v>
      </c>
      <c r="R13505" t="s">
        <v>615</v>
      </c>
      <c r="S13505">
        <v>137.73459199999999</v>
      </c>
      <c r="T13505" s="1095">
        <v>-34.942309999999999</v>
      </c>
    </row>
    <row r="13506" spans="16:20">
      <c r="P13506" s="1094">
        <v>5583</v>
      </c>
      <c r="Q13506" t="s">
        <v>13604</v>
      </c>
      <c r="R13506" t="s">
        <v>615</v>
      </c>
      <c r="S13506">
        <v>137.82593499999999</v>
      </c>
      <c r="T13506" s="1095">
        <v>-35.117696000000002</v>
      </c>
    </row>
    <row r="13507" spans="16:20">
      <c r="P13507" s="1094">
        <v>5583</v>
      </c>
      <c r="Q13507" t="s">
        <v>13605</v>
      </c>
      <c r="R13507" t="s">
        <v>615</v>
      </c>
      <c r="S13507">
        <v>137.82593499999999</v>
      </c>
      <c r="T13507" s="1095">
        <v>-35.117696000000002</v>
      </c>
    </row>
    <row r="13508" spans="16:20">
      <c r="P13508" s="1094">
        <v>5600</v>
      </c>
      <c r="Q13508" t="s">
        <v>13606</v>
      </c>
      <c r="R13508" t="s">
        <v>615</v>
      </c>
      <c r="S13508">
        <v>137.27729299999999</v>
      </c>
      <c r="T13508" s="1095">
        <v>-33.036338999999998</v>
      </c>
    </row>
    <row r="13509" spans="16:20">
      <c r="P13509" s="1094">
        <v>5600</v>
      </c>
      <c r="Q13509" t="s">
        <v>13607</v>
      </c>
      <c r="R13509" t="s">
        <v>615</v>
      </c>
      <c r="S13509">
        <v>137.27729299999999</v>
      </c>
      <c r="T13509" s="1095">
        <v>-33.036338999999998</v>
      </c>
    </row>
    <row r="13510" spans="16:20">
      <c r="P13510" s="1094">
        <v>5600</v>
      </c>
      <c r="Q13510" t="s">
        <v>13608</v>
      </c>
      <c r="R13510" t="s">
        <v>615</v>
      </c>
      <c r="S13510">
        <v>137.27729299999999</v>
      </c>
      <c r="T13510" s="1095">
        <v>-33.036338999999998</v>
      </c>
    </row>
    <row r="13511" spans="16:20">
      <c r="P13511" s="1094">
        <v>5600</v>
      </c>
      <c r="Q13511" t="s">
        <v>13609</v>
      </c>
      <c r="R13511" t="s">
        <v>615</v>
      </c>
      <c r="S13511">
        <v>137.27729299999999</v>
      </c>
      <c r="T13511" s="1095">
        <v>-33.036338999999998</v>
      </c>
    </row>
    <row r="13512" spans="16:20">
      <c r="P13512" s="1094">
        <v>5601</v>
      </c>
      <c r="Q13512" t="s">
        <v>13610</v>
      </c>
      <c r="R13512" t="s">
        <v>615</v>
      </c>
      <c r="S13512">
        <v>137.07548700000001</v>
      </c>
      <c r="T13512" s="1095">
        <v>-32.873614000000003</v>
      </c>
    </row>
    <row r="13513" spans="16:20">
      <c r="P13513" s="1094">
        <v>5602</v>
      </c>
      <c r="Q13513" t="s">
        <v>13611</v>
      </c>
      <c r="R13513" t="s">
        <v>615</v>
      </c>
      <c r="S13513">
        <v>136.86087599999999</v>
      </c>
      <c r="T13513" s="1095">
        <v>-33.530464000000002</v>
      </c>
    </row>
    <row r="13514" spans="16:20">
      <c r="P13514" s="1094">
        <v>5602</v>
      </c>
      <c r="Q13514" t="s">
        <v>13612</v>
      </c>
      <c r="R13514" t="s">
        <v>615</v>
      </c>
      <c r="S13514">
        <v>136.86087599999999</v>
      </c>
      <c r="T13514" s="1095">
        <v>-33.530464000000002</v>
      </c>
    </row>
    <row r="13515" spans="16:20">
      <c r="P13515" s="1094">
        <v>5602</v>
      </c>
      <c r="Q13515" t="s">
        <v>13613</v>
      </c>
      <c r="R13515" t="s">
        <v>615</v>
      </c>
      <c r="S13515">
        <v>136.86087599999999</v>
      </c>
      <c r="T13515" s="1095">
        <v>-33.530464000000002</v>
      </c>
    </row>
    <row r="13516" spans="16:20">
      <c r="P13516" s="1094">
        <v>5602</v>
      </c>
      <c r="Q13516" t="s">
        <v>11452</v>
      </c>
      <c r="R13516" t="s">
        <v>615</v>
      </c>
      <c r="S13516">
        <v>136.86087599999999</v>
      </c>
      <c r="T13516" s="1095">
        <v>-33.530464000000002</v>
      </c>
    </row>
    <row r="13517" spans="16:20">
      <c r="P13517" s="1094">
        <v>5602</v>
      </c>
      <c r="Q13517" t="s">
        <v>13614</v>
      </c>
      <c r="R13517" t="s">
        <v>615</v>
      </c>
      <c r="S13517">
        <v>136.86087599999999</v>
      </c>
      <c r="T13517" s="1095">
        <v>-33.530464000000002</v>
      </c>
    </row>
    <row r="13518" spans="16:20">
      <c r="P13518" s="1094">
        <v>5602</v>
      </c>
      <c r="Q13518" t="s">
        <v>13615</v>
      </c>
      <c r="R13518" t="s">
        <v>615</v>
      </c>
      <c r="S13518">
        <v>136.86087599999999</v>
      </c>
      <c r="T13518" s="1095">
        <v>-33.530464000000002</v>
      </c>
    </row>
    <row r="13519" spans="16:20">
      <c r="P13519" s="1094">
        <v>5602</v>
      </c>
      <c r="Q13519" t="s">
        <v>13616</v>
      </c>
      <c r="R13519" t="s">
        <v>615</v>
      </c>
      <c r="S13519">
        <v>136.86087599999999</v>
      </c>
      <c r="T13519" s="1095">
        <v>-33.530464000000002</v>
      </c>
    </row>
    <row r="13520" spans="16:20">
      <c r="P13520" s="1094">
        <v>5602</v>
      </c>
      <c r="Q13520" t="s">
        <v>13617</v>
      </c>
      <c r="R13520" t="s">
        <v>615</v>
      </c>
      <c r="S13520">
        <v>136.86087599999999</v>
      </c>
      <c r="T13520" s="1095">
        <v>-33.530464000000002</v>
      </c>
    </row>
    <row r="13521" spans="16:20">
      <c r="P13521" s="1094">
        <v>5603</v>
      </c>
      <c r="Q13521" t="s">
        <v>13618</v>
      </c>
      <c r="R13521" t="s">
        <v>615</v>
      </c>
      <c r="S13521">
        <v>136.49996100000001</v>
      </c>
      <c r="T13521" s="1095">
        <v>-33.831212000000001</v>
      </c>
    </row>
    <row r="13522" spans="16:20">
      <c r="P13522" s="1094">
        <v>5603</v>
      </c>
      <c r="Q13522" t="s">
        <v>13619</v>
      </c>
      <c r="R13522" t="s">
        <v>615</v>
      </c>
      <c r="S13522">
        <v>136.49996100000001</v>
      </c>
      <c r="T13522" s="1095">
        <v>-33.831212000000001</v>
      </c>
    </row>
    <row r="13523" spans="16:20">
      <c r="P13523" s="1094">
        <v>5603</v>
      </c>
      <c r="Q13523" t="s">
        <v>13620</v>
      </c>
      <c r="R13523" t="s">
        <v>615</v>
      </c>
      <c r="S13523">
        <v>136.49996100000001</v>
      </c>
      <c r="T13523" s="1095">
        <v>-33.831212000000001</v>
      </c>
    </row>
    <row r="13524" spans="16:20">
      <c r="P13524" s="1094">
        <v>5603</v>
      </c>
      <c r="Q13524" t="s">
        <v>13621</v>
      </c>
      <c r="R13524" t="s">
        <v>615</v>
      </c>
      <c r="S13524">
        <v>136.49996100000001</v>
      </c>
      <c r="T13524" s="1095">
        <v>-33.831212000000001</v>
      </c>
    </row>
    <row r="13525" spans="16:20">
      <c r="P13525" s="1094">
        <v>5604</v>
      </c>
      <c r="Q13525" t="s">
        <v>13622</v>
      </c>
      <c r="R13525" t="s">
        <v>615</v>
      </c>
      <c r="S13525">
        <v>136.301759</v>
      </c>
      <c r="T13525" s="1095">
        <v>-34.003329999999998</v>
      </c>
    </row>
    <row r="13526" spans="16:20">
      <c r="P13526" s="1094">
        <v>5605</v>
      </c>
      <c r="Q13526" t="s">
        <v>13623</v>
      </c>
      <c r="R13526" t="s">
        <v>615</v>
      </c>
      <c r="S13526">
        <v>136.15409099999999</v>
      </c>
      <c r="T13526" s="1095">
        <v>-34.258299999999998</v>
      </c>
    </row>
    <row r="13527" spans="16:20">
      <c r="P13527" s="1094">
        <v>5605</v>
      </c>
      <c r="Q13527" t="s">
        <v>13624</v>
      </c>
      <c r="R13527" t="s">
        <v>615</v>
      </c>
      <c r="S13527">
        <v>136.15409099999999</v>
      </c>
      <c r="T13527" s="1095">
        <v>-34.258299999999998</v>
      </c>
    </row>
    <row r="13528" spans="16:20">
      <c r="P13528" s="1094">
        <v>5606</v>
      </c>
      <c r="Q13528" t="s">
        <v>13625</v>
      </c>
      <c r="R13528" t="s">
        <v>615</v>
      </c>
      <c r="S13528">
        <v>136.85933800000001</v>
      </c>
      <c r="T13528" s="1095">
        <v>-35.373243000000002</v>
      </c>
    </row>
    <row r="13529" spans="16:20">
      <c r="P13529" s="1094">
        <v>5606</v>
      </c>
      <c r="Q13529" t="s">
        <v>13626</v>
      </c>
      <c r="R13529" t="s">
        <v>615</v>
      </c>
      <c r="S13529">
        <v>136.85933800000001</v>
      </c>
      <c r="T13529" s="1095">
        <v>-35.373243000000002</v>
      </c>
    </row>
    <row r="13530" spans="16:20">
      <c r="P13530" s="1094">
        <v>5607</v>
      </c>
      <c r="Q13530" t="s">
        <v>13627</v>
      </c>
      <c r="R13530" t="s">
        <v>615</v>
      </c>
      <c r="S13530">
        <v>136.45645400000001</v>
      </c>
      <c r="T13530" s="1095">
        <v>-35.156446000000003</v>
      </c>
    </row>
    <row r="13531" spans="16:20">
      <c r="P13531" s="1094">
        <v>5607</v>
      </c>
      <c r="Q13531" t="s">
        <v>13628</v>
      </c>
      <c r="R13531" t="s">
        <v>615</v>
      </c>
      <c r="S13531">
        <v>136.45645400000001</v>
      </c>
      <c r="T13531" s="1095">
        <v>-35.156446000000003</v>
      </c>
    </row>
    <row r="13532" spans="16:20">
      <c r="P13532" s="1094">
        <v>5607</v>
      </c>
      <c r="Q13532" t="s">
        <v>13629</v>
      </c>
      <c r="R13532" t="s">
        <v>615</v>
      </c>
      <c r="S13532">
        <v>136.45645400000001</v>
      </c>
      <c r="T13532" s="1095">
        <v>-35.156446000000003</v>
      </c>
    </row>
    <row r="13533" spans="16:20">
      <c r="P13533" s="1094">
        <v>5607</v>
      </c>
      <c r="Q13533" t="s">
        <v>13630</v>
      </c>
      <c r="R13533" t="s">
        <v>615</v>
      </c>
      <c r="S13533">
        <v>136.45645400000001</v>
      </c>
      <c r="T13533" s="1095">
        <v>-35.156446000000003</v>
      </c>
    </row>
    <row r="13534" spans="16:20">
      <c r="P13534" s="1094">
        <v>5607</v>
      </c>
      <c r="Q13534" t="s">
        <v>13631</v>
      </c>
      <c r="R13534" t="s">
        <v>615</v>
      </c>
      <c r="S13534">
        <v>136.45645400000001</v>
      </c>
      <c r="T13534" s="1095">
        <v>-35.156446000000003</v>
      </c>
    </row>
    <row r="13535" spans="16:20">
      <c r="P13535" s="1094">
        <v>5607</v>
      </c>
      <c r="Q13535" t="s">
        <v>13632</v>
      </c>
      <c r="R13535" t="s">
        <v>615</v>
      </c>
      <c r="S13535">
        <v>136.45645400000001</v>
      </c>
      <c r="T13535" s="1095">
        <v>-35.156446000000003</v>
      </c>
    </row>
    <row r="13536" spans="16:20">
      <c r="P13536" s="1094">
        <v>5607</v>
      </c>
      <c r="Q13536" t="s">
        <v>13633</v>
      </c>
      <c r="R13536" t="s">
        <v>615</v>
      </c>
      <c r="S13536">
        <v>136.45645400000001</v>
      </c>
      <c r="T13536" s="1095">
        <v>-35.156446000000003</v>
      </c>
    </row>
    <row r="13537" spans="16:20">
      <c r="P13537" s="1094">
        <v>5607</v>
      </c>
      <c r="Q13537" t="s">
        <v>13634</v>
      </c>
      <c r="R13537" t="s">
        <v>615</v>
      </c>
      <c r="S13537">
        <v>136.45645400000001</v>
      </c>
      <c r="T13537" s="1095">
        <v>-35.156446000000003</v>
      </c>
    </row>
    <row r="13538" spans="16:20">
      <c r="P13538" s="1094">
        <v>5607</v>
      </c>
      <c r="Q13538" t="s">
        <v>13635</v>
      </c>
      <c r="R13538" t="s">
        <v>615</v>
      </c>
      <c r="S13538">
        <v>136.45645400000001</v>
      </c>
      <c r="T13538" s="1095">
        <v>-35.156446000000003</v>
      </c>
    </row>
    <row r="13539" spans="16:20">
      <c r="P13539" s="1094">
        <v>5607</v>
      </c>
      <c r="Q13539" t="s">
        <v>13636</v>
      </c>
      <c r="R13539" t="s">
        <v>615</v>
      </c>
      <c r="S13539">
        <v>136.45645400000001</v>
      </c>
      <c r="T13539" s="1095">
        <v>-35.156446000000003</v>
      </c>
    </row>
    <row r="13540" spans="16:20">
      <c r="P13540" s="1094">
        <v>5607</v>
      </c>
      <c r="Q13540" t="s">
        <v>13637</v>
      </c>
      <c r="R13540" t="s">
        <v>615</v>
      </c>
      <c r="S13540">
        <v>136.45645400000001</v>
      </c>
      <c r="T13540" s="1095">
        <v>-35.156446000000003</v>
      </c>
    </row>
    <row r="13541" spans="16:20">
      <c r="P13541" s="1094">
        <v>5607</v>
      </c>
      <c r="Q13541" t="s">
        <v>13638</v>
      </c>
      <c r="R13541" t="s">
        <v>615</v>
      </c>
      <c r="S13541">
        <v>136.45645400000001</v>
      </c>
      <c r="T13541" s="1095">
        <v>-35.156446000000003</v>
      </c>
    </row>
    <row r="13542" spans="16:20">
      <c r="P13542" s="1094">
        <v>5607</v>
      </c>
      <c r="Q13542" t="s">
        <v>13639</v>
      </c>
      <c r="R13542" t="s">
        <v>615</v>
      </c>
      <c r="S13542">
        <v>136.45645400000001</v>
      </c>
      <c r="T13542" s="1095">
        <v>-35.156446000000003</v>
      </c>
    </row>
    <row r="13543" spans="16:20">
      <c r="P13543" s="1094">
        <v>5607</v>
      </c>
      <c r="Q13543" t="s">
        <v>13640</v>
      </c>
      <c r="R13543" t="s">
        <v>615</v>
      </c>
      <c r="S13543">
        <v>136.45645400000001</v>
      </c>
      <c r="T13543" s="1095">
        <v>-35.156446000000003</v>
      </c>
    </row>
    <row r="13544" spans="16:20">
      <c r="P13544" s="1094">
        <v>5607</v>
      </c>
      <c r="Q13544" t="s">
        <v>13641</v>
      </c>
      <c r="R13544" t="s">
        <v>615</v>
      </c>
      <c r="S13544">
        <v>136.45645400000001</v>
      </c>
      <c r="T13544" s="1095">
        <v>-35.156446000000003</v>
      </c>
    </row>
    <row r="13545" spans="16:20">
      <c r="P13545" s="1094">
        <v>5607</v>
      </c>
      <c r="Q13545" t="s">
        <v>13642</v>
      </c>
      <c r="R13545" t="s">
        <v>615</v>
      </c>
      <c r="S13545">
        <v>136.45645400000001</v>
      </c>
      <c r="T13545" s="1095">
        <v>-35.156446000000003</v>
      </c>
    </row>
    <row r="13546" spans="16:20">
      <c r="P13546" s="1094">
        <v>5607</v>
      </c>
      <c r="Q13546" t="s">
        <v>13643</v>
      </c>
      <c r="R13546" t="s">
        <v>615</v>
      </c>
      <c r="S13546">
        <v>136.45645400000001</v>
      </c>
      <c r="T13546" s="1095">
        <v>-35.156446000000003</v>
      </c>
    </row>
    <row r="13547" spans="16:20">
      <c r="P13547" s="1094">
        <v>5607</v>
      </c>
      <c r="Q13547" t="s">
        <v>13644</v>
      </c>
      <c r="R13547" t="s">
        <v>615</v>
      </c>
      <c r="S13547">
        <v>136.45645400000001</v>
      </c>
      <c r="T13547" s="1095">
        <v>-35.156446000000003</v>
      </c>
    </row>
    <row r="13548" spans="16:20">
      <c r="P13548" s="1094">
        <v>5607</v>
      </c>
      <c r="Q13548" t="s">
        <v>1529</v>
      </c>
      <c r="R13548" t="s">
        <v>615</v>
      </c>
      <c r="S13548">
        <v>136.45645400000001</v>
      </c>
      <c r="T13548" s="1095">
        <v>-35.156446000000003</v>
      </c>
    </row>
    <row r="13549" spans="16:20">
      <c r="P13549" s="1094">
        <v>5607</v>
      </c>
      <c r="Q13549" t="s">
        <v>13645</v>
      </c>
      <c r="R13549" t="s">
        <v>615</v>
      </c>
      <c r="S13549">
        <v>136.45645400000001</v>
      </c>
      <c r="T13549" s="1095">
        <v>-35.156446000000003</v>
      </c>
    </row>
    <row r="13550" spans="16:20">
      <c r="P13550" s="1094">
        <v>5607</v>
      </c>
      <c r="Q13550" t="s">
        <v>13646</v>
      </c>
      <c r="R13550" t="s">
        <v>615</v>
      </c>
      <c r="S13550">
        <v>136.45645400000001</v>
      </c>
      <c r="T13550" s="1095">
        <v>-35.156446000000003</v>
      </c>
    </row>
    <row r="13551" spans="16:20">
      <c r="P13551" s="1094">
        <v>5607</v>
      </c>
      <c r="Q13551" t="s">
        <v>13647</v>
      </c>
      <c r="R13551" t="s">
        <v>615</v>
      </c>
      <c r="S13551">
        <v>136.45645400000001</v>
      </c>
      <c r="T13551" s="1095">
        <v>-35.156446000000003</v>
      </c>
    </row>
    <row r="13552" spans="16:20">
      <c r="P13552" s="1094">
        <v>5607</v>
      </c>
      <c r="Q13552" t="s">
        <v>6302</v>
      </c>
      <c r="R13552" t="s">
        <v>615</v>
      </c>
      <c r="S13552">
        <v>136.45645400000001</v>
      </c>
      <c r="T13552" s="1095">
        <v>-35.156446000000003</v>
      </c>
    </row>
    <row r="13553" spans="16:20">
      <c r="P13553" s="1094">
        <v>5607</v>
      </c>
      <c r="Q13553" t="s">
        <v>13648</v>
      </c>
      <c r="R13553" t="s">
        <v>615</v>
      </c>
      <c r="S13553">
        <v>136.45645400000001</v>
      </c>
      <c r="T13553" s="1095">
        <v>-35.156446000000003</v>
      </c>
    </row>
    <row r="13554" spans="16:20">
      <c r="P13554" s="1094">
        <v>5607</v>
      </c>
      <c r="Q13554" t="s">
        <v>13649</v>
      </c>
      <c r="R13554" t="s">
        <v>615</v>
      </c>
      <c r="S13554">
        <v>136.45645400000001</v>
      </c>
      <c r="T13554" s="1095">
        <v>-35.156446000000003</v>
      </c>
    </row>
    <row r="13555" spans="16:20">
      <c r="P13555" s="1094">
        <v>5607</v>
      </c>
      <c r="Q13555" t="s">
        <v>13650</v>
      </c>
      <c r="R13555" t="s">
        <v>615</v>
      </c>
      <c r="S13555">
        <v>136.45645400000001</v>
      </c>
      <c r="T13555" s="1095">
        <v>-35.156446000000003</v>
      </c>
    </row>
    <row r="13556" spans="16:20">
      <c r="P13556" s="1094">
        <v>5607</v>
      </c>
      <c r="Q13556" t="s">
        <v>13651</v>
      </c>
      <c r="R13556" t="s">
        <v>615</v>
      </c>
      <c r="S13556">
        <v>136.45645400000001</v>
      </c>
      <c r="T13556" s="1095">
        <v>-35.156446000000003</v>
      </c>
    </row>
    <row r="13557" spans="16:20">
      <c r="P13557" s="1094">
        <v>5607</v>
      </c>
      <c r="Q13557" t="s">
        <v>13652</v>
      </c>
      <c r="R13557" t="s">
        <v>615</v>
      </c>
      <c r="S13557">
        <v>136.45645400000001</v>
      </c>
      <c r="T13557" s="1095">
        <v>-35.156446000000003</v>
      </c>
    </row>
    <row r="13558" spans="16:20">
      <c r="P13558" s="1094">
        <v>5607</v>
      </c>
      <c r="Q13558" t="s">
        <v>13626</v>
      </c>
      <c r="R13558" t="s">
        <v>615</v>
      </c>
      <c r="S13558">
        <v>136.45645400000001</v>
      </c>
      <c r="T13558" s="1095">
        <v>-35.156446000000003</v>
      </c>
    </row>
    <row r="13559" spans="16:20">
      <c r="P13559" s="1094">
        <v>5607</v>
      </c>
      <c r="Q13559" t="s">
        <v>13653</v>
      </c>
      <c r="R13559" t="s">
        <v>615</v>
      </c>
      <c r="S13559">
        <v>136.45645400000001</v>
      </c>
      <c r="T13559" s="1095">
        <v>-35.156446000000003</v>
      </c>
    </row>
    <row r="13560" spans="16:20">
      <c r="P13560" s="1094">
        <v>5607</v>
      </c>
      <c r="Q13560" t="s">
        <v>13654</v>
      </c>
      <c r="R13560" t="s">
        <v>615</v>
      </c>
      <c r="S13560">
        <v>136.45645400000001</v>
      </c>
      <c r="T13560" s="1095">
        <v>-35.156446000000003</v>
      </c>
    </row>
    <row r="13561" spans="16:20">
      <c r="P13561" s="1094">
        <v>5607</v>
      </c>
      <c r="Q13561" t="s">
        <v>13655</v>
      </c>
      <c r="R13561" t="s">
        <v>615</v>
      </c>
      <c r="S13561">
        <v>136.45645400000001</v>
      </c>
      <c r="T13561" s="1095">
        <v>-35.156446000000003</v>
      </c>
    </row>
    <row r="13562" spans="16:20">
      <c r="P13562" s="1094">
        <v>5607</v>
      </c>
      <c r="Q13562" t="s">
        <v>13656</v>
      </c>
      <c r="R13562" t="s">
        <v>615</v>
      </c>
      <c r="S13562">
        <v>136.45645400000001</v>
      </c>
      <c r="T13562" s="1095">
        <v>-35.156446000000003</v>
      </c>
    </row>
    <row r="13563" spans="16:20">
      <c r="P13563" s="1094">
        <v>5607</v>
      </c>
      <c r="Q13563" t="s">
        <v>13657</v>
      </c>
      <c r="R13563" t="s">
        <v>615</v>
      </c>
      <c r="S13563">
        <v>136.45645400000001</v>
      </c>
      <c r="T13563" s="1095">
        <v>-35.156446000000003</v>
      </c>
    </row>
    <row r="13564" spans="16:20">
      <c r="P13564" s="1094">
        <v>5607</v>
      </c>
      <c r="Q13564" t="s">
        <v>13658</v>
      </c>
      <c r="R13564" t="s">
        <v>615</v>
      </c>
      <c r="S13564">
        <v>136.45645400000001</v>
      </c>
      <c r="T13564" s="1095">
        <v>-35.156446000000003</v>
      </c>
    </row>
    <row r="13565" spans="16:20">
      <c r="P13565" s="1094">
        <v>5607</v>
      </c>
      <c r="Q13565" t="s">
        <v>13659</v>
      </c>
      <c r="R13565" t="s">
        <v>615</v>
      </c>
      <c r="S13565">
        <v>136.45645400000001</v>
      </c>
      <c r="T13565" s="1095">
        <v>-35.156446000000003</v>
      </c>
    </row>
    <row r="13566" spans="16:20">
      <c r="P13566" s="1094">
        <v>5607</v>
      </c>
      <c r="Q13566" t="s">
        <v>13660</v>
      </c>
      <c r="R13566" t="s">
        <v>615</v>
      </c>
      <c r="S13566">
        <v>136.45645400000001</v>
      </c>
      <c r="T13566" s="1095">
        <v>-35.156446000000003</v>
      </c>
    </row>
    <row r="13567" spans="16:20">
      <c r="P13567" s="1094">
        <v>5607</v>
      </c>
      <c r="Q13567" t="s">
        <v>9189</v>
      </c>
      <c r="R13567" t="s">
        <v>615</v>
      </c>
      <c r="S13567">
        <v>136.45645400000001</v>
      </c>
      <c r="T13567" s="1095">
        <v>-35.156446000000003</v>
      </c>
    </row>
    <row r="13568" spans="16:20">
      <c r="P13568" s="1094">
        <v>5607</v>
      </c>
      <c r="Q13568" t="s">
        <v>13661</v>
      </c>
      <c r="R13568" t="s">
        <v>615</v>
      </c>
      <c r="S13568">
        <v>136.45645400000001</v>
      </c>
      <c r="T13568" s="1095">
        <v>-35.156446000000003</v>
      </c>
    </row>
    <row r="13569" spans="16:20">
      <c r="P13569" s="1094">
        <v>5607</v>
      </c>
      <c r="Q13569" t="s">
        <v>13662</v>
      </c>
      <c r="R13569" t="s">
        <v>615</v>
      </c>
      <c r="S13569">
        <v>136.45645400000001</v>
      </c>
      <c r="T13569" s="1095">
        <v>-35.156446000000003</v>
      </c>
    </row>
    <row r="13570" spans="16:20">
      <c r="P13570" s="1094">
        <v>5607</v>
      </c>
      <c r="Q13570" t="s">
        <v>13663</v>
      </c>
      <c r="R13570" t="s">
        <v>615</v>
      </c>
      <c r="S13570">
        <v>136.45645400000001</v>
      </c>
      <c r="T13570" s="1095">
        <v>-35.156446000000003</v>
      </c>
    </row>
    <row r="13571" spans="16:20">
      <c r="P13571" s="1094">
        <v>5607</v>
      </c>
      <c r="Q13571" t="s">
        <v>13664</v>
      </c>
      <c r="R13571" t="s">
        <v>615</v>
      </c>
      <c r="S13571">
        <v>136.45645400000001</v>
      </c>
      <c r="T13571" s="1095">
        <v>-35.156446000000003</v>
      </c>
    </row>
    <row r="13572" spans="16:20">
      <c r="P13572" s="1094">
        <v>5607</v>
      </c>
      <c r="Q13572" t="s">
        <v>13665</v>
      </c>
      <c r="R13572" t="s">
        <v>615</v>
      </c>
      <c r="S13572">
        <v>136.45645400000001</v>
      </c>
      <c r="T13572" s="1095">
        <v>-35.156446000000003</v>
      </c>
    </row>
    <row r="13573" spans="16:20">
      <c r="P13573" s="1094">
        <v>5607</v>
      </c>
      <c r="Q13573" t="s">
        <v>13666</v>
      </c>
      <c r="R13573" t="s">
        <v>615</v>
      </c>
      <c r="S13573">
        <v>136.45645400000001</v>
      </c>
      <c r="T13573" s="1095">
        <v>-35.156446000000003</v>
      </c>
    </row>
    <row r="13574" spans="16:20">
      <c r="P13574" s="1094">
        <v>5607</v>
      </c>
      <c r="Q13574" t="s">
        <v>13667</v>
      </c>
      <c r="R13574" t="s">
        <v>615</v>
      </c>
      <c r="S13574">
        <v>136.45645400000001</v>
      </c>
      <c r="T13574" s="1095">
        <v>-35.156446000000003</v>
      </c>
    </row>
    <row r="13575" spans="16:20">
      <c r="P13575" s="1094">
        <v>5607</v>
      </c>
      <c r="Q13575" t="s">
        <v>13668</v>
      </c>
      <c r="R13575" t="s">
        <v>615</v>
      </c>
      <c r="S13575">
        <v>136.45645400000001</v>
      </c>
      <c r="T13575" s="1095">
        <v>-35.156446000000003</v>
      </c>
    </row>
    <row r="13576" spans="16:20">
      <c r="P13576" s="1094">
        <v>5608</v>
      </c>
      <c r="Q13576" t="s">
        <v>13669</v>
      </c>
      <c r="R13576" t="s">
        <v>615</v>
      </c>
      <c r="S13576">
        <v>137.52535399999999</v>
      </c>
      <c r="T13576" s="1095">
        <v>-33.034213000000001</v>
      </c>
    </row>
    <row r="13577" spans="16:20">
      <c r="P13577" s="1094">
        <v>5608</v>
      </c>
      <c r="Q13577" t="s">
        <v>13670</v>
      </c>
      <c r="R13577" t="s">
        <v>615</v>
      </c>
      <c r="S13577">
        <v>137.52535399999999</v>
      </c>
      <c r="T13577" s="1095">
        <v>-33.034213000000001</v>
      </c>
    </row>
    <row r="13578" spans="16:20">
      <c r="P13578" s="1094">
        <v>5608</v>
      </c>
      <c r="Q13578" t="s">
        <v>13671</v>
      </c>
      <c r="R13578" t="s">
        <v>615</v>
      </c>
      <c r="S13578">
        <v>137.52535399999999</v>
      </c>
      <c r="T13578" s="1095">
        <v>-33.034213000000001</v>
      </c>
    </row>
    <row r="13579" spans="16:20">
      <c r="P13579" s="1094">
        <v>5608</v>
      </c>
      <c r="Q13579" t="s">
        <v>13672</v>
      </c>
      <c r="R13579" t="s">
        <v>615</v>
      </c>
      <c r="S13579">
        <v>137.52535399999999</v>
      </c>
      <c r="T13579" s="1095">
        <v>-33.034213000000001</v>
      </c>
    </row>
    <row r="13580" spans="16:20">
      <c r="P13580" s="1094">
        <v>5609</v>
      </c>
      <c r="Q13580" t="s">
        <v>13673</v>
      </c>
      <c r="R13580" t="s">
        <v>615</v>
      </c>
      <c r="S13580">
        <v>137.51263399999999</v>
      </c>
      <c r="T13580" s="1095">
        <v>-33.021611999999998</v>
      </c>
    </row>
    <row r="13581" spans="16:20">
      <c r="P13581" s="1094">
        <v>5630</v>
      </c>
      <c r="Q13581" t="s">
        <v>13674</v>
      </c>
      <c r="R13581" t="s">
        <v>615</v>
      </c>
      <c r="S13581">
        <v>135.61222000000001</v>
      </c>
      <c r="T13581" s="1095">
        <v>-34.420482999999997</v>
      </c>
    </row>
    <row r="13582" spans="16:20">
      <c r="P13582" s="1094">
        <v>5631</v>
      </c>
      <c r="Q13582" t="s">
        <v>13675</v>
      </c>
      <c r="R13582" t="s">
        <v>615</v>
      </c>
      <c r="S13582">
        <v>135.66453000000001</v>
      </c>
      <c r="T13582" s="1095">
        <v>-34.285784999999997</v>
      </c>
    </row>
    <row r="13583" spans="16:20">
      <c r="P13583" s="1094">
        <v>5631</v>
      </c>
      <c r="Q13583" t="s">
        <v>13676</v>
      </c>
      <c r="R13583" t="s">
        <v>615</v>
      </c>
      <c r="S13583">
        <v>135.66453000000001</v>
      </c>
      <c r="T13583" s="1095">
        <v>-34.285784999999997</v>
      </c>
    </row>
    <row r="13584" spans="16:20">
      <c r="P13584" s="1094">
        <v>5632</v>
      </c>
      <c r="Q13584" t="s">
        <v>13677</v>
      </c>
      <c r="R13584" t="s">
        <v>615</v>
      </c>
      <c r="S13584">
        <v>135.635831</v>
      </c>
      <c r="T13584" s="1095">
        <v>-34.129198000000002</v>
      </c>
    </row>
    <row r="13585" spans="16:20">
      <c r="P13585" s="1094">
        <v>5632</v>
      </c>
      <c r="Q13585" t="s">
        <v>13678</v>
      </c>
      <c r="R13585" t="s">
        <v>615</v>
      </c>
      <c r="S13585">
        <v>135.635831</v>
      </c>
      <c r="T13585" s="1095">
        <v>-34.129198000000002</v>
      </c>
    </row>
    <row r="13586" spans="16:20">
      <c r="P13586" s="1094">
        <v>5633</v>
      </c>
      <c r="Q13586" t="s">
        <v>13679</v>
      </c>
      <c r="R13586" t="s">
        <v>615</v>
      </c>
      <c r="S13586">
        <v>135.58193299999999</v>
      </c>
      <c r="T13586" s="1095">
        <v>-33.448521</v>
      </c>
    </row>
    <row r="13587" spans="16:20">
      <c r="P13587" s="1094">
        <v>5633</v>
      </c>
      <c r="Q13587" t="s">
        <v>13680</v>
      </c>
      <c r="R13587" t="s">
        <v>615</v>
      </c>
      <c r="S13587">
        <v>135.58193299999999</v>
      </c>
      <c r="T13587" s="1095">
        <v>-33.448521</v>
      </c>
    </row>
    <row r="13588" spans="16:20">
      <c r="P13588" s="1094">
        <v>5640</v>
      </c>
      <c r="Q13588" t="s">
        <v>13681</v>
      </c>
      <c r="R13588" t="s">
        <v>615</v>
      </c>
      <c r="S13588">
        <v>136.43766099999999</v>
      </c>
      <c r="T13588" s="1095">
        <v>-33.606020999999998</v>
      </c>
    </row>
    <row r="13589" spans="16:20">
      <c r="P13589" s="1094">
        <v>5640</v>
      </c>
      <c r="Q13589" t="s">
        <v>13682</v>
      </c>
      <c r="R13589" t="s">
        <v>615</v>
      </c>
      <c r="S13589">
        <v>136.43766099999999</v>
      </c>
      <c r="T13589" s="1095">
        <v>-33.606020999999998</v>
      </c>
    </row>
    <row r="13590" spans="16:20">
      <c r="P13590" s="1094">
        <v>5640</v>
      </c>
      <c r="Q13590" t="s">
        <v>8562</v>
      </c>
      <c r="R13590" t="s">
        <v>615</v>
      </c>
      <c r="S13590">
        <v>136.43766099999999</v>
      </c>
      <c r="T13590" s="1095">
        <v>-33.606020999999998</v>
      </c>
    </row>
    <row r="13591" spans="16:20">
      <c r="P13591" s="1094">
        <v>5640</v>
      </c>
      <c r="Q13591" t="s">
        <v>13683</v>
      </c>
      <c r="R13591" t="s">
        <v>615</v>
      </c>
      <c r="S13591">
        <v>136.43766099999999</v>
      </c>
      <c r="T13591" s="1095">
        <v>-33.606020999999998</v>
      </c>
    </row>
    <row r="13592" spans="16:20">
      <c r="P13592" s="1094">
        <v>5641</v>
      </c>
      <c r="Q13592" t="s">
        <v>13684</v>
      </c>
      <c r="R13592" t="s">
        <v>615</v>
      </c>
      <c r="S13592">
        <v>136.31851700000001</v>
      </c>
      <c r="T13592" s="1095">
        <v>-33.100172000000001</v>
      </c>
    </row>
    <row r="13593" spans="16:20">
      <c r="P13593" s="1094">
        <v>5641</v>
      </c>
      <c r="Q13593" t="s">
        <v>13685</v>
      </c>
      <c r="R13593" t="s">
        <v>615</v>
      </c>
      <c r="S13593">
        <v>136.31851700000001</v>
      </c>
      <c r="T13593" s="1095">
        <v>-33.100172000000001</v>
      </c>
    </row>
    <row r="13594" spans="16:20">
      <c r="P13594" s="1094">
        <v>5641</v>
      </c>
      <c r="Q13594" t="s">
        <v>13686</v>
      </c>
      <c r="R13594" t="s">
        <v>615</v>
      </c>
      <c r="S13594">
        <v>136.31851700000001</v>
      </c>
      <c r="T13594" s="1095">
        <v>-33.100172000000001</v>
      </c>
    </row>
    <row r="13595" spans="16:20">
      <c r="P13595" s="1094">
        <v>5641</v>
      </c>
      <c r="Q13595" t="s">
        <v>13687</v>
      </c>
      <c r="R13595" t="s">
        <v>615</v>
      </c>
      <c r="S13595">
        <v>136.31851700000001</v>
      </c>
      <c r="T13595" s="1095">
        <v>-33.100172000000001</v>
      </c>
    </row>
    <row r="13596" spans="16:20">
      <c r="P13596" s="1094">
        <v>5641</v>
      </c>
      <c r="Q13596" t="s">
        <v>13688</v>
      </c>
      <c r="R13596" t="s">
        <v>615</v>
      </c>
      <c r="S13596">
        <v>136.31851700000001</v>
      </c>
      <c r="T13596" s="1095">
        <v>-33.100172000000001</v>
      </c>
    </row>
    <row r="13597" spans="16:20">
      <c r="P13597" s="1094">
        <v>5641</v>
      </c>
      <c r="Q13597" t="s">
        <v>13689</v>
      </c>
      <c r="R13597" t="s">
        <v>615</v>
      </c>
      <c r="S13597">
        <v>136.31851700000001</v>
      </c>
      <c r="T13597" s="1095">
        <v>-33.100172000000001</v>
      </c>
    </row>
    <row r="13598" spans="16:20">
      <c r="P13598" s="1094">
        <v>5641</v>
      </c>
      <c r="Q13598" t="s">
        <v>13690</v>
      </c>
      <c r="R13598" t="s">
        <v>615</v>
      </c>
      <c r="S13598">
        <v>136.31851700000001</v>
      </c>
      <c r="T13598" s="1095">
        <v>-33.100172000000001</v>
      </c>
    </row>
    <row r="13599" spans="16:20">
      <c r="P13599" s="1094">
        <v>5641</v>
      </c>
      <c r="Q13599" t="s">
        <v>13691</v>
      </c>
      <c r="R13599" t="s">
        <v>615</v>
      </c>
      <c r="S13599">
        <v>136.31851700000001</v>
      </c>
      <c r="T13599" s="1095">
        <v>-33.100172000000001</v>
      </c>
    </row>
    <row r="13600" spans="16:20">
      <c r="P13600" s="1094">
        <v>5641</v>
      </c>
      <c r="Q13600" t="s">
        <v>13692</v>
      </c>
      <c r="R13600" t="s">
        <v>615</v>
      </c>
      <c r="S13600">
        <v>136.31851700000001</v>
      </c>
      <c r="T13600" s="1095">
        <v>-33.100172000000001</v>
      </c>
    </row>
    <row r="13601" spans="16:20">
      <c r="P13601" s="1094">
        <v>5641</v>
      </c>
      <c r="Q13601" t="s">
        <v>13693</v>
      </c>
      <c r="R13601" t="s">
        <v>615</v>
      </c>
      <c r="S13601">
        <v>136.31851700000001</v>
      </c>
      <c r="T13601" s="1095">
        <v>-33.100172000000001</v>
      </c>
    </row>
    <row r="13602" spans="16:20">
      <c r="P13602" s="1094">
        <v>5641</v>
      </c>
      <c r="Q13602" t="s">
        <v>13694</v>
      </c>
      <c r="R13602" t="s">
        <v>615</v>
      </c>
      <c r="S13602">
        <v>136.31851700000001</v>
      </c>
      <c r="T13602" s="1095">
        <v>-33.100172000000001</v>
      </c>
    </row>
    <row r="13603" spans="16:20">
      <c r="P13603" s="1094">
        <v>5641</v>
      </c>
      <c r="Q13603" t="s">
        <v>13695</v>
      </c>
      <c r="R13603" t="s">
        <v>615</v>
      </c>
      <c r="S13603">
        <v>136.31851700000001</v>
      </c>
      <c r="T13603" s="1095">
        <v>-33.100172000000001</v>
      </c>
    </row>
    <row r="13604" spans="16:20">
      <c r="P13604" s="1094">
        <v>5641</v>
      </c>
      <c r="Q13604" t="s">
        <v>13696</v>
      </c>
      <c r="R13604" t="s">
        <v>615</v>
      </c>
      <c r="S13604">
        <v>136.31851700000001</v>
      </c>
      <c r="T13604" s="1095">
        <v>-33.100172000000001</v>
      </c>
    </row>
    <row r="13605" spans="16:20">
      <c r="P13605" s="1094">
        <v>5642</v>
      </c>
      <c r="Q13605" t="s">
        <v>13697</v>
      </c>
      <c r="R13605" t="s">
        <v>615</v>
      </c>
      <c r="S13605">
        <v>136.103172</v>
      </c>
      <c r="T13605" s="1095">
        <v>-33.558726</v>
      </c>
    </row>
    <row r="13606" spans="16:20">
      <c r="P13606" s="1094">
        <v>5642</v>
      </c>
      <c r="Q13606" t="s">
        <v>13698</v>
      </c>
      <c r="R13606" t="s">
        <v>615</v>
      </c>
      <c r="S13606">
        <v>136.103172</v>
      </c>
      <c r="T13606" s="1095">
        <v>-33.558726</v>
      </c>
    </row>
    <row r="13607" spans="16:20">
      <c r="P13607" s="1094">
        <v>5642</v>
      </c>
      <c r="Q13607" t="s">
        <v>13699</v>
      </c>
      <c r="R13607" t="s">
        <v>615</v>
      </c>
      <c r="S13607">
        <v>136.103172</v>
      </c>
      <c r="T13607" s="1095">
        <v>-33.558726</v>
      </c>
    </row>
    <row r="13608" spans="16:20">
      <c r="P13608" s="1094">
        <v>5642</v>
      </c>
      <c r="Q13608" t="s">
        <v>13700</v>
      </c>
      <c r="R13608" t="s">
        <v>615</v>
      </c>
      <c r="S13608">
        <v>136.103172</v>
      </c>
      <c r="T13608" s="1095">
        <v>-33.558726</v>
      </c>
    </row>
    <row r="13609" spans="16:20">
      <c r="P13609" s="1094">
        <v>5642</v>
      </c>
      <c r="Q13609" t="s">
        <v>13701</v>
      </c>
      <c r="R13609" t="s">
        <v>615</v>
      </c>
      <c r="S13609">
        <v>136.103172</v>
      </c>
      <c r="T13609" s="1095">
        <v>-33.558726</v>
      </c>
    </row>
    <row r="13610" spans="16:20">
      <c r="P13610" s="1094">
        <v>5650</v>
      </c>
      <c r="Q13610" t="s">
        <v>13702</v>
      </c>
      <c r="R13610" t="s">
        <v>615</v>
      </c>
      <c r="S13610">
        <v>135.74015199999999</v>
      </c>
      <c r="T13610" s="1095">
        <v>-33.152293999999998</v>
      </c>
    </row>
    <row r="13611" spans="16:20">
      <c r="P13611" s="1094">
        <v>5650</v>
      </c>
      <c r="Q13611" t="s">
        <v>13703</v>
      </c>
      <c r="R13611" t="s">
        <v>615</v>
      </c>
      <c r="S13611">
        <v>135.74015199999999</v>
      </c>
      <c r="T13611" s="1095">
        <v>-33.152293999999998</v>
      </c>
    </row>
    <row r="13612" spans="16:20">
      <c r="P13612" s="1094">
        <v>5650</v>
      </c>
      <c r="Q13612" t="s">
        <v>13704</v>
      </c>
      <c r="R13612" t="s">
        <v>615</v>
      </c>
      <c r="S13612">
        <v>135.74015199999999</v>
      </c>
      <c r="T13612" s="1095">
        <v>-33.152293999999998</v>
      </c>
    </row>
    <row r="13613" spans="16:20">
      <c r="P13613" s="1094">
        <v>5651</v>
      </c>
      <c r="Q13613" t="s">
        <v>13705</v>
      </c>
      <c r="R13613" t="s">
        <v>615</v>
      </c>
      <c r="S13613">
        <v>135.52842799999999</v>
      </c>
      <c r="T13613" s="1095">
        <v>-33.169607999999997</v>
      </c>
    </row>
    <row r="13614" spans="16:20">
      <c r="P13614" s="1094">
        <v>5652</v>
      </c>
      <c r="Q13614" t="s">
        <v>13706</v>
      </c>
      <c r="R13614" t="s">
        <v>615</v>
      </c>
      <c r="S13614">
        <v>135.24983399999999</v>
      </c>
      <c r="T13614" s="1095">
        <v>-33.091309000000003</v>
      </c>
    </row>
    <row r="13615" spans="16:20">
      <c r="P13615" s="1094">
        <v>5652</v>
      </c>
      <c r="Q13615" t="s">
        <v>13707</v>
      </c>
      <c r="R13615" t="s">
        <v>615</v>
      </c>
      <c r="S13615">
        <v>135.24983399999999</v>
      </c>
      <c r="T13615" s="1095">
        <v>-33.091309000000003</v>
      </c>
    </row>
    <row r="13616" spans="16:20">
      <c r="P13616" s="1094">
        <v>5653</v>
      </c>
      <c r="Q13616" t="s">
        <v>13708</v>
      </c>
      <c r="R13616" t="s">
        <v>615</v>
      </c>
      <c r="S13616">
        <v>135.22926699999999</v>
      </c>
      <c r="T13616" s="1095">
        <v>-32.967987000000001</v>
      </c>
    </row>
    <row r="13617" spans="16:20">
      <c r="P13617" s="1094">
        <v>5654</v>
      </c>
      <c r="Q13617" t="s">
        <v>13709</v>
      </c>
      <c r="R13617" t="s">
        <v>615</v>
      </c>
      <c r="S13617">
        <v>135.02091999999999</v>
      </c>
      <c r="T13617" s="1095">
        <v>-32.833204000000002</v>
      </c>
    </row>
    <row r="13618" spans="16:20">
      <c r="P13618" s="1094">
        <v>5654</v>
      </c>
      <c r="Q13618" t="s">
        <v>13710</v>
      </c>
      <c r="R13618" t="s">
        <v>615</v>
      </c>
      <c r="S13618">
        <v>135.02091999999999</v>
      </c>
      <c r="T13618" s="1095">
        <v>-32.833204000000002</v>
      </c>
    </row>
    <row r="13619" spans="16:20">
      <c r="P13619" s="1094">
        <v>5654</v>
      </c>
      <c r="Q13619" t="s">
        <v>13711</v>
      </c>
      <c r="R13619" t="s">
        <v>615</v>
      </c>
      <c r="S13619">
        <v>135.02091999999999</v>
      </c>
      <c r="T13619" s="1095">
        <v>-32.833204000000002</v>
      </c>
    </row>
    <row r="13620" spans="16:20">
      <c r="P13620" s="1094">
        <v>5655</v>
      </c>
      <c r="Q13620" t="s">
        <v>13712</v>
      </c>
      <c r="R13620" t="s">
        <v>615</v>
      </c>
      <c r="S13620">
        <v>134.79023599999999</v>
      </c>
      <c r="T13620" s="1095">
        <v>-32.708545000000001</v>
      </c>
    </row>
    <row r="13621" spans="16:20">
      <c r="P13621" s="1094">
        <v>5655</v>
      </c>
      <c r="Q13621" t="s">
        <v>13713</v>
      </c>
      <c r="R13621" t="s">
        <v>615</v>
      </c>
      <c r="S13621">
        <v>134.79023599999999</v>
      </c>
      <c r="T13621" s="1095">
        <v>-32.708545000000001</v>
      </c>
    </row>
    <row r="13622" spans="16:20">
      <c r="P13622" s="1094">
        <v>5660</v>
      </c>
      <c r="Q13622" t="s">
        <v>13714</v>
      </c>
      <c r="R13622" t="s">
        <v>615</v>
      </c>
      <c r="S13622">
        <v>134.65042800000001</v>
      </c>
      <c r="T13622" s="1095">
        <v>-32.544992999999998</v>
      </c>
    </row>
    <row r="13623" spans="16:20">
      <c r="P13623" s="1094">
        <v>5661</v>
      </c>
      <c r="Q13623" t="s">
        <v>13715</v>
      </c>
      <c r="R13623" t="s">
        <v>615</v>
      </c>
      <c r="S13623">
        <v>134.53943100000001</v>
      </c>
      <c r="T13623" s="1095">
        <v>-32.360111000000003</v>
      </c>
    </row>
    <row r="13624" spans="16:20">
      <c r="P13624" s="1094">
        <v>5661</v>
      </c>
      <c r="Q13624" t="s">
        <v>13716</v>
      </c>
      <c r="R13624" t="s">
        <v>615</v>
      </c>
      <c r="S13624">
        <v>134.53943100000001</v>
      </c>
      <c r="T13624" s="1095">
        <v>-32.360111000000003</v>
      </c>
    </row>
    <row r="13625" spans="16:20">
      <c r="P13625" s="1094">
        <v>5661</v>
      </c>
      <c r="Q13625" t="s">
        <v>13717</v>
      </c>
      <c r="R13625" t="s">
        <v>615</v>
      </c>
      <c r="S13625">
        <v>134.53943100000001</v>
      </c>
      <c r="T13625" s="1095">
        <v>-32.360111000000003</v>
      </c>
    </row>
    <row r="13626" spans="16:20">
      <c r="P13626" s="1094">
        <v>5670</v>
      </c>
      <c r="Q13626" t="s">
        <v>13718</v>
      </c>
      <c r="R13626" t="s">
        <v>615</v>
      </c>
      <c r="S13626">
        <v>135.02078</v>
      </c>
      <c r="T13626" s="1095">
        <v>-33.409359000000002</v>
      </c>
    </row>
    <row r="13627" spans="16:20">
      <c r="P13627" s="1094">
        <v>5670</v>
      </c>
      <c r="Q13627" t="s">
        <v>13719</v>
      </c>
      <c r="R13627" t="s">
        <v>615</v>
      </c>
      <c r="S13627">
        <v>135.02078</v>
      </c>
      <c r="T13627" s="1095">
        <v>-33.409359000000002</v>
      </c>
    </row>
    <row r="13628" spans="16:20">
      <c r="P13628" s="1094">
        <v>5670</v>
      </c>
      <c r="Q13628" t="s">
        <v>13720</v>
      </c>
      <c r="R13628" t="s">
        <v>615</v>
      </c>
      <c r="S13628">
        <v>135.02078</v>
      </c>
      <c r="T13628" s="1095">
        <v>-33.409359000000002</v>
      </c>
    </row>
    <row r="13629" spans="16:20">
      <c r="P13629" s="1094">
        <v>5670</v>
      </c>
      <c r="Q13629" t="s">
        <v>13721</v>
      </c>
      <c r="R13629" t="s">
        <v>615</v>
      </c>
      <c r="S13629">
        <v>135.02078</v>
      </c>
      <c r="T13629" s="1095">
        <v>-33.409359000000002</v>
      </c>
    </row>
    <row r="13630" spans="16:20">
      <c r="P13630" s="1094">
        <v>5670</v>
      </c>
      <c r="Q13630" t="s">
        <v>13722</v>
      </c>
      <c r="R13630" t="s">
        <v>615</v>
      </c>
      <c r="S13630">
        <v>135.02078</v>
      </c>
      <c r="T13630" s="1095">
        <v>-33.409359000000002</v>
      </c>
    </row>
    <row r="13631" spans="16:20">
      <c r="P13631" s="1094">
        <v>5670</v>
      </c>
      <c r="Q13631" t="s">
        <v>13723</v>
      </c>
      <c r="R13631" t="s">
        <v>615</v>
      </c>
      <c r="S13631">
        <v>135.02078</v>
      </c>
      <c r="T13631" s="1095">
        <v>-33.409359000000002</v>
      </c>
    </row>
    <row r="13632" spans="16:20">
      <c r="P13632" s="1094">
        <v>5670</v>
      </c>
      <c r="Q13632" t="s">
        <v>13724</v>
      </c>
      <c r="R13632" t="s">
        <v>615</v>
      </c>
      <c r="S13632">
        <v>135.02078</v>
      </c>
      <c r="T13632" s="1095">
        <v>-33.409359000000002</v>
      </c>
    </row>
    <row r="13633" spans="16:20">
      <c r="P13633" s="1094">
        <v>5670</v>
      </c>
      <c r="Q13633" t="s">
        <v>13725</v>
      </c>
      <c r="R13633" t="s">
        <v>615</v>
      </c>
      <c r="S13633">
        <v>135.02078</v>
      </c>
      <c r="T13633" s="1095">
        <v>-33.409359000000002</v>
      </c>
    </row>
    <row r="13634" spans="16:20">
      <c r="P13634" s="1094">
        <v>5670</v>
      </c>
      <c r="Q13634" t="s">
        <v>13726</v>
      </c>
      <c r="R13634" t="s">
        <v>615</v>
      </c>
      <c r="S13634">
        <v>135.02078</v>
      </c>
      <c r="T13634" s="1095">
        <v>-33.409359000000002</v>
      </c>
    </row>
    <row r="13635" spans="16:20">
      <c r="P13635" s="1094">
        <v>5670</v>
      </c>
      <c r="Q13635" t="s">
        <v>13727</v>
      </c>
      <c r="R13635" t="s">
        <v>615</v>
      </c>
      <c r="S13635">
        <v>135.02078</v>
      </c>
      <c r="T13635" s="1095">
        <v>-33.409359000000002</v>
      </c>
    </row>
    <row r="13636" spans="16:20">
      <c r="P13636" s="1094">
        <v>5670</v>
      </c>
      <c r="Q13636" t="s">
        <v>13728</v>
      </c>
      <c r="R13636" t="s">
        <v>615</v>
      </c>
      <c r="S13636">
        <v>135.02078</v>
      </c>
      <c r="T13636" s="1095">
        <v>-33.409359000000002</v>
      </c>
    </row>
    <row r="13637" spans="16:20">
      <c r="P13637" s="1094">
        <v>5671</v>
      </c>
      <c r="Q13637" t="s">
        <v>13729</v>
      </c>
      <c r="R13637" t="s">
        <v>615</v>
      </c>
      <c r="S13637">
        <v>134.67376200000001</v>
      </c>
      <c r="T13637" s="1095">
        <v>-33.210450000000002</v>
      </c>
    </row>
    <row r="13638" spans="16:20">
      <c r="P13638" s="1094">
        <v>5671</v>
      </c>
      <c r="Q13638" t="s">
        <v>13730</v>
      </c>
      <c r="R13638" t="s">
        <v>615</v>
      </c>
      <c r="S13638">
        <v>134.67376200000001</v>
      </c>
      <c r="T13638" s="1095">
        <v>-33.210450000000002</v>
      </c>
    </row>
    <row r="13639" spans="16:20">
      <c r="P13639" s="1094">
        <v>5671</v>
      </c>
      <c r="Q13639" t="s">
        <v>5054</v>
      </c>
      <c r="R13639" t="s">
        <v>615</v>
      </c>
      <c r="S13639">
        <v>134.67376200000001</v>
      </c>
      <c r="T13639" s="1095">
        <v>-33.210450000000002</v>
      </c>
    </row>
    <row r="13640" spans="16:20">
      <c r="P13640" s="1094">
        <v>5671</v>
      </c>
      <c r="Q13640" t="s">
        <v>13731</v>
      </c>
      <c r="R13640" t="s">
        <v>615</v>
      </c>
      <c r="S13640">
        <v>134.67376200000001</v>
      </c>
      <c r="T13640" s="1095">
        <v>-33.210450000000002</v>
      </c>
    </row>
    <row r="13641" spans="16:20">
      <c r="P13641" s="1094">
        <v>5680</v>
      </c>
      <c r="Q13641" t="s">
        <v>13732</v>
      </c>
      <c r="R13641" t="s">
        <v>615</v>
      </c>
      <c r="S13641">
        <v>134.37908999999999</v>
      </c>
      <c r="T13641" s="1095">
        <v>-32.672797000000003</v>
      </c>
    </row>
    <row r="13642" spans="16:20">
      <c r="P13642" s="1094">
        <v>5680</v>
      </c>
      <c r="Q13642" t="s">
        <v>13733</v>
      </c>
      <c r="R13642" t="s">
        <v>615</v>
      </c>
      <c r="S13642">
        <v>134.37908999999999</v>
      </c>
      <c r="T13642" s="1095">
        <v>-32.672797000000003</v>
      </c>
    </row>
    <row r="13643" spans="16:20">
      <c r="P13643" s="1094">
        <v>5680</v>
      </c>
      <c r="Q13643" t="s">
        <v>13734</v>
      </c>
      <c r="R13643" t="s">
        <v>615</v>
      </c>
      <c r="S13643">
        <v>134.37908999999999</v>
      </c>
      <c r="T13643" s="1095">
        <v>-32.672797000000003</v>
      </c>
    </row>
    <row r="13644" spans="16:20">
      <c r="P13644" s="1094">
        <v>5680</v>
      </c>
      <c r="Q13644" t="s">
        <v>13735</v>
      </c>
      <c r="R13644" t="s">
        <v>615</v>
      </c>
      <c r="S13644">
        <v>134.37908999999999</v>
      </c>
      <c r="T13644" s="1095">
        <v>-32.672797000000003</v>
      </c>
    </row>
    <row r="13645" spans="16:20">
      <c r="P13645" s="1094">
        <v>5680</v>
      </c>
      <c r="Q13645" t="s">
        <v>13736</v>
      </c>
      <c r="R13645" t="s">
        <v>615</v>
      </c>
      <c r="S13645">
        <v>134.37908999999999</v>
      </c>
      <c r="T13645" s="1095">
        <v>-32.672797000000003</v>
      </c>
    </row>
    <row r="13646" spans="16:20">
      <c r="P13646" s="1094">
        <v>5680</v>
      </c>
      <c r="Q13646" t="s">
        <v>13737</v>
      </c>
      <c r="R13646" t="s">
        <v>615</v>
      </c>
      <c r="S13646">
        <v>134.37908999999999</v>
      </c>
      <c r="T13646" s="1095">
        <v>-32.672797000000003</v>
      </c>
    </row>
    <row r="13647" spans="16:20">
      <c r="P13647" s="1094">
        <v>5680</v>
      </c>
      <c r="Q13647" t="s">
        <v>13738</v>
      </c>
      <c r="R13647" t="s">
        <v>615</v>
      </c>
      <c r="S13647">
        <v>134.37908999999999</v>
      </c>
      <c r="T13647" s="1095">
        <v>-32.672797000000003</v>
      </c>
    </row>
    <row r="13648" spans="16:20">
      <c r="P13648" s="1094">
        <v>5680</v>
      </c>
      <c r="Q13648" t="s">
        <v>13739</v>
      </c>
      <c r="R13648" t="s">
        <v>615</v>
      </c>
      <c r="S13648">
        <v>134.37908999999999</v>
      </c>
      <c r="T13648" s="1095">
        <v>-32.672797000000003</v>
      </c>
    </row>
    <row r="13649" spans="16:20">
      <c r="P13649" s="1094">
        <v>5680</v>
      </c>
      <c r="Q13649" t="s">
        <v>13740</v>
      </c>
      <c r="R13649" t="s">
        <v>615</v>
      </c>
      <c r="S13649">
        <v>134.37908999999999</v>
      </c>
      <c r="T13649" s="1095">
        <v>-32.672797000000003</v>
      </c>
    </row>
    <row r="13650" spans="16:20">
      <c r="P13650" s="1094">
        <v>5680</v>
      </c>
      <c r="Q13650" t="s">
        <v>13741</v>
      </c>
      <c r="R13650" t="s">
        <v>615</v>
      </c>
      <c r="S13650">
        <v>134.37908999999999</v>
      </c>
      <c r="T13650" s="1095">
        <v>-32.672797000000003</v>
      </c>
    </row>
    <row r="13651" spans="16:20">
      <c r="P13651" s="1094">
        <v>5680</v>
      </c>
      <c r="Q13651" t="s">
        <v>13742</v>
      </c>
      <c r="R13651" t="s">
        <v>615</v>
      </c>
      <c r="S13651">
        <v>134.37908999999999</v>
      </c>
      <c r="T13651" s="1095">
        <v>-32.672797000000003</v>
      </c>
    </row>
    <row r="13652" spans="16:20">
      <c r="P13652" s="1094">
        <v>5680</v>
      </c>
      <c r="Q13652" t="s">
        <v>13743</v>
      </c>
      <c r="R13652" t="s">
        <v>615</v>
      </c>
      <c r="S13652">
        <v>134.37908999999999</v>
      </c>
      <c r="T13652" s="1095">
        <v>-32.672797000000003</v>
      </c>
    </row>
    <row r="13653" spans="16:20">
      <c r="P13653" s="1094">
        <v>5680</v>
      </c>
      <c r="Q13653" t="s">
        <v>13744</v>
      </c>
      <c r="R13653" t="s">
        <v>615</v>
      </c>
      <c r="S13653">
        <v>134.37908999999999</v>
      </c>
      <c r="T13653" s="1095">
        <v>-32.672797000000003</v>
      </c>
    </row>
    <row r="13654" spans="16:20">
      <c r="P13654" s="1094">
        <v>5690</v>
      </c>
      <c r="Q13654" t="s">
        <v>13745</v>
      </c>
      <c r="R13654" t="s">
        <v>615</v>
      </c>
      <c r="S13654">
        <v>133.58227400000001</v>
      </c>
      <c r="T13654" s="1095">
        <v>-32.282716000000001</v>
      </c>
    </row>
    <row r="13655" spans="16:20">
      <c r="P13655" s="1094">
        <v>5690</v>
      </c>
      <c r="Q13655" t="s">
        <v>13746</v>
      </c>
      <c r="R13655" t="s">
        <v>615</v>
      </c>
      <c r="S13655">
        <v>133.58227400000001</v>
      </c>
      <c r="T13655" s="1095">
        <v>-32.282716000000001</v>
      </c>
    </row>
    <row r="13656" spans="16:20">
      <c r="P13656" s="1094">
        <v>5690</v>
      </c>
      <c r="Q13656" t="s">
        <v>13747</v>
      </c>
      <c r="R13656" t="s">
        <v>615</v>
      </c>
      <c r="S13656">
        <v>133.58227400000001</v>
      </c>
      <c r="T13656" s="1095">
        <v>-32.282716000000001</v>
      </c>
    </row>
    <row r="13657" spans="16:20">
      <c r="P13657" s="1094">
        <v>5690</v>
      </c>
      <c r="Q13657" t="s">
        <v>13748</v>
      </c>
      <c r="R13657" t="s">
        <v>615</v>
      </c>
      <c r="S13657">
        <v>133.58227400000001</v>
      </c>
      <c r="T13657" s="1095">
        <v>-32.282716000000001</v>
      </c>
    </row>
    <row r="13658" spans="16:20">
      <c r="P13658" s="1094">
        <v>5690</v>
      </c>
      <c r="Q13658" t="s">
        <v>13749</v>
      </c>
      <c r="R13658" t="s">
        <v>615</v>
      </c>
      <c r="S13658">
        <v>133.58227400000001</v>
      </c>
      <c r="T13658" s="1095">
        <v>-32.282716000000001</v>
      </c>
    </row>
    <row r="13659" spans="16:20">
      <c r="P13659" s="1094">
        <v>5690</v>
      </c>
      <c r="Q13659" t="s">
        <v>13750</v>
      </c>
      <c r="R13659" t="s">
        <v>615</v>
      </c>
      <c r="S13659">
        <v>133.58227400000001</v>
      </c>
      <c r="T13659" s="1095">
        <v>-32.282716000000001</v>
      </c>
    </row>
    <row r="13660" spans="16:20">
      <c r="P13660" s="1094">
        <v>5690</v>
      </c>
      <c r="Q13660" t="s">
        <v>13751</v>
      </c>
      <c r="R13660" t="s">
        <v>615</v>
      </c>
      <c r="S13660">
        <v>133.58227400000001</v>
      </c>
      <c r="T13660" s="1095">
        <v>-32.282716000000001</v>
      </c>
    </row>
    <row r="13661" spans="16:20">
      <c r="P13661" s="1094">
        <v>5690</v>
      </c>
      <c r="Q13661" t="s">
        <v>13752</v>
      </c>
      <c r="R13661" t="s">
        <v>615</v>
      </c>
      <c r="S13661">
        <v>133.58227400000001</v>
      </c>
      <c r="T13661" s="1095">
        <v>-32.282716000000001</v>
      </c>
    </row>
    <row r="13662" spans="16:20">
      <c r="P13662" s="1094">
        <v>5690</v>
      </c>
      <c r="Q13662" t="s">
        <v>13753</v>
      </c>
      <c r="R13662" t="s">
        <v>615</v>
      </c>
      <c r="S13662">
        <v>133.58227400000001</v>
      </c>
      <c r="T13662" s="1095">
        <v>-32.282716000000001</v>
      </c>
    </row>
    <row r="13663" spans="16:20">
      <c r="P13663" s="1094">
        <v>5690</v>
      </c>
      <c r="Q13663" t="s">
        <v>13754</v>
      </c>
      <c r="R13663" t="s">
        <v>615</v>
      </c>
      <c r="S13663">
        <v>133.58227400000001</v>
      </c>
      <c r="T13663" s="1095">
        <v>-32.282716000000001</v>
      </c>
    </row>
    <row r="13664" spans="16:20">
      <c r="P13664" s="1094">
        <v>5690</v>
      </c>
      <c r="Q13664" t="s">
        <v>13755</v>
      </c>
      <c r="R13664" t="s">
        <v>615</v>
      </c>
      <c r="S13664">
        <v>133.58227400000001</v>
      </c>
      <c r="T13664" s="1095">
        <v>-32.282716000000001</v>
      </c>
    </row>
    <row r="13665" spans="16:20">
      <c r="P13665" s="1094">
        <v>5690</v>
      </c>
      <c r="Q13665" t="s">
        <v>13756</v>
      </c>
      <c r="R13665" t="s">
        <v>615</v>
      </c>
      <c r="S13665">
        <v>133.58227400000001</v>
      </c>
      <c r="T13665" s="1095">
        <v>-32.282716000000001</v>
      </c>
    </row>
    <row r="13666" spans="16:20">
      <c r="P13666" s="1094">
        <v>5690</v>
      </c>
      <c r="Q13666" t="s">
        <v>13757</v>
      </c>
      <c r="R13666" t="s">
        <v>615</v>
      </c>
      <c r="S13666">
        <v>133.58227400000001</v>
      </c>
      <c r="T13666" s="1095">
        <v>-32.282716000000001</v>
      </c>
    </row>
    <row r="13667" spans="16:20">
      <c r="P13667" s="1094">
        <v>5690</v>
      </c>
      <c r="Q13667" t="s">
        <v>13758</v>
      </c>
      <c r="R13667" t="s">
        <v>615</v>
      </c>
      <c r="S13667">
        <v>133.58227400000001</v>
      </c>
      <c r="T13667" s="1095">
        <v>-32.282716000000001</v>
      </c>
    </row>
    <row r="13668" spans="16:20">
      <c r="P13668" s="1094">
        <v>5690</v>
      </c>
      <c r="Q13668" t="s">
        <v>13759</v>
      </c>
      <c r="R13668" t="s">
        <v>615</v>
      </c>
      <c r="S13668">
        <v>133.58227400000001</v>
      </c>
      <c r="T13668" s="1095">
        <v>-32.282716000000001</v>
      </c>
    </row>
    <row r="13669" spans="16:20">
      <c r="P13669" s="1094">
        <v>5690</v>
      </c>
      <c r="Q13669" t="s">
        <v>13760</v>
      </c>
      <c r="R13669" t="s">
        <v>615</v>
      </c>
      <c r="S13669">
        <v>133.58227400000001</v>
      </c>
      <c r="T13669" s="1095">
        <v>-32.282716000000001</v>
      </c>
    </row>
    <row r="13670" spans="16:20">
      <c r="P13670" s="1094">
        <v>5690</v>
      </c>
      <c r="Q13670" t="s">
        <v>13761</v>
      </c>
      <c r="R13670" t="s">
        <v>615</v>
      </c>
      <c r="S13670">
        <v>133.58227400000001</v>
      </c>
      <c r="T13670" s="1095">
        <v>-32.282716000000001</v>
      </c>
    </row>
    <row r="13671" spans="16:20">
      <c r="P13671" s="1094">
        <v>5690</v>
      </c>
      <c r="Q13671" t="s">
        <v>13762</v>
      </c>
      <c r="R13671" t="s">
        <v>615</v>
      </c>
      <c r="S13671">
        <v>133.58227400000001</v>
      </c>
      <c r="T13671" s="1095">
        <v>-32.282716000000001</v>
      </c>
    </row>
    <row r="13672" spans="16:20">
      <c r="P13672" s="1094">
        <v>5690</v>
      </c>
      <c r="Q13672" t="s">
        <v>13763</v>
      </c>
      <c r="R13672" t="s">
        <v>615</v>
      </c>
      <c r="S13672">
        <v>133.58227400000001</v>
      </c>
      <c r="T13672" s="1095">
        <v>-32.282716000000001</v>
      </c>
    </row>
    <row r="13673" spans="16:20">
      <c r="P13673" s="1094">
        <v>5700</v>
      </c>
      <c r="Q13673" t="s">
        <v>1673</v>
      </c>
      <c r="R13673" t="s">
        <v>615</v>
      </c>
      <c r="S13673">
        <v>137.70307299999999</v>
      </c>
      <c r="T13673" s="1095">
        <v>-32.735759999999999</v>
      </c>
    </row>
    <row r="13674" spans="16:20">
      <c r="P13674" s="1094">
        <v>5700</v>
      </c>
      <c r="Q13674" t="s">
        <v>13764</v>
      </c>
      <c r="R13674" t="s">
        <v>615</v>
      </c>
      <c r="S13674">
        <v>137.70307299999999</v>
      </c>
      <c r="T13674" s="1095">
        <v>-32.735759999999999</v>
      </c>
    </row>
    <row r="13675" spans="16:20">
      <c r="P13675" s="1094">
        <v>5700</v>
      </c>
      <c r="Q13675" t="s">
        <v>13765</v>
      </c>
      <c r="R13675" t="s">
        <v>615</v>
      </c>
      <c r="S13675">
        <v>137.70307299999999</v>
      </c>
      <c r="T13675" s="1095">
        <v>-32.735759999999999</v>
      </c>
    </row>
    <row r="13676" spans="16:20">
      <c r="P13676" s="1094">
        <v>5700</v>
      </c>
      <c r="Q13676" t="s">
        <v>13766</v>
      </c>
      <c r="R13676" t="s">
        <v>615</v>
      </c>
      <c r="S13676">
        <v>137.70307299999999</v>
      </c>
      <c r="T13676" s="1095">
        <v>-32.735759999999999</v>
      </c>
    </row>
    <row r="13677" spans="16:20">
      <c r="P13677" s="1094">
        <v>5700</v>
      </c>
      <c r="Q13677" t="s">
        <v>13767</v>
      </c>
      <c r="R13677" t="s">
        <v>615</v>
      </c>
      <c r="S13677">
        <v>137.70307299999999</v>
      </c>
      <c r="T13677" s="1095">
        <v>-32.735759999999999</v>
      </c>
    </row>
    <row r="13678" spans="16:20">
      <c r="P13678" s="1094">
        <v>5710</v>
      </c>
      <c r="Q13678" t="s">
        <v>4852</v>
      </c>
      <c r="R13678" t="s">
        <v>615</v>
      </c>
      <c r="S13678">
        <v>134.43004400000001</v>
      </c>
      <c r="T13678" s="1095">
        <v>-27.467217000000002</v>
      </c>
    </row>
    <row r="13679" spans="16:20">
      <c r="P13679" s="1094">
        <v>5710</v>
      </c>
      <c r="Q13679" t="s">
        <v>13768</v>
      </c>
      <c r="R13679" t="s">
        <v>615</v>
      </c>
      <c r="S13679">
        <v>134.43004400000001</v>
      </c>
      <c r="T13679" s="1095">
        <v>-27.467217000000002</v>
      </c>
    </row>
    <row r="13680" spans="16:20">
      <c r="P13680" s="1094">
        <v>5710</v>
      </c>
      <c r="Q13680" t="s">
        <v>13769</v>
      </c>
      <c r="R13680" t="s">
        <v>615</v>
      </c>
      <c r="S13680">
        <v>134.43004400000001</v>
      </c>
      <c r="T13680" s="1095">
        <v>-27.467217000000002</v>
      </c>
    </row>
    <row r="13681" spans="16:20">
      <c r="P13681" s="1094">
        <v>5710</v>
      </c>
      <c r="Q13681" t="s">
        <v>13770</v>
      </c>
      <c r="R13681" t="s">
        <v>615</v>
      </c>
      <c r="S13681">
        <v>134.43004400000001</v>
      </c>
      <c r="T13681" s="1095">
        <v>-27.467217000000002</v>
      </c>
    </row>
    <row r="13682" spans="16:20">
      <c r="P13682" s="1094">
        <v>5710</v>
      </c>
      <c r="Q13682" t="s">
        <v>13764</v>
      </c>
      <c r="R13682" t="s">
        <v>615</v>
      </c>
      <c r="S13682">
        <v>134.43004400000001</v>
      </c>
      <c r="T13682" s="1095">
        <v>-27.467217000000002</v>
      </c>
    </row>
    <row r="13683" spans="16:20">
      <c r="P13683" s="1094">
        <v>5710</v>
      </c>
      <c r="Q13683" t="s">
        <v>13771</v>
      </c>
      <c r="R13683" t="s">
        <v>615</v>
      </c>
      <c r="S13683">
        <v>134.43004400000001</v>
      </c>
      <c r="T13683" s="1095">
        <v>-27.467217000000002</v>
      </c>
    </row>
    <row r="13684" spans="16:20">
      <c r="P13684" s="1094">
        <v>5710</v>
      </c>
      <c r="Q13684" t="s">
        <v>13772</v>
      </c>
      <c r="R13684" t="s">
        <v>615</v>
      </c>
      <c r="S13684">
        <v>134.43004400000001</v>
      </c>
      <c r="T13684" s="1095">
        <v>-27.467217000000002</v>
      </c>
    </row>
    <row r="13685" spans="16:20">
      <c r="P13685" s="1094">
        <v>5720</v>
      </c>
      <c r="Q13685" t="s">
        <v>13773</v>
      </c>
      <c r="R13685" t="s">
        <v>615</v>
      </c>
      <c r="S13685">
        <v>136.05215999999999</v>
      </c>
      <c r="T13685" s="1095">
        <v>-30.499936000000002</v>
      </c>
    </row>
    <row r="13686" spans="16:20">
      <c r="P13686" s="1094">
        <v>5720</v>
      </c>
      <c r="Q13686" t="s">
        <v>13774</v>
      </c>
      <c r="R13686" t="s">
        <v>615</v>
      </c>
      <c r="S13686">
        <v>136.05215999999999</v>
      </c>
      <c r="T13686" s="1095">
        <v>-30.499936000000002</v>
      </c>
    </row>
    <row r="13687" spans="16:20">
      <c r="P13687" s="1094">
        <v>5722</v>
      </c>
      <c r="Q13687" t="s">
        <v>13775</v>
      </c>
      <c r="R13687" t="s">
        <v>615</v>
      </c>
      <c r="S13687">
        <v>137.19717499999999</v>
      </c>
      <c r="T13687" s="1095">
        <v>-30.779803000000001</v>
      </c>
    </row>
    <row r="13688" spans="16:20">
      <c r="P13688" s="1094">
        <v>5723</v>
      </c>
      <c r="Q13688" t="s">
        <v>13776</v>
      </c>
      <c r="R13688" t="s">
        <v>615</v>
      </c>
      <c r="S13688">
        <v>135.088086</v>
      </c>
      <c r="T13688" s="1095">
        <v>-28.500406000000002</v>
      </c>
    </row>
    <row r="13689" spans="16:20">
      <c r="P13689" s="1094">
        <v>5724</v>
      </c>
      <c r="Q13689" t="s">
        <v>13777</v>
      </c>
      <c r="R13689" t="s">
        <v>615</v>
      </c>
      <c r="S13689">
        <v>133.42086800000001</v>
      </c>
      <c r="T13689" s="1095">
        <v>-27.180602</v>
      </c>
    </row>
    <row r="13690" spans="16:20">
      <c r="P13690" s="1094">
        <v>5724</v>
      </c>
      <c r="Q13690" t="s">
        <v>13778</v>
      </c>
      <c r="R13690" t="s">
        <v>615</v>
      </c>
      <c r="S13690">
        <v>133.42086800000001</v>
      </c>
      <c r="T13690" s="1095">
        <v>-27.180602</v>
      </c>
    </row>
    <row r="13691" spans="16:20">
      <c r="P13691" s="1094">
        <v>5725</v>
      </c>
      <c r="Q13691" t="s">
        <v>13779</v>
      </c>
      <c r="R13691" t="s">
        <v>615</v>
      </c>
      <c r="S13691">
        <v>136.746735</v>
      </c>
      <c r="T13691" s="1095">
        <v>-30.430931000000001</v>
      </c>
    </row>
    <row r="13692" spans="16:20">
      <c r="P13692" s="1094">
        <v>5725</v>
      </c>
      <c r="Q13692" t="s">
        <v>13780</v>
      </c>
      <c r="R13692" t="s">
        <v>615</v>
      </c>
      <c r="S13692">
        <v>136.746735</v>
      </c>
      <c r="T13692" s="1095">
        <v>-30.430931000000001</v>
      </c>
    </row>
    <row r="13693" spans="16:20">
      <c r="P13693" s="1094">
        <v>5730</v>
      </c>
      <c r="Q13693" t="s">
        <v>13781</v>
      </c>
      <c r="R13693" t="s">
        <v>615</v>
      </c>
      <c r="S13693">
        <v>138.64108400000001</v>
      </c>
      <c r="T13693" s="1095">
        <v>-31.109943000000001</v>
      </c>
    </row>
    <row r="13694" spans="16:20">
      <c r="P13694" s="1094">
        <v>5730</v>
      </c>
      <c r="Q13694" t="s">
        <v>13782</v>
      </c>
      <c r="R13694" t="s">
        <v>615</v>
      </c>
      <c r="S13694">
        <v>138.64108400000001</v>
      </c>
      <c r="T13694" s="1095">
        <v>-31.109943000000001</v>
      </c>
    </row>
    <row r="13695" spans="16:20">
      <c r="P13695" s="1094">
        <v>5730</v>
      </c>
      <c r="Q13695" t="s">
        <v>13783</v>
      </c>
      <c r="R13695" t="s">
        <v>615</v>
      </c>
      <c r="S13695">
        <v>138.64108400000001</v>
      </c>
      <c r="T13695" s="1095">
        <v>-31.109943000000001</v>
      </c>
    </row>
    <row r="13696" spans="16:20">
      <c r="P13696" s="1094">
        <v>5731</v>
      </c>
      <c r="Q13696" t="s">
        <v>8806</v>
      </c>
      <c r="R13696" t="s">
        <v>615</v>
      </c>
      <c r="S13696">
        <v>139.66623899999999</v>
      </c>
      <c r="T13696" s="1095">
        <v>-29.818331000000001</v>
      </c>
    </row>
    <row r="13697" spans="16:20">
      <c r="P13697" s="1094">
        <v>5731</v>
      </c>
      <c r="Q13697" t="s">
        <v>13784</v>
      </c>
      <c r="R13697" t="s">
        <v>615</v>
      </c>
      <c r="S13697">
        <v>139.66623899999999</v>
      </c>
      <c r="T13697" s="1095">
        <v>-29.818331000000001</v>
      </c>
    </row>
    <row r="13698" spans="16:20">
      <c r="P13698" s="1094">
        <v>5731</v>
      </c>
      <c r="Q13698" t="s">
        <v>10509</v>
      </c>
      <c r="R13698" t="s">
        <v>615</v>
      </c>
      <c r="S13698">
        <v>139.66623899999999</v>
      </c>
      <c r="T13698" s="1095">
        <v>-29.818331000000001</v>
      </c>
    </row>
    <row r="13699" spans="16:20">
      <c r="P13699" s="1094">
        <v>5731</v>
      </c>
      <c r="Q13699" t="s">
        <v>13785</v>
      </c>
      <c r="R13699" t="s">
        <v>615</v>
      </c>
      <c r="S13699">
        <v>139.66623899999999</v>
      </c>
      <c r="T13699" s="1095">
        <v>-29.818331000000001</v>
      </c>
    </row>
    <row r="13700" spans="16:20">
      <c r="P13700" s="1094">
        <v>5731</v>
      </c>
      <c r="Q13700" t="s">
        <v>7309</v>
      </c>
      <c r="R13700" t="s">
        <v>615</v>
      </c>
      <c r="S13700">
        <v>139.66623899999999</v>
      </c>
      <c r="T13700" s="1095">
        <v>-29.818331000000001</v>
      </c>
    </row>
    <row r="13701" spans="16:20">
      <c r="P13701" s="1094">
        <v>5731</v>
      </c>
      <c r="Q13701" t="s">
        <v>2962</v>
      </c>
      <c r="R13701" t="s">
        <v>615</v>
      </c>
      <c r="S13701">
        <v>139.66623899999999</v>
      </c>
      <c r="T13701" s="1095">
        <v>-29.818331000000001</v>
      </c>
    </row>
    <row r="13702" spans="16:20">
      <c r="P13702" s="1094">
        <v>5731</v>
      </c>
      <c r="Q13702" t="s">
        <v>13786</v>
      </c>
      <c r="R13702" t="s">
        <v>615</v>
      </c>
      <c r="S13702">
        <v>139.66623899999999</v>
      </c>
      <c r="T13702" s="1095">
        <v>-29.818331000000001</v>
      </c>
    </row>
    <row r="13703" spans="16:20">
      <c r="P13703" s="1094">
        <v>5731</v>
      </c>
      <c r="Q13703" t="s">
        <v>13787</v>
      </c>
      <c r="R13703" t="s">
        <v>615</v>
      </c>
      <c r="S13703">
        <v>139.66623899999999</v>
      </c>
      <c r="T13703" s="1095">
        <v>-29.818331000000001</v>
      </c>
    </row>
    <row r="13704" spans="16:20">
      <c r="P13704" s="1094">
        <v>5731</v>
      </c>
      <c r="Q13704" t="s">
        <v>13788</v>
      </c>
      <c r="R13704" t="s">
        <v>615</v>
      </c>
      <c r="S13704">
        <v>139.66623899999999</v>
      </c>
      <c r="T13704" s="1095">
        <v>-29.818331000000001</v>
      </c>
    </row>
    <row r="13705" spans="16:20">
      <c r="P13705" s="1094">
        <v>5732</v>
      </c>
      <c r="Q13705" t="s">
        <v>13789</v>
      </c>
      <c r="R13705" t="s">
        <v>615</v>
      </c>
      <c r="S13705">
        <v>139.07634200000001</v>
      </c>
      <c r="T13705" s="1095">
        <v>-30.770199000000002</v>
      </c>
    </row>
    <row r="13706" spans="16:20">
      <c r="P13706" s="1094">
        <v>5732</v>
      </c>
      <c r="Q13706" t="s">
        <v>13790</v>
      </c>
      <c r="R13706" t="s">
        <v>615</v>
      </c>
      <c r="S13706">
        <v>139.07634200000001</v>
      </c>
      <c r="T13706" s="1095">
        <v>-30.770199000000002</v>
      </c>
    </row>
    <row r="13707" spans="16:20">
      <c r="P13707" s="1094">
        <v>5733</v>
      </c>
      <c r="Q13707" t="s">
        <v>13791</v>
      </c>
      <c r="R13707" t="s">
        <v>615</v>
      </c>
      <c r="S13707">
        <v>138.04951500000001</v>
      </c>
      <c r="T13707" s="1095">
        <v>-29.427879000000001</v>
      </c>
    </row>
    <row r="13708" spans="16:20">
      <c r="P13708" s="1094">
        <v>5733</v>
      </c>
      <c r="Q13708" t="s">
        <v>13792</v>
      </c>
      <c r="R13708" t="s">
        <v>615</v>
      </c>
      <c r="S13708">
        <v>138.04951500000001</v>
      </c>
      <c r="T13708" s="1095">
        <v>-29.427879000000001</v>
      </c>
    </row>
    <row r="13709" spans="16:20">
      <c r="P13709" s="1094">
        <v>5734</v>
      </c>
      <c r="Q13709" t="s">
        <v>13793</v>
      </c>
      <c r="R13709" t="s">
        <v>615</v>
      </c>
      <c r="S13709">
        <v>135.06257099999999</v>
      </c>
      <c r="T13709" s="1095">
        <v>-27.057138999999999</v>
      </c>
    </row>
    <row r="13710" spans="16:20">
      <c r="P13710" s="1094">
        <v>5800</v>
      </c>
      <c r="Q13710" t="s">
        <v>12399</v>
      </c>
      <c r="R13710" t="s">
        <v>615</v>
      </c>
      <c r="S13710">
        <v>0</v>
      </c>
      <c r="T13710" s="1095">
        <v>0</v>
      </c>
    </row>
    <row r="13711" spans="16:20">
      <c r="P13711" s="1094">
        <v>5810</v>
      </c>
      <c r="Q13711" t="s">
        <v>12399</v>
      </c>
      <c r="R13711" t="s">
        <v>615</v>
      </c>
      <c r="S13711">
        <v>0</v>
      </c>
      <c r="T13711" s="1095">
        <v>0</v>
      </c>
    </row>
    <row r="13712" spans="16:20">
      <c r="P13712" s="1094">
        <v>5839</v>
      </c>
      <c r="Q13712" t="s">
        <v>12399</v>
      </c>
      <c r="R13712" t="s">
        <v>615</v>
      </c>
      <c r="S13712">
        <v>0</v>
      </c>
      <c r="T13712" s="1095">
        <v>0</v>
      </c>
    </row>
    <row r="13713" spans="16:20">
      <c r="P13713" s="1094">
        <v>5860</v>
      </c>
      <c r="Q13713" t="s">
        <v>13794</v>
      </c>
      <c r="R13713" t="s">
        <v>615</v>
      </c>
      <c r="S13713">
        <v>0</v>
      </c>
      <c r="T13713" s="1095">
        <v>0</v>
      </c>
    </row>
    <row r="13714" spans="16:20">
      <c r="P13714" s="1094">
        <v>5861</v>
      </c>
      <c r="Q13714" t="s">
        <v>13794</v>
      </c>
      <c r="R13714" t="s">
        <v>615</v>
      </c>
      <c r="S13714">
        <v>0</v>
      </c>
      <c r="T13714" s="1095">
        <v>0</v>
      </c>
    </row>
    <row r="13715" spans="16:20">
      <c r="P13715" s="1094">
        <v>5862</v>
      </c>
      <c r="Q13715" t="s">
        <v>13794</v>
      </c>
      <c r="R13715" t="s">
        <v>615</v>
      </c>
      <c r="S13715">
        <v>0</v>
      </c>
      <c r="T13715" s="1095">
        <v>0</v>
      </c>
    </row>
    <row r="13716" spans="16:20">
      <c r="P13716" s="1094">
        <v>5863</v>
      </c>
      <c r="Q13716" t="s">
        <v>13794</v>
      </c>
      <c r="R13716" t="s">
        <v>615</v>
      </c>
      <c r="S13716">
        <v>0</v>
      </c>
      <c r="T13716" s="1095">
        <v>0</v>
      </c>
    </row>
    <row r="13717" spans="16:20">
      <c r="P13717" s="1094">
        <v>5864</v>
      </c>
      <c r="Q13717" t="s">
        <v>13794</v>
      </c>
      <c r="R13717" t="s">
        <v>615</v>
      </c>
      <c r="S13717">
        <v>0</v>
      </c>
      <c r="T13717" s="1095">
        <v>0</v>
      </c>
    </row>
    <row r="13718" spans="16:20">
      <c r="P13718" s="1094">
        <v>5865</v>
      </c>
      <c r="Q13718" t="s">
        <v>13794</v>
      </c>
      <c r="R13718" t="s">
        <v>615</v>
      </c>
      <c r="S13718">
        <v>0</v>
      </c>
      <c r="T13718" s="1095">
        <v>0</v>
      </c>
    </row>
    <row r="13719" spans="16:20">
      <c r="P13719" s="1094">
        <v>5866</v>
      </c>
      <c r="Q13719" t="s">
        <v>13794</v>
      </c>
      <c r="R13719" t="s">
        <v>615</v>
      </c>
      <c r="S13719">
        <v>0</v>
      </c>
      <c r="T13719" s="1095">
        <v>0</v>
      </c>
    </row>
    <row r="13720" spans="16:20">
      <c r="P13720" s="1094">
        <v>5867</v>
      </c>
      <c r="Q13720" t="s">
        <v>13794</v>
      </c>
      <c r="R13720" t="s">
        <v>615</v>
      </c>
      <c r="S13720">
        <v>0</v>
      </c>
      <c r="T13720" s="1095">
        <v>0</v>
      </c>
    </row>
    <row r="13721" spans="16:20">
      <c r="P13721" s="1094">
        <v>5868</v>
      </c>
      <c r="Q13721" t="s">
        <v>13794</v>
      </c>
      <c r="R13721" t="s">
        <v>615</v>
      </c>
      <c r="S13721">
        <v>0</v>
      </c>
      <c r="T13721" s="1095">
        <v>0</v>
      </c>
    </row>
    <row r="13722" spans="16:20">
      <c r="P13722" s="1094">
        <v>5869</v>
      </c>
      <c r="Q13722" t="s">
        <v>13794</v>
      </c>
      <c r="R13722" t="s">
        <v>615</v>
      </c>
      <c r="S13722">
        <v>0</v>
      </c>
      <c r="T13722" s="1095">
        <v>0</v>
      </c>
    </row>
    <row r="13723" spans="16:20">
      <c r="P13723" s="1094">
        <v>5870</v>
      </c>
      <c r="Q13723" t="s">
        <v>13794</v>
      </c>
      <c r="R13723" t="s">
        <v>615</v>
      </c>
      <c r="S13723">
        <v>0</v>
      </c>
      <c r="T13723" s="1095">
        <v>0</v>
      </c>
    </row>
    <row r="13724" spans="16:20">
      <c r="P13724" s="1094">
        <v>5871</v>
      </c>
      <c r="Q13724" t="s">
        <v>13794</v>
      </c>
      <c r="R13724" t="s">
        <v>615</v>
      </c>
      <c r="S13724">
        <v>0</v>
      </c>
      <c r="T13724" s="1095">
        <v>0</v>
      </c>
    </row>
    <row r="13725" spans="16:20">
      <c r="P13725" s="1094">
        <v>5872</v>
      </c>
      <c r="Q13725" t="s">
        <v>13794</v>
      </c>
      <c r="R13725" t="s">
        <v>615</v>
      </c>
      <c r="S13725">
        <v>0</v>
      </c>
      <c r="T13725" s="1095">
        <v>0</v>
      </c>
    </row>
    <row r="13726" spans="16:20">
      <c r="P13726" s="1094">
        <v>5873</v>
      </c>
      <c r="Q13726" t="s">
        <v>13794</v>
      </c>
      <c r="R13726" t="s">
        <v>615</v>
      </c>
      <c r="S13726">
        <v>0</v>
      </c>
      <c r="T13726" s="1095">
        <v>0</v>
      </c>
    </row>
    <row r="13727" spans="16:20">
      <c r="P13727" s="1094">
        <v>5874</v>
      </c>
      <c r="Q13727" t="s">
        <v>13794</v>
      </c>
      <c r="R13727" t="s">
        <v>615</v>
      </c>
      <c r="S13727">
        <v>0</v>
      </c>
      <c r="T13727" s="1095">
        <v>0</v>
      </c>
    </row>
    <row r="13728" spans="16:20">
      <c r="P13728" s="1094">
        <v>5875</v>
      </c>
      <c r="Q13728" t="s">
        <v>13794</v>
      </c>
      <c r="R13728" t="s">
        <v>615</v>
      </c>
      <c r="S13728">
        <v>0</v>
      </c>
      <c r="T13728" s="1095">
        <v>0</v>
      </c>
    </row>
    <row r="13729" spans="16:20">
      <c r="P13729" s="1094">
        <v>5876</v>
      </c>
      <c r="Q13729" t="s">
        <v>13794</v>
      </c>
      <c r="R13729" t="s">
        <v>615</v>
      </c>
      <c r="S13729">
        <v>0</v>
      </c>
      <c r="T13729" s="1095">
        <v>0</v>
      </c>
    </row>
    <row r="13730" spans="16:20">
      <c r="P13730" s="1094">
        <v>5877</v>
      </c>
      <c r="Q13730" t="s">
        <v>13794</v>
      </c>
      <c r="R13730" t="s">
        <v>615</v>
      </c>
      <c r="S13730">
        <v>0</v>
      </c>
      <c r="T13730" s="1095">
        <v>0</v>
      </c>
    </row>
    <row r="13731" spans="16:20">
      <c r="P13731" s="1094">
        <v>5878</v>
      </c>
      <c r="Q13731" t="s">
        <v>13794</v>
      </c>
      <c r="R13731" t="s">
        <v>615</v>
      </c>
      <c r="S13731">
        <v>0</v>
      </c>
      <c r="T13731" s="1095">
        <v>0</v>
      </c>
    </row>
    <row r="13732" spans="16:20">
      <c r="P13732" s="1094">
        <v>5879</v>
      </c>
      <c r="Q13732" t="s">
        <v>13794</v>
      </c>
      <c r="R13732" t="s">
        <v>615</v>
      </c>
      <c r="S13732">
        <v>0</v>
      </c>
      <c r="T13732" s="1095">
        <v>0</v>
      </c>
    </row>
    <row r="13733" spans="16:20">
      <c r="P13733" s="1094">
        <v>5880</v>
      </c>
      <c r="Q13733" t="s">
        <v>12399</v>
      </c>
      <c r="R13733" t="s">
        <v>615</v>
      </c>
      <c r="S13733">
        <v>0</v>
      </c>
      <c r="T13733" s="1095">
        <v>0</v>
      </c>
    </row>
    <row r="13734" spans="16:20">
      <c r="P13734" s="1094">
        <v>5881</v>
      </c>
      <c r="Q13734" t="s">
        <v>13795</v>
      </c>
      <c r="R13734" t="s">
        <v>615</v>
      </c>
      <c r="S13734">
        <v>0</v>
      </c>
      <c r="T13734" s="1095">
        <v>0</v>
      </c>
    </row>
    <row r="13735" spans="16:20">
      <c r="P13735" s="1094">
        <v>5882</v>
      </c>
      <c r="Q13735" t="s">
        <v>13795</v>
      </c>
      <c r="R13735" t="s">
        <v>615</v>
      </c>
      <c r="S13735">
        <v>0</v>
      </c>
      <c r="T13735" s="1095">
        <v>0</v>
      </c>
    </row>
    <row r="13736" spans="16:20">
      <c r="P13736" s="1094">
        <v>5883</v>
      </c>
      <c r="Q13736" t="s">
        <v>13795</v>
      </c>
      <c r="R13736" t="s">
        <v>615</v>
      </c>
      <c r="S13736">
        <v>0</v>
      </c>
      <c r="T13736" s="1095">
        <v>0</v>
      </c>
    </row>
    <row r="13737" spans="16:20">
      <c r="P13737" s="1094">
        <v>5884</v>
      </c>
      <c r="Q13737" t="s">
        <v>13795</v>
      </c>
      <c r="R13737" t="s">
        <v>615</v>
      </c>
      <c r="S13737">
        <v>0</v>
      </c>
      <c r="T13737" s="1095">
        <v>0</v>
      </c>
    </row>
    <row r="13738" spans="16:20">
      <c r="P13738" s="1094">
        <v>5885</v>
      </c>
      <c r="Q13738" t="s">
        <v>13795</v>
      </c>
      <c r="R13738" t="s">
        <v>615</v>
      </c>
      <c r="S13738">
        <v>0</v>
      </c>
      <c r="T13738" s="1095">
        <v>0</v>
      </c>
    </row>
    <row r="13739" spans="16:20">
      <c r="P13739" s="1094">
        <v>5886</v>
      </c>
      <c r="Q13739" t="s">
        <v>13795</v>
      </c>
      <c r="R13739" t="s">
        <v>615</v>
      </c>
      <c r="S13739">
        <v>0</v>
      </c>
      <c r="T13739" s="1095">
        <v>0</v>
      </c>
    </row>
    <row r="13740" spans="16:20">
      <c r="P13740" s="1094">
        <v>5887</v>
      </c>
      <c r="Q13740" t="s">
        <v>13795</v>
      </c>
      <c r="R13740" t="s">
        <v>615</v>
      </c>
      <c r="S13740">
        <v>0</v>
      </c>
      <c r="T13740" s="1095">
        <v>0</v>
      </c>
    </row>
    <row r="13741" spans="16:20">
      <c r="P13741" s="1094">
        <v>5888</v>
      </c>
      <c r="Q13741" t="s">
        <v>12399</v>
      </c>
      <c r="R13741" t="s">
        <v>615</v>
      </c>
      <c r="S13741">
        <v>0</v>
      </c>
      <c r="T13741" s="1095">
        <v>0</v>
      </c>
    </row>
    <row r="13742" spans="16:20">
      <c r="P13742" s="1094">
        <v>5889</v>
      </c>
      <c r="Q13742" t="s">
        <v>13795</v>
      </c>
      <c r="R13742" t="s">
        <v>615</v>
      </c>
      <c r="S13742">
        <v>0</v>
      </c>
      <c r="T13742" s="1095">
        <v>0</v>
      </c>
    </row>
    <row r="13743" spans="16:20">
      <c r="P13743" s="1094">
        <v>5890</v>
      </c>
      <c r="Q13743" t="s">
        <v>13794</v>
      </c>
      <c r="R13743" t="s">
        <v>615</v>
      </c>
      <c r="S13743">
        <v>0</v>
      </c>
      <c r="T13743" s="1095">
        <v>0</v>
      </c>
    </row>
    <row r="13744" spans="16:20">
      <c r="P13744" s="1094">
        <v>5891</v>
      </c>
      <c r="Q13744" t="s">
        <v>13794</v>
      </c>
      <c r="R13744" t="s">
        <v>615</v>
      </c>
      <c r="S13744">
        <v>0</v>
      </c>
      <c r="T13744" s="1095">
        <v>0</v>
      </c>
    </row>
    <row r="13745" spans="16:20">
      <c r="P13745" s="1094">
        <v>5892</v>
      </c>
      <c r="Q13745" t="s">
        <v>13794</v>
      </c>
      <c r="R13745" t="s">
        <v>615</v>
      </c>
      <c r="S13745">
        <v>0</v>
      </c>
      <c r="T13745" s="1095">
        <v>0</v>
      </c>
    </row>
    <row r="13746" spans="16:20">
      <c r="P13746" s="1094">
        <v>5893</v>
      </c>
      <c r="Q13746" t="s">
        <v>13794</v>
      </c>
      <c r="R13746" t="s">
        <v>615</v>
      </c>
      <c r="S13746">
        <v>0</v>
      </c>
      <c r="T13746" s="1095">
        <v>0</v>
      </c>
    </row>
    <row r="13747" spans="16:20">
      <c r="P13747" s="1094">
        <v>5894</v>
      </c>
      <c r="Q13747" t="s">
        <v>13794</v>
      </c>
      <c r="R13747" t="s">
        <v>615</v>
      </c>
      <c r="S13747">
        <v>0</v>
      </c>
      <c r="T13747" s="1095">
        <v>0</v>
      </c>
    </row>
    <row r="13748" spans="16:20">
      <c r="P13748" s="1094">
        <v>5895</v>
      </c>
      <c r="Q13748" t="s">
        <v>13794</v>
      </c>
      <c r="R13748" t="s">
        <v>615</v>
      </c>
      <c r="S13748">
        <v>0</v>
      </c>
      <c r="T13748" s="1095">
        <v>0</v>
      </c>
    </row>
    <row r="13749" spans="16:20">
      <c r="P13749" s="1094">
        <v>5896</v>
      </c>
      <c r="Q13749" t="s">
        <v>13794</v>
      </c>
      <c r="R13749" t="s">
        <v>615</v>
      </c>
      <c r="S13749">
        <v>0</v>
      </c>
      <c r="T13749" s="1095">
        <v>0</v>
      </c>
    </row>
    <row r="13750" spans="16:20">
      <c r="P13750" s="1094">
        <v>5897</v>
      </c>
      <c r="Q13750" t="s">
        <v>13794</v>
      </c>
      <c r="R13750" t="s">
        <v>615</v>
      </c>
      <c r="S13750">
        <v>0</v>
      </c>
      <c r="T13750" s="1095">
        <v>0</v>
      </c>
    </row>
    <row r="13751" spans="16:20">
      <c r="P13751" s="1094">
        <v>5898</v>
      </c>
      <c r="Q13751" t="s">
        <v>13794</v>
      </c>
      <c r="R13751" t="s">
        <v>615</v>
      </c>
      <c r="S13751">
        <v>0</v>
      </c>
      <c r="T13751" s="1095">
        <v>0</v>
      </c>
    </row>
    <row r="13752" spans="16:20">
      <c r="P13752" s="1094">
        <v>5899</v>
      </c>
      <c r="Q13752" t="s">
        <v>13794</v>
      </c>
      <c r="R13752" t="s">
        <v>615</v>
      </c>
      <c r="S13752">
        <v>0</v>
      </c>
      <c r="T13752" s="1095">
        <v>0</v>
      </c>
    </row>
    <row r="13753" spans="16:20">
      <c r="P13753" s="1094">
        <v>5900</v>
      </c>
      <c r="Q13753" t="s">
        <v>13795</v>
      </c>
      <c r="R13753" t="s">
        <v>615</v>
      </c>
      <c r="S13753">
        <v>0</v>
      </c>
      <c r="T13753" s="1095">
        <v>0</v>
      </c>
    </row>
    <row r="13754" spans="16:20">
      <c r="P13754" s="1094">
        <v>5901</v>
      </c>
      <c r="Q13754" t="s">
        <v>13795</v>
      </c>
      <c r="R13754" t="s">
        <v>615</v>
      </c>
      <c r="S13754">
        <v>0</v>
      </c>
      <c r="T13754" s="1095">
        <v>0</v>
      </c>
    </row>
    <row r="13755" spans="16:20">
      <c r="P13755" s="1094">
        <v>5902</v>
      </c>
      <c r="Q13755" t="s">
        <v>13795</v>
      </c>
      <c r="R13755" t="s">
        <v>615</v>
      </c>
      <c r="S13755">
        <v>0</v>
      </c>
      <c r="T13755" s="1095">
        <v>0</v>
      </c>
    </row>
    <row r="13756" spans="16:20">
      <c r="P13756" s="1094">
        <v>5903</v>
      </c>
      <c r="Q13756" t="s">
        <v>13795</v>
      </c>
      <c r="R13756" t="s">
        <v>615</v>
      </c>
      <c r="S13756">
        <v>0</v>
      </c>
      <c r="T13756" s="1095">
        <v>0</v>
      </c>
    </row>
    <row r="13757" spans="16:20">
      <c r="P13757" s="1094">
        <v>5904</v>
      </c>
      <c r="Q13757" t="s">
        <v>13795</v>
      </c>
      <c r="R13757" t="s">
        <v>615</v>
      </c>
      <c r="S13757">
        <v>0</v>
      </c>
      <c r="T13757" s="1095">
        <v>0</v>
      </c>
    </row>
    <row r="13758" spans="16:20">
      <c r="P13758" s="1094">
        <v>5920</v>
      </c>
      <c r="Q13758" t="s">
        <v>13795</v>
      </c>
      <c r="R13758" t="s">
        <v>615</v>
      </c>
      <c r="S13758">
        <v>0</v>
      </c>
      <c r="T13758" s="1095">
        <v>0</v>
      </c>
    </row>
    <row r="13759" spans="16:20">
      <c r="P13759" s="1094">
        <v>5942</v>
      </c>
      <c r="Q13759" t="s">
        <v>12427</v>
      </c>
      <c r="R13759" t="s">
        <v>615</v>
      </c>
      <c r="S13759">
        <v>0</v>
      </c>
      <c r="T13759" s="1095">
        <v>0</v>
      </c>
    </row>
    <row r="13760" spans="16:20">
      <c r="P13760" s="1094">
        <v>5950</v>
      </c>
      <c r="Q13760" t="s">
        <v>13796</v>
      </c>
      <c r="R13760" t="s">
        <v>615</v>
      </c>
      <c r="S13760">
        <v>138.53018299999999</v>
      </c>
      <c r="T13760" s="1095">
        <v>-34.945146000000001</v>
      </c>
    </row>
    <row r="13761" spans="16:20">
      <c r="P13761" s="1094">
        <v>5950</v>
      </c>
      <c r="Q13761" t="s">
        <v>13797</v>
      </c>
      <c r="R13761" t="s">
        <v>615</v>
      </c>
      <c r="S13761">
        <v>138.53018299999999</v>
      </c>
      <c r="T13761" s="1095">
        <v>-34.945146000000001</v>
      </c>
    </row>
    <row r="13762" spans="16:20">
      <c r="P13762" s="1094">
        <v>6000</v>
      </c>
      <c r="Q13762" t="s">
        <v>13798</v>
      </c>
      <c r="R13762" t="s">
        <v>480</v>
      </c>
      <c r="S13762">
        <v>115.85991199999999</v>
      </c>
      <c r="T13762" s="1095">
        <v>-31.948761999999999</v>
      </c>
    </row>
    <row r="13763" spans="16:20">
      <c r="P13763" s="1094">
        <v>6000</v>
      </c>
      <c r="Q13763" t="s">
        <v>13799</v>
      </c>
      <c r="R13763" t="s">
        <v>480</v>
      </c>
      <c r="S13763">
        <v>115.85991199999999</v>
      </c>
      <c r="T13763" s="1095">
        <v>-31.948761999999999</v>
      </c>
    </row>
    <row r="13764" spans="16:20">
      <c r="P13764" s="1094">
        <v>6000</v>
      </c>
      <c r="Q13764" t="s">
        <v>13800</v>
      </c>
      <c r="R13764" t="s">
        <v>480</v>
      </c>
      <c r="S13764">
        <v>115.85991199999999</v>
      </c>
      <c r="T13764" s="1095">
        <v>-31.948761999999999</v>
      </c>
    </row>
    <row r="13765" spans="16:20">
      <c r="P13765" s="1094">
        <v>6001</v>
      </c>
      <c r="Q13765" t="s">
        <v>13799</v>
      </c>
      <c r="R13765" t="s">
        <v>480</v>
      </c>
      <c r="S13765">
        <v>0</v>
      </c>
      <c r="T13765" s="1095">
        <v>0</v>
      </c>
    </row>
    <row r="13766" spans="16:20">
      <c r="P13766" s="1094">
        <v>6003</v>
      </c>
      <c r="Q13766" t="s">
        <v>12552</v>
      </c>
      <c r="R13766" t="s">
        <v>480</v>
      </c>
      <c r="S13766">
        <v>0</v>
      </c>
      <c r="T13766" s="1095">
        <v>0</v>
      </c>
    </row>
    <row r="13767" spans="16:20">
      <c r="P13767" s="1094">
        <v>6003</v>
      </c>
      <c r="Q13767" t="s">
        <v>1678</v>
      </c>
      <c r="R13767" t="s">
        <v>480</v>
      </c>
      <c r="S13767">
        <v>0</v>
      </c>
      <c r="T13767" s="1095">
        <v>0</v>
      </c>
    </row>
    <row r="13768" spans="16:20">
      <c r="P13768" s="1094">
        <v>6004</v>
      </c>
      <c r="Q13768" t="s">
        <v>13801</v>
      </c>
      <c r="R13768" t="s">
        <v>480</v>
      </c>
      <c r="S13768">
        <v>115.874601</v>
      </c>
      <c r="T13768" s="1095">
        <v>-31.956931000000001</v>
      </c>
    </row>
    <row r="13769" spans="16:20">
      <c r="P13769" s="1094">
        <v>6005</v>
      </c>
      <c r="Q13769" t="s">
        <v>2054</v>
      </c>
      <c r="R13769" t="s">
        <v>480</v>
      </c>
      <c r="S13769">
        <v>115.836896</v>
      </c>
      <c r="T13769" s="1095">
        <v>-31.957070000000002</v>
      </c>
    </row>
    <row r="13770" spans="16:20">
      <c r="P13770" s="1094">
        <v>6005</v>
      </c>
      <c r="Q13770" t="s">
        <v>13802</v>
      </c>
      <c r="R13770" t="s">
        <v>480</v>
      </c>
      <c r="S13770">
        <v>115.836896</v>
      </c>
      <c r="T13770" s="1095">
        <v>-31.957070000000002</v>
      </c>
    </row>
    <row r="13771" spans="16:20">
      <c r="P13771" s="1094">
        <v>6006</v>
      </c>
      <c r="Q13771" t="s">
        <v>13803</v>
      </c>
      <c r="R13771" t="s">
        <v>480</v>
      </c>
      <c r="S13771">
        <v>115.852913</v>
      </c>
      <c r="T13771" s="1095">
        <v>-31.92934</v>
      </c>
    </row>
    <row r="13772" spans="16:20">
      <c r="P13772" s="1094">
        <v>6007</v>
      </c>
      <c r="Q13772" t="s">
        <v>13804</v>
      </c>
      <c r="R13772" t="s">
        <v>480</v>
      </c>
      <c r="S13772">
        <v>115.834335</v>
      </c>
      <c r="T13772" s="1095">
        <v>-31.935675</v>
      </c>
    </row>
    <row r="13773" spans="16:20">
      <c r="P13773" s="1094">
        <v>6007</v>
      </c>
      <c r="Q13773" t="s">
        <v>13805</v>
      </c>
      <c r="R13773" t="s">
        <v>480</v>
      </c>
      <c r="S13773">
        <v>115.834335</v>
      </c>
      <c r="T13773" s="1095">
        <v>-31.935675</v>
      </c>
    </row>
    <row r="13774" spans="16:20">
      <c r="P13774" s="1094">
        <v>6008</v>
      </c>
      <c r="Q13774" t="s">
        <v>13806</v>
      </c>
      <c r="R13774" t="s">
        <v>480</v>
      </c>
      <c r="S13774">
        <v>115.811432</v>
      </c>
      <c r="T13774" s="1095">
        <v>-31.956599000000001</v>
      </c>
    </row>
    <row r="13775" spans="16:20">
      <c r="P13775" s="1094">
        <v>6008</v>
      </c>
      <c r="Q13775" t="s">
        <v>13807</v>
      </c>
      <c r="R13775" t="s">
        <v>480</v>
      </c>
      <c r="S13775">
        <v>115.811432</v>
      </c>
      <c r="T13775" s="1095">
        <v>-31.956599000000001</v>
      </c>
    </row>
    <row r="13776" spans="16:20">
      <c r="P13776" s="1094">
        <v>6008</v>
      </c>
      <c r="Q13776" t="s">
        <v>13808</v>
      </c>
      <c r="R13776" t="s">
        <v>480</v>
      </c>
      <c r="S13776">
        <v>115.811432</v>
      </c>
      <c r="T13776" s="1095">
        <v>-31.956599000000001</v>
      </c>
    </row>
    <row r="13777" spans="16:20">
      <c r="P13777" s="1094">
        <v>6008</v>
      </c>
      <c r="Q13777" t="s">
        <v>13809</v>
      </c>
      <c r="R13777" t="s">
        <v>480</v>
      </c>
      <c r="S13777">
        <v>115.811432</v>
      </c>
      <c r="T13777" s="1095">
        <v>-31.956599000000001</v>
      </c>
    </row>
    <row r="13778" spans="16:20">
      <c r="P13778" s="1094">
        <v>6009</v>
      </c>
      <c r="Q13778" t="s">
        <v>13810</v>
      </c>
      <c r="R13778" t="s">
        <v>480</v>
      </c>
      <c r="S13778">
        <v>115.804692</v>
      </c>
      <c r="T13778" s="1095">
        <v>-31.985790999999999</v>
      </c>
    </row>
    <row r="13779" spans="16:20">
      <c r="P13779" s="1094">
        <v>6009</v>
      </c>
      <c r="Q13779" t="s">
        <v>13811</v>
      </c>
      <c r="R13779" t="s">
        <v>480</v>
      </c>
      <c r="S13779">
        <v>115.804692</v>
      </c>
      <c r="T13779" s="1095">
        <v>-31.985790999999999</v>
      </c>
    </row>
    <row r="13780" spans="16:20">
      <c r="P13780" s="1094">
        <v>6009</v>
      </c>
      <c r="Q13780" t="s">
        <v>13812</v>
      </c>
      <c r="R13780" t="s">
        <v>480</v>
      </c>
      <c r="S13780">
        <v>115.804692</v>
      </c>
      <c r="T13780" s="1095">
        <v>-31.985790999999999</v>
      </c>
    </row>
    <row r="13781" spans="16:20">
      <c r="P13781" s="1094">
        <v>6009</v>
      </c>
      <c r="Q13781" t="s">
        <v>13813</v>
      </c>
      <c r="R13781" t="s">
        <v>480</v>
      </c>
      <c r="S13781">
        <v>115.804692</v>
      </c>
      <c r="T13781" s="1095">
        <v>-31.985790999999999</v>
      </c>
    </row>
    <row r="13782" spans="16:20">
      <c r="P13782" s="1094">
        <v>6009</v>
      </c>
      <c r="Q13782" t="s">
        <v>13814</v>
      </c>
      <c r="R13782" t="s">
        <v>480</v>
      </c>
      <c r="S13782">
        <v>115.804692</v>
      </c>
      <c r="T13782" s="1095">
        <v>-31.985790999999999</v>
      </c>
    </row>
    <row r="13783" spans="16:20">
      <c r="P13783" s="1094">
        <v>6010</v>
      </c>
      <c r="Q13783" t="s">
        <v>13815</v>
      </c>
      <c r="R13783" t="s">
        <v>480</v>
      </c>
      <c r="S13783">
        <v>115.77639000000001</v>
      </c>
      <c r="T13783" s="1095">
        <v>-31.971647000000001</v>
      </c>
    </row>
    <row r="13784" spans="16:20">
      <c r="P13784" s="1094">
        <v>6010</v>
      </c>
      <c r="Q13784" t="s">
        <v>13816</v>
      </c>
      <c r="R13784" t="s">
        <v>480</v>
      </c>
      <c r="S13784">
        <v>115.77639000000001</v>
      </c>
      <c r="T13784" s="1095">
        <v>-31.971647000000001</v>
      </c>
    </row>
    <row r="13785" spans="16:20">
      <c r="P13785" s="1094">
        <v>6010</v>
      </c>
      <c r="Q13785" t="s">
        <v>13817</v>
      </c>
      <c r="R13785" t="s">
        <v>480</v>
      </c>
      <c r="S13785">
        <v>115.77639000000001</v>
      </c>
      <c r="T13785" s="1095">
        <v>-31.971647000000001</v>
      </c>
    </row>
    <row r="13786" spans="16:20">
      <c r="P13786" s="1094">
        <v>6010</v>
      </c>
      <c r="Q13786" t="s">
        <v>13818</v>
      </c>
      <c r="R13786" t="s">
        <v>480</v>
      </c>
      <c r="S13786">
        <v>115.77639000000001</v>
      </c>
      <c r="T13786" s="1095">
        <v>-31.971647000000001</v>
      </c>
    </row>
    <row r="13787" spans="16:20">
      <c r="P13787" s="1094">
        <v>6010</v>
      </c>
      <c r="Q13787" t="s">
        <v>13819</v>
      </c>
      <c r="R13787" t="s">
        <v>480</v>
      </c>
      <c r="S13787">
        <v>115.77639000000001</v>
      </c>
      <c r="T13787" s="1095">
        <v>-31.971647000000001</v>
      </c>
    </row>
    <row r="13788" spans="16:20">
      <c r="P13788" s="1094">
        <v>6011</v>
      </c>
      <c r="Q13788" t="s">
        <v>13820</v>
      </c>
      <c r="R13788" t="s">
        <v>480</v>
      </c>
      <c r="S13788">
        <v>115.75764599999999</v>
      </c>
      <c r="T13788" s="1095">
        <v>-31.996371</v>
      </c>
    </row>
    <row r="13789" spans="16:20">
      <c r="P13789" s="1094">
        <v>6011</v>
      </c>
      <c r="Q13789" t="s">
        <v>13821</v>
      </c>
      <c r="R13789" t="s">
        <v>480</v>
      </c>
      <c r="S13789">
        <v>115.75764599999999</v>
      </c>
      <c r="T13789" s="1095">
        <v>-31.996371</v>
      </c>
    </row>
    <row r="13790" spans="16:20">
      <c r="P13790" s="1094">
        <v>6012</v>
      </c>
      <c r="Q13790" t="s">
        <v>13822</v>
      </c>
      <c r="R13790" t="s">
        <v>480</v>
      </c>
      <c r="S13790">
        <v>115.76340399999999</v>
      </c>
      <c r="T13790" s="1095">
        <v>-32.015976000000002</v>
      </c>
    </row>
    <row r="13791" spans="16:20">
      <c r="P13791" s="1094">
        <v>6014</v>
      </c>
      <c r="Q13791" t="s">
        <v>13823</v>
      </c>
      <c r="R13791" t="s">
        <v>480</v>
      </c>
      <c r="S13791">
        <v>115.80816900000001</v>
      </c>
      <c r="T13791" s="1095">
        <v>-31.936388999999998</v>
      </c>
    </row>
    <row r="13792" spans="16:20">
      <c r="P13792" s="1094">
        <v>6014</v>
      </c>
      <c r="Q13792" t="s">
        <v>13824</v>
      </c>
      <c r="R13792" t="s">
        <v>480</v>
      </c>
      <c r="S13792">
        <v>115.80816900000001</v>
      </c>
      <c r="T13792" s="1095">
        <v>-31.936388999999998</v>
      </c>
    </row>
    <row r="13793" spans="16:20">
      <c r="P13793" s="1094">
        <v>6014</v>
      </c>
      <c r="Q13793" t="s">
        <v>13825</v>
      </c>
      <c r="R13793" t="s">
        <v>480</v>
      </c>
      <c r="S13793">
        <v>115.80816900000001</v>
      </c>
      <c r="T13793" s="1095">
        <v>-31.936388999999998</v>
      </c>
    </row>
    <row r="13794" spans="16:20">
      <c r="P13794" s="1094">
        <v>6014</v>
      </c>
      <c r="Q13794" t="s">
        <v>13826</v>
      </c>
      <c r="R13794" t="s">
        <v>480</v>
      </c>
      <c r="S13794">
        <v>115.80816900000001</v>
      </c>
      <c r="T13794" s="1095">
        <v>-31.936388999999998</v>
      </c>
    </row>
    <row r="13795" spans="16:20">
      <c r="P13795" s="1094">
        <v>6015</v>
      </c>
      <c r="Q13795" t="s">
        <v>13827</v>
      </c>
      <c r="R13795" t="s">
        <v>480</v>
      </c>
      <c r="S13795">
        <v>115.76468300000001</v>
      </c>
      <c r="T13795" s="1095">
        <v>-31.938454</v>
      </c>
    </row>
    <row r="13796" spans="16:20">
      <c r="P13796" s="1094">
        <v>6016</v>
      </c>
      <c r="Q13796" t="s">
        <v>13828</v>
      </c>
      <c r="R13796" t="s">
        <v>480</v>
      </c>
      <c r="S13796">
        <v>115.831181</v>
      </c>
      <c r="T13796" s="1095">
        <v>-31.921222</v>
      </c>
    </row>
    <row r="13797" spans="16:20">
      <c r="P13797" s="1094">
        <v>6016</v>
      </c>
      <c r="Q13797" t="s">
        <v>13829</v>
      </c>
      <c r="R13797" t="s">
        <v>480</v>
      </c>
      <c r="S13797">
        <v>115.831181</v>
      </c>
      <c r="T13797" s="1095">
        <v>-31.921222</v>
      </c>
    </row>
    <row r="13798" spans="16:20">
      <c r="P13798" s="1094">
        <v>6017</v>
      </c>
      <c r="Q13798" t="s">
        <v>13830</v>
      </c>
      <c r="R13798" t="s">
        <v>480</v>
      </c>
      <c r="S13798">
        <v>115.814562</v>
      </c>
      <c r="T13798" s="1095">
        <v>-31.908356999999999</v>
      </c>
    </row>
    <row r="13799" spans="16:20">
      <c r="P13799" s="1094">
        <v>6017</v>
      </c>
      <c r="Q13799" t="s">
        <v>1844</v>
      </c>
      <c r="R13799" t="s">
        <v>480</v>
      </c>
      <c r="S13799">
        <v>115.814562</v>
      </c>
      <c r="T13799" s="1095">
        <v>-31.908356999999999</v>
      </c>
    </row>
    <row r="13800" spans="16:20">
      <c r="P13800" s="1094">
        <v>6017</v>
      </c>
      <c r="Q13800" t="s">
        <v>13831</v>
      </c>
      <c r="R13800" t="s">
        <v>480</v>
      </c>
      <c r="S13800">
        <v>115.814562</v>
      </c>
      <c r="T13800" s="1095">
        <v>-31.908356999999999</v>
      </c>
    </row>
    <row r="13801" spans="16:20">
      <c r="P13801" s="1094">
        <v>6018</v>
      </c>
      <c r="Q13801" t="s">
        <v>13832</v>
      </c>
      <c r="R13801" t="s">
        <v>480</v>
      </c>
      <c r="S13801">
        <v>115.786821</v>
      </c>
      <c r="T13801" s="1095">
        <v>-31.891957000000001</v>
      </c>
    </row>
    <row r="13802" spans="16:20">
      <c r="P13802" s="1094">
        <v>6018</v>
      </c>
      <c r="Q13802" t="s">
        <v>13833</v>
      </c>
      <c r="R13802" t="s">
        <v>480</v>
      </c>
      <c r="S13802">
        <v>115.786821</v>
      </c>
      <c r="T13802" s="1095">
        <v>-31.891957000000001</v>
      </c>
    </row>
    <row r="13803" spans="16:20">
      <c r="P13803" s="1094">
        <v>6018</v>
      </c>
      <c r="Q13803" t="s">
        <v>13834</v>
      </c>
      <c r="R13803" t="s">
        <v>480</v>
      </c>
      <c r="S13803">
        <v>115.786821</v>
      </c>
      <c r="T13803" s="1095">
        <v>-31.891957000000001</v>
      </c>
    </row>
    <row r="13804" spans="16:20">
      <c r="P13804" s="1094">
        <v>6018</v>
      </c>
      <c r="Q13804" t="s">
        <v>13835</v>
      </c>
      <c r="R13804" t="s">
        <v>480</v>
      </c>
      <c r="S13804">
        <v>115.786821</v>
      </c>
      <c r="T13804" s="1095">
        <v>-31.891957000000001</v>
      </c>
    </row>
    <row r="13805" spans="16:20">
      <c r="P13805" s="1094">
        <v>6018</v>
      </c>
      <c r="Q13805" t="s">
        <v>13836</v>
      </c>
      <c r="R13805" t="s">
        <v>480</v>
      </c>
      <c r="S13805">
        <v>115.786821</v>
      </c>
      <c r="T13805" s="1095">
        <v>-31.891957000000001</v>
      </c>
    </row>
    <row r="13806" spans="16:20">
      <c r="P13806" s="1094">
        <v>6018</v>
      </c>
      <c r="Q13806" t="s">
        <v>13837</v>
      </c>
      <c r="R13806" t="s">
        <v>480</v>
      </c>
      <c r="S13806">
        <v>115.786821</v>
      </c>
      <c r="T13806" s="1095">
        <v>-31.891957000000001</v>
      </c>
    </row>
    <row r="13807" spans="16:20">
      <c r="P13807" s="1094">
        <v>6018</v>
      </c>
      <c r="Q13807" t="s">
        <v>4305</v>
      </c>
      <c r="R13807" t="s">
        <v>480</v>
      </c>
      <c r="S13807">
        <v>115.786821</v>
      </c>
      <c r="T13807" s="1095">
        <v>-31.891957000000001</v>
      </c>
    </row>
    <row r="13808" spans="16:20">
      <c r="P13808" s="1094">
        <v>6019</v>
      </c>
      <c r="Q13808" t="s">
        <v>4187</v>
      </c>
      <c r="R13808" t="s">
        <v>480</v>
      </c>
      <c r="S13808">
        <v>115.769183</v>
      </c>
      <c r="T13808" s="1095">
        <v>-31.907330000000002</v>
      </c>
    </row>
    <row r="13809" spans="16:20">
      <c r="P13809" s="1094">
        <v>6019</v>
      </c>
      <c r="Q13809" t="s">
        <v>13838</v>
      </c>
      <c r="R13809" t="s">
        <v>480</v>
      </c>
      <c r="S13809">
        <v>115.769183</v>
      </c>
      <c r="T13809" s="1095">
        <v>-31.907330000000002</v>
      </c>
    </row>
    <row r="13810" spans="16:20">
      <c r="P13810" s="1094">
        <v>6020</v>
      </c>
      <c r="Q13810" t="s">
        <v>13839</v>
      </c>
      <c r="R13810" t="s">
        <v>480</v>
      </c>
      <c r="S13810">
        <v>115.765396</v>
      </c>
      <c r="T13810" s="1095">
        <v>-31.852698</v>
      </c>
    </row>
    <row r="13811" spans="16:20">
      <c r="P13811" s="1094">
        <v>6020</v>
      </c>
      <c r="Q13811" t="s">
        <v>13840</v>
      </c>
      <c r="R13811" t="s">
        <v>480</v>
      </c>
      <c r="S13811">
        <v>115.765396</v>
      </c>
      <c r="T13811" s="1095">
        <v>-31.852698</v>
      </c>
    </row>
    <row r="13812" spans="16:20">
      <c r="P13812" s="1094">
        <v>6020</v>
      </c>
      <c r="Q13812" t="s">
        <v>13540</v>
      </c>
      <c r="R13812" t="s">
        <v>480</v>
      </c>
      <c r="S13812">
        <v>115.765396</v>
      </c>
      <c r="T13812" s="1095">
        <v>-31.852698</v>
      </c>
    </row>
    <row r="13813" spans="16:20">
      <c r="P13813" s="1094">
        <v>6020</v>
      </c>
      <c r="Q13813" t="s">
        <v>9149</v>
      </c>
      <c r="R13813" t="s">
        <v>480</v>
      </c>
      <c r="S13813">
        <v>115.765396</v>
      </c>
      <c r="T13813" s="1095">
        <v>-31.852698</v>
      </c>
    </row>
    <row r="13814" spans="16:20">
      <c r="P13814" s="1094">
        <v>6020</v>
      </c>
      <c r="Q13814" t="s">
        <v>13841</v>
      </c>
      <c r="R13814" t="s">
        <v>480</v>
      </c>
      <c r="S13814">
        <v>115.765396</v>
      </c>
      <c r="T13814" s="1095">
        <v>-31.852698</v>
      </c>
    </row>
    <row r="13815" spans="16:20">
      <c r="P13815" s="1094">
        <v>6021</v>
      </c>
      <c r="Q13815" t="s">
        <v>13842</v>
      </c>
      <c r="R13815" t="s">
        <v>480</v>
      </c>
      <c r="S13815">
        <v>115.811933</v>
      </c>
      <c r="T13815" s="1095">
        <v>-31.871670999999999</v>
      </c>
    </row>
    <row r="13816" spans="16:20">
      <c r="P13816" s="1094">
        <v>6021</v>
      </c>
      <c r="Q13816" t="s">
        <v>4842</v>
      </c>
      <c r="R13816" t="s">
        <v>480</v>
      </c>
      <c r="S13816">
        <v>115.811933</v>
      </c>
      <c r="T13816" s="1095">
        <v>-31.871670999999999</v>
      </c>
    </row>
    <row r="13817" spans="16:20">
      <c r="P13817" s="1094">
        <v>6022</v>
      </c>
      <c r="Q13817" t="s">
        <v>13843</v>
      </c>
      <c r="R13817" t="s">
        <v>480</v>
      </c>
      <c r="S13817">
        <v>115.80924</v>
      </c>
      <c r="T13817" s="1095">
        <v>-31.851997999999998</v>
      </c>
    </row>
    <row r="13818" spans="16:20">
      <c r="P13818" s="1094">
        <v>6023</v>
      </c>
      <c r="Q13818" t="s">
        <v>13844</v>
      </c>
      <c r="R13818" t="s">
        <v>480</v>
      </c>
      <c r="S13818">
        <v>115.774028</v>
      </c>
      <c r="T13818" s="1095">
        <v>-31.834468999999999</v>
      </c>
    </row>
    <row r="13819" spans="16:20">
      <c r="P13819" s="1094">
        <v>6023</v>
      </c>
      <c r="Q13819" t="s">
        <v>8897</v>
      </c>
      <c r="R13819" t="s">
        <v>480</v>
      </c>
      <c r="S13819">
        <v>115.774028</v>
      </c>
      <c r="T13819" s="1095">
        <v>-31.834468999999999</v>
      </c>
    </row>
    <row r="13820" spans="16:20">
      <c r="P13820" s="1094">
        <v>6024</v>
      </c>
      <c r="Q13820" t="s">
        <v>10395</v>
      </c>
      <c r="R13820" t="s">
        <v>480</v>
      </c>
      <c r="S13820">
        <v>115.803068</v>
      </c>
      <c r="T13820" s="1095">
        <v>-31.834890000000001</v>
      </c>
    </row>
    <row r="13821" spans="16:20">
      <c r="P13821" s="1094">
        <v>6024</v>
      </c>
      <c r="Q13821" t="s">
        <v>10344</v>
      </c>
      <c r="R13821" t="s">
        <v>480</v>
      </c>
      <c r="S13821">
        <v>115.803068</v>
      </c>
      <c r="T13821" s="1095">
        <v>-31.834890000000001</v>
      </c>
    </row>
    <row r="13822" spans="16:20">
      <c r="P13822" s="1094">
        <v>6025</v>
      </c>
      <c r="Q13822" t="s">
        <v>5065</v>
      </c>
      <c r="R13822" t="s">
        <v>480</v>
      </c>
      <c r="S13822">
        <v>115.75440500000001</v>
      </c>
      <c r="T13822" s="1095">
        <v>-31.795829999999999</v>
      </c>
    </row>
    <row r="13823" spans="16:20">
      <c r="P13823" s="1094">
        <v>6025</v>
      </c>
      <c r="Q13823" t="s">
        <v>13845</v>
      </c>
      <c r="R13823" t="s">
        <v>480</v>
      </c>
      <c r="S13823">
        <v>115.75440500000001</v>
      </c>
      <c r="T13823" s="1095">
        <v>-31.795829999999999</v>
      </c>
    </row>
    <row r="13824" spans="16:20">
      <c r="P13824" s="1094">
        <v>6025</v>
      </c>
      <c r="Q13824" t="s">
        <v>13846</v>
      </c>
      <c r="R13824" t="s">
        <v>480</v>
      </c>
      <c r="S13824">
        <v>115.75440500000001</v>
      </c>
      <c r="T13824" s="1095">
        <v>-31.795829999999999</v>
      </c>
    </row>
    <row r="13825" spans="16:20">
      <c r="P13825" s="1094">
        <v>6025</v>
      </c>
      <c r="Q13825" t="s">
        <v>13847</v>
      </c>
      <c r="R13825" t="s">
        <v>480</v>
      </c>
      <c r="S13825">
        <v>115.75440500000001</v>
      </c>
      <c r="T13825" s="1095">
        <v>-31.795829999999999</v>
      </c>
    </row>
    <row r="13826" spans="16:20">
      <c r="P13826" s="1094">
        <v>6026</v>
      </c>
      <c r="Q13826" t="s">
        <v>13848</v>
      </c>
      <c r="R13826" t="s">
        <v>480</v>
      </c>
      <c r="S13826">
        <v>115.79983199999999</v>
      </c>
      <c r="T13826" s="1095">
        <v>-31.801707</v>
      </c>
    </row>
    <row r="13827" spans="16:20">
      <c r="P13827" s="1094">
        <v>6026</v>
      </c>
      <c r="Q13827" t="s">
        <v>8041</v>
      </c>
      <c r="R13827" t="s">
        <v>480</v>
      </c>
      <c r="S13827">
        <v>115.79983199999999</v>
      </c>
      <c r="T13827" s="1095">
        <v>-31.801707</v>
      </c>
    </row>
    <row r="13828" spans="16:20">
      <c r="P13828" s="1094">
        <v>6027</v>
      </c>
      <c r="Q13828" t="s">
        <v>13849</v>
      </c>
      <c r="R13828" t="s">
        <v>480</v>
      </c>
      <c r="S13828">
        <v>115.756405</v>
      </c>
      <c r="T13828" s="1095">
        <v>-31.763347</v>
      </c>
    </row>
    <row r="13829" spans="16:20">
      <c r="P13829" s="1094">
        <v>6027</v>
      </c>
      <c r="Q13829" t="s">
        <v>13850</v>
      </c>
      <c r="R13829" t="s">
        <v>480</v>
      </c>
      <c r="S13829">
        <v>115.756405</v>
      </c>
      <c r="T13829" s="1095">
        <v>-31.763347</v>
      </c>
    </row>
    <row r="13830" spans="16:20">
      <c r="P13830" s="1094">
        <v>6027</v>
      </c>
      <c r="Q13830" t="s">
        <v>13851</v>
      </c>
      <c r="R13830" t="s">
        <v>480</v>
      </c>
      <c r="S13830">
        <v>115.756405</v>
      </c>
      <c r="T13830" s="1095">
        <v>-31.763347</v>
      </c>
    </row>
    <row r="13831" spans="16:20">
      <c r="P13831" s="1094">
        <v>6027</v>
      </c>
      <c r="Q13831" t="s">
        <v>13852</v>
      </c>
      <c r="R13831" t="s">
        <v>480</v>
      </c>
      <c r="S13831">
        <v>115.756405</v>
      </c>
      <c r="T13831" s="1095">
        <v>-31.763347</v>
      </c>
    </row>
    <row r="13832" spans="16:20">
      <c r="P13832" s="1094">
        <v>6027</v>
      </c>
      <c r="Q13832" t="s">
        <v>13853</v>
      </c>
      <c r="R13832" t="s">
        <v>480</v>
      </c>
      <c r="S13832">
        <v>115.756405</v>
      </c>
      <c r="T13832" s="1095">
        <v>-31.763347</v>
      </c>
    </row>
    <row r="13833" spans="16:20">
      <c r="P13833" s="1094">
        <v>6027</v>
      </c>
      <c r="Q13833" t="s">
        <v>13854</v>
      </c>
      <c r="R13833" t="s">
        <v>480</v>
      </c>
      <c r="S13833">
        <v>115.756405</v>
      </c>
      <c r="T13833" s="1095">
        <v>-31.763347</v>
      </c>
    </row>
    <row r="13834" spans="16:20">
      <c r="P13834" s="1094">
        <v>6027</v>
      </c>
      <c r="Q13834" t="s">
        <v>13855</v>
      </c>
      <c r="R13834" t="s">
        <v>480</v>
      </c>
      <c r="S13834">
        <v>115.756405</v>
      </c>
      <c r="T13834" s="1095">
        <v>-31.763347</v>
      </c>
    </row>
    <row r="13835" spans="16:20">
      <c r="P13835" s="1094">
        <v>6027</v>
      </c>
      <c r="Q13835" t="s">
        <v>13856</v>
      </c>
      <c r="R13835" t="s">
        <v>480</v>
      </c>
      <c r="S13835">
        <v>115.756405</v>
      </c>
      <c r="T13835" s="1095">
        <v>-31.763347</v>
      </c>
    </row>
    <row r="13836" spans="16:20">
      <c r="P13836" s="1094">
        <v>6028</v>
      </c>
      <c r="Q13836" t="s">
        <v>13857</v>
      </c>
      <c r="R13836" t="s">
        <v>480</v>
      </c>
      <c r="S13836">
        <v>115.74765499999999</v>
      </c>
      <c r="T13836" s="1095">
        <v>-31.733716999999999</v>
      </c>
    </row>
    <row r="13837" spans="16:20">
      <c r="P13837" s="1094">
        <v>6028</v>
      </c>
      <c r="Q13837" t="s">
        <v>13858</v>
      </c>
      <c r="R13837" t="s">
        <v>480</v>
      </c>
      <c r="S13837">
        <v>115.74765499999999</v>
      </c>
      <c r="T13837" s="1095">
        <v>-31.733716999999999</v>
      </c>
    </row>
    <row r="13838" spans="16:20">
      <c r="P13838" s="1094">
        <v>6028</v>
      </c>
      <c r="Q13838" t="s">
        <v>3803</v>
      </c>
      <c r="R13838" t="s">
        <v>480</v>
      </c>
      <c r="S13838">
        <v>115.74765499999999</v>
      </c>
      <c r="T13838" s="1095">
        <v>-31.733716999999999</v>
      </c>
    </row>
    <row r="13839" spans="16:20">
      <c r="P13839" s="1094">
        <v>6028</v>
      </c>
      <c r="Q13839" t="s">
        <v>13859</v>
      </c>
      <c r="R13839" t="s">
        <v>480</v>
      </c>
      <c r="S13839">
        <v>115.74765499999999</v>
      </c>
      <c r="T13839" s="1095">
        <v>-31.733716999999999</v>
      </c>
    </row>
    <row r="13840" spans="16:20">
      <c r="P13840" s="1094">
        <v>6029</v>
      </c>
      <c r="Q13840" t="s">
        <v>13860</v>
      </c>
      <c r="R13840" t="s">
        <v>480</v>
      </c>
      <c r="S13840">
        <v>115.755689</v>
      </c>
      <c r="T13840" s="1095">
        <v>-31.876897</v>
      </c>
    </row>
    <row r="13841" spans="16:20">
      <c r="P13841" s="1094">
        <v>6030</v>
      </c>
      <c r="Q13841" t="s">
        <v>13861</v>
      </c>
      <c r="R13841" t="s">
        <v>480</v>
      </c>
      <c r="S13841">
        <v>115.71168400000001</v>
      </c>
      <c r="T13841" s="1095">
        <v>-31.687341</v>
      </c>
    </row>
    <row r="13842" spans="16:20">
      <c r="P13842" s="1094">
        <v>6030</v>
      </c>
      <c r="Q13842" t="s">
        <v>2730</v>
      </c>
      <c r="R13842" t="s">
        <v>480</v>
      </c>
      <c r="S13842">
        <v>115.71168400000001</v>
      </c>
      <c r="T13842" s="1095">
        <v>-31.687341</v>
      </c>
    </row>
    <row r="13843" spans="16:20">
      <c r="P13843" s="1094">
        <v>6030</v>
      </c>
      <c r="Q13843" t="s">
        <v>13186</v>
      </c>
      <c r="R13843" t="s">
        <v>480</v>
      </c>
      <c r="S13843">
        <v>115.71168400000001</v>
      </c>
      <c r="T13843" s="1095">
        <v>-31.687341</v>
      </c>
    </row>
    <row r="13844" spans="16:20">
      <c r="P13844" s="1094">
        <v>6030</v>
      </c>
      <c r="Q13844" t="s">
        <v>13862</v>
      </c>
      <c r="R13844" t="s">
        <v>480</v>
      </c>
      <c r="S13844">
        <v>115.71168400000001</v>
      </c>
      <c r="T13844" s="1095">
        <v>-31.687341</v>
      </c>
    </row>
    <row r="13845" spans="16:20">
      <c r="P13845" s="1094">
        <v>6030</v>
      </c>
      <c r="Q13845" t="s">
        <v>10774</v>
      </c>
      <c r="R13845" t="s">
        <v>480</v>
      </c>
      <c r="S13845">
        <v>115.71168400000001</v>
      </c>
      <c r="T13845" s="1095">
        <v>-31.687341</v>
      </c>
    </row>
    <row r="13846" spans="16:20">
      <c r="P13846" s="1094">
        <v>6030</v>
      </c>
      <c r="Q13846" t="s">
        <v>13863</v>
      </c>
      <c r="R13846" t="s">
        <v>480</v>
      </c>
      <c r="S13846">
        <v>115.71168400000001</v>
      </c>
      <c r="T13846" s="1095">
        <v>-31.687341</v>
      </c>
    </row>
    <row r="13847" spans="16:20">
      <c r="P13847" s="1094">
        <v>6031</v>
      </c>
      <c r="Q13847" t="s">
        <v>13864</v>
      </c>
      <c r="R13847" t="s">
        <v>480</v>
      </c>
      <c r="S13847">
        <v>115.772138</v>
      </c>
      <c r="T13847" s="1095">
        <v>-31.692537999999999</v>
      </c>
    </row>
    <row r="13848" spans="16:20">
      <c r="P13848" s="1094">
        <v>6031</v>
      </c>
      <c r="Q13848" t="s">
        <v>2089</v>
      </c>
      <c r="R13848" t="s">
        <v>480</v>
      </c>
      <c r="S13848">
        <v>115.772138</v>
      </c>
      <c r="T13848" s="1095">
        <v>-31.692537999999999</v>
      </c>
    </row>
    <row r="13849" spans="16:20">
      <c r="P13849" s="1094">
        <v>6031</v>
      </c>
      <c r="Q13849" t="s">
        <v>13865</v>
      </c>
      <c r="R13849" t="s">
        <v>480</v>
      </c>
      <c r="S13849">
        <v>115.772138</v>
      </c>
      <c r="T13849" s="1095">
        <v>-31.692537999999999</v>
      </c>
    </row>
    <row r="13850" spans="16:20">
      <c r="P13850" s="1094">
        <v>6032</v>
      </c>
      <c r="Q13850" t="s">
        <v>13866</v>
      </c>
      <c r="R13850" t="s">
        <v>480</v>
      </c>
      <c r="S13850">
        <v>115.74887</v>
      </c>
      <c r="T13850" s="1095">
        <v>-31.643227</v>
      </c>
    </row>
    <row r="13851" spans="16:20">
      <c r="P13851" s="1094">
        <v>6033</v>
      </c>
      <c r="Q13851" t="s">
        <v>13867</v>
      </c>
      <c r="R13851" t="s">
        <v>480</v>
      </c>
      <c r="S13851">
        <v>115.71135700000001</v>
      </c>
      <c r="T13851" s="1095">
        <v>-31.609114999999999</v>
      </c>
    </row>
    <row r="13852" spans="16:20">
      <c r="P13852" s="1094">
        <v>6034</v>
      </c>
      <c r="Q13852" t="s">
        <v>5780</v>
      </c>
      <c r="R13852" t="s">
        <v>480</v>
      </c>
      <c r="S13852">
        <v>115.663878</v>
      </c>
      <c r="T13852" s="1095">
        <v>-31.585614</v>
      </c>
    </row>
    <row r="13853" spans="16:20">
      <c r="P13853" s="1094">
        <v>6035</v>
      </c>
      <c r="Q13853" t="s">
        <v>13868</v>
      </c>
      <c r="R13853" t="s">
        <v>480</v>
      </c>
      <c r="S13853">
        <v>115.729901</v>
      </c>
      <c r="T13853" s="1095">
        <v>-31.524716000000002</v>
      </c>
    </row>
    <row r="13854" spans="16:20">
      <c r="P13854" s="1094">
        <v>6036</v>
      </c>
      <c r="Q13854" t="s">
        <v>13623</v>
      </c>
      <c r="R13854" t="s">
        <v>480</v>
      </c>
      <c r="S13854">
        <v>0</v>
      </c>
      <c r="T13854" s="1095">
        <v>0</v>
      </c>
    </row>
    <row r="13855" spans="16:20">
      <c r="P13855" s="1094">
        <v>6036</v>
      </c>
      <c r="Q13855" t="s">
        <v>9485</v>
      </c>
      <c r="R13855" t="s">
        <v>480</v>
      </c>
      <c r="S13855">
        <v>0</v>
      </c>
      <c r="T13855" s="1095">
        <v>0</v>
      </c>
    </row>
    <row r="13856" spans="16:20">
      <c r="P13856" s="1094">
        <v>6037</v>
      </c>
      <c r="Q13856" t="s">
        <v>13869</v>
      </c>
      <c r="R13856" t="s">
        <v>480</v>
      </c>
      <c r="S13856">
        <v>115.616105</v>
      </c>
      <c r="T13856" s="1095">
        <v>-31.48847</v>
      </c>
    </row>
    <row r="13857" spans="16:20">
      <c r="P13857" s="1094">
        <v>6038</v>
      </c>
      <c r="Q13857" t="s">
        <v>13870</v>
      </c>
      <c r="R13857" t="s">
        <v>480</v>
      </c>
      <c r="S13857">
        <v>0</v>
      </c>
      <c r="T13857" s="1095">
        <v>0</v>
      </c>
    </row>
    <row r="13858" spans="16:20">
      <c r="P13858" s="1094">
        <v>6041</v>
      </c>
      <c r="Q13858" t="s">
        <v>13871</v>
      </c>
      <c r="R13858" t="s">
        <v>480</v>
      </c>
      <c r="S13858">
        <v>115.568551</v>
      </c>
      <c r="T13858" s="1095">
        <v>-31.379673</v>
      </c>
    </row>
    <row r="13859" spans="16:20">
      <c r="P13859" s="1094">
        <v>6041</v>
      </c>
      <c r="Q13859" t="s">
        <v>13872</v>
      </c>
      <c r="R13859" t="s">
        <v>480</v>
      </c>
      <c r="S13859">
        <v>115.568551</v>
      </c>
      <c r="T13859" s="1095">
        <v>-31.379673</v>
      </c>
    </row>
    <row r="13860" spans="16:20">
      <c r="P13860" s="1094">
        <v>6041</v>
      </c>
      <c r="Q13860" t="s">
        <v>13873</v>
      </c>
      <c r="R13860" t="s">
        <v>480</v>
      </c>
      <c r="S13860">
        <v>115.568551</v>
      </c>
      <c r="T13860" s="1095">
        <v>-31.379673</v>
      </c>
    </row>
    <row r="13861" spans="16:20">
      <c r="P13861" s="1094">
        <v>6041</v>
      </c>
      <c r="Q13861" t="s">
        <v>13874</v>
      </c>
      <c r="R13861" t="s">
        <v>480</v>
      </c>
      <c r="S13861">
        <v>115.568551</v>
      </c>
      <c r="T13861" s="1095">
        <v>-31.379673</v>
      </c>
    </row>
    <row r="13862" spans="16:20">
      <c r="P13862" s="1094">
        <v>6041</v>
      </c>
      <c r="Q13862" t="s">
        <v>9554</v>
      </c>
      <c r="R13862" t="s">
        <v>480</v>
      </c>
      <c r="S13862">
        <v>115.568551</v>
      </c>
      <c r="T13862" s="1095">
        <v>-31.379673</v>
      </c>
    </row>
    <row r="13863" spans="16:20">
      <c r="P13863" s="1094">
        <v>6042</v>
      </c>
      <c r="Q13863" t="s">
        <v>13875</v>
      </c>
      <c r="R13863" t="s">
        <v>480</v>
      </c>
      <c r="S13863">
        <v>115.50862499999999</v>
      </c>
      <c r="T13863" s="1095">
        <v>-31.254414000000001</v>
      </c>
    </row>
    <row r="13864" spans="16:20">
      <c r="P13864" s="1094">
        <v>6043</v>
      </c>
      <c r="Q13864" t="s">
        <v>13876</v>
      </c>
      <c r="R13864" t="s">
        <v>480</v>
      </c>
      <c r="S13864">
        <v>115.424522</v>
      </c>
      <c r="T13864" s="1095">
        <v>-31.141763000000001</v>
      </c>
    </row>
    <row r="13865" spans="16:20">
      <c r="P13865" s="1094">
        <v>6043</v>
      </c>
      <c r="Q13865" t="s">
        <v>13877</v>
      </c>
      <c r="R13865" t="s">
        <v>480</v>
      </c>
      <c r="S13865">
        <v>115.424522</v>
      </c>
      <c r="T13865" s="1095">
        <v>-31.141763000000001</v>
      </c>
    </row>
    <row r="13866" spans="16:20">
      <c r="P13866" s="1094">
        <v>6044</v>
      </c>
      <c r="Q13866" t="s">
        <v>13878</v>
      </c>
      <c r="R13866" t="s">
        <v>480</v>
      </c>
      <c r="S13866">
        <v>115.424656</v>
      </c>
      <c r="T13866" s="1095">
        <v>-30.972846000000001</v>
      </c>
    </row>
    <row r="13867" spans="16:20">
      <c r="P13867" s="1094">
        <v>6044</v>
      </c>
      <c r="Q13867" t="s">
        <v>13879</v>
      </c>
      <c r="R13867" t="s">
        <v>480</v>
      </c>
      <c r="S13867">
        <v>115.424656</v>
      </c>
      <c r="T13867" s="1095">
        <v>-30.972846000000001</v>
      </c>
    </row>
    <row r="13868" spans="16:20">
      <c r="P13868" s="1094">
        <v>6044</v>
      </c>
      <c r="Q13868" t="s">
        <v>13880</v>
      </c>
      <c r="R13868" t="s">
        <v>480</v>
      </c>
      <c r="S13868">
        <v>115.424656</v>
      </c>
      <c r="T13868" s="1095">
        <v>-30.972846000000001</v>
      </c>
    </row>
    <row r="13869" spans="16:20">
      <c r="P13869" s="1094">
        <v>6044</v>
      </c>
      <c r="Q13869" t="s">
        <v>13881</v>
      </c>
      <c r="R13869" t="s">
        <v>480</v>
      </c>
      <c r="S13869">
        <v>115.424656</v>
      </c>
      <c r="T13869" s="1095">
        <v>-30.972846000000001</v>
      </c>
    </row>
    <row r="13870" spans="16:20">
      <c r="P13870" s="1094">
        <v>6050</v>
      </c>
      <c r="Q13870" t="s">
        <v>13882</v>
      </c>
      <c r="R13870" t="s">
        <v>480</v>
      </c>
      <c r="S13870">
        <v>115.871864</v>
      </c>
      <c r="T13870" s="1095">
        <v>-31.930574</v>
      </c>
    </row>
    <row r="13871" spans="16:20">
      <c r="P13871" s="1094">
        <v>6050</v>
      </c>
      <c r="Q13871" t="s">
        <v>13883</v>
      </c>
      <c r="R13871" t="s">
        <v>480</v>
      </c>
      <c r="S13871">
        <v>115.871864</v>
      </c>
      <c r="T13871" s="1095">
        <v>-31.930574</v>
      </c>
    </row>
    <row r="13872" spans="16:20">
      <c r="P13872" s="1094">
        <v>6050</v>
      </c>
      <c r="Q13872" t="s">
        <v>13884</v>
      </c>
      <c r="R13872" t="s">
        <v>480</v>
      </c>
      <c r="S13872">
        <v>115.871864</v>
      </c>
      <c r="T13872" s="1095">
        <v>-31.930574</v>
      </c>
    </row>
    <row r="13873" spans="16:20">
      <c r="P13873" s="1094">
        <v>6051</v>
      </c>
      <c r="Q13873" t="s">
        <v>12583</v>
      </c>
      <c r="R13873" t="s">
        <v>480</v>
      </c>
      <c r="S13873">
        <v>115.89958900000001</v>
      </c>
      <c r="T13873" s="1095">
        <v>-31.938106999999999</v>
      </c>
    </row>
    <row r="13874" spans="16:20">
      <c r="P13874" s="1094">
        <v>6052</v>
      </c>
      <c r="Q13874" t="s">
        <v>13885</v>
      </c>
      <c r="R13874" t="s">
        <v>480</v>
      </c>
      <c r="S13874">
        <v>115.883976</v>
      </c>
      <c r="T13874" s="1095">
        <v>-31.915462999999999</v>
      </c>
    </row>
    <row r="13875" spans="16:20">
      <c r="P13875" s="1094">
        <v>6052</v>
      </c>
      <c r="Q13875" t="s">
        <v>7871</v>
      </c>
      <c r="R13875" t="s">
        <v>480</v>
      </c>
      <c r="S13875">
        <v>115.883976</v>
      </c>
      <c r="T13875" s="1095">
        <v>-31.915462999999999</v>
      </c>
    </row>
    <row r="13876" spans="16:20">
      <c r="P13876" s="1094">
        <v>6053</v>
      </c>
      <c r="Q13876" t="s">
        <v>6669</v>
      </c>
      <c r="R13876" t="s">
        <v>480</v>
      </c>
      <c r="S13876">
        <v>115.914851</v>
      </c>
      <c r="T13876" s="1095">
        <v>-31.920863000000001</v>
      </c>
    </row>
    <row r="13877" spans="16:20">
      <c r="P13877" s="1094">
        <v>6054</v>
      </c>
      <c r="Q13877" t="s">
        <v>1707</v>
      </c>
      <c r="R13877" t="s">
        <v>480</v>
      </c>
      <c r="S13877">
        <v>115.942572</v>
      </c>
      <c r="T13877" s="1095">
        <v>-31.901800999999999</v>
      </c>
    </row>
    <row r="13878" spans="16:20">
      <c r="P13878" s="1094">
        <v>6054</v>
      </c>
      <c r="Q13878" t="s">
        <v>3051</v>
      </c>
      <c r="R13878" t="s">
        <v>480</v>
      </c>
      <c r="S13878">
        <v>115.942572</v>
      </c>
      <c r="T13878" s="1095">
        <v>-31.901800999999999</v>
      </c>
    </row>
    <row r="13879" spans="16:20">
      <c r="P13879" s="1094">
        <v>6054</v>
      </c>
      <c r="Q13879" t="s">
        <v>13886</v>
      </c>
      <c r="R13879" t="s">
        <v>480</v>
      </c>
      <c r="S13879">
        <v>115.942572</v>
      </c>
      <c r="T13879" s="1095">
        <v>-31.901800999999999</v>
      </c>
    </row>
    <row r="13880" spans="16:20">
      <c r="P13880" s="1094">
        <v>6054</v>
      </c>
      <c r="Q13880" t="s">
        <v>13887</v>
      </c>
      <c r="R13880" t="s">
        <v>480</v>
      </c>
      <c r="S13880">
        <v>115.942572</v>
      </c>
      <c r="T13880" s="1095">
        <v>-31.901800999999999</v>
      </c>
    </row>
    <row r="13881" spans="16:20">
      <c r="P13881" s="1094">
        <v>6054</v>
      </c>
      <c r="Q13881" t="s">
        <v>13888</v>
      </c>
      <c r="R13881" t="s">
        <v>480</v>
      </c>
      <c r="S13881">
        <v>115.942572</v>
      </c>
      <c r="T13881" s="1095">
        <v>-31.901800999999999</v>
      </c>
    </row>
    <row r="13882" spans="16:20">
      <c r="P13882" s="1094">
        <v>6054</v>
      </c>
      <c r="Q13882" t="s">
        <v>13889</v>
      </c>
      <c r="R13882" t="s">
        <v>480</v>
      </c>
      <c r="S13882">
        <v>115.942572</v>
      </c>
      <c r="T13882" s="1095">
        <v>-31.901800999999999</v>
      </c>
    </row>
    <row r="13883" spans="16:20">
      <c r="P13883" s="1094">
        <v>6055</v>
      </c>
      <c r="Q13883" t="s">
        <v>13890</v>
      </c>
      <c r="R13883" t="s">
        <v>480</v>
      </c>
      <c r="S13883">
        <v>115.980754</v>
      </c>
      <c r="T13883" s="1095">
        <v>-31.842527</v>
      </c>
    </row>
    <row r="13884" spans="16:20">
      <c r="P13884" s="1094">
        <v>6055</v>
      </c>
      <c r="Q13884" t="s">
        <v>1714</v>
      </c>
      <c r="R13884" t="s">
        <v>480</v>
      </c>
      <c r="S13884">
        <v>115.980754</v>
      </c>
      <c r="T13884" s="1095">
        <v>-31.842527</v>
      </c>
    </row>
    <row r="13885" spans="16:20">
      <c r="P13885" s="1094">
        <v>6055</v>
      </c>
      <c r="Q13885" t="s">
        <v>13891</v>
      </c>
      <c r="R13885" t="s">
        <v>480</v>
      </c>
      <c r="S13885">
        <v>115.980754</v>
      </c>
      <c r="T13885" s="1095">
        <v>-31.842527</v>
      </c>
    </row>
    <row r="13886" spans="16:20">
      <c r="P13886" s="1094">
        <v>6055</v>
      </c>
      <c r="Q13886" t="s">
        <v>13892</v>
      </c>
      <c r="R13886" t="s">
        <v>480</v>
      </c>
      <c r="S13886">
        <v>115.980754</v>
      </c>
      <c r="T13886" s="1095">
        <v>-31.842527</v>
      </c>
    </row>
    <row r="13887" spans="16:20">
      <c r="P13887" s="1094">
        <v>6055</v>
      </c>
      <c r="Q13887" t="s">
        <v>13893</v>
      </c>
      <c r="R13887" t="s">
        <v>480</v>
      </c>
      <c r="S13887">
        <v>115.980754</v>
      </c>
      <c r="T13887" s="1095">
        <v>-31.842527</v>
      </c>
    </row>
    <row r="13888" spans="16:20">
      <c r="P13888" s="1094">
        <v>6055</v>
      </c>
      <c r="Q13888" t="s">
        <v>13894</v>
      </c>
      <c r="R13888" t="s">
        <v>480</v>
      </c>
      <c r="S13888">
        <v>115.980754</v>
      </c>
      <c r="T13888" s="1095">
        <v>-31.842527</v>
      </c>
    </row>
    <row r="13889" spans="16:20">
      <c r="P13889" s="1094">
        <v>6056</v>
      </c>
      <c r="Q13889" t="s">
        <v>13895</v>
      </c>
      <c r="R13889" t="s">
        <v>480</v>
      </c>
      <c r="S13889">
        <v>116.0261</v>
      </c>
      <c r="T13889" s="1095">
        <v>-31.838398000000002</v>
      </c>
    </row>
    <row r="13890" spans="16:20">
      <c r="P13890" s="1094">
        <v>6056</v>
      </c>
      <c r="Q13890" t="s">
        <v>13896</v>
      </c>
      <c r="R13890" t="s">
        <v>480</v>
      </c>
      <c r="S13890">
        <v>116.0261</v>
      </c>
      <c r="T13890" s="1095">
        <v>-31.838398000000002</v>
      </c>
    </row>
    <row r="13891" spans="16:20">
      <c r="P13891" s="1094">
        <v>6056</v>
      </c>
      <c r="Q13891" t="s">
        <v>13897</v>
      </c>
      <c r="R13891" t="s">
        <v>480</v>
      </c>
      <c r="S13891">
        <v>116.0261</v>
      </c>
      <c r="T13891" s="1095">
        <v>-31.838398000000002</v>
      </c>
    </row>
    <row r="13892" spans="16:20">
      <c r="P13892" s="1094">
        <v>6056</v>
      </c>
      <c r="Q13892" t="s">
        <v>9815</v>
      </c>
      <c r="R13892" t="s">
        <v>480</v>
      </c>
      <c r="S13892">
        <v>116.0261</v>
      </c>
      <c r="T13892" s="1095">
        <v>-31.838398000000002</v>
      </c>
    </row>
    <row r="13893" spans="16:20">
      <c r="P13893" s="1094">
        <v>6056</v>
      </c>
      <c r="Q13893" t="s">
        <v>13898</v>
      </c>
      <c r="R13893" t="s">
        <v>480</v>
      </c>
      <c r="S13893">
        <v>116.0261</v>
      </c>
      <c r="T13893" s="1095">
        <v>-31.838398000000002</v>
      </c>
    </row>
    <row r="13894" spans="16:20">
      <c r="P13894" s="1094">
        <v>6056</v>
      </c>
      <c r="Q13894" t="s">
        <v>6813</v>
      </c>
      <c r="R13894" t="s">
        <v>480</v>
      </c>
      <c r="S13894">
        <v>116.0261</v>
      </c>
      <c r="T13894" s="1095">
        <v>-31.838398000000002</v>
      </c>
    </row>
    <row r="13895" spans="16:20">
      <c r="P13895" s="1094">
        <v>6056</v>
      </c>
      <c r="Q13895" t="s">
        <v>13899</v>
      </c>
      <c r="R13895" t="s">
        <v>480</v>
      </c>
      <c r="S13895">
        <v>116.0261</v>
      </c>
      <c r="T13895" s="1095">
        <v>-31.838398000000002</v>
      </c>
    </row>
    <row r="13896" spans="16:20">
      <c r="P13896" s="1094">
        <v>6056</v>
      </c>
      <c r="Q13896" t="s">
        <v>13900</v>
      </c>
      <c r="R13896" t="s">
        <v>480</v>
      </c>
      <c r="S13896">
        <v>116.0261</v>
      </c>
      <c r="T13896" s="1095">
        <v>-31.838398000000002</v>
      </c>
    </row>
    <row r="13897" spans="16:20">
      <c r="P13897" s="1094">
        <v>6056</v>
      </c>
      <c r="Q13897" t="s">
        <v>13901</v>
      </c>
      <c r="R13897" t="s">
        <v>480</v>
      </c>
      <c r="S13897">
        <v>116.0261</v>
      </c>
      <c r="T13897" s="1095">
        <v>-31.838398000000002</v>
      </c>
    </row>
    <row r="13898" spans="16:20">
      <c r="P13898" s="1094">
        <v>6056</v>
      </c>
      <c r="Q13898" t="s">
        <v>13902</v>
      </c>
      <c r="R13898" t="s">
        <v>480</v>
      </c>
      <c r="S13898">
        <v>116.0261</v>
      </c>
      <c r="T13898" s="1095">
        <v>-31.838398000000002</v>
      </c>
    </row>
    <row r="13899" spans="16:20">
      <c r="P13899" s="1094">
        <v>6056</v>
      </c>
      <c r="Q13899" t="s">
        <v>13903</v>
      </c>
      <c r="R13899" t="s">
        <v>480</v>
      </c>
      <c r="S13899">
        <v>116.0261</v>
      </c>
      <c r="T13899" s="1095">
        <v>-31.838398000000002</v>
      </c>
    </row>
    <row r="13900" spans="16:20">
      <c r="P13900" s="1094">
        <v>6056</v>
      </c>
      <c r="Q13900" t="s">
        <v>13904</v>
      </c>
      <c r="R13900" t="s">
        <v>480</v>
      </c>
      <c r="S13900">
        <v>116.0261</v>
      </c>
      <c r="T13900" s="1095">
        <v>-31.838398000000002</v>
      </c>
    </row>
    <row r="13901" spans="16:20">
      <c r="P13901" s="1094">
        <v>6056</v>
      </c>
      <c r="Q13901" t="s">
        <v>2939</v>
      </c>
      <c r="R13901" t="s">
        <v>480</v>
      </c>
      <c r="S13901">
        <v>116.0261</v>
      </c>
      <c r="T13901" s="1095">
        <v>-31.838398000000002</v>
      </c>
    </row>
    <row r="13902" spans="16:20">
      <c r="P13902" s="1094">
        <v>6056</v>
      </c>
      <c r="Q13902" t="s">
        <v>13905</v>
      </c>
      <c r="R13902" t="s">
        <v>480</v>
      </c>
      <c r="S13902">
        <v>116.0261</v>
      </c>
      <c r="T13902" s="1095">
        <v>-31.838398000000002</v>
      </c>
    </row>
    <row r="13903" spans="16:20">
      <c r="P13903" s="1094">
        <v>6056</v>
      </c>
      <c r="Q13903" t="s">
        <v>13906</v>
      </c>
      <c r="R13903" t="s">
        <v>480</v>
      </c>
      <c r="S13903">
        <v>116.0261</v>
      </c>
      <c r="T13903" s="1095">
        <v>-31.838398000000002</v>
      </c>
    </row>
    <row r="13904" spans="16:20">
      <c r="P13904" s="1094">
        <v>6056</v>
      </c>
      <c r="Q13904" t="s">
        <v>13907</v>
      </c>
      <c r="R13904" t="s">
        <v>480</v>
      </c>
      <c r="S13904">
        <v>116.0261</v>
      </c>
      <c r="T13904" s="1095">
        <v>-31.838398000000002</v>
      </c>
    </row>
    <row r="13905" spans="16:20">
      <c r="P13905" s="1094">
        <v>6056</v>
      </c>
      <c r="Q13905" t="s">
        <v>13908</v>
      </c>
      <c r="R13905" t="s">
        <v>480</v>
      </c>
      <c r="S13905">
        <v>116.0261</v>
      </c>
      <c r="T13905" s="1095">
        <v>-31.838398000000002</v>
      </c>
    </row>
    <row r="13906" spans="16:20">
      <c r="P13906" s="1094">
        <v>6057</v>
      </c>
      <c r="Q13906" t="s">
        <v>13909</v>
      </c>
      <c r="R13906" t="s">
        <v>480</v>
      </c>
      <c r="S13906">
        <v>116.004245</v>
      </c>
      <c r="T13906" s="1095">
        <v>-31.949940000000002</v>
      </c>
    </row>
    <row r="13907" spans="16:20">
      <c r="P13907" s="1094">
        <v>6057</v>
      </c>
      <c r="Q13907" t="s">
        <v>13910</v>
      </c>
      <c r="R13907" t="s">
        <v>480</v>
      </c>
      <c r="S13907">
        <v>116.004245</v>
      </c>
      <c r="T13907" s="1095">
        <v>-31.949940000000002</v>
      </c>
    </row>
    <row r="13908" spans="16:20">
      <c r="P13908" s="1094">
        <v>6058</v>
      </c>
      <c r="Q13908" t="s">
        <v>13911</v>
      </c>
      <c r="R13908" t="s">
        <v>480</v>
      </c>
      <c r="S13908">
        <v>116.006688</v>
      </c>
      <c r="T13908" s="1095">
        <v>-31.985240999999998</v>
      </c>
    </row>
    <row r="13909" spans="16:20">
      <c r="P13909" s="1094">
        <v>6059</v>
      </c>
      <c r="Q13909" t="s">
        <v>13912</v>
      </c>
      <c r="R13909" t="s">
        <v>480</v>
      </c>
      <c r="S13909">
        <v>0</v>
      </c>
      <c r="T13909" s="1095">
        <v>0</v>
      </c>
    </row>
    <row r="13910" spans="16:20">
      <c r="P13910" s="1094">
        <v>6060</v>
      </c>
      <c r="Q13910" t="s">
        <v>13913</v>
      </c>
      <c r="R13910" t="s">
        <v>480</v>
      </c>
      <c r="S13910">
        <v>115.840879</v>
      </c>
      <c r="T13910" s="1095">
        <v>-31.903241000000001</v>
      </c>
    </row>
    <row r="13911" spans="16:20">
      <c r="P13911" s="1094">
        <v>6060</v>
      </c>
      <c r="Q13911" t="s">
        <v>13914</v>
      </c>
      <c r="R13911" t="s">
        <v>480</v>
      </c>
      <c r="S13911">
        <v>115.840879</v>
      </c>
      <c r="T13911" s="1095">
        <v>-31.903241000000001</v>
      </c>
    </row>
    <row r="13912" spans="16:20">
      <c r="P13912" s="1094">
        <v>6060</v>
      </c>
      <c r="Q13912" t="s">
        <v>13915</v>
      </c>
      <c r="R13912" t="s">
        <v>480</v>
      </c>
      <c r="S13912">
        <v>115.840879</v>
      </c>
      <c r="T13912" s="1095">
        <v>-31.903241000000001</v>
      </c>
    </row>
    <row r="13913" spans="16:20">
      <c r="P13913" s="1094">
        <v>6060</v>
      </c>
      <c r="Q13913" t="s">
        <v>13916</v>
      </c>
      <c r="R13913" t="s">
        <v>480</v>
      </c>
      <c r="S13913">
        <v>115.840879</v>
      </c>
      <c r="T13913" s="1095">
        <v>-31.903241000000001</v>
      </c>
    </row>
    <row r="13914" spans="16:20">
      <c r="P13914" s="1094">
        <v>6061</v>
      </c>
      <c r="Q13914" t="s">
        <v>13917</v>
      </c>
      <c r="R13914" t="s">
        <v>480</v>
      </c>
      <c r="S13914">
        <v>115.843478</v>
      </c>
      <c r="T13914" s="1095">
        <v>-31.864113</v>
      </c>
    </row>
    <row r="13915" spans="16:20">
      <c r="P13915" s="1094">
        <v>6061</v>
      </c>
      <c r="Q13915" t="s">
        <v>2416</v>
      </c>
      <c r="R13915" t="s">
        <v>480</v>
      </c>
      <c r="S13915">
        <v>115.843478</v>
      </c>
      <c r="T13915" s="1095">
        <v>-31.864113</v>
      </c>
    </row>
    <row r="13916" spans="16:20">
      <c r="P13916" s="1094">
        <v>6061</v>
      </c>
      <c r="Q13916" t="s">
        <v>13918</v>
      </c>
      <c r="R13916" t="s">
        <v>480</v>
      </c>
      <c r="S13916">
        <v>115.843478</v>
      </c>
      <c r="T13916" s="1095">
        <v>-31.864113</v>
      </c>
    </row>
    <row r="13917" spans="16:20">
      <c r="P13917" s="1094">
        <v>6061</v>
      </c>
      <c r="Q13917" t="s">
        <v>13919</v>
      </c>
      <c r="R13917" t="s">
        <v>480</v>
      </c>
      <c r="S13917">
        <v>115.843478</v>
      </c>
      <c r="T13917" s="1095">
        <v>-31.864113</v>
      </c>
    </row>
    <row r="13918" spans="16:20">
      <c r="P13918" s="1094">
        <v>6062</v>
      </c>
      <c r="Q13918" t="s">
        <v>13920</v>
      </c>
      <c r="R13918" t="s">
        <v>480</v>
      </c>
      <c r="S13918">
        <v>115.89088</v>
      </c>
      <c r="T13918" s="1095">
        <v>-31.886322</v>
      </c>
    </row>
    <row r="13919" spans="16:20">
      <c r="P13919" s="1094">
        <v>6062</v>
      </c>
      <c r="Q13919" t="s">
        <v>13921</v>
      </c>
      <c r="R13919" t="s">
        <v>480</v>
      </c>
      <c r="S13919">
        <v>115.89088</v>
      </c>
      <c r="T13919" s="1095">
        <v>-31.886322</v>
      </c>
    </row>
    <row r="13920" spans="16:20">
      <c r="P13920" s="1094">
        <v>6062</v>
      </c>
      <c r="Q13920" t="s">
        <v>13922</v>
      </c>
      <c r="R13920" t="s">
        <v>480</v>
      </c>
      <c r="S13920">
        <v>115.89088</v>
      </c>
      <c r="T13920" s="1095">
        <v>-31.886322</v>
      </c>
    </row>
    <row r="13921" spans="16:20">
      <c r="P13921" s="1094">
        <v>6063</v>
      </c>
      <c r="Q13921" t="s">
        <v>13923</v>
      </c>
      <c r="R13921" t="s">
        <v>480</v>
      </c>
      <c r="S13921">
        <v>115.93782400000001</v>
      </c>
      <c r="T13921" s="1095">
        <v>-31.866821999999999</v>
      </c>
    </row>
    <row r="13922" spans="16:20">
      <c r="P13922" s="1094">
        <v>6064</v>
      </c>
      <c r="Q13922" t="s">
        <v>13924</v>
      </c>
      <c r="R13922" t="s">
        <v>480</v>
      </c>
      <c r="S13922">
        <v>115.849098</v>
      </c>
      <c r="T13922" s="1095">
        <v>-31.835332999999999</v>
      </c>
    </row>
    <row r="13923" spans="16:20">
      <c r="P13923" s="1094">
        <v>6064</v>
      </c>
      <c r="Q13923" t="s">
        <v>13925</v>
      </c>
      <c r="R13923" t="s">
        <v>480</v>
      </c>
      <c r="S13923">
        <v>115.849098</v>
      </c>
      <c r="T13923" s="1095">
        <v>-31.835332999999999</v>
      </c>
    </row>
    <row r="13924" spans="16:20">
      <c r="P13924" s="1094">
        <v>6064</v>
      </c>
      <c r="Q13924" t="s">
        <v>13926</v>
      </c>
      <c r="R13924" t="s">
        <v>480</v>
      </c>
      <c r="S13924">
        <v>115.849098</v>
      </c>
      <c r="T13924" s="1095">
        <v>-31.835332999999999</v>
      </c>
    </row>
    <row r="13925" spans="16:20">
      <c r="P13925" s="1094">
        <v>6064</v>
      </c>
      <c r="Q13925" t="s">
        <v>13927</v>
      </c>
      <c r="R13925" t="s">
        <v>480</v>
      </c>
      <c r="S13925">
        <v>115.849098</v>
      </c>
      <c r="T13925" s="1095">
        <v>-31.835332999999999</v>
      </c>
    </row>
    <row r="13926" spans="16:20">
      <c r="P13926" s="1094">
        <v>6065</v>
      </c>
      <c r="Q13926" t="s">
        <v>3781</v>
      </c>
      <c r="R13926" t="s">
        <v>480</v>
      </c>
      <c r="S13926">
        <v>115.84532900000001</v>
      </c>
      <c r="T13926" s="1095">
        <v>-31.69444</v>
      </c>
    </row>
    <row r="13927" spans="16:20">
      <c r="P13927" s="1094">
        <v>6065</v>
      </c>
      <c r="Q13927" t="s">
        <v>13928</v>
      </c>
      <c r="R13927" t="s">
        <v>480</v>
      </c>
      <c r="S13927">
        <v>115.84532900000001</v>
      </c>
      <c r="T13927" s="1095">
        <v>-31.69444</v>
      </c>
    </row>
    <row r="13928" spans="16:20">
      <c r="P13928" s="1094">
        <v>6065</v>
      </c>
      <c r="Q13928" t="s">
        <v>13929</v>
      </c>
      <c r="R13928" t="s">
        <v>480</v>
      </c>
      <c r="S13928">
        <v>115.84532900000001</v>
      </c>
      <c r="T13928" s="1095">
        <v>-31.69444</v>
      </c>
    </row>
    <row r="13929" spans="16:20">
      <c r="P13929" s="1094">
        <v>6065</v>
      </c>
      <c r="Q13929" t="s">
        <v>13930</v>
      </c>
      <c r="R13929" t="s">
        <v>480</v>
      </c>
      <c r="S13929">
        <v>115.84532900000001</v>
      </c>
      <c r="T13929" s="1095">
        <v>-31.69444</v>
      </c>
    </row>
    <row r="13930" spans="16:20">
      <c r="P13930" s="1094">
        <v>6065</v>
      </c>
      <c r="Q13930" t="s">
        <v>13931</v>
      </c>
      <c r="R13930" t="s">
        <v>480</v>
      </c>
      <c r="S13930">
        <v>115.84532900000001</v>
      </c>
      <c r="T13930" s="1095">
        <v>-31.69444</v>
      </c>
    </row>
    <row r="13931" spans="16:20">
      <c r="P13931" s="1094">
        <v>6065</v>
      </c>
      <c r="Q13931" t="s">
        <v>13932</v>
      </c>
      <c r="R13931" t="s">
        <v>480</v>
      </c>
      <c r="S13931">
        <v>115.84532900000001</v>
      </c>
      <c r="T13931" s="1095">
        <v>-31.69444</v>
      </c>
    </row>
    <row r="13932" spans="16:20">
      <c r="P13932" s="1094">
        <v>6065</v>
      </c>
      <c r="Q13932" t="s">
        <v>13933</v>
      </c>
      <c r="R13932" t="s">
        <v>480</v>
      </c>
      <c r="S13932">
        <v>115.84532900000001</v>
      </c>
      <c r="T13932" s="1095">
        <v>-31.69444</v>
      </c>
    </row>
    <row r="13933" spans="16:20">
      <c r="P13933" s="1094">
        <v>6065</v>
      </c>
      <c r="Q13933" t="s">
        <v>13934</v>
      </c>
      <c r="R13933" t="s">
        <v>480</v>
      </c>
      <c r="S13933">
        <v>115.84532900000001</v>
      </c>
      <c r="T13933" s="1095">
        <v>-31.69444</v>
      </c>
    </row>
    <row r="13934" spans="16:20">
      <c r="P13934" s="1094">
        <v>6065</v>
      </c>
      <c r="Q13934" t="s">
        <v>13935</v>
      </c>
      <c r="R13934" t="s">
        <v>480</v>
      </c>
      <c r="S13934">
        <v>115.84532900000001</v>
      </c>
      <c r="T13934" s="1095">
        <v>-31.69444</v>
      </c>
    </row>
    <row r="13935" spans="16:20">
      <c r="P13935" s="1094">
        <v>6065</v>
      </c>
      <c r="Q13935" t="s">
        <v>13936</v>
      </c>
      <c r="R13935" t="s">
        <v>480</v>
      </c>
      <c r="S13935">
        <v>115.84532900000001</v>
      </c>
      <c r="T13935" s="1095">
        <v>-31.69444</v>
      </c>
    </row>
    <row r="13936" spans="16:20">
      <c r="P13936" s="1094">
        <v>6065</v>
      </c>
      <c r="Q13936" t="s">
        <v>13937</v>
      </c>
      <c r="R13936" t="s">
        <v>480</v>
      </c>
      <c r="S13936">
        <v>115.84532900000001</v>
      </c>
      <c r="T13936" s="1095">
        <v>-31.69444</v>
      </c>
    </row>
    <row r="13937" spans="16:20">
      <c r="P13937" s="1094">
        <v>6065</v>
      </c>
      <c r="Q13937" t="s">
        <v>13938</v>
      </c>
      <c r="R13937" t="s">
        <v>480</v>
      </c>
      <c r="S13937">
        <v>115.84532900000001</v>
      </c>
      <c r="T13937" s="1095">
        <v>-31.69444</v>
      </c>
    </row>
    <row r="13938" spans="16:20">
      <c r="P13938" s="1094">
        <v>6065</v>
      </c>
      <c r="Q13938" t="s">
        <v>13939</v>
      </c>
      <c r="R13938" t="s">
        <v>480</v>
      </c>
      <c r="S13938">
        <v>115.84532900000001</v>
      </c>
      <c r="T13938" s="1095">
        <v>-31.69444</v>
      </c>
    </row>
    <row r="13939" spans="16:20">
      <c r="P13939" s="1094">
        <v>6065</v>
      </c>
      <c r="Q13939" t="s">
        <v>13940</v>
      </c>
      <c r="R13939" t="s">
        <v>480</v>
      </c>
      <c r="S13939">
        <v>115.84532900000001</v>
      </c>
      <c r="T13939" s="1095">
        <v>-31.69444</v>
      </c>
    </row>
    <row r="13940" spans="16:20">
      <c r="P13940" s="1094">
        <v>6065</v>
      </c>
      <c r="Q13940" t="s">
        <v>13941</v>
      </c>
      <c r="R13940" t="s">
        <v>480</v>
      </c>
      <c r="S13940">
        <v>115.84532900000001</v>
      </c>
      <c r="T13940" s="1095">
        <v>-31.69444</v>
      </c>
    </row>
    <row r="13941" spans="16:20">
      <c r="P13941" s="1094">
        <v>6065</v>
      </c>
      <c r="Q13941" t="s">
        <v>13942</v>
      </c>
      <c r="R13941" t="s">
        <v>480</v>
      </c>
      <c r="S13941">
        <v>115.84532900000001</v>
      </c>
      <c r="T13941" s="1095">
        <v>-31.69444</v>
      </c>
    </row>
    <row r="13942" spans="16:20">
      <c r="P13942" s="1094">
        <v>6065</v>
      </c>
      <c r="Q13942" t="s">
        <v>13943</v>
      </c>
      <c r="R13942" t="s">
        <v>480</v>
      </c>
      <c r="S13942">
        <v>115.84532900000001</v>
      </c>
      <c r="T13942" s="1095">
        <v>-31.69444</v>
      </c>
    </row>
    <row r="13943" spans="16:20">
      <c r="P13943" s="1094">
        <v>6065</v>
      </c>
      <c r="Q13943" t="s">
        <v>13944</v>
      </c>
      <c r="R13943" t="s">
        <v>480</v>
      </c>
      <c r="S13943">
        <v>115.84532900000001</v>
      </c>
      <c r="T13943" s="1095">
        <v>-31.69444</v>
      </c>
    </row>
    <row r="13944" spans="16:20">
      <c r="P13944" s="1094">
        <v>6066</v>
      </c>
      <c r="Q13944" t="s">
        <v>13945</v>
      </c>
      <c r="R13944" t="s">
        <v>480</v>
      </c>
      <c r="S13944">
        <v>115.896508</v>
      </c>
      <c r="T13944" s="1095">
        <v>-31.842690000000001</v>
      </c>
    </row>
    <row r="13945" spans="16:20">
      <c r="P13945" s="1094">
        <v>6067</v>
      </c>
      <c r="Q13945" t="s">
        <v>13946</v>
      </c>
      <c r="R13945" t="s">
        <v>480</v>
      </c>
      <c r="S13945">
        <v>115.899644</v>
      </c>
      <c r="T13945" s="1095">
        <v>-31.816058999999999</v>
      </c>
    </row>
    <row r="13946" spans="16:20">
      <c r="P13946" s="1094">
        <v>6068</v>
      </c>
      <c r="Q13946" t="s">
        <v>13947</v>
      </c>
      <c r="R13946" t="s">
        <v>480</v>
      </c>
      <c r="S13946">
        <v>115.941108</v>
      </c>
      <c r="T13946" s="1095">
        <v>-31.826198999999999</v>
      </c>
    </row>
    <row r="13947" spans="16:20">
      <c r="P13947" s="1094">
        <v>6069</v>
      </c>
      <c r="Q13947" t="s">
        <v>13948</v>
      </c>
      <c r="R13947" t="s">
        <v>480</v>
      </c>
      <c r="S13947">
        <v>0</v>
      </c>
      <c r="T13947" s="1095">
        <v>0</v>
      </c>
    </row>
    <row r="13948" spans="16:20">
      <c r="P13948" s="1094">
        <v>6069</v>
      </c>
      <c r="Q13948" t="s">
        <v>13949</v>
      </c>
      <c r="R13948" t="s">
        <v>480</v>
      </c>
      <c r="S13948">
        <v>0</v>
      </c>
      <c r="T13948" s="1095">
        <v>0</v>
      </c>
    </row>
    <row r="13949" spans="16:20">
      <c r="P13949" s="1094">
        <v>6069</v>
      </c>
      <c r="Q13949" t="s">
        <v>13950</v>
      </c>
      <c r="R13949" t="s">
        <v>480</v>
      </c>
      <c r="S13949">
        <v>0</v>
      </c>
      <c r="T13949" s="1095">
        <v>0</v>
      </c>
    </row>
    <row r="13950" spans="16:20">
      <c r="P13950" s="1094">
        <v>6069</v>
      </c>
      <c r="Q13950" t="s">
        <v>13951</v>
      </c>
      <c r="R13950" t="s">
        <v>480</v>
      </c>
      <c r="S13950">
        <v>0</v>
      </c>
      <c r="T13950" s="1095">
        <v>0</v>
      </c>
    </row>
    <row r="13951" spans="16:20">
      <c r="P13951" s="1094">
        <v>6069</v>
      </c>
      <c r="Q13951" t="s">
        <v>13952</v>
      </c>
      <c r="R13951" t="s">
        <v>480</v>
      </c>
      <c r="S13951">
        <v>0</v>
      </c>
      <c r="T13951" s="1095">
        <v>0</v>
      </c>
    </row>
    <row r="13952" spans="16:20">
      <c r="P13952" s="1094">
        <v>6069</v>
      </c>
      <c r="Q13952" t="s">
        <v>13953</v>
      </c>
      <c r="R13952" t="s">
        <v>480</v>
      </c>
      <c r="S13952">
        <v>0</v>
      </c>
      <c r="T13952" s="1095">
        <v>0</v>
      </c>
    </row>
    <row r="13953" spans="16:20">
      <c r="P13953" s="1094">
        <v>6070</v>
      </c>
      <c r="Q13953" t="s">
        <v>1734</v>
      </c>
      <c r="R13953" t="s">
        <v>480</v>
      </c>
      <c r="S13953">
        <v>116.079266</v>
      </c>
      <c r="T13953" s="1095">
        <v>-31.929036</v>
      </c>
    </row>
    <row r="13954" spans="16:20">
      <c r="P13954" s="1094">
        <v>6071</v>
      </c>
      <c r="Q13954" t="s">
        <v>13954</v>
      </c>
      <c r="R13954" t="s">
        <v>480</v>
      </c>
      <c r="S13954">
        <v>116.100432</v>
      </c>
      <c r="T13954" s="1095">
        <v>-31.889087</v>
      </c>
    </row>
    <row r="13955" spans="16:20">
      <c r="P13955" s="1094">
        <v>6071</v>
      </c>
      <c r="Q13955" t="s">
        <v>13955</v>
      </c>
      <c r="R13955" t="s">
        <v>480</v>
      </c>
      <c r="S13955">
        <v>116.100432</v>
      </c>
      <c r="T13955" s="1095">
        <v>-31.889087</v>
      </c>
    </row>
    <row r="13956" spans="16:20">
      <c r="P13956" s="1094">
        <v>6072</v>
      </c>
      <c r="Q13956" t="s">
        <v>13956</v>
      </c>
      <c r="R13956" t="s">
        <v>480</v>
      </c>
      <c r="S13956">
        <v>116.13204500000001</v>
      </c>
      <c r="T13956" s="1095">
        <v>-31.907827999999999</v>
      </c>
    </row>
    <row r="13957" spans="16:20">
      <c r="P13957" s="1094">
        <v>6073</v>
      </c>
      <c r="Q13957" t="s">
        <v>13957</v>
      </c>
      <c r="R13957" t="s">
        <v>480</v>
      </c>
      <c r="S13957">
        <v>116.28143</v>
      </c>
      <c r="T13957" s="1095">
        <v>-31.949349000000002</v>
      </c>
    </row>
    <row r="13958" spans="16:20">
      <c r="P13958" s="1094">
        <v>6073</v>
      </c>
      <c r="Q13958" t="s">
        <v>13958</v>
      </c>
      <c r="R13958" t="s">
        <v>480</v>
      </c>
      <c r="S13958">
        <v>116.28143</v>
      </c>
      <c r="T13958" s="1095">
        <v>-31.949349000000002</v>
      </c>
    </row>
    <row r="13959" spans="16:20">
      <c r="P13959" s="1094">
        <v>6073</v>
      </c>
      <c r="Q13959" t="s">
        <v>13959</v>
      </c>
      <c r="R13959" t="s">
        <v>480</v>
      </c>
      <c r="S13959">
        <v>116.28143</v>
      </c>
      <c r="T13959" s="1095">
        <v>-31.949349000000002</v>
      </c>
    </row>
    <row r="13960" spans="16:20">
      <c r="P13960" s="1094">
        <v>6074</v>
      </c>
      <c r="Q13960" t="s">
        <v>13960</v>
      </c>
      <c r="R13960" t="s">
        <v>480</v>
      </c>
      <c r="S13960">
        <v>116.20453999999999</v>
      </c>
      <c r="T13960" s="1095">
        <v>-31.896592999999999</v>
      </c>
    </row>
    <row r="13961" spans="16:20">
      <c r="P13961" s="1094">
        <v>6076</v>
      </c>
      <c r="Q13961" t="s">
        <v>13961</v>
      </c>
      <c r="R13961" t="s">
        <v>480</v>
      </c>
      <c r="S13961">
        <v>116.208263</v>
      </c>
      <c r="T13961" s="1095">
        <v>-32.108961000000001</v>
      </c>
    </row>
    <row r="13962" spans="16:20">
      <c r="P13962" s="1094">
        <v>6076</v>
      </c>
      <c r="Q13962" t="s">
        <v>13962</v>
      </c>
      <c r="R13962" t="s">
        <v>480</v>
      </c>
      <c r="S13962">
        <v>116.208263</v>
      </c>
      <c r="T13962" s="1095">
        <v>-32.108961000000001</v>
      </c>
    </row>
    <row r="13963" spans="16:20">
      <c r="P13963" s="1094">
        <v>6076</v>
      </c>
      <c r="Q13963" t="s">
        <v>13963</v>
      </c>
      <c r="R13963" t="s">
        <v>480</v>
      </c>
      <c r="S13963">
        <v>116.208263</v>
      </c>
      <c r="T13963" s="1095">
        <v>-32.108961000000001</v>
      </c>
    </row>
    <row r="13964" spans="16:20">
      <c r="P13964" s="1094">
        <v>6076</v>
      </c>
      <c r="Q13964" t="s">
        <v>13964</v>
      </c>
      <c r="R13964" t="s">
        <v>480</v>
      </c>
      <c r="S13964">
        <v>116.208263</v>
      </c>
      <c r="T13964" s="1095">
        <v>-32.108961000000001</v>
      </c>
    </row>
    <row r="13965" spans="16:20">
      <c r="P13965" s="1094">
        <v>6076</v>
      </c>
      <c r="Q13965" t="s">
        <v>13965</v>
      </c>
      <c r="R13965" t="s">
        <v>480</v>
      </c>
      <c r="S13965">
        <v>116.208263</v>
      </c>
      <c r="T13965" s="1095">
        <v>-32.108961000000001</v>
      </c>
    </row>
    <row r="13966" spans="16:20">
      <c r="P13966" s="1094">
        <v>6076</v>
      </c>
      <c r="Q13966" t="s">
        <v>13966</v>
      </c>
      <c r="R13966" t="s">
        <v>480</v>
      </c>
      <c r="S13966">
        <v>116.208263</v>
      </c>
      <c r="T13966" s="1095">
        <v>-32.108961000000001</v>
      </c>
    </row>
    <row r="13967" spans="16:20">
      <c r="P13967" s="1094">
        <v>6076</v>
      </c>
      <c r="Q13967" t="s">
        <v>13967</v>
      </c>
      <c r="R13967" t="s">
        <v>480</v>
      </c>
      <c r="S13967">
        <v>116.208263</v>
      </c>
      <c r="T13967" s="1095">
        <v>-32.108961000000001</v>
      </c>
    </row>
    <row r="13968" spans="16:20">
      <c r="P13968" s="1094">
        <v>6076</v>
      </c>
      <c r="Q13968" t="s">
        <v>13968</v>
      </c>
      <c r="R13968" t="s">
        <v>480</v>
      </c>
      <c r="S13968">
        <v>116.208263</v>
      </c>
      <c r="T13968" s="1095">
        <v>-32.108961000000001</v>
      </c>
    </row>
    <row r="13969" spans="16:20">
      <c r="P13969" s="1094">
        <v>6076</v>
      </c>
      <c r="Q13969" t="s">
        <v>13969</v>
      </c>
      <c r="R13969" t="s">
        <v>480</v>
      </c>
      <c r="S13969">
        <v>116.208263</v>
      </c>
      <c r="T13969" s="1095">
        <v>-32.108961000000001</v>
      </c>
    </row>
    <row r="13970" spans="16:20">
      <c r="P13970" s="1094">
        <v>6076</v>
      </c>
      <c r="Q13970" t="s">
        <v>6507</v>
      </c>
      <c r="R13970" t="s">
        <v>480</v>
      </c>
      <c r="S13970">
        <v>116.208263</v>
      </c>
      <c r="T13970" s="1095">
        <v>-32.108961000000001</v>
      </c>
    </row>
    <row r="13971" spans="16:20">
      <c r="P13971" s="1094">
        <v>6076</v>
      </c>
      <c r="Q13971" t="s">
        <v>13970</v>
      </c>
      <c r="R13971" t="s">
        <v>480</v>
      </c>
      <c r="S13971">
        <v>116.208263</v>
      </c>
      <c r="T13971" s="1095">
        <v>-32.108961000000001</v>
      </c>
    </row>
    <row r="13972" spans="16:20">
      <c r="P13972" s="1094">
        <v>6076</v>
      </c>
      <c r="Q13972" t="s">
        <v>13971</v>
      </c>
      <c r="R13972" t="s">
        <v>480</v>
      </c>
      <c r="S13972">
        <v>116.208263</v>
      </c>
      <c r="T13972" s="1095">
        <v>-32.108961000000001</v>
      </c>
    </row>
    <row r="13973" spans="16:20">
      <c r="P13973" s="1094">
        <v>6077</v>
      </c>
      <c r="Q13973" t="s">
        <v>13929</v>
      </c>
      <c r="R13973" t="s">
        <v>480</v>
      </c>
      <c r="S13973">
        <v>0</v>
      </c>
      <c r="T13973" s="1095">
        <v>0</v>
      </c>
    </row>
    <row r="13974" spans="16:20">
      <c r="P13974" s="1094">
        <v>6077</v>
      </c>
      <c r="Q13974" t="s">
        <v>13931</v>
      </c>
      <c r="R13974" t="s">
        <v>480</v>
      </c>
      <c r="S13974">
        <v>0</v>
      </c>
      <c r="T13974" s="1095">
        <v>0</v>
      </c>
    </row>
    <row r="13975" spans="16:20">
      <c r="P13975" s="1094">
        <v>6078</v>
      </c>
      <c r="Q13975" t="s">
        <v>13936</v>
      </c>
      <c r="R13975" t="s">
        <v>480</v>
      </c>
      <c r="S13975">
        <v>0</v>
      </c>
      <c r="T13975" s="1095">
        <v>0</v>
      </c>
    </row>
    <row r="13976" spans="16:20">
      <c r="P13976" s="1094">
        <v>6078</v>
      </c>
      <c r="Q13976" t="s">
        <v>13939</v>
      </c>
      <c r="R13976" t="s">
        <v>480</v>
      </c>
      <c r="S13976">
        <v>0</v>
      </c>
      <c r="T13976" s="1095">
        <v>0</v>
      </c>
    </row>
    <row r="13977" spans="16:20">
      <c r="P13977" s="1094">
        <v>6079</v>
      </c>
      <c r="Q13977" t="s">
        <v>13934</v>
      </c>
      <c r="R13977" t="s">
        <v>480</v>
      </c>
      <c r="S13977">
        <v>0</v>
      </c>
      <c r="T13977" s="1095">
        <v>0</v>
      </c>
    </row>
    <row r="13978" spans="16:20">
      <c r="P13978" s="1094">
        <v>6079</v>
      </c>
      <c r="Q13978" t="s">
        <v>13937</v>
      </c>
      <c r="R13978" t="s">
        <v>480</v>
      </c>
      <c r="S13978">
        <v>0</v>
      </c>
      <c r="T13978" s="1095">
        <v>0</v>
      </c>
    </row>
    <row r="13979" spans="16:20">
      <c r="P13979" s="1094">
        <v>6081</v>
      </c>
      <c r="Q13979" t="s">
        <v>13972</v>
      </c>
      <c r="R13979" t="s">
        <v>480</v>
      </c>
      <c r="S13979">
        <v>0</v>
      </c>
      <c r="T13979" s="1095">
        <v>0</v>
      </c>
    </row>
    <row r="13980" spans="16:20">
      <c r="P13980" s="1094">
        <v>6081</v>
      </c>
      <c r="Q13980" t="s">
        <v>13973</v>
      </c>
      <c r="R13980" t="s">
        <v>480</v>
      </c>
      <c r="S13980">
        <v>0</v>
      </c>
      <c r="T13980" s="1095">
        <v>0</v>
      </c>
    </row>
    <row r="13981" spans="16:20">
      <c r="P13981" s="1094">
        <v>6082</v>
      </c>
      <c r="Q13981" t="s">
        <v>13974</v>
      </c>
      <c r="R13981" t="s">
        <v>480</v>
      </c>
      <c r="S13981">
        <v>0</v>
      </c>
      <c r="T13981" s="1095">
        <v>0</v>
      </c>
    </row>
    <row r="13982" spans="16:20">
      <c r="P13982" s="1094">
        <v>6082</v>
      </c>
      <c r="Q13982" t="s">
        <v>13975</v>
      </c>
      <c r="R13982" t="s">
        <v>480</v>
      </c>
      <c r="S13982">
        <v>0</v>
      </c>
      <c r="T13982" s="1095">
        <v>0</v>
      </c>
    </row>
    <row r="13983" spans="16:20">
      <c r="P13983" s="1094">
        <v>6083</v>
      </c>
      <c r="Q13983" t="s">
        <v>13976</v>
      </c>
      <c r="R13983" t="s">
        <v>480</v>
      </c>
      <c r="S13983">
        <v>0</v>
      </c>
      <c r="T13983" s="1095">
        <v>0</v>
      </c>
    </row>
    <row r="13984" spans="16:20">
      <c r="P13984" s="1094">
        <v>6083</v>
      </c>
      <c r="Q13984" t="s">
        <v>13977</v>
      </c>
      <c r="R13984" t="s">
        <v>480</v>
      </c>
      <c r="S13984">
        <v>0</v>
      </c>
      <c r="T13984" s="1095">
        <v>0</v>
      </c>
    </row>
    <row r="13985" spans="16:20">
      <c r="P13985" s="1094">
        <v>6084</v>
      </c>
      <c r="Q13985" t="s">
        <v>13978</v>
      </c>
      <c r="R13985" t="s">
        <v>480</v>
      </c>
      <c r="S13985">
        <v>116.072828</v>
      </c>
      <c r="T13985" s="1095">
        <v>-31.622021</v>
      </c>
    </row>
    <row r="13986" spans="16:20">
      <c r="P13986" s="1094">
        <v>6084</v>
      </c>
      <c r="Q13986" t="s">
        <v>13979</v>
      </c>
      <c r="R13986" t="s">
        <v>480</v>
      </c>
      <c r="S13986">
        <v>116.072828</v>
      </c>
      <c r="T13986" s="1095">
        <v>-31.622021</v>
      </c>
    </row>
    <row r="13987" spans="16:20">
      <c r="P13987" s="1094">
        <v>6084</v>
      </c>
      <c r="Q13987" t="s">
        <v>13980</v>
      </c>
      <c r="R13987" t="s">
        <v>480</v>
      </c>
      <c r="S13987">
        <v>116.072828</v>
      </c>
      <c r="T13987" s="1095">
        <v>-31.622021</v>
      </c>
    </row>
    <row r="13988" spans="16:20">
      <c r="P13988" s="1094">
        <v>6084</v>
      </c>
      <c r="Q13988" t="s">
        <v>13981</v>
      </c>
      <c r="R13988" t="s">
        <v>480</v>
      </c>
      <c r="S13988">
        <v>116.072828</v>
      </c>
      <c r="T13988" s="1095">
        <v>-31.622021</v>
      </c>
    </row>
    <row r="13989" spans="16:20">
      <c r="P13989" s="1094">
        <v>6084</v>
      </c>
      <c r="Q13989" t="s">
        <v>13982</v>
      </c>
      <c r="R13989" t="s">
        <v>480</v>
      </c>
      <c r="S13989">
        <v>116.072828</v>
      </c>
      <c r="T13989" s="1095">
        <v>-31.622021</v>
      </c>
    </row>
    <row r="13990" spans="16:20">
      <c r="P13990" s="1094">
        <v>6090</v>
      </c>
      <c r="Q13990" t="s">
        <v>13983</v>
      </c>
      <c r="R13990" t="s">
        <v>480</v>
      </c>
      <c r="S13990">
        <v>0</v>
      </c>
      <c r="T13990" s="1095">
        <v>0</v>
      </c>
    </row>
    <row r="13991" spans="16:20">
      <c r="P13991" s="1094">
        <v>6100</v>
      </c>
      <c r="Q13991" t="s">
        <v>13984</v>
      </c>
      <c r="R13991" t="s">
        <v>480</v>
      </c>
      <c r="S13991">
        <v>115.896029</v>
      </c>
      <c r="T13991" s="1095">
        <v>-31.971724999999999</v>
      </c>
    </row>
    <row r="13992" spans="16:20">
      <c r="P13992" s="1094">
        <v>6100</v>
      </c>
      <c r="Q13992" t="s">
        <v>13985</v>
      </c>
      <c r="R13992" t="s">
        <v>480</v>
      </c>
      <c r="S13992">
        <v>115.896029</v>
      </c>
      <c r="T13992" s="1095">
        <v>-31.971724999999999</v>
      </c>
    </row>
    <row r="13993" spans="16:20">
      <c r="P13993" s="1094">
        <v>6100</v>
      </c>
      <c r="Q13993" t="s">
        <v>13986</v>
      </c>
      <c r="R13993" t="s">
        <v>480</v>
      </c>
      <c r="S13993">
        <v>115.896029</v>
      </c>
      <c r="T13993" s="1095">
        <v>-31.971724999999999</v>
      </c>
    </row>
    <row r="13994" spans="16:20">
      <c r="P13994" s="1094">
        <v>6101</v>
      </c>
      <c r="Q13994" t="s">
        <v>13987</v>
      </c>
      <c r="R13994" t="s">
        <v>480</v>
      </c>
      <c r="S13994">
        <v>115.908576</v>
      </c>
      <c r="T13994" s="1095">
        <v>-31.985247000000001</v>
      </c>
    </row>
    <row r="13995" spans="16:20">
      <c r="P13995" s="1094">
        <v>6101</v>
      </c>
      <c r="Q13995" t="s">
        <v>13988</v>
      </c>
      <c r="R13995" t="s">
        <v>480</v>
      </c>
      <c r="S13995">
        <v>115.908576</v>
      </c>
      <c r="T13995" s="1095">
        <v>-31.985247000000001</v>
      </c>
    </row>
    <row r="13996" spans="16:20">
      <c r="P13996" s="1094">
        <v>6101</v>
      </c>
      <c r="Q13996" t="s">
        <v>13989</v>
      </c>
      <c r="R13996" t="s">
        <v>480</v>
      </c>
      <c r="S13996">
        <v>115.908576</v>
      </c>
      <c r="T13996" s="1095">
        <v>-31.985247000000001</v>
      </c>
    </row>
    <row r="13997" spans="16:20">
      <c r="P13997" s="1094">
        <v>6101</v>
      </c>
      <c r="Q13997" t="s">
        <v>13990</v>
      </c>
      <c r="R13997" t="s">
        <v>480</v>
      </c>
      <c r="S13997">
        <v>115.908576</v>
      </c>
      <c r="T13997" s="1095">
        <v>-31.985247000000001</v>
      </c>
    </row>
    <row r="13998" spans="16:20">
      <c r="P13998" s="1094">
        <v>6102</v>
      </c>
      <c r="Q13998" t="s">
        <v>3977</v>
      </c>
      <c r="R13998" t="s">
        <v>480</v>
      </c>
      <c r="S13998">
        <v>115.904425</v>
      </c>
      <c r="T13998" s="1095">
        <v>-32.005643999999997</v>
      </c>
    </row>
    <row r="13999" spans="16:20">
      <c r="P13999" s="1094">
        <v>6102</v>
      </c>
      <c r="Q13999" t="s">
        <v>13991</v>
      </c>
      <c r="R13999" t="s">
        <v>480</v>
      </c>
      <c r="S13999">
        <v>115.904425</v>
      </c>
      <c r="T13999" s="1095">
        <v>-32.005643999999997</v>
      </c>
    </row>
    <row r="14000" spans="16:20">
      <c r="P14000" s="1094">
        <v>6102</v>
      </c>
      <c r="Q14000" t="s">
        <v>8587</v>
      </c>
      <c r="R14000" t="s">
        <v>480</v>
      </c>
      <c r="S14000">
        <v>115.904425</v>
      </c>
      <c r="T14000" s="1095">
        <v>-32.005643999999997</v>
      </c>
    </row>
    <row r="14001" spans="16:20">
      <c r="P14001" s="1094">
        <v>6103</v>
      </c>
      <c r="Q14001" t="s">
        <v>13992</v>
      </c>
      <c r="R14001" t="s">
        <v>480</v>
      </c>
      <c r="S14001">
        <v>115.91345800000001</v>
      </c>
      <c r="T14001" s="1095">
        <v>-31.960363999999998</v>
      </c>
    </row>
    <row r="14002" spans="16:20">
      <c r="P14002" s="1094">
        <v>6104</v>
      </c>
      <c r="Q14002" t="s">
        <v>7355</v>
      </c>
      <c r="R14002" t="s">
        <v>480</v>
      </c>
      <c r="S14002">
        <v>115.977633</v>
      </c>
      <c r="T14002" s="1095">
        <v>-31.965498</v>
      </c>
    </row>
    <row r="14003" spans="16:20">
      <c r="P14003" s="1094">
        <v>6104</v>
      </c>
      <c r="Q14003" t="s">
        <v>2429</v>
      </c>
      <c r="R14003" t="s">
        <v>480</v>
      </c>
      <c r="S14003">
        <v>115.977633</v>
      </c>
      <c r="T14003" s="1095">
        <v>-31.965498</v>
      </c>
    </row>
    <row r="14004" spans="16:20">
      <c r="P14004" s="1094">
        <v>6104</v>
      </c>
      <c r="Q14004" t="s">
        <v>9377</v>
      </c>
      <c r="R14004" t="s">
        <v>480</v>
      </c>
      <c r="S14004">
        <v>115.977633</v>
      </c>
      <c r="T14004" s="1095">
        <v>-31.965498</v>
      </c>
    </row>
    <row r="14005" spans="16:20">
      <c r="P14005" s="1094">
        <v>6105</v>
      </c>
      <c r="Q14005" t="s">
        <v>13993</v>
      </c>
      <c r="R14005" t="s">
        <v>480</v>
      </c>
      <c r="S14005">
        <v>115.96329299999999</v>
      </c>
      <c r="T14005" s="1095">
        <v>-31.953880000000002</v>
      </c>
    </row>
    <row r="14006" spans="16:20">
      <c r="P14006" s="1094">
        <v>6105</v>
      </c>
      <c r="Q14006" t="s">
        <v>13994</v>
      </c>
      <c r="R14006" t="s">
        <v>480</v>
      </c>
      <c r="S14006">
        <v>115.96329299999999</v>
      </c>
      <c r="T14006" s="1095">
        <v>-31.953880000000002</v>
      </c>
    </row>
    <row r="14007" spans="16:20">
      <c r="P14007" s="1094">
        <v>6105</v>
      </c>
      <c r="Q14007" t="s">
        <v>13995</v>
      </c>
      <c r="R14007" t="s">
        <v>480</v>
      </c>
      <c r="S14007">
        <v>115.96329299999999</v>
      </c>
      <c r="T14007" s="1095">
        <v>-31.953880000000002</v>
      </c>
    </row>
    <row r="14008" spans="16:20">
      <c r="P14008" s="1094">
        <v>6106</v>
      </c>
      <c r="Q14008" t="s">
        <v>9225</v>
      </c>
      <c r="R14008" t="s">
        <v>480</v>
      </c>
      <c r="S14008">
        <v>115.945564</v>
      </c>
      <c r="T14008" s="1095">
        <v>-31.992082</v>
      </c>
    </row>
    <row r="14009" spans="16:20">
      <c r="P14009" s="1094">
        <v>6106</v>
      </c>
      <c r="Q14009" t="s">
        <v>13996</v>
      </c>
      <c r="R14009" t="s">
        <v>480</v>
      </c>
      <c r="S14009">
        <v>115.945564</v>
      </c>
      <c r="T14009" s="1095">
        <v>-31.992082</v>
      </c>
    </row>
    <row r="14010" spans="16:20">
      <c r="P14010" s="1094">
        <v>6107</v>
      </c>
      <c r="Q14010" t="s">
        <v>13997</v>
      </c>
      <c r="R14010" t="s">
        <v>480</v>
      </c>
      <c r="S14010">
        <v>115.967142</v>
      </c>
      <c r="T14010" s="1095">
        <v>-32.017662999999999</v>
      </c>
    </row>
    <row r="14011" spans="16:20">
      <c r="P14011" s="1094">
        <v>6107</v>
      </c>
      <c r="Q14011" t="s">
        <v>13998</v>
      </c>
      <c r="R14011" t="s">
        <v>480</v>
      </c>
      <c r="S14011">
        <v>115.967142</v>
      </c>
      <c r="T14011" s="1095">
        <v>-32.017662999999999</v>
      </c>
    </row>
    <row r="14012" spans="16:20">
      <c r="P14012" s="1094">
        <v>6107</v>
      </c>
      <c r="Q14012" t="s">
        <v>13999</v>
      </c>
      <c r="R14012" t="s">
        <v>480</v>
      </c>
      <c r="S14012">
        <v>115.967142</v>
      </c>
      <c r="T14012" s="1095">
        <v>-32.017662999999999</v>
      </c>
    </row>
    <row r="14013" spans="16:20">
      <c r="P14013" s="1094">
        <v>6107</v>
      </c>
      <c r="Q14013" t="s">
        <v>14000</v>
      </c>
      <c r="R14013" t="s">
        <v>480</v>
      </c>
      <c r="S14013">
        <v>115.967142</v>
      </c>
      <c r="T14013" s="1095">
        <v>-32.017662999999999</v>
      </c>
    </row>
    <row r="14014" spans="16:20">
      <c r="P14014" s="1094">
        <v>6107</v>
      </c>
      <c r="Q14014" t="s">
        <v>1754</v>
      </c>
      <c r="R14014" t="s">
        <v>480</v>
      </c>
      <c r="S14014">
        <v>115.967142</v>
      </c>
      <c r="T14014" s="1095">
        <v>-32.017662999999999</v>
      </c>
    </row>
    <row r="14015" spans="16:20">
      <c r="P14015" s="1094">
        <v>6107</v>
      </c>
      <c r="Q14015" t="s">
        <v>2131</v>
      </c>
      <c r="R14015" t="s">
        <v>480</v>
      </c>
      <c r="S14015">
        <v>115.967142</v>
      </c>
      <c r="T14015" s="1095">
        <v>-32.017662999999999</v>
      </c>
    </row>
    <row r="14016" spans="16:20">
      <c r="P14016" s="1094">
        <v>6107</v>
      </c>
      <c r="Q14016" t="s">
        <v>14001</v>
      </c>
      <c r="R14016" t="s">
        <v>480</v>
      </c>
      <c r="S14016">
        <v>115.967142</v>
      </c>
      <c r="T14016" s="1095">
        <v>-32.017662999999999</v>
      </c>
    </row>
    <row r="14017" spans="16:20">
      <c r="P14017" s="1094">
        <v>6108</v>
      </c>
      <c r="Q14017" t="s">
        <v>14002</v>
      </c>
      <c r="R14017" t="s">
        <v>480</v>
      </c>
      <c r="S14017">
        <v>115.95358400000001</v>
      </c>
      <c r="T14017" s="1095">
        <v>-32.060890000000001</v>
      </c>
    </row>
    <row r="14018" spans="16:20">
      <c r="P14018" s="1094">
        <v>6109</v>
      </c>
      <c r="Q14018" t="s">
        <v>14003</v>
      </c>
      <c r="R14018" t="s">
        <v>480</v>
      </c>
      <c r="S14018">
        <v>116.013165</v>
      </c>
      <c r="T14018" s="1095">
        <v>-32.039897000000003</v>
      </c>
    </row>
    <row r="14019" spans="16:20">
      <c r="P14019" s="1094">
        <v>6109</v>
      </c>
      <c r="Q14019" t="s">
        <v>3146</v>
      </c>
      <c r="R14019" t="s">
        <v>480</v>
      </c>
      <c r="S14019">
        <v>116.013165</v>
      </c>
      <c r="T14019" s="1095">
        <v>-32.039897000000003</v>
      </c>
    </row>
    <row r="14020" spans="16:20">
      <c r="P14020" s="1094">
        <v>6110</v>
      </c>
      <c r="Q14020" t="s">
        <v>14004</v>
      </c>
      <c r="R14020" t="s">
        <v>480</v>
      </c>
      <c r="S14020">
        <v>116.00860299999999</v>
      </c>
      <c r="T14020" s="1095">
        <v>-32.078535000000002</v>
      </c>
    </row>
    <row r="14021" spans="16:20">
      <c r="P14021" s="1094">
        <v>6110</v>
      </c>
      <c r="Q14021" t="s">
        <v>6697</v>
      </c>
      <c r="R14021" t="s">
        <v>480</v>
      </c>
      <c r="S14021">
        <v>116.00860299999999</v>
      </c>
      <c r="T14021" s="1095">
        <v>-32.078535000000002</v>
      </c>
    </row>
    <row r="14022" spans="16:20">
      <c r="P14022" s="1094">
        <v>6110</v>
      </c>
      <c r="Q14022" t="s">
        <v>14005</v>
      </c>
      <c r="R14022" t="s">
        <v>480</v>
      </c>
      <c r="S14022">
        <v>116.00860299999999</v>
      </c>
      <c r="T14022" s="1095">
        <v>-32.078535000000002</v>
      </c>
    </row>
    <row r="14023" spans="16:20">
      <c r="P14023" s="1094">
        <v>6110</v>
      </c>
      <c r="Q14023" t="s">
        <v>14006</v>
      </c>
      <c r="R14023" t="s">
        <v>480</v>
      </c>
      <c r="S14023">
        <v>116.00860299999999</v>
      </c>
      <c r="T14023" s="1095">
        <v>-32.078535000000002</v>
      </c>
    </row>
    <row r="14024" spans="16:20">
      <c r="P14024" s="1094">
        <v>6111</v>
      </c>
      <c r="Q14024" t="s">
        <v>14007</v>
      </c>
      <c r="R14024" t="s">
        <v>480</v>
      </c>
      <c r="S14024">
        <v>116.095955</v>
      </c>
      <c r="T14024" s="1095">
        <v>-32.097880000000004</v>
      </c>
    </row>
    <row r="14025" spans="16:20">
      <c r="P14025" s="1094">
        <v>6111</v>
      </c>
      <c r="Q14025" t="s">
        <v>14008</v>
      </c>
      <c r="R14025" t="s">
        <v>480</v>
      </c>
      <c r="S14025">
        <v>116.095955</v>
      </c>
      <c r="T14025" s="1095">
        <v>-32.097880000000004</v>
      </c>
    </row>
    <row r="14026" spans="16:20">
      <c r="P14026" s="1094">
        <v>6111</v>
      </c>
      <c r="Q14026" t="s">
        <v>14009</v>
      </c>
      <c r="R14026" t="s">
        <v>480</v>
      </c>
      <c r="S14026">
        <v>116.095955</v>
      </c>
      <c r="T14026" s="1095">
        <v>-32.097880000000004</v>
      </c>
    </row>
    <row r="14027" spans="16:20">
      <c r="P14027" s="1094">
        <v>6111</v>
      </c>
      <c r="Q14027" t="s">
        <v>14010</v>
      </c>
      <c r="R14027" t="s">
        <v>480</v>
      </c>
      <c r="S14027">
        <v>116.095955</v>
      </c>
      <c r="T14027" s="1095">
        <v>-32.097880000000004</v>
      </c>
    </row>
    <row r="14028" spans="16:20">
      <c r="P14028" s="1094">
        <v>6111</v>
      </c>
      <c r="Q14028" t="s">
        <v>14011</v>
      </c>
      <c r="R14028" t="s">
        <v>480</v>
      </c>
      <c r="S14028">
        <v>116.095955</v>
      </c>
      <c r="T14028" s="1095">
        <v>-32.097880000000004</v>
      </c>
    </row>
    <row r="14029" spans="16:20">
      <c r="P14029" s="1094">
        <v>6111</v>
      </c>
      <c r="Q14029" t="s">
        <v>14012</v>
      </c>
      <c r="R14029" t="s">
        <v>480</v>
      </c>
      <c r="S14029">
        <v>116.095955</v>
      </c>
      <c r="T14029" s="1095">
        <v>-32.097880000000004</v>
      </c>
    </row>
    <row r="14030" spans="16:20">
      <c r="P14030" s="1094">
        <v>6111</v>
      </c>
      <c r="Q14030" t="s">
        <v>14013</v>
      </c>
      <c r="R14030" t="s">
        <v>480</v>
      </c>
      <c r="S14030">
        <v>116.095955</v>
      </c>
      <c r="T14030" s="1095">
        <v>-32.097880000000004</v>
      </c>
    </row>
    <row r="14031" spans="16:20">
      <c r="P14031" s="1094">
        <v>6112</v>
      </c>
      <c r="Q14031" t="s">
        <v>6642</v>
      </c>
      <c r="R14031" t="s">
        <v>480</v>
      </c>
      <c r="S14031">
        <v>115.997934</v>
      </c>
      <c r="T14031" s="1095">
        <v>-32.158675000000002</v>
      </c>
    </row>
    <row r="14032" spans="16:20">
      <c r="P14032" s="1094">
        <v>6112</v>
      </c>
      <c r="Q14032" t="s">
        <v>14014</v>
      </c>
      <c r="R14032" t="s">
        <v>480</v>
      </c>
      <c r="S14032">
        <v>115.997934</v>
      </c>
      <c r="T14032" s="1095">
        <v>-32.158675000000002</v>
      </c>
    </row>
    <row r="14033" spans="16:20">
      <c r="P14033" s="1094">
        <v>6112</v>
      </c>
      <c r="Q14033" t="s">
        <v>5244</v>
      </c>
      <c r="R14033" t="s">
        <v>480</v>
      </c>
      <c r="S14033">
        <v>115.997934</v>
      </c>
      <c r="T14033" s="1095">
        <v>-32.158675000000002</v>
      </c>
    </row>
    <row r="14034" spans="16:20">
      <c r="P14034" s="1094">
        <v>6112</v>
      </c>
      <c r="Q14034" t="s">
        <v>14015</v>
      </c>
      <c r="R14034" t="s">
        <v>480</v>
      </c>
      <c r="S14034">
        <v>115.997934</v>
      </c>
      <c r="T14034" s="1095">
        <v>-32.158675000000002</v>
      </c>
    </row>
    <row r="14035" spans="16:20">
      <c r="P14035" s="1094">
        <v>6112</v>
      </c>
      <c r="Q14035" t="s">
        <v>14016</v>
      </c>
      <c r="R14035" t="s">
        <v>480</v>
      </c>
      <c r="S14035">
        <v>115.997934</v>
      </c>
      <c r="T14035" s="1095">
        <v>-32.158675000000002</v>
      </c>
    </row>
    <row r="14036" spans="16:20">
      <c r="P14036" s="1094">
        <v>6112</v>
      </c>
      <c r="Q14036" t="s">
        <v>14017</v>
      </c>
      <c r="R14036" t="s">
        <v>480</v>
      </c>
      <c r="S14036">
        <v>115.997934</v>
      </c>
      <c r="T14036" s="1095">
        <v>-32.158675000000002</v>
      </c>
    </row>
    <row r="14037" spans="16:20">
      <c r="P14037" s="1094">
        <v>6112</v>
      </c>
      <c r="Q14037" t="s">
        <v>14018</v>
      </c>
      <c r="R14037" t="s">
        <v>480</v>
      </c>
      <c r="S14037">
        <v>115.997934</v>
      </c>
      <c r="T14037" s="1095">
        <v>-32.158675000000002</v>
      </c>
    </row>
    <row r="14038" spans="16:20">
      <c r="P14038" s="1094">
        <v>6112</v>
      </c>
      <c r="Q14038" t="s">
        <v>14019</v>
      </c>
      <c r="R14038" t="s">
        <v>480</v>
      </c>
      <c r="S14038">
        <v>115.997934</v>
      </c>
      <c r="T14038" s="1095">
        <v>-32.158675000000002</v>
      </c>
    </row>
    <row r="14039" spans="16:20">
      <c r="P14039" s="1094">
        <v>6121</v>
      </c>
      <c r="Q14039" t="s">
        <v>14020</v>
      </c>
      <c r="R14039" t="s">
        <v>480</v>
      </c>
      <c r="S14039">
        <v>0</v>
      </c>
      <c r="T14039" s="1095">
        <v>0</v>
      </c>
    </row>
    <row r="14040" spans="16:20">
      <c r="P14040" s="1094">
        <v>6121</v>
      </c>
      <c r="Q14040" t="s">
        <v>14021</v>
      </c>
      <c r="R14040" t="s">
        <v>480</v>
      </c>
      <c r="S14040">
        <v>0</v>
      </c>
      <c r="T14040" s="1095">
        <v>0</v>
      </c>
    </row>
    <row r="14041" spans="16:20">
      <c r="P14041" s="1094">
        <v>6122</v>
      </c>
      <c r="Q14041" t="s">
        <v>14022</v>
      </c>
      <c r="R14041" t="s">
        <v>480</v>
      </c>
      <c r="S14041">
        <v>0</v>
      </c>
      <c r="T14041" s="1095">
        <v>0</v>
      </c>
    </row>
    <row r="14042" spans="16:20">
      <c r="P14042" s="1094">
        <v>6122</v>
      </c>
      <c r="Q14042" t="s">
        <v>14023</v>
      </c>
      <c r="R14042" t="s">
        <v>480</v>
      </c>
      <c r="S14042">
        <v>0</v>
      </c>
      <c r="T14042" s="1095">
        <v>0</v>
      </c>
    </row>
    <row r="14043" spans="16:20">
      <c r="P14043" s="1094">
        <v>6122</v>
      </c>
      <c r="Q14043" t="s">
        <v>14024</v>
      </c>
      <c r="R14043" t="s">
        <v>480</v>
      </c>
      <c r="S14043">
        <v>0</v>
      </c>
      <c r="T14043" s="1095">
        <v>0</v>
      </c>
    </row>
    <row r="14044" spans="16:20">
      <c r="P14044" s="1094">
        <v>6122</v>
      </c>
      <c r="Q14044" t="s">
        <v>14025</v>
      </c>
      <c r="R14044" t="s">
        <v>480</v>
      </c>
      <c r="S14044">
        <v>0</v>
      </c>
      <c r="T14044" s="1095">
        <v>0</v>
      </c>
    </row>
    <row r="14045" spans="16:20">
      <c r="P14045" s="1094">
        <v>6123</v>
      </c>
      <c r="Q14045" t="s">
        <v>14026</v>
      </c>
      <c r="R14045" t="s">
        <v>480</v>
      </c>
      <c r="S14045">
        <v>0</v>
      </c>
      <c r="T14045" s="1095">
        <v>0</v>
      </c>
    </row>
    <row r="14046" spans="16:20">
      <c r="P14046" s="1094">
        <v>6123</v>
      </c>
      <c r="Q14046" t="s">
        <v>14027</v>
      </c>
      <c r="R14046" t="s">
        <v>480</v>
      </c>
      <c r="S14046">
        <v>0</v>
      </c>
      <c r="T14046" s="1095">
        <v>0</v>
      </c>
    </row>
    <row r="14047" spans="16:20">
      <c r="P14047" s="1094">
        <v>6124</v>
      </c>
      <c r="Q14047" t="s">
        <v>14028</v>
      </c>
      <c r="R14047" t="s">
        <v>480</v>
      </c>
      <c r="S14047">
        <v>0</v>
      </c>
      <c r="T14047" s="1095">
        <v>0</v>
      </c>
    </row>
    <row r="14048" spans="16:20">
      <c r="P14048" s="1094">
        <v>6125</v>
      </c>
      <c r="Q14048" t="s">
        <v>10452</v>
      </c>
      <c r="R14048" t="s">
        <v>480</v>
      </c>
      <c r="S14048">
        <v>0</v>
      </c>
      <c r="T14048" s="1095">
        <v>0</v>
      </c>
    </row>
    <row r="14049" spans="16:20">
      <c r="P14049" s="1094">
        <v>6125</v>
      </c>
      <c r="Q14049" t="s">
        <v>14029</v>
      </c>
      <c r="R14049" t="s">
        <v>480</v>
      </c>
      <c r="S14049">
        <v>0</v>
      </c>
      <c r="T14049" s="1095">
        <v>0</v>
      </c>
    </row>
    <row r="14050" spans="16:20">
      <c r="P14050" s="1094">
        <v>6125</v>
      </c>
      <c r="Q14050" t="s">
        <v>7878</v>
      </c>
      <c r="R14050" t="s">
        <v>480</v>
      </c>
      <c r="S14050">
        <v>0</v>
      </c>
      <c r="T14050" s="1095">
        <v>0</v>
      </c>
    </row>
    <row r="14051" spans="16:20">
      <c r="P14051" s="1094">
        <v>6126</v>
      </c>
      <c r="Q14051" t="s">
        <v>14030</v>
      </c>
      <c r="R14051" t="s">
        <v>480</v>
      </c>
      <c r="S14051">
        <v>0</v>
      </c>
      <c r="T14051" s="1095">
        <v>0</v>
      </c>
    </row>
    <row r="14052" spans="16:20">
      <c r="P14052" s="1094">
        <v>6147</v>
      </c>
      <c r="Q14052" t="s">
        <v>14031</v>
      </c>
      <c r="R14052" t="s">
        <v>480</v>
      </c>
      <c r="S14052">
        <v>0</v>
      </c>
      <c r="T14052" s="1095">
        <v>0</v>
      </c>
    </row>
    <row r="14053" spans="16:20">
      <c r="P14053" s="1094">
        <v>6147</v>
      </c>
      <c r="Q14053" t="s">
        <v>3941</v>
      </c>
      <c r="R14053" t="s">
        <v>480</v>
      </c>
      <c r="S14053">
        <v>0</v>
      </c>
      <c r="T14053" s="1095">
        <v>0</v>
      </c>
    </row>
    <row r="14054" spans="16:20">
      <c r="P14054" s="1094">
        <v>6147</v>
      </c>
      <c r="Q14054" t="s">
        <v>7152</v>
      </c>
      <c r="R14054" t="s">
        <v>480</v>
      </c>
      <c r="S14054">
        <v>0</v>
      </c>
      <c r="T14054" s="1095">
        <v>0</v>
      </c>
    </row>
    <row r="14055" spans="16:20">
      <c r="P14055" s="1094">
        <v>6148</v>
      </c>
      <c r="Q14055" t="s">
        <v>8777</v>
      </c>
      <c r="R14055" t="s">
        <v>480</v>
      </c>
      <c r="S14055">
        <v>0</v>
      </c>
      <c r="T14055" s="1095">
        <v>0</v>
      </c>
    </row>
    <row r="14056" spans="16:20">
      <c r="P14056" s="1094">
        <v>6148</v>
      </c>
      <c r="Q14056" t="s">
        <v>10365</v>
      </c>
      <c r="R14056" t="s">
        <v>480</v>
      </c>
      <c r="S14056">
        <v>0</v>
      </c>
      <c r="T14056" s="1095">
        <v>0</v>
      </c>
    </row>
    <row r="14057" spans="16:20">
      <c r="P14057" s="1094">
        <v>6148</v>
      </c>
      <c r="Q14057" t="s">
        <v>14032</v>
      </c>
      <c r="R14057" t="s">
        <v>480</v>
      </c>
      <c r="S14057">
        <v>0</v>
      </c>
      <c r="T14057" s="1095">
        <v>0</v>
      </c>
    </row>
    <row r="14058" spans="16:20">
      <c r="P14058" s="1094">
        <v>6148</v>
      </c>
      <c r="Q14058" t="s">
        <v>8509</v>
      </c>
      <c r="R14058" t="s">
        <v>480</v>
      </c>
      <c r="S14058">
        <v>0</v>
      </c>
      <c r="T14058" s="1095">
        <v>0</v>
      </c>
    </row>
    <row r="14059" spans="16:20">
      <c r="P14059" s="1094">
        <v>6149</v>
      </c>
      <c r="Q14059" t="s">
        <v>12765</v>
      </c>
      <c r="R14059" t="s">
        <v>480</v>
      </c>
      <c r="S14059">
        <v>0</v>
      </c>
      <c r="T14059" s="1095">
        <v>0</v>
      </c>
    </row>
    <row r="14060" spans="16:20">
      <c r="P14060" s="1094">
        <v>6149</v>
      </c>
      <c r="Q14060" t="s">
        <v>14033</v>
      </c>
      <c r="R14060" t="s">
        <v>480</v>
      </c>
      <c r="S14060">
        <v>0</v>
      </c>
      <c r="T14060" s="1095">
        <v>0</v>
      </c>
    </row>
    <row r="14061" spans="16:20">
      <c r="P14061" s="1094">
        <v>6150</v>
      </c>
      <c r="Q14061" t="s">
        <v>14034</v>
      </c>
      <c r="R14061" t="s">
        <v>480</v>
      </c>
      <c r="S14061">
        <v>115.833608</v>
      </c>
      <c r="T14061" s="1095">
        <v>-32.061681999999998</v>
      </c>
    </row>
    <row r="14062" spans="16:20">
      <c r="P14062" s="1094">
        <v>6150</v>
      </c>
      <c r="Q14062" t="s">
        <v>14035</v>
      </c>
      <c r="R14062" t="s">
        <v>480</v>
      </c>
      <c r="S14062">
        <v>115.833608</v>
      </c>
      <c r="T14062" s="1095">
        <v>-32.061681999999998</v>
      </c>
    </row>
    <row r="14063" spans="16:20">
      <c r="P14063" s="1094">
        <v>6150</v>
      </c>
      <c r="Q14063" t="s">
        <v>14036</v>
      </c>
      <c r="R14063" t="s">
        <v>480</v>
      </c>
      <c r="S14063">
        <v>115.833608</v>
      </c>
      <c r="T14063" s="1095">
        <v>-32.061681999999998</v>
      </c>
    </row>
    <row r="14064" spans="16:20">
      <c r="P14064" s="1094">
        <v>6151</v>
      </c>
      <c r="Q14064" t="s">
        <v>1665</v>
      </c>
      <c r="R14064" t="s">
        <v>480</v>
      </c>
      <c r="S14064">
        <v>115.869482</v>
      </c>
      <c r="T14064" s="1095">
        <v>-31.982199000000001</v>
      </c>
    </row>
    <row r="14065" spans="16:20">
      <c r="P14065" s="1094">
        <v>6151</v>
      </c>
      <c r="Q14065" t="s">
        <v>14037</v>
      </c>
      <c r="R14065" t="s">
        <v>480</v>
      </c>
      <c r="S14065">
        <v>115.869482</v>
      </c>
      <c r="T14065" s="1095">
        <v>-31.982199000000001</v>
      </c>
    </row>
    <row r="14066" spans="16:20">
      <c r="P14066" s="1094">
        <v>6151</v>
      </c>
      <c r="Q14066" t="s">
        <v>14038</v>
      </c>
      <c r="R14066" t="s">
        <v>480</v>
      </c>
      <c r="S14066">
        <v>115.869482</v>
      </c>
      <c r="T14066" s="1095">
        <v>-31.982199000000001</v>
      </c>
    </row>
    <row r="14067" spans="16:20">
      <c r="P14067" s="1094">
        <v>6152</v>
      </c>
      <c r="Q14067" t="s">
        <v>2231</v>
      </c>
      <c r="R14067" t="s">
        <v>480</v>
      </c>
      <c r="S14067">
        <v>115.870058</v>
      </c>
      <c r="T14067" s="1095">
        <v>-32.008508999999997</v>
      </c>
    </row>
    <row r="14068" spans="16:20">
      <c r="P14068" s="1094">
        <v>6152</v>
      </c>
      <c r="Q14068" t="s">
        <v>14039</v>
      </c>
      <c r="R14068" t="s">
        <v>480</v>
      </c>
      <c r="S14068">
        <v>115.870058</v>
      </c>
      <c r="T14068" s="1095">
        <v>-32.008508999999997</v>
      </c>
    </row>
    <row r="14069" spans="16:20">
      <c r="P14069" s="1094">
        <v>6152</v>
      </c>
      <c r="Q14069" t="s">
        <v>14040</v>
      </c>
      <c r="R14069" t="s">
        <v>480</v>
      </c>
      <c r="S14069">
        <v>115.870058</v>
      </c>
      <c r="T14069" s="1095">
        <v>-32.008508999999997</v>
      </c>
    </row>
    <row r="14070" spans="16:20">
      <c r="P14070" s="1094">
        <v>6152</v>
      </c>
      <c r="Q14070" t="s">
        <v>14041</v>
      </c>
      <c r="R14070" t="s">
        <v>480</v>
      </c>
      <c r="S14070">
        <v>115.870058</v>
      </c>
      <c r="T14070" s="1095">
        <v>-32.008508999999997</v>
      </c>
    </row>
    <row r="14071" spans="16:20">
      <c r="P14071" s="1094">
        <v>6152</v>
      </c>
      <c r="Q14071" t="s">
        <v>8933</v>
      </c>
      <c r="R14071" t="s">
        <v>480</v>
      </c>
      <c r="S14071">
        <v>115.870058</v>
      </c>
      <c r="T14071" s="1095">
        <v>-32.008508999999997</v>
      </c>
    </row>
    <row r="14072" spans="16:20">
      <c r="P14072" s="1094">
        <v>6153</v>
      </c>
      <c r="Q14072" t="s">
        <v>14042</v>
      </c>
      <c r="R14072" t="s">
        <v>480</v>
      </c>
      <c r="S14072">
        <v>115.837525</v>
      </c>
      <c r="T14072" s="1095">
        <v>-32.024363000000001</v>
      </c>
    </row>
    <row r="14073" spans="16:20">
      <c r="P14073" s="1094">
        <v>6153</v>
      </c>
      <c r="Q14073" t="s">
        <v>14043</v>
      </c>
      <c r="R14073" t="s">
        <v>480</v>
      </c>
      <c r="S14073">
        <v>115.837525</v>
      </c>
      <c r="T14073" s="1095">
        <v>-32.024363000000001</v>
      </c>
    </row>
    <row r="14074" spans="16:20">
      <c r="P14074" s="1094">
        <v>6153</v>
      </c>
      <c r="Q14074" t="s">
        <v>14044</v>
      </c>
      <c r="R14074" t="s">
        <v>480</v>
      </c>
      <c r="S14074">
        <v>115.837525</v>
      </c>
      <c r="T14074" s="1095">
        <v>-32.024363000000001</v>
      </c>
    </row>
    <row r="14075" spans="16:20">
      <c r="P14075" s="1094">
        <v>6153</v>
      </c>
      <c r="Q14075" t="s">
        <v>13579</v>
      </c>
      <c r="R14075" t="s">
        <v>480</v>
      </c>
      <c r="S14075">
        <v>115.837525</v>
      </c>
      <c r="T14075" s="1095">
        <v>-32.024363000000001</v>
      </c>
    </row>
    <row r="14076" spans="16:20">
      <c r="P14076" s="1094">
        <v>6153</v>
      </c>
      <c r="Q14076" t="s">
        <v>14045</v>
      </c>
      <c r="R14076" t="s">
        <v>480</v>
      </c>
      <c r="S14076">
        <v>115.837525</v>
      </c>
      <c r="T14076" s="1095">
        <v>-32.024363000000001</v>
      </c>
    </row>
    <row r="14077" spans="16:20">
      <c r="P14077" s="1094">
        <v>6153</v>
      </c>
      <c r="Q14077" t="s">
        <v>4204</v>
      </c>
      <c r="R14077" t="s">
        <v>480</v>
      </c>
      <c r="S14077">
        <v>115.837525</v>
      </c>
      <c r="T14077" s="1095">
        <v>-32.024363000000001</v>
      </c>
    </row>
    <row r="14078" spans="16:20">
      <c r="P14078" s="1094">
        <v>6154</v>
      </c>
      <c r="Q14078" t="s">
        <v>14046</v>
      </c>
      <c r="R14078" t="s">
        <v>480</v>
      </c>
      <c r="S14078">
        <v>115.82599399999999</v>
      </c>
      <c r="T14078" s="1095">
        <v>-32.040061000000001</v>
      </c>
    </row>
    <row r="14079" spans="16:20">
      <c r="P14079" s="1094">
        <v>6154</v>
      </c>
      <c r="Q14079" t="s">
        <v>14047</v>
      </c>
      <c r="R14079" t="s">
        <v>480</v>
      </c>
      <c r="S14079">
        <v>115.82599399999999</v>
      </c>
      <c r="T14079" s="1095">
        <v>-32.040061000000001</v>
      </c>
    </row>
    <row r="14080" spans="16:20">
      <c r="P14080" s="1094">
        <v>6154</v>
      </c>
      <c r="Q14080" t="s">
        <v>14048</v>
      </c>
      <c r="R14080" t="s">
        <v>480</v>
      </c>
      <c r="S14080">
        <v>115.82599399999999</v>
      </c>
      <c r="T14080" s="1095">
        <v>-32.040061000000001</v>
      </c>
    </row>
    <row r="14081" spans="16:20">
      <c r="P14081" s="1094">
        <v>6155</v>
      </c>
      <c r="Q14081" t="s">
        <v>14049</v>
      </c>
      <c r="R14081" t="s">
        <v>480</v>
      </c>
      <c r="S14081">
        <v>115.89077899999999</v>
      </c>
      <c r="T14081" s="1095">
        <v>-32.061501</v>
      </c>
    </row>
    <row r="14082" spans="16:20">
      <c r="P14082" s="1094">
        <v>6155</v>
      </c>
      <c r="Q14082" t="s">
        <v>14050</v>
      </c>
      <c r="R14082" t="s">
        <v>480</v>
      </c>
      <c r="S14082">
        <v>115.89077899999999</v>
      </c>
      <c r="T14082" s="1095">
        <v>-32.061501</v>
      </c>
    </row>
    <row r="14083" spans="16:20">
      <c r="P14083" s="1094">
        <v>6155</v>
      </c>
      <c r="Q14083" t="s">
        <v>14051</v>
      </c>
      <c r="R14083" t="s">
        <v>480</v>
      </c>
      <c r="S14083">
        <v>115.89077899999999</v>
      </c>
      <c r="T14083" s="1095">
        <v>-32.061501</v>
      </c>
    </row>
    <row r="14084" spans="16:20">
      <c r="P14084" s="1094">
        <v>6155</v>
      </c>
      <c r="Q14084" t="s">
        <v>14052</v>
      </c>
      <c r="R14084" t="s">
        <v>480</v>
      </c>
      <c r="S14084">
        <v>115.89077899999999</v>
      </c>
      <c r="T14084" s="1095">
        <v>-32.061501</v>
      </c>
    </row>
    <row r="14085" spans="16:20">
      <c r="P14085" s="1094">
        <v>6156</v>
      </c>
      <c r="Q14085" t="s">
        <v>14053</v>
      </c>
      <c r="R14085" t="s">
        <v>480</v>
      </c>
      <c r="S14085">
        <v>115.80023300000001</v>
      </c>
      <c r="T14085" s="1095">
        <v>-32.039540000000002</v>
      </c>
    </row>
    <row r="14086" spans="16:20">
      <c r="P14086" s="1094">
        <v>6156</v>
      </c>
      <c r="Q14086" t="s">
        <v>2601</v>
      </c>
      <c r="R14086" t="s">
        <v>480</v>
      </c>
      <c r="S14086">
        <v>115.80023300000001</v>
      </c>
      <c r="T14086" s="1095">
        <v>-32.039540000000002</v>
      </c>
    </row>
    <row r="14087" spans="16:20">
      <c r="P14087" s="1094">
        <v>6156</v>
      </c>
      <c r="Q14087" t="s">
        <v>14054</v>
      </c>
      <c r="R14087" t="s">
        <v>480</v>
      </c>
      <c r="S14087">
        <v>115.80023300000001</v>
      </c>
      <c r="T14087" s="1095">
        <v>-32.039540000000002</v>
      </c>
    </row>
    <row r="14088" spans="16:20">
      <c r="P14088" s="1094">
        <v>6156</v>
      </c>
      <c r="Q14088" t="s">
        <v>14055</v>
      </c>
      <c r="R14088" t="s">
        <v>480</v>
      </c>
      <c r="S14088">
        <v>115.80023300000001</v>
      </c>
      <c r="T14088" s="1095">
        <v>-32.039540000000002</v>
      </c>
    </row>
    <row r="14089" spans="16:20">
      <c r="P14089" s="1094">
        <v>6157</v>
      </c>
      <c r="Q14089" t="s">
        <v>14056</v>
      </c>
      <c r="R14089" t="s">
        <v>480</v>
      </c>
      <c r="S14089">
        <v>115.783732</v>
      </c>
      <c r="T14089" s="1095">
        <v>-32.038227999999997</v>
      </c>
    </row>
    <row r="14090" spans="16:20">
      <c r="P14090" s="1094">
        <v>6157</v>
      </c>
      <c r="Q14090" t="s">
        <v>11718</v>
      </c>
      <c r="R14090" t="s">
        <v>480</v>
      </c>
      <c r="S14090">
        <v>115.783732</v>
      </c>
      <c r="T14090" s="1095">
        <v>-32.038227999999997</v>
      </c>
    </row>
    <row r="14091" spans="16:20">
      <c r="P14091" s="1094">
        <v>6157</v>
      </c>
      <c r="Q14091" t="s">
        <v>14057</v>
      </c>
      <c r="R14091" t="s">
        <v>480</v>
      </c>
      <c r="S14091">
        <v>115.783732</v>
      </c>
      <c r="T14091" s="1095">
        <v>-32.038227999999997</v>
      </c>
    </row>
    <row r="14092" spans="16:20">
      <c r="P14092" s="1094">
        <v>6158</v>
      </c>
      <c r="Q14092" t="s">
        <v>14058</v>
      </c>
      <c r="R14092" t="s">
        <v>480</v>
      </c>
      <c r="S14092">
        <v>115.766561</v>
      </c>
      <c r="T14092" s="1095">
        <v>-32.038541000000002</v>
      </c>
    </row>
    <row r="14093" spans="16:20">
      <c r="P14093" s="1094">
        <v>6159</v>
      </c>
      <c r="Q14093" t="s">
        <v>14059</v>
      </c>
      <c r="R14093" t="s">
        <v>480</v>
      </c>
      <c r="S14093">
        <v>115.750311</v>
      </c>
      <c r="T14093" s="1095">
        <v>-32.035223999999999</v>
      </c>
    </row>
    <row r="14094" spans="16:20">
      <c r="P14094" s="1094">
        <v>6160</v>
      </c>
      <c r="Q14094" t="s">
        <v>14060</v>
      </c>
      <c r="R14094" t="s">
        <v>480</v>
      </c>
      <c r="S14094">
        <v>115.75454499999999</v>
      </c>
      <c r="T14094" s="1095">
        <v>-32.054065000000001</v>
      </c>
    </row>
    <row r="14095" spans="16:20">
      <c r="P14095" s="1094">
        <v>6161</v>
      </c>
      <c r="Q14095" t="s">
        <v>14061</v>
      </c>
      <c r="R14095" t="s">
        <v>480</v>
      </c>
      <c r="S14095">
        <v>115.520516</v>
      </c>
      <c r="T14095" s="1095">
        <v>-32.005553999999997</v>
      </c>
    </row>
    <row r="14096" spans="16:20">
      <c r="P14096" s="1094">
        <v>6162</v>
      </c>
      <c r="Q14096" t="s">
        <v>1744</v>
      </c>
      <c r="R14096" t="s">
        <v>480</v>
      </c>
      <c r="S14096">
        <v>115.759022</v>
      </c>
      <c r="T14096" s="1095">
        <v>-32.068767999999999</v>
      </c>
    </row>
    <row r="14097" spans="16:20">
      <c r="P14097" s="1094">
        <v>6162</v>
      </c>
      <c r="Q14097" t="s">
        <v>14062</v>
      </c>
      <c r="R14097" t="s">
        <v>480</v>
      </c>
      <c r="S14097">
        <v>115.759022</v>
      </c>
      <c r="T14097" s="1095">
        <v>-32.068767999999999</v>
      </c>
    </row>
    <row r="14098" spans="16:20">
      <c r="P14098" s="1094">
        <v>6162</v>
      </c>
      <c r="Q14098" t="s">
        <v>14063</v>
      </c>
      <c r="R14098" t="s">
        <v>480</v>
      </c>
      <c r="S14098">
        <v>115.759022</v>
      </c>
      <c r="T14098" s="1095">
        <v>-32.068767999999999</v>
      </c>
    </row>
    <row r="14099" spans="16:20">
      <c r="P14099" s="1094">
        <v>6163</v>
      </c>
      <c r="Q14099" t="s">
        <v>14064</v>
      </c>
      <c r="R14099" t="s">
        <v>480</v>
      </c>
      <c r="S14099">
        <v>115.798722</v>
      </c>
      <c r="T14099" s="1095">
        <v>-32.084783999999999</v>
      </c>
    </row>
    <row r="14100" spans="16:20">
      <c r="P14100" s="1094">
        <v>6163</v>
      </c>
      <c r="Q14100" t="s">
        <v>14065</v>
      </c>
      <c r="R14100" t="s">
        <v>480</v>
      </c>
      <c r="S14100">
        <v>115.798722</v>
      </c>
      <c r="T14100" s="1095">
        <v>-32.084783999999999</v>
      </c>
    </row>
    <row r="14101" spans="16:20">
      <c r="P14101" s="1094">
        <v>6163</v>
      </c>
      <c r="Q14101" t="s">
        <v>14066</v>
      </c>
      <c r="R14101" t="s">
        <v>480</v>
      </c>
      <c r="S14101">
        <v>115.798722</v>
      </c>
      <c r="T14101" s="1095">
        <v>-32.084783999999999</v>
      </c>
    </row>
    <row r="14102" spans="16:20">
      <c r="P14102" s="1094">
        <v>6163</v>
      </c>
      <c r="Q14102" t="s">
        <v>14067</v>
      </c>
      <c r="R14102" t="s">
        <v>480</v>
      </c>
      <c r="S14102">
        <v>115.798722</v>
      </c>
      <c r="T14102" s="1095">
        <v>-32.084783999999999</v>
      </c>
    </row>
    <row r="14103" spans="16:20">
      <c r="P14103" s="1094">
        <v>6163</v>
      </c>
      <c r="Q14103" t="s">
        <v>12479</v>
      </c>
      <c r="R14103" t="s">
        <v>480</v>
      </c>
      <c r="S14103">
        <v>115.798722</v>
      </c>
      <c r="T14103" s="1095">
        <v>-32.084783999999999</v>
      </c>
    </row>
    <row r="14104" spans="16:20">
      <c r="P14104" s="1094">
        <v>6163</v>
      </c>
      <c r="Q14104" t="s">
        <v>14068</v>
      </c>
      <c r="R14104" t="s">
        <v>480</v>
      </c>
      <c r="S14104">
        <v>115.798722</v>
      </c>
      <c r="T14104" s="1095">
        <v>-32.084783999999999</v>
      </c>
    </row>
    <row r="14105" spans="16:20">
      <c r="P14105" s="1094">
        <v>6163</v>
      </c>
      <c r="Q14105" t="s">
        <v>14069</v>
      </c>
      <c r="R14105" t="s">
        <v>480</v>
      </c>
      <c r="S14105">
        <v>115.798722</v>
      </c>
      <c r="T14105" s="1095">
        <v>-32.084783999999999</v>
      </c>
    </row>
    <row r="14106" spans="16:20">
      <c r="P14106" s="1094">
        <v>6163</v>
      </c>
      <c r="Q14106" t="s">
        <v>4805</v>
      </c>
      <c r="R14106" t="s">
        <v>480</v>
      </c>
      <c r="S14106">
        <v>115.798722</v>
      </c>
      <c r="T14106" s="1095">
        <v>-32.084783999999999</v>
      </c>
    </row>
    <row r="14107" spans="16:20">
      <c r="P14107" s="1094">
        <v>6163</v>
      </c>
      <c r="Q14107" t="s">
        <v>14070</v>
      </c>
      <c r="R14107" t="s">
        <v>480</v>
      </c>
      <c r="S14107">
        <v>115.798722</v>
      </c>
      <c r="T14107" s="1095">
        <v>-32.084783999999999</v>
      </c>
    </row>
    <row r="14108" spans="16:20">
      <c r="P14108" s="1094">
        <v>6163</v>
      </c>
      <c r="Q14108" t="s">
        <v>14071</v>
      </c>
      <c r="R14108" t="s">
        <v>480</v>
      </c>
      <c r="S14108">
        <v>115.798722</v>
      </c>
      <c r="T14108" s="1095">
        <v>-32.084783999999999</v>
      </c>
    </row>
    <row r="14109" spans="16:20">
      <c r="P14109" s="1094">
        <v>6164</v>
      </c>
      <c r="Q14109" t="s">
        <v>14072</v>
      </c>
      <c r="R14109" t="s">
        <v>480</v>
      </c>
      <c r="S14109">
        <v>115.854584</v>
      </c>
      <c r="T14109" s="1095">
        <v>-32.131993000000001</v>
      </c>
    </row>
    <row r="14110" spans="16:20">
      <c r="P14110" s="1094">
        <v>6164</v>
      </c>
      <c r="Q14110" t="s">
        <v>14073</v>
      </c>
      <c r="R14110" t="s">
        <v>480</v>
      </c>
      <c r="S14110">
        <v>115.854584</v>
      </c>
      <c r="T14110" s="1095">
        <v>-32.131993000000001</v>
      </c>
    </row>
    <row r="14111" spans="16:20">
      <c r="P14111" s="1094">
        <v>6164</v>
      </c>
      <c r="Q14111" t="s">
        <v>14074</v>
      </c>
      <c r="R14111" t="s">
        <v>480</v>
      </c>
      <c r="S14111">
        <v>115.854584</v>
      </c>
      <c r="T14111" s="1095">
        <v>-32.131993000000001</v>
      </c>
    </row>
    <row r="14112" spans="16:20">
      <c r="P14112" s="1094">
        <v>6164</v>
      </c>
      <c r="Q14112" t="s">
        <v>14075</v>
      </c>
      <c r="R14112" t="s">
        <v>480</v>
      </c>
      <c r="S14112">
        <v>115.854584</v>
      </c>
      <c r="T14112" s="1095">
        <v>-32.131993000000001</v>
      </c>
    </row>
    <row r="14113" spans="16:20">
      <c r="P14113" s="1094">
        <v>6164</v>
      </c>
      <c r="Q14113" t="s">
        <v>14076</v>
      </c>
      <c r="R14113" t="s">
        <v>480</v>
      </c>
      <c r="S14113">
        <v>115.854584</v>
      </c>
      <c r="T14113" s="1095">
        <v>-32.131993000000001</v>
      </c>
    </row>
    <row r="14114" spans="16:20">
      <c r="P14114" s="1094">
        <v>6164</v>
      </c>
      <c r="Q14114" t="s">
        <v>14077</v>
      </c>
      <c r="R14114" t="s">
        <v>480</v>
      </c>
      <c r="S14114">
        <v>115.854584</v>
      </c>
      <c r="T14114" s="1095">
        <v>-32.131993000000001</v>
      </c>
    </row>
    <row r="14115" spans="16:20">
      <c r="P14115" s="1094">
        <v>6164</v>
      </c>
      <c r="Q14115" t="s">
        <v>14078</v>
      </c>
      <c r="R14115" t="s">
        <v>480</v>
      </c>
      <c r="S14115">
        <v>115.854584</v>
      </c>
      <c r="T14115" s="1095">
        <v>-32.131993000000001</v>
      </c>
    </row>
    <row r="14116" spans="16:20">
      <c r="P14116" s="1094">
        <v>6164</v>
      </c>
      <c r="Q14116" t="s">
        <v>14079</v>
      </c>
      <c r="R14116" t="s">
        <v>480</v>
      </c>
      <c r="S14116">
        <v>115.854584</v>
      </c>
      <c r="T14116" s="1095">
        <v>-32.131993000000001</v>
      </c>
    </row>
    <row r="14117" spans="16:20">
      <c r="P14117" s="1094">
        <v>6164</v>
      </c>
      <c r="Q14117" t="s">
        <v>14080</v>
      </c>
      <c r="R14117" t="s">
        <v>480</v>
      </c>
      <c r="S14117">
        <v>115.854584</v>
      </c>
      <c r="T14117" s="1095">
        <v>-32.131993000000001</v>
      </c>
    </row>
    <row r="14118" spans="16:20">
      <c r="P14118" s="1094">
        <v>6165</v>
      </c>
      <c r="Q14118" t="s">
        <v>12637</v>
      </c>
      <c r="R14118" t="s">
        <v>480</v>
      </c>
      <c r="S14118">
        <v>115.799431</v>
      </c>
      <c r="T14118" s="1095">
        <v>-32.195979999999999</v>
      </c>
    </row>
    <row r="14119" spans="16:20">
      <c r="P14119" s="1094">
        <v>6165</v>
      </c>
      <c r="Q14119" t="s">
        <v>14081</v>
      </c>
      <c r="R14119" t="s">
        <v>480</v>
      </c>
      <c r="S14119">
        <v>115.799431</v>
      </c>
      <c r="T14119" s="1095">
        <v>-32.195979999999999</v>
      </c>
    </row>
    <row r="14120" spans="16:20">
      <c r="P14120" s="1094">
        <v>6166</v>
      </c>
      <c r="Q14120" t="s">
        <v>1781</v>
      </c>
      <c r="R14120" t="s">
        <v>480</v>
      </c>
      <c r="S14120">
        <v>115.79070400000001</v>
      </c>
      <c r="T14120" s="1095">
        <v>-32.158360999999999</v>
      </c>
    </row>
    <row r="14121" spans="16:20">
      <c r="P14121" s="1094">
        <v>6166</v>
      </c>
      <c r="Q14121" t="s">
        <v>14082</v>
      </c>
      <c r="R14121" t="s">
        <v>480</v>
      </c>
      <c r="S14121">
        <v>115.79070400000001</v>
      </c>
      <c r="T14121" s="1095">
        <v>-32.158360999999999</v>
      </c>
    </row>
    <row r="14122" spans="16:20">
      <c r="P14122" s="1094">
        <v>6166</v>
      </c>
      <c r="Q14122" t="s">
        <v>14083</v>
      </c>
      <c r="R14122" t="s">
        <v>480</v>
      </c>
      <c r="S14122">
        <v>115.79070400000001</v>
      </c>
      <c r="T14122" s="1095">
        <v>-32.158360999999999</v>
      </c>
    </row>
    <row r="14123" spans="16:20">
      <c r="P14123" s="1094">
        <v>6166</v>
      </c>
      <c r="Q14123" t="s">
        <v>14084</v>
      </c>
      <c r="R14123" t="s">
        <v>480</v>
      </c>
      <c r="S14123">
        <v>115.79070400000001</v>
      </c>
      <c r="T14123" s="1095">
        <v>-32.158360999999999</v>
      </c>
    </row>
    <row r="14124" spans="16:20">
      <c r="P14124" s="1094">
        <v>6167</v>
      </c>
      <c r="Q14124" t="s">
        <v>14085</v>
      </c>
      <c r="R14124" t="s">
        <v>480</v>
      </c>
      <c r="S14124">
        <v>115.835308</v>
      </c>
      <c r="T14124" s="1095">
        <v>-32.223657000000003</v>
      </c>
    </row>
    <row r="14125" spans="16:20">
      <c r="P14125" s="1094">
        <v>6167</v>
      </c>
      <c r="Q14125" t="s">
        <v>14086</v>
      </c>
      <c r="R14125" t="s">
        <v>480</v>
      </c>
      <c r="S14125">
        <v>115.835308</v>
      </c>
      <c r="T14125" s="1095">
        <v>-32.223657000000003</v>
      </c>
    </row>
    <row r="14126" spans="16:20">
      <c r="P14126" s="1094">
        <v>6167</v>
      </c>
      <c r="Q14126" t="s">
        <v>14087</v>
      </c>
      <c r="R14126" t="s">
        <v>480</v>
      </c>
      <c r="S14126">
        <v>115.835308</v>
      </c>
      <c r="T14126" s="1095">
        <v>-32.223657000000003</v>
      </c>
    </row>
    <row r="14127" spans="16:20">
      <c r="P14127" s="1094">
        <v>6167</v>
      </c>
      <c r="Q14127" t="s">
        <v>1374</v>
      </c>
      <c r="R14127" t="s">
        <v>480</v>
      </c>
      <c r="S14127">
        <v>115.835308</v>
      </c>
      <c r="T14127" s="1095">
        <v>-32.223657000000003</v>
      </c>
    </row>
    <row r="14128" spans="16:20">
      <c r="P14128" s="1094">
        <v>6167</v>
      </c>
      <c r="Q14128" t="s">
        <v>14088</v>
      </c>
      <c r="R14128" t="s">
        <v>480</v>
      </c>
      <c r="S14128">
        <v>115.835308</v>
      </c>
      <c r="T14128" s="1095">
        <v>-32.223657000000003</v>
      </c>
    </row>
    <row r="14129" spans="16:20">
      <c r="P14129" s="1094">
        <v>6167</v>
      </c>
      <c r="Q14129" t="s">
        <v>14089</v>
      </c>
      <c r="R14129" t="s">
        <v>480</v>
      </c>
      <c r="S14129">
        <v>115.835308</v>
      </c>
      <c r="T14129" s="1095">
        <v>-32.223657000000003</v>
      </c>
    </row>
    <row r="14130" spans="16:20">
      <c r="P14130" s="1094">
        <v>6167</v>
      </c>
      <c r="Q14130" t="s">
        <v>14090</v>
      </c>
      <c r="R14130" t="s">
        <v>480</v>
      </c>
      <c r="S14130">
        <v>115.835308</v>
      </c>
      <c r="T14130" s="1095">
        <v>-32.223657000000003</v>
      </c>
    </row>
    <row r="14131" spans="16:20">
      <c r="P14131" s="1094">
        <v>6167</v>
      </c>
      <c r="Q14131" t="s">
        <v>14091</v>
      </c>
      <c r="R14131" t="s">
        <v>480</v>
      </c>
      <c r="S14131">
        <v>115.835308</v>
      </c>
      <c r="T14131" s="1095">
        <v>-32.223657000000003</v>
      </c>
    </row>
    <row r="14132" spans="16:20">
      <c r="P14132" s="1094">
        <v>6167</v>
      </c>
      <c r="Q14132" t="s">
        <v>14092</v>
      </c>
      <c r="R14132" t="s">
        <v>480</v>
      </c>
      <c r="S14132">
        <v>115.835308</v>
      </c>
      <c r="T14132" s="1095">
        <v>-32.223657000000003</v>
      </c>
    </row>
    <row r="14133" spans="16:20">
      <c r="P14133" s="1094">
        <v>6167</v>
      </c>
      <c r="Q14133" t="s">
        <v>14093</v>
      </c>
      <c r="R14133" t="s">
        <v>480</v>
      </c>
      <c r="S14133">
        <v>115.835308</v>
      </c>
      <c r="T14133" s="1095">
        <v>-32.223657000000003</v>
      </c>
    </row>
    <row r="14134" spans="16:20">
      <c r="P14134" s="1094">
        <v>6167</v>
      </c>
      <c r="Q14134" t="s">
        <v>14094</v>
      </c>
      <c r="R14134" t="s">
        <v>480</v>
      </c>
      <c r="S14134">
        <v>115.835308</v>
      </c>
      <c r="T14134" s="1095">
        <v>-32.223657000000003</v>
      </c>
    </row>
    <row r="14135" spans="16:20">
      <c r="P14135" s="1094">
        <v>6167</v>
      </c>
      <c r="Q14135" t="s">
        <v>14095</v>
      </c>
      <c r="R14135" t="s">
        <v>480</v>
      </c>
      <c r="S14135">
        <v>115.835308</v>
      </c>
      <c r="T14135" s="1095">
        <v>-32.223657000000003</v>
      </c>
    </row>
    <row r="14136" spans="16:20">
      <c r="P14136" s="1094">
        <v>6167</v>
      </c>
      <c r="Q14136" t="s">
        <v>14096</v>
      </c>
      <c r="R14136" t="s">
        <v>480</v>
      </c>
      <c r="S14136">
        <v>115.835308</v>
      </c>
      <c r="T14136" s="1095">
        <v>-32.223657000000003</v>
      </c>
    </row>
    <row r="14137" spans="16:20">
      <c r="P14137" s="1094">
        <v>6168</v>
      </c>
      <c r="Q14137" t="s">
        <v>14097</v>
      </c>
      <c r="R14137" t="s">
        <v>480</v>
      </c>
      <c r="S14137">
        <v>115.75773</v>
      </c>
      <c r="T14137" s="1095">
        <v>-32.281956999999998</v>
      </c>
    </row>
    <row r="14138" spans="16:20">
      <c r="P14138" s="1094">
        <v>6168</v>
      </c>
      <c r="Q14138" t="s">
        <v>14098</v>
      </c>
      <c r="R14138" t="s">
        <v>480</v>
      </c>
      <c r="S14138">
        <v>115.75773</v>
      </c>
      <c r="T14138" s="1095">
        <v>-32.281956999999998</v>
      </c>
    </row>
    <row r="14139" spans="16:20">
      <c r="P14139" s="1094">
        <v>6168</v>
      </c>
      <c r="Q14139" t="s">
        <v>14099</v>
      </c>
      <c r="R14139" t="s">
        <v>480</v>
      </c>
      <c r="S14139">
        <v>115.75773</v>
      </c>
      <c r="T14139" s="1095">
        <v>-32.281956999999998</v>
      </c>
    </row>
    <row r="14140" spans="16:20">
      <c r="P14140" s="1094">
        <v>6168</v>
      </c>
      <c r="Q14140" t="s">
        <v>14100</v>
      </c>
      <c r="R14140" t="s">
        <v>480</v>
      </c>
      <c r="S14140">
        <v>115.75773</v>
      </c>
      <c r="T14140" s="1095">
        <v>-32.281956999999998</v>
      </c>
    </row>
    <row r="14141" spans="16:20">
      <c r="P14141" s="1094">
        <v>6168</v>
      </c>
      <c r="Q14141" t="s">
        <v>14101</v>
      </c>
      <c r="R14141" t="s">
        <v>480</v>
      </c>
      <c r="S14141">
        <v>115.75773</v>
      </c>
      <c r="T14141" s="1095">
        <v>-32.281956999999998</v>
      </c>
    </row>
    <row r="14142" spans="16:20">
      <c r="P14142" s="1094">
        <v>6168</v>
      </c>
      <c r="Q14142" t="s">
        <v>12076</v>
      </c>
      <c r="R14142" t="s">
        <v>480</v>
      </c>
      <c r="S14142">
        <v>115.75773</v>
      </c>
      <c r="T14142" s="1095">
        <v>-32.281956999999998</v>
      </c>
    </row>
    <row r="14143" spans="16:20">
      <c r="P14143" s="1094">
        <v>6168</v>
      </c>
      <c r="Q14143" t="s">
        <v>14102</v>
      </c>
      <c r="R14143" t="s">
        <v>480</v>
      </c>
      <c r="S14143">
        <v>115.75773</v>
      </c>
      <c r="T14143" s="1095">
        <v>-32.281956999999998</v>
      </c>
    </row>
    <row r="14144" spans="16:20">
      <c r="P14144" s="1094">
        <v>6168</v>
      </c>
      <c r="Q14144" t="s">
        <v>14103</v>
      </c>
      <c r="R14144" t="s">
        <v>480</v>
      </c>
      <c r="S14144">
        <v>115.75773</v>
      </c>
      <c r="T14144" s="1095">
        <v>-32.281956999999998</v>
      </c>
    </row>
    <row r="14145" spans="16:20">
      <c r="P14145" s="1094">
        <v>6169</v>
      </c>
      <c r="Q14145" t="s">
        <v>14104</v>
      </c>
      <c r="R14145" t="s">
        <v>480</v>
      </c>
      <c r="S14145">
        <v>115.763949</v>
      </c>
      <c r="T14145" s="1095">
        <v>-32.338504</v>
      </c>
    </row>
    <row r="14146" spans="16:20">
      <c r="P14146" s="1094">
        <v>6169</v>
      </c>
      <c r="Q14146" t="s">
        <v>11465</v>
      </c>
      <c r="R14146" t="s">
        <v>480</v>
      </c>
      <c r="S14146">
        <v>115.763949</v>
      </c>
      <c r="T14146" s="1095">
        <v>-32.338504</v>
      </c>
    </row>
    <row r="14147" spans="16:20">
      <c r="P14147" s="1094">
        <v>6169</v>
      </c>
      <c r="Q14147" t="s">
        <v>14105</v>
      </c>
      <c r="R14147" t="s">
        <v>480</v>
      </c>
      <c r="S14147">
        <v>115.763949</v>
      </c>
      <c r="T14147" s="1095">
        <v>-32.338504</v>
      </c>
    </row>
    <row r="14148" spans="16:20">
      <c r="P14148" s="1094">
        <v>6169</v>
      </c>
      <c r="Q14148" t="s">
        <v>14106</v>
      </c>
      <c r="R14148" t="s">
        <v>480</v>
      </c>
      <c r="S14148">
        <v>115.763949</v>
      </c>
      <c r="T14148" s="1095">
        <v>-32.338504</v>
      </c>
    </row>
    <row r="14149" spans="16:20">
      <c r="P14149" s="1094">
        <v>6170</v>
      </c>
      <c r="Q14149" t="s">
        <v>14107</v>
      </c>
      <c r="R14149" t="s">
        <v>480</v>
      </c>
      <c r="S14149">
        <v>115.835972</v>
      </c>
      <c r="T14149" s="1095">
        <v>-32.265644999999999</v>
      </c>
    </row>
    <row r="14150" spans="16:20">
      <c r="P14150" s="1094">
        <v>6170</v>
      </c>
      <c r="Q14150" t="s">
        <v>14108</v>
      </c>
      <c r="R14150" t="s">
        <v>480</v>
      </c>
      <c r="S14150">
        <v>115.835972</v>
      </c>
      <c r="T14150" s="1095">
        <v>-32.265644999999999</v>
      </c>
    </row>
    <row r="14151" spans="16:20">
      <c r="P14151" s="1094">
        <v>6171</v>
      </c>
      <c r="Q14151" t="s">
        <v>14109</v>
      </c>
      <c r="R14151" t="s">
        <v>480</v>
      </c>
      <c r="S14151">
        <v>115.833257</v>
      </c>
      <c r="T14151" s="1095">
        <v>-32.328862999999998</v>
      </c>
    </row>
    <row r="14152" spans="16:20">
      <c r="P14152" s="1094">
        <v>6172</v>
      </c>
      <c r="Q14152" t="s">
        <v>14110</v>
      </c>
      <c r="R14152" t="s">
        <v>480</v>
      </c>
      <c r="S14152">
        <v>0</v>
      </c>
      <c r="T14152" s="1095">
        <v>0</v>
      </c>
    </row>
    <row r="14153" spans="16:20">
      <c r="P14153" s="1094">
        <v>6173</v>
      </c>
      <c r="Q14153" t="s">
        <v>14111</v>
      </c>
      <c r="R14153" t="s">
        <v>480</v>
      </c>
      <c r="S14153">
        <v>115.757908</v>
      </c>
      <c r="T14153" s="1095">
        <v>-32.407414000000003</v>
      </c>
    </row>
    <row r="14154" spans="16:20">
      <c r="P14154" s="1094">
        <v>6174</v>
      </c>
      <c r="Q14154" t="s">
        <v>14112</v>
      </c>
      <c r="R14154" t="s">
        <v>480</v>
      </c>
      <c r="S14154">
        <v>115.76022399999999</v>
      </c>
      <c r="T14154" s="1095">
        <v>-32.426560000000002</v>
      </c>
    </row>
    <row r="14155" spans="16:20">
      <c r="P14155" s="1094">
        <v>6175</v>
      </c>
      <c r="Q14155" t="s">
        <v>2783</v>
      </c>
      <c r="R14155" t="s">
        <v>480</v>
      </c>
      <c r="S14155">
        <v>115.755289</v>
      </c>
      <c r="T14155" s="1095">
        <v>-32.445895999999998</v>
      </c>
    </row>
    <row r="14156" spans="16:20">
      <c r="P14156" s="1094">
        <v>6176</v>
      </c>
      <c r="Q14156" t="s">
        <v>14113</v>
      </c>
      <c r="R14156" t="s">
        <v>480</v>
      </c>
      <c r="S14156">
        <v>115.814323</v>
      </c>
      <c r="T14156" s="1095">
        <v>-32.421669000000001</v>
      </c>
    </row>
    <row r="14157" spans="16:20">
      <c r="P14157" s="1094">
        <v>6180</v>
      </c>
      <c r="Q14157" t="s">
        <v>2448</v>
      </c>
      <c r="R14157" t="s">
        <v>480</v>
      </c>
      <c r="S14157">
        <v>0</v>
      </c>
      <c r="T14157" s="1095">
        <v>0</v>
      </c>
    </row>
    <row r="14158" spans="16:20">
      <c r="P14158" s="1094">
        <v>6180</v>
      </c>
      <c r="Q14158" t="s">
        <v>10753</v>
      </c>
      <c r="R14158" t="s">
        <v>480</v>
      </c>
      <c r="S14158">
        <v>0</v>
      </c>
      <c r="T14158" s="1095">
        <v>0</v>
      </c>
    </row>
    <row r="14159" spans="16:20">
      <c r="P14159" s="1094">
        <v>6181</v>
      </c>
      <c r="Q14159" t="s">
        <v>14114</v>
      </c>
      <c r="R14159" t="s">
        <v>480</v>
      </c>
      <c r="S14159">
        <v>0</v>
      </c>
      <c r="T14159" s="1095">
        <v>0</v>
      </c>
    </row>
    <row r="14160" spans="16:20">
      <c r="P14160" s="1094">
        <v>6182</v>
      </c>
      <c r="Q14160" t="s">
        <v>14115</v>
      </c>
      <c r="R14160" t="s">
        <v>480</v>
      </c>
      <c r="S14160">
        <v>0</v>
      </c>
      <c r="T14160" s="1095">
        <v>0</v>
      </c>
    </row>
    <row r="14161" spans="16:20">
      <c r="P14161" s="1094">
        <v>6207</v>
      </c>
      <c r="Q14161" t="s">
        <v>14116</v>
      </c>
      <c r="R14161" t="s">
        <v>480</v>
      </c>
      <c r="S14161">
        <v>115.95959499999999</v>
      </c>
      <c r="T14161" s="1095">
        <v>-32.514294</v>
      </c>
    </row>
    <row r="14162" spans="16:20">
      <c r="P14162" s="1094">
        <v>6207</v>
      </c>
      <c r="Q14162" t="s">
        <v>14117</v>
      </c>
      <c r="R14162" t="s">
        <v>480</v>
      </c>
      <c r="S14162">
        <v>115.95959499999999</v>
      </c>
      <c r="T14162" s="1095">
        <v>-32.514294</v>
      </c>
    </row>
    <row r="14163" spans="16:20">
      <c r="P14163" s="1094">
        <v>6207</v>
      </c>
      <c r="Q14163" t="s">
        <v>14118</v>
      </c>
      <c r="R14163" t="s">
        <v>480</v>
      </c>
      <c r="S14163">
        <v>115.95959499999999</v>
      </c>
      <c r="T14163" s="1095">
        <v>-32.514294</v>
      </c>
    </row>
    <row r="14164" spans="16:20">
      <c r="P14164" s="1094">
        <v>6207</v>
      </c>
      <c r="Q14164" t="s">
        <v>14119</v>
      </c>
      <c r="R14164" t="s">
        <v>480</v>
      </c>
      <c r="S14164">
        <v>115.95959499999999</v>
      </c>
      <c r="T14164" s="1095">
        <v>-32.514294</v>
      </c>
    </row>
    <row r="14165" spans="16:20">
      <c r="P14165" s="1094">
        <v>6207</v>
      </c>
      <c r="Q14165" t="s">
        <v>14120</v>
      </c>
      <c r="R14165" t="s">
        <v>480</v>
      </c>
      <c r="S14165">
        <v>115.95959499999999</v>
      </c>
      <c r="T14165" s="1095">
        <v>-32.514294</v>
      </c>
    </row>
    <row r="14166" spans="16:20">
      <c r="P14166" s="1094">
        <v>6208</v>
      </c>
      <c r="Q14166" t="s">
        <v>14121</v>
      </c>
      <c r="R14166" t="s">
        <v>480</v>
      </c>
      <c r="S14166">
        <v>115.84759200000001</v>
      </c>
      <c r="T14166" s="1095">
        <v>-32.630616000000003</v>
      </c>
    </row>
    <row r="14167" spans="16:20">
      <c r="P14167" s="1094">
        <v>6208</v>
      </c>
      <c r="Q14167" t="s">
        <v>14122</v>
      </c>
      <c r="R14167" t="s">
        <v>480</v>
      </c>
      <c r="S14167">
        <v>115.84759200000001</v>
      </c>
      <c r="T14167" s="1095">
        <v>-32.630616000000003</v>
      </c>
    </row>
    <row r="14168" spans="16:20">
      <c r="P14168" s="1094">
        <v>6208</v>
      </c>
      <c r="Q14168" t="s">
        <v>14123</v>
      </c>
      <c r="R14168" t="s">
        <v>480</v>
      </c>
      <c r="S14168">
        <v>115.84759200000001</v>
      </c>
      <c r="T14168" s="1095">
        <v>-32.630616000000003</v>
      </c>
    </row>
    <row r="14169" spans="16:20">
      <c r="P14169" s="1094">
        <v>6208</v>
      </c>
      <c r="Q14169" t="s">
        <v>14124</v>
      </c>
      <c r="R14169" t="s">
        <v>480</v>
      </c>
      <c r="S14169">
        <v>115.84759200000001</v>
      </c>
      <c r="T14169" s="1095">
        <v>-32.630616000000003</v>
      </c>
    </row>
    <row r="14170" spans="16:20">
      <c r="P14170" s="1094">
        <v>6208</v>
      </c>
      <c r="Q14170" t="s">
        <v>14125</v>
      </c>
      <c r="R14170" t="s">
        <v>480</v>
      </c>
      <c r="S14170">
        <v>115.84759200000001</v>
      </c>
      <c r="T14170" s="1095">
        <v>-32.630616000000003</v>
      </c>
    </row>
    <row r="14171" spans="16:20">
      <c r="P14171" s="1094">
        <v>6208</v>
      </c>
      <c r="Q14171" t="s">
        <v>14126</v>
      </c>
      <c r="R14171" t="s">
        <v>480</v>
      </c>
      <c r="S14171">
        <v>115.84759200000001</v>
      </c>
      <c r="T14171" s="1095">
        <v>-32.630616000000003</v>
      </c>
    </row>
    <row r="14172" spans="16:20">
      <c r="P14172" s="1094">
        <v>6208</v>
      </c>
      <c r="Q14172" t="s">
        <v>14127</v>
      </c>
      <c r="R14172" t="s">
        <v>480</v>
      </c>
      <c r="S14172">
        <v>115.84759200000001</v>
      </c>
      <c r="T14172" s="1095">
        <v>-32.630616000000003</v>
      </c>
    </row>
    <row r="14173" spans="16:20">
      <c r="P14173" s="1094">
        <v>6208</v>
      </c>
      <c r="Q14173" t="s">
        <v>14128</v>
      </c>
      <c r="R14173" t="s">
        <v>480</v>
      </c>
      <c r="S14173">
        <v>115.84759200000001</v>
      </c>
      <c r="T14173" s="1095">
        <v>-32.630616000000003</v>
      </c>
    </row>
    <row r="14174" spans="16:20">
      <c r="P14174" s="1094">
        <v>6208</v>
      </c>
      <c r="Q14174" t="s">
        <v>5966</v>
      </c>
      <c r="R14174" t="s">
        <v>480</v>
      </c>
      <c r="S14174">
        <v>115.84759200000001</v>
      </c>
      <c r="T14174" s="1095">
        <v>-32.630616000000003</v>
      </c>
    </row>
    <row r="14175" spans="16:20">
      <c r="P14175" s="1094">
        <v>6208</v>
      </c>
      <c r="Q14175" t="s">
        <v>14129</v>
      </c>
      <c r="R14175" t="s">
        <v>480</v>
      </c>
      <c r="S14175">
        <v>115.84759200000001</v>
      </c>
      <c r="T14175" s="1095">
        <v>-32.630616000000003</v>
      </c>
    </row>
    <row r="14176" spans="16:20">
      <c r="P14176" s="1094">
        <v>6208</v>
      </c>
      <c r="Q14176" t="s">
        <v>14130</v>
      </c>
      <c r="R14176" t="s">
        <v>480</v>
      </c>
      <c r="S14176">
        <v>115.84759200000001</v>
      </c>
      <c r="T14176" s="1095">
        <v>-32.630616000000003</v>
      </c>
    </row>
    <row r="14177" spans="16:20">
      <c r="P14177" s="1094">
        <v>6209</v>
      </c>
      <c r="Q14177" t="s">
        <v>14131</v>
      </c>
      <c r="R14177" t="s">
        <v>480</v>
      </c>
      <c r="S14177">
        <v>0</v>
      </c>
      <c r="T14177" s="1095">
        <v>0</v>
      </c>
    </row>
    <row r="14178" spans="16:20">
      <c r="P14178" s="1094">
        <v>6209</v>
      </c>
      <c r="Q14178" t="s">
        <v>14132</v>
      </c>
      <c r="R14178" t="s">
        <v>480</v>
      </c>
      <c r="S14178">
        <v>0</v>
      </c>
      <c r="T14178" s="1095">
        <v>0</v>
      </c>
    </row>
    <row r="14179" spans="16:20">
      <c r="P14179" s="1094">
        <v>6210</v>
      </c>
      <c r="Q14179" t="s">
        <v>14131</v>
      </c>
      <c r="R14179" t="s">
        <v>480</v>
      </c>
      <c r="S14179">
        <v>115.728286</v>
      </c>
      <c r="T14179" s="1095">
        <v>-32.557980999999998</v>
      </c>
    </row>
    <row r="14180" spans="16:20">
      <c r="P14180" s="1094">
        <v>6210</v>
      </c>
      <c r="Q14180" t="s">
        <v>14133</v>
      </c>
      <c r="R14180" t="s">
        <v>480</v>
      </c>
      <c r="S14180">
        <v>115.728286</v>
      </c>
      <c r="T14180" s="1095">
        <v>-32.557980999999998</v>
      </c>
    </row>
    <row r="14181" spans="16:20">
      <c r="P14181" s="1094">
        <v>6210</v>
      </c>
      <c r="Q14181" t="s">
        <v>4185</v>
      </c>
      <c r="R14181" t="s">
        <v>480</v>
      </c>
      <c r="S14181">
        <v>115.728286</v>
      </c>
      <c r="T14181" s="1095">
        <v>-32.557980999999998</v>
      </c>
    </row>
    <row r="14182" spans="16:20">
      <c r="P14182" s="1094">
        <v>6210</v>
      </c>
      <c r="Q14182" t="s">
        <v>14134</v>
      </c>
      <c r="R14182" t="s">
        <v>480</v>
      </c>
      <c r="S14182">
        <v>115.728286</v>
      </c>
      <c r="T14182" s="1095">
        <v>-32.557980999999998</v>
      </c>
    </row>
    <row r="14183" spans="16:20">
      <c r="P14183" s="1094">
        <v>6210</v>
      </c>
      <c r="Q14183" t="s">
        <v>14135</v>
      </c>
      <c r="R14183" t="s">
        <v>480</v>
      </c>
      <c r="S14183">
        <v>115.728286</v>
      </c>
      <c r="T14183" s="1095">
        <v>-32.557980999999998</v>
      </c>
    </row>
    <row r="14184" spans="16:20">
      <c r="P14184" s="1094">
        <v>6210</v>
      </c>
      <c r="Q14184" t="s">
        <v>12418</v>
      </c>
      <c r="R14184" t="s">
        <v>480</v>
      </c>
      <c r="S14184">
        <v>115.728286</v>
      </c>
      <c r="T14184" s="1095">
        <v>-32.557980999999998</v>
      </c>
    </row>
    <row r="14185" spans="16:20">
      <c r="P14185" s="1094">
        <v>6210</v>
      </c>
      <c r="Q14185" t="s">
        <v>13365</v>
      </c>
      <c r="R14185" t="s">
        <v>480</v>
      </c>
      <c r="S14185">
        <v>115.728286</v>
      </c>
      <c r="T14185" s="1095">
        <v>-32.557980999999998</v>
      </c>
    </row>
    <row r="14186" spans="16:20">
      <c r="P14186" s="1094">
        <v>6210</v>
      </c>
      <c r="Q14186" t="s">
        <v>14136</v>
      </c>
      <c r="R14186" t="s">
        <v>480</v>
      </c>
      <c r="S14186">
        <v>115.728286</v>
      </c>
      <c r="T14186" s="1095">
        <v>-32.557980999999998</v>
      </c>
    </row>
    <row r="14187" spans="16:20">
      <c r="P14187" s="1094">
        <v>6210</v>
      </c>
      <c r="Q14187" t="s">
        <v>14132</v>
      </c>
      <c r="R14187" t="s">
        <v>480</v>
      </c>
      <c r="S14187">
        <v>115.728286</v>
      </c>
      <c r="T14187" s="1095">
        <v>-32.557980999999998</v>
      </c>
    </row>
    <row r="14188" spans="16:20">
      <c r="P14188" s="1094">
        <v>6210</v>
      </c>
      <c r="Q14188" t="s">
        <v>14137</v>
      </c>
      <c r="R14188" t="s">
        <v>480</v>
      </c>
      <c r="S14188">
        <v>115.728286</v>
      </c>
      <c r="T14188" s="1095">
        <v>-32.557980999999998</v>
      </c>
    </row>
    <row r="14189" spans="16:20">
      <c r="P14189" s="1094">
        <v>6210</v>
      </c>
      <c r="Q14189" t="s">
        <v>14138</v>
      </c>
      <c r="R14189" t="s">
        <v>480</v>
      </c>
      <c r="S14189">
        <v>115.728286</v>
      </c>
      <c r="T14189" s="1095">
        <v>-32.557980999999998</v>
      </c>
    </row>
    <row r="14190" spans="16:20">
      <c r="P14190" s="1094">
        <v>6210</v>
      </c>
      <c r="Q14190" t="s">
        <v>14139</v>
      </c>
      <c r="R14190" t="s">
        <v>480</v>
      </c>
      <c r="S14190">
        <v>115.728286</v>
      </c>
      <c r="T14190" s="1095">
        <v>-32.557980999999998</v>
      </c>
    </row>
    <row r="14191" spans="16:20">
      <c r="P14191" s="1094">
        <v>6210</v>
      </c>
      <c r="Q14191" t="s">
        <v>2448</v>
      </c>
      <c r="R14191" t="s">
        <v>480</v>
      </c>
      <c r="S14191">
        <v>115.728286</v>
      </c>
      <c r="T14191" s="1095">
        <v>-32.557980999999998</v>
      </c>
    </row>
    <row r="14192" spans="16:20">
      <c r="P14192" s="1094">
        <v>6210</v>
      </c>
      <c r="Q14192" t="s">
        <v>14140</v>
      </c>
      <c r="R14192" t="s">
        <v>480</v>
      </c>
      <c r="S14192">
        <v>115.728286</v>
      </c>
      <c r="T14192" s="1095">
        <v>-32.557980999999998</v>
      </c>
    </row>
    <row r="14193" spans="16:20">
      <c r="P14193" s="1094">
        <v>6210</v>
      </c>
      <c r="Q14193" t="s">
        <v>14141</v>
      </c>
      <c r="R14193" t="s">
        <v>480</v>
      </c>
      <c r="S14193">
        <v>115.728286</v>
      </c>
      <c r="T14193" s="1095">
        <v>-32.557980999999998</v>
      </c>
    </row>
    <row r="14194" spans="16:20">
      <c r="P14194" s="1094">
        <v>6210</v>
      </c>
      <c r="Q14194" t="s">
        <v>14142</v>
      </c>
      <c r="R14194" t="s">
        <v>480</v>
      </c>
      <c r="S14194">
        <v>115.728286</v>
      </c>
      <c r="T14194" s="1095">
        <v>-32.557980999999998</v>
      </c>
    </row>
    <row r="14195" spans="16:20">
      <c r="P14195" s="1094">
        <v>6210</v>
      </c>
      <c r="Q14195" t="s">
        <v>14143</v>
      </c>
      <c r="R14195" t="s">
        <v>480</v>
      </c>
      <c r="S14195">
        <v>115.728286</v>
      </c>
      <c r="T14195" s="1095">
        <v>-32.557980999999998</v>
      </c>
    </row>
    <row r="14196" spans="16:20">
      <c r="P14196" s="1094">
        <v>6210</v>
      </c>
      <c r="Q14196" t="s">
        <v>14144</v>
      </c>
      <c r="R14196" t="s">
        <v>480</v>
      </c>
      <c r="S14196">
        <v>115.728286</v>
      </c>
      <c r="T14196" s="1095">
        <v>-32.557980999999998</v>
      </c>
    </row>
    <row r="14197" spans="16:20">
      <c r="P14197" s="1094">
        <v>6210</v>
      </c>
      <c r="Q14197" t="s">
        <v>14145</v>
      </c>
      <c r="R14197" t="s">
        <v>480</v>
      </c>
      <c r="S14197">
        <v>115.728286</v>
      </c>
      <c r="T14197" s="1095">
        <v>-32.557980999999998</v>
      </c>
    </row>
    <row r="14198" spans="16:20">
      <c r="P14198" s="1094">
        <v>6210</v>
      </c>
      <c r="Q14198" t="s">
        <v>10753</v>
      </c>
      <c r="R14198" t="s">
        <v>480</v>
      </c>
      <c r="S14198">
        <v>115.728286</v>
      </c>
      <c r="T14198" s="1095">
        <v>-32.557980999999998</v>
      </c>
    </row>
    <row r="14199" spans="16:20">
      <c r="P14199" s="1094">
        <v>6210</v>
      </c>
      <c r="Q14199" t="s">
        <v>2402</v>
      </c>
      <c r="R14199" t="s">
        <v>480</v>
      </c>
      <c r="S14199">
        <v>115.728286</v>
      </c>
      <c r="T14199" s="1095">
        <v>-32.557980999999998</v>
      </c>
    </row>
    <row r="14200" spans="16:20">
      <c r="P14200" s="1094">
        <v>6210</v>
      </c>
      <c r="Q14200" t="s">
        <v>12824</v>
      </c>
      <c r="R14200" t="s">
        <v>480</v>
      </c>
      <c r="S14200">
        <v>115.728286</v>
      </c>
      <c r="T14200" s="1095">
        <v>-32.557980999999998</v>
      </c>
    </row>
    <row r="14201" spans="16:20">
      <c r="P14201" s="1094">
        <v>6210</v>
      </c>
      <c r="Q14201" t="s">
        <v>14114</v>
      </c>
      <c r="R14201" t="s">
        <v>480</v>
      </c>
      <c r="S14201">
        <v>115.728286</v>
      </c>
      <c r="T14201" s="1095">
        <v>-32.557980999999998</v>
      </c>
    </row>
    <row r="14202" spans="16:20">
      <c r="P14202" s="1094">
        <v>6210</v>
      </c>
      <c r="Q14202" t="s">
        <v>14146</v>
      </c>
      <c r="R14202" t="s">
        <v>480</v>
      </c>
      <c r="S14202">
        <v>115.728286</v>
      </c>
      <c r="T14202" s="1095">
        <v>-32.557980999999998</v>
      </c>
    </row>
    <row r="14203" spans="16:20">
      <c r="P14203" s="1094">
        <v>6211</v>
      </c>
      <c r="Q14203" t="s">
        <v>14133</v>
      </c>
      <c r="R14203" t="s">
        <v>480</v>
      </c>
      <c r="S14203">
        <v>0</v>
      </c>
      <c r="T14203" s="1095">
        <v>0</v>
      </c>
    </row>
    <row r="14204" spans="16:20">
      <c r="P14204" s="1094">
        <v>6211</v>
      </c>
      <c r="Q14204" t="s">
        <v>4185</v>
      </c>
      <c r="R14204" t="s">
        <v>480</v>
      </c>
      <c r="S14204">
        <v>0</v>
      </c>
      <c r="T14204" s="1095">
        <v>0</v>
      </c>
    </row>
    <row r="14205" spans="16:20">
      <c r="P14205" s="1094">
        <v>6211</v>
      </c>
      <c r="Q14205" t="s">
        <v>14135</v>
      </c>
      <c r="R14205" t="s">
        <v>480</v>
      </c>
      <c r="S14205">
        <v>0</v>
      </c>
      <c r="T14205" s="1095">
        <v>0</v>
      </c>
    </row>
    <row r="14206" spans="16:20">
      <c r="P14206" s="1094">
        <v>6211</v>
      </c>
      <c r="Q14206" t="s">
        <v>14139</v>
      </c>
      <c r="R14206" t="s">
        <v>480</v>
      </c>
      <c r="S14206">
        <v>0</v>
      </c>
      <c r="T14206" s="1095">
        <v>0</v>
      </c>
    </row>
    <row r="14207" spans="16:20">
      <c r="P14207" s="1094">
        <v>6213</v>
      </c>
      <c r="Q14207" t="s">
        <v>14147</v>
      </c>
      <c r="R14207" t="s">
        <v>480</v>
      </c>
      <c r="S14207">
        <v>116.128249</v>
      </c>
      <c r="T14207" s="1095">
        <v>-32.702064999999997</v>
      </c>
    </row>
    <row r="14208" spans="16:20">
      <c r="P14208" s="1094">
        <v>6213</v>
      </c>
      <c r="Q14208" t="s">
        <v>14148</v>
      </c>
      <c r="R14208" t="s">
        <v>480</v>
      </c>
      <c r="S14208">
        <v>116.128249</v>
      </c>
      <c r="T14208" s="1095">
        <v>-32.702064999999997</v>
      </c>
    </row>
    <row r="14209" spans="16:20">
      <c r="P14209" s="1094">
        <v>6213</v>
      </c>
      <c r="Q14209" t="s">
        <v>14149</v>
      </c>
      <c r="R14209" t="s">
        <v>480</v>
      </c>
      <c r="S14209">
        <v>116.128249</v>
      </c>
      <c r="T14209" s="1095">
        <v>-32.702064999999997</v>
      </c>
    </row>
    <row r="14210" spans="16:20">
      <c r="P14210" s="1094">
        <v>6213</v>
      </c>
      <c r="Q14210" t="s">
        <v>14150</v>
      </c>
      <c r="R14210" t="s">
        <v>480</v>
      </c>
      <c r="S14210">
        <v>116.128249</v>
      </c>
      <c r="T14210" s="1095">
        <v>-32.702064999999997</v>
      </c>
    </row>
    <row r="14211" spans="16:20">
      <c r="P14211" s="1094">
        <v>6213</v>
      </c>
      <c r="Q14211" t="s">
        <v>14151</v>
      </c>
      <c r="R14211" t="s">
        <v>480</v>
      </c>
      <c r="S14211">
        <v>116.128249</v>
      </c>
      <c r="T14211" s="1095">
        <v>-32.702064999999997</v>
      </c>
    </row>
    <row r="14212" spans="16:20">
      <c r="P14212" s="1094">
        <v>6213</v>
      </c>
      <c r="Q14212" t="s">
        <v>14152</v>
      </c>
      <c r="R14212" t="s">
        <v>480</v>
      </c>
      <c r="S14212">
        <v>116.128249</v>
      </c>
      <c r="T14212" s="1095">
        <v>-32.702064999999997</v>
      </c>
    </row>
    <row r="14213" spans="16:20">
      <c r="P14213" s="1094">
        <v>6213</v>
      </c>
      <c r="Q14213" t="s">
        <v>7182</v>
      </c>
      <c r="R14213" t="s">
        <v>480</v>
      </c>
      <c r="S14213">
        <v>116.128249</v>
      </c>
      <c r="T14213" s="1095">
        <v>-32.702064999999997</v>
      </c>
    </row>
    <row r="14214" spans="16:20">
      <c r="P14214" s="1094">
        <v>6214</v>
      </c>
      <c r="Q14214" t="s">
        <v>14153</v>
      </c>
      <c r="R14214" t="s">
        <v>480</v>
      </c>
      <c r="S14214">
        <v>115.85938299999999</v>
      </c>
      <c r="T14214" s="1095">
        <v>-32.750428999999997</v>
      </c>
    </row>
    <row r="14215" spans="16:20">
      <c r="P14215" s="1094">
        <v>6214</v>
      </c>
      <c r="Q14215" t="s">
        <v>14154</v>
      </c>
      <c r="R14215" t="s">
        <v>480</v>
      </c>
      <c r="S14215">
        <v>115.85938299999999</v>
      </c>
      <c r="T14215" s="1095">
        <v>-32.750428999999997</v>
      </c>
    </row>
    <row r="14216" spans="16:20">
      <c r="P14216" s="1094">
        <v>6214</v>
      </c>
      <c r="Q14216" t="s">
        <v>14155</v>
      </c>
      <c r="R14216" t="s">
        <v>480</v>
      </c>
      <c r="S14216">
        <v>115.85938299999999</v>
      </c>
      <c r="T14216" s="1095">
        <v>-32.750428999999997</v>
      </c>
    </row>
    <row r="14217" spans="16:20">
      <c r="P14217" s="1094">
        <v>6215</v>
      </c>
      <c r="Q14217" t="s">
        <v>14156</v>
      </c>
      <c r="R14217" t="s">
        <v>480</v>
      </c>
      <c r="S14217">
        <v>115.896715</v>
      </c>
      <c r="T14217" s="1095">
        <v>-32.853807000000003</v>
      </c>
    </row>
    <row r="14218" spans="16:20">
      <c r="P14218" s="1094">
        <v>6215</v>
      </c>
      <c r="Q14218" t="s">
        <v>14157</v>
      </c>
      <c r="R14218" t="s">
        <v>480</v>
      </c>
      <c r="S14218">
        <v>115.896715</v>
      </c>
      <c r="T14218" s="1095">
        <v>-32.853807000000003</v>
      </c>
    </row>
    <row r="14219" spans="16:20">
      <c r="P14219" s="1094">
        <v>6215</v>
      </c>
      <c r="Q14219" t="s">
        <v>14158</v>
      </c>
      <c r="R14219" t="s">
        <v>480</v>
      </c>
      <c r="S14219">
        <v>115.896715</v>
      </c>
      <c r="T14219" s="1095">
        <v>-32.853807000000003</v>
      </c>
    </row>
    <row r="14220" spans="16:20">
      <c r="P14220" s="1094">
        <v>6215</v>
      </c>
      <c r="Q14220" t="s">
        <v>14159</v>
      </c>
      <c r="R14220" t="s">
        <v>480</v>
      </c>
      <c r="S14220">
        <v>115.896715</v>
      </c>
      <c r="T14220" s="1095">
        <v>-32.853807000000003</v>
      </c>
    </row>
    <row r="14221" spans="16:20">
      <c r="P14221" s="1094">
        <v>6215</v>
      </c>
      <c r="Q14221" t="s">
        <v>14160</v>
      </c>
      <c r="R14221" t="s">
        <v>480</v>
      </c>
      <c r="S14221">
        <v>115.896715</v>
      </c>
      <c r="T14221" s="1095">
        <v>-32.853807000000003</v>
      </c>
    </row>
    <row r="14222" spans="16:20">
      <c r="P14222" s="1094">
        <v>6215</v>
      </c>
      <c r="Q14222" t="s">
        <v>14161</v>
      </c>
      <c r="R14222" t="s">
        <v>480</v>
      </c>
      <c r="S14222">
        <v>115.896715</v>
      </c>
      <c r="T14222" s="1095">
        <v>-32.853807000000003</v>
      </c>
    </row>
    <row r="14223" spans="16:20">
      <c r="P14223" s="1094">
        <v>6218</v>
      </c>
      <c r="Q14223" t="s">
        <v>14162</v>
      </c>
      <c r="R14223" t="s">
        <v>480</v>
      </c>
      <c r="S14223">
        <v>115.90311199999999</v>
      </c>
      <c r="T14223" s="1095">
        <v>-32.946154</v>
      </c>
    </row>
    <row r="14224" spans="16:20">
      <c r="P14224" s="1094">
        <v>6220</v>
      </c>
      <c r="Q14224" t="s">
        <v>14163</v>
      </c>
      <c r="R14224" t="s">
        <v>480</v>
      </c>
      <c r="S14224">
        <v>116.029777</v>
      </c>
      <c r="T14224" s="1095">
        <v>-33.031221000000002</v>
      </c>
    </row>
    <row r="14225" spans="16:20">
      <c r="P14225" s="1094">
        <v>6220</v>
      </c>
      <c r="Q14225" t="s">
        <v>14164</v>
      </c>
      <c r="R14225" t="s">
        <v>480</v>
      </c>
      <c r="S14225">
        <v>116.029777</v>
      </c>
      <c r="T14225" s="1095">
        <v>-33.031221000000002</v>
      </c>
    </row>
    <row r="14226" spans="16:20">
      <c r="P14226" s="1094">
        <v>6220</v>
      </c>
      <c r="Q14226" t="s">
        <v>14165</v>
      </c>
      <c r="R14226" t="s">
        <v>480</v>
      </c>
      <c r="S14226">
        <v>116.029777</v>
      </c>
      <c r="T14226" s="1095">
        <v>-33.031221000000002</v>
      </c>
    </row>
    <row r="14227" spans="16:20">
      <c r="P14227" s="1094">
        <v>6220</v>
      </c>
      <c r="Q14227" t="s">
        <v>14166</v>
      </c>
      <c r="R14227" t="s">
        <v>480</v>
      </c>
      <c r="S14227">
        <v>116.029777</v>
      </c>
      <c r="T14227" s="1095">
        <v>-33.031221000000002</v>
      </c>
    </row>
    <row r="14228" spans="16:20">
      <c r="P14228" s="1094">
        <v>6220</v>
      </c>
      <c r="Q14228" t="s">
        <v>14167</v>
      </c>
      <c r="R14228" t="s">
        <v>480</v>
      </c>
      <c r="S14228">
        <v>116.029777</v>
      </c>
      <c r="T14228" s="1095">
        <v>-33.031221000000002</v>
      </c>
    </row>
    <row r="14229" spans="16:20">
      <c r="P14229" s="1094">
        <v>6220</v>
      </c>
      <c r="Q14229" t="s">
        <v>14168</v>
      </c>
      <c r="R14229" t="s">
        <v>480</v>
      </c>
      <c r="S14229">
        <v>116.029777</v>
      </c>
      <c r="T14229" s="1095">
        <v>-33.031221000000002</v>
      </c>
    </row>
    <row r="14230" spans="16:20">
      <c r="P14230" s="1094">
        <v>6221</v>
      </c>
      <c r="Q14230" t="s">
        <v>9132</v>
      </c>
      <c r="R14230" t="s">
        <v>480</v>
      </c>
      <c r="S14230">
        <v>115.907354</v>
      </c>
      <c r="T14230" s="1095">
        <v>-33.119332</v>
      </c>
    </row>
    <row r="14231" spans="16:20">
      <c r="P14231" s="1094">
        <v>6221</v>
      </c>
      <c r="Q14231" t="s">
        <v>14169</v>
      </c>
      <c r="R14231" t="s">
        <v>480</v>
      </c>
      <c r="S14231">
        <v>115.907354</v>
      </c>
      <c r="T14231" s="1095">
        <v>-33.119332</v>
      </c>
    </row>
    <row r="14232" spans="16:20">
      <c r="P14232" s="1094">
        <v>6223</v>
      </c>
      <c r="Q14232" t="s">
        <v>14170</v>
      </c>
      <c r="R14232" t="s">
        <v>480</v>
      </c>
      <c r="S14232">
        <v>115.903221</v>
      </c>
      <c r="T14232" s="1095">
        <v>-33.182079999999999</v>
      </c>
    </row>
    <row r="14233" spans="16:20">
      <c r="P14233" s="1094">
        <v>6224</v>
      </c>
      <c r="Q14233" t="s">
        <v>14171</v>
      </c>
      <c r="R14233" t="s">
        <v>480</v>
      </c>
      <c r="S14233">
        <v>115.846788</v>
      </c>
      <c r="T14233" s="1095">
        <v>-33.245137999999997</v>
      </c>
    </row>
    <row r="14234" spans="16:20">
      <c r="P14234" s="1094">
        <v>6224</v>
      </c>
      <c r="Q14234" t="s">
        <v>6469</v>
      </c>
      <c r="R14234" t="s">
        <v>480</v>
      </c>
      <c r="S14234">
        <v>115.846788</v>
      </c>
      <c r="T14234" s="1095">
        <v>-33.245137999999997</v>
      </c>
    </row>
    <row r="14235" spans="16:20">
      <c r="P14235" s="1094">
        <v>6225</v>
      </c>
      <c r="Q14235" t="s">
        <v>14172</v>
      </c>
      <c r="R14235" t="s">
        <v>480</v>
      </c>
      <c r="S14235">
        <v>116.204886</v>
      </c>
      <c r="T14235" s="1095">
        <v>-33.35257</v>
      </c>
    </row>
    <row r="14236" spans="16:20">
      <c r="P14236" s="1094">
        <v>6225</v>
      </c>
      <c r="Q14236" t="s">
        <v>14173</v>
      </c>
      <c r="R14236" t="s">
        <v>480</v>
      </c>
      <c r="S14236">
        <v>116.204886</v>
      </c>
      <c r="T14236" s="1095">
        <v>-33.35257</v>
      </c>
    </row>
    <row r="14237" spans="16:20">
      <c r="P14237" s="1094">
        <v>6225</v>
      </c>
      <c r="Q14237" t="s">
        <v>11971</v>
      </c>
      <c r="R14237" t="s">
        <v>480</v>
      </c>
      <c r="S14237">
        <v>116.204886</v>
      </c>
      <c r="T14237" s="1095">
        <v>-33.35257</v>
      </c>
    </row>
    <row r="14238" spans="16:20">
      <c r="P14238" s="1094">
        <v>6225</v>
      </c>
      <c r="Q14238" t="s">
        <v>2473</v>
      </c>
      <c r="R14238" t="s">
        <v>480</v>
      </c>
      <c r="S14238">
        <v>116.204886</v>
      </c>
      <c r="T14238" s="1095">
        <v>-33.35257</v>
      </c>
    </row>
    <row r="14239" spans="16:20">
      <c r="P14239" s="1094">
        <v>6225</v>
      </c>
      <c r="Q14239" t="s">
        <v>5979</v>
      </c>
      <c r="R14239" t="s">
        <v>480</v>
      </c>
      <c r="S14239">
        <v>116.204886</v>
      </c>
      <c r="T14239" s="1095">
        <v>-33.35257</v>
      </c>
    </row>
    <row r="14240" spans="16:20">
      <c r="P14240" s="1094">
        <v>6225</v>
      </c>
      <c r="Q14240" t="s">
        <v>14174</v>
      </c>
      <c r="R14240" t="s">
        <v>480</v>
      </c>
      <c r="S14240">
        <v>116.204886</v>
      </c>
      <c r="T14240" s="1095">
        <v>-33.35257</v>
      </c>
    </row>
    <row r="14241" spans="16:20">
      <c r="P14241" s="1094">
        <v>6225</v>
      </c>
      <c r="Q14241" t="s">
        <v>14175</v>
      </c>
      <c r="R14241" t="s">
        <v>480</v>
      </c>
      <c r="S14241">
        <v>116.204886</v>
      </c>
      <c r="T14241" s="1095">
        <v>-33.35257</v>
      </c>
    </row>
    <row r="14242" spans="16:20">
      <c r="P14242" s="1094">
        <v>6225</v>
      </c>
      <c r="Q14242" t="s">
        <v>14176</v>
      </c>
      <c r="R14242" t="s">
        <v>480</v>
      </c>
      <c r="S14242">
        <v>116.204886</v>
      </c>
      <c r="T14242" s="1095">
        <v>-33.35257</v>
      </c>
    </row>
    <row r="14243" spans="16:20">
      <c r="P14243" s="1094">
        <v>6225</v>
      </c>
      <c r="Q14243" t="s">
        <v>14177</v>
      </c>
      <c r="R14243" t="s">
        <v>480</v>
      </c>
      <c r="S14243">
        <v>116.204886</v>
      </c>
      <c r="T14243" s="1095">
        <v>-33.35257</v>
      </c>
    </row>
    <row r="14244" spans="16:20">
      <c r="P14244" s="1094">
        <v>6225</v>
      </c>
      <c r="Q14244" t="s">
        <v>14178</v>
      </c>
      <c r="R14244" t="s">
        <v>480</v>
      </c>
      <c r="S14244">
        <v>116.204886</v>
      </c>
      <c r="T14244" s="1095">
        <v>-33.35257</v>
      </c>
    </row>
    <row r="14245" spans="16:20">
      <c r="P14245" s="1094">
        <v>6225</v>
      </c>
      <c r="Q14245" t="s">
        <v>14179</v>
      </c>
      <c r="R14245" t="s">
        <v>480</v>
      </c>
      <c r="S14245">
        <v>116.204886</v>
      </c>
      <c r="T14245" s="1095">
        <v>-33.35257</v>
      </c>
    </row>
    <row r="14246" spans="16:20">
      <c r="P14246" s="1094">
        <v>6225</v>
      </c>
      <c r="Q14246" t="s">
        <v>14180</v>
      </c>
      <c r="R14246" t="s">
        <v>480</v>
      </c>
      <c r="S14246">
        <v>116.204886</v>
      </c>
      <c r="T14246" s="1095">
        <v>-33.35257</v>
      </c>
    </row>
    <row r="14247" spans="16:20">
      <c r="P14247" s="1094">
        <v>6225</v>
      </c>
      <c r="Q14247" t="s">
        <v>14181</v>
      </c>
      <c r="R14247" t="s">
        <v>480</v>
      </c>
      <c r="S14247">
        <v>116.204886</v>
      </c>
      <c r="T14247" s="1095">
        <v>-33.35257</v>
      </c>
    </row>
    <row r="14248" spans="16:20">
      <c r="P14248" s="1094">
        <v>6225</v>
      </c>
      <c r="Q14248" t="s">
        <v>12925</v>
      </c>
      <c r="R14248" t="s">
        <v>480</v>
      </c>
      <c r="S14248">
        <v>116.204886</v>
      </c>
      <c r="T14248" s="1095">
        <v>-33.35257</v>
      </c>
    </row>
    <row r="14249" spans="16:20">
      <c r="P14249" s="1094">
        <v>6225</v>
      </c>
      <c r="Q14249" t="s">
        <v>14182</v>
      </c>
      <c r="R14249" t="s">
        <v>480</v>
      </c>
      <c r="S14249">
        <v>116.204886</v>
      </c>
      <c r="T14249" s="1095">
        <v>-33.35257</v>
      </c>
    </row>
    <row r="14250" spans="16:20">
      <c r="P14250" s="1094">
        <v>6225</v>
      </c>
      <c r="Q14250" t="s">
        <v>14183</v>
      </c>
      <c r="R14250" t="s">
        <v>480</v>
      </c>
      <c r="S14250">
        <v>116.204886</v>
      </c>
      <c r="T14250" s="1095">
        <v>-33.35257</v>
      </c>
    </row>
    <row r="14251" spans="16:20">
      <c r="P14251" s="1094">
        <v>6225</v>
      </c>
      <c r="Q14251" t="s">
        <v>14184</v>
      </c>
      <c r="R14251" t="s">
        <v>480</v>
      </c>
      <c r="S14251">
        <v>116.204886</v>
      </c>
      <c r="T14251" s="1095">
        <v>-33.35257</v>
      </c>
    </row>
    <row r="14252" spans="16:20">
      <c r="P14252" s="1094">
        <v>6225</v>
      </c>
      <c r="Q14252" t="s">
        <v>14185</v>
      </c>
      <c r="R14252" t="s">
        <v>480</v>
      </c>
      <c r="S14252">
        <v>116.204886</v>
      </c>
      <c r="T14252" s="1095">
        <v>-33.35257</v>
      </c>
    </row>
    <row r="14253" spans="16:20">
      <c r="P14253" s="1094">
        <v>6226</v>
      </c>
      <c r="Q14253" t="s">
        <v>14186</v>
      </c>
      <c r="R14253" t="s">
        <v>480</v>
      </c>
      <c r="S14253">
        <v>115.847234</v>
      </c>
      <c r="T14253" s="1095">
        <v>-33.291834000000001</v>
      </c>
    </row>
    <row r="14254" spans="16:20">
      <c r="P14254" s="1094">
        <v>6227</v>
      </c>
      <c r="Q14254" t="s">
        <v>14187</v>
      </c>
      <c r="R14254" t="s">
        <v>480</v>
      </c>
      <c r="S14254">
        <v>115.86860299999999</v>
      </c>
      <c r="T14254" s="1095">
        <v>-33.322812999999996</v>
      </c>
    </row>
    <row r="14255" spans="16:20">
      <c r="P14255" s="1094">
        <v>6228</v>
      </c>
      <c r="Q14255" t="s">
        <v>1661</v>
      </c>
      <c r="R14255" t="s">
        <v>480</v>
      </c>
      <c r="S14255">
        <v>115.77649700000001</v>
      </c>
      <c r="T14255" s="1095">
        <v>-33.338056999999999</v>
      </c>
    </row>
    <row r="14256" spans="16:20">
      <c r="P14256" s="1094">
        <v>6229</v>
      </c>
      <c r="Q14256" t="s">
        <v>4579</v>
      </c>
      <c r="R14256" t="s">
        <v>480</v>
      </c>
      <c r="S14256">
        <v>115.70738299999999</v>
      </c>
      <c r="T14256" s="1095">
        <v>-33.352103</v>
      </c>
    </row>
    <row r="14257" spans="16:20">
      <c r="P14257" s="1094">
        <v>6229</v>
      </c>
      <c r="Q14257" t="s">
        <v>14188</v>
      </c>
      <c r="R14257" t="s">
        <v>480</v>
      </c>
      <c r="S14257">
        <v>115.70738299999999</v>
      </c>
      <c r="T14257" s="1095">
        <v>-33.352103</v>
      </c>
    </row>
    <row r="14258" spans="16:20">
      <c r="P14258" s="1094">
        <v>6230</v>
      </c>
      <c r="Q14258" t="s">
        <v>13039</v>
      </c>
      <c r="R14258" t="s">
        <v>480</v>
      </c>
      <c r="S14258">
        <v>115.64920499999999</v>
      </c>
      <c r="T14258" s="1095">
        <v>-33.341076000000001</v>
      </c>
    </row>
    <row r="14259" spans="16:20">
      <c r="P14259" s="1094">
        <v>6230</v>
      </c>
      <c r="Q14259" t="s">
        <v>14189</v>
      </c>
      <c r="R14259" t="s">
        <v>480</v>
      </c>
      <c r="S14259">
        <v>115.64920499999999</v>
      </c>
      <c r="T14259" s="1095">
        <v>-33.341076000000001</v>
      </c>
    </row>
    <row r="14260" spans="16:20">
      <c r="P14260" s="1094">
        <v>6230</v>
      </c>
      <c r="Q14260" t="s">
        <v>14190</v>
      </c>
      <c r="R14260" t="s">
        <v>480</v>
      </c>
      <c r="S14260">
        <v>115.64920499999999</v>
      </c>
      <c r="T14260" s="1095">
        <v>-33.341076000000001</v>
      </c>
    </row>
    <row r="14261" spans="16:20">
      <c r="P14261" s="1094">
        <v>6230</v>
      </c>
      <c r="Q14261" t="s">
        <v>14191</v>
      </c>
      <c r="R14261" t="s">
        <v>480</v>
      </c>
      <c r="S14261">
        <v>115.64920499999999</v>
      </c>
      <c r="T14261" s="1095">
        <v>-33.341076000000001</v>
      </c>
    </row>
    <row r="14262" spans="16:20">
      <c r="P14262" s="1094">
        <v>6230</v>
      </c>
      <c r="Q14262" t="s">
        <v>14192</v>
      </c>
      <c r="R14262" t="s">
        <v>480</v>
      </c>
      <c r="S14262">
        <v>115.64920499999999</v>
      </c>
      <c r="T14262" s="1095">
        <v>-33.341076000000001</v>
      </c>
    </row>
    <row r="14263" spans="16:20">
      <c r="P14263" s="1094">
        <v>6230</v>
      </c>
      <c r="Q14263" t="s">
        <v>14193</v>
      </c>
      <c r="R14263" t="s">
        <v>480</v>
      </c>
      <c r="S14263">
        <v>115.64920499999999</v>
      </c>
      <c r="T14263" s="1095">
        <v>-33.341076000000001</v>
      </c>
    </row>
    <row r="14264" spans="16:20">
      <c r="P14264" s="1094">
        <v>6230</v>
      </c>
      <c r="Q14264" t="s">
        <v>14194</v>
      </c>
      <c r="R14264" t="s">
        <v>480</v>
      </c>
      <c r="S14264">
        <v>115.64920499999999</v>
      </c>
      <c r="T14264" s="1095">
        <v>-33.341076000000001</v>
      </c>
    </row>
    <row r="14265" spans="16:20">
      <c r="P14265" s="1094">
        <v>6230</v>
      </c>
      <c r="Q14265" t="s">
        <v>6653</v>
      </c>
      <c r="R14265" t="s">
        <v>480</v>
      </c>
      <c r="S14265">
        <v>115.64920499999999</v>
      </c>
      <c r="T14265" s="1095">
        <v>-33.341076000000001</v>
      </c>
    </row>
    <row r="14266" spans="16:20">
      <c r="P14266" s="1094">
        <v>6230</v>
      </c>
      <c r="Q14266" t="s">
        <v>13147</v>
      </c>
      <c r="R14266" t="s">
        <v>480</v>
      </c>
      <c r="S14266">
        <v>115.64920499999999</v>
      </c>
      <c r="T14266" s="1095">
        <v>-33.341076000000001</v>
      </c>
    </row>
    <row r="14267" spans="16:20">
      <c r="P14267" s="1094">
        <v>6230</v>
      </c>
      <c r="Q14267" t="s">
        <v>14195</v>
      </c>
      <c r="R14267" t="s">
        <v>480</v>
      </c>
      <c r="S14267">
        <v>115.64920499999999</v>
      </c>
      <c r="T14267" s="1095">
        <v>-33.341076000000001</v>
      </c>
    </row>
    <row r="14268" spans="16:20">
      <c r="P14268" s="1094">
        <v>6230</v>
      </c>
      <c r="Q14268" t="s">
        <v>14196</v>
      </c>
      <c r="R14268" t="s">
        <v>480</v>
      </c>
      <c r="S14268">
        <v>115.64920499999999</v>
      </c>
      <c r="T14268" s="1095">
        <v>-33.341076000000001</v>
      </c>
    </row>
    <row r="14269" spans="16:20">
      <c r="P14269" s="1094">
        <v>6230</v>
      </c>
      <c r="Q14269" t="s">
        <v>5862</v>
      </c>
      <c r="R14269" t="s">
        <v>480</v>
      </c>
      <c r="S14269">
        <v>115.64920499999999</v>
      </c>
      <c r="T14269" s="1095">
        <v>-33.341076000000001</v>
      </c>
    </row>
    <row r="14270" spans="16:20">
      <c r="P14270" s="1094">
        <v>6230</v>
      </c>
      <c r="Q14270" t="s">
        <v>14197</v>
      </c>
      <c r="R14270" t="s">
        <v>480</v>
      </c>
      <c r="S14270">
        <v>115.64920499999999</v>
      </c>
      <c r="T14270" s="1095">
        <v>-33.341076000000001</v>
      </c>
    </row>
    <row r="14271" spans="16:20">
      <c r="P14271" s="1094">
        <v>6231</v>
      </c>
      <c r="Q14271" t="s">
        <v>13039</v>
      </c>
      <c r="R14271" t="s">
        <v>480</v>
      </c>
      <c r="S14271">
        <v>0</v>
      </c>
      <c r="T14271" s="1095">
        <v>0</v>
      </c>
    </row>
    <row r="14272" spans="16:20">
      <c r="P14272" s="1094">
        <v>6232</v>
      </c>
      <c r="Q14272" t="s">
        <v>12116</v>
      </c>
      <c r="R14272" t="s">
        <v>480</v>
      </c>
      <c r="S14272">
        <v>0</v>
      </c>
      <c r="T14272" s="1095">
        <v>0</v>
      </c>
    </row>
    <row r="14273" spans="16:20">
      <c r="P14273" s="1094">
        <v>6232</v>
      </c>
      <c r="Q14273" t="s">
        <v>14198</v>
      </c>
      <c r="R14273" t="s">
        <v>480</v>
      </c>
      <c r="S14273">
        <v>0</v>
      </c>
      <c r="T14273" s="1095">
        <v>0</v>
      </c>
    </row>
    <row r="14274" spans="16:20">
      <c r="P14274" s="1094">
        <v>6233</v>
      </c>
      <c r="Q14274" t="s">
        <v>14199</v>
      </c>
      <c r="R14274" t="s">
        <v>480</v>
      </c>
      <c r="S14274">
        <v>0</v>
      </c>
      <c r="T14274" s="1095">
        <v>0</v>
      </c>
    </row>
    <row r="14275" spans="16:20">
      <c r="P14275" s="1094">
        <v>6233</v>
      </c>
      <c r="Q14275" t="s">
        <v>14200</v>
      </c>
      <c r="R14275" t="s">
        <v>480</v>
      </c>
      <c r="S14275">
        <v>0</v>
      </c>
      <c r="T14275" s="1095">
        <v>0</v>
      </c>
    </row>
    <row r="14276" spans="16:20">
      <c r="P14276" s="1094">
        <v>6233</v>
      </c>
      <c r="Q14276" t="s">
        <v>14201</v>
      </c>
      <c r="R14276" t="s">
        <v>480</v>
      </c>
      <c r="S14276">
        <v>0</v>
      </c>
      <c r="T14276" s="1095">
        <v>0</v>
      </c>
    </row>
    <row r="14277" spans="16:20">
      <c r="P14277" s="1094">
        <v>6233</v>
      </c>
      <c r="Q14277" t="s">
        <v>14202</v>
      </c>
      <c r="R14277" t="s">
        <v>480</v>
      </c>
      <c r="S14277">
        <v>0</v>
      </c>
      <c r="T14277" s="1095">
        <v>0</v>
      </c>
    </row>
    <row r="14278" spans="16:20">
      <c r="P14278" s="1094">
        <v>6233</v>
      </c>
      <c r="Q14278" t="s">
        <v>10473</v>
      </c>
      <c r="R14278" t="s">
        <v>480</v>
      </c>
      <c r="S14278">
        <v>0</v>
      </c>
      <c r="T14278" s="1095">
        <v>0</v>
      </c>
    </row>
    <row r="14279" spans="16:20">
      <c r="P14279" s="1094">
        <v>6236</v>
      </c>
      <c r="Q14279" t="s">
        <v>14203</v>
      </c>
      <c r="R14279" t="s">
        <v>480</v>
      </c>
      <c r="S14279">
        <v>115.82892099999999</v>
      </c>
      <c r="T14279" s="1095">
        <v>-33.410435999999997</v>
      </c>
    </row>
    <row r="14280" spans="16:20">
      <c r="P14280" s="1094">
        <v>6236</v>
      </c>
      <c r="Q14280" t="s">
        <v>14204</v>
      </c>
      <c r="R14280" t="s">
        <v>480</v>
      </c>
      <c r="S14280">
        <v>115.82892099999999</v>
      </c>
      <c r="T14280" s="1095">
        <v>-33.410435999999997</v>
      </c>
    </row>
    <row r="14281" spans="16:20">
      <c r="P14281" s="1094">
        <v>6236</v>
      </c>
      <c r="Q14281" t="s">
        <v>14205</v>
      </c>
      <c r="R14281" t="s">
        <v>480</v>
      </c>
      <c r="S14281">
        <v>115.82892099999999</v>
      </c>
      <c r="T14281" s="1095">
        <v>-33.410435999999997</v>
      </c>
    </row>
    <row r="14282" spans="16:20">
      <c r="P14282" s="1094">
        <v>6236</v>
      </c>
      <c r="Q14282" t="s">
        <v>6879</v>
      </c>
      <c r="R14282" t="s">
        <v>480</v>
      </c>
      <c r="S14282">
        <v>115.82892099999999</v>
      </c>
      <c r="T14282" s="1095">
        <v>-33.410435999999997</v>
      </c>
    </row>
    <row r="14283" spans="16:20">
      <c r="P14283" s="1094">
        <v>6236</v>
      </c>
      <c r="Q14283" t="s">
        <v>5251</v>
      </c>
      <c r="R14283" t="s">
        <v>480</v>
      </c>
      <c r="S14283">
        <v>115.82892099999999</v>
      </c>
      <c r="T14283" s="1095">
        <v>-33.410435999999997</v>
      </c>
    </row>
    <row r="14284" spans="16:20">
      <c r="P14284" s="1094">
        <v>6236</v>
      </c>
      <c r="Q14284" t="s">
        <v>3036</v>
      </c>
      <c r="R14284" t="s">
        <v>480</v>
      </c>
      <c r="S14284">
        <v>115.82892099999999</v>
      </c>
      <c r="T14284" s="1095">
        <v>-33.410435999999997</v>
      </c>
    </row>
    <row r="14285" spans="16:20">
      <c r="P14285" s="1094">
        <v>6236</v>
      </c>
      <c r="Q14285" t="s">
        <v>14206</v>
      </c>
      <c r="R14285" t="s">
        <v>480</v>
      </c>
      <c r="S14285">
        <v>115.82892099999999</v>
      </c>
      <c r="T14285" s="1095">
        <v>-33.410435999999997</v>
      </c>
    </row>
    <row r="14286" spans="16:20">
      <c r="P14286" s="1094">
        <v>6236</v>
      </c>
      <c r="Q14286" t="s">
        <v>14207</v>
      </c>
      <c r="R14286" t="s">
        <v>480</v>
      </c>
      <c r="S14286">
        <v>115.82892099999999</v>
      </c>
      <c r="T14286" s="1095">
        <v>-33.410435999999997</v>
      </c>
    </row>
    <row r="14287" spans="16:20">
      <c r="P14287" s="1094">
        <v>6237</v>
      </c>
      <c r="Q14287" t="s">
        <v>14208</v>
      </c>
      <c r="R14287" t="s">
        <v>480</v>
      </c>
      <c r="S14287">
        <v>115.67405599999999</v>
      </c>
      <c r="T14287" s="1095">
        <v>-33.475994</v>
      </c>
    </row>
    <row r="14288" spans="16:20">
      <c r="P14288" s="1094">
        <v>6237</v>
      </c>
      <c r="Q14288" t="s">
        <v>14209</v>
      </c>
      <c r="R14288" t="s">
        <v>480</v>
      </c>
      <c r="S14288">
        <v>115.67405599999999</v>
      </c>
      <c r="T14288" s="1095">
        <v>-33.475994</v>
      </c>
    </row>
    <row r="14289" spans="16:20">
      <c r="P14289" s="1094">
        <v>6237</v>
      </c>
      <c r="Q14289" t="s">
        <v>14210</v>
      </c>
      <c r="R14289" t="s">
        <v>480</v>
      </c>
      <c r="S14289">
        <v>115.67405599999999</v>
      </c>
      <c r="T14289" s="1095">
        <v>-33.475994</v>
      </c>
    </row>
    <row r="14290" spans="16:20">
      <c r="P14290" s="1094">
        <v>6237</v>
      </c>
      <c r="Q14290" t="s">
        <v>14211</v>
      </c>
      <c r="R14290" t="s">
        <v>480</v>
      </c>
      <c r="S14290">
        <v>115.67405599999999</v>
      </c>
      <c r="T14290" s="1095">
        <v>-33.475994</v>
      </c>
    </row>
    <row r="14291" spans="16:20">
      <c r="P14291" s="1094">
        <v>6237</v>
      </c>
      <c r="Q14291" t="s">
        <v>14212</v>
      </c>
      <c r="R14291" t="s">
        <v>480</v>
      </c>
      <c r="S14291">
        <v>115.67405599999999</v>
      </c>
      <c r="T14291" s="1095">
        <v>-33.475994</v>
      </c>
    </row>
    <row r="14292" spans="16:20">
      <c r="P14292" s="1094">
        <v>6237</v>
      </c>
      <c r="Q14292" t="s">
        <v>14213</v>
      </c>
      <c r="R14292" t="s">
        <v>480</v>
      </c>
      <c r="S14292">
        <v>115.67405599999999</v>
      </c>
      <c r="T14292" s="1095">
        <v>-33.475994</v>
      </c>
    </row>
    <row r="14293" spans="16:20">
      <c r="P14293" s="1094">
        <v>6239</v>
      </c>
      <c r="Q14293" t="s">
        <v>2946</v>
      </c>
      <c r="R14293" t="s">
        <v>480</v>
      </c>
      <c r="S14293">
        <v>115.92393300000001</v>
      </c>
      <c r="T14293" s="1095">
        <v>-33.564872000000001</v>
      </c>
    </row>
    <row r="14294" spans="16:20">
      <c r="P14294" s="1094">
        <v>6239</v>
      </c>
      <c r="Q14294" t="s">
        <v>14214</v>
      </c>
      <c r="R14294" t="s">
        <v>480</v>
      </c>
      <c r="S14294">
        <v>115.92393300000001</v>
      </c>
      <c r="T14294" s="1095">
        <v>-33.564872000000001</v>
      </c>
    </row>
    <row r="14295" spans="16:20">
      <c r="P14295" s="1094">
        <v>6239</v>
      </c>
      <c r="Q14295" t="s">
        <v>14215</v>
      </c>
      <c r="R14295" t="s">
        <v>480</v>
      </c>
      <c r="S14295">
        <v>115.92393300000001</v>
      </c>
      <c r="T14295" s="1095">
        <v>-33.564872000000001</v>
      </c>
    </row>
    <row r="14296" spans="16:20">
      <c r="P14296" s="1094">
        <v>6239</v>
      </c>
      <c r="Q14296" t="s">
        <v>14216</v>
      </c>
      <c r="R14296" t="s">
        <v>480</v>
      </c>
      <c r="S14296">
        <v>115.92393300000001</v>
      </c>
      <c r="T14296" s="1095">
        <v>-33.564872000000001</v>
      </c>
    </row>
    <row r="14297" spans="16:20">
      <c r="P14297" s="1094">
        <v>6239</v>
      </c>
      <c r="Q14297" t="s">
        <v>6487</v>
      </c>
      <c r="R14297" t="s">
        <v>480</v>
      </c>
      <c r="S14297">
        <v>115.92393300000001</v>
      </c>
      <c r="T14297" s="1095">
        <v>-33.564872000000001</v>
      </c>
    </row>
    <row r="14298" spans="16:20">
      <c r="P14298" s="1094">
        <v>6239</v>
      </c>
      <c r="Q14298" t="s">
        <v>14217</v>
      </c>
      <c r="R14298" t="s">
        <v>480</v>
      </c>
      <c r="S14298">
        <v>115.92393300000001</v>
      </c>
      <c r="T14298" s="1095">
        <v>-33.564872000000001</v>
      </c>
    </row>
    <row r="14299" spans="16:20">
      <c r="P14299" s="1094">
        <v>6239</v>
      </c>
      <c r="Q14299" t="s">
        <v>14218</v>
      </c>
      <c r="R14299" t="s">
        <v>480</v>
      </c>
      <c r="S14299">
        <v>115.92393300000001</v>
      </c>
      <c r="T14299" s="1095">
        <v>-33.564872000000001</v>
      </c>
    </row>
    <row r="14300" spans="16:20">
      <c r="P14300" s="1094">
        <v>6239</v>
      </c>
      <c r="Q14300" t="s">
        <v>14219</v>
      </c>
      <c r="R14300" t="s">
        <v>480</v>
      </c>
      <c r="S14300">
        <v>115.92393300000001</v>
      </c>
      <c r="T14300" s="1095">
        <v>-33.564872000000001</v>
      </c>
    </row>
    <row r="14301" spans="16:20">
      <c r="P14301" s="1094">
        <v>6239</v>
      </c>
      <c r="Q14301" t="s">
        <v>14220</v>
      </c>
      <c r="R14301" t="s">
        <v>480</v>
      </c>
      <c r="S14301">
        <v>115.92393300000001</v>
      </c>
      <c r="T14301" s="1095">
        <v>-33.564872000000001</v>
      </c>
    </row>
    <row r="14302" spans="16:20">
      <c r="P14302" s="1094">
        <v>6239</v>
      </c>
      <c r="Q14302" t="s">
        <v>14221</v>
      </c>
      <c r="R14302" t="s">
        <v>480</v>
      </c>
      <c r="S14302">
        <v>115.92393300000001</v>
      </c>
      <c r="T14302" s="1095">
        <v>-33.564872000000001</v>
      </c>
    </row>
    <row r="14303" spans="16:20">
      <c r="P14303" s="1094">
        <v>6239</v>
      </c>
      <c r="Q14303" t="s">
        <v>14222</v>
      </c>
      <c r="R14303" t="s">
        <v>480</v>
      </c>
      <c r="S14303">
        <v>115.92393300000001</v>
      </c>
      <c r="T14303" s="1095">
        <v>-33.564872000000001</v>
      </c>
    </row>
    <row r="14304" spans="16:20">
      <c r="P14304" s="1094">
        <v>6240</v>
      </c>
      <c r="Q14304" t="s">
        <v>14223</v>
      </c>
      <c r="R14304" t="s">
        <v>480</v>
      </c>
      <c r="S14304">
        <v>115.966143</v>
      </c>
      <c r="T14304" s="1095">
        <v>-33.549593000000002</v>
      </c>
    </row>
    <row r="14305" spans="16:20">
      <c r="P14305" s="1094">
        <v>6243</v>
      </c>
      <c r="Q14305" t="s">
        <v>14224</v>
      </c>
      <c r="R14305" t="s">
        <v>480</v>
      </c>
      <c r="S14305">
        <v>116.206928</v>
      </c>
      <c r="T14305" s="1095">
        <v>-33.68873</v>
      </c>
    </row>
    <row r="14306" spans="16:20">
      <c r="P14306" s="1094">
        <v>6243</v>
      </c>
      <c r="Q14306" t="s">
        <v>14225</v>
      </c>
      <c r="R14306" t="s">
        <v>480</v>
      </c>
      <c r="S14306">
        <v>116.206928</v>
      </c>
      <c r="T14306" s="1095">
        <v>-33.68873</v>
      </c>
    </row>
    <row r="14307" spans="16:20">
      <c r="P14307" s="1094">
        <v>6244</v>
      </c>
      <c r="Q14307" t="s">
        <v>14226</v>
      </c>
      <c r="R14307" t="s">
        <v>480</v>
      </c>
      <c r="S14307">
        <v>116.506912</v>
      </c>
      <c r="T14307" s="1095">
        <v>-33.783171000000003</v>
      </c>
    </row>
    <row r="14308" spans="16:20">
      <c r="P14308" s="1094">
        <v>6244</v>
      </c>
      <c r="Q14308" t="s">
        <v>14227</v>
      </c>
      <c r="R14308" t="s">
        <v>480</v>
      </c>
      <c r="S14308">
        <v>116.506912</v>
      </c>
      <c r="T14308" s="1095">
        <v>-33.783171000000003</v>
      </c>
    </row>
    <row r="14309" spans="16:20">
      <c r="P14309" s="1094">
        <v>6244</v>
      </c>
      <c r="Q14309" t="s">
        <v>14228</v>
      </c>
      <c r="R14309" t="s">
        <v>480</v>
      </c>
      <c r="S14309">
        <v>116.506912</v>
      </c>
      <c r="T14309" s="1095">
        <v>-33.783171000000003</v>
      </c>
    </row>
    <row r="14310" spans="16:20">
      <c r="P14310" s="1094">
        <v>6244</v>
      </c>
      <c r="Q14310" t="s">
        <v>14229</v>
      </c>
      <c r="R14310" t="s">
        <v>480</v>
      </c>
      <c r="S14310">
        <v>116.506912</v>
      </c>
      <c r="T14310" s="1095">
        <v>-33.783171000000003</v>
      </c>
    </row>
    <row r="14311" spans="16:20">
      <c r="P14311" s="1094">
        <v>6244</v>
      </c>
      <c r="Q14311" t="s">
        <v>14230</v>
      </c>
      <c r="R14311" t="s">
        <v>480</v>
      </c>
      <c r="S14311">
        <v>116.506912</v>
      </c>
      <c r="T14311" s="1095">
        <v>-33.783171000000003</v>
      </c>
    </row>
    <row r="14312" spans="16:20">
      <c r="P14312" s="1094">
        <v>6244</v>
      </c>
      <c r="Q14312" t="s">
        <v>14231</v>
      </c>
      <c r="R14312" t="s">
        <v>480</v>
      </c>
      <c r="S14312">
        <v>116.506912</v>
      </c>
      <c r="T14312" s="1095">
        <v>-33.783171000000003</v>
      </c>
    </row>
    <row r="14313" spans="16:20">
      <c r="P14313" s="1094">
        <v>6244</v>
      </c>
      <c r="Q14313" t="s">
        <v>14232</v>
      </c>
      <c r="R14313" t="s">
        <v>480</v>
      </c>
      <c r="S14313">
        <v>116.506912</v>
      </c>
      <c r="T14313" s="1095">
        <v>-33.783171000000003</v>
      </c>
    </row>
    <row r="14314" spans="16:20">
      <c r="P14314" s="1094">
        <v>6251</v>
      </c>
      <c r="Q14314" t="s">
        <v>14233</v>
      </c>
      <c r="R14314" t="s">
        <v>480</v>
      </c>
      <c r="S14314">
        <v>115.888662</v>
      </c>
      <c r="T14314" s="1095">
        <v>-33.682661000000003</v>
      </c>
    </row>
    <row r="14315" spans="16:20">
      <c r="P14315" s="1094">
        <v>6251</v>
      </c>
      <c r="Q14315" t="s">
        <v>14234</v>
      </c>
      <c r="R14315" t="s">
        <v>480</v>
      </c>
      <c r="S14315">
        <v>115.888662</v>
      </c>
      <c r="T14315" s="1095">
        <v>-33.682661000000003</v>
      </c>
    </row>
    <row r="14316" spans="16:20">
      <c r="P14316" s="1094">
        <v>6251</v>
      </c>
      <c r="Q14316" t="s">
        <v>11788</v>
      </c>
      <c r="R14316" t="s">
        <v>480</v>
      </c>
      <c r="S14316">
        <v>115.888662</v>
      </c>
      <c r="T14316" s="1095">
        <v>-33.682661000000003</v>
      </c>
    </row>
    <row r="14317" spans="16:20">
      <c r="P14317" s="1094">
        <v>6252</v>
      </c>
      <c r="Q14317" t="s">
        <v>14235</v>
      </c>
      <c r="R14317" t="s">
        <v>480</v>
      </c>
      <c r="S14317">
        <v>115.956731</v>
      </c>
      <c r="T14317" s="1095">
        <v>-33.748278999999997</v>
      </c>
    </row>
    <row r="14318" spans="16:20">
      <c r="P14318" s="1094">
        <v>6253</v>
      </c>
      <c r="Q14318" t="s">
        <v>14236</v>
      </c>
      <c r="R14318" t="s">
        <v>480</v>
      </c>
      <c r="S14318">
        <v>116.03654</v>
      </c>
      <c r="T14318" s="1095">
        <v>-33.773936999999997</v>
      </c>
    </row>
    <row r="14319" spans="16:20">
      <c r="P14319" s="1094">
        <v>6253</v>
      </c>
      <c r="Q14319" t="s">
        <v>14237</v>
      </c>
      <c r="R14319" t="s">
        <v>480</v>
      </c>
      <c r="S14319">
        <v>116.03654</v>
      </c>
      <c r="T14319" s="1095">
        <v>-33.773936999999997</v>
      </c>
    </row>
    <row r="14320" spans="16:20">
      <c r="P14320" s="1094">
        <v>6253</v>
      </c>
      <c r="Q14320" t="s">
        <v>14238</v>
      </c>
      <c r="R14320" t="s">
        <v>480</v>
      </c>
      <c r="S14320">
        <v>116.03654</v>
      </c>
      <c r="T14320" s="1095">
        <v>-33.773936999999997</v>
      </c>
    </row>
    <row r="14321" spans="16:20">
      <c r="P14321" s="1094">
        <v>6254</v>
      </c>
      <c r="Q14321" t="s">
        <v>14239</v>
      </c>
      <c r="R14321" t="s">
        <v>480</v>
      </c>
      <c r="S14321">
        <v>116.072643</v>
      </c>
      <c r="T14321" s="1095">
        <v>-33.844405999999999</v>
      </c>
    </row>
    <row r="14322" spans="16:20">
      <c r="P14322" s="1094">
        <v>6254</v>
      </c>
      <c r="Q14322" t="s">
        <v>14240</v>
      </c>
      <c r="R14322" t="s">
        <v>480</v>
      </c>
      <c r="S14322">
        <v>116.072643</v>
      </c>
      <c r="T14322" s="1095">
        <v>-33.844405999999999</v>
      </c>
    </row>
    <row r="14323" spans="16:20">
      <c r="P14323" s="1094">
        <v>6255</v>
      </c>
      <c r="Q14323" t="s">
        <v>14241</v>
      </c>
      <c r="R14323" t="s">
        <v>480</v>
      </c>
      <c r="S14323">
        <v>116.155378</v>
      </c>
      <c r="T14323" s="1095">
        <v>-33.971604999999997</v>
      </c>
    </row>
    <row r="14324" spans="16:20">
      <c r="P14324" s="1094">
        <v>6255</v>
      </c>
      <c r="Q14324" t="s">
        <v>14242</v>
      </c>
      <c r="R14324" t="s">
        <v>480</v>
      </c>
      <c r="S14324">
        <v>116.155378</v>
      </c>
      <c r="T14324" s="1095">
        <v>-33.971604999999997</v>
      </c>
    </row>
    <row r="14325" spans="16:20">
      <c r="P14325" s="1094">
        <v>6255</v>
      </c>
      <c r="Q14325" t="s">
        <v>14243</v>
      </c>
      <c r="R14325" t="s">
        <v>480</v>
      </c>
      <c r="S14325">
        <v>116.155378</v>
      </c>
      <c r="T14325" s="1095">
        <v>-33.971604999999997</v>
      </c>
    </row>
    <row r="14326" spans="16:20">
      <c r="P14326" s="1094">
        <v>6255</v>
      </c>
      <c r="Q14326" t="s">
        <v>14244</v>
      </c>
      <c r="R14326" t="s">
        <v>480</v>
      </c>
      <c r="S14326">
        <v>116.155378</v>
      </c>
      <c r="T14326" s="1095">
        <v>-33.971604999999997</v>
      </c>
    </row>
    <row r="14327" spans="16:20">
      <c r="P14327" s="1094">
        <v>6255</v>
      </c>
      <c r="Q14327" t="s">
        <v>14245</v>
      </c>
      <c r="R14327" t="s">
        <v>480</v>
      </c>
      <c r="S14327">
        <v>116.155378</v>
      </c>
      <c r="T14327" s="1095">
        <v>-33.971604999999997</v>
      </c>
    </row>
    <row r="14328" spans="16:20">
      <c r="P14328" s="1094">
        <v>6255</v>
      </c>
      <c r="Q14328" t="s">
        <v>14246</v>
      </c>
      <c r="R14328" t="s">
        <v>480</v>
      </c>
      <c r="S14328">
        <v>116.155378</v>
      </c>
      <c r="T14328" s="1095">
        <v>-33.971604999999997</v>
      </c>
    </row>
    <row r="14329" spans="16:20">
      <c r="P14329" s="1094">
        <v>6255</v>
      </c>
      <c r="Q14329" t="s">
        <v>14247</v>
      </c>
      <c r="R14329" t="s">
        <v>480</v>
      </c>
      <c r="S14329">
        <v>116.155378</v>
      </c>
      <c r="T14329" s="1095">
        <v>-33.971604999999997</v>
      </c>
    </row>
    <row r="14330" spans="16:20">
      <c r="P14330" s="1094">
        <v>6256</v>
      </c>
      <c r="Q14330" t="s">
        <v>14248</v>
      </c>
      <c r="R14330" t="s">
        <v>480</v>
      </c>
      <c r="S14330">
        <v>116.166583</v>
      </c>
      <c r="T14330" s="1095">
        <v>-34.052334000000002</v>
      </c>
    </row>
    <row r="14331" spans="16:20">
      <c r="P14331" s="1094">
        <v>6256</v>
      </c>
      <c r="Q14331" t="s">
        <v>4811</v>
      </c>
      <c r="R14331" t="s">
        <v>480</v>
      </c>
      <c r="S14331">
        <v>116.166583</v>
      </c>
      <c r="T14331" s="1095">
        <v>-34.052334000000002</v>
      </c>
    </row>
    <row r="14332" spans="16:20">
      <c r="P14332" s="1094">
        <v>6256</v>
      </c>
      <c r="Q14332" t="s">
        <v>14249</v>
      </c>
      <c r="R14332" t="s">
        <v>480</v>
      </c>
      <c r="S14332">
        <v>116.166583</v>
      </c>
      <c r="T14332" s="1095">
        <v>-34.052334000000002</v>
      </c>
    </row>
    <row r="14333" spans="16:20">
      <c r="P14333" s="1094">
        <v>6256</v>
      </c>
      <c r="Q14333" t="s">
        <v>3126</v>
      </c>
      <c r="R14333" t="s">
        <v>480</v>
      </c>
      <c r="S14333">
        <v>116.166583</v>
      </c>
      <c r="T14333" s="1095">
        <v>-34.052334000000002</v>
      </c>
    </row>
    <row r="14334" spans="16:20">
      <c r="P14334" s="1094">
        <v>6256</v>
      </c>
      <c r="Q14334" t="s">
        <v>14250</v>
      </c>
      <c r="R14334" t="s">
        <v>480</v>
      </c>
      <c r="S14334">
        <v>116.166583</v>
      </c>
      <c r="T14334" s="1095">
        <v>-34.052334000000002</v>
      </c>
    </row>
    <row r="14335" spans="16:20">
      <c r="P14335" s="1094">
        <v>6256</v>
      </c>
      <c r="Q14335" t="s">
        <v>14251</v>
      </c>
      <c r="R14335" t="s">
        <v>480</v>
      </c>
      <c r="S14335">
        <v>116.166583</v>
      </c>
      <c r="T14335" s="1095">
        <v>-34.052334000000002</v>
      </c>
    </row>
    <row r="14336" spans="16:20">
      <c r="P14336" s="1094">
        <v>6258</v>
      </c>
      <c r="Q14336" t="s">
        <v>14252</v>
      </c>
      <c r="R14336" t="s">
        <v>480</v>
      </c>
      <c r="S14336">
        <v>116.402179</v>
      </c>
      <c r="T14336" s="1095">
        <v>-34.312823000000002</v>
      </c>
    </row>
    <row r="14337" spans="16:20">
      <c r="P14337" s="1094">
        <v>6258</v>
      </c>
      <c r="Q14337" t="s">
        <v>14253</v>
      </c>
      <c r="R14337" t="s">
        <v>480</v>
      </c>
      <c r="S14337">
        <v>116.402179</v>
      </c>
      <c r="T14337" s="1095">
        <v>-34.312823000000002</v>
      </c>
    </row>
    <row r="14338" spans="16:20">
      <c r="P14338" s="1094">
        <v>6258</v>
      </c>
      <c r="Q14338" t="s">
        <v>14254</v>
      </c>
      <c r="R14338" t="s">
        <v>480</v>
      </c>
      <c r="S14338">
        <v>116.402179</v>
      </c>
      <c r="T14338" s="1095">
        <v>-34.312823000000002</v>
      </c>
    </row>
    <row r="14339" spans="16:20">
      <c r="P14339" s="1094">
        <v>6258</v>
      </c>
      <c r="Q14339" t="s">
        <v>14255</v>
      </c>
      <c r="R14339" t="s">
        <v>480</v>
      </c>
      <c r="S14339">
        <v>116.402179</v>
      </c>
      <c r="T14339" s="1095">
        <v>-34.312823000000002</v>
      </c>
    </row>
    <row r="14340" spans="16:20">
      <c r="P14340" s="1094">
        <v>6258</v>
      </c>
      <c r="Q14340" t="s">
        <v>14256</v>
      </c>
      <c r="R14340" t="s">
        <v>480</v>
      </c>
      <c r="S14340">
        <v>116.402179</v>
      </c>
      <c r="T14340" s="1095">
        <v>-34.312823000000002</v>
      </c>
    </row>
    <row r="14341" spans="16:20">
      <c r="P14341" s="1094">
        <v>6258</v>
      </c>
      <c r="Q14341" t="s">
        <v>14257</v>
      </c>
      <c r="R14341" t="s">
        <v>480</v>
      </c>
      <c r="S14341">
        <v>116.402179</v>
      </c>
      <c r="T14341" s="1095">
        <v>-34.312823000000002</v>
      </c>
    </row>
    <row r="14342" spans="16:20">
      <c r="P14342" s="1094">
        <v>6258</v>
      </c>
      <c r="Q14342" t="s">
        <v>14258</v>
      </c>
      <c r="R14342" t="s">
        <v>480</v>
      </c>
      <c r="S14342">
        <v>116.402179</v>
      </c>
      <c r="T14342" s="1095">
        <v>-34.312823000000002</v>
      </c>
    </row>
    <row r="14343" spans="16:20">
      <c r="P14343" s="1094">
        <v>6258</v>
      </c>
      <c r="Q14343" t="s">
        <v>14259</v>
      </c>
      <c r="R14343" t="s">
        <v>480</v>
      </c>
      <c r="S14343">
        <v>116.402179</v>
      </c>
      <c r="T14343" s="1095">
        <v>-34.312823000000002</v>
      </c>
    </row>
    <row r="14344" spans="16:20">
      <c r="P14344" s="1094">
        <v>6258</v>
      </c>
      <c r="Q14344" t="s">
        <v>14260</v>
      </c>
      <c r="R14344" t="s">
        <v>480</v>
      </c>
      <c r="S14344">
        <v>116.402179</v>
      </c>
      <c r="T14344" s="1095">
        <v>-34.312823000000002</v>
      </c>
    </row>
    <row r="14345" spans="16:20">
      <c r="P14345" s="1094">
        <v>6258</v>
      </c>
      <c r="Q14345" t="s">
        <v>14261</v>
      </c>
      <c r="R14345" t="s">
        <v>480</v>
      </c>
      <c r="S14345">
        <v>116.402179</v>
      </c>
      <c r="T14345" s="1095">
        <v>-34.312823000000002</v>
      </c>
    </row>
    <row r="14346" spans="16:20">
      <c r="P14346" s="1094">
        <v>6258</v>
      </c>
      <c r="Q14346" t="s">
        <v>14262</v>
      </c>
      <c r="R14346" t="s">
        <v>480</v>
      </c>
      <c r="S14346">
        <v>116.402179</v>
      </c>
      <c r="T14346" s="1095">
        <v>-34.312823000000002</v>
      </c>
    </row>
    <row r="14347" spans="16:20">
      <c r="P14347" s="1094">
        <v>6258</v>
      </c>
      <c r="Q14347" t="s">
        <v>14263</v>
      </c>
      <c r="R14347" t="s">
        <v>480</v>
      </c>
      <c r="S14347">
        <v>116.402179</v>
      </c>
      <c r="T14347" s="1095">
        <v>-34.312823000000002</v>
      </c>
    </row>
    <row r="14348" spans="16:20">
      <c r="P14348" s="1094">
        <v>6258</v>
      </c>
      <c r="Q14348" t="s">
        <v>14264</v>
      </c>
      <c r="R14348" t="s">
        <v>480</v>
      </c>
      <c r="S14348">
        <v>116.402179</v>
      </c>
      <c r="T14348" s="1095">
        <v>-34.312823000000002</v>
      </c>
    </row>
    <row r="14349" spans="16:20">
      <c r="P14349" s="1094">
        <v>6258</v>
      </c>
      <c r="Q14349" t="s">
        <v>14265</v>
      </c>
      <c r="R14349" t="s">
        <v>480</v>
      </c>
      <c r="S14349">
        <v>116.402179</v>
      </c>
      <c r="T14349" s="1095">
        <v>-34.312823000000002</v>
      </c>
    </row>
    <row r="14350" spans="16:20">
      <c r="P14350" s="1094">
        <v>6258</v>
      </c>
      <c r="Q14350" t="s">
        <v>14266</v>
      </c>
      <c r="R14350" t="s">
        <v>480</v>
      </c>
      <c r="S14350">
        <v>116.402179</v>
      </c>
      <c r="T14350" s="1095">
        <v>-34.312823000000002</v>
      </c>
    </row>
    <row r="14351" spans="16:20">
      <c r="P14351" s="1094">
        <v>6258</v>
      </c>
      <c r="Q14351" t="s">
        <v>14267</v>
      </c>
      <c r="R14351" t="s">
        <v>480</v>
      </c>
      <c r="S14351">
        <v>116.402179</v>
      </c>
      <c r="T14351" s="1095">
        <v>-34.312823000000002</v>
      </c>
    </row>
    <row r="14352" spans="16:20">
      <c r="P14352" s="1094">
        <v>6258</v>
      </c>
      <c r="Q14352" t="s">
        <v>14268</v>
      </c>
      <c r="R14352" t="s">
        <v>480</v>
      </c>
      <c r="S14352">
        <v>116.402179</v>
      </c>
      <c r="T14352" s="1095">
        <v>-34.312823000000002</v>
      </c>
    </row>
    <row r="14353" spans="16:20">
      <c r="P14353" s="1094">
        <v>6258</v>
      </c>
      <c r="Q14353" t="s">
        <v>14269</v>
      </c>
      <c r="R14353" t="s">
        <v>480</v>
      </c>
      <c r="S14353">
        <v>116.402179</v>
      </c>
      <c r="T14353" s="1095">
        <v>-34.312823000000002</v>
      </c>
    </row>
    <row r="14354" spans="16:20">
      <c r="P14354" s="1094">
        <v>6258</v>
      </c>
      <c r="Q14354" t="s">
        <v>14270</v>
      </c>
      <c r="R14354" t="s">
        <v>480</v>
      </c>
      <c r="S14354">
        <v>116.402179</v>
      </c>
      <c r="T14354" s="1095">
        <v>-34.312823000000002</v>
      </c>
    </row>
    <row r="14355" spans="16:20">
      <c r="P14355" s="1094">
        <v>6258</v>
      </c>
      <c r="Q14355" t="s">
        <v>14271</v>
      </c>
      <c r="R14355" t="s">
        <v>480</v>
      </c>
      <c r="S14355">
        <v>116.402179</v>
      </c>
      <c r="T14355" s="1095">
        <v>-34.312823000000002</v>
      </c>
    </row>
    <row r="14356" spans="16:20">
      <c r="P14356" s="1094">
        <v>6258</v>
      </c>
      <c r="Q14356" t="s">
        <v>14272</v>
      </c>
      <c r="R14356" t="s">
        <v>480</v>
      </c>
      <c r="S14356">
        <v>116.402179</v>
      </c>
      <c r="T14356" s="1095">
        <v>-34.312823000000002</v>
      </c>
    </row>
    <row r="14357" spans="16:20">
      <c r="P14357" s="1094">
        <v>6258</v>
      </c>
      <c r="Q14357" t="s">
        <v>14273</v>
      </c>
      <c r="R14357" t="s">
        <v>480</v>
      </c>
      <c r="S14357">
        <v>116.402179</v>
      </c>
      <c r="T14357" s="1095">
        <v>-34.312823000000002</v>
      </c>
    </row>
    <row r="14358" spans="16:20">
      <c r="P14358" s="1094">
        <v>6258</v>
      </c>
      <c r="Q14358" t="s">
        <v>14274</v>
      </c>
      <c r="R14358" t="s">
        <v>480</v>
      </c>
      <c r="S14358">
        <v>116.402179</v>
      </c>
      <c r="T14358" s="1095">
        <v>-34.312823000000002</v>
      </c>
    </row>
    <row r="14359" spans="16:20">
      <c r="P14359" s="1094">
        <v>6258</v>
      </c>
      <c r="Q14359" t="s">
        <v>14275</v>
      </c>
      <c r="R14359" t="s">
        <v>480</v>
      </c>
      <c r="S14359">
        <v>116.402179</v>
      </c>
      <c r="T14359" s="1095">
        <v>-34.312823000000002</v>
      </c>
    </row>
    <row r="14360" spans="16:20">
      <c r="P14360" s="1094">
        <v>6260</v>
      </c>
      <c r="Q14360" t="s">
        <v>14276</v>
      </c>
      <c r="R14360" t="s">
        <v>480</v>
      </c>
      <c r="S14360">
        <v>115.86062699999999</v>
      </c>
      <c r="T14360" s="1095">
        <v>-34.438738000000001</v>
      </c>
    </row>
    <row r="14361" spans="16:20">
      <c r="P14361" s="1094">
        <v>6260</v>
      </c>
      <c r="Q14361" t="s">
        <v>14277</v>
      </c>
      <c r="R14361" t="s">
        <v>480</v>
      </c>
      <c r="S14361">
        <v>115.86062699999999</v>
      </c>
      <c r="T14361" s="1095">
        <v>-34.438738000000001</v>
      </c>
    </row>
    <row r="14362" spans="16:20">
      <c r="P14362" s="1094">
        <v>6260</v>
      </c>
      <c r="Q14362" t="s">
        <v>14278</v>
      </c>
      <c r="R14362" t="s">
        <v>480</v>
      </c>
      <c r="S14362">
        <v>115.86062699999999</v>
      </c>
      <c r="T14362" s="1095">
        <v>-34.438738000000001</v>
      </c>
    </row>
    <row r="14363" spans="16:20">
      <c r="P14363" s="1094">
        <v>6260</v>
      </c>
      <c r="Q14363" t="s">
        <v>14279</v>
      </c>
      <c r="R14363" t="s">
        <v>480</v>
      </c>
      <c r="S14363">
        <v>115.86062699999999</v>
      </c>
      <c r="T14363" s="1095">
        <v>-34.438738000000001</v>
      </c>
    </row>
    <row r="14364" spans="16:20">
      <c r="P14364" s="1094">
        <v>6260</v>
      </c>
      <c r="Q14364" t="s">
        <v>14280</v>
      </c>
      <c r="R14364" t="s">
        <v>480</v>
      </c>
      <c r="S14364">
        <v>115.86062699999999</v>
      </c>
      <c r="T14364" s="1095">
        <v>-34.438738000000001</v>
      </c>
    </row>
    <row r="14365" spans="16:20">
      <c r="P14365" s="1094">
        <v>6260</v>
      </c>
      <c r="Q14365" t="s">
        <v>14281</v>
      </c>
      <c r="R14365" t="s">
        <v>480</v>
      </c>
      <c r="S14365">
        <v>115.86062699999999</v>
      </c>
      <c r="T14365" s="1095">
        <v>-34.438738000000001</v>
      </c>
    </row>
    <row r="14366" spans="16:20">
      <c r="P14366" s="1094">
        <v>6260</v>
      </c>
      <c r="Q14366" t="s">
        <v>14282</v>
      </c>
      <c r="R14366" t="s">
        <v>480</v>
      </c>
      <c r="S14366">
        <v>115.86062699999999</v>
      </c>
      <c r="T14366" s="1095">
        <v>-34.438738000000001</v>
      </c>
    </row>
    <row r="14367" spans="16:20">
      <c r="P14367" s="1094">
        <v>6260</v>
      </c>
      <c r="Q14367" t="s">
        <v>14283</v>
      </c>
      <c r="R14367" t="s">
        <v>480</v>
      </c>
      <c r="S14367">
        <v>115.86062699999999</v>
      </c>
      <c r="T14367" s="1095">
        <v>-34.438738000000001</v>
      </c>
    </row>
    <row r="14368" spans="16:20">
      <c r="P14368" s="1094">
        <v>6260</v>
      </c>
      <c r="Q14368" t="s">
        <v>14284</v>
      </c>
      <c r="R14368" t="s">
        <v>480</v>
      </c>
      <c r="S14368">
        <v>115.86062699999999</v>
      </c>
      <c r="T14368" s="1095">
        <v>-34.438738000000001</v>
      </c>
    </row>
    <row r="14369" spans="16:20">
      <c r="P14369" s="1094">
        <v>6260</v>
      </c>
      <c r="Q14369" t="s">
        <v>14285</v>
      </c>
      <c r="R14369" t="s">
        <v>480</v>
      </c>
      <c r="S14369">
        <v>115.86062699999999</v>
      </c>
      <c r="T14369" s="1095">
        <v>-34.438738000000001</v>
      </c>
    </row>
    <row r="14370" spans="16:20">
      <c r="P14370" s="1094">
        <v>6260</v>
      </c>
      <c r="Q14370" t="s">
        <v>14286</v>
      </c>
      <c r="R14370" t="s">
        <v>480</v>
      </c>
      <c r="S14370">
        <v>115.86062699999999</v>
      </c>
      <c r="T14370" s="1095">
        <v>-34.438738000000001</v>
      </c>
    </row>
    <row r="14371" spans="16:20">
      <c r="P14371" s="1094">
        <v>6262</v>
      </c>
      <c r="Q14371" t="s">
        <v>14287</v>
      </c>
      <c r="R14371" t="s">
        <v>480</v>
      </c>
      <c r="S14371">
        <v>116.141244</v>
      </c>
      <c r="T14371" s="1095">
        <v>-34.706105999999998</v>
      </c>
    </row>
    <row r="14372" spans="16:20">
      <c r="P14372" s="1094">
        <v>6262</v>
      </c>
      <c r="Q14372" t="s">
        <v>14288</v>
      </c>
      <c r="R14372" t="s">
        <v>480</v>
      </c>
      <c r="S14372">
        <v>116.141244</v>
      </c>
      <c r="T14372" s="1095">
        <v>-34.706105999999998</v>
      </c>
    </row>
    <row r="14373" spans="16:20">
      <c r="P14373" s="1094">
        <v>6262</v>
      </c>
      <c r="Q14373" t="s">
        <v>14289</v>
      </c>
      <c r="R14373" t="s">
        <v>480</v>
      </c>
      <c r="S14373">
        <v>116.141244</v>
      </c>
      <c r="T14373" s="1095">
        <v>-34.706105999999998</v>
      </c>
    </row>
    <row r="14374" spans="16:20">
      <c r="P14374" s="1094">
        <v>6262</v>
      </c>
      <c r="Q14374" t="s">
        <v>14290</v>
      </c>
      <c r="R14374" t="s">
        <v>480</v>
      </c>
      <c r="S14374">
        <v>116.141244</v>
      </c>
      <c r="T14374" s="1095">
        <v>-34.706105999999998</v>
      </c>
    </row>
    <row r="14375" spans="16:20">
      <c r="P14375" s="1094">
        <v>6262</v>
      </c>
      <c r="Q14375" t="s">
        <v>14291</v>
      </c>
      <c r="R14375" t="s">
        <v>480</v>
      </c>
      <c r="S14375">
        <v>116.141244</v>
      </c>
      <c r="T14375" s="1095">
        <v>-34.706105999999998</v>
      </c>
    </row>
    <row r="14376" spans="16:20">
      <c r="P14376" s="1094">
        <v>6271</v>
      </c>
      <c r="Q14376" t="s">
        <v>14292</v>
      </c>
      <c r="R14376" t="s">
        <v>480</v>
      </c>
      <c r="S14376">
        <v>115.615674</v>
      </c>
      <c r="T14376" s="1095">
        <v>-33.621175999999998</v>
      </c>
    </row>
    <row r="14377" spans="16:20">
      <c r="P14377" s="1094">
        <v>6271</v>
      </c>
      <c r="Q14377" t="s">
        <v>14293</v>
      </c>
      <c r="R14377" t="s">
        <v>480</v>
      </c>
      <c r="S14377">
        <v>115.615674</v>
      </c>
      <c r="T14377" s="1095">
        <v>-33.621175999999998</v>
      </c>
    </row>
    <row r="14378" spans="16:20">
      <c r="P14378" s="1094">
        <v>6271</v>
      </c>
      <c r="Q14378" t="s">
        <v>12024</v>
      </c>
      <c r="R14378" t="s">
        <v>480</v>
      </c>
      <c r="S14378">
        <v>115.615674</v>
      </c>
      <c r="T14378" s="1095">
        <v>-33.621175999999998</v>
      </c>
    </row>
    <row r="14379" spans="16:20">
      <c r="P14379" s="1094">
        <v>6271</v>
      </c>
      <c r="Q14379" t="s">
        <v>14294</v>
      </c>
      <c r="R14379" t="s">
        <v>480</v>
      </c>
      <c r="S14379">
        <v>115.615674</v>
      </c>
      <c r="T14379" s="1095">
        <v>-33.621175999999998</v>
      </c>
    </row>
    <row r="14380" spans="16:20">
      <c r="P14380" s="1094">
        <v>6271</v>
      </c>
      <c r="Q14380" t="s">
        <v>14295</v>
      </c>
      <c r="R14380" t="s">
        <v>480</v>
      </c>
      <c r="S14380">
        <v>115.615674</v>
      </c>
      <c r="T14380" s="1095">
        <v>-33.621175999999998</v>
      </c>
    </row>
    <row r="14381" spans="16:20">
      <c r="P14381" s="1094">
        <v>6275</v>
      </c>
      <c r="Q14381" t="s">
        <v>14296</v>
      </c>
      <c r="R14381" t="s">
        <v>480</v>
      </c>
      <c r="S14381">
        <v>115.626518</v>
      </c>
      <c r="T14381" s="1095">
        <v>-34.055304</v>
      </c>
    </row>
    <row r="14382" spans="16:20">
      <c r="P14382" s="1094">
        <v>6275</v>
      </c>
      <c r="Q14382" t="s">
        <v>14297</v>
      </c>
      <c r="R14382" t="s">
        <v>480</v>
      </c>
      <c r="S14382">
        <v>115.626518</v>
      </c>
      <c r="T14382" s="1095">
        <v>-34.055304</v>
      </c>
    </row>
    <row r="14383" spans="16:20">
      <c r="P14383" s="1094">
        <v>6275</v>
      </c>
      <c r="Q14383" t="s">
        <v>14298</v>
      </c>
      <c r="R14383" t="s">
        <v>480</v>
      </c>
      <c r="S14383">
        <v>115.626518</v>
      </c>
      <c r="T14383" s="1095">
        <v>-34.055304</v>
      </c>
    </row>
    <row r="14384" spans="16:20">
      <c r="P14384" s="1094">
        <v>6275</v>
      </c>
      <c r="Q14384" t="s">
        <v>14299</v>
      </c>
      <c r="R14384" t="s">
        <v>480</v>
      </c>
      <c r="S14384">
        <v>115.626518</v>
      </c>
      <c r="T14384" s="1095">
        <v>-34.055304</v>
      </c>
    </row>
    <row r="14385" spans="16:20">
      <c r="P14385" s="1094">
        <v>6275</v>
      </c>
      <c r="Q14385" t="s">
        <v>14300</v>
      </c>
      <c r="R14385" t="s">
        <v>480</v>
      </c>
      <c r="S14385">
        <v>115.626518</v>
      </c>
      <c r="T14385" s="1095">
        <v>-34.055304</v>
      </c>
    </row>
    <row r="14386" spans="16:20">
      <c r="P14386" s="1094">
        <v>6275</v>
      </c>
      <c r="Q14386" t="s">
        <v>14301</v>
      </c>
      <c r="R14386" t="s">
        <v>480</v>
      </c>
      <c r="S14386">
        <v>115.626518</v>
      </c>
      <c r="T14386" s="1095">
        <v>-34.055304</v>
      </c>
    </row>
    <row r="14387" spans="16:20">
      <c r="P14387" s="1094">
        <v>6275</v>
      </c>
      <c r="Q14387" t="s">
        <v>14302</v>
      </c>
      <c r="R14387" t="s">
        <v>480</v>
      </c>
      <c r="S14387">
        <v>115.626518</v>
      </c>
      <c r="T14387" s="1095">
        <v>-34.055304</v>
      </c>
    </row>
    <row r="14388" spans="16:20">
      <c r="P14388" s="1094">
        <v>6275</v>
      </c>
      <c r="Q14388" t="s">
        <v>14303</v>
      </c>
      <c r="R14388" t="s">
        <v>480</v>
      </c>
      <c r="S14388">
        <v>115.626518</v>
      </c>
      <c r="T14388" s="1095">
        <v>-34.055304</v>
      </c>
    </row>
    <row r="14389" spans="16:20">
      <c r="P14389" s="1094">
        <v>6275</v>
      </c>
      <c r="Q14389" t="s">
        <v>14304</v>
      </c>
      <c r="R14389" t="s">
        <v>480</v>
      </c>
      <c r="S14389">
        <v>115.626518</v>
      </c>
      <c r="T14389" s="1095">
        <v>-34.055304</v>
      </c>
    </row>
    <row r="14390" spans="16:20">
      <c r="P14390" s="1094">
        <v>6275</v>
      </c>
      <c r="Q14390" t="s">
        <v>14305</v>
      </c>
      <c r="R14390" t="s">
        <v>480</v>
      </c>
      <c r="S14390">
        <v>115.626518</v>
      </c>
      <c r="T14390" s="1095">
        <v>-34.055304</v>
      </c>
    </row>
    <row r="14391" spans="16:20">
      <c r="P14391" s="1094">
        <v>6280</v>
      </c>
      <c r="Q14391" t="s">
        <v>14306</v>
      </c>
      <c r="R14391" t="s">
        <v>480</v>
      </c>
      <c r="S14391">
        <v>115.30273200000001</v>
      </c>
      <c r="T14391" s="1095">
        <v>-33.728945000000003</v>
      </c>
    </row>
    <row r="14392" spans="16:20">
      <c r="P14392" s="1094">
        <v>6280</v>
      </c>
      <c r="Q14392" t="s">
        <v>14307</v>
      </c>
      <c r="R14392" t="s">
        <v>480</v>
      </c>
      <c r="S14392">
        <v>115.30273200000001</v>
      </c>
      <c r="T14392" s="1095">
        <v>-33.728945000000003</v>
      </c>
    </row>
    <row r="14393" spans="16:20">
      <c r="P14393" s="1094">
        <v>6280</v>
      </c>
      <c r="Q14393" t="s">
        <v>14308</v>
      </c>
      <c r="R14393" t="s">
        <v>480</v>
      </c>
      <c r="S14393">
        <v>115.30273200000001</v>
      </c>
      <c r="T14393" s="1095">
        <v>-33.728945000000003</v>
      </c>
    </row>
    <row r="14394" spans="16:20">
      <c r="P14394" s="1094">
        <v>6280</v>
      </c>
      <c r="Q14394" t="s">
        <v>14309</v>
      </c>
      <c r="R14394" t="s">
        <v>480</v>
      </c>
      <c r="S14394">
        <v>115.30273200000001</v>
      </c>
      <c r="T14394" s="1095">
        <v>-33.728945000000003</v>
      </c>
    </row>
    <row r="14395" spans="16:20">
      <c r="P14395" s="1094">
        <v>6280</v>
      </c>
      <c r="Q14395" t="s">
        <v>14310</v>
      </c>
      <c r="R14395" t="s">
        <v>480</v>
      </c>
      <c r="S14395">
        <v>115.30273200000001</v>
      </c>
      <c r="T14395" s="1095">
        <v>-33.728945000000003</v>
      </c>
    </row>
    <row r="14396" spans="16:20">
      <c r="P14396" s="1094">
        <v>6280</v>
      </c>
      <c r="Q14396" t="s">
        <v>14311</v>
      </c>
      <c r="R14396" t="s">
        <v>480</v>
      </c>
      <c r="S14396">
        <v>115.30273200000001</v>
      </c>
      <c r="T14396" s="1095">
        <v>-33.728945000000003</v>
      </c>
    </row>
    <row r="14397" spans="16:20">
      <c r="P14397" s="1094">
        <v>6280</v>
      </c>
      <c r="Q14397" t="s">
        <v>14312</v>
      </c>
      <c r="R14397" t="s">
        <v>480</v>
      </c>
      <c r="S14397">
        <v>115.30273200000001</v>
      </c>
      <c r="T14397" s="1095">
        <v>-33.728945000000003</v>
      </c>
    </row>
    <row r="14398" spans="16:20">
      <c r="P14398" s="1094">
        <v>6280</v>
      </c>
      <c r="Q14398" t="s">
        <v>3884</v>
      </c>
      <c r="R14398" t="s">
        <v>480</v>
      </c>
      <c r="S14398">
        <v>115.30273200000001</v>
      </c>
      <c r="T14398" s="1095">
        <v>-33.728945000000003</v>
      </c>
    </row>
    <row r="14399" spans="16:20">
      <c r="P14399" s="1094">
        <v>6280</v>
      </c>
      <c r="Q14399" t="s">
        <v>14313</v>
      </c>
      <c r="R14399" t="s">
        <v>480</v>
      </c>
      <c r="S14399">
        <v>115.30273200000001</v>
      </c>
      <c r="T14399" s="1095">
        <v>-33.728945000000003</v>
      </c>
    </row>
    <row r="14400" spans="16:20">
      <c r="P14400" s="1094">
        <v>6280</v>
      </c>
      <c r="Q14400" t="s">
        <v>14314</v>
      </c>
      <c r="R14400" t="s">
        <v>480</v>
      </c>
      <c r="S14400">
        <v>115.30273200000001</v>
      </c>
      <c r="T14400" s="1095">
        <v>-33.728945000000003</v>
      </c>
    </row>
    <row r="14401" spans="16:20">
      <c r="P14401" s="1094">
        <v>6280</v>
      </c>
      <c r="Q14401" t="s">
        <v>14315</v>
      </c>
      <c r="R14401" t="s">
        <v>480</v>
      </c>
      <c r="S14401">
        <v>115.30273200000001</v>
      </c>
      <c r="T14401" s="1095">
        <v>-33.728945000000003</v>
      </c>
    </row>
    <row r="14402" spans="16:20">
      <c r="P14402" s="1094">
        <v>6280</v>
      </c>
      <c r="Q14402" t="s">
        <v>14316</v>
      </c>
      <c r="R14402" t="s">
        <v>480</v>
      </c>
      <c r="S14402">
        <v>115.30273200000001</v>
      </c>
      <c r="T14402" s="1095">
        <v>-33.728945000000003</v>
      </c>
    </row>
    <row r="14403" spans="16:20">
      <c r="P14403" s="1094">
        <v>6280</v>
      </c>
      <c r="Q14403" t="s">
        <v>14317</v>
      </c>
      <c r="R14403" t="s">
        <v>480</v>
      </c>
      <c r="S14403">
        <v>115.30273200000001</v>
      </c>
      <c r="T14403" s="1095">
        <v>-33.728945000000003</v>
      </c>
    </row>
    <row r="14404" spans="16:20">
      <c r="P14404" s="1094">
        <v>6280</v>
      </c>
      <c r="Q14404" t="s">
        <v>14318</v>
      </c>
      <c r="R14404" t="s">
        <v>480</v>
      </c>
      <c r="S14404">
        <v>115.30273200000001</v>
      </c>
      <c r="T14404" s="1095">
        <v>-33.728945000000003</v>
      </c>
    </row>
    <row r="14405" spans="16:20">
      <c r="P14405" s="1094">
        <v>6280</v>
      </c>
      <c r="Q14405" t="s">
        <v>14319</v>
      </c>
      <c r="R14405" t="s">
        <v>480</v>
      </c>
      <c r="S14405">
        <v>115.30273200000001</v>
      </c>
      <c r="T14405" s="1095">
        <v>-33.728945000000003</v>
      </c>
    </row>
    <row r="14406" spans="16:20">
      <c r="P14406" s="1094">
        <v>6280</v>
      </c>
      <c r="Q14406" t="s">
        <v>14320</v>
      </c>
      <c r="R14406" t="s">
        <v>480</v>
      </c>
      <c r="S14406">
        <v>115.30273200000001</v>
      </c>
      <c r="T14406" s="1095">
        <v>-33.728945000000003</v>
      </c>
    </row>
    <row r="14407" spans="16:20">
      <c r="P14407" s="1094">
        <v>6280</v>
      </c>
      <c r="Q14407" t="s">
        <v>14321</v>
      </c>
      <c r="R14407" t="s">
        <v>480</v>
      </c>
      <c r="S14407">
        <v>115.30273200000001</v>
      </c>
      <c r="T14407" s="1095">
        <v>-33.728945000000003</v>
      </c>
    </row>
    <row r="14408" spans="16:20">
      <c r="P14408" s="1094">
        <v>6280</v>
      </c>
      <c r="Q14408" t="s">
        <v>14322</v>
      </c>
      <c r="R14408" t="s">
        <v>480</v>
      </c>
      <c r="S14408">
        <v>115.30273200000001</v>
      </c>
      <c r="T14408" s="1095">
        <v>-33.728945000000003</v>
      </c>
    </row>
    <row r="14409" spans="16:20">
      <c r="P14409" s="1094">
        <v>6280</v>
      </c>
      <c r="Q14409" t="s">
        <v>14323</v>
      </c>
      <c r="R14409" t="s">
        <v>480</v>
      </c>
      <c r="S14409">
        <v>115.30273200000001</v>
      </c>
      <c r="T14409" s="1095">
        <v>-33.728945000000003</v>
      </c>
    </row>
    <row r="14410" spans="16:20">
      <c r="P14410" s="1094">
        <v>6280</v>
      </c>
      <c r="Q14410" t="s">
        <v>14324</v>
      </c>
      <c r="R14410" t="s">
        <v>480</v>
      </c>
      <c r="S14410">
        <v>115.30273200000001</v>
      </c>
      <c r="T14410" s="1095">
        <v>-33.728945000000003</v>
      </c>
    </row>
    <row r="14411" spans="16:20">
      <c r="P14411" s="1094">
        <v>6280</v>
      </c>
      <c r="Q14411" t="s">
        <v>14325</v>
      </c>
      <c r="R14411" t="s">
        <v>480</v>
      </c>
      <c r="S14411">
        <v>115.30273200000001</v>
      </c>
      <c r="T14411" s="1095">
        <v>-33.728945000000003</v>
      </c>
    </row>
    <row r="14412" spans="16:20">
      <c r="P14412" s="1094">
        <v>6280</v>
      </c>
      <c r="Q14412" t="s">
        <v>14326</v>
      </c>
      <c r="R14412" t="s">
        <v>480</v>
      </c>
      <c r="S14412">
        <v>115.30273200000001</v>
      </c>
      <c r="T14412" s="1095">
        <v>-33.728945000000003</v>
      </c>
    </row>
    <row r="14413" spans="16:20">
      <c r="P14413" s="1094">
        <v>6280</v>
      </c>
      <c r="Q14413" t="s">
        <v>14327</v>
      </c>
      <c r="R14413" t="s">
        <v>480</v>
      </c>
      <c r="S14413">
        <v>115.30273200000001</v>
      </c>
      <c r="T14413" s="1095">
        <v>-33.728945000000003</v>
      </c>
    </row>
    <row r="14414" spans="16:20">
      <c r="P14414" s="1094">
        <v>6280</v>
      </c>
      <c r="Q14414" t="s">
        <v>14328</v>
      </c>
      <c r="R14414" t="s">
        <v>480</v>
      </c>
      <c r="S14414">
        <v>115.30273200000001</v>
      </c>
      <c r="T14414" s="1095">
        <v>-33.728945000000003</v>
      </c>
    </row>
    <row r="14415" spans="16:20">
      <c r="P14415" s="1094">
        <v>6280</v>
      </c>
      <c r="Q14415" t="s">
        <v>14329</v>
      </c>
      <c r="R14415" t="s">
        <v>480</v>
      </c>
      <c r="S14415">
        <v>115.30273200000001</v>
      </c>
      <c r="T14415" s="1095">
        <v>-33.728945000000003</v>
      </c>
    </row>
    <row r="14416" spans="16:20">
      <c r="P14416" s="1094">
        <v>6280</v>
      </c>
      <c r="Q14416" t="s">
        <v>14330</v>
      </c>
      <c r="R14416" t="s">
        <v>480</v>
      </c>
      <c r="S14416">
        <v>115.30273200000001</v>
      </c>
      <c r="T14416" s="1095">
        <v>-33.728945000000003</v>
      </c>
    </row>
    <row r="14417" spans="16:20">
      <c r="P14417" s="1094">
        <v>6280</v>
      </c>
      <c r="Q14417" t="s">
        <v>14331</v>
      </c>
      <c r="R14417" t="s">
        <v>480</v>
      </c>
      <c r="S14417">
        <v>115.30273200000001</v>
      </c>
      <c r="T14417" s="1095">
        <v>-33.728945000000003</v>
      </c>
    </row>
    <row r="14418" spans="16:20">
      <c r="P14418" s="1094">
        <v>6280</v>
      </c>
      <c r="Q14418" t="s">
        <v>14332</v>
      </c>
      <c r="R14418" t="s">
        <v>480</v>
      </c>
      <c r="S14418">
        <v>115.30273200000001</v>
      </c>
      <c r="T14418" s="1095">
        <v>-33.728945000000003</v>
      </c>
    </row>
    <row r="14419" spans="16:20">
      <c r="P14419" s="1094">
        <v>6280</v>
      </c>
      <c r="Q14419" t="s">
        <v>14333</v>
      </c>
      <c r="R14419" t="s">
        <v>480</v>
      </c>
      <c r="S14419">
        <v>115.30273200000001</v>
      </c>
      <c r="T14419" s="1095">
        <v>-33.728945000000003</v>
      </c>
    </row>
    <row r="14420" spans="16:20">
      <c r="P14420" s="1094">
        <v>6280</v>
      </c>
      <c r="Q14420" t="s">
        <v>14334</v>
      </c>
      <c r="R14420" t="s">
        <v>480</v>
      </c>
      <c r="S14420">
        <v>115.30273200000001</v>
      </c>
      <c r="T14420" s="1095">
        <v>-33.728945000000003</v>
      </c>
    </row>
    <row r="14421" spans="16:20">
      <c r="P14421" s="1094">
        <v>6280</v>
      </c>
      <c r="Q14421" t="s">
        <v>14335</v>
      </c>
      <c r="R14421" t="s">
        <v>480</v>
      </c>
      <c r="S14421">
        <v>115.30273200000001</v>
      </c>
      <c r="T14421" s="1095">
        <v>-33.728945000000003</v>
      </c>
    </row>
    <row r="14422" spans="16:20">
      <c r="P14422" s="1094">
        <v>6280</v>
      </c>
      <c r="Q14422" t="s">
        <v>14336</v>
      </c>
      <c r="R14422" t="s">
        <v>480</v>
      </c>
      <c r="S14422">
        <v>115.30273200000001</v>
      </c>
      <c r="T14422" s="1095">
        <v>-33.728945000000003</v>
      </c>
    </row>
    <row r="14423" spans="16:20">
      <c r="P14423" s="1094">
        <v>6280</v>
      </c>
      <c r="Q14423" t="s">
        <v>14337</v>
      </c>
      <c r="R14423" t="s">
        <v>480</v>
      </c>
      <c r="S14423">
        <v>115.30273200000001</v>
      </c>
      <c r="T14423" s="1095">
        <v>-33.728945000000003</v>
      </c>
    </row>
    <row r="14424" spans="16:20">
      <c r="P14424" s="1094">
        <v>6280</v>
      </c>
      <c r="Q14424" t="s">
        <v>14338</v>
      </c>
      <c r="R14424" t="s">
        <v>480</v>
      </c>
      <c r="S14424">
        <v>115.30273200000001</v>
      </c>
      <c r="T14424" s="1095">
        <v>-33.728945000000003</v>
      </c>
    </row>
    <row r="14425" spans="16:20">
      <c r="P14425" s="1094">
        <v>6281</v>
      </c>
      <c r="Q14425" t="s">
        <v>14339</v>
      </c>
      <c r="R14425" t="s">
        <v>480</v>
      </c>
      <c r="S14425">
        <v>115.07680000000001</v>
      </c>
      <c r="T14425" s="1095">
        <v>-33.610787000000002</v>
      </c>
    </row>
    <row r="14426" spans="16:20">
      <c r="P14426" s="1094">
        <v>6281</v>
      </c>
      <c r="Q14426" t="s">
        <v>14340</v>
      </c>
      <c r="R14426" t="s">
        <v>480</v>
      </c>
      <c r="S14426">
        <v>115.07680000000001</v>
      </c>
      <c r="T14426" s="1095">
        <v>-33.610787000000002</v>
      </c>
    </row>
    <row r="14427" spans="16:20">
      <c r="P14427" s="1094">
        <v>6281</v>
      </c>
      <c r="Q14427" t="s">
        <v>14341</v>
      </c>
      <c r="R14427" t="s">
        <v>480</v>
      </c>
      <c r="S14427">
        <v>115.07680000000001</v>
      </c>
      <c r="T14427" s="1095">
        <v>-33.610787000000002</v>
      </c>
    </row>
    <row r="14428" spans="16:20">
      <c r="P14428" s="1094">
        <v>6281</v>
      </c>
      <c r="Q14428" t="s">
        <v>14342</v>
      </c>
      <c r="R14428" t="s">
        <v>480</v>
      </c>
      <c r="S14428">
        <v>115.07680000000001</v>
      </c>
      <c r="T14428" s="1095">
        <v>-33.610787000000002</v>
      </c>
    </row>
    <row r="14429" spans="16:20">
      <c r="P14429" s="1094">
        <v>6281</v>
      </c>
      <c r="Q14429" t="s">
        <v>14343</v>
      </c>
      <c r="R14429" t="s">
        <v>480</v>
      </c>
      <c r="S14429">
        <v>115.07680000000001</v>
      </c>
      <c r="T14429" s="1095">
        <v>-33.610787000000002</v>
      </c>
    </row>
    <row r="14430" spans="16:20">
      <c r="P14430" s="1094">
        <v>6282</v>
      </c>
      <c r="Q14430" t="s">
        <v>14344</v>
      </c>
      <c r="R14430" t="s">
        <v>480</v>
      </c>
      <c r="S14430">
        <v>115.023916</v>
      </c>
      <c r="T14430" s="1095">
        <v>-33.722884999999998</v>
      </c>
    </row>
    <row r="14431" spans="16:20">
      <c r="P14431" s="1094">
        <v>6282</v>
      </c>
      <c r="Q14431" t="s">
        <v>14345</v>
      </c>
      <c r="R14431" t="s">
        <v>480</v>
      </c>
      <c r="S14431">
        <v>115.023916</v>
      </c>
      <c r="T14431" s="1095">
        <v>-33.722884999999998</v>
      </c>
    </row>
    <row r="14432" spans="16:20">
      <c r="P14432" s="1094">
        <v>6284</v>
      </c>
      <c r="Q14432" t="s">
        <v>14346</v>
      </c>
      <c r="R14432" t="s">
        <v>480</v>
      </c>
      <c r="S14432">
        <v>115.188682</v>
      </c>
      <c r="T14432" s="1095">
        <v>-33.857590999999999</v>
      </c>
    </row>
    <row r="14433" spans="16:20">
      <c r="P14433" s="1094">
        <v>6284</v>
      </c>
      <c r="Q14433" t="s">
        <v>14347</v>
      </c>
      <c r="R14433" t="s">
        <v>480</v>
      </c>
      <c r="S14433">
        <v>115.188682</v>
      </c>
      <c r="T14433" s="1095">
        <v>-33.857590999999999</v>
      </c>
    </row>
    <row r="14434" spans="16:20">
      <c r="P14434" s="1094">
        <v>6284</v>
      </c>
      <c r="Q14434" t="s">
        <v>14348</v>
      </c>
      <c r="R14434" t="s">
        <v>480</v>
      </c>
      <c r="S14434">
        <v>115.188682</v>
      </c>
      <c r="T14434" s="1095">
        <v>-33.857590999999999</v>
      </c>
    </row>
    <row r="14435" spans="16:20">
      <c r="P14435" s="1094">
        <v>6284</v>
      </c>
      <c r="Q14435" t="s">
        <v>14349</v>
      </c>
      <c r="R14435" t="s">
        <v>480</v>
      </c>
      <c r="S14435">
        <v>115.188682</v>
      </c>
      <c r="T14435" s="1095">
        <v>-33.857590999999999</v>
      </c>
    </row>
    <row r="14436" spans="16:20">
      <c r="P14436" s="1094">
        <v>6285</v>
      </c>
      <c r="Q14436" t="s">
        <v>14350</v>
      </c>
      <c r="R14436" t="s">
        <v>480</v>
      </c>
      <c r="S14436">
        <v>115.28097200000001</v>
      </c>
      <c r="T14436" s="1095">
        <v>-33.941350999999997</v>
      </c>
    </row>
    <row r="14437" spans="16:20">
      <c r="P14437" s="1094">
        <v>6285</v>
      </c>
      <c r="Q14437" t="s">
        <v>6389</v>
      </c>
      <c r="R14437" t="s">
        <v>480</v>
      </c>
      <c r="S14437">
        <v>115.28097200000001</v>
      </c>
      <c r="T14437" s="1095">
        <v>-33.941350999999997</v>
      </c>
    </row>
    <row r="14438" spans="16:20">
      <c r="P14438" s="1094">
        <v>6285</v>
      </c>
      <c r="Q14438" t="s">
        <v>14351</v>
      </c>
      <c r="R14438" t="s">
        <v>480</v>
      </c>
      <c r="S14438">
        <v>115.28097200000001</v>
      </c>
      <c r="T14438" s="1095">
        <v>-33.941350999999997</v>
      </c>
    </row>
    <row r="14439" spans="16:20">
      <c r="P14439" s="1094">
        <v>6285</v>
      </c>
      <c r="Q14439" t="s">
        <v>14352</v>
      </c>
      <c r="R14439" t="s">
        <v>480</v>
      </c>
      <c r="S14439">
        <v>115.28097200000001</v>
      </c>
      <c r="T14439" s="1095">
        <v>-33.941350999999997</v>
      </c>
    </row>
    <row r="14440" spans="16:20">
      <c r="P14440" s="1094">
        <v>6285</v>
      </c>
      <c r="Q14440" t="s">
        <v>14353</v>
      </c>
      <c r="R14440" t="s">
        <v>480</v>
      </c>
      <c r="S14440">
        <v>115.28097200000001</v>
      </c>
      <c r="T14440" s="1095">
        <v>-33.941350999999997</v>
      </c>
    </row>
    <row r="14441" spans="16:20">
      <c r="P14441" s="1094">
        <v>6285</v>
      </c>
      <c r="Q14441" t="s">
        <v>14354</v>
      </c>
      <c r="R14441" t="s">
        <v>480</v>
      </c>
      <c r="S14441">
        <v>115.28097200000001</v>
      </c>
      <c r="T14441" s="1095">
        <v>-33.941350999999997</v>
      </c>
    </row>
    <row r="14442" spans="16:20">
      <c r="P14442" s="1094">
        <v>6285</v>
      </c>
      <c r="Q14442" t="s">
        <v>14355</v>
      </c>
      <c r="R14442" t="s">
        <v>480</v>
      </c>
      <c r="S14442">
        <v>115.28097200000001</v>
      </c>
      <c r="T14442" s="1095">
        <v>-33.941350999999997</v>
      </c>
    </row>
    <row r="14443" spans="16:20">
      <c r="P14443" s="1094">
        <v>6285</v>
      </c>
      <c r="Q14443" t="s">
        <v>14356</v>
      </c>
      <c r="R14443" t="s">
        <v>480</v>
      </c>
      <c r="S14443">
        <v>115.28097200000001</v>
      </c>
      <c r="T14443" s="1095">
        <v>-33.941350999999997</v>
      </c>
    </row>
    <row r="14444" spans="16:20">
      <c r="P14444" s="1094">
        <v>6285</v>
      </c>
      <c r="Q14444" t="s">
        <v>14357</v>
      </c>
      <c r="R14444" t="s">
        <v>480</v>
      </c>
      <c r="S14444">
        <v>115.28097200000001</v>
      </c>
      <c r="T14444" s="1095">
        <v>-33.941350999999997</v>
      </c>
    </row>
    <row r="14445" spans="16:20">
      <c r="P14445" s="1094">
        <v>6286</v>
      </c>
      <c r="Q14445" t="s">
        <v>14358</v>
      </c>
      <c r="R14445" t="s">
        <v>480</v>
      </c>
      <c r="S14445">
        <v>115.176529</v>
      </c>
      <c r="T14445" s="1095">
        <v>-34.061822999999997</v>
      </c>
    </row>
    <row r="14446" spans="16:20">
      <c r="P14446" s="1094">
        <v>6286</v>
      </c>
      <c r="Q14446" t="s">
        <v>5784</v>
      </c>
      <c r="R14446" t="s">
        <v>480</v>
      </c>
      <c r="S14446">
        <v>115.176529</v>
      </c>
      <c r="T14446" s="1095">
        <v>-34.061822999999997</v>
      </c>
    </row>
    <row r="14447" spans="16:20">
      <c r="P14447" s="1094">
        <v>6286</v>
      </c>
      <c r="Q14447" t="s">
        <v>10938</v>
      </c>
      <c r="R14447" t="s">
        <v>480</v>
      </c>
      <c r="S14447">
        <v>115.176529</v>
      </c>
      <c r="T14447" s="1095">
        <v>-34.061822999999997</v>
      </c>
    </row>
    <row r="14448" spans="16:20">
      <c r="P14448" s="1094">
        <v>6286</v>
      </c>
      <c r="Q14448" t="s">
        <v>14359</v>
      </c>
      <c r="R14448" t="s">
        <v>480</v>
      </c>
      <c r="S14448">
        <v>115.176529</v>
      </c>
      <c r="T14448" s="1095">
        <v>-34.061822999999997</v>
      </c>
    </row>
    <row r="14449" spans="16:20">
      <c r="P14449" s="1094">
        <v>6288</v>
      </c>
      <c r="Q14449" t="s">
        <v>14360</v>
      </c>
      <c r="R14449" t="s">
        <v>480</v>
      </c>
      <c r="S14449">
        <v>115.233622</v>
      </c>
      <c r="T14449" s="1095">
        <v>-34.171024000000003</v>
      </c>
    </row>
    <row r="14450" spans="16:20">
      <c r="P14450" s="1094">
        <v>6288</v>
      </c>
      <c r="Q14450" t="s">
        <v>14361</v>
      </c>
      <c r="R14450" t="s">
        <v>480</v>
      </c>
      <c r="S14450">
        <v>115.233622</v>
      </c>
      <c r="T14450" s="1095">
        <v>-34.171024000000003</v>
      </c>
    </row>
    <row r="14451" spans="16:20">
      <c r="P14451" s="1094">
        <v>6288</v>
      </c>
      <c r="Q14451" t="s">
        <v>14362</v>
      </c>
      <c r="R14451" t="s">
        <v>480</v>
      </c>
      <c r="S14451">
        <v>115.233622</v>
      </c>
      <c r="T14451" s="1095">
        <v>-34.171024000000003</v>
      </c>
    </row>
    <row r="14452" spans="16:20">
      <c r="P14452" s="1094">
        <v>6288</v>
      </c>
      <c r="Q14452" t="s">
        <v>14363</v>
      </c>
      <c r="R14452" t="s">
        <v>480</v>
      </c>
      <c r="S14452">
        <v>115.233622</v>
      </c>
      <c r="T14452" s="1095">
        <v>-34.171024000000003</v>
      </c>
    </row>
    <row r="14453" spans="16:20">
      <c r="P14453" s="1094">
        <v>6288</v>
      </c>
      <c r="Q14453" t="s">
        <v>14364</v>
      </c>
      <c r="R14453" t="s">
        <v>480</v>
      </c>
      <c r="S14453">
        <v>115.233622</v>
      </c>
      <c r="T14453" s="1095">
        <v>-34.171024000000003</v>
      </c>
    </row>
    <row r="14454" spans="16:20">
      <c r="P14454" s="1094">
        <v>6288</v>
      </c>
      <c r="Q14454" t="s">
        <v>14365</v>
      </c>
      <c r="R14454" t="s">
        <v>480</v>
      </c>
      <c r="S14454">
        <v>115.233622</v>
      </c>
      <c r="T14454" s="1095">
        <v>-34.171024000000003</v>
      </c>
    </row>
    <row r="14455" spans="16:20">
      <c r="P14455" s="1094">
        <v>6288</v>
      </c>
      <c r="Q14455" t="s">
        <v>14366</v>
      </c>
      <c r="R14455" t="s">
        <v>480</v>
      </c>
      <c r="S14455">
        <v>115.233622</v>
      </c>
      <c r="T14455" s="1095">
        <v>-34.171024000000003</v>
      </c>
    </row>
    <row r="14456" spans="16:20">
      <c r="P14456" s="1094">
        <v>6290</v>
      </c>
      <c r="Q14456" t="s">
        <v>14367</v>
      </c>
      <c r="R14456" t="s">
        <v>480</v>
      </c>
      <c r="S14456">
        <v>115.142231</v>
      </c>
      <c r="T14456" s="1095">
        <v>-34.293827</v>
      </c>
    </row>
    <row r="14457" spans="16:20">
      <c r="P14457" s="1094">
        <v>6290</v>
      </c>
      <c r="Q14457" t="s">
        <v>14368</v>
      </c>
      <c r="R14457" t="s">
        <v>480</v>
      </c>
      <c r="S14457">
        <v>115.142231</v>
      </c>
      <c r="T14457" s="1095">
        <v>-34.293827</v>
      </c>
    </row>
    <row r="14458" spans="16:20">
      <c r="P14458" s="1094">
        <v>6290</v>
      </c>
      <c r="Q14458" t="s">
        <v>14369</v>
      </c>
      <c r="R14458" t="s">
        <v>480</v>
      </c>
      <c r="S14458">
        <v>115.142231</v>
      </c>
      <c r="T14458" s="1095">
        <v>-34.293827</v>
      </c>
    </row>
    <row r="14459" spans="16:20">
      <c r="P14459" s="1094">
        <v>6290</v>
      </c>
      <c r="Q14459" t="s">
        <v>14370</v>
      </c>
      <c r="R14459" t="s">
        <v>480</v>
      </c>
      <c r="S14459">
        <v>115.142231</v>
      </c>
      <c r="T14459" s="1095">
        <v>-34.293827</v>
      </c>
    </row>
    <row r="14460" spans="16:20">
      <c r="P14460" s="1094">
        <v>6290</v>
      </c>
      <c r="Q14460" t="s">
        <v>14371</v>
      </c>
      <c r="R14460" t="s">
        <v>480</v>
      </c>
      <c r="S14460">
        <v>115.142231</v>
      </c>
      <c r="T14460" s="1095">
        <v>-34.293827</v>
      </c>
    </row>
    <row r="14461" spans="16:20">
      <c r="P14461" s="1094">
        <v>6290</v>
      </c>
      <c r="Q14461" t="s">
        <v>14372</v>
      </c>
      <c r="R14461" t="s">
        <v>480</v>
      </c>
      <c r="S14461">
        <v>115.142231</v>
      </c>
      <c r="T14461" s="1095">
        <v>-34.293827</v>
      </c>
    </row>
    <row r="14462" spans="16:20">
      <c r="P14462" s="1094">
        <v>6302</v>
      </c>
      <c r="Q14462" t="s">
        <v>14373</v>
      </c>
      <c r="R14462" t="s">
        <v>480</v>
      </c>
      <c r="S14462">
        <v>116.742895</v>
      </c>
      <c r="T14462" s="1095">
        <v>-31.896269</v>
      </c>
    </row>
    <row r="14463" spans="16:20">
      <c r="P14463" s="1094">
        <v>6302</v>
      </c>
      <c r="Q14463" t="s">
        <v>14374</v>
      </c>
      <c r="R14463" t="s">
        <v>480</v>
      </c>
      <c r="S14463">
        <v>116.742895</v>
      </c>
      <c r="T14463" s="1095">
        <v>-31.896269</v>
      </c>
    </row>
    <row r="14464" spans="16:20">
      <c r="P14464" s="1094">
        <v>6302</v>
      </c>
      <c r="Q14464" t="s">
        <v>14375</v>
      </c>
      <c r="R14464" t="s">
        <v>480</v>
      </c>
      <c r="S14464">
        <v>116.742895</v>
      </c>
      <c r="T14464" s="1095">
        <v>-31.896269</v>
      </c>
    </row>
    <row r="14465" spans="16:20">
      <c r="P14465" s="1094">
        <v>6302</v>
      </c>
      <c r="Q14465" t="s">
        <v>14376</v>
      </c>
      <c r="R14465" t="s">
        <v>480</v>
      </c>
      <c r="S14465">
        <v>116.742895</v>
      </c>
      <c r="T14465" s="1095">
        <v>-31.896269</v>
      </c>
    </row>
    <row r="14466" spans="16:20">
      <c r="P14466" s="1094">
        <v>6302</v>
      </c>
      <c r="Q14466" t="s">
        <v>14377</v>
      </c>
      <c r="R14466" t="s">
        <v>480</v>
      </c>
      <c r="S14466">
        <v>116.742895</v>
      </c>
      <c r="T14466" s="1095">
        <v>-31.896269</v>
      </c>
    </row>
    <row r="14467" spans="16:20">
      <c r="P14467" s="1094">
        <v>6302</v>
      </c>
      <c r="Q14467" t="s">
        <v>14378</v>
      </c>
      <c r="R14467" t="s">
        <v>480</v>
      </c>
      <c r="S14467">
        <v>116.742895</v>
      </c>
      <c r="T14467" s="1095">
        <v>-31.896269</v>
      </c>
    </row>
    <row r="14468" spans="16:20">
      <c r="P14468" s="1094">
        <v>6302</v>
      </c>
      <c r="Q14468" t="s">
        <v>14379</v>
      </c>
      <c r="R14468" t="s">
        <v>480</v>
      </c>
      <c r="S14468">
        <v>116.742895</v>
      </c>
      <c r="T14468" s="1095">
        <v>-31.896269</v>
      </c>
    </row>
    <row r="14469" spans="16:20">
      <c r="P14469" s="1094">
        <v>6302</v>
      </c>
      <c r="Q14469" t="s">
        <v>4862</v>
      </c>
      <c r="R14469" t="s">
        <v>480</v>
      </c>
      <c r="S14469">
        <v>116.742895</v>
      </c>
      <c r="T14469" s="1095">
        <v>-31.896269</v>
      </c>
    </row>
    <row r="14470" spans="16:20">
      <c r="P14470" s="1094">
        <v>6302</v>
      </c>
      <c r="Q14470" t="s">
        <v>14380</v>
      </c>
      <c r="R14470" t="s">
        <v>480</v>
      </c>
      <c r="S14470">
        <v>116.742895</v>
      </c>
      <c r="T14470" s="1095">
        <v>-31.896269</v>
      </c>
    </row>
    <row r="14471" spans="16:20">
      <c r="P14471" s="1094">
        <v>6302</v>
      </c>
      <c r="Q14471" t="s">
        <v>2651</v>
      </c>
      <c r="R14471" t="s">
        <v>480</v>
      </c>
      <c r="S14471">
        <v>116.742895</v>
      </c>
      <c r="T14471" s="1095">
        <v>-31.896269</v>
      </c>
    </row>
    <row r="14472" spans="16:20">
      <c r="P14472" s="1094">
        <v>6302</v>
      </c>
      <c r="Q14472" t="s">
        <v>14381</v>
      </c>
      <c r="R14472" t="s">
        <v>480</v>
      </c>
      <c r="S14472">
        <v>116.742895</v>
      </c>
      <c r="T14472" s="1095">
        <v>-31.896269</v>
      </c>
    </row>
    <row r="14473" spans="16:20">
      <c r="P14473" s="1094">
        <v>6302</v>
      </c>
      <c r="Q14473" t="s">
        <v>14382</v>
      </c>
      <c r="R14473" t="s">
        <v>480</v>
      </c>
      <c r="S14473">
        <v>116.742895</v>
      </c>
      <c r="T14473" s="1095">
        <v>-31.896269</v>
      </c>
    </row>
    <row r="14474" spans="16:20">
      <c r="P14474" s="1094">
        <v>6302</v>
      </c>
      <c r="Q14474" t="s">
        <v>14383</v>
      </c>
      <c r="R14474" t="s">
        <v>480</v>
      </c>
      <c r="S14474">
        <v>116.742895</v>
      </c>
      <c r="T14474" s="1095">
        <v>-31.896269</v>
      </c>
    </row>
    <row r="14475" spans="16:20">
      <c r="P14475" s="1094">
        <v>6302</v>
      </c>
      <c r="Q14475" t="s">
        <v>14384</v>
      </c>
      <c r="R14475" t="s">
        <v>480</v>
      </c>
      <c r="S14475">
        <v>116.742895</v>
      </c>
      <c r="T14475" s="1095">
        <v>-31.896269</v>
      </c>
    </row>
    <row r="14476" spans="16:20">
      <c r="P14476" s="1094">
        <v>6302</v>
      </c>
      <c r="Q14476" t="s">
        <v>14385</v>
      </c>
      <c r="R14476" t="s">
        <v>480</v>
      </c>
      <c r="S14476">
        <v>116.742895</v>
      </c>
      <c r="T14476" s="1095">
        <v>-31.896269</v>
      </c>
    </row>
    <row r="14477" spans="16:20">
      <c r="P14477" s="1094">
        <v>6302</v>
      </c>
      <c r="Q14477" t="s">
        <v>12997</v>
      </c>
      <c r="R14477" t="s">
        <v>480</v>
      </c>
      <c r="S14477">
        <v>116.742895</v>
      </c>
      <c r="T14477" s="1095">
        <v>-31.896269</v>
      </c>
    </row>
    <row r="14478" spans="16:20">
      <c r="P14478" s="1094">
        <v>6302</v>
      </c>
      <c r="Q14478" t="s">
        <v>14386</v>
      </c>
      <c r="R14478" t="s">
        <v>480</v>
      </c>
      <c r="S14478">
        <v>116.742895</v>
      </c>
      <c r="T14478" s="1095">
        <v>-31.896269</v>
      </c>
    </row>
    <row r="14479" spans="16:20">
      <c r="P14479" s="1094">
        <v>6302</v>
      </c>
      <c r="Q14479" t="s">
        <v>14387</v>
      </c>
      <c r="R14479" t="s">
        <v>480</v>
      </c>
      <c r="S14479">
        <v>116.742895</v>
      </c>
      <c r="T14479" s="1095">
        <v>-31.896269</v>
      </c>
    </row>
    <row r="14480" spans="16:20">
      <c r="P14480" s="1094">
        <v>6302</v>
      </c>
      <c r="Q14480" t="s">
        <v>14388</v>
      </c>
      <c r="R14480" t="s">
        <v>480</v>
      </c>
      <c r="S14480">
        <v>116.742895</v>
      </c>
      <c r="T14480" s="1095">
        <v>-31.896269</v>
      </c>
    </row>
    <row r="14481" spans="16:20">
      <c r="P14481" s="1094">
        <v>6302</v>
      </c>
      <c r="Q14481" t="s">
        <v>7381</v>
      </c>
      <c r="R14481" t="s">
        <v>480</v>
      </c>
      <c r="S14481">
        <v>116.742895</v>
      </c>
      <c r="T14481" s="1095">
        <v>-31.896269</v>
      </c>
    </row>
    <row r="14482" spans="16:20">
      <c r="P14482" s="1094">
        <v>6302</v>
      </c>
      <c r="Q14482" t="s">
        <v>14389</v>
      </c>
      <c r="R14482" t="s">
        <v>480</v>
      </c>
      <c r="S14482">
        <v>116.742895</v>
      </c>
      <c r="T14482" s="1095">
        <v>-31.896269</v>
      </c>
    </row>
    <row r="14483" spans="16:20">
      <c r="P14483" s="1094">
        <v>6302</v>
      </c>
      <c r="Q14483" t="s">
        <v>5601</v>
      </c>
      <c r="R14483" t="s">
        <v>480</v>
      </c>
      <c r="S14483">
        <v>116.742895</v>
      </c>
      <c r="T14483" s="1095">
        <v>-31.896269</v>
      </c>
    </row>
    <row r="14484" spans="16:20">
      <c r="P14484" s="1094">
        <v>6302</v>
      </c>
      <c r="Q14484" t="s">
        <v>14390</v>
      </c>
      <c r="R14484" t="s">
        <v>480</v>
      </c>
      <c r="S14484">
        <v>116.742895</v>
      </c>
      <c r="T14484" s="1095">
        <v>-31.896269</v>
      </c>
    </row>
    <row r="14485" spans="16:20">
      <c r="P14485" s="1094">
        <v>6304</v>
      </c>
      <c r="Q14485" t="s">
        <v>14391</v>
      </c>
      <c r="R14485" t="s">
        <v>480</v>
      </c>
      <c r="S14485">
        <v>116.76027999999999</v>
      </c>
      <c r="T14485" s="1095">
        <v>-32.176606999999997</v>
      </c>
    </row>
    <row r="14486" spans="16:20">
      <c r="P14486" s="1094">
        <v>6304</v>
      </c>
      <c r="Q14486" t="s">
        <v>12423</v>
      </c>
      <c r="R14486" t="s">
        <v>480</v>
      </c>
      <c r="S14486">
        <v>116.76027999999999</v>
      </c>
      <c r="T14486" s="1095">
        <v>-32.176606999999997</v>
      </c>
    </row>
    <row r="14487" spans="16:20">
      <c r="P14487" s="1094">
        <v>6304</v>
      </c>
      <c r="Q14487" t="s">
        <v>14392</v>
      </c>
      <c r="R14487" t="s">
        <v>480</v>
      </c>
      <c r="S14487">
        <v>116.76027999999999</v>
      </c>
      <c r="T14487" s="1095">
        <v>-32.176606999999997</v>
      </c>
    </row>
    <row r="14488" spans="16:20">
      <c r="P14488" s="1094">
        <v>6304</v>
      </c>
      <c r="Q14488" t="s">
        <v>14393</v>
      </c>
      <c r="R14488" t="s">
        <v>480</v>
      </c>
      <c r="S14488">
        <v>116.76027999999999</v>
      </c>
      <c r="T14488" s="1095">
        <v>-32.176606999999997</v>
      </c>
    </row>
    <row r="14489" spans="16:20">
      <c r="P14489" s="1094">
        <v>6304</v>
      </c>
      <c r="Q14489" t="s">
        <v>14394</v>
      </c>
      <c r="R14489" t="s">
        <v>480</v>
      </c>
      <c r="S14489">
        <v>116.76027999999999</v>
      </c>
      <c r="T14489" s="1095">
        <v>-32.176606999999997</v>
      </c>
    </row>
    <row r="14490" spans="16:20">
      <c r="P14490" s="1094">
        <v>6304</v>
      </c>
      <c r="Q14490" t="s">
        <v>14395</v>
      </c>
      <c r="R14490" t="s">
        <v>480</v>
      </c>
      <c r="S14490">
        <v>116.76027999999999</v>
      </c>
      <c r="T14490" s="1095">
        <v>-32.176606999999997</v>
      </c>
    </row>
    <row r="14491" spans="16:20">
      <c r="P14491" s="1094">
        <v>6304</v>
      </c>
      <c r="Q14491" t="s">
        <v>2902</v>
      </c>
      <c r="R14491" t="s">
        <v>480</v>
      </c>
      <c r="S14491">
        <v>116.76027999999999</v>
      </c>
      <c r="T14491" s="1095">
        <v>-32.176606999999997</v>
      </c>
    </row>
    <row r="14492" spans="16:20">
      <c r="P14492" s="1094">
        <v>6306</v>
      </c>
      <c r="Q14492" t="s">
        <v>14396</v>
      </c>
      <c r="R14492" t="s">
        <v>480</v>
      </c>
      <c r="S14492">
        <v>117.140629</v>
      </c>
      <c r="T14492" s="1095">
        <v>-32.296523999999998</v>
      </c>
    </row>
    <row r="14493" spans="16:20">
      <c r="P14493" s="1094">
        <v>6306</v>
      </c>
      <c r="Q14493" t="s">
        <v>14397</v>
      </c>
      <c r="R14493" t="s">
        <v>480</v>
      </c>
      <c r="S14493">
        <v>117.140629</v>
      </c>
      <c r="T14493" s="1095">
        <v>-32.296523999999998</v>
      </c>
    </row>
    <row r="14494" spans="16:20">
      <c r="P14494" s="1094">
        <v>6306</v>
      </c>
      <c r="Q14494" t="s">
        <v>14398</v>
      </c>
      <c r="R14494" t="s">
        <v>480</v>
      </c>
      <c r="S14494">
        <v>117.140629</v>
      </c>
      <c r="T14494" s="1095">
        <v>-32.296523999999998</v>
      </c>
    </row>
    <row r="14495" spans="16:20">
      <c r="P14495" s="1094">
        <v>6306</v>
      </c>
      <c r="Q14495" t="s">
        <v>14399</v>
      </c>
      <c r="R14495" t="s">
        <v>480</v>
      </c>
      <c r="S14495">
        <v>117.140629</v>
      </c>
      <c r="T14495" s="1095">
        <v>-32.296523999999998</v>
      </c>
    </row>
    <row r="14496" spans="16:20">
      <c r="P14496" s="1094">
        <v>6306</v>
      </c>
      <c r="Q14496" t="s">
        <v>14400</v>
      </c>
      <c r="R14496" t="s">
        <v>480</v>
      </c>
      <c r="S14496">
        <v>117.140629</v>
      </c>
      <c r="T14496" s="1095">
        <v>-32.296523999999998</v>
      </c>
    </row>
    <row r="14497" spans="16:20">
      <c r="P14497" s="1094">
        <v>6308</v>
      </c>
      <c r="Q14497" t="s">
        <v>14401</v>
      </c>
      <c r="R14497" t="s">
        <v>480</v>
      </c>
      <c r="S14497">
        <v>116.66524200000001</v>
      </c>
      <c r="T14497" s="1095">
        <v>-32.579014999999998</v>
      </c>
    </row>
    <row r="14498" spans="16:20">
      <c r="P14498" s="1094">
        <v>6308</v>
      </c>
      <c r="Q14498" t="s">
        <v>14402</v>
      </c>
      <c r="R14498" t="s">
        <v>480</v>
      </c>
      <c r="S14498">
        <v>116.66524200000001</v>
      </c>
      <c r="T14498" s="1095">
        <v>-32.579014999999998</v>
      </c>
    </row>
    <row r="14499" spans="16:20">
      <c r="P14499" s="1094">
        <v>6308</v>
      </c>
      <c r="Q14499" t="s">
        <v>14403</v>
      </c>
      <c r="R14499" t="s">
        <v>480</v>
      </c>
      <c r="S14499">
        <v>116.66524200000001</v>
      </c>
      <c r="T14499" s="1095">
        <v>-32.579014999999998</v>
      </c>
    </row>
    <row r="14500" spans="16:20">
      <c r="P14500" s="1094">
        <v>6308</v>
      </c>
      <c r="Q14500" t="s">
        <v>14404</v>
      </c>
      <c r="R14500" t="s">
        <v>480</v>
      </c>
      <c r="S14500">
        <v>116.66524200000001</v>
      </c>
      <c r="T14500" s="1095">
        <v>-32.579014999999998</v>
      </c>
    </row>
    <row r="14501" spans="16:20">
      <c r="P14501" s="1094">
        <v>6308</v>
      </c>
      <c r="Q14501" t="s">
        <v>9101</v>
      </c>
      <c r="R14501" t="s">
        <v>480</v>
      </c>
      <c r="S14501">
        <v>116.66524200000001</v>
      </c>
      <c r="T14501" s="1095">
        <v>-32.579014999999998</v>
      </c>
    </row>
    <row r="14502" spans="16:20">
      <c r="P14502" s="1094">
        <v>6308</v>
      </c>
      <c r="Q14502" t="s">
        <v>14405</v>
      </c>
      <c r="R14502" t="s">
        <v>480</v>
      </c>
      <c r="S14502">
        <v>116.66524200000001</v>
      </c>
      <c r="T14502" s="1095">
        <v>-32.579014999999998</v>
      </c>
    </row>
    <row r="14503" spans="16:20">
      <c r="P14503" s="1094">
        <v>6308</v>
      </c>
      <c r="Q14503" t="s">
        <v>14406</v>
      </c>
      <c r="R14503" t="s">
        <v>480</v>
      </c>
      <c r="S14503">
        <v>116.66524200000001</v>
      </c>
      <c r="T14503" s="1095">
        <v>-32.579014999999998</v>
      </c>
    </row>
    <row r="14504" spans="16:20">
      <c r="P14504" s="1094">
        <v>6308</v>
      </c>
      <c r="Q14504" t="s">
        <v>14407</v>
      </c>
      <c r="R14504" t="s">
        <v>480</v>
      </c>
      <c r="S14504">
        <v>116.66524200000001</v>
      </c>
      <c r="T14504" s="1095">
        <v>-32.579014999999998</v>
      </c>
    </row>
    <row r="14505" spans="16:20">
      <c r="P14505" s="1094">
        <v>6308</v>
      </c>
      <c r="Q14505" t="s">
        <v>14408</v>
      </c>
      <c r="R14505" t="s">
        <v>480</v>
      </c>
      <c r="S14505">
        <v>116.66524200000001</v>
      </c>
      <c r="T14505" s="1095">
        <v>-32.579014999999998</v>
      </c>
    </row>
    <row r="14506" spans="16:20">
      <c r="P14506" s="1094">
        <v>6308</v>
      </c>
      <c r="Q14506" t="s">
        <v>14409</v>
      </c>
      <c r="R14506" t="s">
        <v>480</v>
      </c>
      <c r="S14506">
        <v>116.66524200000001</v>
      </c>
      <c r="T14506" s="1095">
        <v>-32.579014999999998</v>
      </c>
    </row>
    <row r="14507" spans="16:20">
      <c r="P14507" s="1094">
        <v>6309</v>
      </c>
      <c r="Q14507" t="s">
        <v>14410</v>
      </c>
      <c r="R14507" t="s">
        <v>480</v>
      </c>
      <c r="S14507">
        <v>117.129227</v>
      </c>
      <c r="T14507" s="1095">
        <v>-32.668322000000003</v>
      </c>
    </row>
    <row r="14508" spans="16:20">
      <c r="P14508" s="1094">
        <v>6309</v>
      </c>
      <c r="Q14508" t="s">
        <v>14411</v>
      </c>
      <c r="R14508" t="s">
        <v>480</v>
      </c>
      <c r="S14508">
        <v>117.129227</v>
      </c>
      <c r="T14508" s="1095">
        <v>-32.668322000000003</v>
      </c>
    </row>
    <row r="14509" spans="16:20">
      <c r="P14509" s="1094">
        <v>6309</v>
      </c>
      <c r="Q14509" t="s">
        <v>14412</v>
      </c>
      <c r="R14509" t="s">
        <v>480</v>
      </c>
      <c r="S14509">
        <v>117.129227</v>
      </c>
      <c r="T14509" s="1095">
        <v>-32.668322000000003</v>
      </c>
    </row>
    <row r="14510" spans="16:20">
      <c r="P14510" s="1094">
        <v>6309</v>
      </c>
      <c r="Q14510" t="s">
        <v>14413</v>
      </c>
      <c r="R14510" t="s">
        <v>480</v>
      </c>
      <c r="S14510">
        <v>117.129227</v>
      </c>
      <c r="T14510" s="1095">
        <v>-32.668322000000003</v>
      </c>
    </row>
    <row r="14511" spans="16:20">
      <c r="P14511" s="1094">
        <v>6311</v>
      </c>
      <c r="Q14511" t="s">
        <v>14414</v>
      </c>
      <c r="R14511" t="s">
        <v>480</v>
      </c>
      <c r="S14511">
        <v>117.120895</v>
      </c>
      <c r="T14511" s="1095">
        <v>-32.803533000000002</v>
      </c>
    </row>
    <row r="14512" spans="16:20">
      <c r="P14512" s="1094">
        <v>6311</v>
      </c>
      <c r="Q14512" t="s">
        <v>14415</v>
      </c>
      <c r="R14512" t="s">
        <v>480</v>
      </c>
      <c r="S14512">
        <v>117.120895</v>
      </c>
      <c r="T14512" s="1095">
        <v>-32.803533000000002</v>
      </c>
    </row>
    <row r="14513" spans="16:20">
      <c r="P14513" s="1094">
        <v>6311</v>
      </c>
      <c r="Q14513" t="s">
        <v>14416</v>
      </c>
      <c r="R14513" t="s">
        <v>480</v>
      </c>
      <c r="S14513">
        <v>117.120895</v>
      </c>
      <c r="T14513" s="1095">
        <v>-32.803533000000002</v>
      </c>
    </row>
    <row r="14514" spans="16:20">
      <c r="P14514" s="1094">
        <v>6311</v>
      </c>
      <c r="Q14514" t="s">
        <v>14417</v>
      </c>
      <c r="R14514" t="s">
        <v>480</v>
      </c>
      <c r="S14514">
        <v>117.120895</v>
      </c>
      <c r="T14514" s="1095">
        <v>-32.803533000000002</v>
      </c>
    </row>
    <row r="14515" spans="16:20">
      <c r="P14515" s="1094">
        <v>6311</v>
      </c>
      <c r="Q14515" t="s">
        <v>14418</v>
      </c>
      <c r="R14515" t="s">
        <v>480</v>
      </c>
      <c r="S14515">
        <v>117.120895</v>
      </c>
      <c r="T14515" s="1095">
        <v>-32.803533000000002</v>
      </c>
    </row>
    <row r="14516" spans="16:20">
      <c r="P14516" s="1094">
        <v>6311</v>
      </c>
      <c r="Q14516" t="s">
        <v>14419</v>
      </c>
      <c r="R14516" t="s">
        <v>480</v>
      </c>
      <c r="S14516">
        <v>117.120895</v>
      </c>
      <c r="T14516" s="1095">
        <v>-32.803533000000002</v>
      </c>
    </row>
    <row r="14517" spans="16:20">
      <c r="P14517" s="1094">
        <v>6311</v>
      </c>
      <c r="Q14517" t="s">
        <v>14420</v>
      </c>
      <c r="R14517" t="s">
        <v>480</v>
      </c>
      <c r="S14517">
        <v>117.120895</v>
      </c>
      <c r="T14517" s="1095">
        <v>-32.803533000000002</v>
      </c>
    </row>
    <row r="14518" spans="16:20">
      <c r="P14518" s="1094">
        <v>6311</v>
      </c>
      <c r="Q14518" t="s">
        <v>14421</v>
      </c>
      <c r="R14518" t="s">
        <v>480</v>
      </c>
      <c r="S14518">
        <v>117.120895</v>
      </c>
      <c r="T14518" s="1095">
        <v>-32.803533000000002</v>
      </c>
    </row>
    <row r="14519" spans="16:20">
      <c r="P14519" s="1094">
        <v>6312</v>
      </c>
      <c r="Q14519" t="s">
        <v>14422</v>
      </c>
      <c r="R14519" t="s">
        <v>480</v>
      </c>
      <c r="S14519">
        <v>117.306862</v>
      </c>
      <c r="T14519" s="1095">
        <v>-32.979123000000001</v>
      </c>
    </row>
    <row r="14520" spans="16:20">
      <c r="P14520" s="1094">
        <v>6312</v>
      </c>
      <c r="Q14520" t="s">
        <v>14423</v>
      </c>
      <c r="R14520" t="s">
        <v>480</v>
      </c>
      <c r="S14520">
        <v>117.306862</v>
      </c>
      <c r="T14520" s="1095">
        <v>-32.979123000000001</v>
      </c>
    </row>
    <row r="14521" spans="16:20">
      <c r="P14521" s="1094">
        <v>6312</v>
      </c>
      <c r="Q14521" t="s">
        <v>2074</v>
      </c>
      <c r="R14521" t="s">
        <v>480</v>
      </c>
      <c r="S14521">
        <v>117.306862</v>
      </c>
      <c r="T14521" s="1095">
        <v>-32.979123000000001</v>
      </c>
    </row>
    <row r="14522" spans="16:20">
      <c r="P14522" s="1094">
        <v>6312</v>
      </c>
      <c r="Q14522" t="s">
        <v>14424</v>
      </c>
      <c r="R14522" t="s">
        <v>480</v>
      </c>
      <c r="S14522">
        <v>117.306862</v>
      </c>
      <c r="T14522" s="1095">
        <v>-32.979123000000001</v>
      </c>
    </row>
    <row r="14523" spans="16:20">
      <c r="P14523" s="1094">
        <v>6312</v>
      </c>
      <c r="Q14523" t="s">
        <v>14425</v>
      </c>
      <c r="R14523" t="s">
        <v>480</v>
      </c>
      <c r="S14523">
        <v>117.306862</v>
      </c>
      <c r="T14523" s="1095">
        <v>-32.979123000000001</v>
      </c>
    </row>
    <row r="14524" spans="16:20">
      <c r="P14524" s="1094">
        <v>6312</v>
      </c>
      <c r="Q14524" t="s">
        <v>14426</v>
      </c>
      <c r="R14524" t="s">
        <v>480</v>
      </c>
      <c r="S14524">
        <v>117.306862</v>
      </c>
      <c r="T14524" s="1095">
        <v>-32.979123000000001</v>
      </c>
    </row>
    <row r="14525" spans="16:20">
      <c r="P14525" s="1094">
        <v>6312</v>
      </c>
      <c r="Q14525" t="s">
        <v>14427</v>
      </c>
      <c r="R14525" t="s">
        <v>480</v>
      </c>
      <c r="S14525">
        <v>117.306862</v>
      </c>
      <c r="T14525" s="1095">
        <v>-32.979123000000001</v>
      </c>
    </row>
    <row r="14526" spans="16:20">
      <c r="P14526" s="1094">
        <v>6312</v>
      </c>
      <c r="Q14526" t="s">
        <v>14428</v>
      </c>
      <c r="R14526" t="s">
        <v>480</v>
      </c>
      <c r="S14526">
        <v>117.306862</v>
      </c>
      <c r="T14526" s="1095">
        <v>-32.979123000000001</v>
      </c>
    </row>
    <row r="14527" spans="16:20">
      <c r="P14527" s="1094">
        <v>6312</v>
      </c>
      <c r="Q14527" t="s">
        <v>14429</v>
      </c>
      <c r="R14527" t="s">
        <v>480</v>
      </c>
      <c r="S14527">
        <v>117.306862</v>
      </c>
      <c r="T14527" s="1095">
        <v>-32.979123000000001</v>
      </c>
    </row>
    <row r="14528" spans="16:20">
      <c r="P14528" s="1094">
        <v>6313</v>
      </c>
      <c r="Q14528" t="s">
        <v>12636</v>
      </c>
      <c r="R14528" t="s">
        <v>480</v>
      </c>
      <c r="S14528">
        <v>117.24327700000001</v>
      </c>
      <c r="T14528" s="1095">
        <v>-33.057920000000003</v>
      </c>
    </row>
    <row r="14529" spans="16:20">
      <c r="P14529" s="1094">
        <v>6315</v>
      </c>
      <c r="Q14529" t="s">
        <v>14430</v>
      </c>
      <c r="R14529" t="s">
        <v>480</v>
      </c>
      <c r="S14529">
        <v>117.342795</v>
      </c>
      <c r="T14529" s="1095">
        <v>-33.286271999999997</v>
      </c>
    </row>
    <row r="14530" spans="16:20">
      <c r="P14530" s="1094">
        <v>6315</v>
      </c>
      <c r="Q14530" t="s">
        <v>14431</v>
      </c>
      <c r="R14530" t="s">
        <v>480</v>
      </c>
      <c r="S14530">
        <v>117.342795</v>
      </c>
      <c r="T14530" s="1095">
        <v>-33.286271999999997</v>
      </c>
    </row>
    <row r="14531" spans="16:20">
      <c r="P14531" s="1094">
        <v>6315</v>
      </c>
      <c r="Q14531" t="s">
        <v>14432</v>
      </c>
      <c r="R14531" t="s">
        <v>480</v>
      </c>
      <c r="S14531">
        <v>117.342795</v>
      </c>
      <c r="T14531" s="1095">
        <v>-33.286271999999997</v>
      </c>
    </row>
    <row r="14532" spans="16:20">
      <c r="P14532" s="1094">
        <v>6315</v>
      </c>
      <c r="Q14532" t="s">
        <v>14433</v>
      </c>
      <c r="R14532" t="s">
        <v>480</v>
      </c>
      <c r="S14532">
        <v>117.342795</v>
      </c>
      <c r="T14532" s="1095">
        <v>-33.286271999999997</v>
      </c>
    </row>
    <row r="14533" spans="16:20">
      <c r="P14533" s="1094">
        <v>6315</v>
      </c>
      <c r="Q14533" t="s">
        <v>14434</v>
      </c>
      <c r="R14533" t="s">
        <v>480</v>
      </c>
      <c r="S14533">
        <v>117.342795</v>
      </c>
      <c r="T14533" s="1095">
        <v>-33.286271999999997</v>
      </c>
    </row>
    <row r="14534" spans="16:20">
      <c r="P14534" s="1094">
        <v>6315</v>
      </c>
      <c r="Q14534" t="s">
        <v>14435</v>
      </c>
      <c r="R14534" t="s">
        <v>480</v>
      </c>
      <c r="S14534">
        <v>117.342795</v>
      </c>
      <c r="T14534" s="1095">
        <v>-33.286271999999997</v>
      </c>
    </row>
    <row r="14535" spans="16:20">
      <c r="P14535" s="1094">
        <v>6315</v>
      </c>
      <c r="Q14535" t="s">
        <v>14436</v>
      </c>
      <c r="R14535" t="s">
        <v>480</v>
      </c>
      <c r="S14535">
        <v>117.342795</v>
      </c>
      <c r="T14535" s="1095">
        <v>-33.286271999999997</v>
      </c>
    </row>
    <row r="14536" spans="16:20">
      <c r="P14536" s="1094">
        <v>6315</v>
      </c>
      <c r="Q14536" t="s">
        <v>14437</v>
      </c>
      <c r="R14536" t="s">
        <v>480</v>
      </c>
      <c r="S14536">
        <v>117.342795</v>
      </c>
      <c r="T14536" s="1095">
        <v>-33.286271999999997</v>
      </c>
    </row>
    <row r="14537" spans="16:20">
      <c r="P14537" s="1094">
        <v>6315</v>
      </c>
      <c r="Q14537" t="s">
        <v>14438</v>
      </c>
      <c r="R14537" t="s">
        <v>480</v>
      </c>
      <c r="S14537">
        <v>117.342795</v>
      </c>
      <c r="T14537" s="1095">
        <v>-33.286271999999997</v>
      </c>
    </row>
    <row r="14538" spans="16:20">
      <c r="P14538" s="1094">
        <v>6315</v>
      </c>
      <c r="Q14538" t="s">
        <v>14439</v>
      </c>
      <c r="R14538" t="s">
        <v>480</v>
      </c>
      <c r="S14538">
        <v>117.342795</v>
      </c>
      <c r="T14538" s="1095">
        <v>-33.286271999999997</v>
      </c>
    </row>
    <row r="14539" spans="16:20">
      <c r="P14539" s="1094">
        <v>6315</v>
      </c>
      <c r="Q14539" t="s">
        <v>14440</v>
      </c>
      <c r="R14539" t="s">
        <v>480</v>
      </c>
      <c r="S14539">
        <v>117.342795</v>
      </c>
      <c r="T14539" s="1095">
        <v>-33.286271999999997</v>
      </c>
    </row>
    <row r="14540" spans="16:20">
      <c r="P14540" s="1094">
        <v>6315</v>
      </c>
      <c r="Q14540" t="s">
        <v>14441</v>
      </c>
      <c r="R14540" t="s">
        <v>480</v>
      </c>
      <c r="S14540">
        <v>117.342795</v>
      </c>
      <c r="T14540" s="1095">
        <v>-33.286271999999997</v>
      </c>
    </row>
    <row r="14541" spans="16:20">
      <c r="P14541" s="1094">
        <v>6316</v>
      </c>
      <c r="Q14541" t="s">
        <v>14442</v>
      </c>
      <c r="R14541" t="s">
        <v>480</v>
      </c>
      <c r="S14541">
        <v>117.384564</v>
      </c>
      <c r="T14541" s="1095">
        <v>-33.532314999999997</v>
      </c>
    </row>
    <row r="14542" spans="16:20">
      <c r="P14542" s="1094">
        <v>6316</v>
      </c>
      <c r="Q14542" t="s">
        <v>14443</v>
      </c>
      <c r="R14542" t="s">
        <v>480</v>
      </c>
      <c r="S14542">
        <v>117.384564</v>
      </c>
      <c r="T14542" s="1095">
        <v>-33.532314999999997</v>
      </c>
    </row>
    <row r="14543" spans="16:20">
      <c r="P14543" s="1094">
        <v>6316</v>
      </c>
      <c r="Q14543" t="s">
        <v>3060</v>
      </c>
      <c r="R14543" t="s">
        <v>480</v>
      </c>
      <c r="S14543">
        <v>117.384564</v>
      </c>
      <c r="T14543" s="1095">
        <v>-33.532314999999997</v>
      </c>
    </row>
    <row r="14544" spans="16:20">
      <c r="P14544" s="1094">
        <v>6316</v>
      </c>
      <c r="Q14544" t="s">
        <v>7487</v>
      </c>
      <c r="R14544" t="s">
        <v>480</v>
      </c>
      <c r="S14544">
        <v>117.384564</v>
      </c>
      <c r="T14544" s="1095">
        <v>-33.532314999999997</v>
      </c>
    </row>
    <row r="14545" spans="16:20">
      <c r="P14545" s="1094">
        <v>6316</v>
      </c>
      <c r="Q14545" t="s">
        <v>5502</v>
      </c>
      <c r="R14545" t="s">
        <v>480</v>
      </c>
      <c r="S14545">
        <v>117.384564</v>
      </c>
      <c r="T14545" s="1095">
        <v>-33.532314999999997</v>
      </c>
    </row>
    <row r="14546" spans="16:20">
      <c r="P14546" s="1094">
        <v>6316</v>
      </c>
      <c r="Q14546" t="s">
        <v>14444</v>
      </c>
      <c r="R14546" t="s">
        <v>480</v>
      </c>
      <c r="S14546">
        <v>117.384564</v>
      </c>
      <c r="T14546" s="1095">
        <v>-33.532314999999997</v>
      </c>
    </row>
    <row r="14547" spans="16:20">
      <c r="P14547" s="1094">
        <v>6317</v>
      </c>
      <c r="Q14547" t="s">
        <v>14445</v>
      </c>
      <c r="R14547" t="s">
        <v>480</v>
      </c>
      <c r="S14547">
        <v>117.738912</v>
      </c>
      <c r="T14547" s="1095">
        <v>-33.647362000000001</v>
      </c>
    </row>
    <row r="14548" spans="16:20">
      <c r="P14548" s="1094">
        <v>6317</v>
      </c>
      <c r="Q14548" t="s">
        <v>14446</v>
      </c>
      <c r="R14548" t="s">
        <v>480</v>
      </c>
      <c r="S14548">
        <v>117.738912</v>
      </c>
      <c r="T14548" s="1095">
        <v>-33.647362000000001</v>
      </c>
    </row>
    <row r="14549" spans="16:20">
      <c r="P14549" s="1094">
        <v>6317</v>
      </c>
      <c r="Q14549" t="s">
        <v>14447</v>
      </c>
      <c r="R14549" t="s">
        <v>480</v>
      </c>
      <c r="S14549">
        <v>117.738912</v>
      </c>
      <c r="T14549" s="1095">
        <v>-33.647362000000001</v>
      </c>
    </row>
    <row r="14550" spans="16:20">
      <c r="P14550" s="1094">
        <v>6317</v>
      </c>
      <c r="Q14550" t="s">
        <v>14448</v>
      </c>
      <c r="R14550" t="s">
        <v>480</v>
      </c>
      <c r="S14550">
        <v>117.738912</v>
      </c>
      <c r="T14550" s="1095">
        <v>-33.647362000000001</v>
      </c>
    </row>
    <row r="14551" spans="16:20">
      <c r="P14551" s="1094">
        <v>6317</v>
      </c>
      <c r="Q14551" t="s">
        <v>14449</v>
      </c>
      <c r="R14551" t="s">
        <v>480</v>
      </c>
      <c r="S14551">
        <v>117.738912</v>
      </c>
      <c r="T14551" s="1095">
        <v>-33.647362000000001</v>
      </c>
    </row>
    <row r="14552" spans="16:20">
      <c r="P14552" s="1094">
        <v>6317</v>
      </c>
      <c r="Q14552" t="s">
        <v>14450</v>
      </c>
      <c r="R14552" t="s">
        <v>480</v>
      </c>
      <c r="S14552">
        <v>117.738912</v>
      </c>
      <c r="T14552" s="1095">
        <v>-33.647362000000001</v>
      </c>
    </row>
    <row r="14553" spans="16:20">
      <c r="P14553" s="1094">
        <v>6317</v>
      </c>
      <c r="Q14553" t="s">
        <v>14451</v>
      </c>
      <c r="R14553" t="s">
        <v>480</v>
      </c>
      <c r="S14553">
        <v>117.738912</v>
      </c>
      <c r="T14553" s="1095">
        <v>-33.647362000000001</v>
      </c>
    </row>
    <row r="14554" spans="16:20">
      <c r="P14554" s="1094">
        <v>6317</v>
      </c>
      <c r="Q14554" t="s">
        <v>14452</v>
      </c>
      <c r="R14554" t="s">
        <v>480</v>
      </c>
      <c r="S14554">
        <v>117.738912</v>
      </c>
      <c r="T14554" s="1095">
        <v>-33.647362000000001</v>
      </c>
    </row>
    <row r="14555" spans="16:20">
      <c r="P14555" s="1094">
        <v>6317</v>
      </c>
      <c r="Q14555" t="s">
        <v>14453</v>
      </c>
      <c r="R14555" t="s">
        <v>480</v>
      </c>
      <c r="S14555">
        <v>117.738912</v>
      </c>
      <c r="T14555" s="1095">
        <v>-33.647362000000001</v>
      </c>
    </row>
    <row r="14556" spans="16:20">
      <c r="P14556" s="1094">
        <v>6317</v>
      </c>
      <c r="Q14556" t="s">
        <v>14454</v>
      </c>
      <c r="R14556" t="s">
        <v>480</v>
      </c>
      <c r="S14556">
        <v>117.738912</v>
      </c>
      <c r="T14556" s="1095">
        <v>-33.647362000000001</v>
      </c>
    </row>
    <row r="14557" spans="16:20">
      <c r="P14557" s="1094">
        <v>6317</v>
      </c>
      <c r="Q14557" t="s">
        <v>14455</v>
      </c>
      <c r="R14557" t="s">
        <v>480</v>
      </c>
      <c r="S14557">
        <v>117.738912</v>
      </c>
      <c r="T14557" s="1095">
        <v>-33.647362000000001</v>
      </c>
    </row>
    <row r="14558" spans="16:20">
      <c r="P14558" s="1094">
        <v>6317</v>
      </c>
      <c r="Q14558" t="s">
        <v>14456</v>
      </c>
      <c r="R14558" t="s">
        <v>480</v>
      </c>
      <c r="S14558">
        <v>117.738912</v>
      </c>
      <c r="T14558" s="1095">
        <v>-33.647362000000001</v>
      </c>
    </row>
    <row r="14559" spans="16:20">
      <c r="P14559" s="1094">
        <v>6317</v>
      </c>
      <c r="Q14559" t="s">
        <v>14457</v>
      </c>
      <c r="R14559" t="s">
        <v>480</v>
      </c>
      <c r="S14559">
        <v>117.738912</v>
      </c>
      <c r="T14559" s="1095">
        <v>-33.647362000000001</v>
      </c>
    </row>
    <row r="14560" spans="16:20">
      <c r="P14560" s="1094">
        <v>6317</v>
      </c>
      <c r="Q14560" t="s">
        <v>14458</v>
      </c>
      <c r="R14560" t="s">
        <v>480</v>
      </c>
      <c r="S14560">
        <v>117.738912</v>
      </c>
      <c r="T14560" s="1095">
        <v>-33.647362000000001</v>
      </c>
    </row>
    <row r="14561" spans="16:20">
      <c r="P14561" s="1094">
        <v>6318</v>
      </c>
      <c r="Q14561" t="s">
        <v>14459</v>
      </c>
      <c r="R14561" t="s">
        <v>480</v>
      </c>
      <c r="S14561">
        <v>117.651128</v>
      </c>
      <c r="T14561" s="1095">
        <v>-33.862020999999999</v>
      </c>
    </row>
    <row r="14562" spans="16:20">
      <c r="P14562" s="1094">
        <v>6318</v>
      </c>
      <c r="Q14562" t="s">
        <v>14460</v>
      </c>
      <c r="R14562" t="s">
        <v>480</v>
      </c>
      <c r="S14562">
        <v>117.651128</v>
      </c>
      <c r="T14562" s="1095">
        <v>-33.862020999999999</v>
      </c>
    </row>
    <row r="14563" spans="16:20">
      <c r="P14563" s="1094">
        <v>6318</v>
      </c>
      <c r="Q14563" t="s">
        <v>14461</v>
      </c>
      <c r="R14563" t="s">
        <v>480</v>
      </c>
      <c r="S14563">
        <v>117.651128</v>
      </c>
      <c r="T14563" s="1095">
        <v>-33.862020999999999</v>
      </c>
    </row>
    <row r="14564" spans="16:20">
      <c r="P14564" s="1094">
        <v>6318</v>
      </c>
      <c r="Q14564" t="s">
        <v>14462</v>
      </c>
      <c r="R14564" t="s">
        <v>480</v>
      </c>
      <c r="S14564">
        <v>117.651128</v>
      </c>
      <c r="T14564" s="1095">
        <v>-33.862020999999999</v>
      </c>
    </row>
    <row r="14565" spans="16:20">
      <c r="P14565" s="1094">
        <v>6320</v>
      </c>
      <c r="Q14565" t="s">
        <v>14463</v>
      </c>
      <c r="R14565" t="s">
        <v>480</v>
      </c>
      <c r="S14565">
        <v>117.717905</v>
      </c>
      <c r="T14565" s="1095">
        <v>-34.096397000000003</v>
      </c>
    </row>
    <row r="14566" spans="16:20">
      <c r="P14566" s="1094">
        <v>6320</v>
      </c>
      <c r="Q14566" t="s">
        <v>14464</v>
      </c>
      <c r="R14566" t="s">
        <v>480</v>
      </c>
      <c r="S14566">
        <v>117.717905</v>
      </c>
      <c r="T14566" s="1095">
        <v>-34.096397000000003</v>
      </c>
    </row>
    <row r="14567" spans="16:20">
      <c r="P14567" s="1094">
        <v>6320</v>
      </c>
      <c r="Q14567" t="s">
        <v>14465</v>
      </c>
      <c r="R14567" t="s">
        <v>480</v>
      </c>
      <c r="S14567">
        <v>117.717905</v>
      </c>
      <c r="T14567" s="1095">
        <v>-34.096397000000003</v>
      </c>
    </row>
    <row r="14568" spans="16:20">
      <c r="P14568" s="1094">
        <v>6320</v>
      </c>
      <c r="Q14568" t="s">
        <v>14466</v>
      </c>
      <c r="R14568" t="s">
        <v>480</v>
      </c>
      <c r="S14568">
        <v>117.717905</v>
      </c>
      <c r="T14568" s="1095">
        <v>-34.096397000000003</v>
      </c>
    </row>
    <row r="14569" spans="16:20">
      <c r="P14569" s="1094">
        <v>6320</v>
      </c>
      <c r="Q14569" t="s">
        <v>14467</v>
      </c>
      <c r="R14569" t="s">
        <v>480</v>
      </c>
      <c r="S14569">
        <v>117.717905</v>
      </c>
      <c r="T14569" s="1095">
        <v>-34.096397000000003</v>
      </c>
    </row>
    <row r="14570" spans="16:20">
      <c r="P14570" s="1094">
        <v>6320</v>
      </c>
      <c r="Q14570" t="s">
        <v>14468</v>
      </c>
      <c r="R14570" t="s">
        <v>480</v>
      </c>
      <c r="S14570">
        <v>117.717905</v>
      </c>
      <c r="T14570" s="1095">
        <v>-34.096397000000003</v>
      </c>
    </row>
    <row r="14571" spans="16:20">
      <c r="P14571" s="1094">
        <v>6320</v>
      </c>
      <c r="Q14571" t="s">
        <v>14469</v>
      </c>
      <c r="R14571" t="s">
        <v>480</v>
      </c>
      <c r="S14571">
        <v>117.717905</v>
      </c>
      <c r="T14571" s="1095">
        <v>-34.096397000000003</v>
      </c>
    </row>
    <row r="14572" spans="16:20">
      <c r="P14572" s="1094">
        <v>6321</v>
      </c>
      <c r="Q14572" t="s">
        <v>11867</v>
      </c>
      <c r="R14572" t="s">
        <v>480</v>
      </c>
      <c r="S14572">
        <v>117.398532</v>
      </c>
      <c r="T14572" s="1095">
        <v>-34.269480000000001</v>
      </c>
    </row>
    <row r="14573" spans="16:20">
      <c r="P14573" s="1094">
        <v>6322</v>
      </c>
      <c r="Q14573" t="s">
        <v>3069</v>
      </c>
      <c r="R14573" t="s">
        <v>480</v>
      </c>
      <c r="S14573">
        <v>117.491623</v>
      </c>
      <c r="T14573" s="1095">
        <v>-34.411973000000003</v>
      </c>
    </row>
    <row r="14574" spans="16:20">
      <c r="P14574" s="1094">
        <v>6323</v>
      </c>
      <c r="Q14574" t="s">
        <v>14470</v>
      </c>
      <c r="R14574" t="s">
        <v>480</v>
      </c>
      <c r="S14574">
        <v>117.62551999999999</v>
      </c>
      <c r="T14574" s="1095">
        <v>-34.486238</v>
      </c>
    </row>
    <row r="14575" spans="16:20">
      <c r="P14575" s="1094">
        <v>6324</v>
      </c>
      <c r="Q14575" t="s">
        <v>14471</v>
      </c>
      <c r="R14575" t="s">
        <v>480</v>
      </c>
      <c r="S14575">
        <v>117.781468</v>
      </c>
      <c r="T14575" s="1095">
        <v>-34.618288999999997</v>
      </c>
    </row>
    <row r="14576" spans="16:20">
      <c r="P14576" s="1094">
        <v>6324</v>
      </c>
      <c r="Q14576" t="s">
        <v>5212</v>
      </c>
      <c r="R14576" t="s">
        <v>480</v>
      </c>
      <c r="S14576">
        <v>117.781468</v>
      </c>
      <c r="T14576" s="1095">
        <v>-34.618288999999997</v>
      </c>
    </row>
    <row r="14577" spans="16:20">
      <c r="P14577" s="1094">
        <v>6324</v>
      </c>
      <c r="Q14577" t="s">
        <v>12953</v>
      </c>
      <c r="R14577" t="s">
        <v>480</v>
      </c>
      <c r="S14577">
        <v>117.781468</v>
      </c>
      <c r="T14577" s="1095">
        <v>-34.618288999999997</v>
      </c>
    </row>
    <row r="14578" spans="16:20">
      <c r="P14578" s="1094">
        <v>6324</v>
      </c>
      <c r="Q14578" t="s">
        <v>14472</v>
      </c>
      <c r="R14578" t="s">
        <v>480</v>
      </c>
      <c r="S14578">
        <v>117.781468</v>
      </c>
      <c r="T14578" s="1095">
        <v>-34.618288999999997</v>
      </c>
    </row>
    <row r="14579" spans="16:20">
      <c r="P14579" s="1094">
        <v>6324</v>
      </c>
      <c r="Q14579" t="s">
        <v>14473</v>
      </c>
      <c r="R14579" t="s">
        <v>480</v>
      </c>
      <c r="S14579">
        <v>117.781468</v>
      </c>
      <c r="T14579" s="1095">
        <v>-34.618288999999997</v>
      </c>
    </row>
    <row r="14580" spans="16:20">
      <c r="P14580" s="1094">
        <v>6324</v>
      </c>
      <c r="Q14580" t="s">
        <v>14474</v>
      </c>
      <c r="R14580" t="s">
        <v>480</v>
      </c>
      <c r="S14580">
        <v>117.781468</v>
      </c>
      <c r="T14580" s="1095">
        <v>-34.618288999999997</v>
      </c>
    </row>
    <row r="14581" spans="16:20">
      <c r="P14581" s="1094">
        <v>6324</v>
      </c>
      <c r="Q14581" t="s">
        <v>14475</v>
      </c>
      <c r="R14581" t="s">
        <v>480</v>
      </c>
      <c r="S14581">
        <v>117.781468</v>
      </c>
      <c r="T14581" s="1095">
        <v>-34.618288999999997</v>
      </c>
    </row>
    <row r="14582" spans="16:20">
      <c r="P14582" s="1094">
        <v>6324</v>
      </c>
      <c r="Q14582" t="s">
        <v>14476</v>
      </c>
      <c r="R14582" t="s">
        <v>480</v>
      </c>
      <c r="S14582">
        <v>117.781468</v>
      </c>
      <c r="T14582" s="1095">
        <v>-34.618288999999997</v>
      </c>
    </row>
    <row r="14583" spans="16:20">
      <c r="P14583" s="1094">
        <v>6326</v>
      </c>
      <c r="Q14583" t="s">
        <v>14477</v>
      </c>
      <c r="R14583" t="s">
        <v>480</v>
      </c>
      <c r="S14583">
        <v>117.785337</v>
      </c>
      <c r="T14583" s="1095">
        <v>-34.769362999999998</v>
      </c>
    </row>
    <row r="14584" spans="16:20">
      <c r="P14584" s="1094">
        <v>6327</v>
      </c>
      <c r="Q14584" t="s">
        <v>14478</v>
      </c>
      <c r="R14584" t="s">
        <v>480</v>
      </c>
      <c r="S14584">
        <v>117.593417</v>
      </c>
      <c r="T14584" s="1095">
        <v>-34.858542</v>
      </c>
    </row>
    <row r="14585" spans="16:20">
      <c r="P14585" s="1094">
        <v>6327</v>
      </c>
      <c r="Q14585" t="s">
        <v>14479</v>
      </c>
      <c r="R14585" t="s">
        <v>480</v>
      </c>
      <c r="S14585">
        <v>117.593417</v>
      </c>
      <c r="T14585" s="1095">
        <v>-34.858542</v>
      </c>
    </row>
    <row r="14586" spans="16:20">
      <c r="P14586" s="1094">
        <v>6328</v>
      </c>
      <c r="Q14586" t="s">
        <v>14480</v>
      </c>
      <c r="R14586" t="s">
        <v>480</v>
      </c>
      <c r="S14586">
        <v>118.462801</v>
      </c>
      <c r="T14586" s="1095">
        <v>-34.919086</v>
      </c>
    </row>
    <row r="14587" spans="16:20">
      <c r="P14587" s="1094">
        <v>6328</v>
      </c>
      <c r="Q14587" t="s">
        <v>14481</v>
      </c>
      <c r="R14587" t="s">
        <v>480</v>
      </c>
      <c r="S14587">
        <v>118.462801</v>
      </c>
      <c r="T14587" s="1095">
        <v>-34.919086</v>
      </c>
    </row>
    <row r="14588" spans="16:20">
      <c r="P14588" s="1094">
        <v>6328</v>
      </c>
      <c r="Q14588" t="s">
        <v>14482</v>
      </c>
      <c r="R14588" t="s">
        <v>480</v>
      </c>
      <c r="S14588">
        <v>118.462801</v>
      </c>
      <c r="T14588" s="1095">
        <v>-34.919086</v>
      </c>
    </row>
    <row r="14589" spans="16:20">
      <c r="P14589" s="1094">
        <v>6328</v>
      </c>
      <c r="Q14589" t="s">
        <v>14483</v>
      </c>
      <c r="R14589" t="s">
        <v>480</v>
      </c>
      <c r="S14589">
        <v>118.462801</v>
      </c>
      <c r="T14589" s="1095">
        <v>-34.919086</v>
      </c>
    </row>
    <row r="14590" spans="16:20">
      <c r="P14590" s="1094">
        <v>6328</v>
      </c>
      <c r="Q14590" t="s">
        <v>14484</v>
      </c>
      <c r="R14590" t="s">
        <v>480</v>
      </c>
      <c r="S14590">
        <v>118.462801</v>
      </c>
      <c r="T14590" s="1095">
        <v>-34.919086</v>
      </c>
    </row>
    <row r="14591" spans="16:20">
      <c r="P14591" s="1094">
        <v>6328</v>
      </c>
      <c r="Q14591" t="s">
        <v>14485</v>
      </c>
      <c r="R14591" t="s">
        <v>480</v>
      </c>
      <c r="S14591">
        <v>118.462801</v>
      </c>
      <c r="T14591" s="1095">
        <v>-34.919086</v>
      </c>
    </row>
    <row r="14592" spans="16:20">
      <c r="P14592" s="1094">
        <v>6328</v>
      </c>
      <c r="Q14592" t="s">
        <v>2340</v>
      </c>
      <c r="R14592" t="s">
        <v>480</v>
      </c>
      <c r="S14592">
        <v>118.462801</v>
      </c>
      <c r="T14592" s="1095">
        <v>-34.919086</v>
      </c>
    </row>
    <row r="14593" spans="16:20">
      <c r="P14593" s="1094">
        <v>6328</v>
      </c>
      <c r="Q14593" t="s">
        <v>14486</v>
      </c>
      <c r="R14593" t="s">
        <v>480</v>
      </c>
      <c r="S14593">
        <v>118.462801</v>
      </c>
      <c r="T14593" s="1095">
        <v>-34.919086</v>
      </c>
    </row>
    <row r="14594" spans="16:20">
      <c r="P14594" s="1094">
        <v>6330</v>
      </c>
      <c r="Q14594" t="s">
        <v>14487</v>
      </c>
      <c r="R14594" t="s">
        <v>480</v>
      </c>
      <c r="S14594">
        <v>117.863286</v>
      </c>
      <c r="T14594" s="1095">
        <v>-34.905437999999997</v>
      </c>
    </row>
    <row r="14595" spans="16:20">
      <c r="P14595" s="1094">
        <v>6330</v>
      </c>
      <c r="Q14595" t="s">
        <v>14488</v>
      </c>
      <c r="R14595" t="s">
        <v>480</v>
      </c>
      <c r="S14595">
        <v>117.863286</v>
      </c>
      <c r="T14595" s="1095">
        <v>-34.905437999999997</v>
      </c>
    </row>
    <row r="14596" spans="16:20">
      <c r="P14596" s="1094">
        <v>6330</v>
      </c>
      <c r="Q14596" t="s">
        <v>14489</v>
      </c>
      <c r="R14596" t="s">
        <v>480</v>
      </c>
      <c r="S14596">
        <v>117.863286</v>
      </c>
      <c r="T14596" s="1095">
        <v>-34.905437999999997</v>
      </c>
    </row>
    <row r="14597" spans="16:20">
      <c r="P14597" s="1094">
        <v>6330</v>
      </c>
      <c r="Q14597" t="s">
        <v>14490</v>
      </c>
      <c r="R14597" t="s">
        <v>480</v>
      </c>
      <c r="S14597">
        <v>117.863286</v>
      </c>
      <c r="T14597" s="1095">
        <v>-34.905437999999997</v>
      </c>
    </row>
    <row r="14598" spans="16:20">
      <c r="P14598" s="1094">
        <v>6330</v>
      </c>
      <c r="Q14598" t="s">
        <v>1751</v>
      </c>
      <c r="R14598" t="s">
        <v>480</v>
      </c>
      <c r="S14598">
        <v>117.863286</v>
      </c>
      <c r="T14598" s="1095">
        <v>-34.905437999999997</v>
      </c>
    </row>
    <row r="14599" spans="16:20">
      <c r="P14599" s="1094">
        <v>6330</v>
      </c>
      <c r="Q14599" t="s">
        <v>14491</v>
      </c>
      <c r="R14599" t="s">
        <v>480</v>
      </c>
      <c r="S14599">
        <v>117.863286</v>
      </c>
      <c r="T14599" s="1095">
        <v>-34.905437999999997</v>
      </c>
    </row>
    <row r="14600" spans="16:20">
      <c r="P14600" s="1094">
        <v>6330</v>
      </c>
      <c r="Q14600" t="s">
        <v>9896</v>
      </c>
      <c r="R14600" t="s">
        <v>480</v>
      </c>
      <c r="S14600">
        <v>117.863286</v>
      </c>
      <c r="T14600" s="1095">
        <v>-34.905437999999997</v>
      </c>
    </row>
    <row r="14601" spans="16:20">
      <c r="P14601" s="1094">
        <v>6330</v>
      </c>
      <c r="Q14601" t="s">
        <v>14492</v>
      </c>
      <c r="R14601" t="s">
        <v>480</v>
      </c>
      <c r="S14601">
        <v>117.863286</v>
      </c>
      <c r="T14601" s="1095">
        <v>-34.905437999999997</v>
      </c>
    </row>
    <row r="14602" spans="16:20">
      <c r="P14602" s="1094">
        <v>6330</v>
      </c>
      <c r="Q14602" t="s">
        <v>14493</v>
      </c>
      <c r="R14602" t="s">
        <v>480</v>
      </c>
      <c r="S14602">
        <v>117.863286</v>
      </c>
      <c r="T14602" s="1095">
        <v>-34.905437999999997</v>
      </c>
    </row>
    <row r="14603" spans="16:20">
      <c r="P14603" s="1094">
        <v>6330</v>
      </c>
      <c r="Q14603" t="s">
        <v>14494</v>
      </c>
      <c r="R14603" t="s">
        <v>480</v>
      </c>
      <c r="S14603">
        <v>117.863286</v>
      </c>
      <c r="T14603" s="1095">
        <v>-34.905437999999997</v>
      </c>
    </row>
    <row r="14604" spans="16:20">
      <c r="P14604" s="1094">
        <v>6330</v>
      </c>
      <c r="Q14604" t="s">
        <v>14495</v>
      </c>
      <c r="R14604" t="s">
        <v>480</v>
      </c>
      <c r="S14604">
        <v>117.863286</v>
      </c>
      <c r="T14604" s="1095">
        <v>-34.905437999999997</v>
      </c>
    </row>
    <row r="14605" spans="16:20">
      <c r="P14605" s="1094">
        <v>6330</v>
      </c>
      <c r="Q14605" t="s">
        <v>14496</v>
      </c>
      <c r="R14605" t="s">
        <v>480</v>
      </c>
      <c r="S14605">
        <v>117.863286</v>
      </c>
      <c r="T14605" s="1095">
        <v>-34.905437999999997</v>
      </c>
    </row>
    <row r="14606" spans="16:20">
      <c r="P14606" s="1094">
        <v>6330</v>
      </c>
      <c r="Q14606" t="s">
        <v>14497</v>
      </c>
      <c r="R14606" t="s">
        <v>480</v>
      </c>
      <c r="S14606">
        <v>117.863286</v>
      </c>
      <c r="T14606" s="1095">
        <v>-34.905437999999997</v>
      </c>
    </row>
    <row r="14607" spans="16:20">
      <c r="P14607" s="1094">
        <v>6330</v>
      </c>
      <c r="Q14607" t="s">
        <v>14498</v>
      </c>
      <c r="R14607" t="s">
        <v>480</v>
      </c>
      <c r="S14607">
        <v>117.863286</v>
      </c>
      <c r="T14607" s="1095">
        <v>-34.905437999999997</v>
      </c>
    </row>
    <row r="14608" spans="16:20">
      <c r="P14608" s="1094">
        <v>6330</v>
      </c>
      <c r="Q14608" t="s">
        <v>2108</v>
      </c>
      <c r="R14608" t="s">
        <v>480</v>
      </c>
      <c r="S14608">
        <v>117.863286</v>
      </c>
      <c r="T14608" s="1095">
        <v>-34.905437999999997</v>
      </c>
    </row>
    <row r="14609" spans="16:20">
      <c r="P14609" s="1094">
        <v>6330</v>
      </c>
      <c r="Q14609" t="s">
        <v>14499</v>
      </c>
      <c r="R14609" t="s">
        <v>480</v>
      </c>
      <c r="S14609">
        <v>117.863286</v>
      </c>
      <c r="T14609" s="1095">
        <v>-34.905437999999997</v>
      </c>
    </row>
    <row r="14610" spans="16:20">
      <c r="P14610" s="1094">
        <v>6330</v>
      </c>
      <c r="Q14610" t="s">
        <v>14500</v>
      </c>
      <c r="R14610" t="s">
        <v>480</v>
      </c>
      <c r="S14610">
        <v>117.863286</v>
      </c>
      <c r="T14610" s="1095">
        <v>-34.905437999999997</v>
      </c>
    </row>
    <row r="14611" spans="16:20">
      <c r="P14611" s="1094">
        <v>6330</v>
      </c>
      <c r="Q14611" t="s">
        <v>14501</v>
      </c>
      <c r="R14611" t="s">
        <v>480</v>
      </c>
      <c r="S14611">
        <v>117.863286</v>
      </c>
      <c r="T14611" s="1095">
        <v>-34.905437999999997</v>
      </c>
    </row>
    <row r="14612" spans="16:20">
      <c r="P14612" s="1094">
        <v>6330</v>
      </c>
      <c r="Q14612" t="s">
        <v>14502</v>
      </c>
      <c r="R14612" t="s">
        <v>480</v>
      </c>
      <c r="S14612">
        <v>117.863286</v>
      </c>
      <c r="T14612" s="1095">
        <v>-34.905437999999997</v>
      </c>
    </row>
    <row r="14613" spans="16:20">
      <c r="P14613" s="1094">
        <v>6330</v>
      </c>
      <c r="Q14613" t="s">
        <v>14503</v>
      </c>
      <c r="R14613" t="s">
        <v>480</v>
      </c>
      <c r="S14613">
        <v>117.863286</v>
      </c>
      <c r="T14613" s="1095">
        <v>-34.905437999999997</v>
      </c>
    </row>
    <row r="14614" spans="16:20">
      <c r="P14614" s="1094">
        <v>6330</v>
      </c>
      <c r="Q14614" t="s">
        <v>10135</v>
      </c>
      <c r="R14614" t="s">
        <v>480</v>
      </c>
      <c r="S14614">
        <v>117.863286</v>
      </c>
      <c r="T14614" s="1095">
        <v>-34.905437999999997</v>
      </c>
    </row>
    <row r="14615" spans="16:20">
      <c r="P14615" s="1094">
        <v>6330</v>
      </c>
      <c r="Q14615" t="s">
        <v>14504</v>
      </c>
      <c r="R14615" t="s">
        <v>480</v>
      </c>
      <c r="S14615">
        <v>117.863286</v>
      </c>
      <c r="T14615" s="1095">
        <v>-34.905437999999997</v>
      </c>
    </row>
    <row r="14616" spans="16:20">
      <c r="P14616" s="1094">
        <v>6330</v>
      </c>
      <c r="Q14616" t="s">
        <v>14505</v>
      </c>
      <c r="R14616" t="s">
        <v>480</v>
      </c>
      <c r="S14616">
        <v>117.863286</v>
      </c>
      <c r="T14616" s="1095">
        <v>-34.905437999999997</v>
      </c>
    </row>
    <row r="14617" spans="16:20">
      <c r="P14617" s="1094">
        <v>6330</v>
      </c>
      <c r="Q14617" t="s">
        <v>14506</v>
      </c>
      <c r="R14617" t="s">
        <v>480</v>
      </c>
      <c r="S14617">
        <v>117.863286</v>
      </c>
      <c r="T14617" s="1095">
        <v>-34.905437999999997</v>
      </c>
    </row>
    <row r="14618" spans="16:20">
      <c r="P14618" s="1094">
        <v>6330</v>
      </c>
      <c r="Q14618" t="s">
        <v>14507</v>
      </c>
      <c r="R14618" t="s">
        <v>480</v>
      </c>
      <c r="S14618">
        <v>117.863286</v>
      </c>
      <c r="T14618" s="1095">
        <v>-34.905437999999997</v>
      </c>
    </row>
    <row r="14619" spans="16:20">
      <c r="P14619" s="1094">
        <v>6330</v>
      </c>
      <c r="Q14619" t="s">
        <v>14508</v>
      </c>
      <c r="R14619" t="s">
        <v>480</v>
      </c>
      <c r="S14619">
        <v>117.863286</v>
      </c>
      <c r="T14619" s="1095">
        <v>-34.905437999999997</v>
      </c>
    </row>
    <row r="14620" spans="16:20">
      <c r="P14620" s="1094">
        <v>6330</v>
      </c>
      <c r="Q14620" t="s">
        <v>7312</v>
      </c>
      <c r="R14620" t="s">
        <v>480</v>
      </c>
      <c r="S14620">
        <v>117.863286</v>
      </c>
      <c r="T14620" s="1095">
        <v>-34.905437999999997</v>
      </c>
    </row>
    <row r="14621" spans="16:20">
      <c r="P14621" s="1094">
        <v>6330</v>
      </c>
      <c r="Q14621" t="s">
        <v>14509</v>
      </c>
      <c r="R14621" t="s">
        <v>480</v>
      </c>
      <c r="S14621">
        <v>117.863286</v>
      </c>
      <c r="T14621" s="1095">
        <v>-34.905437999999997</v>
      </c>
    </row>
    <row r="14622" spans="16:20">
      <c r="P14622" s="1094">
        <v>6330</v>
      </c>
      <c r="Q14622" t="s">
        <v>14510</v>
      </c>
      <c r="R14622" t="s">
        <v>480</v>
      </c>
      <c r="S14622">
        <v>117.863286</v>
      </c>
      <c r="T14622" s="1095">
        <v>-34.905437999999997</v>
      </c>
    </row>
    <row r="14623" spans="16:20">
      <c r="P14623" s="1094">
        <v>6330</v>
      </c>
      <c r="Q14623" t="s">
        <v>14511</v>
      </c>
      <c r="R14623" t="s">
        <v>480</v>
      </c>
      <c r="S14623">
        <v>117.863286</v>
      </c>
      <c r="T14623" s="1095">
        <v>-34.905437999999997</v>
      </c>
    </row>
    <row r="14624" spans="16:20">
      <c r="P14624" s="1094">
        <v>6330</v>
      </c>
      <c r="Q14624" t="s">
        <v>14512</v>
      </c>
      <c r="R14624" t="s">
        <v>480</v>
      </c>
      <c r="S14624">
        <v>117.863286</v>
      </c>
      <c r="T14624" s="1095">
        <v>-34.905437999999997</v>
      </c>
    </row>
    <row r="14625" spans="16:20">
      <c r="P14625" s="1094">
        <v>6330</v>
      </c>
      <c r="Q14625" t="s">
        <v>14513</v>
      </c>
      <c r="R14625" t="s">
        <v>480</v>
      </c>
      <c r="S14625">
        <v>117.863286</v>
      </c>
      <c r="T14625" s="1095">
        <v>-34.905437999999997</v>
      </c>
    </row>
    <row r="14626" spans="16:20">
      <c r="P14626" s="1094">
        <v>6330</v>
      </c>
      <c r="Q14626" t="s">
        <v>14514</v>
      </c>
      <c r="R14626" t="s">
        <v>480</v>
      </c>
      <c r="S14626">
        <v>117.863286</v>
      </c>
      <c r="T14626" s="1095">
        <v>-34.905437999999997</v>
      </c>
    </row>
    <row r="14627" spans="16:20">
      <c r="P14627" s="1094">
        <v>6330</v>
      </c>
      <c r="Q14627" t="s">
        <v>14515</v>
      </c>
      <c r="R14627" t="s">
        <v>480</v>
      </c>
      <c r="S14627">
        <v>117.863286</v>
      </c>
      <c r="T14627" s="1095">
        <v>-34.905437999999997</v>
      </c>
    </row>
    <row r="14628" spans="16:20">
      <c r="P14628" s="1094">
        <v>6330</v>
      </c>
      <c r="Q14628" t="s">
        <v>14516</v>
      </c>
      <c r="R14628" t="s">
        <v>480</v>
      </c>
      <c r="S14628">
        <v>117.863286</v>
      </c>
      <c r="T14628" s="1095">
        <v>-34.905437999999997</v>
      </c>
    </row>
    <row r="14629" spans="16:20">
      <c r="P14629" s="1094">
        <v>6330</v>
      </c>
      <c r="Q14629" t="s">
        <v>14517</v>
      </c>
      <c r="R14629" t="s">
        <v>480</v>
      </c>
      <c r="S14629">
        <v>117.863286</v>
      </c>
      <c r="T14629" s="1095">
        <v>-34.905437999999997</v>
      </c>
    </row>
    <row r="14630" spans="16:20">
      <c r="P14630" s="1094">
        <v>6330</v>
      </c>
      <c r="Q14630" t="s">
        <v>14518</v>
      </c>
      <c r="R14630" t="s">
        <v>480</v>
      </c>
      <c r="S14630">
        <v>117.863286</v>
      </c>
      <c r="T14630" s="1095">
        <v>-34.905437999999997</v>
      </c>
    </row>
    <row r="14631" spans="16:20">
      <c r="P14631" s="1094">
        <v>6330</v>
      </c>
      <c r="Q14631" t="s">
        <v>6380</v>
      </c>
      <c r="R14631" t="s">
        <v>480</v>
      </c>
      <c r="S14631">
        <v>117.863286</v>
      </c>
      <c r="T14631" s="1095">
        <v>-34.905437999999997</v>
      </c>
    </row>
    <row r="14632" spans="16:20">
      <c r="P14632" s="1094">
        <v>6330</v>
      </c>
      <c r="Q14632" t="s">
        <v>14519</v>
      </c>
      <c r="R14632" t="s">
        <v>480</v>
      </c>
      <c r="S14632">
        <v>117.863286</v>
      </c>
      <c r="T14632" s="1095">
        <v>-34.905437999999997</v>
      </c>
    </row>
    <row r="14633" spans="16:20">
      <c r="P14633" s="1094">
        <v>6330</v>
      </c>
      <c r="Q14633" t="s">
        <v>14520</v>
      </c>
      <c r="R14633" t="s">
        <v>480</v>
      </c>
      <c r="S14633">
        <v>117.863286</v>
      </c>
      <c r="T14633" s="1095">
        <v>-34.905437999999997</v>
      </c>
    </row>
    <row r="14634" spans="16:20">
      <c r="P14634" s="1094">
        <v>6330</v>
      </c>
      <c r="Q14634" t="s">
        <v>14521</v>
      </c>
      <c r="R14634" t="s">
        <v>480</v>
      </c>
      <c r="S14634">
        <v>117.863286</v>
      </c>
      <c r="T14634" s="1095">
        <v>-34.905437999999997</v>
      </c>
    </row>
    <row r="14635" spans="16:20">
      <c r="P14635" s="1094">
        <v>6330</v>
      </c>
      <c r="Q14635" t="s">
        <v>14522</v>
      </c>
      <c r="R14635" t="s">
        <v>480</v>
      </c>
      <c r="S14635">
        <v>117.863286</v>
      </c>
      <c r="T14635" s="1095">
        <v>-34.905437999999997</v>
      </c>
    </row>
    <row r="14636" spans="16:20">
      <c r="P14636" s="1094">
        <v>6330</v>
      </c>
      <c r="Q14636" t="s">
        <v>14523</v>
      </c>
      <c r="R14636" t="s">
        <v>480</v>
      </c>
      <c r="S14636">
        <v>117.863286</v>
      </c>
      <c r="T14636" s="1095">
        <v>-34.905437999999997</v>
      </c>
    </row>
    <row r="14637" spans="16:20">
      <c r="P14637" s="1094">
        <v>6330</v>
      </c>
      <c r="Q14637" t="s">
        <v>14524</v>
      </c>
      <c r="R14637" t="s">
        <v>480</v>
      </c>
      <c r="S14637">
        <v>117.863286</v>
      </c>
      <c r="T14637" s="1095">
        <v>-34.905437999999997</v>
      </c>
    </row>
    <row r="14638" spans="16:20">
      <c r="P14638" s="1094">
        <v>6330</v>
      </c>
      <c r="Q14638" t="s">
        <v>14525</v>
      </c>
      <c r="R14638" t="s">
        <v>480</v>
      </c>
      <c r="S14638">
        <v>117.863286</v>
      </c>
      <c r="T14638" s="1095">
        <v>-34.905437999999997</v>
      </c>
    </row>
    <row r="14639" spans="16:20">
      <c r="P14639" s="1094">
        <v>6330</v>
      </c>
      <c r="Q14639" t="s">
        <v>14526</v>
      </c>
      <c r="R14639" t="s">
        <v>480</v>
      </c>
      <c r="S14639">
        <v>117.863286</v>
      </c>
      <c r="T14639" s="1095">
        <v>-34.905437999999997</v>
      </c>
    </row>
    <row r="14640" spans="16:20">
      <c r="P14640" s="1094">
        <v>6330</v>
      </c>
      <c r="Q14640" t="s">
        <v>14527</v>
      </c>
      <c r="R14640" t="s">
        <v>480</v>
      </c>
      <c r="S14640">
        <v>117.863286</v>
      </c>
      <c r="T14640" s="1095">
        <v>-34.905437999999997</v>
      </c>
    </row>
    <row r="14641" spans="16:20">
      <c r="P14641" s="1094">
        <v>6330</v>
      </c>
      <c r="Q14641" t="s">
        <v>14528</v>
      </c>
      <c r="R14641" t="s">
        <v>480</v>
      </c>
      <c r="S14641">
        <v>117.863286</v>
      </c>
      <c r="T14641" s="1095">
        <v>-34.905437999999997</v>
      </c>
    </row>
    <row r="14642" spans="16:20">
      <c r="P14642" s="1094">
        <v>6330</v>
      </c>
      <c r="Q14642" t="s">
        <v>14529</v>
      </c>
      <c r="R14642" t="s">
        <v>480</v>
      </c>
      <c r="S14642">
        <v>117.863286</v>
      </c>
      <c r="T14642" s="1095">
        <v>-34.905437999999997</v>
      </c>
    </row>
    <row r="14643" spans="16:20">
      <c r="P14643" s="1094">
        <v>6330</v>
      </c>
      <c r="Q14643" t="s">
        <v>14530</v>
      </c>
      <c r="R14643" t="s">
        <v>480</v>
      </c>
      <c r="S14643">
        <v>117.863286</v>
      </c>
      <c r="T14643" s="1095">
        <v>-34.905437999999997</v>
      </c>
    </row>
    <row r="14644" spans="16:20">
      <c r="P14644" s="1094">
        <v>6331</v>
      </c>
      <c r="Q14644" t="s">
        <v>14531</v>
      </c>
      <c r="R14644" t="s">
        <v>480</v>
      </c>
      <c r="S14644">
        <v>0</v>
      </c>
      <c r="T14644" s="1095">
        <v>0</v>
      </c>
    </row>
    <row r="14645" spans="16:20">
      <c r="P14645" s="1094">
        <v>6332</v>
      </c>
      <c r="Q14645" t="s">
        <v>14487</v>
      </c>
      <c r="R14645" t="s">
        <v>480</v>
      </c>
      <c r="S14645">
        <v>0</v>
      </c>
      <c r="T14645" s="1095">
        <v>0</v>
      </c>
    </row>
    <row r="14646" spans="16:20">
      <c r="P14646" s="1094">
        <v>6333</v>
      </c>
      <c r="Q14646" t="s">
        <v>14532</v>
      </c>
      <c r="R14646" t="s">
        <v>480</v>
      </c>
      <c r="S14646">
        <v>117.158861</v>
      </c>
      <c r="T14646" s="1095">
        <v>-34.902512000000002</v>
      </c>
    </row>
    <row r="14647" spans="16:20">
      <c r="P14647" s="1094">
        <v>6333</v>
      </c>
      <c r="Q14647" t="s">
        <v>14533</v>
      </c>
      <c r="R14647" t="s">
        <v>480</v>
      </c>
      <c r="S14647">
        <v>117.158861</v>
      </c>
      <c r="T14647" s="1095">
        <v>-34.902512000000002</v>
      </c>
    </row>
    <row r="14648" spans="16:20">
      <c r="P14648" s="1094">
        <v>6333</v>
      </c>
      <c r="Q14648" t="s">
        <v>5413</v>
      </c>
      <c r="R14648" t="s">
        <v>480</v>
      </c>
      <c r="S14648">
        <v>117.158861</v>
      </c>
      <c r="T14648" s="1095">
        <v>-34.902512000000002</v>
      </c>
    </row>
    <row r="14649" spans="16:20">
      <c r="P14649" s="1094">
        <v>6333</v>
      </c>
      <c r="Q14649" t="s">
        <v>14534</v>
      </c>
      <c r="R14649" t="s">
        <v>480</v>
      </c>
      <c r="S14649">
        <v>117.158861</v>
      </c>
      <c r="T14649" s="1095">
        <v>-34.902512000000002</v>
      </c>
    </row>
    <row r="14650" spans="16:20">
      <c r="P14650" s="1094">
        <v>6333</v>
      </c>
      <c r="Q14650" t="s">
        <v>14535</v>
      </c>
      <c r="R14650" t="s">
        <v>480</v>
      </c>
      <c r="S14650">
        <v>117.158861</v>
      </c>
      <c r="T14650" s="1095">
        <v>-34.902512000000002</v>
      </c>
    </row>
    <row r="14651" spans="16:20">
      <c r="P14651" s="1094">
        <v>6333</v>
      </c>
      <c r="Q14651" t="s">
        <v>14536</v>
      </c>
      <c r="R14651" t="s">
        <v>480</v>
      </c>
      <c r="S14651">
        <v>117.158861</v>
      </c>
      <c r="T14651" s="1095">
        <v>-34.902512000000002</v>
      </c>
    </row>
    <row r="14652" spans="16:20">
      <c r="P14652" s="1094">
        <v>6333</v>
      </c>
      <c r="Q14652" t="s">
        <v>14537</v>
      </c>
      <c r="R14652" t="s">
        <v>480</v>
      </c>
      <c r="S14652">
        <v>117.158861</v>
      </c>
      <c r="T14652" s="1095">
        <v>-34.902512000000002</v>
      </c>
    </row>
    <row r="14653" spans="16:20">
      <c r="P14653" s="1094">
        <v>6333</v>
      </c>
      <c r="Q14653" t="s">
        <v>14538</v>
      </c>
      <c r="R14653" t="s">
        <v>480</v>
      </c>
      <c r="S14653">
        <v>117.158861</v>
      </c>
      <c r="T14653" s="1095">
        <v>-34.902512000000002</v>
      </c>
    </row>
    <row r="14654" spans="16:20">
      <c r="P14654" s="1094">
        <v>6333</v>
      </c>
      <c r="Q14654" t="s">
        <v>14539</v>
      </c>
      <c r="R14654" t="s">
        <v>480</v>
      </c>
      <c r="S14654">
        <v>117.158861</v>
      </c>
      <c r="T14654" s="1095">
        <v>-34.902512000000002</v>
      </c>
    </row>
    <row r="14655" spans="16:20">
      <c r="P14655" s="1094">
        <v>6333</v>
      </c>
      <c r="Q14655" t="s">
        <v>14540</v>
      </c>
      <c r="R14655" t="s">
        <v>480</v>
      </c>
      <c r="S14655">
        <v>117.158861</v>
      </c>
      <c r="T14655" s="1095">
        <v>-34.902512000000002</v>
      </c>
    </row>
    <row r="14656" spans="16:20">
      <c r="P14656" s="1094">
        <v>6333</v>
      </c>
      <c r="Q14656" t="s">
        <v>14541</v>
      </c>
      <c r="R14656" t="s">
        <v>480</v>
      </c>
      <c r="S14656">
        <v>117.158861</v>
      </c>
      <c r="T14656" s="1095">
        <v>-34.902512000000002</v>
      </c>
    </row>
    <row r="14657" spans="16:20">
      <c r="P14657" s="1094">
        <v>6333</v>
      </c>
      <c r="Q14657" t="s">
        <v>14542</v>
      </c>
      <c r="R14657" t="s">
        <v>480</v>
      </c>
      <c r="S14657">
        <v>117.158861</v>
      </c>
      <c r="T14657" s="1095">
        <v>-34.902512000000002</v>
      </c>
    </row>
    <row r="14658" spans="16:20">
      <c r="P14658" s="1094">
        <v>6333</v>
      </c>
      <c r="Q14658" t="s">
        <v>14543</v>
      </c>
      <c r="R14658" t="s">
        <v>480</v>
      </c>
      <c r="S14658">
        <v>117.158861</v>
      </c>
      <c r="T14658" s="1095">
        <v>-34.902512000000002</v>
      </c>
    </row>
    <row r="14659" spans="16:20">
      <c r="P14659" s="1094">
        <v>6333</v>
      </c>
      <c r="Q14659" t="s">
        <v>5896</v>
      </c>
      <c r="R14659" t="s">
        <v>480</v>
      </c>
      <c r="S14659">
        <v>117.158861</v>
      </c>
      <c r="T14659" s="1095">
        <v>-34.902512000000002</v>
      </c>
    </row>
    <row r="14660" spans="16:20">
      <c r="P14660" s="1094">
        <v>6333</v>
      </c>
      <c r="Q14660" t="s">
        <v>14544</v>
      </c>
      <c r="R14660" t="s">
        <v>480</v>
      </c>
      <c r="S14660">
        <v>117.158861</v>
      </c>
      <c r="T14660" s="1095">
        <v>-34.902512000000002</v>
      </c>
    </row>
    <row r="14661" spans="16:20">
      <c r="P14661" s="1094">
        <v>6333</v>
      </c>
      <c r="Q14661" t="s">
        <v>14545</v>
      </c>
      <c r="R14661" t="s">
        <v>480</v>
      </c>
      <c r="S14661">
        <v>117.158861</v>
      </c>
      <c r="T14661" s="1095">
        <v>-34.902512000000002</v>
      </c>
    </row>
    <row r="14662" spans="16:20">
      <c r="P14662" s="1094">
        <v>6333</v>
      </c>
      <c r="Q14662" t="s">
        <v>14546</v>
      </c>
      <c r="R14662" t="s">
        <v>480</v>
      </c>
      <c r="S14662">
        <v>117.158861</v>
      </c>
      <c r="T14662" s="1095">
        <v>-34.902512000000002</v>
      </c>
    </row>
    <row r="14663" spans="16:20">
      <c r="P14663" s="1094">
        <v>6335</v>
      </c>
      <c r="Q14663" t="s">
        <v>14547</v>
      </c>
      <c r="R14663" t="s">
        <v>480</v>
      </c>
      <c r="S14663">
        <v>118.11278299999999</v>
      </c>
      <c r="T14663" s="1095">
        <v>-33.869016999999999</v>
      </c>
    </row>
    <row r="14664" spans="16:20">
      <c r="P14664" s="1094">
        <v>6335</v>
      </c>
      <c r="Q14664" t="s">
        <v>14548</v>
      </c>
      <c r="R14664" t="s">
        <v>480</v>
      </c>
      <c r="S14664">
        <v>118.11278299999999</v>
      </c>
      <c r="T14664" s="1095">
        <v>-33.869016999999999</v>
      </c>
    </row>
    <row r="14665" spans="16:20">
      <c r="P14665" s="1094">
        <v>6335</v>
      </c>
      <c r="Q14665" t="s">
        <v>14549</v>
      </c>
      <c r="R14665" t="s">
        <v>480</v>
      </c>
      <c r="S14665">
        <v>118.11278299999999</v>
      </c>
      <c r="T14665" s="1095">
        <v>-33.869016999999999</v>
      </c>
    </row>
    <row r="14666" spans="16:20">
      <c r="P14666" s="1094">
        <v>6335</v>
      </c>
      <c r="Q14666" t="s">
        <v>14550</v>
      </c>
      <c r="R14666" t="s">
        <v>480</v>
      </c>
      <c r="S14666">
        <v>118.11278299999999</v>
      </c>
      <c r="T14666" s="1095">
        <v>-33.869016999999999</v>
      </c>
    </row>
    <row r="14667" spans="16:20">
      <c r="P14667" s="1094">
        <v>6336</v>
      </c>
      <c r="Q14667" t="s">
        <v>14551</v>
      </c>
      <c r="R14667" t="s">
        <v>480</v>
      </c>
      <c r="S14667">
        <v>118.596801</v>
      </c>
      <c r="T14667" s="1095">
        <v>-33.928235000000001</v>
      </c>
    </row>
    <row r="14668" spans="16:20">
      <c r="P14668" s="1094">
        <v>6336</v>
      </c>
      <c r="Q14668" t="s">
        <v>14552</v>
      </c>
      <c r="R14668" t="s">
        <v>480</v>
      </c>
      <c r="S14668">
        <v>118.596801</v>
      </c>
      <c r="T14668" s="1095">
        <v>-33.928235000000001</v>
      </c>
    </row>
    <row r="14669" spans="16:20">
      <c r="P14669" s="1094">
        <v>6336</v>
      </c>
      <c r="Q14669" t="s">
        <v>14553</v>
      </c>
      <c r="R14669" t="s">
        <v>480</v>
      </c>
      <c r="S14669">
        <v>118.596801</v>
      </c>
      <c r="T14669" s="1095">
        <v>-33.928235000000001</v>
      </c>
    </row>
    <row r="14670" spans="16:20">
      <c r="P14670" s="1094">
        <v>6336</v>
      </c>
      <c r="Q14670" t="s">
        <v>14554</v>
      </c>
      <c r="R14670" t="s">
        <v>480</v>
      </c>
      <c r="S14670">
        <v>118.596801</v>
      </c>
      <c r="T14670" s="1095">
        <v>-33.928235000000001</v>
      </c>
    </row>
    <row r="14671" spans="16:20">
      <c r="P14671" s="1094">
        <v>6336</v>
      </c>
      <c r="Q14671" t="s">
        <v>14555</v>
      </c>
      <c r="R14671" t="s">
        <v>480</v>
      </c>
      <c r="S14671">
        <v>118.596801</v>
      </c>
      <c r="T14671" s="1095">
        <v>-33.928235000000001</v>
      </c>
    </row>
    <row r="14672" spans="16:20">
      <c r="P14672" s="1094">
        <v>6336</v>
      </c>
      <c r="Q14672" t="s">
        <v>14556</v>
      </c>
      <c r="R14672" t="s">
        <v>480</v>
      </c>
      <c r="S14672">
        <v>118.596801</v>
      </c>
      <c r="T14672" s="1095">
        <v>-33.928235000000001</v>
      </c>
    </row>
    <row r="14673" spans="16:20">
      <c r="P14673" s="1094">
        <v>6337</v>
      </c>
      <c r="Q14673" t="s">
        <v>14557</v>
      </c>
      <c r="R14673" t="s">
        <v>480</v>
      </c>
      <c r="S14673">
        <v>119.237195</v>
      </c>
      <c r="T14673" s="1095">
        <v>-33.990448000000001</v>
      </c>
    </row>
    <row r="14674" spans="16:20">
      <c r="P14674" s="1094">
        <v>6337</v>
      </c>
      <c r="Q14674" t="s">
        <v>14558</v>
      </c>
      <c r="R14674" t="s">
        <v>480</v>
      </c>
      <c r="S14674">
        <v>119.237195</v>
      </c>
      <c r="T14674" s="1095">
        <v>-33.990448000000001</v>
      </c>
    </row>
    <row r="14675" spans="16:20">
      <c r="P14675" s="1094">
        <v>6337</v>
      </c>
      <c r="Q14675" t="s">
        <v>14559</v>
      </c>
      <c r="R14675" t="s">
        <v>480</v>
      </c>
      <c r="S14675">
        <v>119.237195</v>
      </c>
      <c r="T14675" s="1095">
        <v>-33.990448000000001</v>
      </c>
    </row>
    <row r="14676" spans="16:20">
      <c r="P14676" s="1094">
        <v>6337</v>
      </c>
      <c r="Q14676" t="s">
        <v>14560</v>
      </c>
      <c r="R14676" t="s">
        <v>480</v>
      </c>
      <c r="S14676">
        <v>119.237195</v>
      </c>
      <c r="T14676" s="1095">
        <v>-33.990448000000001</v>
      </c>
    </row>
    <row r="14677" spans="16:20">
      <c r="P14677" s="1094">
        <v>6337</v>
      </c>
      <c r="Q14677" t="s">
        <v>14561</v>
      </c>
      <c r="R14677" t="s">
        <v>480</v>
      </c>
      <c r="S14677">
        <v>119.237195</v>
      </c>
      <c r="T14677" s="1095">
        <v>-33.990448000000001</v>
      </c>
    </row>
    <row r="14678" spans="16:20">
      <c r="P14678" s="1094">
        <v>6338</v>
      </c>
      <c r="Q14678" t="s">
        <v>14562</v>
      </c>
      <c r="R14678" t="s">
        <v>480</v>
      </c>
      <c r="S14678">
        <v>118.657118</v>
      </c>
      <c r="T14678" s="1095">
        <v>-34.362864000000002</v>
      </c>
    </row>
    <row r="14679" spans="16:20">
      <c r="P14679" s="1094">
        <v>6338</v>
      </c>
      <c r="Q14679" t="s">
        <v>14563</v>
      </c>
      <c r="R14679" t="s">
        <v>480</v>
      </c>
      <c r="S14679">
        <v>118.657118</v>
      </c>
      <c r="T14679" s="1095">
        <v>-34.362864000000002</v>
      </c>
    </row>
    <row r="14680" spans="16:20">
      <c r="P14680" s="1094">
        <v>6338</v>
      </c>
      <c r="Q14680" t="s">
        <v>14564</v>
      </c>
      <c r="R14680" t="s">
        <v>480</v>
      </c>
      <c r="S14680">
        <v>118.657118</v>
      </c>
      <c r="T14680" s="1095">
        <v>-34.362864000000002</v>
      </c>
    </row>
    <row r="14681" spans="16:20">
      <c r="P14681" s="1094">
        <v>6338</v>
      </c>
      <c r="Q14681" t="s">
        <v>14565</v>
      </c>
      <c r="R14681" t="s">
        <v>480</v>
      </c>
      <c r="S14681">
        <v>118.657118</v>
      </c>
      <c r="T14681" s="1095">
        <v>-34.362864000000002</v>
      </c>
    </row>
    <row r="14682" spans="16:20">
      <c r="P14682" s="1094">
        <v>6338</v>
      </c>
      <c r="Q14682" t="s">
        <v>14566</v>
      </c>
      <c r="R14682" t="s">
        <v>480</v>
      </c>
      <c r="S14682">
        <v>118.657118</v>
      </c>
      <c r="T14682" s="1095">
        <v>-34.362864000000002</v>
      </c>
    </row>
    <row r="14683" spans="16:20">
      <c r="P14683" s="1094">
        <v>6338</v>
      </c>
      <c r="Q14683" t="s">
        <v>14567</v>
      </c>
      <c r="R14683" t="s">
        <v>480</v>
      </c>
      <c r="S14683">
        <v>118.657118</v>
      </c>
      <c r="T14683" s="1095">
        <v>-34.362864000000002</v>
      </c>
    </row>
    <row r="14684" spans="16:20">
      <c r="P14684" s="1094">
        <v>6338</v>
      </c>
      <c r="Q14684" t="s">
        <v>14568</v>
      </c>
      <c r="R14684" t="s">
        <v>480</v>
      </c>
      <c r="S14684">
        <v>118.657118</v>
      </c>
      <c r="T14684" s="1095">
        <v>-34.362864000000002</v>
      </c>
    </row>
    <row r="14685" spans="16:20">
      <c r="P14685" s="1094">
        <v>6338</v>
      </c>
      <c r="Q14685" t="s">
        <v>14569</v>
      </c>
      <c r="R14685" t="s">
        <v>480</v>
      </c>
      <c r="S14685">
        <v>118.657118</v>
      </c>
      <c r="T14685" s="1095">
        <v>-34.362864000000002</v>
      </c>
    </row>
    <row r="14686" spans="16:20">
      <c r="P14686" s="1094">
        <v>6338</v>
      </c>
      <c r="Q14686" t="s">
        <v>14570</v>
      </c>
      <c r="R14686" t="s">
        <v>480</v>
      </c>
      <c r="S14686">
        <v>118.657118</v>
      </c>
      <c r="T14686" s="1095">
        <v>-34.362864000000002</v>
      </c>
    </row>
    <row r="14687" spans="16:20">
      <c r="P14687" s="1094">
        <v>6341</v>
      </c>
      <c r="Q14687" t="s">
        <v>14571</v>
      </c>
      <c r="R14687" t="s">
        <v>480</v>
      </c>
      <c r="S14687">
        <v>118.21517299999999</v>
      </c>
      <c r="T14687" s="1095">
        <v>-33.513646999999999</v>
      </c>
    </row>
    <row r="14688" spans="16:20">
      <c r="P14688" s="1094">
        <v>6343</v>
      </c>
      <c r="Q14688" t="s">
        <v>14572</v>
      </c>
      <c r="R14688" t="s">
        <v>480</v>
      </c>
      <c r="S14688">
        <v>118.79925</v>
      </c>
      <c r="T14688" s="1095">
        <v>-33.535558999999999</v>
      </c>
    </row>
    <row r="14689" spans="16:20">
      <c r="P14689" s="1094">
        <v>6346</v>
      </c>
      <c r="Q14689" t="s">
        <v>14573</v>
      </c>
      <c r="R14689" t="s">
        <v>480</v>
      </c>
      <c r="S14689">
        <v>120.349013</v>
      </c>
      <c r="T14689" s="1095">
        <v>-33.319068000000001</v>
      </c>
    </row>
    <row r="14690" spans="16:20">
      <c r="P14690" s="1094">
        <v>6346</v>
      </c>
      <c r="Q14690" t="s">
        <v>14574</v>
      </c>
      <c r="R14690" t="s">
        <v>480</v>
      </c>
      <c r="S14690">
        <v>120.349013</v>
      </c>
      <c r="T14690" s="1095">
        <v>-33.319068000000001</v>
      </c>
    </row>
    <row r="14691" spans="16:20">
      <c r="P14691" s="1094">
        <v>6346</v>
      </c>
      <c r="Q14691" t="s">
        <v>14575</v>
      </c>
      <c r="R14691" t="s">
        <v>480</v>
      </c>
      <c r="S14691">
        <v>120.349013</v>
      </c>
      <c r="T14691" s="1095">
        <v>-33.319068000000001</v>
      </c>
    </row>
    <row r="14692" spans="16:20">
      <c r="P14692" s="1094">
        <v>6346</v>
      </c>
      <c r="Q14692" t="s">
        <v>14576</v>
      </c>
      <c r="R14692" t="s">
        <v>480</v>
      </c>
      <c r="S14692">
        <v>120.349013</v>
      </c>
      <c r="T14692" s="1095">
        <v>-33.319068000000001</v>
      </c>
    </row>
    <row r="14693" spans="16:20">
      <c r="P14693" s="1094">
        <v>6348</v>
      </c>
      <c r="Q14693" t="s">
        <v>7488</v>
      </c>
      <c r="R14693" t="s">
        <v>480</v>
      </c>
      <c r="S14693">
        <v>120.14577300000001</v>
      </c>
      <c r="T14693" s="1095">
        <v>-33.881306000000002</v>
      </c>
    </row>
    <row r="14694" spans="16:20">
      <c r="P14694" s="1094">
        <v>6350</v>
      </c>
      <c r="Q14694" t="s">
        <v>14577</v>
      </c>
      <c r="R14694" t="s">
        <v>480</v>
      </c>
      <c r="S14694">
        <v>117.783872</v>
      </c>
      <c r="T14694" s="1095">
        <v>-33.281233</v>
      </c>
    </row>
    <row r="14695" spans="16:20">
      <c r="P14695" s="1094">
        <v>6350</v>
      </c>
      <c r="Q14695" t="s">
        <v>14578</v>
      </c>
      <c r="R14695" t="s">
        <v>480</v>
      </c>
      <c r="S14695">
        <v>117.783872</v>
      </c>
      <c r="T14695" s="1095">
        <v>-33.281233</v>
      </c>
    </row>
    <row r="14696" spans="16:20">
      <c r="P14696" s="1094">
        <v>6350</v>
      </c>
      <c r="Q14696" t="s">
        <v>14579</v>
      </c>
      <c r="R14696" t="s">
        <v>480</v>
      </c>
      <c r="S14696">
        <v>117.783872</v>
      </c>
      <c r="T14696" s="1095">
        <v>-33.281233</v>
      </c>
    </row>
    <row r="14697" spans="16:20">
      <c r="P14697" s="1094">
        <v>6351</v>
      </c>
      <c r="Q14697" t="s">
        <v>14580</v>
      </c>
      <c r="R14697" t="s">
        <v>480</v>
      </c>
      <c r="S14697">
        <v>0</v>
      </c>
      <c r="T14697" s="1095">
        <v>0</v>
      </c>
    </row>
    <row r="14698" spans="16:20">
      <c r="P14698" s="1094">
        <v>6351</v>
      </c>
      <c r="Q14698" t="s">
        <v>14581</v>
      </c>
      <c r="R14698" t="s">
        <v>480</v>
      </c>
      <c r="S14698">
        <v>0</v>
      </c>
      <c r="T14698" s="1095">
        <v>0</v>
      </c>
    </row>
    <row r="14699" spans="16:20">
      <c r="P14699" s="1094">
        <v>6352</v>
      </c>
      <c r="Q14699" t="s">
        <v>14582</v>
      </c>
      <c r="R14699" t="s">
        <v>480</v>
      </c>
      <c r="S14699">
        <v>118.086163</v>
      </c>
      <c r="T14699" s="1095">
        <v>-33.185465000000001</v>
      </c>
    </row>
    <row r="14700" spans="16:20">
      <c r="P14700" s="1094">
        <v>6352</v>
      </c>
      <c r="Q14700" t="s">
        <v>14583</v>
      </c>
      <c r="R14700" t="s">
        <v>480</v>
      </c>
      <c r="S14700">
        <v>118.086163</v>
      </c>
      <c r="T14700" s="1095">
        <v>-33.185465000000001</v>
      </c>
    </row>
    <row r="14701" spans="16:20">
      <c r="P14701" s="1094">
        <v>6352</v>
      </c>
      <c r="Q14701" t="s">
        <v>14584</v>
      </c>
      <c r="R14701" t="s">
        <v>480</v>
      </c>
      <c r="S14701">
        <v>118.086163</v>
      </c>
      <c r="T14701" s="1095">
        <v>-33.185465000000001</v>
      </c>
    </row>
    <row r="14702" spans="16:20">
      <c r="P14702" s="1094">
        <v>6352</v>
      </c>
      <c r="Q14702" t="s">
        <v>14585</v>
      </c>
      <c r="R14702" t="s">
        <v>480</v>
      </c>
      <c r="S14702">
        <v>118.086163</v>
      </c>
      <c r="T14702" s="1095">
        <v>-33.185465000000001</v>
      </c>
    </row>
    <row r="14703" spans="16:20">
      <c r="P14703" s="1094">
        <v>6353</v>
      </c>
      <c r="Q14703" t="s">
        <v>14586</v>
      </c>
      <c r="R14703" t="s">
        <v>480</v>
      </c>
      <c r="S14703">
        <v>118.510341</v>
      </c>
      <c r="T14703" s="1095">
        <v>-33.131383</v>
      </c>
    </row>
    <row r="14704" spans="16:20">
      <c r="P14704" s="1094">
        <v>6353</v>
      </c>
      <c r="Q14704" t="s">
        <v>14587</v>
      </c>
      <c r="R14704" t="s">
        <v>480</v>
      </c>
      <c r="S14704">
        <v>118.510341</v>
      </c>
      <c r="T14704" s="1095">
        <v>-33.131383</v>
      </c>
    </row>
    <row r="14705" spans="16:20">
      <c r="P14705" s="1094">
        <v>6353</v>
      </c>
      <c r="Q14705" t="s">
        <v>14588</v>
      </c>
      <c r="R14705" t="s">
        <v>480</v>
      </c>
      <c r="S14705">
        <v>118.510341</v>
      </c>
      <c r="T14705" s="1095">
        <v>-33.131383</v>
      </c>
    </row>
    <row r="14706" spans="16:20">
      <c r="P14706" s="1094">
        <v>6353</v>
      </c>
      <c r="Q14706" t="s">
        <v>14589</v>
      </c>
      <c r="R14706" t="s">
        <v>480</v>
      </c>
      <c r="S14706">
        <v>118.510341</v>
      </c>
      <c r="T14706" s="1095">
        <v>-33.131383</v>
      </c>
    </row>
    <row r="14707" spans="16:20">
      <c r="P14707" s="1094">
        <v>6353</v>
      </c>
      <c r="Q14707" t="s">
        <v>14590</v>
      </c>
      <c r="R14707" t="s">
        <v>480</v>
      </c>
      <c r="S14707">
        <v>118.510341</v>
      </c>
      <c r="T14707" s="1095">
        <v>-33.131383</v>
      </c>
    </row>
    <row r="14708" spans="16:20">
      <c r="P14708" s="1094">
        <v>6353</v>
      </c>
      <c r="Q14708" t="s">
        <v>14591</v>
      </c>
      <c r="R14708" t="s">
        <v>480</v>
      </c>
      <c r="S14708">
        <v>118.510341</v>
      </c>
      <c r="T14708" s="1095">
        <v>-33.131383</v>
      </c>
    </row>
    <row r="14709" spans="16:20">
      <c r="P14709" s="1094">
        <v>6353</v>
      </c>
      <c r="Q14709" t="s">
        <v>14592</v>
      </c>
      <c r="R14709" t="s">
        <v>480</v>
      </c>
      <c r="S14709">
        <v>118.510341</v>
      </c>
      <c r="T14709" s="1095">
        <v>-33.131383</v>
      </c>
    </row>
    <row r="14710" spans="16:20">
      <c r="P14710" s="1094">
        <v>6353</v>
      </c>
      <c r="Q14710" t="s">
        <v>14593</v>
      </c>
      <c r="R14710" t="s">
        <v>480</v>
      </c>
      <c r="S14710">
        <v>118.510341</v>
      </c>
      <c r="T14710" s="1095">
        <v>-33.131383</v>
      </c>
    </row>
    <row r="14711" spans="16:20">
      <c r="P14711" s="1094">
        <v>6353</v>
      </c>
      <c r="Q14711" t="s">
        <v>14594</v>
      </c>
      <c r="R14711" t="s">
        <v>480</v>
      </c>
      <c r="S14711">
        <v>118.510341</v>
      </c>
      <c r="T14711" s="1095">
        <v>-33.131383</v>
      </c>
    </row>
    <row r="14712" spans="16:20">
      <c r="P14712" s="1094">
        <v>6353</v>
      </c>
      <c r="Q14712" t="s">
        <v>14595</v>
      </c>
      <c r="R14712" t="s">
        <v>480</v>
      </c>
      <c r="S14712">
        <v>118.510341</v>
      </c>
      <c r="T14712" s="1095">
        <v>-33.131383</v>
      </c>
    </row>
    <row r="14713" spans="16:20">
      <c r="P14713" s="1094">
        <v>6355</v>
      </c>
      <c r="Q14713" t="s">
        <v>14596</v>
      </c>
      <c r="R14713" t="s">
        <v>480</v>
      </c>
      <c r="S14713">
        <v>119.098339</v>
      </c>
      <c r="T14713" s="1095">
        <v>-33.032688</v>
      </c>
    </row>
    <row r="14714" spans="16:20">
      <c r="P14714" s="1094">
        <v>6355</v>
      </c>
      <c r="Q14714" t="s">
        <v>14597</v>
      </c>
      <c r="R14714" t="s">
        <v>480</v>
      </c>
      <c r="S14714">
        <v>119.098339</v>
      </c>
      <c r="T14714" s="1095">
        <v>-33.032688</v>
      </c>
    </row>
    <row r="14715" spans="16:20">
      <c r="P14715" s="1094">
        <v>6355</v>
      </c>
      <c r="Q14715" t="s">
        <v>14598</v>
      </c>
      <c r="R14715" t="s">
        <v>480</v>
      </c>
      <c r="S14715">
        <v>119.098339</v>
      </c>
      <c r="T14715" s="1095">
        <v>-33.032688</v>
      </c>
    </row>
    <row r="14716" spans="16:20">
      <c r="P14716" s="1094">
        <v>6355</v>
      </c>
      <c r="Q14716" t="s">
        <v>14599</v>
      </c>
      <c r="R14716" t="s">
        <v>480</v>
      </c>
      <c r="S14716">
        <v>119.098339</v>
      </c>
      <c r="T14716" s="1095">
        <v>-33.032688</v>
      </c>
    </row>
    <row r="14717" spans="16:20">
      <c r="P14717" s="1094">
        <v>6355</v>
      </c>
      <c r="Q14717" t="s">
        <v>14600</v>
      </c>
      <c r="R14717" t="s">
        <v>480</v>
      </c>
      <c r="S14717">
        <v>119.098339</v>
      </c>
      <c r="T14717" s="1095">
        <v>-33.032688</v>
      </c>
    </row>
    <row r="14718" spans="16:20">
      <c r="P14718" s="1094">
        <v>6355</v>
      </c>
      <c r="Q14718" t="s">
        <v>14601</v>
      </c>
      <c r="R14718" t="s">
        <v>480</v>
      </c>
      <c r="S14718">
        <v>119.098339</v>
      </c>
      <c r="T14718" s="1095">
        <v>-33.032688</v>
      </c>
    </row>
    <row r="14719" spans="16:20">
      <c r="P14719" s="1094">
        <v>6355</v>
      </c>
      <c r="Q14719" t="s">
        <v>14602</v>
      </c>
      <c r="R14719" t="s">
        <v>480</v>
      </c>
      <c r="S14719">
        <v>119.098339</v>
      </c>
      <c r="T14719" s="1095">
        <v>-33.032688</v>
      </c>
    </row>
    <row r="14720" spans="16:20">
      <c r="P14720" s="1094">
        <v>6355</v>
      </c>
      <c r="Q14720" t="s">
        <v>12152</v>
      </c>
      <c r="R14720" t="s">
        <v>480</v>
      </c>
      <c r="S14720">
        <v>119.098339</v>
      </c>
      <c r="T14720" s="1095">
        <v>-33.032688</v>
      </c>
    </row>
    <row r="14721" spans="16:20">
      <c r="P14721" s="1094">
        <v>6355</v>
      </c>
      <c r="Q14721" t="s">
        <v>14603</v>
      </c>
      <c r="R14721" t="s">
        <v>480</v>
      </c>
      <c r="S14721">
        <v>119.098339</v>
      </c>
      <c r="T14721" s="1095">
        <v>-33.032688</v>
      </c>
    </row>
    <row r="14722" spans="16:20">
      <c r="P14722" s="1094">
        <v>6355</v>
      </c>
      <c r="Q14722" t="s">
        <v>14604</v>
      </c>
      <c r="R14722" t="s">
        <v>480</v>
      </c>
      <c r="S14722">
        <v>119.098339</v>
      </c>
      <c r="T14722" s="1095">
        <v>-33.032688</v>
      </c>
    </row>
    <row r="14723" spans="16:20">
      <c r="P14723" s="1094">
        <v>6355</v>
      </c>
      <c r="Q14723" t="s">
        <v>14605</v>
      </c>
      <c r="R14723" t="s">
        <v>480</v>
      </c>
      <c r="S14723">
        <v>119.098339</v>
      </c>
      <c r="T14723" s="1095">
        <v>-33.032688</v>
      </c>
    </row>
    <row r="14724" spans="16:20">
      <c r="P14724" s="1094">
        <v>6356</v>
      </c>
      <c r="Q14724" t="s">
        <v>14606</v>
      </c>
      <c r="R14724" t="s">
        <v>480</v>
      </c>
      <c r="S14724">
        <v>119.713036</v>
      </c>
      <c r="T14724" s="1095">
        <v>-33.121892000000003</v>
      </c>
    </row>
    <row r="14725" spans="16:20">
      <c r="P14725" s="1094">
        <v>6356</v>
      </c>
      <c r="Q14725" t="s">
        <v>14607</v>
      </c>
      <c r="R14725" t="s">
        <v>480</v>
      </c>
      <c r="S14725">
        <v>119.713036</v>
      </c>
      <c r="T14725" s="1095">
        <v>-33.121892000000003</v>
      </c>
    </row>
    <row r="14726" spans="16:20">
      <c r="P14726" s="1094">
        <v>6357</v>
      </c>
      <c r="Q14726" t="s">
        <v>14608</v>
      </c>
      <c r="R14726" t="s">
        <v>480</v>
      </c>
      <c r="S14726">
        <v>118.72416200000001</v>
      </c>
      <c r="T14726" s="1095">
        <v>-32.809660000000001</v>
      </c>
    </row>
    <row r="14727" spans="16:20">
      <c r="P14727" s="1094">
        <v>6358</v>
      </c>
      <c r="Q14727" t="s">
        <v>14609</v>
      </c>
      <c r="R14727" t="s">
        <v>480</v>
      </c>
      <c r="S14727">
        <v>118.671921</v>
      </c>
      <c r="T14727" s="1095">
        <v>-32.483916999999998</v>
      </c>
    </row>
    <row r="14728" spans="16:20">
      <c r="P14728" s="1094">
        <v>6359</v>
      </c>
      <c r="Q14728" t="s">
        <v>14610</v>
      </c>
      <c r="R14728" t="s">
        <v>480</v>
      </c>
      <c r="S14728">
        <v>119.31120900000001</v>
      </c>
      <c r="T14728" s="1095">
        <v>-32.42539</v>
      </c>
    </row>
    <row r="14729" spans="16:20">
      <c r="P14729" s="1094">
        <v>6359</v>
      </c>
      <c r="Q14729" t="s">
        <v>14611</v>
      </c>
      <c r="R14729" t="s">
        <v>480</v>
      </c>
      <c r="S14729">
        <v>119.31120900000001</v>
      </c>
      <c r="T14729" s="1095">
        <v>-32.42539</v>
      </c>
    </row>
    <row r="14730" spans="16:20">
      <c r="P14730" s="1094">
        <v>6361</v>
      </c>
      <c r="Q14730" t="s">
        <v>14612</v>
      </c>
      <c r="R14730" t="s">
        <v>480</v>
      </c>
      <c r="S14730">
        <v>117.7572</v>
      </c>
      <c r="T14730" s="1095">
        <v>-32.989400000000003</v>
      </c>
    </row>
    <row r="14731" spans="16:20">
      <c r="P14731" s="1094">
        <v>6361</v>
      </c>
      <c r="Q14731" t="s">
        <v>14613</v>
      </c>
      <c r="R14731" t="s">
        <v>480</v>
      </c>
      <c r="S14731">
        <v>117.7572</v>
      </c>
      <c r="T14731" s="1095">
        <v>-32.989400000000003</v>
      </c>
    </row>
    <row r="14732" spans="16:20">
      <c r="P14732" s="1094">
        <v>6363</v>
      </c>
      <c r="Q14732" t="s">
        <v>14614</v>
      </c>
      <c r="R14732" t="s">
        <v>480</v>
      </c>
      <c r="S14732">
        <v>118.004212</v>
      </c>
      <c r="T14732" s="1095">
        <v>-32.919792000000001</v>
      </c>
    </row>
    <row r="14733" spans="16:20">
      <c r="P14733" s="1094">
        <v>6363</v>
      </c>
      <c r="Q14733" t="s">
        <v>14615</v>
      </c>
      <c r="R14733" t="s">
        <v>480</v>
      </c>
      <c r="S14733">
        <v>118.004212</v>
      </c>
      <c r="T14733" s="1095">
        <v>-32.919792000000001</v>
      </c>
    </row>
    <row r="14734" spans="16:20">
      <c r="P14734" s="1094">
        <v>6365</v>
      </c>
      <c r="Q14734" t="s">
        <v>14616</v>
      </c>
      <c r="R14734" t="s">
        <v>480</v>
      </c>
      <c r="S14734">
        <v>118.28878400000001</v>
      </c>
      <c r="T14734" s="1095">
        <v>-32.723142000000003</v>
      </c>
    </row>
    <row r="14735" spans="16:20">
      <c r="P14735" s="1094">
        <v>6365</v>
      </c>
      <c r="Q14735" t="s">
        <v>14617</v>
      </c>
      <c r="R14735" t="s">
        <v>480</v>
      </c>
      <c r="S14735">
        <v>118.28878400000001</v>
      </c>
      <c r="T14735" s="1095">
        <v>-32.723142000000003</v>
      </c>
    </row>
    <row r="14736" spans="16:20">
      <c r="P14736" s="1094">
        <v>6365</v>
      </c>
      <c r="Q14736" t="s">
        <v>14618</v>
      </c>
      <c r="R14736" t="s">
        <v>480</v>
      </c>
      <c r="S14736">
        <v>118.28878400000001</v>
      </c>
      <c r="T14736" s="1095">
        <v>-32.723142000000003</v>
      </c>
    </row>
    <row r="14737" spans="16:20">
      <c r="P14737" s="1094">
        <v>6365</v>
      </c>
      <c r="Q14737" t="s">
        <v>14619</v>
      </c>
      <c r="R14737" t="s">
        <v>480</v>
      </c>
      <c r="S14737">
        <v>118.28878400000001</v>
      </c>
      <c r="T14737" s="1095">
        <v>-32.723142000000003</v>
      </c>
    </row>
    <row r="14738" spans="16:20">
      <c r="P14738" s="1094">
        <v>6367</v>
      </c>
      <c r="Q14738" t="s">
        <v>14620</v>
      </c>
      <c r="R14738" t="s">
        <v>480</v>
      </c>
      <c r="S14738">
        <v>118.35193599999999</v>
      </c>
      <c r="T14738" s="1095">
        <v>-32.422646</v>
      </c>
    </row>
    <row r="14739" spans="16:20">
      <c r="P14739" s="1094">
        <v>6367</v>
      </c>
      <c r="Q14739" t="s">
        <v>14621</v>
      </c>
      <c r="R14739" t="s">
        <v>480</v>
      </c>
      <c r="S14739">
        <v>118.35193599999999</v>
      </c>
      <c r="T14739" s="1095">
        <v>-32.422646</v>
      </c>
    </row>
    <row r="14740" spans="16:20">
      <c r="P14740" s="1094">
        <v>6368</v>
      </c>
      <c r="Q14740" t="s">
        <v>14622</v>
      </c>
      <c r="R14740" t="s">
        <v>480</v>
      </c>
      <c r="S14740">
        <v>118.339949</v>
      </c>
      <c r="T14740" s="1095">
        <v>-32.189464999999998</v>
      </c>
    </row>
    <row r="14741" spans="16:20">
      <c r="P14741" s="1094">
        <v>6369</v>
      </c>
      <c r="Q14741" t="s">
        <v>14623</v>
      </c>
      <c r="R14741" t="s">
        <v>480</v>
      </c>
      <c r="S14741">
        <v>118.806453</v>
      </c>
      <c r="T14741" s="1095">
        <v>-32.023679000000001</v>
      </c>
    </row>
    <row r="14742" spans="16:20">
      <c r="P14742" s="1094">
        <v>6369</v>
      </c>
      <c r="Q14742" t="s">
        <v>10085</v>
      </c>
      <c r="R14742" t="s">
        <v>480</v>
      </c>
      <c r="S14742">
        <v>118.806453</v>
      </c>
      <c r="T14742" s="1095">
        <v>-32.023679000000001</v>
      </c>
    </row>
    <row r="14743" spans="16:20">
      <c r="P14743" s="1094">
        <v>6369</v>
      </c>
      <c r="Q14743" t="s">
        <v>14624</v>
      </c>
      <c r="R14743" t="s">
        <v>480</v>
      </c>
      <c r="S14743">
        <v>118.806453</v>
      </c>
      <c r="T14743" s="1095">
        <v>-32.023679000000001</v>
      </c>
    </row>
    <row r="14744" spans="16:20">
      <c r="P14744" s="1094">
        <v>6369</v>
      </c>
      <c r="Q14744" t="s">
        <v>14625</v>
      </c>
      <c r="R14744" t="s">
        <v>480</v>
      </c>
      <c r="S14744">
        <v>118.806453</v>
      </c>
      <c r="T14744" s="1095">
        <v>-32.023679000000001</v>
      </c>
    </row>
    <row r="14745" spans="16:20">
      <c r="P14745" s="1094">
        <v>6369</v>
      </c>
      <c r="Q14745" t="s">
        <v>14626</v>
      </c>
      <c r="R14745" t="s">
        <v>480</v>
      </c>
      <c r="S14745">
        <v>118.806453</v>
      </c>
      <c r="T14745" s="1095">
        <v>-32.023679000000001</v>
      </c>
    </row>
    <row r="14746" spans="16:20">
      <c r="P14746" s="1094">
        <v>6369</v>
      </c>
      <c r="Q14746" t="s">
        <v>14627</v>
      </c>
      <c r="R14746" t="s">
        <v>480</v>
      </c>
      <c r="S14746">
        <v>118.806453</v>
      </c>
      <c r="T14746" s="1095">
        <v>-32.023679000000001</v>
      </c>
    </row>
    <row r="14747" spans="16:20">
      <c r="P14747" s="1094">
        <v>6370</v>
      </c>
      <c r="Q14747" t="s">
        <v>14628</v>
      </c>
      <c r="R14747" t="s">
        <v>480</v>
      </c>
      <c r="S14747">
        <v>117.626013</v>
      </c>
      <c r="T14747" s="1095">
        <v>-32.806049999999999</v>
      </c>
    </row>
    <row r="14748" spans="16:20">
      <c r="P14748" s="1094">
        <v>6370</v>
      </c>
      <c r="Q14748" t="s">
        <v>14629</v>
      </c>
      <c r="R14748" t="s">
        <v>480</v>
      </c>
      <c r="S14748">
        <v>117.626013</v>
      </c>
      <c r="T14748" s="1095">
        <v>-32.806049999999999</v>
      </c>
    </row>
    <row r="14749" spans="16:20">
      <c r="P14749" s="1094">
        <v>6370</v>
      </c>
      <c r="Q14749" t="s">
        <v>14630</v>
      </c>
      <c r="R14749" t="s">
        <v>480</v>
      </c>
      <c r="S14749">
        <v>117.626013</v>
      </c>
      <c r="T14749" s="1095">
        <v>-32.806049999999999</v>
      </c>
    </row>
    <row r="14750" spans="16:20">
      <c r="P14750" s="1094">
        <v>6370</v>
      </c>
      <c r="Q14750" t="s">
        <v>14631</v>
      </c>
      <c r="R14750" t="s">
        <v>480</v>
      </c>
      <c r="S14750">
        <v>117.626013</v>
      </c>
      <c r="T14750" s="1095">
        <v>-32.806049999999999</v>
      </c>
    </row>
    <row r="14751" spans="16:20">
      <c r="P14751" s="1094">
        <v>6370</v>
      </c>
      <c r="Q14751" t="s">
        <v>14632</v>
      </c>
      <c r="R14751" t="s">
        <v>480</v>
      </c>
      <c r="S14751">
        <v>117.626013</v>
      </c>
      <c r="T14751" s="1095">
        <v>-32.806049999999999</v>
      </c>
    </row>
    <row r="14752" spans="16:20">
      <c r="P14752" s="1094">
        <v>6372</v>
      </c>
      <c r="Q14752" t="s">
        <v>14633</v>
      </c>
      <c r="R14752" t="s">
        <v>480</v>
      </c>
      <c r="S14752">
        <v>117.690219</v>
      </c>
      <c r="T14752" s="1095">
        <v>-32.626159999999999</v>
      </c>
    </row>
    <row r="14753" spans="16:20">
      <c r="P14753" s="1094">
        <v>6373</v>
      </c>
      <c r="Q14753" t="s">
        <v>14634</v>
      </c>
      <c r="R14753" t="s">
        <v>480</v>
      </c>
      <c r="S14753">
        <v>117.763902</v>
      </c>
      <c r="T14753" s="1095">
        <v>-32.495421</v>
      </c>
    </row>
    <row r="14754" spans="16:20">
      <c r="P14754" s="1094">
        <v>6375</v>
      </c>
      <c r="Q14754" t="s">
        <v>14635</v>
      </c>
      <c r="R14754" t="s">
        <v>480</v>
      </c>
      <c r="S14754">
        <v>117.879836</v>
      </c>
      <c r="T14754" s="1095">
        <v>-32.286284000000002</v>
      </c>
    </row>
    <row r="14755" spans="16:20">
      <c r="P14755" s="1094">
        <v>6375</v>
      </c>
      <c r="Q14755" t="s">
        <v>14636</v>
      </c>
      <c r="R14755" t="s">
        <v>480</v>
      </c>
      <c r="S14755">
        <v>117.879836</v>
      </c>
      <c r="T14755" s="1095">
        <v>-32.286284000000002</v>
      </c>
    </row>
    <row r="14756" spans="16:20">
      <c r="P14756" s="1094">
        <v>6375</v>
      </c>
      <c r="Q14756" t="s">
        <v>14637</v>
      </c>
      <c r="R14756" t="s">
        <v>480</v>
      </c>
      <c r="S14756">
        <v>117.879836</v>
      </c>
      <c r="T14756" s="1095">
        <v>-32.286284000000002</v>
      </c>
    </row>
    <row r="14757" spans="16:20">
      <c r="P14757" s="1094">
        <v>6375</v>
      </c>
      <c r="Q14757" t="s">
        <v>14638</v>
      </c>
      <c r="R14757" t="s">
        <v>480</v>
      </c>
      <c r="S14757">
        <v>117.879836</v>
      </c>
      <c r="T14757" s="1095">
        <v>-32.286284000000002</v>
      </c>
    </row>
    <row r="14758" spans="16:20">
      <c r="P14758" s="1094">
        <v>6375</v>
      </c>
      <c r="Q14758" t="s">
        <v>14639</v>
      </c>
      <c r="R14758" t="s">
        <v>480</v>
      </c>
      <c r="S14758">
        <v>117.879836</v>
      </c>
      <c r="T14758" s="1095">
        <v>-32.286284000000002</v>
      </c>
    </row>
    <row r="14759" spans="16:20">
      <c r="P14759" s="1094">
        <v>6375</v>
      </c>
      <c r="Q14759" t="s">
        <v>14640</v>
      </c>
      <c r="R14759" t="s">
        <v>480</v>
      </c>
      <c r="S14759">
        <v>117.879836</v>
      </c>
      <c r="T14759" s="1095">
        <v>-32.286284000000002</v>
      </c>
    </row>
    <row r="14760" spans="16:20">
      <c r="P14760" s="1094">
        <v>6383</v>
      </c>
      <c r="Q14760" t="s">
        <v>14641</v>
      </c>
      <c r="R14760" t="s">
        <v>480</v>
      </c>
      <c r="S14760">
        <v>117.406271</v>
      </c>
      <c r="T14760" s="1095">
        <v>-31.951084000000002</v>
      </c>
    </row>
    <row r="14761" spans="16:20">
      <c r="P14761" s="1094">
        <v>6383</v>
      </c>
      <c r="Q14761" t="s">
        <v>14642</v>
      </c>
      <c r="R14761" t="s">
        <v>480</v>
      </c>
      <c r="S14761">
        <v>117.406271</v>
      </c>
      <c r="T14761" s="1095">
        <v>-31.951084000000002</v>
      </c>
    </row>
    <row r="14762" spans="16:20">
      <c r="P14762" s="1094">
        <v>6383</v>
      </c>
      <c r="Q14762" t="s">
        <v>14643</v>
      </c>
      <c r="R14762" t="s">
        <v>480</v>
      </c>
      <c r="S14762">
        <v>117.406271</v>
      </c>
      <c r="T14762" s="1095">
        <v>-31.951084000000002</v>
      </c>
    </row>
    <row r="14763" spans="16:20">
      <c r="P14763" s="1094">
        <v>6383</v>
      </c>
      <c r="Q14763" t="s">
        <v>4824</v>
      </c>
      <c r="R14763" t="s">
        <v>480</v>
      </c>
      <c r="S14763">
        <v>117.406271</v>
      </c>
      <c r="T14763" s="1095">
        <v>-31.951084000000002</v>
      </c>
    </row>
    <row r="14764" spans="16:20">
      <c r="P14764" s="1094">
        <v>6383</v>
      </c>
      <c r="Q14764" t="s">
        <v>14644</v>
      </c>
      <c r="R14764" t="s">
        <v>480</v>
      </c>
      <c r="S14764">
        <v>117.406271</v>
      </c>
      <c r="T14764" s="1095">
        <v>-31.951084000000002</v>
      </c>
    </row>
    <row r="14765" spans="16:20">
      <c r="P14765" s="1094">
        <v>6383</v>
      </c>
      <c r="Q14765" t="s">
        <v>14645</v>
      </c>
      <c r="R14765" t="s">
        <v>480</v>
      </c>
      <c r="S14765">
        <v>117.406271</v>
      </c>
      <c r="T14765" s="1095">
        <v>-31.951084000000002</v>
      </c>
    </row>
    <row r="14766" spans="16:20">
      <c r="P14766" s="1094">
        <v>6383</v>
      </c>
      <c r="Q14766" t="s">
        <v>14646</v>
      </c>
      <c r="R14766" t="s">
        <v>480</v>
      </c>
      <c r="S14766">
        <v>117.406271</v>
      </c>
      <c r="T14766" s="1095">
        <v>-31.951084000000002</v>
      </c>
    </row>
    <row r="14767" spans="16:20">
      <c r="P14767" s="1094">
        <v>6383</v>
      </c>
      <c r="Q14767" t="s">
        <v>14647</v>
      </c>
      <c r="R14767" t="s">
        <v>480</v>
      </c>
      <c r="S14767">
        <v>117.406271</v>
      </c>
      <c r="T14767" s="1095">
        <v>-31.951084000000002</v>
      </c>
    </row>
    <row r="14768" spans="16:20">
      <c r="P14768" s="1094">
        <v>6384</v>
      </c>
      <c r="Q14768" t="s">
        <v>14648</v>
      </c>
      <c r="R14768" t="s">
        <v>480</v>
      </c>
      <c r="S14768">
        <v>117.66620500000001</v>
      </c>
      <c r="T14768" s="1095">
        <v>-31.955552000000001</v>
      </c>
    </row>
    <row r="14769" spans="16:20">
      <c r="P14769" s="1094">
        <v>6385</v>
      </c>
      <c r="Q14769" t="s">
        <v>14649</v>
      </c>
      <c r="R14769" t="s">
        <v>480</v>
      </c>
      <c r="S14769">
        <v>117.74730099999999</v>
      </c>
      <c r="T14769" s="1095">
        <v>-31.902072</v>
      </c>
    </row>
    <row r="14770" spans="16:20">
      <c r="P14770" s="1094">
        <v>6386</v>
      </c>
      <c r="Q14770" t="s">
        <v>14650</v>
      </c>
      <c r="R14770" t="s">
        <v>480</v>
      </c>
      <c r="S14770">
        <v>117.81514199999999</v>
      </c>
      <c r="T14770" s="1095">
        <v>-31.950074000000001</v>
      </c>
    </row>
    <row r="14771" spans="16:20">
      <c r="P14771" s="1094">
        <v>6390</v>
      </c>
      <c r="Q14771" t="s">
        <v>4646</v>
      </c>
      <c r="R14771" t="s">
        <v>480</v>
      </c>
      <c r="S14771">
        <v>116.413369</v>
      </c>
      <c r="T14771" s="1095">
        <v>-32.805438000000002</v>
      </c>
    </row>
    <row r="14772" spans="16:20">
      <c r="P14772" s="1094">
        <v>6390</v>
      </c>
      <c r="Q14772" t="s">
        <v>14651</v>
      </c>
      <c r="R14772" t="s">
        <v>480</v>
      </c>
      <c r="S14772">
        <v>116.413369</v>
      </c>
      <c r="T14772" s="1095">
        <v>-32.805438000000002</v>
      </c>
    </row>
    <row r="14773" spans="16:20">
      <c r="P14773" s="1094">
        <v>6390</v>
      </c>
      <c r="Q14773" t="s">
        <v>14652</v>
      </c>
      <c r="R14773" t="s">
        <v>480</v>
      </c>
      <c r="S14773">
        <v>116.413369</v>
      </c>
      <c r="T14773" s="1095">
        <v>-32.805438000000002</v>
      </c>
    </row>
    <row r="14774" spans="16:20">
      <c r="P14774" s="1094">
        <v>6390</v>
      </c>
      <c r="Q14774" t="s">
        <v>14653</v>
      </c>
      <c r="R14774" t="s">
        <v>480</v>
      </c>
      <c r="S14774">
        <v>116.413369</v>
      </c>
      <c r="T14774" s="1095">
        <v>-32.805438000000002</v>
      </c>
    </row>
    <row r="14775" spans="16:20">
      <c r="P14775" s="1094">
        <v>6390</v>
      </c>
      <c r="Q14775" t="s">
        <v>14654</v>
      </c>
      <c r="R14775" t="s">
        <v>480</v>
      </c>
      <c r="S14775">
        <v>116.413369</v>
      </c>
      <c r="T14775" s="1095">
        <v>-32.805438000000002</v>
      </c>
    </row>
    <row r="14776" spans="16:20">
      <c r="P14776" s="1094">
        <v>6390</v>
      </c>
      <c r="Q14776" t="s">
        <v>14655</v>
      </c>
      <c r="R14776" t="s">
        <v>480</v>
      </c>
      <c r="S14776">
        <v>116.413369</v>
      </c>
      <c r="T14776" s="1095">
        <v>-32.805438000000002</v>
      </c>
    </row>
    <row r="14777" spans="16:20">
      <c r="P14777" s="1094">
        <v>6390</v>
      </c>
      <c r="Q14777" t="s">
        <v>14656</v>
      </c>
      <c r="R14777" t="s">
        <v>480</v>
      </c>
      <c r="S14777">
        <v>116.413369</v>
      </c>
      <c r="T14777" s="1095">
        <v>-32.805438000000002</v>
      </c>
    </row>
    <row r="14778" spans="16:20">
      <c r="P14778" s="1094">
        <v>6390</v>
      </c>
      <c r="Q14778" t="s">
        <v>14657</v>
      </c>
      <c r="R14778" t="s">
        <v>480</v>
      </c>
      <c r="S14778">
        <v>116.413369</v>
      </c>
      <c r="T14778" s="1095">
        <v>-32.805438000000002</v>
      </c>
    </row>
    <row r="14779" spans="16:20">
      <c r="P14779" s="1094">
        <v>6390</v>
      </c>
      <c r="Q14779" t="s">
        <v>14658</v>
      </c>
      <c r="R14779" t="s">
        <v>480</v>
      </c>
      <c r="S14779">
        <v>116.413369</v>
      </c>
      <c r="T14779" s="1095">
        <v>-32.805438000000002</v>
      </c>
    </row>
    <row r="14780" spans="16:20">
      <c r="P14780" s="1094">
        <v>6390</v>
      </c>
      <c r="Q14780" t="s">
        <v>14659</v>
      </c>
      <c r="R14780" t="s">
        <v>480</v>
      </c>
      <c r="S14780">
        <v>116.413369</v>
      </c>
      <c r="T14780" s="1095">
        <v>-32.805438000000002</v>
      </c>
    </row>
    <row r="14781" spans="16:20">
      <c r="P14781" s="1094">
        <v>6390</v>
      </c>
      <c r="Q14781" t="s">
        <v>14660</v>
      </c>
      <c r="R14781" t="s">
        <v>480</v>
      </c>
      <c r="S14781">
        <v>116.413369</v>
      </c>
      <c r="T14781" s="1095">
        <v>-32.805438000000002</v>
      </c>
    </row>
    <row r="14782" spans="16:20">
      <c r="P14782" s="1094">
        <v>6391</v>
      </c>
      <c r="Q14782" t="s">
        <v>14661</v>
      </c>
      <c r="R14782" t="s">
        <v>480</v>
      </c>
      <c r="S14782">
        <v>116.77320400000001</v>
      </c>
      <c r="T14782" s="1095">
        <v>-33.063299999999998</v>
      </c>
    </row>
    <row r="14783" spans="16:20">
      <c r="P14783" s="1094">
        <v>6391</v>
      </c>
      <c r="Q14783" t="s">
        <v>14662</v>
      </c>
      <c r="R14783" t="s">
        <v>480</v>
      </c>
      <c r="S14783">
        <v>116.77320400000001</v>
      </c>
      <c r="T14783" s="1095">
        <v>-33.063299999999998</v>
      </c>
    </row>
    <row r="14784" spans="16:20">
      <c r="P14784" s="1094">
        <v>6391</v>
      </c>
      <c r="Q14784" t="s">
        <v>14663</v>
      </c>
      <c r="R14784" t="s">
        <v>480</v>
      </c>
      <c r="S14784">
        <v>116.77320400000001</v>
      </c>
      <c r="T14784" s="1095">
        <v>-33.063299999999998</v>
      </c>
    </row>
    <row r="14785" spans="16:20">
      <c r="P14785" s="1094">
        <v>6391</v>
      </c>
      <c r="Q14785" t="s">
        <v>14664</v>
      </c>
      <c r="R14785" t="s">
        <v>480</v>
      </c>
      <c r="S14785">
        <v>116.77320400000001</v>
      </c>
      <c r="T14785" s="1095">
        <v>-33.063299999999998</v>
      </c>
    </row>
    <row r="14786" spans="16:20">
      <c r="P14786" s="1094">
        <v>6391</v>
      </c>
      <c r="Q14786" t="s">
        <v>14665</v>
      </c>
      <c r="R14786" t="s">
        <v>480</v>
      </c>
      <c r="S14786">
        <v>116.77320400000001</v>
      </c>
      <c r="T14786" s="1095">
        <v>-33.063299999999998</v>
      </c>
    </row>
    <row r="14787" spans="16:20">
      <c r="P14787" s="1094">
        <v>6391</v>
      </c>
      <c r="Q14787" t="s">
        <v>14666</v>
      </c>
      <c r="R14787" t="s">
        <v>480</v>
      </c>
      <c r="S14787">
        <v>116.77320400000001</v>
      </c>
      <c r="T14787" s="1095">
        <v>-33.063299999999998</v>
      </c>
    </row>
    <row r="14788" spans="16:20">
      <c r="P14788" s="1094">
        <v>6391</v>
      </c>
      <c r="Q14788" t="s">
        <v>14667</v>
      </c>
      <c r="R14788" t="s">
        <v>480</v>
      </c>
      <c r="S14788">
        <v>116.77320400000001</v>
      </c>
      <c r="T14788" s="1095">
        <v>-33.063299999999998</v>
      </c>
    </row>
    <row r="14789" spans="16:20">
      <c r="P14789" s="1094">
        <v>6391</v>
      </c>
      <c r="Q14789" t="s">
        <v>14668</v>
      </c>
      <c r="R14789" t="s">
        <v>480</v>
      </c>
      <c r="S14789">
        <v>116.77320400000001</v>
      </c>
      <c r="T14789" s="1095">
        <v>-33.063299999999998</v>
      </c>
    </row>
    <row r="14790" spans="16:20">
      <c r="P14790" s="1094">
        <v>6392</v>
      </c>
      <c r="Q14790" t="s">
        <v>14669</v>
      </c>
      <c r="R14790" t="s">
        <v>480</v>
      </c>
      <c r="S14790">
        <v>116.625294</v>
      </c>
      <c r="T14790" s="1095">
        <v>-33.400928999999998</v>
      </c>
    </row>
    <row r="14791" spans="16:20">
      <c r="P14791" s="1094">
        <v>6392</v>
      </c>
      <c r="Q14791" t="s">
        <v>14670</v>
      </c>
      <c r="R14791" t="s">
        <v>480</v>
      </c>
      <c r="S14791">
        <v>116.625294</v>
      </c>
      <c r="T14791" s="1095">
        <v>-33.400928999999998</v>
      </c>
    </row>
    <row r="14792" spans="16:20">
      <c r="P14792" s="1094">
        <v>6392</v>
      </c>
      <c r="Q14792" t="s">
        <v>14671</v>
      </c>
      <c r="R14792" t="s">
        <v>480</v>
      </c>
      <c r="S14792">
        <v>116.625294</v>
      </c>
      <c r="T14792" s="1095">
        <v>-33.400928999999998</v>
      </c>
    </row>
    <row r="14793" spans="16:20">
      <c r="P14793" s="1094">
        <v>6393</v>
      </c>
      <c r="Q14793" t="s">
        <v>14672</v>
      </c>
      <c r="R14793" t="s">
        <v>480</v>
      </c>
      <c r="S14793">
        <v>116.85396</v>
      </c>
      <c r="T14793" s="1095">
        <v>-33.538227999999997</v>
      </c>
    </row>
    <row r="14794" spans="16:20">
      <c r="P14794" s="1094">
        <v>6393</v>
      </c>
      <c r="Q14794" t="s">
        <v>14673</v>
      </c>
      <c r="R14794" t="s">
        <v>480</v>
      </c>
      <c r="S14794">
        <v>116.85396</v>
      </c>
      <c r="T14794" s="1095">
        <v>-33.538227999999997</v>
      </c>
    </row>
    <row r="14795" spans="16:20">
      <c r="P14795" s="1094">
        <v>6393</v>
      </c>
      <c r="Q14795" t="s">
        <v>14674</v>
      </c>
      <c r="R14795" t="s">
        <v>480</v>
      </c>
      <c r="S14795">
        <v>116.85396</v>
      </c>
      <c r="T14795" s="1095">
        <v>-33.538227999999997</v>
      </c>
    </row>
    <row r="14796" spans="16:20">
      <c r="P14796" s="1094">
        <v>6393</v>
      </c>
      <c r="Q14796" t="s">
        <v>14675</v>
      </c>
      <c r="R14796" t="s">
        <v>480</v>
      </c>
      <c r="S14796">
        <v>116.85396</v>
      </c>
      <c r="T14796" s="1095">
        <v>-33.538227999999997</v>
      </c>
    </row>
    <row r="14797" spans="16:20">
      <c r="P14797" s="1094">
        <v>6394</v>
      </c>
      <c r="Q14797" t="s">
        <v>14676</v>
      </c>
      <c r="R14797" t="s">
        <v>480</v>
      </c>
      <c r="S14797">
        <v>116.972036</v>
      </c>
      <c r="T14797" s="1095">
        <v>-33.833190000000002</v>
      </c>
    </row>
    <row r="14798" spans="16:20">
      <c r="P14798" s="1094">
        <v>6394</v>
      </c>
      <c r="Q14798" t="s">
        <v>14677</v>
      </c>
      <c r="R14798" t="s">
        <v>480</v>
      </c>
      <c r="S14798">
        <v>116.972036</v>
      </c>
      <c r="T14798" s="1095">
        <v>-33.833190000000002</v>
      </c>
    </row>
    <row r="14799" spans="16:20">
      <c r="P14799" s="1094">
        <v>6394</v>
      </c>
      <c r="Q14799" t="s">
        <v>14678</v>
      </c>
      <c r="R14799" t="s">
        <v>480</v>
      </c>
      <c r="S14799">
        <v>116.972036</v>
      </c>
      <c r="T14799" s="1095">
        <v>-33.833190000000002</v>
      </c>
    </row>
    <row r="14800" spans="16:20">
      <c r="P14800" s="1094">
        <v>6394</v>
      </c>
      <c r="Q14800" t="s">
        <v>14679</v>
      </c>
      <c r="R14800" t="s">
        <v>480</v>
      </c>
      <c r="S14800">
        <v>116.972036</v>
      </c>
      <c r="T14800" s="1095">
        <v>-33.833190000000002</v>
      </c>
    </row>
    <row r="14801" spans="16:20">
      <c r="P14801" s="1094">
        <v>6394</v>
      </c>
      <c r="Q14801" t="s">
        <v>14680</v>
      </c>
      <c r="R14801" t="s">
        <v>480</v>
      </c>
      <c r="S14801">
        <v>116.972036</v>
      </c>
      <c r="T14801" s="1095">
        <v>-33.833190000000002</v>
      </c>
    </row>
    <row r="14802" spans="16:20">
      <c r="P14802" s="1094">
        <v>6394</v>
      </c>
      <c r="Q14802" t="s">
        <v>14681</v>
      </c>
      <c r="R14802" t="s">
        <v>480</v>
      </c>
      <c r="S14802">
        <v>116.972036</v>
      </c>
      <c r="T14802" s="1095">
        <v>-33.833190000000002</v>
      </c>
    </row>
    <row r="14803" spans="16:20">
      <c r="P14803" s="1094">
        <v>6394</v>
      </c>
      <c r="Q14803" t="s">
        <v>14682</v>
      </c>
      <c r="R14803" t="s">
        <v>480</v>
      </c>
      <c r="S14803">
        <v>116.972036</v>
      </c>
      <c r="T14803" s="1095">
        <v>-33.833190000000002</v>
      </c>
    </row>
    <row r="14804" spans="16:20">
      <c r="P14804" s="1094">
        <v>6395</v>
      </c>
      <c r="Q14804" t="s">
        <v>14683</v>
      </c>
      <c r="R14804" t="s">
        <v>480</v>
      </c>
      <c r="S14804">
        <v>117.065276</v>
      </c>
      <c r="T14804" s="1095">
        <v>-33.885153000000003</v>
      </c>
    </row>
    <row r="14805" spans="16:20">
      <c r="P14805" s="1094">
        <v>6395</v>
      </c>
      <c r="Q14805" t="s">
        <v>14684</v>
      </c>
      <c r="R14805" t="s">
        <v>480</v>
      </c>
      <c r="S14805">
        <v>117.065276</v>
      </c>
      <c r="T14805" s="1095">
        <v>-33.885153000000003</v>
      </c>
    </row>
    <row r="14806" spans="16:20">
      <c r="P14806" s="1094">
        <v>6395</v>
      </c>
      <c r="Q14806" t="s">
        <v>14685</v>
      </c>
      <c r="R14806" t="s">
        <v>480</v>
      </c>
      <c r="S14806">
        <v>117.065276</v>
      </c>
      <c r="T14806" s="1095">
        <v>-33.885153000000003</v>
      </c>
    </row>
    <row r="14807" spans="16:20">
      <c r="P14807" s="1094">
        <v>6395</v>
      </c>
      <c r="Q14807" t="s">
        <v>10547</v>
      </c>
      <c r="R14807" t="s">
        <v>480</v>
      </c>
      <c r="S14807">
        <v>117.065276</v>
      </c>
      <c r="T14807" s="1095">
        <v>-33.885153000000003</v>
      </c>
    </row>
    <row r="14808" spans="16:20">
      <c r="P14808" s="1094">
        <v>6395</v>
      </c>
      <c r="Q14808" t="s">
        <v>14686</v>
      </c>
      <c r="R14808" t="s">
        <v>480</v>
      </c>
      <c r="S14808">
        <v>117.065276</v>
      </c>
      <c r="T14808" s="1095">
        <v>-33.885153000000003</v>
      </c>
    </row>
    <row r="14809" spans="16:20">
      <c r="P14809" s="1094">
        <v>6395</v>
      </c>
      <c r="Q14809" t="s">
        <v>14687</v>
      </c>
      <c r="R14809" t="s">
        <v>480</v>
      </c>
      <c r="S14809">
        <v>117.065276</v>
      </c>
      <c r="T14809" s="1095">
        <v>-33.885153000000003</v>
      </c>
    </row>
    <row r="14810" spans="16:20">
      <c r="P14810" s="1094">
        <v>6396</v>
      </c>
      <c r="Q14810" t="s">
        <v>14688</v>
      </c>
      <c r="R14810" t="s">
        <v>480</v>
      </c>
      <c r="S14810">
        <v>117.096189</v>
      </c>
      <c r="T14810" s="1095">
        <v>-34.372016000000002</v>
      </c>
    </row>
    <row r="14811" spans="16:20">
      <c r="P14811" s="1094">
        <v>6397</v>
      </c>
      <c r="Q14811" t="s">
        <v>12973</v>
      </c>
      <c r="R14811" t="s">
        <v>480</v>
      </c>
      <c r="S14811">
        <v>116.955359</v>
      </c>
      <c r="T14811" s="1095">
        <v>-34.543671000000003</v>
      </c>
    </row>
    <row r="14812" spans="16:20">
      <c r="P14812" s="1094">
        <v>6398</v>
      </c>
      <c r="Q14812" t="s">
        <v>2736</v>
      </c>
      <c r="R14812" t="s">
        <v>480</v>
      </c>
      <c r="S14812">
        <v>116.604043</v>
      </c>
      <c r="T14812" s="1095">
        <v>-34.788611000000003</v>
      </c>
    </row>
    <row r="14813" spans="16:20">
      <c r="P14813" s="1094">
        <v>6398</v>
      </c>
      <c r="Q14813" t="s">
        <v>14689</v>
      </c>
      <c r="R14813" t="s">
        <v>480</v>
      </c>
      <c r="S14813">
        <v>116.604043</v>
      </c>
      <c r="T14813" s="1095">
        <v>-34.788611000000003</v>
      </c>
    </row>
    <row r="14814" spans="16:20">
      <c r="P14814" s="1094">
        <v>6398</v>
      </c>
      <c r="Q14814" t="s">
        <v>14690</v>
      </c>
      <c r="R14814" t="s">
        <v>480</v>
      </c>
      <c r="S14814">
        <v>116.604043</v>
      </c>
      <c r="T14814" s="1095">
        <v>-34.788611000000003</v>
      </c>
    </row>
    <row r="14815" spans="16:20">
      <c r="P14815" s="1094">
        <v>6401</v>
      </c>
      <c r="Q14815" t="s">
        <v>8622</v>
      </c>
      <c r="R14815" t="s">
        <v>480</v>
      </c>
      <c r="S14815">
        <v>116.681727</v>
      </c>
      <c r="T14815" s="1095">
        <v>-31.640291999999999</v>
      </c>
    </row>
    <row r="14816" spans="16:20">
      <c r="P14816" s="1094">
        <v>6401</v>
      </c>
      <c r="Q14816" t="s">
        <v>14691</v>
      </c>
      <c r="R14816" t="s">
        <v>480</v>
      </c>
      <c r="S14816">
        <v>116.681727</v>
      </c>
      <c r="T14816" s="1095">
        <v>-31.640291999999999</v>
      </c>
    </row>
    <row r="14817" spans="16:20">
      <c r="P14817" s="1094">
        <v>6401</v>
      </c>
      <c r="Q14817" t="s">
        <v>14692</v>
      </c>
      <c r="R14817" t="s">
        <v>480</v>
      </c>
      <c r="S14817">
        <v>116.681727</v>
      </c>
      <c r="T14817" s="1095">
        <v>-31.640291999999999</v>
      </c>
    </row>
    <row r="14818" spans="16:20">
      <c r="P14818" s="1094">
        <v>6401</v>
      </c>
      <c r="Q14818" t="s">
        <v>7636</v>
      </c>
      <c r="R14818" t="s">
        <v>480</v>
      </c>
      <c r="S14818">
        <v>116.681727</v>
      </c>
      <c r="T14818" s="1095">
        <v>-31.640291999999999</v>
      </c>
    </row>
    <row r="14819" spans="16:20">
      <c r="P14819" s="1094">
        <v>6401</v>
      </c>
      <c r="Q14819" t="s">
        <v>14693</v>
      </c>
      <c r="R14819" t="s">
        <v>480</v>
      </c>
      <c r="S14819">
        <v>116.681727</v>
      </c>
      <c r="T14819" s="1095">
        <v>-31.640291999999999</v>
      </c>
    </row>
    <row r="14820" spans="16:20">
      <c r="P14820" s="1094">
        <v>6401</v>
      </c>
      <c r="Q14820" t="s">
        <v>14694</v>
      </c>
      <c r="R14820" t="s">
        <v>480</v>
      </c>
      <c r="S14820">
        <v>116.681727</v>
      </c>
      <c r="T14820" s="1095">
        <v>-31.640291999999999</v>
      </c>
    </row>
    <row r="14821" spans="16:20">
      <c r="P14821" s="1094">
        <v>6401</v>
      </c>
      <c r="Q14821" t="s">
        <v>14695</v>
      </c>
      <c r="R14821" t="s">
        <v>480</v>
      </c>
      <c r="S14821">
        <v>116.681727</v>
      </c>
      <c r="T14821" s="1095">
        <v>-31.640291999999999</v>
      </c>
    </row>
    <row r="14822" spans="16:20">
      <c r="P14822" s="1094">
        <v>6401</v>
      </c>
      <c r="Q14822" t="s">
        <v>14696</v>
      </c>
      <c r="R14822" t="s">
        <v>480</v>
      </c>
      <c r="S14822">
        <v>116.681727</v>
      </c>
      <c r="T14822" s="1095">
        <v>-31.640291999999999</v>
      </c>
    </row>
    <row r="14823" spans="16:20">
      <c r="P14823" s="1094">
        <v>6401</v>
      </c>
      <c r="Q14823" t="s">
        <v>14697</v>
      </c>
      <c r="R14823" t="s">
        <v>480</v>
      </c>
      <c r="S14823">
        <v>116.681727</v>
      </c>
      <c r="T14823" s="1095">
        <v>-31.640291999999999</v>
      </c>
    </row>
    <row r="14824" spans="16:20">
      <c r="P14824" s="1094">
        <v>6401</v>
      </c>
      <c r="Q14824" t="s">
        <v>14698</v>
      </c>
      <c r="R14824" t="s">
        <v>480</v>
      </c>
      <c r="S14824">
        <v>116.681727</v>
      </c>
      <c r="T14824" s="1095">
        <v>-31.640291999999999</v>
      </c>
    </row>
    <row r="14825" spans="16:20">
      <c r="P14825" s="1094">
        <v>6401</v>
      </c>
      <c r="Q14825" t="s">
        <v>14699</v>
      </c>
      <c r="R14825" t="s">
        <v>480</v>
      </c>
      <c r="S14825">
        <v>116.681727</v>
      </c>
      <c r="T14825" s="1095">
        <v>-31.640291999999999</v>
      </c>
    </row>
    <row r="14826" spans="16:20">
      <c r="P14826" s="1094">
        <v>6401</v>
      </c>
      <c r="Q14826" t="s">
        <v>14700</v>
      </c>
      <c r="R14826" t="s">
        <v>480</v>
      </c>
      <c r="S14826">
        <v>116.681727</v>
      </c>
      <c r="T14826" s="1095">
        <v>-31.640291999999999</v>
      </c>
    </row>
    <row r="14827" spans="16:20">
      <c r="P14827" s="1094">
        <v>6401</v>
      </c>
      <c r="Q14827" t="s">
        <v>14701</v>
      </c>
      <c r="R14827" t="s">
        <v>480</v>
      </c>
      <c r="S14827">
        <v>116.681727</v>
      </c>
      <c r="T14827" s="1095">
        <v>-31.640291999999999</v>
      </c>
    </row>
    <row r="14828" spans="16:20">
      <c r="P14828" s="1094">
        <v>6401</v>
      </c>
      <c r="Q14828" t="s">
        <v>4507</v>
      </c>
      <c r="R14828" t="s">
        <v>480</v>
      </c>
      <c r="S14828">
        <v>116.681727</v>
      </c>
      <c r="T14828" s="1095">
        <v>-31.640291999999999</v>
      </c>
    </row>
    <row r="14829" spans="16:20">
      <c r="P14829" s="1094">
        <v>6401</v>
      </c>
      <c r="Q14829" t="s">
        <v>14702</v>
      </c>
      <c r="R14829" t="s">
        <v>480</v>
      </c>
      <c r="S14829">
        <v>116.681727</v>
      </c>
      <c r="T14829" s="1095">
        <v>-31.640291999999999</v>
      </c>
    </row>
    <row r="14830" spans="16:20">
      <c r="P14830" s="1094">
        <v>6401</v>
      </c>
      <c r="Q14830" t="s">
        <v>14703</v>
      </c>
      <c r="R14830" t="s">
        <v>480</v>
      </c>
      <c r="S14830">
        <v>116.681727</v>
      </c>
      <c r="T14830" s="1095">
        <v>-31.640291999999999</v>
      </c>
    </row>
    <row r="14831" spans="16:20">
      <c r="P14831" s="1094">
        <v>6401</v>
      </c>
      <c r="Q14831" t="s">
        <v>14704</v>
      </c>
      <c r="R14831" t="s">
        <v>480</v>
      </c>
      <c r="S14831">
        <v>116.681727</v>
      </c>
      <c r="T14831" s="1095">
        <v>-31.640291999999999</v>
      </c>
    </row>
    <row r="14832" spans="16:20">
      <c r="P14832" s="1094">
        <v>6401</v>
      </c>
      <c r="Q14832" t="s">
        <v>14705</v>
      </c>
      <c r="R14832" t="s">
        <v>480</v>
      </c>
      <c r="S14832">
        <v>116.681727</v>
      </c>
      <c r="T14832" s="1095">
        <v>-31.640291999999999</v>
      </c>
    </row>
    <row r="14833" spans="16:20">
      <c r="P14833" s="1094">
        <v>6403</v>
      </c>
      <c r="Q14833" t="s">
        <v>14706</v>
      </c>
      <c r="R14833" t="s">
        <v>480</v>
      </c>
      <c r="S14833">
        <v>116.797476</v>
      </c>
      <c r="T14833" s="1095">
        <v>-31.643902000000001</v>
      </c>
    </row>
    <row r="14834" spans="16:20">
      <c r="P14834" s="1094">
        <v>6405</v>
      </c>
      <c r="Q14834" t="s">
        <v>14707</v>
      </c>
      <c r="R14834" t="s">
        <v>480</v>
      </c>
      <c r="S14834">
        <v>117.020194</v>
      </c>
      <c r="T14834" s="1095">
        <v>-31.605824999999999</v>
      </c>
    </row>
    <row r="14835" spans="16:20">
      <c r="P14835" s="1094">
        <v>6405</v>
      </c>
      <c r="Q14835" t="s">
        <v>14708</v>
      </c>
      <c r="R14835" t="s">
        <v>480</v>
      </c>
      <c r="S14835">
        <v>117.020194</v>
      </c>
      <c r="T14835" s="1095">
        <v>-31.605824999999999</v>
      </c>
    </row>
    <row r="14836" spans="16:20">
      <c r="P14836" s="1094">
        <v>6405</v>
      </c>
      <c r="Q14836" t="s">
        <v>14709</v>
      </c>
      <c r="R14836" t="s">
        <v>480</v>
      </c>
      <c r="S14836">
        <v>117.020194</v>
      </c>
      <c r="T14836" s="1095">
        <v>-31.605824999999999</v>
      </c>
    </row>
    <row r="14837" spans="16:20">
      <c r="P14837" s="1094">
        <v>6405</v>
      </c>
      <c r="Q14837" t="s">
        <v>14710</v>
      </c>
      <c r="R14837" t="s">
        <v>480</v>
      </c>
      <c r="S14837">
        <v>117.020194</v>
      </c>
      <c r="T14837" s="1095">
        <v>-31.605824999999999</v>
      </c>
    </row>
    <row r="14838" spans="16:20">
      <c r="P14838" s="1094">
        <v>6407</v>
      </c>
      <c r="Q14838" t="s">
        <v>14711</v>
      </c>
      <c r="R14838" t="s">
        <v>480</v>
      </c>
      <c r="S14838">
        <v>117.22206199999999</v>
      </c>
      <c r="T14838" s="1095">
        <v>-31.651142</v>
      </c>
    </row>
    <row r="14839" spans="16:20">
      <c r="P14839" s="1094">
        <v>6407</v>
      </c>
      <c r="Q14839" t="s">
        <v>14712</v>
      </c>
      <c r="R14839" t="s">
        <v>480</v>
      </c>
      <c r="S14839">
        <v>117.22206199999999</v>
      </c>
      <c r="T14839" s="1095">
        <v>-31.651142</v>
      </c>
    </row>
    <row r="14840" spans="16:20">
      <c r="P14840" s="1094">
        <v>6407</v>
      </c>
      <c r="Q14840" t="s">
        <v>14713</v>
      </c>
      <c r="R14840" t="s">
        <v>480</v>
      </c>
      <c r="S14840">
        <v>117.22206199999999</v>
      </c>
      <c r="T14840" s="1095">
        <v>-31.651142</v>
      </c>
    </row>
    <row r="14841" spans="16:20">
      <c r="P14841" s="1094">
        <v>6407</v>
      </c>
      <c r="Q14841" t="s">
        <v>14714</v>
      </c>
      <c r="R14841" t="s">
        <v>480</v>
      </c>
      <c r="S14841">
        <v>117.22206199999999</v>
      </c>
      <c r="T14841" s="1095">
        <v>-31.651142</v>
      </c>
    </row>
    <row r="14842" spans="16:20">
      <c r="P14842" s="1094">
        <v>6407</v>
      </c>
      <c r="Q14842" t="s">
        <v>14715</v>
      </c>
      <c r="R14842" t="s">
        <v>480</v>
      </c>
      <c r="S14842">
        <v>117.22206199999999</v>
      </c>
      <c r="T14842" s="1095">
        <v>-31.651142</v>
      </c>
    </row>
    <row r="14843" spans="16:20">
      <c r="P14843" s="1094">
        <v>6407</v>
      </c>
      <c r="Q14843" t="s">
        <v>14716</v>
      </c>
      <c r="R14843" t="s">
        <v>480</v>
      </c>
      <c r="S14843">
        <v>117.22206199999999</v>
      </c>
      <c r="T14843" s="1095">
        <v>-31.651142</v>
      </c>
    </row>
    <row r="14844" spans="16:20">
      <c r="P14844" s="1094">
        <v>6409</v>
      </c>
      <c r="Q14844" t="s">
        <v>14717</v>
      </c>
      <c r="R14844" t="s">
        <v>480</v>
      </c>
      <c r="S14844">
        <v>117.471029</v>
      </c>
      <c r="T14844" s="1095">
        <v>-31.605391000000001</v>
      </c>
    </row>
    <row r="14845" spans="16:20">
      <c r="P14845" s="1094">
        <v>6409</v>
      </c>
      <c r="Q14845" t="s">
        <v>14718</v>
      </c>
      <c r="R14845" t="s">
        <v>480</v>
      </c>
      <c r="S14845">
        <v>117.471029</v>
      </c>
      <c r="T14845" s="1095">
        <v>-31.605391000000001</v>
      </c>
    </row>
    <row r="14846" spans="16:20">
      <c r="P14846" s="1094">
        <v>6409</v>
      </c>
      <c r="Q14846" t="s">
        <v>14719</v>
      </c>
      <c r="R14846" t="s">
        <v>480</v>
      </c>
      <c r="S14846">
        <v>117.471029</v>
      </c>
      <c r="T14846" s="1095">
        <v>-31.605391000000001</v>
      </c>
    </row>
    <row r="14847" spans="16:20">
      <c r="P14847" s="1094">
        <v>6410</v>
      </c>
      <c r="Q14847" t="s">
        <v>3116</v>
      </c>
      <c r="R14847" t="s">
        <v>480</v>
      </c>
      <c r="S14847">
        <v>117.679993</v>
      </c>
      <c r="T14847" s="1095">
        <v>-31.579991</v>
      </c>
    </row>
    <row r="14848" spans="16:20">
      <c r="P14848" s="1094">
        <v>6410</v>
      </c>
      <c r="Q14848" t="s">
        <v>14720</v>
      </c>
      <c r="R14848" t="s">
        <v>480</v>
      </c>
      <c r="S14848">
        <v>117.679993</v>
      </c>
      <c r="T14848" s="1095">
        <v>-31.579991</v>
      </c>
    </row>
    <row r="14849" spans="16:20">
      <c r="P14849" s="1094">
        <v>6410</v>
      </c>
      <c r="Q14849" t="s">
        <v>14721</v>
      </c>
      <c r="R14849" t="s">
        <v>480</v>
      </c>
      <c r="S14849">
        <v>117.679993</v>
      </c>
      <c r="T14849" s="1095">
        <v>-31.579991</v>
      </c>
    </row>
    <row r="14850" spans="16:20">
      <c r="P14850" s="1094">
        <v>6410</v>
      </c>
      <c r="Q14850" t="s">
        <v>14722</v>
      </c>
      <c r="R14850" t="s">
        <v>480</v>
      </c>
      <c r="S14850">
        <v>117.679993</v>
      </c>
      <c r="T14850" s="1095">
        <v>-31.579991</v>
      </c>
    </row>
    <row r="14851" spans="16:20">
      <c r="P14851" s="1094">
        <v>6410</v>
      </c>
      <c r="Q14851" t="s">
        <v>14723</v>
      </c>
      <c r="R14851" t="s">
        <v>480</v>
      </c>
      <c r="S14851">
        <v>117.679993</v>
      </c>
      <c r="T14851" s="1095">
        <v>-31.579991</v>
      </c>
    </row>
    <row r="14852" spans="16:20">
      <c r="P14852" s="1094">
        <v>6411</v>
      </c>
      <c r="Q14852" t="s">
        <v>14724</v>
      </c>
      <c r="R14852" t="s">
        <v>480</v>
      </c>
      <c r="S14852">
        <v>117.905311</v>
      </c>
      <c r="T14852" s="1095">
        <v>-31.550535</v>
      </c>
    </row>
    <row r="14853" spans="16:20">
      <c r="P14853" s="1094">
        <v>6411</v>
      </c>
      <c r="Q14853" t="s">
        <v>14725</v>
      </c>
      <c r="R14853" t="s">
        <v>480</v>
      </c>
      <c r="S14853">
        <v>117.905311</v>
      </c>
      <c r="T14853" s="1095">
        <v>-31.550535</v>
      </c>
    </row>
    <row r="14854" spans="16:20">
      <c r="P14854" s="1094">
        <v>6412</v>
      </c>
      <c r="Q14854" t="s">
        <v>14726</v>
      </c>
      <c r="R14854" t="s">
        <v>480</v>
      </c>
      <c r="S14854">
        <v>117.979823</v>
      </c>
      <c r="T14854" s="1095">
        <v>-31.601075999999999</v>
      </c>
    </row>
    <row r="14855" spans="16:20">
      <c r="P14855" s="1094">
        <v>6412</v>
      </c>
      <c r="Q14855" t="s">
        <v>14727</v>
      </c>
      <c r="R14855" t="s">
        <v>480</v>
      </c>
      <c r="S14855">
        <v>117.979823</v>
      </c>
      <c r="T14855" s="1095">
        <v>-31.601075999999999</v>
      </c>
    </row>
    <row r="14856" spans="16:20">
      <c r="P14856" s="1094">
        <v>6413</v>
      </c>
      <c r="Q14856" t="s">
        <v>14728</v>
      </c>
      <c r="R14856" t="s">
        <v>480</v>
      </c>
      <c r="S14856">
        <v>118.064042</v>
      </c>
      <c r="T14856" s="1095">
        <v>-31.555637000000001</v>
      </c>
    </row>
    <row r="14857" spans="16:20">
      <c r="P14857" s="1094">
        <v>6414</v>
      </c>
      <c r="Q14857" t="s">
        <v>14729</v>
      </c>
      <c r="R14857" t="s">
        <v>480</v>
      </c>
      <c r="S14857">
        <v>118.16779699999999</v>
      </c>
      <c r="T14857" s="1095">
        <v>-31.526755000000001</v>
      </c>
    </row>
    <row r="14858" spans="16:20">
      <c r="P14858" s="1094">
        <v>6415</v>
      </c>
      <c r="Q14858" t="s">
        <v>14730</v>
      </c>
      <c r="R14858" t="s">
        <v>480</v>
      </c>
      <c r="S14858">
        <v>118.28998300000001</v>
      </c>
      <c r="T14858" s="1095">
        <v>-31.481223</v>
      </c>
    </row>
    <row r="14859" spans="16:20">
      <c r="P14859" s="1094">
        <v>6415</v>
      </c>
      <c r="Q14859" t="s">
        <v>14731</v>
      </c>
      <c r="R14859" t="s">
        <v>480</v>
      </c>
      <c r="S14859">
        <v>118.28998300000001</v>
      </c>
      <c r="T14859" s="1095">
        <v>-31.481223</v>
      </c>
    </row>
    <row r="14860" spans="16:20">
      <c r="P14860" s="1094">
        <v>6415</v>
      </c>
      <c r="Q14860" t="s">
        <v>14732</v>
      </c>
      <c r="R14860" t="s">
        <v>480</v>
      </c>
      <c r="S14860">
        <v>118.28998300000001</v>
      </c>
      <c r="T14860" s="1095">
        <v>-31.481223</v>
      </c>
    </row>
    <row r="14861" spans="16:20">
      <c r="P14861" s="1094">
        <v>6415</v>
      </c>
      <c r="Q14861" t="s">
        <v>14733</v>
      </c>
      <c r="R14861" t="s">
        <v>480</v>
      </c>
      <c r="S14861">
        <v>118.28998300000001</v>
      </c>
      <c r="T14861" s="1095">
        <v>-31.481223</v>
      </c>
    </row>
    <row r="14862" spans="16:20">
      <c r="P14862" s="1094">
        <v>6415</v>
      </c>
      <c r="Q14862" t="s">
        <v>14734</v>
      </c>
      <c r="R14862" t="s">
        <v>480</v>
      </c>
      <c r="S14862">
        <v>118.28998300000001</v>
      </c>
      <c r="T14862" s="1095">
        <v>-31.481223</v>
      </c>
    </row>
    <row r="14863" spans="16:20">
      <c r="P14863" s="1094">
        <v>6415</v>
      </c>
      <c r="Q14863" t="s">
        <v>14735</v>
      </c>
      <c r="R14863" t="s">
        <v>480</v>
      </c>
      <c r="S14863">
        <v>118.28998300000001</v>
      </c>
      <c r="T14863" s="1095">
        <v>-31.481223</v>
      </c>
    </row>
    <row r="14864" spans="16:20">
      <c r="P14864" s="1094">
        <v>6418</v>
      </c>
      <c r="Q14864" t="s">
        <v>14736</v>
      </c>
      <c r="R14864" t="s">
        <v>480</v>
      </c>
      <c r="S14864">
        <v>118.1626</v>
      </c>
      <c r="T14864" s="1095">
        <v>-31.895541999999999</v>
      </c>
    </row>
    <row r="14865" spans="16:20">
      <c r="P14865" s="1094">
        <v>6418</v>
      </c>
      <c r="Q14865" t="s">
        <v>14737</v>
      </c>
      <c r="R14865" t="s">
        <v>480</v>
      </c>
      <c r="S14865">
        <v>118.1626</v>
      </c>
      <c r="T14865" s="1095">
        <v>-31.895541999999999</v>
      </c>
    </row>
    <row r="14866" spans="16:20">
      <c r="P14866" s="1094">
        <v>6419</v>
      </c>
      <c r="Q14866" t="s">
        <v>14738</v>
      </c>
      <c r="R14866" t="s">
        <v>480</v>
      </c>
      <c r="S14866">
        <v>118.09777699999999</v>
      </c>
      <c r="T14866" s="1095">
        <v>-32.031182000000001</v>
      </c>
    </row>
    <row r="14867" spans="16:20">
      <c r="P14867" s="1094">
        <v>6420</v>
      </c>
      <c r="Q14867" t="s">
        <v>14739</v>
      </c>
      <c r="R14867" t="s">
        <v>480</v>
      </c>
      <c r="S14867">
        <v>118.718262</v>
      </c>
      <c r="T14867" s="1095">
        <v>-31.748338</v>
      </c>
    </row>
    <row r="14868" spans="16:20">
      <c r="P14868" s="1094">
        <v>6420</v>
      </c>
      <c r="Q14868" t="s">
        <v>14740</v>
      </c>
      <c r="R14868" t="s">
        <v>480</v>
      </c>
      <c r="S14868">
        <v>118.718262</v>
      </c>
      <c r="T14868" s="1095">
        <v>-31.748338</v>
      </c>
    </row>
    <row r="14869" spans="16:20">
      <c r="P14869" s="1094">
        <v>6421</v>
      </c>
      <c r="Q14869" t="s">
        <v>14741</v>
      </c>
      <c r="R14869" t="s">
        <v>480</v>
      </c>
      <c r="S14869">
        <v>118.524208</v>
      </c>
      <c r="T14869" s="1095">
        <v>-31.327544</v>
      </c>
    </row>
    <row r="14870" spans="16:20">
      <c r="P14870" s="1094">
        <v>6421</v>
      </c>
      <c r="Q14870" t="s">
        <v>14742</v>
      </c>
      <c r="R14870" t="s">
        <v>480</v>
      </c>
      <c r="S14870">
        <v>118.524208</v>
      </c>
      <c r="T14870" s="1095">
        <v>-31.327544</v>
      </c>
    </row>
    <row r="14871" spans="16:20">
      <c r="P14871" s="1094">
        <v>6421</v>
      </c>
      <c r="Q14871" t="s">
        <v>14743</v>
      </c>
      <c r="R14871" t="s">
        <v>480</v>
      </c>
      <c r="S14871">
        <v>118.524208</v>
      </c>
      <c r="T14871" s="1095">
        <v>-31.327544</v>
      </c>
    </row>
    <row r="14872" spans="16:20">
      <c r="P14872" s="1094">
        <v>6421</v>
      </c>
      <c r="Q14872" t="s">
        <v>14744</v>
      </c>
      <c r="R14872" t="s">
        <v>480</v>
      </c>
      <c r="S14872">
        <v>118.524208</v>
      </c>
      <c r="T14872" s="1095">
        <v>-31.327544</v>
      </c>
    </row>
    <row r="14873" spans="16:20">
      <c r="P14873" s="1094">
        <v>6422</v>
      </c>
      <c r="Q14873" t="s">
        <v>14745</v>
      </c>
      <c r="R14873" t="s">
        <v>480</v>
      </c>
      <c r="S14873">
        <v>118.56440499999999</v>
      </c>
      <c r="T14873" s="1095">
        <v>-31.384118999999998</v>
      </c>
    </row>
    <row r="14874" spans="16:20">
      <c r="P14874" s="1094">
        <v>6423</v>
      </c>
      <c r="Q14874" t="s">
        <v>14746</v>
      </c>
      <c r="R14874" t="s">
        <v>480</v>
      </c>
      <c r="S14874">
        <v>118.681242</v>
      </c>
      <c r="T14874" s="1095">
        <v>-31.169257000000002</v>
      </c>
    </row>
    <row r="14875" spans="16:20">
      <c r="P14875" s="1094">
        <v>6423</v>
      </c>
      <c r="Q14875" t="s">
        <v>14747</v>
      </c>
      <c r="R14875" t="s">
        <v>480</v>
      </c>
      <c r="S14875">
        <v>118.681242</v>
      </c>
      <c r="T14875" s="1095">
        <v>-31.169257000000002</v>
      </c>
    </row>
    <row r="14876" spans="16:20">
      <c r="P14876" s="1094">
        <v>6423</v>
      </c>
      <c r="Q14876" t="s">
        <v>14748</v>
      </c>
      <c r="R14876" t="s">
        <v>480</v>
      </c>
      <c r="S14876">
        <v>118.681242</v>
      </c>
      <c r="T14876" s="1095">
        <v>-31.169257000000002</v>
      </c>
    </row>
    <row r="14877" spans="16:20">
      <c r="P14877" s="1094">
        <v>6424</v>
      </c>
      <c r="Q14877" t="s">
        <v>14749</v>
      </c>
      <c r="R14877" t="s">
        <v>480</v>
      </c>
      <c r="S14877">
        <v>118.89626699999999</v>
      </c>
      <c r="T14877" s="1095">
        <v>-31.296344999999999</v>
      </c>
    </row>
    <row r="14878" spans="16:20">
      <c r="P14878" s="1094">
        <v>6424</v>
      </c>
      <c r="Q14878" t="s">
        <v>14750</v>
      </c>
      <c r="R14878" t="s">
        <v>480</v>
      </c>
      <c r="S14878">
        <v>118.89626699999999</v>
      </c>
      <c r="T14878" s="1095">
        <v>-31.296344999999999</v>
      </c>
    </row>
    <row r="14879" spans="16:20">
      <c r="P14879" s="1094">
        <v>6424</v>
      </c>
      <c r="Q14879" t="s">
        <v>14751</v>
      </c>
      <c r="R14879" t="s">
        <v>480</v>
      </c>
      <c r="S14879">
        <v>118.89626699999999</v>
      </c>
      <c r="T14879" s="1095">
        <v>-31.296344999999999</v>
      </c>
    </row>
    <row r="14880" spans="16:20">
      <c r="P14880" s="1094">
        <v>6425</v>
      </c>
      <c r="Q14880" t="s">
        <v>14752</v>
      </c>
      <c r="R14880" t="s">
        <v>480</v>
      </c>
      <c r="S14880">
        <v>119.143202</v>
      </c>
      <c r="T14880" s="1095">
        <v>-31.398146000000001</v>
      </c>
    </row>
    <row r="14881" spans="16:20">
      <c r="P14881" s="1094">
        <v>6425</v>
      </c>
      <c r="Q14881" t="s">
        <v>14753</v>
      </c>
      <c r="R14881" t="s">
        <v>480</v>
      </c>
      <c r="S14881">
        <v>119.143202</v>
      </c>
      <c r="T14881" s="1095">
        <v>-31.398146000000001</v>
      </c>
    </row>
    <row r="14882" spans="16:20">
      <c r="P14882" s="1094">
        <v>6426</v>
      </c>
      <c r="Q14882" t="s">
        <v>14754</v>
      </c>
      <c r="R14882" t="s">
        <v>480</v>
      </c>
      <c r="S14882">
        <v>119.311267</v>
      </c>
      <c r="T14882" s="1095">
        <v>-30.361305000000002</v>
      </c>
    </row>
    <row r="14883" spans="16:20">
      <c r="P14883" s="1094">
        <v>6426</v>
      </c>
      <c r="Q14883" t="s">
        <v>14755</v>
      </c>
      <c r="R14883" t="s">
        <v>480</v>
      </c>
      <c r="S14883">
        <v>119.311267</v>
      </c>
      <c r="T14883" s="1095">
        <v>-30.361305000000002</v>
      </c>
    </row>
    <row r="14884" spans="16:20">
      <c r="P14884" s="1094">
        <v>6426</v>
      </c>
      <c r="Q14884" t="s">
        <v>14756</v>
      </c>
      <c r="R14884" t="s">
        <v>480</v>
      </c>
      <c r="S14884">
        <v>119.311267</v>
      </c>
      <c r="T14884" s="1095">
        <v>-30.361305000000002</v>
      </c>
    </row>
    <row r="14885" spans="16:20">
      <c r="P14885" s="1094">
        <v>6426</v>
      </c>
      <c r="Q14885" t="s">
        <v>14757</v>
      </c>
      <c r="R14885" t="s">
        <v>480</v>
      </c>
      <c r="S14885">
        <v>119.311267</v>
      </c>
      <c r="T14885" s="1095">
        <v>-30.361305000000002</v>
      </c>
    </row>
    <row r="14886" spans="16:20">
      <c r="P14886" s="1094">
        <v>6426</v>
      </c>
      <c r="Q14886" t="s">
        <v>14758</v>
      </c>
      <c r="R14886" t="s">
        <v>480</v>
      </c>
      <c r="S14886">
        <v>119.311267</v>
      </c>
      <c r="T14886" s="1095">
        <v>-30.361305000000002</v>
      </c>
    </row>
    <row r="14887" spans="16:20">
      <c r="P14887" s="1094">
        <v>6426</v>
      </c>
      <c r="Q14887" t="s">
        <v>14759</v>
      </c>
      <c r="R14887" t="s">
        <v>480</v>
      </c>
      <c r="S14887">
        <v>119.311267</v>
      </c>
      <c r="T14887" s="1095">
        <v>-30.361305000000002</v>
      </c>
    </row>
    <row r="14888" spans="16:20">
      <c r="P14888" s="1094">
        <v>6426</v>
      </c>
      <c r="Q14888" t="s">
        <v>14760</v>
      </c>
      <c r="R14888" t="s">
        <v>480</v>
      </c>
      <c r="S14888">
        <v>119.311267</v>
      </c>
      <c r="T14888" s="1095">
        <v>-30.361305000000002</v>
      </c>
    </row>
    <row r="14889" spans="16:20">
      <c r="P14889" s="1094">
        <v>6426</v>
      </c>
      <c r="Q14889" t="s">
        <v>14761</v>
      </c>
      <c r="R14889" t="s">
        <v>480</v>
      </c>
      <c r="S14889">
        <v>119.311267</v>
      </c>
      <c r="T14889" s="1095">
        <v>-30.361305000000002</v>
      </c>
    </row>
    <row r="14890" spans="16:20">
      <c r="P14890" s="1094">
        <v>6426</v>
      </c>
      <c r="Q14890" t="s">
        <v>14762</v>
      </c>
      <c r="R14890" t="s">
        <v>480</v>
      </c>
      <c r="S14890">
        <v>119.311267</v>
      </c>
      <c r="T14890" s="1095">
        <v>-30.361305000000002</v>
      </c>
    </row>
    <row r="14891" spans="16:20">
      <c r="P14891" s="1094">
        <v>6426</v>
      </c>
      <c r="Q14891" t="s">
        <v>14763</v>
      </c>
      <c r="R14891" t="s">
        <v>480</v>
      </c>
      <c r="S14891">
        <v>119.311267</v>
      </c>
      <c r="T14891" s="1095">
        <v>-30.361305000000002</v>
      </c>
    </row>
    <row r="14892" spans="16:20">
      <c r="P14892" s="1094">
        <v>6426</v>
      </c>
      <c r="Q14892" t="s">
        <v>14764</v>
      </c>
      <c r="R14892" t="s">
        <v>480</v>
      </c>
      <c r="S14892">
        <v>119.311267</v>
      </c>
      <c r="T14892" s="1095">
        <v>-30.361305000000002</v>
      </c>
    </row>
    <row r="14893" spans="16:20">
      <c r="P14893" s="1094">
        <v>6426</v>
      </c>
      <c r="Q14893" t="s">
        <v>7038</v>
      </c>
      <c r="R14893" t="s">
        <v>480</v>
      </c>
      <c r="S14893">
        <v>119.311267</v>
      </c>
      <c r="T14893" s="1095">
        <v>-30.361305000000002</v>
      </c>
    </row>
    <row r="14894" spans="16:20">
      <c r="P14894" s="1094">
        <v>6426</v>
      </c>
      <c r="Q14894" t="s">
        <v>14765</v>
      </c>
      <c r="R14894" t="s">
        <v>480</v>
      </c>
      <c r="S14894">
        <v>119.311267</v>
      </c>
      <c r="T14894" s="1095">
        <v>-30.361305000000002</v>
      </c>
    </row>
    <row r="14895" spans="16:20">
      <c r="P14895" s="1094">
        <v>6426</v>
      </c>
      <c r="Q14895" t="s">
        <v>14766</v>
      </c>
      <c r="R14895" t="s">
        <v>480</v>
      </c>
      <c r="S14895">
        <v>119.311267</v>
      </c>
      <c r="T14895" s="1095">
        <v>-30.361305000000002</v>
      </c>
    </row>
    <row r="14896" spans="16:20">
      <c r="P14896" s="1094">
        <v>6427</v>
      </c>
      <c r="Q14896" t="s">
        <v>14767</v>
      </c>
      <c r="R14896" t="s">
        <v>480</v>
      </c>
      <c r="S14896">
        <v>119.540903</v>
      </c>
      <c r="T14896" s="1095">
        <v>-30.850566000000001</v>
      </c>
    </row>
    <row r="14897" spans="16:20">
      <c r="P14897" s="1094">
        <v>6428</v>
      </c>
      <c r="Q14897" t="s">
        <v>14768</v>
      </c>
      <c r="R14897" t="s">
        <v>480</v>
      </c>
      <c r="S14897">
        <v>118.020545</v>
      </c>
      <c r="T14897" s="1095">
        <v>-32.142001</v>
      </c>
    </row>
    <row r="14898" spans="16:20">
      <c r="P14898" s="1094">
        <v>6429</v>
      </c>
      <c r="Q14898" t="s">
        <v>14769</v>
      </c>
      <c r="R14898" t="s">
        <v>480</v>
      </c>
      <c r="S14898">
        <v>120.898892</v>
      </c>
      <c r="T14898" s="1095">
        <v>-30.949795000000002</v>
      </c>
    </row>
    <row r="14899" spans="16:20">
      <c r="P14899" s="1094">
        <v>6429</v>
      </c>
      <c r="Q14899" t="s">
        <v>14770</v>
      </c>
      <c r="R14899" t="s">
        <v>480</v>
      </c>
      <c r="S14899">
        <v>120.898892</v>
      </c>
      <c r="T14899" s="1095">
        <v>-30.949795000000002</v>
      </c>
    </row>
    <row r="14900" spans="16:20">
      <c r="P14900" s="1094">
        <v>6429</v>
      </c>
      <c r="Q14900" t="s">
        <v>3951</v>
      </c>
      <c r="R14900" t="s">
        <v>480</v>
      </c>
      <c r="S14900">
        <v>120.898892</v>
      </c>
      <c r="T14900" s="1095">
        <v>-30.949795000000002</v>
      </c>
    </row>
    <row r="14901" spans="16:20">
      <c r="P14901" s="1094">
        <v>6429</v>
      </c>
      <c r="Q14901" t="s">
        <v>14771</v>
      </c>
      <c r="R14901" t="s">
        <v>480</v>
      </c>
      <c r="S14901">
        <v>120.898892</v>
      </c>
      <c r="T14901" s="1095">
        <v>-30.949795000000002</v>
      </c>
    </row>
    <row r="14902" spans="16:20">
      <c r="P14902" s="1094">
        <v>6429</v>
      </c>
      <c r="Q14902" t="s">
        <v>5572</v>
      </c>
      <c r="R14902" t="s">
        <v>480</v>
      </c>
      <c r="S14902">
        <v>120.898892</v>
      </c>
      <c r="T14902" s="1095">
        <v>-30.949795000000002</v>
      </c>
    </row>
    <row r="14903" spans="16:20">
      <c r="P14903" s="1094">
        <v>6429</v>
      </c>
      <c r="Q14903" t="s">
        <v>14772</v>
      </c>
      <c r="R14903" t="s">
        <v>480</v>
      </c>
      <c r="S14903">
        <v>120.898892</v>
      </c>
      <c r="T14903" s="1095">
        <v>-30.949795000000002</v>
      </c>
    </row>
    <row r="14904" spans="16:20">
      <c r="P14904" s="1094">
        <v>6429</v>
      </c>
      <c r="Q14904" t="s">
        <v>14773</v>
      </c>
      <c r="R14904" t="s">
        <v>480</v>
      </c>
      <c r="S14904">
        <v>120.898892</v>
      </c>
      <c r="T14904" s="1095">
        <v>-30.949795000000002</v>
      </c>
    </row>
    <row r="14905" spans="16:20">
      <c r="P14905" s="1094">
        <v>6429</v>
      </c>
      <c r="Q14905" t="s">
        <v>2681</v>
      </c>
      <c r="R14905" t="s">
        <v>480</v>
      </c>
      <c r="S14905">
        <v>120.898892</v>
      </c>
      <c r="T14905" s="1095">
        <v>-30.949795000000002</v>
      </c>
    </row>
    <row r="14906" spans="16:20">
      <c r="P14906" s="1094">
        <v>6430</v>
      </c>
      <c r="Q14906" t="s">
        <v>14774</v>
      </c>
      <c r="R14906" t="s">
        <v>480</v>
      </c>
      <c r="S14906">
        <v>121.446478</v>
      </c>
      <c r="T14906" s="1095">
        <v>-30.599070999999999</v>
      </c>
    </row>
    <row r="14907" spans="16:20">
      <c r="P14907" s="1094">
        <v>6430</v>
      </c>
      <c r="Q14907" t="s">
        <v>14775</v>
      </c>
      <c r="R14907" t="s">
        <v>480</v>
      </c>
      <c r="S14907">
        <v>121.446478</v>
      </c>
      <c r="T14907" s="1095">
        <v>-30.599070999999999</v>
      </c>
    </row>
    <row r="14908" spans="16:20">
      <c r="P14908" s="1094">
        <v>6430</v>
      </c>
      <c r="Q14908" t="s">
        <v>14776</v>
      </c>
      <c r="R14908" t="s">
        <v>480</v>
      </c>
      <c r="S14908">
        <v>121.446478</v>
      </c>
      <c r="T14908" s="1095">
        <v>-30.599070999999999</v>
      </c>
    </row>
    <row r="14909" spans="16:20">
      <c r="P14909" s="1094">
        <v>6430</v>
      </c>
      <c r="Q14909" t="s">
        <v>14777</v>
      </c>
      <c r="R14909" t="s">
        <v>480</v>
      </c>
      <c r="S14909">
        <v>121.446478</v>
      </c>
      <c r="T14909" s="1095">
        <v>-30.599070999999999</v>
      </c>
    </row>
    <row r="14910" spans="16:20">
      <c r="P14910" s="1094">
        <v>6430</v>
      </c>
      <c r="Q14910" t="s">
        <v>14778</v>
      </c>
      <c r="R14910" t="s">
        <v>480</v>
      </c>
      <c r="S14910">
        <v>121.446478</v>
      </c>
      <c r="T14910" s="1095">
        <v>-30.599070999999999</v>
      </c>
    </row>
    <row r="14911" spans="16:20">
      <c r="P14911" s="1094">
        <v>6430</v>
      </c>
      <c r="Q14911" t="s">
        <v>9869</v>
      </c>
      <c r="R14911" t="s">
        <v>480</v>
      </c>
      <c r="S14911">
        <v>121.446478</v>
      </c>
      <c r="T14911" s="1095">
        <v>-30.599070999999999</v>
      </c>
    </row>
    <row r="14912" spans="16:20">
      <c r="P14912" s="1094">
        <v>6430</v>
      </c>
      <c r="Q14912" t="s">
        <v>14779</v>
      </c>
      <c r="R14912" t="s">
        <v>480</v>
      </c>
      <c r="S14912">
        <v>121.446478</v>
      </c>
      <c r="T14912" s="1095">
        <v>-30.599070999999999</v>
      </c>
    </row>
    <row r="14913" spans="16:20">
      <c r="P14913" s="1094">
        <v>6430</v>
      </c>
      <c r="Q14913" t="s">
        <v>12752</v>
      </c>
      <c r="R14913" t="s">
        <v>480</v>
      </c>
      <c r="S14913">
        <v>121.446478</v>
      </c>
      <c r="T14913" s="1095">
        <v>-30.599070999999999</v>
      </c>
    </row>
    <row r="14914" spans="16:20">
      <c r="P14914" s="1094">
        <v>6430</v>
      </c>
      <c r="Q14914" t="s">
        <v>9099</v>
      </c>
      <c r="R14914" t="s">
        <v>480</v>
      </c>
      <c r="S14914">
        <v>121.446478</v>
      </c>
      <c r="T14914" s="1095">
        <v>-30.599070999999999</v>
      </c>
    </row>
    <row r="14915" spans="16:20">
      <c r="P14915" s="1094">
        <v>6430</v>
      </c>
      <c r="Q14915" t="s">
        <v>14780</v>
      </c>
      <c r="R14915" t="s">
        <v>480</v>
      </c>
      <c r="S14915">
        <v>121.446478</v>
      </c>
      <c r="T14915" s="1095">
        <v>-30.599070999999999</v>
      </c>
    </row>
    <row r="14916" spans="16:20">
      <c r="P14916" s="1094">
        <v>6430</v>
      </c>
      <c r="Q14916" t="s">
        <v>14781</v>
      </c>
      <c r="R14916" t="s">
        <v>480</v>
      </c>
      <c r="S14916">
        <v>121.446478</v>
      </c>
      <c r="T14916" s="1095">
        <v>-30.599070999999999</v>
      </c>
    </row>
    <row r="14917" spans="16:20">
      <c r="P14917" s="1094">
        <v>6430</v>
      </c>
      <c r="Q14917" t="s">
        <v>14782</v>
      </c>
      <c r="R14917" t="s">
        <v>480</v>
      </c>
      <c r="S14917">
        <v>121.446478</v>
      </c>
      <c r="T14917" s="1095">
        <v>-30.599070999999999</v>
      </c>
    </row>
    <row r="14918" spans="16:20">
      <c r="P14918" s="1094">
        <v>6430</v>
      </c>
      <c r="Q14918" t="s">
        <v>6374</v>
      </c>
      <c r="R14918" t="s">
        <v>480</v>
      </c>
      <c r="S14918">
        <v>121.446478</v>
      </c>
      <c r="T14918" s="1095">
        <v>-30.599070999999999</v>
      </c>
    </row>
    <row r="14919" spans="16:20">
      <c r="P14919" s="1094">
        <v>6430</v>
      </c>
      <c r="Q14919" t="s">
        <v>14783</v>
      </c>
      <c r="R14919" t="s">
        <v>480</v>
      </c>
      <c r="S14919">
        <v>121.446478</v>
      </c>
      <c r="T14919" s="1095">
        <v>-30.599070999999999</v>
      </c>
    </row>
    <row r="14920" spans="16:20">
      <c r="P14920" s="1094">
        <v>6431</v>
      </c>
      <c r="Q14920" t="s">
        <v>14784</v>
      </c>
      <c r="R14920" t="s">
        <v>480</v>
      </c>
      <c r="S14920">
        <v>122.683881</v>
      </c>
      <c r="T14920" s="1095">
        <v>-30.403639999999999</v>
      </c>
    </row>
    <row r="14921" spans="16:20">
      <c r="P14921" s="1094">
        <v>6431</v>
      </c>
      <c r="Q14921" t="s">
        <v>7239</v>
      </c>
      <c r="R14921" t="s">
        <v>480</v>
      </c>
      <c r="S14921">
        <v>122.683881</v>
      </c>
      <c r="T14921" s="1095">
        <v>-30.403639999999999</v>
      </c>
    </row>
    <row r="14922" spans="16:20">
      <c r="P14922" s="1094">
        <v>6431</v>
      </c>
      <c r="Q14922" t="s">
        <v>14785</v>
      </c>
      <c r="R14922" t="s">
        <v>480</v>
      </c>
      <c r="S14922">
        <v>122.683881</v>
      </c>
      <c r="T14922" s="1095">
        <v>-30.403639999999999</v>
      </c>
    </row>
    <row r="14923" spans="16:20">
      <c r="P14923" s="1094">
        <v>6431</v>
      </c>
      <c r="Q14923" t="s">
        <v>7898</v>
      </c>
      <c r="R14923" t="s">
        <v>480</v>
      </c>
      <c r="S14923">
        <v>122.683881</v>
      </c>
      <c r="T14923" s="1095">
        <v>-30.403639999999999</v>
      </c>
    </row>
    <row r="14924" spans="16:20">
      <c r="P14924" s="1094">
        <v>6431</v>
      </c>
      <c r="Q14924" t="s">
        <v>14786</v>
      </c>
      <c r="R14924" t="s">
        <v>480</v>
      </c>
      <c r="S14924">
        <v>122.683881</v>
      </c>
      <c r="T14924" s="1095">
        <v>-30.403639999999999</v>
      </c>
    </row>
    <row r="14925" spans="16:20">
      <c r="P14925" s="1094">
        <v>6431</v>
      </c>
      <c r="Q14925" t="s">
        <v>14787</v>
      </c>
      <c r="R14925" t="s">
        <v>480</v>
      </c>
      <c r="S14925">
        <v>122.683881</v>
      </c>
      <c r="T14925" s="1095">
        <v>-30.403639999999999</v>
      </c>
    </row>
    <row r="14926" spans="16:20">
      <c r="P14926" s="1094">
        <v>6431</v>
      </c>
      <c r="Q14926" t="s">
        <v>14788</v>
      </c>
      <c r="R14926" t="s">
        <v>480</v>
      </c>
      <c r="S14926">
        <v>122.683881</v>
      </c>
      <c r="T14926" s="1095">
        <v>-30.403639999999999</v>
      </c>
    </row>
    <row r="14927" spans="16:20">
      <c r="P14927" s="1094">
        <v>6431</v>
      </c>
      <c r="Q14927" t="s">
        <v>14789</v>
      </c>
      <c r="R14927" t="s">
        <v>480</v>
      </c>
      <c r="S14927">
        <v>122.683881</v>
      </c>
      <c r="T14927" s="1095">
        <v>-30.403639999999999</v>
      </c>
    </row>
    <row r="14928" spans="16:20">
      <c r="P14928" s="1094">
        <v>6431</v>
      </c>
      <c r="Q14928" t="s">
        <v>3524</v>
      </c>
      <c r="R14928" t="s">
        <v>480</v>
      </c>
      <c r="S14928">
        <v>122.683881</v>
      </c>
      <c r="T14928" s="1095">
        <v>-30.403639999999999</v>
      </c>
    </row>
    <row r="14929" spans="16:20">
      <c r="P14929" s="1094">
        <v>6431</v>
      </c>
      <c r="Q14929" t="s">
        <v>14790</v>
      </c>
      <c r="R14929" t="s">
        <v>480</v>
      </c>
      <c r="S14929">
        <v>122.683881</v>
      </c>
      <c r="T14929" s="1095">
        <v>-30.403639999999999</v>
      </c>
    </row>
    <row r="14930" spans="16:20">
      <c r="P14930" s="1094">
        <v>6431</v>
      </c>
      <c r="Q14930" t="s">
        <v>14791</v>
      </c>
      <c r="R14930" t="s">
        <v>480</v>
      </c>
      <c r="S14930">
        <v>122.683881</v>
      </c>
      <c r="T14930" s="1095">
        <v>-30.403639999999999</v>
      </c>
    </row>
    <row r="14931" spans="16:20">
      <c r="P14931" s="1094">
        <v>6431</v>
      </c>
      <c r="Q14931" t="s">
        <v>8799</v>
      </c>
      <c r="R14931" t="s">
        <v>480</v>
      </c>
      <c r="S14931">
        <v>122.683881</v>
      </c>
      <c r="T14931" s="1095">
        <v>-30.403639999999999</v>
      </c>
    </row>
    <row r="14932" spans="16:20">
      <c r="P14932" s="1094">
        <v>6431</v>
      </c>
      <c r="Q14932" t="s">
        <v>8725</v>
      </c>
      <c r="R14932" t="s">
        <v>480</v>
      </c>
      <c r="S14932">
        <v>122.683881</v>
      </c>
      <c r="T14932" s="1095">
        <v>-30.403639999999999</v>
      </c>
    </row>
    <row r="14933" spans="16:20">
      <c r="P14933" s="1094">
        <v>6432</v>
      </c>
      <c r="Q14933" t="s">
        <v>14792</v>
      </c>
      <c r="R14933" t="s">
        <v>480</v>
      </c>
      <c r="S14933">
        <v>121.541783</v>
      </c>
      <c r="T14933" s="1095">
        <v>-30.871010999999999</v>
      </c>
    </row>
    <row r="14934" spans="16:20">
      <c r="P14934" s="1094">
        <v>6432</v>
      </c>
      <c r="Q14934" t="s">
        <v>14793</v>
      </c>
      <c r="R14934" t="s">
        <v>480</v>
      </c>
      <c r="S14934">
        <v>121.541783</v>
      </c>
      <c r="T14934" s="1095">
        <v>-30.871010999999999</v>
      </c>
    </row>
    <row r="14935" spans="16:20">
      <c r="P14935" s="1094">
        <v>6432</v>
      </c>
      <c r="Q14935" t="s">
        <v>14794</v>
      </c>
      <c r="R14935" t="s">
        <v>480</v>
      </c>
      <c r="S14935">
        <v>121.541783</v>
      </c>
      <c r="T14935" s="1095">
        <v>-30.871010999999999</v>
      </c>
    </row>
    <row r="14936" spans="16:20">
      <c r="P14936" s="1094">
        <v>6432</v>
      </c>
      <c r="Q14936" t="s">
        <v>10869</v>
      </c>
      <c r="R14936" t="s">
        <v>480</v>
      </c>
      <c r="S14936">
        <v>121.541783</v>
      </c>
      <c r="T14936" s="1095">
        <v>-30.871010999999999</v>
      </c>
    </row>
    <row r="14937" spans="16:20">
      <c r="P14937" s="1094">
        <v>6433</v>
      </c>
      <c r="Q14937" t="s">
        <v>14776</v>
      </c>
      <c r="R14937" t="s">
        <v>480</v>
      </c>
      <c r="S14937">
        <v>121.504749</v>
      </c>
      <c r="T14937" s="1095">
        <v>-30.78247</v>
      </c>
    </row>
    <row r="14938" spans="16:20">
      <c r="P14938" s="1094">
        <v>6433</v>
      </c>
      <c r="Q14938" t="s">
        <v>14777</v>
      </c>
      <c r="R14938" t="s">
        <v>480</v>
      </c>
      <c r="S14938">
        <v>121.504749</v>
      </c>
      <c r="T14938" s="1095">
        <v>-30.78247</v>
      </c>
    </row>
    <row r="14939" spans="16:20">
      <c r="P14939" s="1094">
        <v>6433</v>
      </c>
      <c r="Q14939" t="s">
        <v>14777</v>
      </c>
      <c r="R14939" t="s">
        <v>480</v>
      </c>
      <c r="S14939">
        <v>121.504749</v>
      </c>
      <c r="T14939" s="1095">
        <v>-30.78247</v>
      </c>
    </row>
    <row r="14940" spans="16:20">
      <c r="P14940" s="1094">
        <v>6434</v>
      </c>
      <c r="Q14940" t="s">
        <v>14795</v>
      </c>
      <c r="R14940" t="s">
        <v>480</v>
      </c>
      <c r="S14940">
        <v>125.67281800000001</v>
      </c>
      <c r="T14940" s="1095">
        <v>-30.820156999999998</v>
      </c>
    </row>
    <row r="14941" spans="16:20">
      <c r="P14941" s="1094">
        <v>6434</v>
      </c>
      <c r="Q14941" t="s">
        <v>4807</v>
      </c>
      <c r="R14941" t="s">
        <v>480</v>
      </c>
      <c r="S14941">
        <v>125.67281800000001</v>
      </c>
      <c r="T14941" s="1095">
        <v>-30.820156999999998</v>
      </c>
    </row>
    <row r="14942" spans="16:20">
      <c r="P14942" s="1094">
        <v>6434</v>
      </c>
      <c r="Q14942" t="s">
        <v>14796</v>
      </c>
      <c r="R14942" t="s">
        <v>480</v>
      </c>
      <c r="S14942">
        <v>125.67281800000001</v>
      </c>
      <c r="T14942" s="1095">
        <v>-30.820156999999998</v>
      </c>
    </row>
    <row r="14943" spans="16:20">
      <c r="P14943" s="1094">
        <v>6434</v>
      </c>
      <c r="Q14943" t="s">
        <v>14797</v>
      </c>
      <c r="R14943" t="s">
        <v>480</v>
      </c>
      <c r="S14943">
        <v>125.67281800000001</v>
      </c>
      <c r="T14943" s="1095">
        <v>-30.820156999999998</v>
      </c>
    </row>
    <row r="14944" spans="16:20">
      <c r="P14944" s="1094">
        <v>6434</v>
      </c>
      <c r="Q14944" t="s">
        <v>14798</v>
      </c>
      <c r="R14944" t="s">
        <v>480</v>
      </c>
      <c r="S14944">
        <v>125.67281800000001</v>
      </c>
      <c r="T14944" s="1095">
        <v>-30.820156999999998</v>
      </c>
    </row>
    <row r="14945" spans="16:20">
      <c r="P14945" s="1094">
        <v>6435</v>
      </c>
      <c r="Q14945" t="s">
        <v>14799</v>
      </c>
      <c r="R14945" t="s">
        <v>480</v>
      </c>
      <c r="S14945">
        <v>120.44875</v>
      </c>
      <c r="T14945" s="1095">
        <v>-28.219307000000001</v>
      </c>
    </row>
    <row r="14946" spans="16:20">
      <c r="P14946" s="1094">
        <v>6436</v>
      </c>
      <c r="Q14946" t="s">
        <v>11983</v>
      </c>
      <c r="R14946" t="s">
        <v>480</v>
      </c>
      <c r="S14946">
        <v>124.856838</v>
      </c>
      <c r="T14946" s="1095">
        <v>-29.602250999999999</v>
      </c>
    </row>
    <row r="14947" spans="16:20">
      <c r="P14947" s="1094">
        <v>6436</v>
      </c>
      <c r="Q14947" t="s">
        <v>14800</v>
      </c>
      <c r="R14947" t="s">
        <v>480</v>
      </c>
      <c r="S14947">
        <v>124.856838</v>
      </c>
      <c r="T14947" s="1095">
        <v>-29.602250999999999</v>
      </c>
    </row>
    <row r="14948" spans="16:20">
      <c r="P14948" s="1094">
        <v>6437</v>
      </c>
      <c r="Q14948" t="s">
        <v>14801</v>
      </c>
      <c r="R14948" t="s">
        <v>480</v>
      </c>
      <c r="S14948">
        <v>120.529798</v>
      </c>
      <c r="T14948" s="1095">
        <v>-27.68439</v>
      </c>
    </row>
    <row r="14949" spans="16:20">
      <c r="P14949" s="1094">
        <v>6437</v>
      </c>
      <c r="Q14949" t="s">
        <v>14802</v>
      </c>
      <c r="R14949" t="s">
        <v>480</v>
      </c>
      <c r="S14949">
        <v>120.529798</v>
      </c>
      <c r="T14949" s="1095">
        <v>-27.68439</v>
      </c>
    </row>
    <row r="14950" spans="16:20">
      <c r="P14950" s="1094">
        <v>6438</v>
      </c>
      <c r="Q14950" t="s">
        <v>14803</v>
      </c>
      <c r="R14950" t="s">
        <v>480</v>
      </c>
      <c r="S14950">
        <v>121.09265499999999</v>
      </c>
      <c r="T14950" s="1095">
        <v>-28.900034000000002</v>
      </c>
    </row>
    <row r="14951" spans="16:20">
      <c r="P14951" s="1094">
        <v>6438</v>
      </c>
      <c r="Q14951" t="s">
        <v>14804</v>
      </c>
      <c r="R14951" t="s">
        <v>480</v>
      </c>
      <c r="S14951">
        <v>121.09265499999999</v>
      </c>
      <c r="T14951" s="1095">
        <v>-28.900034000000002</v>
      </c>
    </row>
    <row r="14952" spans="16:20">
      <c r="P14952" s="1094">
        <v>6440</v>
      </c>
      <c r="Q14952" t="s">
        <v>14805</v>
      </c>
      <c r="R14952" t="s">
        <v>480</v>
      </c>
      <c r="S14952">
        <v>125.73315700000001</v>
      </c>
      <c r="T14952" s="1095">
        <v>-26.168944</v>
      </c>
    </row>
    <row r="14953" spans="16:20">
      <c r="P14953" s="1094">
        <v>6440</v>
      </c>
      <c r="Q14953" t="s">
        <v>14806</v>
      </c>
      <c r="R14953" t="s">
        <v>480</v>
      </c>
      <c r="S14953">
        <v>125.73315700000001</v>
      </c>
      <c r="T14953" s="1095">
        <v>-26.168944</v>
      </c>
    </row>
    <row r="14954" spans="16:20">
      <c r="P14954" s="1094">
        <v>6440</v>
      </c>
      <c r="Q14954" t="s">
        <v>14807</v>
      </c>
      <c r="R14954" t="s">
        <v>480</v>
      </c>
      <c r="S14954">
        <v>125.73315700000001</v>
      </c>
      <c r="T14954" s="1095">
        <v>-26.168944</v>
      </c>
    </row>
    <row r="14955" spans="16:20">
      <c r="P14955" s="1094">
        <v>6440</v>
      </c>
      <c r="Q14955" t="s">
        <v>14808</v>
      </c>
      <c r="R14955" t="s">
        <v>480</v>
      </c>
      <c r="S14955">
        <v>125.73315700000001</v>
      </c>
      <c r="T14955" s="1095">
        <v>-26.168944</v>
      </c>
    </row>
    <row r="14956" spans="16:20">
      <c r="P14956" s="1094">
        <v>6440</v>
      </c>
      <c r="Q14956" t="s">
        <v>14809</v>
      </c>
      <c r="R14956" t="s">
        <v>480</v>
      </c>
      <c r="S14956">
        <v>125.73315700000001</v>
      </c>
      <c r="T14956" s="1095">
        <v>-26.168944</v>
      </c>
    </row>
    <row r="14957" spans="16:20">
      <c r="P14957" s="1094">
        <v>6440</v>
      </c>
      <c r="Q14957" t="s">
        <v>6405</v>
      </c>
      <c r="R14957" t="s">
        <v>480</v>
      </c>
      <c r="S14957">
        <v>125.73315700000001</v>
      </c>
      <c r="T14957" s="1095">
        <v>-26.168944</v>
      </c>
    </row>
    <row r="14958" spans="16:20">
      <c r="P14958" s="1094">
        <v>6440</v>
      </c>
      <c r="Q14958" t="s">
        <v>14810</v>
      </c>
      <c r="R14958" t="s">
        <v>480</v>
      </c>
      <c r="S14958">
        <v>125.73315700000001</v>
      </c>
      <c r="T14958" s="1095">
        <v>-26.168944</v>
      </c>
    </row>
    <row r="14959" spans="16:20">
      <c r="P14959" s="1094">
        <v>6442</v>
      </c>
      <c r="Q14959" t="s">
        <v>14811</v>
      </c>
      <c r="R14959" t="s">
        <v>480</v>
      </c>
      <c r="S14959">
        <v>121.997641</v>
      </c>
      <c r="T14959" s="1095">
        <v>-31.318648</v>
      </c>
    </row>
    <row r="14960" spans="16:20">
      <c r="P14960" s="1094">
        <v>6443</v>
      </c>
      <c r="Q14960" t="s">
        <v>14812</v>
      </c>
      <c r="R14960" t="s">
        <v>480</v>
      </c>
      <c r="S14960">
        <v>123.744186</v>
      </c>
      <c r="T14960" s="1095">
        <v>-32.395020000000002</v>
      </c>
    </row>
    <row r="14961" spans="16:20">
      <c r="P14961" s="1094">
        <v>6443</v>
      </c>
      <c r="Q14961" t="s">
        <v>14813</v>
      </c>
      <c r="R14961" t="s">
        <v>480</v>
      </c>
      <c r="S14961">
        <v>123.744186</v>
      </c>
      <c r="T14961" s="1095">
        <v>-32.395020000000002</v>
      </c>
    </row>
    <row r="14962" spans="16:20">
      <c r="P14962" s="1094">
        <v>6443</v>
      </c>
      <c r="Q14962" t="s">
        <v>14814</v>
      </c>
      <c r="R14962" t="s">
        <v>480</v>
      </c>
      <c r="S14962">
        <v>123.744186</v>
      </c>
      <c r="T14962" s="1095">
        <v>-32.395020000000002</v>
      </c>
    </row>
    <row r="14963" spans="16:20">
      <c r="P14963" s="1094">
        <v>6443</v>
      </c>
      <c r="Q14963" t="s">
        <v>1985</v>
      </c>
      <c r="R14963" t="s">
        <v>480</v>
      </c>
      <c r="S14963">
        <v>123.744186</v>
      </c>
      <c r="T14963" s="1095">
        <v>-32.395020000000002</v>
      </c>
    </row>
    <row r="14964" spans="16:20">
      <c r="P14964" s="1094">
        <v>6443</v>
      </c>
      <c r="Q14964" t="s">
        <v>14815</v>
      </c>
      <c r="R14964" t="s">
        <v>480</v>
      </c>
      <c r="S14964">
        <v>123.744186</v>
      </c>
      <c r="T14964" s="1095">
        <v>-32.395020000000002</v>
      </c>
    </row>
    <row r="14965" spans="16:20">
      <c r="P14965" s="1094">
        <v>6443</v>
      </c>
      <c r="Q14965" t="s">
        <v>14816</v>
      </c>
      <c r="R14965" t="s">
        <v>480</v>
      </c>
      <c r="S14965">
        <v>123.744186</v>
      </c>
      <c r="T14965" s="1095">
        <v>-32.395020000000002</v>
      </c>
    </row>
    <row r="14966" spans="16:20">
      <c r="P14966" s="1094">
        <v>6443</v>
      </c>
      <c r="Q14966" t="s">
        <v>14817</v>
      </c>
      <c r="R14966" t="s">
        <v>480</v>
      </c>
      <c r="S14966">
        <v>123.744186</v>
      </c>
      <c r="T14966" s="1095">
        <v>-32.395020000000002</v>
      </c>
    </row>
    <row r="14967" spans="16:20">
      <c r="P14967" s="1094">
        <v>6443</v>
      </c>
      <c r="Q14967" t="s">
        <v>14818</v>
      </c>
      <c r="R14967" t="s">
        <v>480</v>
      </c>
      <c r="S14967">
        <v>123.744186</v>
      </c>
      <c r="T14967" s="1095">
        <v>-32.395020000000002</v>
      </c>
    </row>
    <row r="14968" spans="16:20">
      <c r="P14968" s="1094">
        <v>6443</v>
      </c>
      <c r="Q14968" t="s">
        <v>14819</v>
      </c>
      <c r="R14968" t="s">
        <v>480</v>
      </c>
      <c r="S14968">
        <v>123.744186</v>
      </c>
      <c r="T14968" s="1095">
        <v>-32.395020000000002</v>
      </c>
    </row>
    <row r="14969" spans="16:20">
      <c r="P14969" s="1094">
        <v>6443</v>
      </c>
      <c r="Q14969" t="s">
        <v>14820</v>
      </c>
      <c r="R14969" t="s">
        <v>480</v>
      </c>
      <c r="S14969">
        <v>123.744186</v>
      </c>
      <c r="T14969" s="1095">
        <v>-32.395020000000002</v>
      </c>
    </row>
    <row r="14970" spans="16:20">
      <c r="P14970" s="1094">
        <v>6443</v>
      </c>
      <c r="Q14970" t="s">
        <v>14821</v>
      </c>
      <c r="R14970" t="s">
        <v>480</v>
      </c>
      <c r="S14970">
        <v>123.744186</v>
      </c>
      <c r="T14970" s="1095">
        <v>-32.395020000000002</v>
      </c>
    </row>
    <row r="14971" spans="16:20">
      <c r="P14971" s="1094">
        <v>6445</v>
      </c>
      <c r="Q14971" t="s">
        <v>14822</v>
      </c>
      <c r="R14971" t="s">
        <v>480</v>
      </c>
      <c r="S14971">
        <v>121.638735</v>
      </c>
      <c r="T14971" s="1095">
        <v>-32.981695999999999</v>
      </c>
    </row>
    <row r="14972" spans="16:20">
      <c r="P14972" s="1094">
        <v>6445</v>
      </c>
      <c r="Q14972" t="s">
        <v>14823</v>
      </c>
      <c r="R14972" t="s">
        <v>480</v>
      </c>
      <c r="S14972">
        <v>121.638735</v>
      </c>
      <c r="T14972" s="1095">
        <v>-32.981695999999999</v>
      </c>
    </row>
    <row r="14973" spans="16:20">
      <c r="P14973" s="1094">
        <v>6446</v>
      </c>
      <c r="Q14973" t="s">
        <v>14824</v>
      </c>
      <c r="R14973" t="s">
        <v>480</v>
      </c>
      <c r="S14973">
        <v>121.682321</v>
      </c>
      <c r="T14973" s="1095">
        <v>-33.223444999999998</v>
      </c>
    </row>
    <row r="14974" spans="16:20">
      <c r="P14974" s="1094">
        <v>6447</v>
      </c>
      <c r="Q14974" t="s">
        <v>14825</v>
      </c>
      <c r="R14974" t="s">
        <v>480</v>
      </c>
      <c r="S14974">
        <v>121.732214</v>
      </c>
      <c r="T14974" s="1095">
        <v>-33.451323000000002</v>
      </c>
    </row>
    <row r="14975" spans="16:20">
      <c r="P14975" s="1094">
        <v>6447</v>
      </c>
      <c r="Q14975" t="s">
        <v>14826</v>
      </c>
      <c r="R14975" t="s">
        <v>480</v>
      </c>
      <c r="S14975">
        <v>121.732214</v>
      </c>
      <c r="T14975" s="1095">
        <v>-33.451323000000002</v>
      </c>
    </row>
    <row r="14976" spans="16:20">
      <c r="P14976" s="1094">
        <v>6447</v>
      </c>
      <c r="Q14976" t="s">
        <v>14827</v>
      </c>
      <c r="R14976" t="s">
        <v>480</v>
      </c>
      <c r="S14976">
        <v>121.732214</v>
      </c>
      <c r="T14976" s="1095">
        <v>-33.451323000000002</v>
      </c>
    </row>
    <row r="14977" spans="16:20">
      <c r="P14977" s="1094">
        <v>6447</v>
      </c>
      <c r="Q14977" t="s">
        <v>14828</v>
      </c>
      <c r="R14977" t="s">
        <v>480</v>
      </c>
      <c r="S14977">
        <v>121.732214</v>
      </c>
      <c r="T14977" s="1095">
        <v>-33.451323000000002</v>
      </c>
    </row>
    <row r="14978" spans="16:20">
      <c r="P14978" s="1094">
        <v>6448</v>
      </c>
      <c r="Q14978" t="s">
        <v>14829</v>
      </c>
      <c r="R14978" t="s">
        <v>480</v>
      </c>
      <c r="S14978">
        <v>121.798896</v>
      </c>
      <c r="T14978" s="1095">
        <v>-33.650554</v>
      </c>
    </row>
    <row r="14979" spans="16:20">
      <c r="P14979" s="1094">
        <v>6450</v>
      </c>
      <c r="Q14979" t="s">
        <v>14830</v>
      </c>
      <c r="R14979" t="s">
        <v>480</v>
      </c>
      <c r="S14979">
        <v>122.211127</v>
      </c>
      <c r="T14979" s="1095">
        <v>-33.401152000000003</v>
      </c>
    </row>
    <row r="14980" spans="16:20">
      <c r="P14980" s="1094">
        <v>6450</v>
      </c>
      <c r="Q14980" t="s">
        <v>4611</v>
      </c>
      <c r="R14980" t="s">
        <v>480</v>
      </c>
      <c r="S14980">
        <v>122.211127</v>
      </c>
      <c r="T14980" s="1095">
        <v>-33.401152000000003</v>
      </c>
    </row>
    <row r="14981" spans="16:20">
      <c r="P14981" s="1094">
        <v>6450</v>
      </c>
      <c r="Q14981" t="s">
        <v>14831</v>
      </c>
      <c r="R14981" t="s">
        <v>480</v>
      </c>
      <c r="S14981">
        <v>122.211127</v>
      </c>
      <c r="T14981" s="1095">
        <v>-33.401152000000003</v>
      </c>
    </row>
    <row r="14982" spans="16:20">
      <c r="P14982" s="1094">
        <v>6450</v>
      </c>
      <c r="Q14982" t="s">
        <v>14832</v>
      </c>
      <c r="R14982" t="s">
        <v>480</v>
      </c>
      <c r="S14982">
        <v>122.211127</v>
      </c>
      <c r="T14982" s="1095">
        <v>-33.401152000000003</v>
      </c>
    </row>
    <row r="14983" spans="16:20">
      <c r="P14983" s="1094">
        <v>6450</v>
      </c>
      <c r="Q14983" t="s">
        <v>14833</v>
      </c>
      <c r="R14983" t="s">
        <v>480</v>
      </c>
      <c r="S14983">
        <v>122.211127</v>
      </c>
      <c r="T14983" s="1095">
        <v>-33.401152000000003</v>
      </c>
    </row>
    <row r="14984" spans="16:20">
      <c r="P14984" s="1094">
        <v>6450</v>
      </c>
      <c r="Q14984" t="s">
        <v>14834</v>
      </c>
      <c r="R14984" t="s">
        <v>480</v>
      </c>
      <c r="S14984">
        <v>122.211127</v>
      </c>
      <c r="T14984" s="1095">
        <v>-33.401152000000003</v>
      </c>
    </row>
    <row r="14985" spans="16:20">
      <c r="P14985" s="1094">
        <v>6450</v>
      </c>
      <c r="Q14985" t="s">
        <v>14835</v>
      </c>
      <c r="R14985" t="s">
        <v>480</v>
      </c>
      <c r="S14985">
        <v>122.211127</v>
      </c>
      <c r="T14985" s="1095">
        <v>-33.401152000000003</v>
      </c>
    </row>
    <row r="14986" spans="16:20">
      <c r="P14986" s="1094">
        <v>6450</v>
      </c>
      <c r="Q14986" t="s">
        <v>14836</v>
      </c>
      <c r="R14986" t="s">
        <v>480</v>
      </c>
      <c r="S14986">
        <v>122.211127</v>
      </c>
      <c r="T14986" s="1095">
        <v>-33.401152000000003</v>
      </c>
    </row>
    <row r="14987" spans="16:20">
      <c r="P14987" s="1094">
        <v>6450</v>
      </c>
      <c r="Q14987" t="s">
        <v>14837</v>
      </c>
      <c r="R14987" t="s">
        <v>480</v>
      </c>
      <c r="S14987">
        <v>122.211127</v>
      </c>
      <c r="T14987" s="1095">
        <v>-33.401152000000003</v>
      </c>
    </row>
    <row r="14988" spans="16:20">
      <c r="P14988" s="1094">
        <v>6450</v>
      </c>
      <c r="Q14988" t="s">
        <v>14838</v>
      </c>
      <c r="R14988" t="s">
        <v>480</v>
      </c>
      <c r="S14988">
        <v>122.211127</v>
      </c>
      <c r="T14988" s="1095">
        <v>-33.401152000000003</v>
      </c>
    </row>
    <row r="14989" spans="16:20">
      <c r="P14989" s="1094">
        <v>6450</v>
      </c>
      <c r="Q14989" t="s">
        <v>14839</v>
      </c>
      <c r="R14989" t="s">
        <v>480</v>
      </c>
      <c r="S14989">
        <v>122.211127</v>
      </c>
      <c r="T14989" s="1095">
        <v>-33.401152000000003</v>
      </c>
    </row>
    <row r="14990" spans="16:20">
      <c r="P14990" s="1094">
        <v>6450</v>
      </c>
      <c r="Q14990" t="s">
        <v>14840</v>
      </c>
      <c r="R14990" t="s">
        <v>480</v>
      </c>
      <c r="S14990">
        <v>122.211127</v>
      </c>
      <c r="T14990" s="1095">
        <v>-33.401152000000003</v>
      </c>
    </row>
    <row r="14991" spans="16:20">
      <c r="P14991" s="1094">
        <v>6450</v>
      </c>
      <c r="Q14991" t="s">
        <v>2760</v>
      </c>
      <c r="R14991" t="s">
        <v>480</v>
      </c>
      <c r="S14991">
        <v>122.211127</v>
      </c>
      <c r="T14991" s="1095">
        <v>-33.401152000000003</v>
      </c>
    </row>
    <row r="14992" spans="16:20">
      <c r="P14992" s="1094">
        <v>6450</v>
      </c>
      <c r="Q14992" t="s">
        <v>14841</v>
      </c>
      <c r="R14992" t="s">
        <v>480</v>
      </c>
      <c r="S14992">
        <v>122.211127</v>
      </c>
      <c r="T14992" s="1095">
        <v>-33.401152000000003</v>
      </c>
    </row>
    <row r="14993" spans="16:20">
      <c r="P14993" s="1094">
        <v>6450</v>
      </c>
      <c r="Q14993" t="s">
        <v>14842</v>
      </c>
      <c r="R14993" t="s">
        <v>480</v>
      </c>
      <c r="S14993">
        <v>122.211127</v>
      </c>
      <c r="T14993" s="1095">
        <v>-33.401152000000003</v>
      </c>
    </row>
    <row r="14994" spans="16:20">
      <c r="P14994" s="1094">
        <v>6450</v>
      </c>
      <c r="Q14994" t="s">
        <v>14843</v>
      </c>
      <c r="R14994" t="s">
        <v>480</v>
      </c>
      <c r="S14994">
        <v>122.211127</v>
      </c>
      <c r="T14994" s="1095">
        <v>-33.401152000000003</v>
      </c>
    </row>
    <row r="14995" spans="16:20">
      <c r="P14995" s="1094">
        <v>6450</v>
      </c>
      <c r="Q14995" t="s">
        <v>14844</v>
      </c>
      <c r="R14995" t="s">
        <v>480</v>
      </c>
      <c r="S14995">
        <v>122.211127</v>
      </c>
      <c r="T14995" s="1095">
        <v>-33.401152000000003</v>
      </c>
    </row>
    <row r="14996" spans="16:20">
      <c r="P14996" s="1094">
        <v>6450</v>
      </c>
      <c r="Q14996" t="s">
        <v>14845</v>
      </c>
      <c r="R14996" t="s">
        <v>480</v>
      </c>
      <c r="S14996">
        <v>122.211127</v>
      </c>
      <c r="T14996" s="1095">
        <v>-33.401152000000003</v>
      </c>
    </row>
    <row r="14997" spans="16:20">
      <c r="P14997" s="1094">
        <v>6450</v>
      </c>
      <c r="Q14997" t="s">
        <v>14846</v>
      </c>
      <c r="R14997" t="s">
        <v>480</v>
      </c>
      <c r="S14997">
        <v>122.211127</v>
      </c>
      <c r="T14997" s="1095">
        <v>-33.401152000000003</v>
      </c>
    </row>
    <row r="14998" spans="16:20">
      <c r="P14998" s="1094">
        <v>6450</v>
      </c>
      <c r="Q14998" t="s">
        <v>14847</v>
      </c>
      <c r="R14998" t="s">
        <v>480</v>
      </c>
      <c r="S14998">
        <v>122.211127</v>
      </c>
      <c r="T14998" s="1095">
        <v>-33.401152000000003</v>
      </c>
    </row>
    <row r="14999" spans="16:20">
      <c r="P14999" s="1094">
        <v>6450</v>
      </c>
      <c r="Q14999" t="s">
        <v>14848</v>
      </c>
      <c r="R14999" t="s">
        <v>480</v>
      </c>
      <c r="S14999">
        <v>122.211127</v>
      </c>
      <c r="T14999" s="1095">
        <v>-33.401152000000003</v>
      </c>
    </row>
    <row r="15000" spans="16:20">
      <c r="P15000" s="1094">
        <v>6450</v>
      </c>
      <c r="Q15000" t="s">
        <v>12467</v>
      </c>
      <c r="R15000" t="s">
        <v>480</v>
      </c>
      <c r="S15000">
        <v>122.211127</v>
      </c>
      <c r="T15000" s="1095">
        <v>-33.401152000000003</v>
      </c>
    </row>
    <row r="15001" spans="16:20">
      <c r="P15001" s="1094">
        <v>6450</v>
      </c>
      <c r="Q15001" t="s">
        <v>14849</v>
      </c>
      <c r="R15001" t="s">
        <v>480</v>
      </c>
      <c r="S15001">
        <v>122.211127</v>
      </c>
      <c r="T15001" s="1095">
        <v>-33.401152000000003</v>
      </c>
    </row>
    <row r="15002" spans="16:20">
      <c r="P15002" s="1094">
        <v>6452</v>
      </c>
      <c r="Q15002" t="s">
        <v>14850</v>
      </c>
      <c r="R15002" t="s">
        <v>480</v>
      </c>
      <c r="S15002">
        <v>0</v>
      </c>
      <c r="T15002" s="1095">
        <v>0</v>
      </c>
    </row>
    <row r="15003" spans="16:20">
      <c r="P15003" s="1094">
        <v>6452</v>
      </c>
      <c r="Q15003" t="s">
        <v>14851</v>
      </c>
      <c r="R15003" t="s">
        <v>480</v>
      </c>
      <c r="S15003">
        <v>0</v>
      </c>
      <c r="T15003" s="1095">
        <v>0</v>
      </c>
    </row>
    <row r="15004" spans="16:20">
      <c r="P15004" s="1094">
        <v>6452</v>
      </c>
      <c r="Q15004" t="s">
        <v>14852</v>
      </c>
      <c r="R15004" t="s">
        <v>480</v>
      </c>
      <c r="S15004">
        <v>0</v>
      </c>
      <c r="T15004" s="1095">
        <v>0</v>
      </c>
    </row>
    <row r="15005" spans="16:20">
      <c r="P15005" s="1094">
        <v>6460</v>
      </c>
      <c r="Q15005" t="s">
        <v>14853</v>
      </c>
      <c r="R15005" t="s">
        <v>480</v>
      </c>
      <c r="S15005">
        <v>116.779032</v>
      </c>
      <c r="T15005" s="1095">
        <v>-31.266649000000001</v>
      </c>
    </row>
    <row r="15006" spans="16:20">
      <c r="P15006" s="1094">
        <v>6460</v>
      </c>
      <c r="Q15006" t="s">
        <v>14854</v>
      </c>
      <c r="R15006" t="s">
        <v>480</v>
      </c>
      <c r="S15006">
        <v>116.779032</v>
      </c>
      <c r="T15006" s="1095">
        <v>-31.266649000000001</v>
      </c>
    </row>
    <row r="15007" spans="16:20">
      <c r="P15007" s="1094">
        <v>6460</v>
      </c>
      <c r="Q15007" t="s">
        <v>14855</v>
      </c>
      <c r="R15007" t="s">
        <v>480</v>
      </c>
      <c r="S15007">
        <v>116.779032</v>
      </c>
      <c r="T15007" s="1095">
        <v>-31.266649000000001</v>
      </c>
    </row>
    <row r="15008" spans="16:20">
      <c r="P15008" s="1094">
        <v>6460</v>
      </c>
      <c r="Q15008" t="s">
        <v>14856</v>
      </c>
      <c r="R15008" t="s">
        <v>480</v>
      </c>
      <c r="S15008">
        <v>116.779032</v>
      </c>
      <c r="T15008" s="1095">
        <v>-31.266649000000001</v>
      </c>
    </row>
    <row r="15009" spans="16:20">
      <c r="P15009" s="1094">
        <v>6460</v>
      </c>
      <c r="Q15009" t="s">
        <v>14857</v>
      </c>
      <c r="R15009" t="s">
        <v>480</v>
      </c>
      <c r="S15009">
        <v>116.779032</v>
      </c>
      <c r="T15009" s="1095">
        <v>-31.266649000000001</v>
      </c>
    </row>
    <row r="15010" spans="16:20">
      <c r="P15010" s="1094">
        <v>6461</v>
      </c>
      <c r="Q15010" t="s">
        <v>14858</v>
      </c>
      <c r="R15010" t="s">
        <v>480</v>
      </c>
      <c r="S15010">
        <v>117.083327</v>
      </c>
      <c r="T15010" s="1095">
        <v>-31.140716999999999</v>
      </c>
    </row>
    <row r="15011" spans="16:20">
      <c r="P15011" s="1094">
        <v>6461</v>
      </c>
      <c r="Q15011" t="s">
        <v>14859</v>
      </c>
      <c r="R15011" t="s">
        <v>480</v>
      </c>
      <c r="S15011">
        <v>117.083327</v>
      </c>
      <c r="T15011" s="1095">
        <v>-31.140716999999999</v>
      </c>
    </row>
    <row r="15012" spans="16:20">
      <c r="P15012" s="1094">
        <v>6462</v>
      </c>
      <c r="Q15012" t="s">
        <v>12414</v>
      </c>
      <c r="R15012" t="s">
        <v>480</v>
      </c>
      <c r="S15012">
        <v>117.20434899999999</v>
      </c>
      <c r="T15012" s="1095">
        <v>-31.125288000000001</v>
      </c>
    </row>
    <row r="15013" spans="16:20">
      <c r="P15013" s="1094">
        <v>6462</v>
      </c>
      <c r="Q15013" t="s">
        <v>14860</v>
      </c>
      <c r="R15013" t="s">
        <v>480</v>
      </c>
      <c r="S15013">
        <v>117.20434899999999</v>
      </c>
      <c r="T15013" s="1095">
        <v>-31.125288000000001</v>
      </c>
    </row>
    <row r="15014" spans="16:20">
      <c r="P15014" s="1094">
        <v>6462</v>
      </c>
      <c r="Q15014" t="s">
        <v>14861</v>
      </c>
      <c r="R15014" t="s">
        <v>480</v>
      </c>
      <c r="S15014">
        <v>117.20434899999999</v>
      </c>
      <c r="T15014" s="1095">
        <v>-31.125288000000001</v>
      </c>
    </row>
    <row r="15015" spans="16:20">
      <c r="P15015" s="1094">
        <v>6463</v>
      </c>
      <c r="Q15015" t="s">
        <v>14862</v>
      </c>
      <c r="R15015" t="s">
        <v>480</v>
      </c>
      <c r="S15015">
        <v>117.249295</v>
      </c>
      <c r="T15015" s="1095">
        <v>-31.126498999999999</v>
      </c>
    </row>
    <row r="15016" spans="16:20">
      <c r="P15016" s="1094">
        <v>6465</v>
      </c>
      <c r="Q15016" t="s">
        <v>14863</v>
      </c>
      <c r="R15016" t="s">
        <v>480</v>
      </c>
      <c r="S15016">
        <v>117.071157</v>
      </c>
      <c r="T15016" s="1095">
        <v>-30.859977000000001</v>
      </c>
    </row>
    <row r="15017" spans="16:20">
      <c r="P15017" s="1094">
        <v>6466</v>
      </c>
      <c r="Q15017" t="s">
        <v>14864</v>
      </c>
      <c r="R15017" t="s">
        <v>480</v>
      </c>
      <c r="S15017">
        <v>117.100375</v>
      </c>
      <c r="T15017" s="1095">
        <v>-30.719092</v>
      </c>
    </row>
    <row r="15018" spans="16:20">
      <c r="P15018" s="1094">
        <v>6467</v>
      </c>
      <c r="Q15018" t="s">
        <v>14865</v>
      </c>
      <c r="R15018" t="s">
        <v>480</v>
      </c>
      <c r="S15018">
        <v>117.153374</v>
      </c>
      <c r="T15018" s="1095">
        <v>-30.561305999999998</v>
      </c>
    </row>
    <row r="15019" spans="16:20">
      <c r="P15019" s="1094">
        <v>6468</v>
      </c>
      <c r="Q15019" t="s">
        <v>14866</v>
      </c>
      <c r="R15019" t="s">
        <v>480</v>
      </c>
      <c r="S15019">
        <v>117.14445600000001</v>
      </c>
      <c r="T15019" s="1095">
        <v>-30.214559000000001</v>
      </c>
    </row>
    <row r="15020" spans="16:20">
      <c r="P15020" s="1094">
        <v>6468</v>
      </c>
      <c r="Q15020" t="s">
        <v>14867</v>
      </c>
      <c r="R15020" t="s">
        <v>480</v>
      </c>
      <c r="S15020">
        <v>117.14445600000001</v>
      </c>
      <c r="T15020" s="1095">
        <v>-30.214559000000001</v>
      </c>
    </row>
    <row r="15021" spans="16:20">
      <c r="P15021" s="1094">
        <v>6468</v>
      </c>
      <c r="Q15021" t="s">
        <v>14868</v>
      </c>
      <c r="R15021" t="s">
        <v>480</v>
      </c>
      <c r="S15021">
        <v>117.14445600000001</v>
      </c>
      <c r="T15021" s="1095">
        <v>-30.214559000000001</v>
      </c>
    </row>
    <row r="15022" spans="16:20">
      <c r="P15022" s="1094">
        <v>6470</v>
      </c>
      <c r="Q15022" t="s">
        <v>14869</v>
      </c>
      <c r="R15022" t="s">
        <v>480</v>
      </c>
      <c r="S15022">
        <v>117.287007</v>
      </c>
      <c r="T15022" s="1095">
        <v>-30.466429000000002</v>
      </c>
    </row>
    <row r="15023" spans="16:20">
      <c r="P15023" s="1094">
        <v>6472</v>
      </c>
      <c r="Q15023" t="s">
        <v>14870</v>
      </c>
      <c r="R15023" t="s">
        <v>480</v>
      </c>
      <c r="S15023">
        <v>117.789878</v>
      </c>
      <c r="T15023" s="1095">
        <v>-30.261438999999999</v>
      </c>
    </row>
    <row r="15024" spans="16:20">
      <c r="P15024" s="1094">
        <v>6472</v>
      </c>
      <c r="Q15024" t="s">
        <v>14871</v>
      </c>
      <c r="R15024" t="s">
        <v>480</v>
      </c>
      <c r="S15024">
        <v>117.789878</v>
      </c>
      <c r="T15024" s="1095">
        <v>-30.261438999999999</v>
      </c>
    </row>
    <row r="15025" spans="16:20">
      <c r="P15025" s="1094">
        <v>6472</v>
      </c>
      <c r="Q15025" t="s">
        <v>14872</v>
      </c>
      <c r="R15025" t="s">
        <v>480</v>
      </c>
      <c r="S15025">
        <v>117.789878</v>
      </c>
      <c r="T15025" s="1095">
        <v>-30.261438999999999</v>
      </c>
    </row>
    <row r="15026" spans="16:20">
      <c r="P15026" s="1094">
        <v>6472</v>
      </c>
      <c r="Q15026" t="s">
        <v>14873</v>
      </c>
      <c r="R15026" t="s">
        <v>480</v>
      </c>
      <c r="S15026">
        <v>117.789878</v>
      </c>
      <c r="T15026" s="1095">
        <v>-30.261438999999999</v>
      </c>
    </row>
    <row r="15027" spans="16:20">
      <c r="P15027" s="1094">
        <v>6472</v>
      </c>
      <c r="Q15027" t="s">
        <v>14874</v>
      </c>
      <c r="R15027" t="s">
        <v>480</v>
      </c>
      <c r="S15027">
        <v>117.789878</v>
      </c>
      <c r="T15027" s="1095">
        <v>-30.261438999999999</v>
      </c>
    </row>
    <row r="15028" spans="16:20">
      <c r="P15028" s="1094">
        <v>6472</v>
      </c>
      <c r="Q15028" t="s">
        <v>14875</v>
      </c>
      <c r="R15028" t="s">
        <v>480</v>
      </c>
      <c r="S15028">
        <v>117.789878</v>
      </c>
      <c r="T15028" s="1095">
        <v>-30.261438999999999</v>
      </c>
    </row>
    <row r="15029" spans="16:20">
      <c r="P15029" s="1094">
        <v>6473</v>
      </c>
      <c r="Q15029" t="s">
        <v>14876</v>
      </c>
      <c r="R15029" t="s">
        <v>480</v>
      </c>
      <c r="S15029">
        <v>118.13352</v>
      </c>
      <c r="T15029" s="1095">
        <v>-30.488997999999999</v>
      </c>
    </row>
    <row r="15030" spans="16:20">
      <c r="P15030" s="1094">
        <v>6473</v>
      </c>
      <c r="Q15030" t="s">
        <v>14877</v>
      </c>
      <c r="R15030" t="s">
        <v>480</v>
      </c>
      <c r="S15030">
        <v>118.13352</v>
      </c>
      <c r="T15030" s="1095">
        <v>-30.488997999999999</v>
      </c>
    </row>
    <row r="15031" spans="16:20">
      <c r="P15031" s="1094">
        <v>6475</v>
      </c>
      <c r="Q15031" t="s">
        <v>14878</v>
      </c>
      <c r="R15031" t="s">
        <v>480</v>
      </c>
      <c r="S15031">
        <v>117.440487</v>
      </c>
      <c r="T15031" s="1095">
        <v>-30.613980999999999</v>
      </c>
    </row>
    <row r="15032" spans="16:20">
      <c r="P15032" s="1094">
        <v>6475</v>
      </c>
      <c r="Q15032" t="s">
        <v>14879</v>
      </c>
      <c r="R15032" t="s">
        <v>480</v>
      </c>
      <c r="S15032">
        <v>117.440487</v>
      </c>
      <c r="T15032" s="1095">
        <v>-30.613980999999999</v>
      </c>
    </row>
    <row r="15033" spans="16:20">
      <c r="P15033" s="1094">
        <v>6475</v>
      </c>
      <c r="Q15033" t="s">
        <v>14880</v>
      </c>
      <c r="R15033" t="s">
        <v>480</v>
      </c>
      <c r="S15033">
        <v>117.440487</v>
      </c>
      <c r="T15033" s="1095">
        <v>-30.613980999999999</v>
      </c>
    </row>
    <row r="15034" spans="16:20">
      <c r="P15034" s="1094">
        <v>6475</v>
      </c>
      <c r="Q15034" t="s">
        <v>14881</v>
      </c>
      <c r="R15034" t="s">
        <v>480</v>
      </c>
      <c r="S15034">
        <v>117.440487</v>
      </c>
      <c r="T15034" s="1095">
        <v>-30.613980999999999</v>
      </c>
    </row>
    <row r="15035" spans="16:20">
      <c r="P15035" s="1094">
        <v>6475</v>
      </c>
      <c r="Q15035" t="s">
        <v>14882</v>
      </c>
      <c r="R15035" t="s">
        <v>480</v>
      </c>
      <c r="S15035">
        <v>117.440487</v>
      </c>
      <c r="T15035" s="1095">
        <v>-30.613980999999999</v>
      </c>
    </row>
    <row r="15036" spans="16:20">
      <c r="P15036" s="1094">
        <v>6475</v>
      </c>
      <c r="Q15036" t="s">
        <v>14883</v>
      </c>
      <c r="R15036" t="s">
        <v>480</v>
      </c>
      <c r="S15036">
        <v>117.440487</v>
      </c>
      <c r="T15036" s="1095">
        <v>-30.613980999999999</v>
      </c>
    </row>
    <row r="15037" spans="16:20">
      <c r="P15037" s="1094">
        <v>6475</v>
      </c>
      <c r="Q15037" t="s">
        <v>14884</v>
      </c>
      <c r="R15037" t="s">
        <v>480</v>
      </c>
      <c r="S15037">
        <v>117.440487</v>
      </c>
      <c r="T15037" s="1095">
        <v>-30.613980999999999</v>
      </c>
    </row>
    <row r="15038" spans="16:20">
      <c r="P15038" s="1094">
        <v>6476</v>
      </c>
      <c r="Q15038" t="s">
        <v>14885</v>
      </c>
      <c r="R15038" t="s">
        <v>480</v>
      </c>
      <c r="S15038">
        <v>117.679166</v>
      </c>
      <c r="T15038" s="1095">
        <v>-30.764934</v>
      </c>
    </row>
    <row r="15039" spans="16:20">
      <c r="P15039" s="1094">
        <v>6477</v>
      </c>
      <c r="Q15039" t="s">
        <v>14886</v>
      </c>
      <c r="R15039" t="s">
        <v>480</v>
      </c>
      <c r="S15039">
        <v>117.93876</v>
      </c>
      <c r="T15039" s="1095">
        <v>-30.775956000000001</v>
      </c>
    </row>
    <row r="15040" spans="16:20">
      <c r="P15040" s="1094">
        <v>6477</v>
      </c>
      <c r="Q15040" t="s">
        <v>14887</v>
      </c>
      <c r="R15040" t="s">
        <v>480</v>
      </c>
      <c r="S15040">
        <v>117.93876</v>
      </c>
      <c r="T15040" s="1095">
        <v>-30.775956000000001</v>
      </c>
    </row>
    <row r="15041" spans="16:20">
      <c r="P15041" s="1094">
        <v>6479</v>
      </c>
      <c r="Q15041" t="s">
        <v>14888</v>
      </c>
      <c r="R15041" t="s">
        <v>480</v>
      </c>
      <c r="S15041">
        <v>118.44850099999999</v>
      </c>
      <c r="T15041" s="1095">
        <v>-30.748418999999998</v>
      </c>
    </row>
    <row r="15042" spans="16:20">
      <c r="P15042" s="1094">
        <v>6479</v>
      </c>
      <c r="Q15042" t="s">
        <v>14889</v>
      </c>
      <c r="R15042" t="s">
        <v>480</v>
      </c>
      <c r="S15042">
        <v>118.44850099999999</v>
      </c>
      <c r="T15042" s="1095">
        <v>-30.748418999999998</v>
      </c>
    </row>
    <row r="15043" spans="16:20">
      <c r="P15043" s="1094">
        <v>6479</v>
      </c>
      <c r="Q15043" t="s">
        <v>14890</v>
      </c>
      <c r="R15043" t="s">
        <v>480</v>
      </c>
      <c r="S15043">
        <v>118.44850099999999</v>
      </c>
      <c r="T15043" s="1095">
        <v>-30.748418999999998</v>
      </c>
    </row>
    <row r="15044" spans="16:20">
      <c r="P15044" s="1094">
        <v>6479</v>
      </c>
      <c r="Q15044" t="s">
        <v>14891</v>
      </c>
      <c r="R15044" t="s">
        <v>480</v>
      </c>
      <c r="S15044">
        <v>118.44850099999999</v>
      </c>
      <c r="T15044" s="1095">
        <v>-30.748418999999998</v>
      </c>
    </row>
    <row r="15045" spans="16:20">
      <c r="P15045" s="1094">
        <v>6479</v>
      </c>
      <c r="Q15045" t="s">
        <v>14892</v>
      </c>
      <c r="R15045" t="s">
        <v>480</v>
      </c>
      <c r="S15045">
        <v>118.44850099999999</v>
      </c>
      <c r="T15045" s="1095">
        <v>-30.748418999999998</v>
      </c>
    </row>
    <row r="15046" spans="16:20">
      <c r="P15046" s="1094">
        <v>6479</v>
      </c>
      <c r="Q15046" t="s">
        <v>14893</v>
      </c>
      <c r="R15046" t="s">
        <v>480</v>
      </c>
      <c r="S15046">
        <v>118.44850099999999</v>
      </c>
      <c r="T15046" s="1095">
        <v>-30.748418999999998</v>
      </c>
    </row>
    <row r="15047" spans="16:20">
      <c r="P15047" s="1094">
        <v>6479</v>
      </c>
      <c r="Q15047" t="s">
        <v>14894</v>
      </c>
      <c r="R15047" t="s">
        <v>480</v>
      </c>
      <c r="S15047">
        <v>118.44850099999999</v>
      </c>
      <c r="T15047" s="1095">
        <v>-30.748418999999998</v>
      </c>
    </row>
    <row r="15048" spans="16:20">
      <c r="P15048" s="1094">
        <v>6479</v>
      </c>
      <c r="Q15048" t="s">
        <v>14895</v>
      </c>
      <c r="R15048" t="s">
        <v>480</v>
      </c>
      <c r="S15048">
        <v>118.44850099999999</v>
      </c>
      <c r="T15048" s="1095">
        <v>-30.748418999999998</v>
      </c>
    </row>
    <row r="15049" spans="16:20">
      <c r="P15049" s="1094">
        <v>6479</v>
      </c>
      <c r="Q15049" t="s">
        <v>14896</v>
      </c>
      <c r="R15049" t="s">
        <v>480</v>
      </c>
      <c r="S15049">
        <v>118.44850099999999</v>
      </c>
      <c r="T15049" s="1095">
        <v>-30.748418999999998</v>
      </c>
    </row>
    <row r="15050" spans="16:20">
      <c r="P15050" s="1094">
        <v>6480</v>
      </c>
      <c r="Q15050" t="s">
        <v>14897</v>
      </c>
      <c r="R15050" t="s">
        <v>480</v>
      </c>
      <c r="S15050">
        <v>118.22060999999999</v>
      </c>
      <c r="T15050" s="1095">
        <v>-31.290084</v>
      </c>
    </row>
    <row r="15051" spans="16:20">
      <c r="P15051" s="1094">
        <v>6484</v>
      </c>
      <c r="Q15051" t="s">
        <v>14898</v>
      </c>
      <c r="R15051" t="s">
        <v>480</v>
      </c>
      <c r="S15051">
        <v>119.078912</v>
      </c>
      <c r="T15051" s="1095">
        <v>-30.960681000000001</v>
      </c>
    </row>
    <row r="15052" spans="16:20">
      <c r="P15052" s="1094">
        <v>6484</v>
      </c>
      <c r="Q15052" t="s">
        <v>14899</v>
      </c>
      <c r="R15052" t="s">
        <v>480</v>
      </c>
      <c r="S15052">
        <v>119.078912</v>
      </c>
      <c r="T15052" s="1095">
        <v>-30.960681000000001</v>
      </c>
    </row>
    <row r="15053" spans="16:20">
      <c r="P15053" s="1094">
        <v>6484</v>
      </c>
      <c r="Q15053" t="s">
        <v>14900</v>
      </c>
      <c r="R15053" t="s">
        <v>480</v>
      </c>
      <c r="S15053">
        <v>119.078912</v>
      </c>
      <c r="T15053" s="1095">
        <v>-30.960681000000001</v>
      </c>
    </row>
    <row r="15054" spans="16:20">
      <c r="P15054" s="1094">
        <v>6485</v>
      </c>
      <c r="Q15054" t="s">
        <v>14901</v>
      </c>
      <c r="R15054" t="s">
        <v>480</v>
      </c>
      <c r="S15054">
        <v>117.381055</v>
      </c>
      <c r="T15054" s="1095">
        <v>-31.184716999999999</v>
      </c>
    </row>
    <row r="15055" spans="16:20">
      <c r="P15055" s="1094">
        <v>6485</v>
      </c>
      <c r="Q15055" t="s">
        <v>14902</v>
      </c>
      <c r="R15055" t="s">
        <v>480</v>
      </c>
      <c r="S15055">
        <v>117.381055</v>
      </c>
      <c r="T15055" s="1095">
        <v>-31.184716999999999</v>
      </c>
    </row>
    <row r="15056" spans="16:20">
      <c r="P15056" s="1094">
        <v>6485</v>
      </c>
      <c r="Q15056" t="s">
        <v>14903</v>
      </c>
      <c r="R15056" t="s">
        <v>480</v>
      </c>
      <c r="S15056">
        <v>117.381055</v>
      </c>
      <c r="T15056" s="1095">
        <v>-31.184716999999999</v>
      </c>
    </row>
    <row r="15057" spans="16:20">
      <c r="P15057" s="1094">
        <v>6485</v>
      </c>
      <c r="Q15057" t="s">
        <v>14904</v>
      </c>
      <c r="R15057" t="s">
        <v>480</v>
      </c>
      <c r="S15057">
        <v>117.381055</v>
      </c>
      <c r="T15057" s="1095">
        <v>-31.184716999999999</v>
      </c>
    </row>
    <row r="15058" spans="16:20">
      <c r="P15058" s="1094">
        <v>6485</v>
      </c>
      <c r="Q15058" t="s">
        <v>14905</v>
      </c>
      <c r="R15058" t="s">
        <v>480</v>
      </c>
      <c r="S15058">
        <v>117.381055</v>
      </c>
      <c r="T15058" s="1095">
        <v>-31.184716999999999</v>
      </c>
    </row>
    <row r="15059" spans="16:20">
      <c r="P15059" s="1094">
        <v>6487</v>
      </c>
      <c r="Q15059" t="s">
        <v>14906</v>
      </c>
      <c r="R15059" t="s">
        <v>480</v>
      </c>
      <c r="S15059">
        <v>117.660055</v>
      </c>
      <c r="T15059" s="1095">
        <v>-31.168258999999999</v>
      </c>
    </row>
    <row r="15060" spans="16:20">
      <c r="P15060" s="1094">
        <v>6487</v>
      </c>
      <c r="Q15060" t="s">
        <v>14907</v>
      </c>
      <c r="R15060" t="s">
        <v>480</v>
      </c>
      <c r="S15060">
        <v>117.660055</v>
      </c>
      <c r="T15060" s="1095">
        <v>-31.168258999999999</v>
      </c>
    </row>
    <row r="15061" spans="16:20">
      <c r="P15061" s="1094">
        <v>6487</v>
      </c>
      <c r="Q15061" t="s">
        <v>14908</v>
      </c>
      <c r="R15061" t="s">
        <v>480</v>
      </c>
      <c r="S15061">
        <v>117.660055</v>
      </c>
      <c r="T15061" s="1095">
        <v>-31.168258999999999</v>
      </c>
    </row>
    <row r="15062" spans="16:20">
      <c r="P15062" s="1094">
        <v>6488</v>
      </c>
      <c r="Q15062" t="s">
        <v>14909</v>
      </c>
      <c r="R15062" t="s">
        <v>480</v>
      </c>
      <c r="S15062">
        <v>117.73583600000001</v>
      </c>
      <c r="T15062" s="1095">
        <v>-31.127571</v>
      </c>
    </row>
    <row r="15063" spans="16:20">
      <c r="P15063" s="1094">
        <v>6488</v>
      </c>
      <c r="Q15063" t="s">
        <v>14910</v>
      </c>
      <c r="R15063" t="s">
        <v>480</v>
      </c>
      <c r="S15063">
        <v>117.73583600000001</v>
      </c>
      <c r="T15063" s="1095">
        <v>-31.127571</v>
      </c>
    </row>
    <row r="15064" spans="16:20">
      <c r="P15064" s="1094">
        <v>6488</v>
      </c>
      <c r="Q15064" t="s">
        <v>14911</v>
      </c>
      <c r="R15064" t="s">
        <v>480</v>
      </c>
      <c r="S15064">
        <v>117.73583600000001</v>
      </c>
      <c r="T15064" s="1095">
        <v>-31.127571</v>
      </c>
    </row>
    <row r="15065" spans="16:20">
      <c r="P15065" s="1094">
        <v>6489</v>
      </c>
      <c r="Q15065" t="s">
        <v>14912</v>
      </c>
      <c r="R15065" t="s">
        <v>480</v>
      </c>
      <c r="S15065">
        <v>117.945624</v>
      </c>
      <c r="T15065" s="1095">
        <v>-31.123270000000002</v>
      </c>
    </row>
    <row r="15066" spans="16:20">
      <c r="P15066" s="1094">
        <v>6489</v>
      </c>
      <c r="Q15066" t="s">
        <v>14913</v>
      </c>
      <c r="R15066" t="s">
        <v>480</v>
      </c>
      <c r="S15066">
        <v>117.945624</v>
      </c>
      <c r="T15066" s="1095">
        <v>-31.123270000000002</v>
      </c>
    </row>
    <row r="15067" spans="16:20">
      <c r="P15067" s="1094">
        <v>6489</v>
      </c>
      <c r="Q15067" t="s">
        <v>14914</v>
      </c>
      <c r="R15067" t="s">
        <v>480</v>
      </c>
      <c r="S15067">
        <v>117.945624</v>
      </c>
      <c r="T15067" s="1095">
        <v>-31.123270000000002</v>
      </c>
    </row>
    <row r="15068" spans="16:20">
      <c r="P15068" s="1094">
        <v>6490</v>
      </c>
      <c r="Q15068" t="s">
        <v>14915</v>
      </c>
      <c r="R15068" t="s">
        <v>480</v>
      </c>
      <c r="S15068">
        <v>118.107061</v>
      </c>
      <c r="T15068" s="1095">
        <v>-31.161835</v>
      </c>
    </row>
    <row r="15069" spans="16:20">
      <c r="P15069" s="1094">
        <v>6490</v>
      </c>
      <c r="Q15069" t="s">
        <v>9628</v>
      </c>
      <c r="R15069" t="s">
        <v>480</v>
      </c>
      <c r="S15069">
        <v>118.107061</v>
      </c>
      <c r="T15069" s="1095">
        <v>-31.161835</v>
      </c>
    </row>
    <row r="15070" spans="16:20">
      <c r="P15070" s="1094">
        <v>6490</v>
      </c>
      <c r="Q15070" t="s">
        <v>14916</v>
      </c>
      <c r="R15070" t="s">
        <v>480</v>
      </c>
      <c r="S15070">
        <v>118.107061</v>
      </c>
      <c r="T15070" s="1095">
        <v>-31.161835</v>
      </c>
    </row>
    <row r="15071" spans="16:20">
      <c r="P15071" s="1094">
        <v>6490</v>
      </c>
      <c r="Q15071" t="s">
        <v>14917</v>
      </c>
      <c r="R15071" t="s">
        <v>480</v>
      </c>
      <c r="S15071">
        <v>118.107061</v>
      </c>
      <c r="T15071" s="1095">
        <v>-31.161835</v>
      </c>
    </row>
    <row r="15072" spans="16:20">
      <c r="P15072" s="1094">
        <v>6490</v>
      </c>
      <c r="Q15072" t="s">
        <v>14918</v>
      </c>
      <c r="R15072" t="s">
        <v>480</v>
      </c>
      <c r="S15072">
        <v>118.107061</v>
      </c>
      <c r="T15072" s="1095">
        <v>-31.161835</v>
      </c>
    </row>
    <row r="15073" spans="16:20">
      <c r="P15073" s="1094">
        <v>6490</v>
      </c>
      <c r="Q15073" t="s">
        <v>14919</v>
      </c>
      <c r="R15073" t="s">
        <v>480</v>
      </c>
      <c r="S15073">
        <v>118.107061</v>
      </c>
      <c r="T15073" s="1095">
        <v>-31.161835</v>
      </c>
    </row>
    <row r="15074" spans="16:20">
      <c r="P15074" s="1094">
        <v>6501</v>
      </c>
      <c r="Q15074" t="s">
        <v>14920</v>
      </c>
      <c r="R15074" t="s">
        <v>480</v>
      </c>
      <c r="S15074">
        <v>115.945497</v>
      </c>
      <c r="T15074" s="1095">
        <v>-31.541813000000001</v>
      </c>
    </row>
    <row r="15075" spans="16:20">
      <c r="P15075" s="1094">
        <v>6502</v>
      </c>
      <c r="Q15075" t="s">
        <v>14921</v>
      </c>
      <c r="R15075" t="s">
        <v>480</v>
      </c>
      <c r="S15075">
        <v>116.18427200000001</v>
      </c>
      <c r="T15075" s="1095">
        <v>-31.297561000000002</v>
      </c>
    </row>
    <row r="15076" spans="16:20">
      <c r="P15076" s="1094">
        <v>6502</v>
      </c>
      <c r="Q15076" t="s">
        <v>14922</v>
      </c>
      <c r="R15076" t="s">
        <v>480</v>
      </c>
      <c r="S15076">
        <v>116.18427200000001</v>
      </c>
      <c r="T15076" s="1095">
        <v>-31.297561000000002</v>
      </c>
    </row>
    <row r="15077" spans="16:20">
      <c r="P15077" s="1094">
        <v>6503</v>
      </c>
      <c r="Q15077" t="s">
        <v>14923</v>
      </c>
      <c r="R15077" t="s">
        <v>480</v>
      </c>
      <c r="S15077">
        <v>115.82111</v>
      </c>
      <c r="T15077" s="1095">
        <v>-31.237406</v>
      </c>
    </row>
    <row r="15078" spans="16:20">
      <c r="P15078" s="1094">
        <v>6503</v>
      </c>
      <c r="Q15078" t="s">
        <v>14924</v>
      </c>
      <c r="R15078" t="s">
        <v>480</v>
      </c>
      <c r="S15078">
        <v>115.82111</v>
      </c>
      <c r="T15078" s="1095">
        <v>-31.237406</v>
      </c>
    </row>
    <row r="15079" spans="16:20">
      <c r="P15079" s="1094">
        <v>6503</v>
      </c>
      <c r="Q15079" t="s">
        <v>14925</v>
      </c>
      <c r="R15079" t="s">
        <v>480</v>
      </c>
      <c r="S15079">
        <v>115.82111</v>
      </c>
      <c r="T15079" s="1095">
        <v>-31.237406</v>
      </c>
    </row>
    <row r="15080" spans="16:20">
      <c r="P15080" s="1094">
        <v>6503</v>
      </c>
      <c r="Q15080" t="s">
        <v>14926</v>
      </c>
      <c r="R15080" t="s">
        <v>480</v>
      </c>
      <c r="S15080">
        <v>115.82111</v>
      </c>
      <c r="T15080" s="1095">
        <v>-31.237406</v>
      </c>
    </row>
    <row r="15081" spans="16:20">
      <c r="P15081" s="1094">
        <v>6503</v>
      </c>
      <c r="Q15081" t="s">
        <v>14927</v>
      </c>
      <c r="R15081" t="s">
        <v>480</v>
      </c>
      <c r="S15081">
        <v>115.82111</v>
      </c>
      <c r="T15081" s="1095">
        <v>-31.237406</v>
      </c>
    </row>
    <row r="15082" spans="16:20">
      <c r="P15082" s="1094">
        <v>6503</v>
      </c>
      <c r="Q15082" t="s">
        <v>14928</v>
      </c>
      <c r="R15082" t="s">
        <v>480</v>
      </c>
      <c r="S15082">
        <v>115.82111</v>
      </c>
      <c r="T15082" s="1095">
        <v>-31.237406</v>
      </c>
    </row>
    <row r="15083" spans="16:20">
      <c r="P15083" s="1094">
        <v>6503</v>
      </c>
      <c r="Q15083" t="s">
        <v>14929</v>
      </c>
      <c r="R15083" t="s">
        <v>480</v>
      </c>
      <c r="S15083">
        <v>115.82111</v>
      </c>
      <c r="T15083" s="1095">
        <v>-31.237406</v>
      </c>
    </row>
    <row r="15084" spans="16:20">
      <c r="P15084" s="1094">
        <v>6503</v>
      </c>
      <c r="Q15084" t="s">
        <v>14930</v>
      </c>
      <c r="R15084" t="s">
        <v>480</v>
      </c>
      <c r="S15084">
        <v>115.82111</v>
      </c>
      <c r="T15084" s="1095">
        <v>-31.237406</v>
      </c>
    </row>
    <row r="15085" spans="16:20">
      <c r="P15085" s="1094">
        <v>6503</v>
      </c>
      <c r="Q15085" t="s">
        <v>14931</v>
      </c>
      <c r="R15085" t="s">
        <v>480</v>
      </c>
      <c r="S15085">
        <v>115.82111</v>
      </c>
      <c r="T15085" s="1095">
        <v>-31.237406</v>
      </c>
    </row>
    <row r="15086" spans="16:20">
      <c r="P15086" s="1094">
        <v>6503</v>
      </c>
      <c r="Q15086" t="s">
        <v>1712</v>
      </c>
      <c r="R15086" t="s">
        <v>480</v>
      </c>
      <c r="S15086">
        <v>115.82111</v>
      </c>
      <c r="T15086" s="1095">
        <v>-31.237406</v>
      </c>
    </row>
    <row r="15087" spans="16:20">
      <c r="P15087" s="1094">
        <v>6503</v>
      </c>
      <c r="Q15087" t="s">
        <v>14932</v>
      </c>
      <c r="R15087" t="s">
        <v>480</v>
      </c>
      <c r="S15087">
        <v>115.82111</v>
      </c>
      <c r="T15087" s="1095">
        <v>-31.237406</v>
      </c>
    </row>
    <row r="15088" spans="16:20">
      <c r="P15088" s="1094">
        <v>6503</v>
      </c>
      <c r="Q15088" t="s">
        <v>14933</v>
      </c>
      <c r="R15088" t="s">
        <v>480</v>
      </c>
      <c r="S15088">
        <v>115.82111</v>
      </c>
      <c r="T15088" s="1095">
        <v>-31.237406</v>
      </c>
    </row>
    <row r="15089" spans="16:20">
      <c r="P15089" s="1094">
        <v>6503</v>
      </c>
      <c r="Q15089" t="s">
        <v>14934</v>
      </c>
      <c r="R15089" t="s">
        <v>480</v>
      </c>
      <c r="S15089">
        <v>115.82111</v>
      </c>
      <c r="T15089" s="1095">
        <v>-31.237406</v>
      </c>
    </row>
    <row r="15090" spans="16:20">
      <c r="P15090" s="1094">
        <v>6503</v>
      </c>
      <c r="Q15090" t="s">
        <v>14935</v>
      </c>
      <c r="R15090" t="s">
        <v>480</v>
      </c>
      <c r="S15090">
        <v>115.82111</v>
      </c>
      <c r="T15090" s="1095">
        <v>-31.237406</v>
      </c>
    </row>
    <row r="15091" spans="16:20">
      <c r="P15091" s="1094">
        <v>6503</v>
      </c>
      <c r="Q15091" t="s">
        <v>14936</v>
      </c>
      <c r="R15091" t="s">
        <v>480</v>
      </c>
      <c r="S15091">
        <v>115.82111</v>
      </c>
      <c r="T15091" s="1095">
        <v>-31.237406</v>
      </c>
    </row>
    <row r="15092" spans="16:20">
      <c r="P15092" s="1094">
        <v>6503</v>
      </c>
      <c r="Q15092" t="s">
        <v>14937</v>
      </c>
      <c r="R15092" t="s">
        <v>480</v>
      </c>
      <c r="S15092">
        <v>115.82111</v>
      </c>
      <c r="T15092" s="1095">
        <v>-31.237406</v>
      </c>
    </row>
    <row r="15093" spans="16:20">
      <c r="P15093" s="1094">
        <v>6503</v>
      </c>
      <c r="Q15093" t="s">
        <v>14938</v>
      </c>
      <c r="R15093" t="s">
        <v>480</v>
      </c>
      <c r="S15093">
        <v>115.82111</v>
      </c>
      <c r="T15093" s="1095">
        <v>-31.237406</v>
      </c>
    </row>
    <row r="15094" spans="16:20">
      <c r="P15094" s="1094">
        <v>6503</v>
      </c>
      <c r="Q15094" t="s">
        <v>14939</v>
      </c>
      <c r="R15094" t="s">
        <v>480</v>
      </c>
      <c r="S15094">
        <v>115.82111</v>
      </c>
      <c r="T15094" s="1095">
        <v>-31.237406</v>
      </c>
    </row>
    <row r="15095" spans="16:20">
      <c r="P15095" s="1094">
        <v>6503</v>
      </c>
      <c r="Q15095" t="s">
        <v>14940</v>
      </c>
      <c r="R15095" t="s">
        <v>480</v>
      </c>
      <c r="S15095">
        <v>115.82111</v>
      </c>
      <c r="T15095" s="1095">
        <v>-31.237406</v>
      </c>
    </row>
    <row r="15096" spans="16:20">
      <c r="P15096" s="1094">
        <v>6503</v>
      </c>
      <c r="Q15096" t="s">
        <v>14941</v>
      </c>
      <c r="R15096" t="s">
        <v>480</v>
      </c>
      <c r="S15096">
        <v>115.82111</v>
      </c>
      <c r="T15096" s="1095">
        <v>-31.237406</v>
      </c>
    </row>
    <row r="15097" spans="16:20">
      <c r="P15097" s="1094">
        <v>6504</v>
      </c>
      <c r="Q15097" t="s">
        <v>14942</v>
      </c>
      <c r="R15097" t="s">
        <v>480</v>
      </c>
      <c r="S15097">
        <v>116.042298</v>
      </c>
      <c r="T15097" s="1095">
        <v>-31.310790999999998</v>
      </c>
    </row>
    <row r="15098" spans="16:20">
      <c r="P15098" s="1094">
        <v>6505</v>
      </c>
      <c r="Q15098" t="s">
        <v>14943</v>
      </c>
      <c r="R15098" t="s">
        <v>480</v>
      </c>
      <c r="S15098">
        <v>116.10443100000001</v>
      </c>
      <c r="T15098" s="1095">
        <v>-31.161422999999999</v>
      </c>
    </row>
    <row r="15099" spans="16:20">
      <c r="P15099" s="1094">
        <v>6506</v>
      </c>
      <c r="Q15099" t="s">
        <v>14944</v>
      </c>
      <c r="R15099" t="s">
        <v>480</v>
      </c>
      <c r="S15099">
        <v>116.110277</v>
      </c>
      <c r="T15099" s="1095">
        <v>-31.070281999999999</v>
      </c>
    </row>
    <row r="15100" spans="16:20">
      <c r="P15100" s="1094">
        <v>6507</v>
      </c>
      <c r="Q15100" t="s">
        <v>14945</v>
      </c>
      <c r="R15100" t="s">
        <v>480</v>
      </c>
      <c r="S15100">
        <v>115.71871299999999</v>
      </c>
      <c r="T15100" s="1095">
        <v>-30.721550000000001</v>
      </c>
    </row>
    <row r="15101" spans="16:20">
      <c r="P15101" s="1094">
        <v>6507</v>
      </c>
      <c r="Q15101" t="s">
        <v>14946</v>
      </c>
      <c r="R15101" t="s">
        <v>480</v>
      </c>
      <c r="S15101">
        <v>115.71871299999999</v>
      </c>
      <c r="T15101" s="1095">
        <v>-30.721550000000001</v>
      </c>
    </row>
    <row r="15102" spans="16:20">
      <c r="P15102" s="1094">
        <v>6507</v>
      </c>
      <c r="Q15102" t="s">
        <v>14947</v>
      </c>
      <c r="R15102" t="s">
        <v>480</v>
      </c>
      <c r="S15102">
        <v>115.71871299999999</v>
      </c>
      <c r="T15102" s="1095">
        <v>-30.721550000000001</v>
      </c>
    </row>
    <row r="15103" spans="16:20">
      <c r="P15103" s="1094">
        <v>6507</v>
      </c>
      <c r="Q15103" t="s">
        <v>14948</v>
      </c>
      <c r="R15103" t="s">
        <v>480</v>
      </c>
      <c r="S15103">
        <v>115.71871299999999</v>
      </c>
      <c r="T15103" s="1095">
        <v>-30.721550000000001</v>
      </c>
    </row>
    <row r="15104" spans="16:20">
      <c r="P15104" s="1094">
        <v>6507</v>
      </c>
      <c r="Q15104" t="s">
        <v>14949</v>
      </c>
      <c r="R15104" t="s">
        <v>480</v>
      </c>
      <c r="S15104">
        <v>115.71871299999999</v>
      </c>
      <c r="T15104" s="1095">
        <v>-30.721550000000001</v>
      </c>
    </row>
    <row r="15105" spans="16:20">
      <c r="P15105" s="1094">
        <v>6507</v>
      </c>
      <c r="Q15105" t="s">
        <v>14950</v>
      </c>
      <c r="R15105" t="s">
        <v>480</v>
      </c>
      <c r="S15105">
        <v>115.71871299999999</v>
      </c>
      <c r="T15105" s="1095">
        <v>-30.721550000000001</v>
      </c>
    </row>
    <row r="15106" spans="16:20">
      <c r="P15106" s="1094">
        <v>6509</v>
      </c>
      <c r="Q15106" t="s">
        <v>14951</v>
      </c>
      <c r="R15106" t="s">
        <v>480</v>
      </c>
      <c r="S15106">
        <v>116.252618</v>
      </c>
      <c r="T15106" s="1095">
        <v>-30.912265999999999</v>
      </c>
    </row>
    <row r="15107" spans="16:20">
      <c r="P15107" s="1094">
        <v>6509</v>
      </c>
      <c r="Q15107" t="s">
        <v>14952</v>
      </c>
      <c r="R15107" t="s">
        <v>480</v>
      </c>
      <c r="S15107">
        <v>116.252618</v>
      </c>
      <c r="T15107" s="1095">
        <v>-30.912265999999999</v>
      </c>
    </row>
    <row r="15108" spans="16:20">
      <c r="P15108" s="1094">
        <v>6509</v>
      </c>
      <c r="Q15108" t="s">
        <v>14953</v>
      </c>
      <c r="R15108" t="s">
        <v>480</v>
      </c>
      <c r="S15108">
        <v>116.252618</v>
      </c>
      <c r="T15108" s="1095">
        <v>-30.912265999999999</v>
      </c>
    </row>
    <row r="15109" spans="16:20">
      <c r="P15109" s="1094">
        <v>6509</v>
      </c>
      <c r="Q15109" t="s">
        <v>14954</v>
      </c>
      <c r="R15109" t="s">
        <v>480</v>
      </c>
      <c r="S15109">
        <v>116.252618</v>
      </c>
      <c r="T15109" s="1095">
        <v>-30.912265999999999</v>
      </c>
    </row>
    <row r="15110" spans="16:20">
      <c r="P15110" s="1094">
        <v>6510</v>
      </c>
      <c r="Q15110" t="s">
        <v>14955</v>
      </c>
      <c r="R15110" t="s">
        <v>480</v>
      </c>
      <c r="S15110">
        <v>116.090272</v>
      </c>
      <c r="T15110" s="1095">
        <v>-30.701145</v>
      </c>
    </row>
    <row r="15111" spans="16:20">
      <c r="P15111" s="1094">
        <v>6510</v>
      </c>
      <c r="Q15111" t="s">
        <v>14956</v>
      </c>
      <c r="R15111" t="s">
        <v>480</v>
      </c>
      <c r="S15111">
        <v>116.090272</v>
      </c>
      <c r="T15111" s="1095">
        <v>-30.701145</v>
      </c>
    </row>
    <row r="15112" spans="16:20">
      <c r="P15112" s="1094">
        <v>6510</v>
      </c>
      <c r="Q15112" t="s">
        <v>14957</v>
      </c>
      <c r="R15112" t="s">
        <v>480</v>
      </c>
      <c r="S15112">
        <v>116.090272</v>
      </c>
      <c r="T15112" s="1095">
        <v>-30.701145</v>
      </c>
    </row>
    <row r="15113" spans="16:20">
      <c r="P15113" s="1094">
        <v>6510</v>
      </c>
      <c r="Q15113" t="s">
        <v>14958</v>
      </c>
      <c r="R15113" t="s">
        <v>480</v>
      </c>
      <c r="S15113">
        <v>116.090272</v>
      </c>
      <c r="T15113" s="1095">
        <v>-30.701145</v>
      </c>
    </row>
    <row r="15114" spans="16:20">
      <c r="P15114" s="1094">
        <v>6510</v>
      </c>
      <c r="Q15114" t="s">
        <v>8213</v>
      </c>
      <c r="R15114" t="s">
        <v>480</v>
      </c>
      <c r="S15114">
        <v>116.090272</v>
      </c>
      <c r="T15114" s="1095">
        <v>-30.701145</v>
      </c>
    </row>
    <row r="15115" spans="16:20">
      <c r="P15115" s="1094">
        <v>6510</v>
      </c>
      <c r="Q15115" t="s">
        <v>14959</v>
      </c>
      <c r="R15115" t="s">
        <v>480</v>
      </c>
      <c r="S15115">
        <v>116.090272</v>
      </c>
      <c r="T15115" s="1095">
        <v>-30.701145</v>
      </c>
    </row>
    <row r="15116" spans="16:20">
      <c r="P15116" s="1094">
        <v>6511</v>
      </c>
      <c r="Q15116" t="s">
        <v>14960</v>
      </c>
      <c r="R15116" t="s">
        <v>480</v>
      </c>
      <c r="S15116">
        <v>115.250201</v>
      </c>
      <c r="T15116" s="1095">
        <v>-30.568116</v>
      </c>
    </row>
    <row r="15117" spans="16:20">
      <c r="P15117" s="1094">
        <v>6512</v>
      </c>
      <c r="Q15117" t="s">
        <v>14961</v>
      </c>
      <c r="R15117" t="s">
        <v>480</v>
      </c>
      <c r="S15117">
        <v>116.070173</v>
      </c>
      <c r="T15117" s="1095">
        <v>-30.446674999999999</v>
      </c>
    </row>
    <row r="15118" spans="16:20">
      <c r="P15118" s="1094">
        <v>6512</v>
      </c>
      <c r="Q15118" t="s">
        <v>14962</v>
      </c>
      <c r="R15118" t="s">
        <v>480</v>
      </c>
      <c r="S15118">
        <v>116.070173</v>
      </c>
      <c r="T15118" s="1095">
        <v>-30.446674999999999</v>
      </c>
    </row>
    <row r="15119" spans="16:20">
      <c r="P15119" s="1094">
        <v>6513</v>
      </c>
      <c r="Q15119" t="s">
        <v>14963</v>
      </c>
      <c r="R15119" t="s">
        <v>480</v>
      </c>
      <c r="S15119">
        <v>116.060619</v>
      </c>
      <c r="T15119" s="1095">
        <v>-30.273679999999999</v>
      </c>
    </row>
    <row r="15120" spans="16:20">
      <c r="P15120" s="1094">
        <v>6513</v>
      </c>
      <c r="Q15120" t="s">
        <v>14964</v>
      </c>
      <c r="R15120" t="s">
        <v>480</v>
      </c>
      <c r="S15120">
        <v>116.060619</v>
      </c>
      <c r="T15120" s="1095">
        <v>-30.273679999999999</v>
      </c>
    </row>
    <row r="15121" spans="16:20">
      <c r="P15121" s="1094">
        <v>6514</v>
      </c>
      <c r="Q15121" t="s">
        <v>14965</v>
      </c>
      <c r="R15121" t="s">
        <v>480</v>
      </c>
      <c r="S15121">
        <v>115.087155</v>
      </c>
      <c r="T15121" s="1095">
        <v>-30.027370999999999</v>
      </c>
    </row>
    <row r="15122" spans="16:20">
      <c r="P15122" s="1094">
        <v>6514</v>
      </c>
      <c r="Q15122" t="s">
        <v>14966</v>
      </c>
      <c r="R15122" t="s">
        <v>480</v>
      </c>
      <c r="S15122">
        <v>115.087155</v>
      </c>
      <c r="T15122" s="1095">
        <v>-30.027370999999999</v>
      </c>
    </row>
    <row r="15123" spans="16:20">
      <c r="P15123" s="1094">
        <v>6515</v>
      </c>
      <c r="Q15123" t="s">
        <v>14967</v>
      </c>
      <c r="R15123" t="s">
        <v>480</v>
      </c>
      <c r="S15123">
        <v>115.85642199999999</v>
      </c>
      <c r="T15123" s="1095">
        <v>-29.967278</v>
      </c>
    </row>
    <row r="15124" spans="16:20">
      <c r="P15124" s="1094">
        <v>6515</v>
      </c>
      <c r="Q15124" t="s">
        <v>14968</v>
      </c>
      <c r="R15124" t="s">
        <v>480</v>
      </c>
      <c r="S15124">
        <v>115.85642199999999</v>
      </c>
      <c r="T15124" s="1095">
        <v>-29.967278</v>
      </c>
    </row>
    <row r="15125" spans="16:20">
      <c r="P15125" s="1094">
        <v>6515</v>
      </c>
      <c r="Q15125" t="s">
        <v>14969</v>
      </c>
      <c r="R15125" t="s">
        <v>480</v>
      </c>
      <c r="S15125">
        <v>115.85642199999999</v>
      </c>
      <c r="T15125" s="1095">
        <v>-29.967278</v>
      </c>
    </row>
    <row r="15126" spans="16:20">
      <c r="P15126" s="1094">
        <v>6515</v>
      </c>
      <c r="Q15126" t="s">
        <v>14970</v>
      </c>
      <c r="R15126" t="s">
        <v>480</v>
      </c>
      <c r="S15126">
        <v>115.85642199999999</v>
      </c>
      <c r="T15126" s="1095">
        <v>-29.967278</v>
      </c>
    </row>
    <row r="15127" spans="16:20">
      <c r="P15127" s="1094">
        <v>6516</v>
      </c>
      <c r="Q15127" t="s">
        <v>14971</v>
      </c>
      <c r="R15127" t="s">
        <v>480</v>
      </c>
      <c r="S15127">
        <v>115.20926</v>
      </c>
      <c r="T15127" s="1095">
        <v>-30.225539999999999</v>
      </c>
    </row>
    <row r="15128" spans="16:20">
      <c r="P15128" s="1094">
        <v>6517</v>
      </c>
      <c r="Q15128" t="s">
        <v>14972</v>
      </c>
      <c r="R15128" t="s">
        <v>480</v>
      </c>
      <c r="S15128">
        <v>115.839422</v>
      </c>
      <c r="T15128" s="1095">
        <v>-29.740666999999998</v>
      </c>
    </row>
    <row r="15129" spans="16:20">
      <c r="P15129" s="1094">
        <v>6517</v>
      </c>
      <c r="Q15129" t="s">
        <v>14973</v>
      </c>
      <c r="R15129" t="s">
        <v>480</v>
      </c>
      <c r="S15129">
        <v>115.839422</v>
      </c>
      <c r="T15129" s="1095">
        <v>-29.740666999999998</v>
      </c>
    </row>
    <row r="15130" spans="16:20">
      <c r="P15130" s="1094">
        <v>6518</v>
      </c>
      <c r="Q15130" t="s">
        <v>14974</v>
      </c>
      <c r="R15130" t="s">
        <v>480</v>
      </c>
      <c r="S15130">
        <v>115.180736</v>
      </c>
      <c r="T15130" s="1095">
        <v>-29.774916999999999</v>
      </c>
    </row>
    <row r="15131" spans="16:20">
      <c r="P15131" s="1094">
        <v>6518</v>
      </c>
      <c r="Q15131" t="s">
        <v>14975</v>
      </c>
      <c r="R15131" t="s">
        <v>480</v>
      </c>
      <c r="S15131">
        <v>115.180736</v>
      </c>
      <c r="T15131" s="1095">
        <v>-29.774916999999999</v>
      </c>
    </row>
    <row r="15132" spans="16:20">
      <c r="P15132" s="1094">
        <v>6519</v>
      </c>
      <c r="Q15132" t="s">
        <v>14976</v>
      </c>
      <c r="R15132" t="s">
        <v>480</v>
      </c>
      <c r="S15132">
        <v>115.59771499999999</v>
      </c>
      <c r="T15132" s="1095">
        <v>-29.514303999999999</v>
      </c>
    </row>
    <row r="15133" spans="16:20">
      <c r="P15133" s="1094">
        <v>6519</v>
      </c>
      <c r="Q15133" t="s">
        <v>14977</v>
      </c>
      <c r="R15133" t="s">
        <v>480</v>
      </c>
      <c r="S15133">
        <v>115.59771499999999</v>
      </c>
      <c r="T15133" s="1095">
        <v>-29.514303999999999</v>
      </c>
    </row>
    <row r="15134" spans="16:20">
      <c r="P15134" s="1094">
        <v>6519</v>
      </c>
      <c r="Q15134" t="s">
        <v>14978</v>
      </c>
      <c r="R15134" t="s">
        <v>480</v>
      </c>
      <c r="S15134">
        <v>115.59771499999999</v>
      </c>
      <c r="T15134" s="1095">
        <v>-29.514303999999999</v>
      </c>
    </row>
    <row r="15135" spans="16:20">
      <c r="P15135" s="1094">
        <v>6519</v>
      </c>
      <c r="Q15135" t="s">
        <v>14979</v>
      </c>
      <c r="R15135" t="s">
        <v>480</v>
      </c>
      <c r="S15135">
        <v>115.59771499999999</v>
      </c>
      <c r="T15135" s="1095">
        <v>-29.514303999999999</v>
      </c>
    </row>
    <row r="15136" spans="16:20">
      <c r="P15136" s="1094">
        <v>6519</v>
      </c>
      <c r="Q15136" t="s">
        <v>14980</v>
      </c>
      <c r="R15136" t="s">
        <v>480</v>
      </c>
      <c r="S15136">
        <v>115.59771499999999</v>
      </c>
      <c r="T15136" s="1095">
        <v>-29.514303999999999</v>
      </c>
    </row>
    <row r="15137" spans="16:20">
      <c r="P15137" s="1094">
        <v>6519</v>
      </c>
      <c r="Q15137" t="s">
        <v>14981</v>
      </c>
      <c r="R15137" t="s">
        <v>480</v>
      </c>
      <c r="S15137">
        <v>115.59771499999999</v>
      </c>
      <c r="T15137" s="1095">
        <v>-29.514303999999999</v>
      </c>
    </row>
    <row r="15138" spans="16:20">
      <c r="P15138" s="1094">
        <v>6521</v>
      </c>
      <c r="Q15138" t="s">
        <v>14982</v>
      </c>
      <c r="R15138" t="s">
        <v>480</v>
      </c>
      <c r="S15138">
        <v>115.640925</v>
      </c>
      <c r="T15138" s="1095">
        <v>-30.348514000000002</v>
      </c>
    </row>
    <row r="15139" spans="16:20">
      <c r="P15139" s="1094">
        <v>6521</v>
      </c>
      <c r="Q15139" t="s">
        <v>14983</v>
      </c>
      <c r="R15139" t="s">
        <v>480</v>
      </c>
      <c r="S15139">
        <v>115.640925</v>
      </c>
      <c r="T15139" s="1095">
        <v>-30.348514000000002</v>
      </c>
    </row>
    <row r="15140" spans="16:20">
      <c r="P15140" s="1094">
        <v>6521</v>
      </c>
      <c r="Q15140" t="s">
        <v>14984</v>
      </c>
      <c r="R15140" t="s">
        <v>480</v>
      </c>
      <c r="S15140">
        <v>115.640925</v>
      </c>
      <c r="T15140" s="1095">
        <v>-30.348514000000002</v>
      </c>
    </row>
    <row r="15141" spans="16:20">
      <c r="P15141" s="1094">
        <v>6521</v>
      </c>
      <c r="Q15141" t="s">
        <v>13413</v>
      </c>
      <c r="R15141" t="s">
        <v>480</v>
      </c>
      <c r="S15141">
        <v>115.640925</v>
      </c>
      <c r="T15141" s="1095">
        <v>-30.348514000000002</v>
      </c>
    </row>
    <row r="15142" spans="16:20">
      <c r="P15142" s="1094">
        <v>6521</v>
      </c>
      <c r="Q15142" t="s">
        <v>14985</v>
      </c>
      <c r="R15142" t="s">
        <v>480</v>
      </c>
      <c r="S15142">
        <v>115.640925</v>
      </c>
      <c r="T15142" s="1095">
        <v>-30.348514000000002</v>
      </c>
    </row>
    <row r="15143" spans="16:20">
      <c r="P15143" s="1094">
        <v>6522</v>
      </c>
      <c r="Q15143" t="s">
        <v>4636</v>
      </c>
      <c r="R15143" t="s">
        <v>480</v>
      </c>
      <c r="S15143">
        <v>115.485567</v>
      </c>
      <c r="T15143" s="1095">
        <v>-29.139368999999999</v>
      </c>
    </row>
    <row r="15144" spans="16:20">
      <c r="P15144" s="1094">
        <v>6522</v>
      </c>
      <c r="Q15144" t="s">
        <v>14986</v>
      </c>
      <c r="R15144" t="s">
        <v>480</v>
      </c>
      <c r="S15144">
        <v>115.485567</v>
      </c>
      <c r="T15144" s="1095">
        <v>-29.139368999999999</v>
      </c>
    </row>
    <row r="15145" spans="16:20">
      <c r="P15145" s="1094">
        <v>6522</v>
      </c>
      <c r="Q15145" t="s">
        <v>14987</v>
      </c>
      <c r="R15145" t="s">
        <v>480</v>
      </c>
      <c r="S15145">
        <v>115.485567</v>
      </c>
      <c r="T15145" s="1095">
        <v>-29.139368999999999</v>
      </c>
    </row>
    <row r="15146" spans="16:20">
      <c r="P15146" s="1094">
        <v>6522</v>
      </c>
      <c r="Q15146" t="s">
        <v>14988</v>
      </c>
      <c r="R15146" t="s">
        <v>480</v>
      </c>
      <c r="S15146">
        <v>115.485567</v>
      </c>
      <c r="T15146" s="1095">
        <v>-29.139368999999999</v>
      </c>
    </row>
    <row r="15147" spans="16:20">
      <c r="P15147" s="1094">
        <v>6522</v>
      </c>
      <c r="Q15147" t="s">
        <v>14989</v>
      </c>
      <c r="R15147" t="s">
        <v>480</v>
      </c>
      <c r="S15147">
        <v>115.485567</v>
      </c>
      <c r="T15147" s="1095">
        <v>-29.139368999999999</v>
      </c>
    </row>
    <row r="15148" spans="16:20">
      <c r="P15148" s="1094">
        <v>6522</v>
      </c>
      <c r="Q15148" t="s">
        <v>14990</v>
      </c>
      <c r="R15148" t="s">
        <v>480</v>
      </c>
      <c r="S15148">
        <v>115.485567</v>
      </c>
      <c r="T15148" s="1095">
        <v>-29.139368999999999</v>
      </c>
    </row>
    <row r="15149" spans="16:20">
      <c r="P15149" s="1094">
        <v>6522</v>
      </c>
      <c r="Q15149" t="s">
        <v>14991</v>
      </c>
      <c r="R15149" t="s">
        <v>480</v>
      </c>
      <c r="S15149">
        <v>115.485567</v>
      </c>
      <c r="T15149" s="1095">
        <v>-29.139368999999999</v>
      </c>
    </row>
    <row r="15150" spans="16:20">
      <c r="P15150" s="1094">
        <v>6522</v>
      </c>
      <c r="Q15150" t="s">
        <v>14992</v>
      </c>
      <c r="R15150" t="s">
        <v>480</v>
      </c>
      <c r="S15150">
        <v>115.485567</v>
      </c>
      <c r="T15150" s="1095">
        <v>-29.139368999999999</v>
      </c>
    </row>
    <row r="15151" spans="16:20">
      <c r="P15151" s="1094">
        <v>6522</v>
      </c>
      <c r="Q15151" t="s">
        <v>14993</v>
      </c>
      <c r="R15151" t="s">
        <v>480</v>
      </c>
      <c r="S15151">
        <v>115.485567</v>
      </c>
      <c r="T15151" s="1095">
        <v>-29.139368999999999</v>
      </c>
    </row>
    <row r="15152" spans="16:20">
      <c r="P15152" s="1094">
        <v>6522</v>
      </c>
      <c r="Q15152" t="s">
        <v>14994</v>
      </c>
      <c r="R15152" t="s">
        <v>480</v>
      </c>
      <c r="S15152">
        <v>115.485567</v>
      </c>
      <c r="T15152" s="1095">
        <v>-29.139368999999999</v>
      </c>
    </row>
    <row r="15153" spans="16:20">
      <c r="P15153" s="1094">
        <v>6525</v>
      </c>
      <c r="Q15153" t="s">
        <v>14995</v>
      </c>
      <c r="R15153" t="s">
        <v>480</v>
      </c>
      <c r="S15153">
        <v>115.098073</v>
      </c>
      <c r="T15153" s="1095">
        <v>-29.327323</v>
      </c>
    </row>
    <row r="15154" spans="16:20">
      <c r="P15154" s="1094">
        <v>6525</v>
      </c>
      <c r="Q15154" t="s">
        <v>14996</v>
      </c>
      <c r="R15154" t="s">
        <v>480</v>
      </c>
      <c r="S15154">
        <v>115.098073</v>
      </c>
      <c r="T15154" s="1095">
        <v>-29.327323</v>
      </c>
    </row>
    <row r="15155" spans="16:20">
      <c r="P15155" s="1094">
        <v>6525</v>
      </c>
      <c r="Q15155" t="s">
        <v>14997</v>
      </c>
      <c r="R15155" t="s">
        <v>480</v>
      </c>
      <c r="S15155">
        <v>115.098073</v>
      </c>
      <c r="T15155" s="1095">
        <v>-29.327323</v>
      </c>
    </row>
    <row r="15156" spans="16:20">
      <c r="P15156" s="1094">
        <v>6525</v>
      </c>
      <c r="Q15156" t="s">
        <v>14998</v>
      </c>
      <c r="R15156" t="s">
        <v>480</v>
      </c>
      <c r="S15156">
        <v>115.098073</v>
      </c>
      <c r="T15156" s="1095">
        <v>-29.327323</v>
      </c>
    </row>
    <row r="15157" spans="16:20">
      <c r="P15157" s="1094">
        <v>6525</v>
      </c>
      <c r="Q15157" t="s">
        <v>14999</v>
      </c>
      <c r="R15157" t="s">
        <v>480</v>
      </c>
      <c r="S15157">
        <v>115.098073</v>
      </c>
      <c r="T15157" s="1095">
        <v>-29.327323</v>
      </c>
    </row>
    <row r="15158" spans="16:20">
      <c r="P15158" s="1094">
        <v>6525</v>
      </c>
      <c r="Q15158" t="s">
        <v>15000</v>
      </c>
      <c r="R15158" t="s">
        <v>480</v>
      </c>
      <c r="S15158">
        <v>115.098073</v>
      </c>
      <c r="T15158" s="1095">
        <v>-29.327323</v>
      </c>
    </row>
    <row r="15159" spans="16:20">
      <c r="P15159" s="1094">
        <v>6525</v>
      </c>
      <c r="Q15159" t="s">
        <v>15001</v>
      </c>
      <c r="R15159" t="s">
        <v>480</v>
      </c>
      <c r="S15159">
        <v>115.098073</v>
      </c>
      <c r="T15159" s="1095">
        <v>-29.327323</v>
      </c>
    </row>
    <row r="15160" spans="16:20">
      <c r="P15160" s="1094">
        <v>6525</v>
      </c>
      <c r="Q15160" t="s">
        <v>15002</v>
      </c>
      <c r="R15160" t="s">
        <v>480</v>
      </c>
      <c r="S15160">
        <v>115.098073</v>
      </c>
      <c r="T15160" s="1095">
        <v>-29.327323</v>
      </c>
    </row>
    <row r="15161" spans="16:20">
      <c r="P15161" s="1094">
        <v>6525</v>
      </c>
      <c r="Q15161" t="s">
        <v>15003</v>
      </c>
      <c r="R15161" t="s">
        <v>480</v>
      </c>
      <c r="S15161">
        <v>115.098073</v>
      </c>
      <c r="T15161" s="1095">
        <v>-29.327323</v>
      </c>
    </row>
    <row r="15162" spans="16:20">
      <c r="P15162" s="1094">
        <v>6525</v>
      </c>
      <c r="Q15162" t="s">
        <v>15004</v>
      </c>
      <c r="R15162" t="s">
        <v>480</v>
      </c>
      <c r="S15162">
        <v>115.098073</v>
      </c>
      <c r="T15162" s="1095">
        <v>-29.327323</v>
      </c>
    </row>
    <row r="15163" spans="16:20">
      <c r="P15163" s="1094">
        <v>6525</v>
      </c>
      <c r="Q15163" t="s">
        <v>2295</v>
      </c>
      <c r="R15163" t="s">
        <v>480</v>
      </c>
      <c r="S15163">
        <v>115.098073</v>
      </c>
      <c r="T15163" s="1095">
        <v>-29.327323</v>
      </c>
    </row>
    <row r="15164" spans="16:20">
      <c r="P15164" s="1094">
        <v>6525</v>
      </c>
      <c r="Q15164" t="s">
        <v>15005</v>
      </c>
      <c r="R15164" t="s">
        <v>480</v>
      </c>
      <c r="S15164">
        <v>115.098073</v>
      </c>
      <c r="T15164" s="1095">
        <v>-29.327323</v>
      </c>
    </row>
    <row r="15165" spans="16:20">
      <c r="P15165" s="1094">
        <v>6528</v>
      </c>
      <c r="Q15165" t="s">
        <v>15006</v>
      </c>
      <c r="R15165" t="s">
        <v>480</v>
      </c>
      <c r="S15165">
        <v>114.815184</v>
      </c>
      <c r="T15165" s="1095">
        <v>-28.985892</v>
      </c>
    </row>
    <row r="15166" spans="16:20">
      <c r="P15166" s="1094">
        <v>6528</v>
      </c>
      <c r="Q15166" t="s">
        <v>15007</v>
      </c>
      <c r="R15166" t="s">
        <v>480</v>
      </c>
      <c r="S15166">
        <v>114.815184</v>
      </c>
      <c r="T15166" s="1095">
        <v>-28.985892</v>
      </c>
    </row>
    <row r="15167" spans="16:20">
      <c r="P15167" s="1094">
        <v>6528</v>
      </c>
      <c r="Q15167" t="s">
        <v>15008</v>
      </c>
      <c r="R15167" t="s">
        <v>480</v>
      </c>
      <c r="S15167">
        <v>114.815184</v>
      </c>
      <c r="T15167" s="1095">
        <v>-28.985892</v>
      </c>
    </row>
    <row r="15168" spans="16:20">
      <c r="P15168" s="1094">
        <v>6530</v>
      </c>
      <c r="Q15168" t="s">
        <v>15009</v>
      </c>
      <c r="R15168" t="s">
        <v>480</v>
      </c>
      <c r="S15168">
        <v>114.862505</v>
      </c>
      <c r="T15168" s="1095">
        <v>-28.802491</v>
      </c>
    </row>
    <row r="15169" spans="16:20">
      <c r="P15169" s="1094">
        <v>6530</v>
      </c>
      <c r="Q15169" t="s">
        <v>15010</v>
      </c>
      <c r="R15169" t="s">
        <v>480</v>
      </c>
      <c r="S15169">
        <v>114.862505</v>
      </c>
      <c r="T15169" s="1095">
        <v>-28.802491</v>
      </c>
    </row>
    <row r="15170" spans="16:20">
      <c r="P15170" s="1094">
        <v>6530</v>
      </c>
      <c r="Q15170" t="s">
        <v>15011</v>
      </c>
      <c r="R15170" t="s">
        <v>480</v>
      </c>
      <c r="S15170">
        <v>114.862505</v>
      </c>
      <c r="T15170" s="1095">
        <v>-28.802491</v>
      </c>
    </row>
    <row r="15171" spans="16:20">
      <c r="P15171" s="1094">
        <v>6530</v>
      </c>
      <c r="Q15171" t="s">
        <v>15012</v>
      </c>
      <c r="R15171" t="s">
        <v>480</v>
      </c>
      <c r="S15171">
        <v>114.862505</v>
      </c>
      <c r="T15171" s="1095">
        <v>-28.802491</v>
      </c>
    </row>
    <row r="15172" spans="16:20">
      <c r="P15172" s="1094">
        <v>6530</v>
      </c>
      <c r="Q15172" t="s">
        <v>15013</v>
      </c>
      <c r="R15172" t="s">
        <v>480</v>
      </c>
      <c r="S15172">
        <v>114.862505</v>
      </c>
      <c r="T15172" s="1095">
        <v>-28.802491</v>
      </c>
    </row>
    <row r="15173" spans="16:20">
      <c r="P15173" s="1094">
        <v>6530</v>
      </c>
      <c r="Q15173" t="s">
        <v>15014</v>
      </c>
      <c r="R15173" t="s">
        <v>480</v>
      </c>
      <c r="S15173">
        <v>114.862505</v>
      </c>
      <c r="T15173" s="1095">
        <v>-28.802491</v>
      </c>
    </row>
    <row r="15174" spans="16:20">
      <c r="P15174" s="1094">
        <v>6530</v>
      </c>
      <c r="Q15174" t="s">
        <v>15015</v>
      </c>
      <c r="R15174" t="s">
        <v>480</v>
      </c>
      <c r="S15174">
        <v>114.862505</v>
      </c>
      <c r="T15174" s="1095">
        <v>-28.802491</v>
      </c>
    </row>
    <row r="15175" spans="16:20">
      <c r="P15175" s="1094">
        <v>6530</v>
      </c>
      <c r="Q15175" t="s">
        <v>15016</v>
      </c>
      <c r="R15175" t="s">
        <v>480</v>
      </c>
      <c r="S15175">
        <v>114.862505</v>
      </c>
      <c r="T15175" s="1095">
        <v>-28.802491</v>
      </c>
    </row>
    <row r="15176" spans="16:20">
      <c r="P15176" s="1094">
        <v>6530</v>
      </c>
      <c r="Q15176" t="s">
        <v>12231</v>
      </c>
      <c r="R15176" t="s">
        <v>480</v>
      </c>
      <c r="S15176">
        <v>114.862505</v>
      </c>
      <c r="T15176" s="1095">
        <v>-28.802491</v>
      </c>
    </row>
    <row r="15177" spans="16:20">
      <c r="P15177" s="1094">
        <v>6530</v>
      </c>
      <c r="Q15177" t="s">
        <v>15017</v>
      </c>
      <c r="R15177" t="s">
        <v>480</v>
      </c>
      <c r="S15177">
        <v>114.862505</v>
      </c>
      <c r="T15177" s="1095">
        <v>-28.802491</v>
      </c>
    </row>
    <row r="15178" spans="16:20">
      <c r="P15178" s="1094">
        <v>6530</v>
      </c>
      <c r="Q15178" t="s">
        <v>15018</v>
      </c>
      <c r="R15178" t="s">
        <v>480</v>
      </c>
      <c r="S15178">
        <v>114.862505</v>
      </c>
      <c r="T15178" s="1095">
        <v>-28.802491</v>
      </c>
    </row>
    <row r="15179" spans="16:20">
      <c r="P15179" s="1094">
        <v>6530</v>
      </c>
      <c r="Q15179" t="s">
        <v>13421</v>
      </c>
      <c r="R15179" t="s">
        <v>480</v>
      </c>
      <c r="S15179">
        <v>114.862505</v>
      </c>
      <c r="T15179" s="1095">
        <v>-28.802491</v>
      </c>
    </row>
    <row r="15180" spans="16:20">
      <c r="P15180" s="1094">
        <v>6530</v>
      </c>
      <c r="Q15180" t="s">
        <v>13003</v>
      </c>
      <c r="R15180" t="s">
        <v>480</v>
      </c>
      <c r="S15180">
        <v>114.862505</v>
      </c>
      <c r="T15180" s="1095">
        <v>-28.802491</v>
      </c>
    </row>
    <row r="15181" spans="16:20">
      <c r="P15181" s="1094">
        <v>6530</v>
      </c>
      <c r="Q15181" t="s">
        <v>15019</v>
      </c>
      <c r="R15181" t="s">
        <v>480</v>
      </c>
      <c r="S15181">
        <v>114.862505</v>
      </c>
      <c r="T15181" s="1095">
        <v>-28.802491</v>
      </c>
    </row>
    <row r="15182" spans="16:20">
      <c r="P15182" s="1094">
        <v>6530</v>
      </c>
      <c r="Q15182" t="s">
        <v>15020</v>
      </c>
      <c r="R15182" t="s">
        <v>480</v>
      </c>
      <c r="S15182">
        <v>114.862505</v>
      </c>
      <c r="T15182" s="1095">
        <v>-28.802491</v>
      </c>
    </row>
    <row r="15183" spans="16:20">
      <c r="P15183" s="1094">
        <v>6530</v>
      </c>
      <c r="Q15183" t="s">
        <v>15021</v>
      </c>
      <c r="R15183" t="s">
        <v>480</v>
      </c>
      <c r="S15183">
        <v>114.862505</v>
      </c>
      <c r="T15183" s="1095">
        <v>-28.802491</v>
      </c>
    </row>
    <row r="15184" spans="16:20">
      <c r="P15184" s="1094">
        <v>6530</v>
      </c>
      <c r="Q15184" t="s">
        <v>15022</v>
      </c>
      <c r="R15184" t="s">
        <v>480</v>
      </c>
      <c r="S15184">
        <v>114.862505</v>
      </c>
      <c r="T15184" s="1095">
        <v>-28.802491</v>
      </c>
    </row>
    <row r="15185" spans="16:20">
      <c r="P15185" s="1094">
        <v>6530</v>
      </c>
      <c r="Q15185" t="s">
        <v>15023</v>
      </c>
      <c r="R15185" t="s">
        <v>480</v>
      </c>
      <c r="S15185">
        <v>114.862505</v>
      </c>
      <c r="T15185" s="1095">
        <v>-28.802491</v>
      </c>
    </row>
    <row r="15186" spans="16:20">
      <c r="P15186" s="1094">
        <v>6530</v>
      </c>
      <c r="Q15186" t="s">
        <v>15024</v>
      </c>
      <c r="R15186" t="s">
        <v>480</v>
      </c>
      <c r="S15186">
        <v>114.862505</v>
      </c>
      <c r="T15186" s="1095">
        <v>-28.802491</v>
      </c>
    </row>
    <row r="15187" spans="16:20">
      <c r="P15187" s="1094">
        <v>6530</v>
      </c>
      <c r="Q15187" t="s">
        <v>9513</v>
      </c>
      <c r="R15187" t="s">
        <v>480</v>
      </c>
      <c r="S15187">
        <v>114.862505</v>
      </c>
      <c r="T15187" s="1095">
        <v>-28.802491</v>
      </c>
    </row>
    <row r="15188" spans="16:20">
      <c r="P15188" s="1094">
        <v>6530</v>
      </c>
      <c r="Q15188" t="s">
        <v>15025</v>
      </c>
      <c r="R15188" t="s">
        <v>480</v>
      </c>
      <c r="S15188">
        <v>114.862505</v>
      </c>
      <c r="T15188" s="1095">
        <v>-28.802491</v>
      </c>
    </row>
    <row r="15189" spans="16:20">
      <c r="P15189" s="1094">
        <v>6530</v>
      </c>
      <c r="Q15189" t="s">
        <v>15026</v>
      </c>
      <c r="R15189" t="s">
        <v>480</v>
      </c>
      <c r="S15189">
        <v>114.862505</v>
      </c>
      <c r="T15189" s="1095">
        <v>-28.802491</v>
      </c>
    </row>
    <row r="15190" spans="16:20">
      <c r="P15190" s="1094">
        <v>6531</v>
      </c>
      <c r="Q15190" t="s">
        <v>15012</v>
      </c>
      <c r="R15190" t="s">
        <v>480</v>
      </c>
      <c r="S15190">
        <v>0</v>
      </c>
      <c r="T15190" s="1095">
        <v>0</v>
      </c>
    </row>
    <row r="15191" spans="16:20">
      <c r="P15191" s="1094">
        <v>6532</v>
      </c>
      <c r="Q15191" t="s">
        <v>15027</v>
      </c>
      <c r="R15191" t="s">
        <v>480</v>
      </c>
      <c r="S15191">
        <v>115.00459499999999</v>
      </c>
      <c r="T15191" s="1095">
        <v>-28.440885999999999</v>
      </c>
    </row>
    <row r="15192" spans="16:20">
      <c r="P15192" s="1094">
        <v>6532</v>
      </c>
      <c r="Q15192" t="s">
        <v>15028</v>
      </c>
      <c r="R15192" t="s">
        <v>480</v>
      </c>
      <c r="S15192">
        <v>115.00459499999999</v>
      </c>
      <c r="T15192" s="1095">
        <v>-28.440885999999999</v>
      </c>
    </row>
    <row r="15193" spans="16:20">
      <c r="P15193" s="1094">
        <v>6532</v>
      </c>
      <c r="Q15193" t="s">
        <v>15029</v>
      </c>
      <c r="R15193" t="s">
        <v>480</v>
      </c>
      <c r="S15193">
        <v>115.00459499999999</v>
      </c>
      <c r="T15193" s="1095">
        <v>-28.440885999999999</v>
      </c>
    </row>
    <row r="15194" spans="16:20">
      <c r="P15194" s="1094">
        <v>6532</v>
      </c>
      <c r="Q15194" t="s">
        <v>15030</v>
      </c>
      <c r="R15194" t="s">
        <v>480</v>
      </c>
      <c r="S15194">
        <v>115.00459499999999</v>
      </c>
      <c r="T15194" s="1095">
        <v>-28.440885999999999</v>
      </c>
    </row>
    <row r="15195" spans="16:20">
      <c r="P15195" s="1094">
        <v>6532</v>
      </c>
      <c r="Q15195" t="s">
        <v>15031</v>
      </c>
      <c r="R15195" t="s">
        <v>480</v>
      </c>
      <c r="S15195">
        <v>115.00459499999999</v>
      </c>
      <c r="T15195" s="1095">
        <v>-28.440885999999999</v>
      </c>
    </row>
    <row r="15196" spans="16:20">
      <c r="P15196" s="1094">
        <v>6532</v>
      </c>
      <c r="Q15196" t="s">
        <v>15032</v>
      </c>
      <c r="R15196" t="s">
        <v>480</v>
      </c>
      <c r="S15196">
        <v>115.00459499999999</v>
      </c>
      <c r="T15196" s="1095">
        <v>-28.440885999999999</v>
      </c>
    </row>
    <row r="15197" spans="16:20">
      <c r="P15197" s="1094">
        <v>6532</v>
      </c>
      <c r="Q15197" t="s">
        <v>15033</v>
      </c>
      <c r="R15197" t="s">
        <v>480</v>
      </c>
      <c r="S15197">
        <v>115.00459499999999</v>
      </c>
      <c r="T15197" s="1095">
        <v>-28.440885999999999</v>
      </c>
    </row>
    <row r="15198" spans="16:20">
      <c r="P15198" s="1094">
        <v>6532</v>
      </c>
      <c r="Q15198" t="s">
        <v>15034</v>
      </c>
      <c r="R15198" t="s">
        <v>480</v>
      </c>
      <c r="S15198">
        <v>115.00459499999999</v>
      </c>
      <c r="T15198" s="1095">
        <v>-28.440885999999999</v>
      </c>
    </row>
    <row r="15199" spans="16:20">
      <c r="P15199" s="1094">
        <v>6532</v>
      </c>
      <c r="Q15199" t="s">
        <v>15035</v>
      </c>
      <c r="R15199" t="s">
        <v>480</v>
      </c>
      <c r="S15199">
        <v>115.00459499999999</v>
      </c>
      <c r="T15199" s="1095">
        <v>-28.440885999999999</v>
      </c>
    </row>
    <row r="15200" spans="16:20">
      <c r="P15200" s="1094">
        <v>6532</v>
      </c>
      <c r="Q15200" t="s">
        <v>15036</v>
      </c>
      <c r="R15200" t="s">
        <v>480</v>
      </c>
      <c r="S15200">
        <v>115.00459499999999</v>
      </c>
      <c r="T15200" s="1095">
        <v>-28.440885999999999</v>
      </c>
    </row>
    <row r="15201" spans="16:20">
      <c r="P15201" s="1094">
        <v>6532</v>
      </c>
      <c r="Q15201" t="s">
        <v>7093</v>
      </c>
      <c r="R15201" t="s">
        <v>480</v>
      </c>
      <c r="S15201">
        <v>115.00459499999999</v>
      </c>
      <c r="T15201" s="1095">
        <v>-28.440885999999999</v>
      </c>
    </row>
    <row r="15202" spans="16:20">
      <c r="P15202" s="1094">
        <v>6532</v>
      </c>
      <c r="Q15202" t="s">
        <v>15037</v>
      </c>
      <c r="R15202" t="s">
        <v>480</v>
      </c>
      <c r="S15202">
        <v>115.00459499999999</v>
      </c>
      <c r="T15202" s="1095">
        <v>-28.440885999999999</v>
      </c>
    </row>
    <row r="15203" spans="16:20">
      <c r="P15203" s="1094">
        <v>6532</v>
      </c>
      <c r="Q15203" t="s">
        <v>15038</v>
      </c>
      <c r="R15203" t="s">
        <v>480</v>
      </c>
      <c r="S15203">
        <v>115.00459499999999</v>
      </c>
      <c r="T15203" s="1095">
        <v>-28.440885999999999</v>
      </c>
    </row>
    <row r="15204" spans="16:20">
      <c r="P15204" s="1094">
        <v>6532</v>
      </c>
      <c r="Q15204" t="s">
        <v>15039</v>
      </c>
      <c r="R15204" t="s">
        <v>480</v>
      </c>
      <c r="S15204">
        <v>115.00459499999999</v>
      </c>
      <c r="T15204" s="1095">
        <v>-28.440885999999999</v>
      </c>
    </row>
    <row r="15205" spans="16:20">
      <c r="P15205" s="1094">
        <v>6532</v>
      </c>
      <c r="Q15205" t="s">
        <v>15040</v>
      </c>
      <c r="R15205" t="s">
        <v>480</v>
      </c>
      <c r="S15205">
        <v>115.00459499999999</v>
      </c>
      <c r="T15205" s="1095">
        <v>-28.440885999999999</v>
      </c>
    </row>
    <row r="15206" spans="16:20">
      <c r="P15206" s="1094">
        <v>6532</v>
      </c>
      <c r="Q15206" t="s">
        <v>15041</v>
      </c>
      <c r="R15206" t="s">
        <v>480</v>
      </c>
      <c r="S15206">
        <v>115.00459499999999</v>
      </c>
      <c r="T15206" s="1095">
        <v>-28.440885999999999</v>
      </c>
    </row>
    <row r="15207" spans="16:20">
      <c r="P15207" s="1094">
        <v>6532</v>
      </c>
      <c r="Q15207" t="s">
        <v>15042</v>
      </c>
      <c r="R15207" t="s">
        <v>480</v>
      </c>
      <c r="S15207">
        <v>115.00459499999999</v>
      </c>
      <c r="T15207" s="1095">
        <v>-28.440885999999999</v>
      </c>
    </row>
    <row r="15208" spans="16:20">
      <c r="P15208" s="1094">
        <v>6532</v>
      </c>
      <c r="Q15208" t="s">
        <v>15043</v>
      </c>
      <c r="R15208" t="s">
        <v>480</v>
      </c>
      <c r="S15208">
        <v>115.00459499999999</v>
      </c>
      <c r="T15208" s="1095">
        <v>-28.440885999999999</v>
      </c>
    </row>
    <row r="15209" spans="16:20">
      <c r="P15209" s="1094">
        <v>6532</v>
      </c>
      <c r="Q15209" t="s">
        <v>15044</v>
      </c>
      <c r="R15209" t="s">
        <v>480</v>
      </c>
      <c r="S15209">
        <v>115.00459499999999</v>
      </c>
      <c r="T15209" s="1095">
        <v>-28.440885999999999</v>
      </c>
    </row>
    <row r="15210" spans="16:20">
      <c r="P15210" s="1094">
        <v>6532</v>
      </c>
      <c r="Q15210" t="s">
        <v>15045</v>
      </c>
      <c r="R15210" t="s">
        <v>480</v>
      </c>
      <c r="S15210">
        <v>115.00459499999999</v>
      </c>
      <c r="T15210" s="1095">
        <v>-28.440885999999999</v>
      </c>
    </row>
    <row r="15211" spans="16:20">
      <c r="P15211" s="1094">
        <v>6532</v>
      </c>
      <c r="Q15211" t="s">
        <v>15046</v>
      </c>
      <c r="R15211" t="s">
        <v>480</v>
      </c>
      <c r="S15211">
        <v>115.00459499999999</v>
      </c>
      <c r="T15211" s="1095">
        <v>-28.440885999999999</v>
      </c>
    </row>
    <row r="15212" spans="16:20">
      <c r="P15212" s="1094">
        <v>6532</v>
      </c>
      <c r="Q15212" t="s">
        <v>15047</v>
      </c>
      <c r="R15212" t="s">
        <v>480</v>
      </c>
      <c r="S15212">
        <v>115.00459499999999</v>
      </c>
      <c r="T15212" s="1095">
        <v>-28.440885999999999</v>
      </c>
    </row>
    <row r="15213" spans="16:20">
      <c r="P15213" s="1094">
        <v>6532</v>
      </c>
      <c r="Q15213" t="s">
        <v>11976</v>
      </c>
      <c r="R15213" t="s">
        <v>480</v>
      </c>
      <c r="S15213">
        <v>115.00459499999999</v>
      </c>
      <c r="T15213" s="1095">
        <v>-28.440885999999999</v>
      </c>
    </row>
    <row r="15214" spans="16:20">
      <c r="P15214" s="1094">
        <v>6532</v>
      </c>
      <c r="Q15214" t="s">
        <v>2104</v>
      </c>
      <c r="R15214" t="s">
        <v>480</v>
      </c>
      <c r="S15214">
        <v>115.00459499999999</v>
      </c>
      <c r="T15214" s="1095">
        <v>-28.440885999999999</v>
      </c>
    </row>
    <row r="15215" spans="16:20">
      <c r="P15215" s="1094">
        <v>6532</v>
      </c>
      <c r="Q15215" t="s">
        <v>15048</v>
      </c>
      <c r="R15215" t="s">
        <v>480</v>
      </c>
      <c r="S15215">
        <v>115.00459499999999</v>
      </c>
      <c r="T15215" s="1095">
        <v>-28.440885999999999</v>
      </c>
    </row>
    <row r="15216" spans="16:20">
      <c r="P15216" s="1094">
        <v>6532</v>
      </c>
      <c r="Q15216" t="s">
        <v>15049</v>
      </c>
      <c r="R15216" t="s">
        <v>480</v>
      </c>
      <c r="S15216">
        <v>115.00459499999999</v>
      </c>
      <c r="T15216" s="1095">
        <v>-28.440885999999999</v>
      </c>
    </row>
    <row r="15217" spans="16:20">
      <c r="P15217" s="1094">
        <v>6532</v>
      </c>
      <c r="Q15217" t="s">
        <v>15050</v>
      </c>
      <c r="R15217" t="s">
        <v>480</v>
      </c>
      <c r="S15217">
        <v>115.00459499999999</v>
      </c>
      <c r="T15217" s="1095">
        <v>-28.440885999999999</v>
      </c>
    </row>
    <row r="15218" spans="16:20">
      <c r="P15218" s="1094">
        <v>6532</v>
      </c>
      <c r="Q15218" t="s">
        <v>15051</v>
      </c>
      <c r="R15218" t="s">
        <v>480</v>
      </c>
      <c r="S15218">
        <v>115.00459499999999</v>
      </c>
      <c r="T15218" s="1095">
        <v>-28.440885999999999</v>
      </c>
    </row>
    <row r="15219" spans="16:20">
      <c r="P15219" s="1094">
        <v>6532</v>
      </c>
      <c r="Q15219" t="s">
        <v>15052</v>
      </c>
      <c r="R15219" t="s">
        <v>480</v>
      </c>
      <c r="S15219">
        <v>115.00459499999999</v>
      </c>
      <c r="T15219" s="1095">
        <v>-28.440885999999999</v>
      </c>
    </row>
    <row r="15220" spans="16:20">
      <c r="P15220" s="1094">
        <v>6532</v>
      </c>
      <c r="Q15220" t="s">
        <v>15053</v>
      </c>
      <c r="R15220" t="s">
        <v>480</v>
      </c>
      <c r="S15220">
        <v>115.00459499999999</v>
      </c>
      <c r="T15220" s="1095">
        <v>-28.440885999999999</v>
      </c>
    </row>
    <row r="15221" spans="16:20">
      <c r="P15221" s="1094">
        <v>6532</v>
      </c>
      <c r="Q15221" t="s">
        <v>15054</v>
      </c>
      <c r="R15221" t="s">
        <v>480</v>
      </c>
      <c r="S15221">
        <v>115.00459499999999</v>
      </c>
      <c r="T15221" s="1095">
        <v>-28.440885999999999</v>
      </c>
    </row>
    <row r="15222" spans="16:20">
      <c r="P15222" s="1094">
        <v>6532</v>
      </c>
      <c r="Q15222" t="s">
        <v>15055</v>
      </c>
      <c r="R15222" t="s">
        <v>480</v>
      </c>
      <c r="S15222">
        <v>115.00459499999999</v>
      </c>
      <c r="T15222" s="1095">
        <v>-28.440885999999999</v>
      </c>
    </row>
    <row r="15223" spans="16:20">
      <c r="P15223" s="1094">
        <v>6532</v>
      </c>
      <c r="Q15223" t="s">
        <v>15056</v>
      </c>
      <c r="R15223" t="s">
        <v>480</v>
      </c>
      <c r="S15223">
        <v>115.00459499999999</v>
      </c>
      <c r="T15223" s="1095">
        <v>-28.440885999999999</v>
      </c>
    </row>
    <row r="15224" spans="16:20">
      <c r="P15224" s="1094">
        <v>6532</v>
      </c>
      <c r="Q15224" t="s">
        <v>15057</v>
      </c>
      <c r="R15224" t="s">
        <v>480</v>
      </c>
      <c r="S15224">
        <v>115.00459499999999</v>
      </c>
      <c r="T15224" s="1095">
        <v>-28.440885999999999</v>
      </c>
    </row>
    <row r="15225" spans="16:20">
      <c r="P15225" s="1094">
        <v>6532</v>
      </c>
      <c r="Q15225" t="s">
        <v>15058</v>
      </c>
      <c r="R15225" t="s">
        <v>480</v>
      </c>
      <c r="S15225">
        <v>115.00459499999999</v>
      </c>
      <c r="T15225" s="1095">
        <v>-28.440885999999999</v>
      </c>
    </row>
    <row r="15226" spans="16:20">
      <c r="P15226" s="1094">
        <v>6532</v>
      </c>
      <c r="Q15226" t="s">
        <v>15059</v>
      </c>
      <c r="R15226" t="s">
        <v>480</v>
      </c>
      <c r="S15226">
        <v>115.00459499999999</v>
      </c>
      <c r="T15226" s="1095">
        <v>-28.440885999999999</v>
      </c>
    </row>
    <row r="15227" spans="16:20">
      <c r="P15227" s="1094">
        <v>6532</v>
      </c>
      <c r="Q15227" t="s">
        <v>15060</v>
      </c>
      <c r="R15227" t="s">
        <v>480</v>
      </c>
      <c r="S15227">
        <v>115.00459499999999</v>
      </c>
      <c r="T15227" s="1095">
        <v>-28.440885999999999</v>
      </c>
    </row>
    <row r="15228" spans="16:20">
      <c r="P15228" s="1094">
        <v>6532</v>
      </c>
      <c r="Q15228" t="s">
        <v>15061</v>
      </c>
      <c r="R15228" t="s">
        <v>480</v>
      </c>
      <c r="S15228">
        <v>115.00459499999999</v>
      </c>
      <c r="T15228" s="1095">
        <v>-28.440885999999999</v>
      </c>
    </row>
    <row r="15229" spans="16:20">
      <c r="P15229" s="1094">
        <v>6532</v>
      </c>
      <c r="Q15229" t="s">
        <v>15062</v>
      </c>
      <c r="R15229" t="s">
        <v>480</v>
      </c>
      <c r="S15229">
        <v>115.00459499999999</v>
      </c>
      <c r="T15229" s="1095">
        <v>-28.440885999999999</v>
      </c>
    </row>
    <row r="15230" spans="16:20">
      <c r="P15230" s="1094">
        <v>6532</v>
      </c>
      <c r="Q15230" t="s">
        <v>15063</v>
      </c>
      <c r="R15230" t="s">
        <v>480</v>
      </c>
      <c r="S15230">
        <v>115.00459499999999</v>
      </c>
      <c r="T15230" s="1095">
        <v>-28.440885999999999</v>
      </c>
    </row>
    <row r="15231" spans="16:20">
      <c r="P15231" s="1094">
        <v>6532</v>
      </c>
      <c r="Q15231" t="s">
        <v>15064</v>
      </c>
      <c r="R15231" t="s">
        <v>480</v>
      </c>
      <c r="S15231">
        <v>115.00459499999999</v>
      </c>
      <c r="T15231" s="1095">
        <v>-28.440885999999999</v>
      </c>
    </row>
    <row r="15232" spans="16:20">
      <c r="P15232" s="1094">
        <v>6532</v>
      </c>
      <c r="Q15232" t="s">
        <v>15065</v>
      </c>
      <c r="R15232" t="s">
        <v>480</v>
      </c>
      <c r="S15232">
        <v>115.00459499999999</v>
      </c>
      <c r="T15232" s="1095">
        <v>-28.440885999999999</v>
      </c>
    </row>
    <row r="15233" spans="16:20">
      <c r="P15233" s="1094">
        <v>6532</v>
      </c>
      <c r="Q15233" t="s">
        <v>15066</v>
      </c>
      <c r="R15233" t="s">
        <v>480</v>
      </c>
      <c r="S15233">
        <v>115.00459499999999</v>
      </c>
      <c r="T15233" s="1095">
        <v>-28.440885999999999</v>
      </c>
    </row>
    <row r="15234" spans="16:20">
      <c r="P15234" s="1094">
        <v>6532</v>
      </c>
      <c r="Q15234" t="s">
        <v>15067</v>
      </c>
      <c r="R15234" t="s">
        <v>480</v>
      </c>
      <c r="S15234">
        <v>115.00459499999999</v>
      </c>
      <c r="T15234" s="1095">
        <v>-28.440885999999999</v>
      </c>
    </row>
    <row r="15235" spans="16:20">
      <c r="P15235" s="1094">
        <v>6532</v>
      </c>
      <c r="Q15235" t="s">
        <v>15068</v>
      </c>
      <c r="R15235" t="s">
        <v>480</v>
      </c>
      <c r="S15235">
        <v>115.00459499999999</v>
      </c>
      <c r="T15235" s="1095">
        <v>-28.440885999999999</v>
      </c>
    </row>
    <row r="15236" spans="16:20">
      <c r="P15236" s="1094">
        <v>6532</v>
      </c>
      <c r="Q15236" t="s">
        <v>15069</v>
      </c>
      <c r="R15236" t="s">
        <v>480</v>
      </c>
      <c r="S15236">
        <v>115.00459499999999</v>
      </c>
      <c r="T15236" s="1095">
        <v>-28.440885999999999</v>
      </c>
    </row>
    <row r="15237" spans="16:20">
      <c r="P15237" s="1094">
        <v>6532</v>
      </c>
      <c r="Q15237" t="s">
        <v>15070</v>
      </c>
      <c r="R15237" t="s">
        <v>480</v>
      </c>
      <c r="S15237">
        <v>115.00459499999999</v>
      </c>
      <c r="T15237" s="1095">
        <v>-28.440885999999999</v>
      </c>
    </row>
    <row r="15238" spans="16:20">
      <c r="P15238" s="1094">
        <v>6532</v>
      </c>
      <c r="Q15238" t="s">
        <v>15071</v>
      </c>
      <c r="R15238" t="s">
        <v>480</v>
      </c>
      <c r="S15238">
        <v>115.00459499999999</v>
      </c>
      <c r="T15238" s="1095">
        <v>-28.440885999999999</v>
      </c>
    </row>
    <row r="15239" spans="16:20">
      <c r="P15239" s="1094">
        <v>6532</v>
      </c>
      <c r="Q15239" t="s">
        <v>15072</v>
      </c>
      <c r="R15239" t="s">
        <v>480</v>
      </c>
      <c r="S15239">
        <v>115.00459499999999</v>
      </c>
      <c r="T15239" s="1095">
        <v>-28.440885999999999</v>
      </c>
    </row>
    <row r="15240" spans="16:20">
      <c r="P15240" s="1094">
        <v>6532</v>
      </c>
      <c r="Q15240" t="s">
        <v>15073</v>
      </c>
      <c r="R15240" t="s">
        <v>480</v>
      </c>
      <c r="S15240">
        <v>115.00459499999999</v>
      </c>
      <c r="T15240" s="1095">
        <v>-28.440885999999999</v>
      </c>
    </row>
    <row r="15241" spans="16:20">
      <c r="P15241" s="1094">
        <v>6532</v>
      </c>
      <c r="Q15241" t="s">
        <v>15074</v>
      </c>
      <c r="R15241" t="s">
        <v>480</v>
      </c>
      <c r="S15241">
        <v>115.00459499999999</v>
      </c>
      <c r="T15241" s="1095">
        <v>-28.440885999999999</v>
      </c>
    </row>
    <row r="15242" spans="16:20">
      <c r="P15242" s="1094">
        <v>6532</v>
      </c>
      <c r="Q15242" t="s">
        <v>2436</v>
      </c>
      <c r="R15242" t="s">
        <v>480</v>
      </c>
      <c r="S15242">
        <v>115.00459499999999</v>
      </c>
      <c r="T15242" s="1095">
        <v>-28.440885999999999</v>
      </c>
    </row>
    <row r="15243" spans="16:20">
      <c r="P15243" s="1094">
        <v>6532</v>
      </c>
      <c r="Q15243" t="s">
        <v>13760</v>
      </c>
      <c r="R15243" t="s">
        <v>480</v>
      </c>
      <c r="S15243">
        <v>115.00459499999999</v>
      </c>
      <c r="T15243" s="1095">
        <v>-28.440885999999999</v>
      </c>
    </row>
    <row r="15244" spans="16:20">
      <c r="P15244" s="1094">
        <v>6532</v>
      </c>
      <c r="Q15244" t="s">
        <v>15075</v>
      </c>
      <c r="R15244" t="s">
        <v>480</v>
      </c>
      <c r="S15244">
        <v>115.00459499999999</v>
      </c>
      <c r="T15244" s="1095">
        <v>-28.440885999999999</v>
      </c>
    </row>
    <row r="15245" spans="16:20">
      <c r="P15245" s="1094">
        <v>6532</v>
      </c>
      <c r="Q15245" t="s">
        <v>15076</v>
      </c>
      <c r="R15245" t="s">
        <v>480</v>
      </c>
      <c r="S15245">
        <v>115.00459499999999</v>
      </c>
      <c r="T15245" s="1095">
        <v>-28.440885999999999</v>
      </c>
    </row>
    <row r="15246" spans="16:20">
      <c r="P15246" s="1094">
        <v>6532</v>
      </c>
      <c r="Q15246" t="s">
        <v>15077</v>
      </c>
      <c r="R15246" t="s">
        <v>480</v>
      </c>
      <c r="S15246">
        <v>115.00459499999999</v>
      </c>
      <c r="T15246" s="1095">
        <v>-28.440885999999999</v>
      </c>
    </row>
    <row r="15247" spans="16:20">
      <c r="P15247" s="1094">
        <v>6532</v>
      </c>
      <c r="Q15247" t="s">
        <v>15078</v>
      </c>
      <c r="R15247" t="s">
        <v>480</v>
      </c>
      <c r="S15247">
        <v>115.00459499999999</v>
      </c>
      <c r="T15247" s="1095">
        <v>-28.440885999999999</v>
      </c>
    </row>
    <row r="15248" spans="16:20">
      <c r="P15248" s="1094">
        <v>6532</v>
      </c>
      <c r="Q15248" t="s">
        <v>15079</v>
      </c>
      <c r="R15248" t="s">
        <v>480</v>
      </c>
      <c r="S15248">
        <v>115.00459499999999</v>
      </c>
      <c r="T15248" s="1095">
        <v>-28.440885999999999</v>
      </c>
    </row>
    <row r="15249" spans="16:20">
      <c r="P15249" s="1094">
        <v>6532</v>
      </c>
      <c r="Q15249" t="s">
        <v>15080</v>
      </c>
      <c r="R15249" t="s">
        <v>480</v>
      </c>
      <c r="S15249">
        <v>115.00459499999999</v>
      </c>
      <c r="T15249" s="1095">
        <v>-28.440885999999999</v>
      </c>
    </row>
    <row r="15250" spans="16:20">
      <c r="P15250" s="1094">
        <v>6535</v>
      </c>
      <c r="Q15250" t="s">
        <v>7701</v>
      </c>
      <c r="R15250" t="s">
        <v>480</v>
      </c>
      <c r="S15250">
        <v>114.85243699999999</v>
      </c>
      <c r="T15250" s="1095">
        <v>-27.832196</v>
      </c>
    </row>
    <row r="15251" spans="16:20">
      <c r="P15251" s="1094">
        <v>6535</v>
      </c>
      <c r="Q15251" t="s">
        <v>15081</v>
      </c>
      <c r="R15251" t="s">
        <v>480</v>
      </c>
      <c r="S15251">
        <v>114.85243699999999</v>
      </c>
      <c r="T15251" s="1095">
        <v>-27.832196</v>
      </c>
    </row>
    <row r="15252" spans="16:20">
      <c r="P15252" s="1094">
        <v>6535</v>
      </c>
      <c r="Q15252" t="s">
        <v>15082</v>
      </c>
      <c r="R15252" t="s">
        <v>480</v>
      </c>
      <c r="S15252">
        <v>114.85243699999999</v>
      </c>
      <c r="T15252" s="1095">
        <v>-27.832196</v>
      </c>
    </row>
    <row r="15253" spans="16:20">
      <c r="P15253" s="1094">
        <v>6535</v>
      </c>
      <c r="Q15253" t="s">
        <v>12009</v>
      </c>
      <c r="R15253" t="s">
        <v>480</v>
      </c>
      <c r="S15253">
        <v>114.85243699999999</v>
      </c>
      <c r="T15253" s="1095">
        <v>-27.832196</v>
      </c>
    </row>
    <row r="15254" spans="16:20">
      <c r="P15254" s="1094">
        <v>6535</v>
      </c>
      <c r="Q15254" t="s">
        <v>15083</v>
      </c>
      <c r="R15254" t="s">
        <v>480</v>
      </c>
      <c r="S15254">
        <v>114.85243699999999</v>
      </c>
      <c r="T15254" s="1095">
        <v>-27.832196</v>
      </c>
    </row>
    <row r="15255" spans="16:20">
      <c r="P15255" s="1094">
        <v>6535</v>
      </c>
      <c r="Q15255" t="s">
        <v>15084</v>
      </c>
      <c r="R15255" t="s">
        <v>480</v>
      </c>
      <c r="S15255">
        <v>114.85243699999999</v>
      </c>
      <c r="T15255" s="1095">
        <v>-27.832196</v>
      </c>
    </row>
    <row r="15256" spans="16:20">
      <c r="P15256" s="1094">
        <v>6535</v>
      </c>
      <c r="Q15256" t="s">
        <v>15085</v>
      </c>
      <c r="R15256" t="s">
        <v>480</v>
      </c>
      <c r="S15256">
        <v>114.85243699999999</v>
      </c>
      <c r="T15256" s="1095">
        <v>-27.832196</v>
      </c>
    </row>
    <row r="15257" spans="16:20">
      <c r="P15257" s="1094">
        <v>6535</v>
      </c>
      <c r="Q15257" t="s">
        <v>15086</v>
      </c>
      <c r="R15257" t="s">
        <v>480</v>
      </c>
      <c r="S15257">
        <v>114.85243699999999</v>
      </c>
      <c r="T15257" s="1095">
        <v>-27.832196</v>
      </c>
    </row>
    <row r="15258" spans="16:20">
      <c r="P15258" s="1094">
        <v>6535</v>
      </c>
      <c r="Q15258" t="s">
        <v>5498</v>
      </c>
      <c r="R15258" t="s">
        <v>480</v>
      </c>
      <c r="S15258">
        <v>114.85243699999999</v>
      </c>
      <c r="T15258" s="1095">
        <v>-27.832196</v>
      </c>
    </row>
    <row r="15259" spans="16:20">
      <c r="P15259" s="1094">
        <v>6535</v>
      </c>
      <c r="Q15259" t="s">
        <v>15087</v>
      </c>
      <c r="R15259" t="s">
        <v>480</v>
      </c>
      <c r="S15259">
        <v>114.85243699999999</v>
      </c>
      <c r="T15259" s="1095">
        <v>-27.832196</v>
      </c>
    </row>
    <row r="15260" spans="16:20">
      <c r="P15260" s="1094">
        <v>6536</v>
      </c>
      <c r="Q15260" t="s">
        <v>15088</v>
      </c>
      <c r="R15260" t="s">
        <v>480</v>
      </c>
      <c r="S15260">
        <v>114.379678</v>
      </c>
      <c r="T15260" s="1095">
        <v>-27.541837999999998</v>
      </c>
    </row>
    <row r="15261" spans="16:20">
      <c r="P15261" s="1094">
        <v>6536</v>
      </c>
      <c r="Q15261" t="s">
        <v>15089</v>
      </c>
      <c r="R15261" t="s">
        <v>480</v>
      </c>
      <c r="S15261">
        <v>114.379678</v>
      </c>
      <c r="T15261" s="1095">
        <v>-27.541837999999998</v>
      </c>
    </row>
    <row r="15262" spans="16:20">
      <c r="P15262" s="1094">
        <v>6536</v>
      </c>
      <c r="Q15262" t="s">
        <v>15090</v>
      </c>
      <c r="R15262" t="s">
        <v>480</v>
      </c>
      <c r="S15262">
        <v>114.379678</v>
      </c>
      <c r="T15262" s="1095">
        <v>-27.541837999999998</v>
      </c>
    </row>
    <row r="15263" spans="16:20">
      <c r="P15263" s="1094">
        <v>6537</v>
      </c>
      <c r="Q15263" t="s">
        <v>15091</v>
      </c>
      <c r="R15263" t="s">
        <v>480</v>
      </c>
      <c r="S15263">
        <v>114.627287</v>
      </c>
      <c r="T15263" s="1095">
        <v>-26.904889000000001</v>
      </c>
    </row>
    <row r="15264" spans="16:20">
      <c r="P15264" s="1094">
        <v>6537</v>
      </c>
      <c r="Q15264" t="s">
        <v>15092</v>
      </c>
      <c r="R15264" t="s">
        <v>480</v>
      </c>
      <c r="S15264">
        <v>114.627287</v>
      </c>
      <c r="T15264" s="1095">
        <v>-26.904889000000001</v>
      </c>
    </row>
    <row r="15265" spans="16:20">
      <c r="P15265" s="1094">
        <v>6537</v>
      </c>
      <c r="Q15265" t="s">
        <v>15093</v>
      </c>
      <c r="R15265" t="s">
        <v>480</v>
      </c>
      <c r="S15265">
        <v>114.627287</v>
      </c>
      <c r="T15265" s="1095">
        <v>-26.904889000000001</v>
      </c>
    </row>
    <row r="15266" spans="16:20">
      <c r="P15266" s="1094">
        <v>6537</v>
      </c>
      <c r="Q15266" t="s">
        <v>15094</v>
      </c>
      <c r="R15266" t="s">
        <v>480</v>
      </c>
      <c r="S15266">
        <v>114.627287</v>
      </c>
      <c r="T15266" s="1095">
        <v>-26.904889000000001</v>
      </c>
    </row>
    <row r="15267" spans="16:20">
      <c r="P15267" s="1094">
        <v>6537</v>
      </c>
      <c r="Q15267" t="s">
        <v>15095</v>
      </c>
      <c r="R15267" t="s">
        <v>480</v>
      </c>
      <c r="S15267">
        <v>114.627287</v>
      </c>
      <c r="T15267" s="1095">
        <v>-26.904889000000001</v>
      </c>
    </row>
    <row r="15268" spans="16:20">
      <c r="P15268" s="1094">
        <v>6537</v>
      </c>
      <c r="Q15268" t="s">
        <v>15096</v>
      </c>
      <c r="R15268" t="s">
        <v>480</v>
      </c>
      <c r="S15268">
        <v>114.627287</v>
      </c>
      <c r="T15268" s="1095">
        <v>-26.904889000000001</v>
      </c>
    </row>
    <row r="15269" spans="16:20">
      <c r="P15269" s="1094">
        <v>6537</v>
      </c>
      <c r="Q15269" t="s">
        <v>15097</v>
      </c>
      <c r="R15269" t="s">
        <v>480</v>
      </c>
      <c r="S15269">
        <v>114.627287</v>
      </c>
      <c r="T15269" s="1095">
        <v>-26.904889000000001</v>
      </c>
    </row>
    <row r="15270" spans="16:20">
      <c r="P15270" s="1094">
        <v>6556</v>
      </c>
      <c r="Q15270" t="s">
        <v>15098</v>
      </c>
      <c r="R15270" t="s">
        <v>480</v>
      </c>
      <c r="S15270">
        <v>116.310249</v>
      </c>
      <c r="T15270" s="1095">
        <v>-31.860590999999999</v>
      </c>
    </row>
    <row r="15271" spans="16:20">
      <c r="P15271" s="1094">
        <v>6556</v>
      </c>
      <c r="Q15271" t="s">
        <v>15099</v>
      </c>
      <c r="R15271" t="s">
        <v>480</v>
      </c>
      <c r="S15271">
        <v>116.310249</v>
      </c>
      <c r="T15271" s="1095">
        <v>-31.860590999999999</v>
      </c>
    </row>
    <row r="15272" spans="16:20">
      <c r="P15272" s="1094">
        <v>6556</v>
      </c>
      <c r="Q15272" t="s">
        <v>15100</v>
      </c>
      <c r="R15272" t="s">
        <v>480</v>
      </c>
      <c r="S15272">
        <v>116.310249</v>
      </c>
      <c r="T15272" s="1095">
        <v>-31.860590999999999</v>
      </c>
    </row>
    <row r="15273" spans="16:20">
      <c r="P15273" s="1094">
        <v>6556</v>
      </c>
      <c r="Q15273" t="s">
        <v>15101</v>
      </c>
      <c r="R15273" t="s">
        <v>480</v>
      </c>
      <c r="S15273">
        <v>116.310249</v>
      </c>
      <c r="T15273" s="1095">
        <v>-31.860590999999999</v>
      </c>
    </row>
    <row r="15274" spans="16:20">
      <c r="P15274" s="1094">
        <v>6556</v>
      </c>
      <c r="Q15274" t="s">
        <v>15102</v>
      </c>
      <c r="R15274" t="s">
        <v>480</v>
      </c>
      <c r="S15274">
        <v>116.310249</v>
      </c>
      <c r="T15274" s="1095">
        <v>-31.860590999999999</v>
      </c>
    </row>
    <row r="15275" spans="16:20">
      <c r="P15275" s="1094">
        <v>6558</v>
      </c>
      <c r="Q15275" t="s">
        <v>15103</v>
      </c>
      <c r="R15275" t="s">
        <v>480</v>
      </c>
      <c r="S15275">
        <v>116.313391</v>
      </c>
      <c r="T15275" s="1095">
        <v>-31.771446000000001</v>
      </c>
    </row>
    <row r="15276" spans="16:20">
      <c r="P15276" s="1094">
        <v>6560</v>
      </c>
      <c r="Q15276" t="s">
        <v>15104</v>
      </c>
      <c r="R15276" t="s">
        <v>480</v>
      </c>
      <c r="S15276">
        <v>116.42856399999999</v>
      </c>
      <c r="T15276" s="1095">
        <v>-31.817665999999999</v>
      </c>
    </row>
    <row r="15277" spans="16:20">
      <c r="P15277" s="1094">
        <v>6562</v>
      </c>
      <c r="Q15277" t="s">
        <v>15105</v>
      </c>
      <c r="R15277" t="s">
        <v>480</v>
      </c>
      <c r="S15277">
        <v>116.473434</v>
      </c>
      <c r="T15277" s="1095">
        <v>-31.746189000000001</v>
      </c>
    </row>
    <row r="15278" spans="16:20">
      <c r="P15278" s="1094">
        <v>6562</v>
      </c>
      <c r="Q15278" t="s">
        <v>13789</v>
      </c>
      <c r="R15278" t="s">
        <v>480</v>
      </c>
      <c r="S15278">
        <v>116.473434</v>
      </c>
      <c r="T15278" s="1095">
        <v>-31.746189000000001</v>
      </c>
    </row>
    <row r="15279" spans="16:20">
      <c r="P15279" s="1094">
        <v>6562</v>
      </c>
      <c r="Q15279" t="s">
        <v>15106</v>
      </c>
      <c r="R15279" t="s">
        <v>480</v>
      </c>
      <c r="S15279">
        <v>116.473434</v>
      </c>
      <c r="T15279" s="1095">
        <v>-31.746189000000001</v>
      </c>
    </row>
    <row r="15280" spans="16:20">
      <c r="P15280" s="1094">
        <v>6564</v>
      </c>
      <c r="Q15280" t="s">
        <v>15107</v>
      </c>
      <c r="R15280" t="s">
        <v>480</v>
      </c>
      <c r="S15280">
        <v>116.538966</v>
      </c>
      <c r="T15280" s="1095">
        <v>-31.726613</v>
      </c>
    </row>
    <row r="15281" spans="16:20">
      <c r="P15281" s="1094">
        <v>6566</v>
      </c>
      <c r="Q15281" t="s">
        <v>15108</v>
      </c>
      <c r="R15281" t="s">
        <v>480</v>
      </c>
      <c r="S15281">
        <v>116.38064</v>
      </c>
      <c r="T15281" s="1095">
        <v>-31.484853000000001</v>
      </c>
    </row>
    <row r="15282" spans="16:20">
      <c r="P15282" s="1094">
        <v>6566</v>
      </c>
      <c r="Q15282" t="s">
        <v>15109</v>
      </c>
      <c r="R15282" t="s">
        <v>480</v>
      </c>
      <c r="S15282">
        <v>116.38064</v>
      </c>
      <c r="T15282" s="1095">
        <v>-31.484853000000001</v>
      </c>
    </row>
    <row r="15283" spans="16:20">
      <c r="P15283" s="1094">
        <v>6566</v>
      </c>
      <c r="Q15283" t="s">
        <v>15110</v>
      </c>
      <c r="R15283" t="s">
        <v>480</v>
      </c>
      <c r="S15283">
        <v>116.38064</v>
      </c>
      <c r="T15283" s="1095">
        <v>-31.484853000000001</v>
      </c>
    </row>
    <row r="15284" spans="16:20">
      <c r="P15284" s="1094">
        <v>6566</v>
      </c>
      <c r="Q15284" t="s">
        <v>15111</v>
      </c>
      <c r="R15284" t="s">
        <v>480</v>
      </c>
      <c r="S15284">
        <v>116.38064</v>
      </c>
      <c r="T15284" s="1095">
        <v>-31.484853000000001</v>
      </c>
    </row>
    <row r="15285" spans="16:20">
      <c r="P15285" s="1094">
        <v>6566</v>
      </c>
      <c r="Q15285" t="s">
        <v>15112</v>
      </c>
      <c r="R15285" t="s">
        <v>480</v>
      </c>
      <c r="S15285">
        <v>116.38064</v>
      </c>
      <c r="T15285" s="1095">
        <v>-31.484853000000001</v>
      </c>
    </row>
    <row r="15286" spans="16:20">
      <c r="P15286" s="1094">
        <v>6566</v>
      </c>
      <c r="Q15286" t="s">
        <v>15113</v>
      </c>
      <c r="R15286" t="s">
        <v>480</v>
      </c>
      <c r="S15286">
        <v>116.38064</v>
      </c>
      <c r="T15286" s="1095">
        <v>-31.484853000000001</v>
      </c>
    </row>
    <row r="15287" spans="16:20">
      <c r="P15287" s="1094">
        <v>6566</v>
      </c>
      <c r="Q15287" t="s">
        <v>15114</v>
      </c>
      <c r="R15287" t="s">
        <v>480</v>
      </c>
      <c r="S15287">
        <v>116.38064</v>
      </c>
      <c r="T15287" s="1095">
        <v>-31.484853000000001</v>
      </c>
    </row>
    <row r="15288" spans="16:20">
      <c r="P15288" s="1094">
        <v>6566</v>
      </c>
      <c r="Q15288" t="s">
        <v>15115</v>
      </c>
      <c r="R15288" t="s">
        <v>480</v>
      </c>
      <c r="S15288">
        <v>116.38064</v>
      </c>
      <c r="T15288" s="1095">
        <v>-31.484853000000001</v>
      </c>
    </row>
    <row r="15289" spans="16:20">
      <c r="P15289" s="1094">
        <v>6566</v>
      </c>
      <c r="Q15289" t="s">
        <v>15116</v>
      </c>
      <c r="R15289" t="s">
        <v>480</v>
      </c>
      <c r="S15289">
        <v>116.38064</v>
      </c>
      <c r="T15289" s="1095">
        <v>-31.484853000000001</v>
      </c>
    </row>
    <row r="15290" spans="16:20">
      <c r="P15290" s="1094">
        <v>6566</v>
      </c>
      <c r="Q15290" t="s">
        <v>15117</v>
      </c>
      <c r="R15290" t="s">
        <v>480</v>
      </c>
      <c r="S15290">
        <v>116.38064</v>
      </c>
      <c r="T15290" s="1095">
        <v>-31.484853000000001</v>
      </c>
    </row>
    <row r="15291" spans="16:20">
      <c r="P15291" s="1094">
        <v>6567</v>
      </c>
      <c r="Q15291" t="s">
        <v>15118</v>
      </c>
      <c r="R15291" t="s">
        <v>480</v>
      </c>
      <c r="S15291">
        <v>0</v>
      </c>
      <c r="T15291" s="1095">
        <v>0</v>
      </c>
    </row>
    <row r="15292" spans="16:20">
      <c r="P15292" s="1094">
        <v>6567</v>
      </c>
      <c r="Q15292" t="s">
        <v>15119</v>
      </c>
      <c r="R15292" t="s">
        <v>480</v>
      </c>
      <c r="S15292">
        <v>0</v>
      </c>
      <c r="T15292" s="1095">
        <v>0</v>
      </c>
    </row>
    <row r="15293" spans="16:20">
      <c r="P15293" s="1094">
        <v>6567</v>
      </c>
      <c r="Q15293" t="s">
        <v>15120</v>
      </c>
      <c r="R15293" t="s">
        <v>480</v>
      </c>
      <c r="S15293">
        <v>0</v>
      </c>
      <c r="T15293" s="1095">
        <v>0</v>
      </c>
    </row>
    <row r="15294" spans="16:20">
      <c r="P15294" s="1094">
        <v>6568</v>
      </c>
      <c r="Q15294" t="s">
        <v>15121</v>
      </c>
      <c r="R15294" t="s">
        <v>480</v>
      </c>
      <c r="S15294">
        <v>116.53746099999999</v>
      </c>
      <c r="T15294" s="1095">
        <v>-31.246580999999999</v>
      </c>
    </row>
    <row r="15295" spans="16:20">
      <c r="P15295" s="1094">
        <v>6568</v>
      </c>
      <c r="Q15295" t="s">
        <v>15122</v>
      </c>
      <c r="R15295" t="s">
        <v>480</v>
      </c>
      <c r="S15295">
        <v>116.53746099999999</v>
      </c>
      <c r="T15295" s="1095">
        <v>-31.246580999999999</v>
      </c>
    </row>
    <row r="15296" spans="16:20">
      <c r="P15296" s="1094">
        <v>6568</v>
      </c>
      <c r="Q15296" t="s">
        <v>15123</v>
      </c>
      <c r="R15296" t="s">
        <v>480</v>
      </c>
      <c r="S15296">
        <v>116.53746099999999</v>
      </c>
      <c r="T15296" s="1095">
        <v>-31.246580999999999</v>
      </c>
    </row>
    <row r="15297" spans="16:20">
      <c r="P15297" s="1094">
        <v>6569</v>
      </c>
      <c r="Q15297" t="s">
        <v>15124</v>
      </c>
      <c r="R15297" t="s">
        <v>480</v>
      </c>
      <c r="S15297">
        <v>116.452845</v>
      </c>
      <c r="T15297" s="1095">
        <v>-31.085083999999998</v>
      </c>
    </row>
    <row r="15298" spans="16:20">
      <c r="P15298" s="1094">
        <v>6569</v>
      </c>
      <c r="Q15298" t="s">
        <v>15125</v>
      </c>
      <c r="R15298" t="s">
        <v>480</v>
      </c>
      <c r="S15298">
        <v>116.452845</v>
      </c>
      <c r="T15298" s="1095">
        <v>-31.085083999999998</v>
      </c>
    </row>
    <row r="15299" spans="16:20">
      <c r="P15299" s="1094">
        <v>6571</v>
      </c>
      <c r="Q15299" t="s">
        <v>15126</v>
      </c>
      <c r="R15299" t="s">
        <v>480</v>
      </c>
      <c r="S15299">
        <v>116.396621</v>
      </c>
      <c r="T15299" s="1095">
        <v>-30.940448</v>
      </c>
    </row>
    <row r="15300" spans="16:20">
      <c r="P15300" s="1094">
        <v>6572</v>
      </c>
      <c r="Q15300" t="s">
        <v>15127</v>
      </c>
      <c r="R15300" t="s">
        <v>480</v>
      </c>
      <c r="S15300">
        <v>116.396304</v>
      </c>
      <c r="T15300" s="1095">
        <v>-30.804675</v>
      </c>
    </row>
    <row r="15301" spans="16:20">
      <c r="P15301" s="1094">
        <v>6574</v>
      </c>
      <c r="Q15301" t="s">
        <v>15128</v>
      </c>
      <c r="R15301" t="s">
        <v>480</v>
      </c>
      <c r="S15301">
        <v>116.425241</v>
      </c>
      <c r="T15301" s="1095">
        <v>-30.650914</v>
      </c>
    </row>
    <row r="15302" spans="16:20">
      <c r="P15302" s="1094">
        <v>6574</v>
      </c>
      <c r="Q15302" t="s">
        <v>15129</v>
      </c>
      <c r="R15302" t="s">
        <v>480</v>
      </c>
      <c r="S15302">
        <v>116.425241</v>
      </c>
      <c r="T15302" s="1095">
        <v>-30.650914</v>
      </c>
    </row>
    <row r="15303" spans="16:20">
      <c r="P15303" s="1094">
        <v>6575</v>
      </c>
      <c r="Q15303" t="s">
        <v>15130</v>
      </c>
      <c r="R15303" t="s">
        <v>480</v>
      </c>
      <c r="S15303">
        <v>116.424426</v>
      </c>
      <c r="T15303" s="1095">
        <v>-30.410872999999999</v>
      </c>
    </row>
    <row r="15304" spans="16:20">
      <c r="P15304" s="1094">
        <v>6603</v>
      </c>
      <c r="Q15304" t="s">
        <v>15131</v>
      </c>
      <c r="R15304" t="s">
        <v>480</v>
      </c>
      <c r="S15304">
        <v>116.725982</v>
      </c>
      <c r="T15304" s="1095">
        <v>-30.874243</v>
      </c>
    </row>
    <row r="15305" spans="16:20">
      <c r="P15305" s="1094">
        <v>6603</v>
      </c>
      <c r="Q15305" t="s">
        <v>15132</v>
      </c>
      <c r="R15305" t="s">
        <v>480</v>
      </c>
      <c r="S15305">
        <v>116.725982</v>
      </c>
      <c r="T15305" s="1095">
        <v>-30.874243</v>
      </c>
    </row>
    <row r="15306" spans="16:20">
      <c r="P15306" s="1094">
        <v>6603</v>
      </c>
      <c r="Q15306" t="s">
        <v>15133</v>
      </c>
      <c r="R15306" t="s">
        <v>480</v>
      </c>
      <c r="S15306">
        <v>116.725982</v>
      </c>
      <c r="T15306" s="1095">
        <v>-30.874243</v>
      </c>
    </row>
    <row r="15307" spans="16:20">
      <c r="P15307" s="1094">
        <v>6603</v>
      </c>
      <c r="Q15307" t="s">
        <v>15134</v>
      </c>
      <c r="R15307" t="s">
        <v>480</v>
      </c>
      <c r="S15307">
        <v>116.725982</v>
      </c>
      <c r="T15307" s="1095">
        <v>-30.874243</v>
      </c>
    </row>
    <row r="15308" spans="16:20">
      <c r="P15308" s="1094">
        <v>6603</v>
      </c>
      <c r="Q15308" t="s">
        <v>15135</v>
      </c>
      <c r="R15308" t="s">
        <v>480</v>
      </c>
      <c r="S15308">
        <v>116.725982</v>
      </c>
      <c r="T15308" s="1095">
        <v>-30.874243</v>
      </c>
    </row>
    <row r="15309" spans="16:20">
      <c r="P15309" s="1094">
        <v>6605</v>
      </c>
      <c r="Q15309" t="s">
        <v>15136</v>
      </c>
      <c r="R15309" t="s">
        <v>480</v>
      </c>
      <c r="S15309">
        <v>116.762957</v>
      </c>
      <c r="T15309" s="1095">
        <v>-30.730157999999999</v>
      </c>
    </row>
    <row r="15310" spans="16:20">
      <c r="P15310" s="1094">
        <v>6606</v>
      </c>
      <c r="Q15310" t="s">
        <v>15137</v>
      </c>
      <c r="R15310" t="s">
        <v>480</v>
      </c>
      <c r="S15310">
        <v>116.82916299999999</v>
      </c>
      <c r="T15310" s="1095">
        <v>-30.614263000000001</v>
      </c>
    </row>
    <row r="15311" spans="16:20">
      <c r="P15311" s="1094">
        <v>6606</v>
      </c>
      <c r="Q15311" t="s">
        <v>15138</v>
      </c>
      <c r="R15311" t="s">
        <v>480</v>
      </c>
      <c r="S15311">
        <v>116.82916299999999</v>
      </c>
      <c r="T15311" s="1095">
        <v>-30.614263000000001</v>
      </c>
    </row>
    <row r="15312" spans="16:20">
      <c r="P15312" s="1094">
        <v>6606</v>
      </c>
      <c r="Q15312" t="s">
        <v>15139</v>
      </c>
      <c r="R15312" t="s">
        <v>480</v>
      </c>
      <c r="S15312">
        <v>116.82916299999999</v>
      </c>
      <c r="T15312" s="1095">
        <v>-30.614263000000001</v>
      </c>
    </row>
    <row r="15313" spans="16:20">
      <c r="P15313" s="1094">
        <v>6608</v>
      </c>
      <c r="Q15313" t="s">
        <v>15140</v>
      </c>
      <c r="R15313" t="s">
        <v>480</v>
      </c>
      <c r="S15313">
        <v>116.826594</v>
      </c>
      <c r="T15313" s="1095">
        <v>-30.429334000000001</v>
      </c>
    </row>
    <row r="15314" spans="16:20">
      <c r="P15314" s="1094">
        <v>6608</v>
      </c>
      <c r="Q15314" t="s">
        <v>15141</v>
      </c>
      <c r="R15314" t="s">
        <v>480</v>
      </c>
      <c r="S15314">
        <v>116.826594</v>
      </c>
      <c r="T15314" s="1095">
        <v>-30.429334000000001</v>
      </c>
    </row>
    <row r="15315" spans="16:20">
      <c r="P15315" s="1094">
        <v>6608</v>
      </c>
      <c r="Q15315" t="s">
        <v>15142</v>
      </c>
      <c r="R15315" t="s">
        <v>480</v>
      </c>
      <c r="S15315">
        <v>116.826594</v>
      </c>
      <c r="T15315" s="1095">
        <v>-30.429334000000001</v>
      </c>
    </row>
    <row r="15316" spans="16:20">
      <c r="P15316" s="1094">
        <v>6609</v>
      </c>
      <c r="Q15316" t="s">
        <v>15143</v>
      </c>
      <c r="R15316" t="s">
        <v>480</v>
      </c>
      <c r="S15316">
        <v>116.750631</v>
      </c>
      <c r="T15316" s="1095">
        <v>-30.266489</v>
      </c>
    </row>
    <row r="15317" spans="16:20">
      <c r="P15317" s="1094">
        <v>6609</v>
      </c>
      <c r="Q15317" t="s">
        <v>15144</v>
      </c>
      <c r="R15317" t="s">
        <v>480</v>
      </c>
      <c r="S15317">
        <v>116.750631</v>
      </c>
      <c r="T15317" s="1095">
        <v>-30.266489</v>
      </c>
    </row>
    <row r="15318" spans="16:20">
      <c r="P15318" s="1094">
        <v>6609</v>
      </c>
      <c r="Q15318" t="s">
        <v>15145</v>
      </c>
      <c r="R15318" t="s">
        <v>480</v>
      </c>
      <c r="S15318">
        <v>116.750631</v>
      </c>
      <c r="T15318" s="1095">
        <v>-30.266489</v>
      </c>
    </row>
    <row r="15319" spans="16:20">
      <c r="P15319" s="1094">
        <v>6612</v>
      </c>
      <c r="Q15319" t="s">
        <v>15146</v>
      </c>
      <c r="R15319" t="s">
        <v>480</v>
      </c>
      <c r="S15319">
        <v>117.835179</v>
      </c>
      <c r="T15319" s="1095">
        <v>-29.545138999999999</v>
      </c>
    </row>
    <row r="15320" spans="16:20">
      <c r="P15320" s="1094">
        <v>6612</v>
      </c>
      <c r="Q15320" t="s">
        <v>15147</v>
      </c>
      <c r="R15320" t="s">
        <v>480</v>
      </c>
      <c r="S15320">
        <v>117.835179</v>
      </c>
      <c r="T15320" s="1095">
        <v>-29.545138999999999</v>
      </c>
    </row>
    <row r="15321" spans="16:20">
      <c r="P15321" s="1094">
        <v>6612</v>
      </c>
      <c r="Q15321" t="s">
        <v>15148</v>
      </c>
      <c r="R15321" t="s">
        <v>480</v>
      </c>
      <c r="S15321">
        <v>117.835179</v>
      </c>
      <c r="T15321" s="1095">
        <v>-29.545138999999999</v>
      </c>
    </row>
    <row r="15322" spans="16:20">
      <c r="P15322" s="1094">
        <v>6612</v>
      </c>
      <c r="Q15322" t="s">
        <v>15149</v>
      </c>
      <c r="R15322" t="s">
        <v>480</v>
      </c>
      <c r="S15322">
        <v>117.835179</v>
      </c>
      <c r="T15322" s="1095">
        <v>-29.545138999999999</v>
      </c>
    </row>
    <row r="15323" spans="16:20">
      <c r="P15323" s="1094">
        <v>6613</v>
      </c>
      <c r="Q15323" t="s">
        <v>15150</v>
      </c>
      <c r="R15323" t="s">
        <v>480</v>
      </c>
      <c r="S15323">
        <v>116.523551</v>
      </c>
      <c r="T15323" s="1095">
        <v>-29.962626</v>
      </c>
    </row>
    <row r="15324" spans="16:20">
      <c r="P15324" s="1094">
        <v>6614</v>
      </c>
      <c r="Q15324" t="s">
        <v>15151</v>
      </c>
      <c r="R15324" t="s">
        <v>480</v>
      </c>
      <c r="S15324">
        <v>116.551869</v>
      </c>
      <c r="T15324" s="1095">
        <v>-29.888797</v>
      </c>
    </row>
    <row r="15325" spans="16:20">
      <c r="P15325" s="1094">
        <v>6616</v>
      </c>
      <c r="Q15325" t="s">
        <v>4868</v>
      </c>
      <c r="R15325" t="s">
        <v>480</v>
      </c>
      <c r="S15325">
        <v>116.434223</v>
      </c>
      <c r="T15325" s="1095">
        <v>-29.766909999999999</v>
      </c>
    </row>
    <row r="15326" spans="16:20">
      <c r="P15326" s="1094">
        <v>6620</v>
      </c>
      <c r="Q15326" t="s">
        <v>15152</v>
      </c>
      <c r="R15326" t="s">
        <v>480</v>
      </c>
      <c r="S15326">
        <v>116.702611</v>
      </c>
      <c r="T15326" s="1095">
        <v>-29.340544999999999</v>
      </c>
    </row>
    <row r="15327" spans="16:20">
      <c r="P15327" s="1094">
        <v>6620</v>
      </c>
      <c r="Q15327" t="s">
        <v>15153</v>
      </c>
      <c r="R15327" t="s">
        <v>480</v>
      </c>
      <c r="S15327">
        <v>116.702611</v>
      </c>
      <c r="T15327" s="1095">
        <v>-29.340544999999999</v>
      </c>
    </row>
    <row r="15328" spans="16:20">
      <c r="P15328" s="1094">
        <v>6623</v>
      </c>
      <c r="Q15328" t="s">
        <v>15154</v>
      </c>
      <c r="R15328" t="s">
        <v>480</v>
      </c>
      <c r="S15328">
        <v>116.120459</v>
      </c>
      <c r="T15328" s="1095">
        <v>-29.021682999999999</v>
      </c>
    </row>
    <row r="15329" spans="16:20">
      <c r="P15329" s="1094">
        <v>6623</v>
      </c>
      <c r="Q15329" t="s">
        <v>15155</v>
      </c>
      <c r="R15329" t="s">
        <v>480</v>
      </c>
      <c r="S15329">
        <v>116.120459</v>
      </c>
      <c r="T15329" s="1095">
        <v>-29.021682999999999</v>
      </c>
    </row>
    <row r="15330" spans="16:20">
      <c r="P15330" s="1094">
        <v>6623</v>
      </c>
      <c r="Q15330" t="s">
        <v>15156</v>
      </c>
      <c r="R15330" t="s">
        <v>480</v>
      </c>
      <c r="S15330">
        <v>116.120459</v>
      </c>
      <c r="T15330" s="1095">
        <v>-29.021682999999999</v>
      </c>
    </row>
    <row r="15331" spans="16:20">
      <c r="P15331" s="1094">
        <v>6623</v>
      </c>
      <c r="Q15331" t="s">
        <v>15157</v>
      </c>
      <c r="R15331" t="s">
        <v>480</v>
      </c>
      <c r="S15331">
        <v>116.120459</v>
      </c>
      <c r="T15331" s="1095">
        <v>-29.021682999999999</v>
      </c>
    </row>
    <row r="15332" spans="16:20">
      <c r="P15332" s="1094">
        <v>6623</v>
      </c>
      <c r="Q15332" t="s">
        <v>15158</v>
      </c>
      <c r="R15332" t="s">
        <v>480</v>
      </c>
      <c r="S15332">
        <v>116.120459</v>
      </c>
      <c r="T15332" s="1095">
        <v>-29.021682999999999</v>
      </c>
    </row>
    <row r="15333" spans="16:20">
      <c r="P15333" s="1094">
        <v>6623</v>
      </c>
      <c r="Q15333" t="s">
        <v>15159</v>
      </c>
      <c r="R15333" t="s">
        <v>480</v>
      </c>
      <c r="S15333">
        <v>116.120459</v>
      </c>
      <c r="T15333" s="1095">
        <v>-29.021682999999999</v>
      </c>
    </row>
    <row r="15334" spans="16:20">
      <c r="P15334" s="1094">
        <v>6625</v>
      </c>
      <c r="Q15334" t="s">
        <v>15160</v>
      </c>
      <c r="R15334" t="s">
        <v>480</v>
      </c>
      <c r="S15334">
        <v>115.946714</v>
      </c>
      <c r="T15334" s="1095">
        <v>-29.107426</v>
      </c>
    </row>
    <row r="15335" spans="16:20">
      <c r="P15335" s="1094">
        <v>6627</v>
      </c>
      <c r="Q15335" t="s">
        <v>15161</v>
      </c>
      <c r="R15335" t="s">
        <v>480</v>
      </c>
      <c r="S15335">
        <v>115.902023</v>
      </c>
      <c r="T15335" s="1095">
        <v>-28.850456999999999</v>
      </c>
    </row>
    <row r="15336" spans="16:20">
      <c r="P15336" s="1094">
        <v>6628</v>
      </c>
      <c r="Q15336" t="s">
        <v>15162</v>
      </c>
      <c r="R15336" t="s">
        <v>480</v>
      </c>
      <c r="S15336">
        <v>115.764797</v>
      </c>
      <c r="T15336" s="1095">
        <v>-28.833846000000001</v>
      </c>
    </row>
    <row r="15337" spans="16:20">
      <c r="P15337" s="1094">
        <v>6630</v>
      </c>
      <c r="Q15337" t="s">
        <v>15163</v>
      </c>
      <c r="R15337" t="s">
        <v>480</v>
      </c>
      <c r="S15337">
        <v>115.72384</v>
      </c>
      <c r="T15337" s="1095">
        <v>-27.569679000000001</v>
      </c>
    </row>
    <row r="15338" spans="16:20">
      <c r="P15338" s="1094">
        <v>6630</v>
      </c>
      <c r="Q15338" t="s">
        <v>15164</v>
      </c>
      <c r="R15338" t="s">
        <v>480</v>
      </c>
      <c r="S15338">
        <v>115.72384</v>
      </c>
      <c r="T15338" s="1095">
        <v>-27.569679000000001</v>
      </c>
    </row>
    <row r="15339" spans="16:20">
      <c r="P15339" s="1094">
        <v>6630</v>
      </c>
      <c r="Q15339" t="s">
        <v>8210</v>
      </c>
      <c r="R15339" t="s">
        <v>480</v>
      </c>
      <c r="S15339">
        <v>115.72384</v>
      </c>
      <c r="T15339" s="1095">
        <v>-27.569679000000001</v>
      </c>
    </row>
    <row r="15340" spans="16:20">
      <c r="P15340" s="1094">
        <v>6630</v>
      </c>
      <c r="Q15340" t="s">
        <v>15165</v>
      </c>
      <c r="R15340" t="s">
        <v>480</v>
      </c>
      <c r="S15340">
        <v>115.72384</v>
      </c>
      <c r="T15340" s="1095">
        <v>-27.569679000000001</v>
      </c>
    </row>
    <row r="15341" spans="16:20">
      <c r="P15341" s="1094">
        <v>6630</v>
      </c>
      <c r="Q15341" t="s">
        <v>15166</v>
      </c>
      <c r="R15341" t="s">
        <v>480</v>
      </c>
      <c r="S15341">
        <v>115.72384</v>
      </c>
      <c r="T15341" s="1095">
        <v>-27.569679000000001</v>
      </c>
    </row>
    <row r="15342" spans="16:20">
      <c r="P15342" s="1094">
        <v>6630</v>
      </c>
      <c r="Q15342" t="s">
        <v>15167</v>
      </c>
      <c r="R15342" t="s">
        <v>480</v>
      </c>
      <c r="S15342">
        <v>115.72384</v>
      </c>
      <c r="T15342" s="1095">
        <v>-27.569679000000001</v>
      </c>
    </row>
    <row r="15343" spans="16:20">
      <c r="P15343" s="1094">
        <v>6630</v>
      </c>
      <c r="Q15343" t="s">
        <v>15168</v>
      </c>
      <c r="R15343" t="s">
        <v>480</v>
      </c>
      <c r="S15343">
        <v>115.72384</v>
      </c>
      <c r="T15343" s="1095">
        <v>-27.569679000000001</v>
      </c>
    </row>
    <row r="15344" spans="16:20">
      <c r="P15344" s="1094">
        <v>6631</v>
      </c>
      <c r="Q15344" t="s">
        <v>15169</v>
      </c>
      <c r="R15344" t="s">
        <v>480</v>
      </c>
      <c r="S15344">
        <v>115.755437</v>
      </c>
      <c r="T15344" s="1095">
        <v>-28.46368</v>
      </c>
    </row>
    <row r="15345" spans="16:20">
      <c r="P15345" s="1094">
        <v>6632</v>
      </c>
      <c r="Q15345" t="s">
        <v>15170</v>
      </c>
      <c r="R15345" t="s">
        <v>480</v>
      </c>
      <c r="S15345">
        <v>115.338356</v>
      </c>
      <c r="T15345" s="1095">
        <v>-28.619886999999999</v>
      </c>
    </row>
    <row r="15346" spans="16:20">
      <c r="P15346" s="1094">
        <v>6632</v>
      </c>
      <c r="Q15346" t="s">
        <v>15171</v>
      </c>
      <c r="R15346" t="s">
        <v>480</v>
      </c>
      <c r="S15346">
        <v>115.338356</v>
      </c>
      <c r="T15346" s="1095">
        <v>-28.619886999999999</v>
      </c>
    </row>
    <row r="15347" spans="16:20">
      <c r="P15347" s="1094">
        <v>6635</v>
      </c>
      <c r="Q15347" t="s">
        <v>15172</v>
      </c>
      <c r="R15347" t="s">
        <v>480</v>
      </c>
      <c r="S15347">
        <v>116.689412</v>
      </c>
      <c r="T15347" s="1095">
        <v>-28.150725999999999</v>
      </c>
    </row>
    <row r="15348" spans="16:20">
      <c r="P15348" s="1094">
        <v>6635</v>
      </c>
      <c r="Q15348" t="s">
        <v>15173</v>
      </c>
      <c r="R15348" t="s">
        <v>480</v>
      </c>
      <c r="S15348">
        <v>116.689412</v>
      </c>
      <c r="T15348" s="1095">
        <v>-28.150725999999999</v>
      </c>
    </row>
    <row r="15349" spans="16:20">
      <c r="P15349" s="1094">
        <v>6638</v>
      </c>
      <c r="Q15349" t="s">
        <v>15174</v>
      </c>
      <c r="R15349" t="s">
        <v>480</v>
      </c>
      <c r="S15349">
        <v>118.157573</v>
      </c>
      <c r="T15349" s="1095">
        <v>-28.612449000000002</v>
      </c>
    </row>
    <row r="15350" spans="16:20">
      <c r="P15350" s="1094">
        <v>6638</v>
      </c>
      <c r="Q15350" t="s">
        <v>15175</v>
      </c>
      <c r="R15350" t="s">
        <v>480</v>
      </c>
      <c r="S15350">
        <v>118.157573</v>
      </c>
      <c r="T15350" s="1095">
        <v>-28.612449000000002</v>
      </c>
    </row>
    <row r="15351" spans="16:20">
      <c r="P15351" s="1094">
        <v>6638</v>
      </c>
      <c r="Q15351" t="s">
        <v>15176</v>
      </c>
      <c r="R15351" t="s">
        <v>480</v>
      </c>
      <c r="S15351">
        <v>118.157573</v>
      </c>
      <c r="T15351" s="1095">
        <v>-28.612449000000002</v>
      </c>
    </row>
    <row r="15352" spans="16:20">
      <c r="P15352" s="1094">
        <v>6638</v>
      </c>
      <c r="Q15352" t="s">
        <v>8991</v>
      </c>
      <c r="R15352" t="s">
        <v>480</v>
      </c>
      <c r="S15352">
        <v>118.157573</v>
      </c>
      <c r="T15352" s="1095">
        <v>-28.612449000000002</v>
      </c>
    </row>
    <row r="15353" spans="16:20">
      <c r="P15353" s="1094">
        <v>6639</v>
      </c>
      <c r="Q15353" t="s">
        <v>15177</v>
      </c>
      <c r="R15353" t="s">
        <v>480</v>
      </c>
      <c r="S15353">
        <v>119.409802</v>
      </c>
      <c r="T15353" s="1095">
        <v>-27.684920000000002</v>
      </c>
    </row>
    <row r="15354" spans="16:20">
      <c r="P15354" s="1094">
        <v>6640</v>
      </c>
      <c r="Q15354" t="s">
        <v>15178</v>
      </c>
      <c r="R15354" t="s">
        <v>480</v>
      </c>
      <c r="S15354">
        <v>117.674648</v>
      </c>
      <c r="T15354" s="1095">
        <v>-27.003198999999999</v>
      </c>
    </row>
    <row r="15355" spans="16:20">
      <c r="P15355" s="1094">
        <v>6640</v>
      </c>
      <c r="Q15355" t="s">
        <v>15179</v>
      </c>
      <c r="R15355" t="s">
        <v>480</v>
      </c>
      <c r="S15355">
        <v>117.674648</v>
      </c>
      <c r="T15355" s="1095">
        <v>-27.003198999999999</v>
      </c>
    </row>
    <row r="15356" spans="16:20">
      <c r="P15356" s="1094">
        <v>6640</v>
      </c>
      <c r="Q15356" t="s">
        <v>15180</v>
      </c>
      <c r="R15356" t="s">
        <v>480</v>
      </c>
      <c r="S15356">
        <v>117.674648</v>
      </c>
      <c r="T15356" s="1095">
        <v>-27.003198999999999</v>
      </c>
    </row>
    <row r="15357" spans="16:20">
      <c r="P15357" s="1094">
        <v>6640</v>
      </c>
      <c r="Q15357" t="s">
        <v>15181</v>
      </c>
      <c r="R15357" t="s">
        <v>480</v>
      </c>
      <c r="S15357">
        <v>117.674648</v>
      </c>
      <c r="T15357" s="1095">
        <v>-27.003198999999999</v>
      </c>
    </row>
    <row r="15358" spans="16:20">
      <c r="P15358" s="1094">
        <v>6640</v>
      </c>
      <c r="Q15358" t="s">
        <v>15182</v>
      </c>
      <c r="R15358" t="s">
        <v>480</v>
      </c>
      <c r="S15358">
        <v>117.674648</v>
      </c>
      <c r="T15358" s="1095">
        <v>-27.003198999999999</v>
      </c>
    </row>
    <row r="15359" spans="16:20">
      <c r="P15359" s="1094">
        <v>6642</v>
      </c>
      <c r="Q15359" t="s">
        <v>15183</v>
      </c>
      <c r="R15359" t="s">
        <v>480</v>
      </c>
      <c r="S15359">
        <v>118.554936</v>
      </c>
      <c r="T15359" s="1095">
        <v>-25.639378000000001</v>
      </c>
    </row>
    <row r="15360" spans="16:20">
      <c r="P15360" s="1094">
        <v>6642</v>
      </c>
      <c r="Q15360" t="s">
        <v>15184</v>
      </c>
      <c r="R15360" t="s">
        <v>480</v>
      </c>
      <c r="S15360">
        <v>118.554936</v>
      </c>
      <c r="T15360" s="1095">
        <v>-25.639378000000001</v>
      </c>
    </row>
    <row r="15361" spans="16:20">
      <c r="P15361" s="1094">
        <v>6642</v>
      </c>
      <c r="Q15361" t="s">
        <v>15185</v>
      </c>
      <c r="R15361" t="s">
        <v>480</v>
      </c>
      <c r="S15361">
        <v>118.554936</v>
      </c>
      <c r="T15361" s="1095">
        <v>-25.639378000000001</v>
      </c>
    </row>
    <row r="15362" spans="16:20">
      <c r="P15362" s="1094">
        <v>6642</v>
      </c>
      <c r="Q15362" t="s">
        <v>15186</v>
      </c>
      <c r="R15362" t="s">
        <v>480</v>
      </c>
      <c r="S15362">
        <v>118.554936</v>
      </c>
      <c r="T15362" s="1095">
        <v>-25.639378000000001</v>
      </c>
    </row>
    <row r="15363" spans="16:20">
      <c r="P15363" s="1094">
        <v>6642</v>
      </c>
      <c r="Q15363" t="s">
        <v>6241</v>
      </c>
      <c r="R15363" t="s">
        <v>480</v>
      </c>
      <c r="S15363">
        <v>118.554936</v>
      </c>
      <c r="T15363" s="1095">
        <v>-25.639378000000001</v>
      </c>
    </row>
    <row r="15364" spans="16:20">
      <c r="P15364" s="1094">
        <v>6646</v>
      </c>
      <c r="Q15364" t="s">
        <v>15187</v>
      </c>
      <c r="R15364" t="s">
        <v>480</v>
      </c>
      <c r="S15364">
        <v>121.214907</v>
      </c>
      <c r="T15364" s="1095">
        <v>-25.912724000000001</v>
      </c>
    </row>
    <row r="15365" spans="16:20">
      <c r="P15365" s="1094">
        <v>6646</v>
      </c>
      <c r="Q15365" t="s">
        <v>15188</v>
      </c>
      <c r="R15365" t="s">
        <v>480</v>
      </c>
      <c r="S15365">
        <v>121.214907</v>
      </c>
      <c r="T15365" s="1095">
        <v>-25.912724000000001</v>
      </c>
    </row>
    <row r="15366" spans="16:20">
      <c r="P15366" s="1094">
        <v>6646</v>
      </c>
      <c r="Q15366" t="s">
        <v>15189</v>
      </c>
      <c r="R15366" t="s">
        <v>480</v>
      </c>
      <c r="S15366">
        <v>121.214907</v>
      </c>
      <c r="T15366" s="1095">
        <v>-25.912724000000001</v>
      </c>
    </row>
    <row r="15367" spans="16:20">
      <c r="P15367" s="1094">
        <v>6701</v>
      </c>
      <c r="Q15367" t="s">
        <v>15190</v>
      </c>
      <c r="R15367" t="s">
        <v>480</v>
      </c>
      <c r="S15367">
        <v>115.15197999999999</v>
      </c>
      <c r="T15367" s="1095">
        <v>-24.734545000000001</v>
      </c>
    </row>
    <row r="15368" spans="16:20">
      <c r="P15368" s="1094">
        <v>6701</v>
      </c>
      <c r="Q15368" t="s">
        <v>15191</v>
      </c>
      <c r="R15368" t="s">
        <v>480</v>
      </c>
      <c r="S15368">
        <v>115.15197999999999</v>
      </c>
      <c r="T15368" s="1095">
        <v>-24.734545000000001</v>
      </c>
    </row>
    <row r="15369" spans="16:20">
      <c r="P15369" s="1094">
        <v>6701</v>
      </c>
      <c r="Q15369" t="s">
        <v>15192</v>
      </c>
      <c r="R15369" t="s">
        <v>480</v>
      </c>
      <c r="S15369">
        <v>115.15197999999999</v>
      </c>
      <c r="T15369" s="1095">
        <v>-24.734545000000001</v>
      </c>
    </row>
    <row r="15370" spans="16:20">
      <c r="P15370" s="1094">
        <v>6701</v>
      </c>
      <c r="Q15370" t="s">
        <v>15193</v>
      </c>
      <c r="R15370" t="s">
        <v>480</v>
      </c>
      <c r="S15370">
        <v>115.15197999999999</v>
      </c>
      <c r="T15370" s="1095">
        <v>-24.734545000000001</v>
      </c>
    </row>
    <row r="15371" spans="16:20">
      <c r="P15371" s="1094">
        <v>6701</v>
      </c>
      <c r="Q15371" t="s">
        <v>15194</v>
      </c>
      <c r="R15371" t="s">
        <v>480</v>
      </c>
      <c r="S15371">
        <v>115.15197999999999</v>
      </c>
      <c r="T15371" s="1095">
        <v>-24.734545000000001</v>
      </c>
    </row>
    <row r="15372" spans="16:20">
      <c r="P15372" s="1094">
        <v>6701</v>
      </c>
      <c r="Q15372" t="s">
        <v>15195</v>
      </c>
      <c r="R15372" t="s">
        <v>480</v>
      </c>
      <c r="S15372">
        <v>115.15197999999999</v>
      </c>
      <c r="T15372" s="1095">
        <v>-24.734545000000001</v>
      </c>
    </row>
    <row r="15373" spans="16:20">
      <c r="P15373" s="1094">
        <v>6701</v>
      </c>
      <c r="Q15373" t="s">
        <v>15196</v>
      </c>
      <c r="R15373" t="s">
        <v>480</v>
      </c>
      <c r="S15373">
        <v>115.15197999999999</v>
      </c>
      <c r="T15373" s="1095">
        <v>-24.734545000000001</v>
      </c>
    </row>
    <row r="15374" spans="16:20">
      <c r="P15374" s="1094">
        <v>6701</v>
      </c>
      <c r="Q15374" t="s">
        <v>15197</v>
      </c>
      <c r="R15374" t="s">
        <v>480</v>
      </c>
      <c r="S15374">
        <v>115.15197999999999</v>
      </c>
      <c r="T15374" s="1095">
        <v>-24.734545000000001</v>
      </c>
    </row>
    <row r="15375" spans="16:20">
      <c r="P15375" s="1094">
        <v>6701</v>
      </c>
      <c r="Q15375" t="s">
        <v>15198</v>
      </c>
      <c r="R15375" t="s">
        <v>480</v>
      </c>
      <c r="S15375">
        <v>115.15197999999999</v>
      </c>
      <c r="T15375" s="1095">
        <v>-24.734545000000001</v>
      </c>
    </row>
    <row r="15376" spans="16:20">
      <c r="P15376" s="1094">
        <v>6701</v>
      </c>
      <c r="Q15376" t="s">
        <v>15199</v>
      </c>
      <c r="R15376" t="s">
        <v>480</v>
      </c>
      <c r="S15376">
        <v>115.15197999999999</v>
      </c>
      <c r="T15376" s="1095">
        <v>-24.734545000000001</v>
      </c>
    </row>
    <row r="15377" spans="16:20">
      <c r="P15377" s="1094">
        <v>6701</v>
      </c>
      <c r="Q15377" t="s">
        <v>15200</v>
      </c>
      <c r="R15377" t="s">
        <v>480</v>
      </c>
      <c r="S15377">
        <v>115.15197999999999</v>
      </c>
      <c r="T15377" s="1095">
        <v>-24.734545000000001</v>
      </c>
    </row>
    <row r="15378" spans="16:20">
      <c r="P15378" s="1094">
        <v>6701</v>
      </c>
      <c r="Q15378" t="s">
        <v>15201</v>
      </c>
      <c r="R15378" t="s">
        <v>480</v>
      </c>
      <c r="S15378">
        <v>115.15197999999999</v>
      </c>
      <c r="T15378" s="1095">
        <v>-24.734545000000001</v>
      </c>
    </row>
    <row r="15379" spans="16:20">
      <c r="P15379" s="1094">
        <v>6701</v>
      </c>
      <c r="Q15379" t="s">
        <v>15202</v>
      </c>
      <c r="R15379" t="s">
        <v>480</v>
      </c>
      <c r="S15379">
        <v>115.15197999999999</v>
      </c>
      <c r="T15379" s="1095">
        <v>-24.734545000000001</v>
      </c>
    </row>
    <row r="15380" spans="16:20">
      <c r="P15380" s="1094">
        <v>6701</v>
      </c>
      <c r="Q15380" t="s">
        <v>1780</v>
      </c>
      <c r="R15380" t="s">
        <v>480</v>
      </c>
      <c r="S15380">
        <v>115.15197999999999</v>
      </c>
      <c r="T15380" s="1095">
        <v>-24.734545000000001</v>
      </c>
    </row>
    <row r="15381" spans="16:20">
      <c r="P15381" s="1094">
        <v>6701</v>
      </c>
      <c r="Q15381" t="s">
        <v>15203</v>
      </c>
      <c r="R15381" t="s">
        <v>480</v>
      </c>
      <c r="S15381">
        <v>115.15197999999999</v>
      </c>
      <c r="T15381" s="1095">
        <v>-24.734545000000001</v>
      </c>
    </row>
    <row r="15382" spans="16:20">
      <c r="P15382" s="1094">
        <v>6701</v>
      </c>
      <c r="Q15382" t="s">
        <v>6531</v>
      </c>
      <c r="R15382" t="s">
        <v>480</v>
      </c>
      <c r="S15382">
        <v>115.15197999999999</v>
      </c>
      <c r="T15382" s="1095">
        <v>-24.734545000000001</v>
      </c>
    </row>
    <row r="15383" spans="16:20">
      <c r="P15383" s="1094">
        <v>6701</v>
      </c>
      <c r="Q15383" t="s">
        <v>15204</v>
      </c>
      <c r="R15383" t="s">
        <v>480</v>
      </c>
      <c r="S15383">
        <v>115.15197999999999</v>
      </c>
      <c r="T15383" s="1095">
        <v>-24.734545000000001</v>
      </c>
    </row>
    <row r="15384" spans="16:20">
      <c r="P15384" s="1094">
        <v>6701</v>
      </c>
      <c r="Q15384" t="s">
        <v>15205</v>
      </c>
      <c r="R15384" t="s">
        <v>480</v>
      </c>
      <c r="S15384">
        <v>115.15197999999999</v>
      </c>
      <c r="T15384" s="1095">
        <v>-24.734545000000001</v>
      </c>
    </row>
    <row r="15385" spans="16:20">
      <c r="P15385" s="1094">
        <v>6701</v>
      </c>
      <c r="Q15385" t="s">
        <v>15206</v>
      </c>
      <c r="R15385" t="s">
        <v>480</v>
      </c>
      <c r="S15385">
        <v>115.15197999999999</v>
      </c>
      <c r="T15385" s="1095">
        <v>-24.734545000000001</v>
      </c>
    </row>
    <row r="15386" spans="16:20">
      <c r="P15386" s="1094">
        <v>6701</v>
      </c>
      <c r="Q15386" t="s">
        <v>15207</v>
      </c>
      <c r="R15386" t="s">
        <v>480</v>
      </c>
      <c r="S15386">
        <v>115.15197999999999</v>
      </c>
      <c r="T15386" s="1095">
        <v>-24.734545000000001</v>
      </c>
    </row>
    <row r="15387" spans="16:20">
      <c r="P15387" s="1094">
        <v>6701</v>
      </c>
      <c r="Q15387" t="s">
        <v>15208</v>
      </c>
      <c r="R15387" t="s">
        <v>480</v>
      </c>
      <c r="S15387">
        <v>115.15197999999999</v>
      </c>
      <c r="T15387" s="1095">
        <v>-24.734545000000001</v>
      </c>
    </row>
    <row r="15388" spans="16:20">
      <c r="P15388" s="1094">
        <v>6701</v>
      </c>
      <c r="Q15388" t="s">
        <v>15209</v>
      </c>
      <c r="R15388" t="s">
        <v>480</v>
      </c>
      <c r="S15388">
        <v>115.15197999999999</v>
      </c>
      <c r="T15388" s="1095">
        <v>-24.734545000000001</v>
      </c>
    </row>
    <row r="15389" spans="16:20">
      <c r="P15389" s="1094">
        <v>6701</v>
      </c>
      <c r="Q15389" t="s">
        <v>15210</v>
      </c>
      <c r="R15389" t="s">
        <v>480</v>
      </c>
      <c r="S15389">
        <v>115.15197999999999</v>
      </c>
      <c r="T15389" s="1095">
        <v>-24.734545000000001</v>
      </c>
    </row>
    <row r="15390" spans="16:20">
      <c r="P15390" s="1094">
        <v>6701</v>
      </c>
      <c r="Q15390" t="s">
        <v>15211</v>
      </c>
      <c r="R15390" t="s">
        <v>480</v>
      </c>
      <c r="S15390">
        <v>115.15197999999999</v>
      </c>
      <c r="T15390" s="1095">
        <v>-24.734545000000001</v>
      </c>
    </row>
    <row r="15391" spans="16:20">
      <c r="P15391" s="1094">
        <v>6701</v>
      </c>
      <c r="Q15391" t="s">
        <v>15212</v>
      </c>
      <c r="R15391" t="s">
        <v>480</v>
      </c>
      <c r="S15391">
        <v>115.15197999999999</v>
      </c>
      <c r="T15391" s="1095">
        <v>-24.734545000000001</v>
      </c>
    </row>
    <row r="15392" spans="16:20">
      <c r="P15392" s="1094">
        <v>6701</v>
      </c>
      <c r="Q15392" t="s">
        <v>9155</v>
      </c>
      <c r="R15392" t="s">
        <v>480</v>
      </c>
      <c r="S15392">
        <v>115.15197999999999</v>
      </c>
      <c r="T15392" s="1095">
        <v>-24.734545000000001</v>
      </c>
    </row>
    <row r="15393" spans="16:20">
      <c r="P15393" s="1094">
        <v>6701</v>
      </c>
      <c r="Q15393" t="s">
        <v>15213</v>
      </c>
      <c r="R15393" t="s">
        <v>480</v>
      </c>
      <c r="S15393">
        <v>115.15197999999999</v>
      </c>
      <c r="T15393" s="1095">
        <v>-24.734545000000001</v>
      </c>
    </row>
    <row r="15394" spans="16:20">
      <c r="P15394" s="1094">
        <v>6701</v>
      </c>
      <c r="Q15394" t="s">
        <v>15214</v>
      </c>
      <c r="R15394" t="s">
        <v>480</v>
      </c>
      <c r="S15394">
        <v>115.15197999999999</v>
      </c>
      <c r="T15394" s="1095">
        <v>-24.734545000000001</v>
      </c>
    </row>
    <row r="15395" spans="16:20">
      <c r="P15395" s="1094">
        <v>6701</v>
      </c>
      <c r="Q15395" t="s">
        <v>15215</v>
      </c>
      <c r="R15395" t="s">
        <v>480</v>
      </c>
      <c r="S15395">
        <v>115.15197999999999</v>
      </c>
      <c r="T15395" s="1095">
        <v>-24.734545000000001</v>
      </c>
    </row>
    <row r="15396" spans="16:20">
      <c r="P15396" s="1094">
        <v>6705</v>
      </c>
      <c r="Q15396" t="s">
        <v>15216</v>
      </c>
      <c r="R15396" t="s">
        <v>480</v>
      </c>
      <c r="S15396">
        <v>115.011494</v>
      </c>
      <c r="T15396" s="1095">
        <v>-25.111288999999999</v>
      </c>
    </row>
    <row r="15397" spans="16:20">
      <c r="P15397" s="1094">
        <v>6705</v>
      </c>
      <c r="Q15397" t="s">
        <v>15217</v>
      </c>
      <c r="R15397" t="s">
        <v>480</v>
      </c>
      <c r="S15397">
        <v>115.011494</v>
      </c>
      <c r="T15397" s="1095">
        <v>-25.111288999999999</v>
      </c>
    </row>
    <row r="15398" spans="16:20">
      <c r="P15398" s="1094">
        <v>6705</v>
      </c>
      <c r="Q15398" t="s">
        <v>15218</v>
      </c>
      <c r="R15398" t="s">
        <v>480</v>
      </c>
      <c r="S15398">
        <v>115.011494</v>
      </c>
      <c r="T15398" s="1095">
        <v>-25.111288999999999</v>
      </c>
    </row>
    <row r="15399" spans="16:20">
      <c r="P15399" s="1094">
        <v>6705</v>
      </c>
      <c r="Q15399" t="s">
        <v>15219</v>
      </c>
      <c r="R15399" t="s">
        <v>480</v>
      </c>
      <c r="S15399">
        <v>115.011494</v>
      </c>
      <c r="T15399" s="1095">
        <v>-25.111288999999999</v>
      </c>
    </row>
    <row r="15400" spans="16:20">
      <c r="P15400" s="1094">
        <v>6707</v>
      </c>
      <c r="Q15400" t="s">
        <v>15220</v>
      </c>
      <c r="R15400" t="s">
        <v>480</v>
      </c>
      <c r="S15400">
        <v>113.954791</v>
      </c>
      <c r="T15400" s="1095">
        <v>-22.265028000000001</v>
      </c>
    </row>
    <row r="15401" spans="16:20">
      <c r="P15401" s="1094">
        <v>6707</v>
      </c>
      <c r="Q15401" t="s">
        <v>15221</v>
      </c>
      <c r="R15401" t="s">
        <v>480</v>
      </c>
      <c r="S15401">
        <v>113.954791</v>
      </c>
      <c r="T15401" s="1095">
        <v>-22.265028000000001</v>
      </c>
    </row>
    <row r="15402" spans="16:20">
      <c r="P15402" s="1094">
        <v>6707</v>
      </c>
      <c r="Q15402" t="s">
        <v>15222</v>
      </c>
      <c r="R15402" t="s">
        <v>480</v>
      </c>
      <c r="S15402">
        <v>113.954791</v>
      </c>
      <c r="T15402" s="1095">
        <v>-22.265028000000001</v>
      </c>
    </row>
    <row r="15403" spans="16:20">
      <c r="P15403" s="1094">
        <v>6707</v>
      </c>
      <c r="Q15403" t="s">
        <v>7308</v>
      </c>
      <c r="R15403" t="s">
        <v>480</v>
      </c>
      <c r="S15403">
        <v>113.954791</v>
      </c>
      <c r="T15403" s="1095">
        <v>-22.265028000000001</v>
      </c>
    </row>
    <row r="15404" spans="16:20">
      <c r="P15404" s="1094">
        <v>6707</v>
      </c>
      <c r="Q15404" t="s">
        <v>15223</v>
      </c>
      <c r="R15404" t="s">
        <v>480</v>
      </c>
      <c r="S15404">
        <v>113.954791</v>
      </c>
      <c r="T15404" s="1095">
        <v>-22.265028000000001</v>
      </c>
    </row>
    <row r="15405" spans="16:20">
      <c r="P15405" s="1094">
        <v>6710</v>
      </c>
      <c r="Q15405" t="s">
        <v>15224</v>
      </c>
      <c r="R15405" t="s">
        <v>480</v>
      </c>
      <c r="S15405">
        <v>115.44896799999999</v>
      </c>
      <c r="T15405" s="1095">
        <v>-22.133455999999999</v>
      </c>
    </row>
    <row r="15406" spans="16:20">
      <c r="P15406" s="1094">
        <v>6710</v>
      </c>
      <c r="Q15406" t="s">
        <v>15225</v>
      </c>
      <c r="R15406" t="s">
        <v>480</v>
      </c>
      <c r="S15406">
        <v>115.44896799999999</v>
      </c>
      <c r="T15406" s="1095">
        <v>-22.133455999999999</v>
      </c>
    </row>
    <row r="15407" spans="16:20">
      <c r="P15407" s="1094">
        <v>6710</v>
      </c>
      <c r="Q15407" t="s">
        <v>15226</v>
      </c>
      <c r="R15407" t="s">
        <v>480</v>
      </c>
      <c r="S15407">
        <v>115.44896799999999</v>
      </c>
      <c r="T15407" s="1095">
        <v>-22.133455999999999</v>
      </c>
    </row>
    <row r="15408" spans="16:20">
      <c r="P15408" s="1094">
        <v>6710</v>
      </c>
      <c r="Q15408" t="s">
        <v>15227</v>
      </c>
      <c r="R15408" t="s">
        <v>480</v>
      </c>
      <c r="S15408">
        <v>115.44896799999999</v>
      </c>
      <c r="T15408" s="1095">
        <v>-22.133455999999999</v>
      </c>
    </row>
    <row r="15409" spans="16:20">
      <c r="P15409" s="1094">
        <v>6710</v>
      </c>
      <c r="Q15409" t="s">
        <v>15228</v>
      </c>
      <c r="R15409" t="s">
        <v>480</v>
      </c>
      <c r="S15409">
        <v>115.44896799999999</v>
      </c>
      <c r="T15409" s="1095">
        <v>-22.133455999999999</v>
      </c>
    </row>
    <row r="15410" spans="16:20">
      <c r="P15410" s="1094">
        <v>6711</v>
      </c>
      <c r="Q15410" t="s">
        <v>15229</v>
      </c>
      <c r="R15410" t="s">
        <v>480</v>
      </c>
      <c r="S15410">
        <v>115.001086</v>
      </c>
      <c r="T15410" s="1095">
        <v>-21.461933999999999</v>
      </c>
    </row>
    <row r="15411" spans="16:20">
      <c r="P15411" s="1094">
        <v>6712</v>
      </c>
      <c r="Q15411" t="s">
        <v>15230</v>
      </c>
      <c r="R15411" t="s">
        <v>480</v>
      </c>
      <c r="S15411">
        <v>115.407335</v>
      </c>
      <c r="T15411" s="1095">
        <v>-20.785813000000001</v>
      </c>
    </row>
    <row r="15412" spans="16:20">
      <c r="P15412" s="1094">
        <v>6713</v>
      </c>
      <c r="Q15412" t="s">
        <v>15231</v>
      </c>
      <c r="R15412" t="s">
        <v>480</v>
      </c>
      <c r="S15412">
        <v>116.709548</v>
      </c>
      <c r="T15412" s="1095">
        <v>-20.676313</v>
      </c>
    </row>
    <row r="15413" spans="16:20">
      <c r="P15413" s="1094">
        <v>6713</v>
      </c>
      <c r="Q15413" t="s">
        <v>15232</v>
      </c>
      <c r="R15413" t="s">
        <v>480</v>
      </c>
      <c r="S15413">
        <v>116.709548</v>
      </c>
      <c r="T15413" s="1095">
        <v>-20.676313</v>
      </c>
    </row>
    <row r="15414" spans="16:20">
      <c r="P15414" s="1094">
        <v>6714</v>
      </c>
      <c r="Q15414" t="s">
        <v>15233</v>
      </c>
      <c r="R15414" t="s">
        <v>480</v>
      </c>
      <c r="S15414">
        <v>116.34993299999999</v>
      </c>
      <c r="T15414" s="1095">
        <v>-21.145063</v>
      </c>
    </row>
    <row r="15415" spans="16:20">
      <c r="P15415" s="1094">
        <v>6714</v>
      </c>
      <c r="Q15415" t="s">
        <v>15234</v>
      </c>
      <c r="R15415" t="s">
        <v>480</v>
      </c>
      <c r="S15415">
        <v>116.34993299999999</v>
      </c>
      <c r="T15415" s="1095">
        <v>-21.145063</v>
      </c>
    </row>
    <row r="15416" spans="16:20">
      <c r="P15416" s="1094">
        <v>6714</v>
      </c>
      <c r="Q15416" t="s">
        <v>7602</v>
      </c>
      <c r="R15416" t="s">
        <v>480</v>
      </c>
      <c r="S15416">
        <v>116.34993299999999</v>
      </c>
      <c r="T15416" s="1095">
        <v>-21.145063</v>
      </c>
    </row>
    <row r="15417" spans="16:20">
      <c r="P15417" s="1094">
        <v>6714</v>
      </c>
      <c r="Q15417" t="s">
        <v>15235</v>
      </c>
      <c r="R15417" t="s">
        <v>480</v>
      </c>
      <c r="S15417">
        <v>116.34993299999999</v>
      </c>
      <c r="T15417" s="1095">
        <v>-21.145063</v>
      </c>
    </row>
    <row r="15418" spans="16:20">
      <c r="P15418" s="1094">
        <v>6714</v>
      </c>
      <c r="Q15418" t="s">
        <v>15236</v>
      </c>
      <c r="R15418" t="s">
        <v>480</v>
      </c>
      <c r="S15418">
        <v>116.34993299999999</v>
      </c>
      <c r="T15418" s="1095">
        <v>-21.145063</v>
      </c>
    </row>
    <row r="15419" spans="16:20">
      <c r="P15419" s="1094">
        <v>6714</v>
      </c>
      <c r="Q15419" t="s">
        <v>15237</v>
      </c>
      <c r="R15419" t="s">
        <v>480</v>
      </c>
      <c r="S15419">
        <v>116.34993299999999</v>
      </c>
      <c r="T15419" s="1095">
        <v>-21.145063</v>
      </c>
    </row>
    <row r="15420" spans="16:20">
      <c r="P15420" s="1094">
        <v>6714</v>
      </c>
      <c r="Q15420" t="s">
        <v>15238</v>
      </c>
      <c r="R15420" t="s">
        <v>480</v>
      </c>
      <c r="S15420">
        <v>116.34993299999999</v>
      </c>
      <c r="T15420" s="1095">
        <v>-21.145063</v>
      </c>
    </row>
    <row r="15421" spans="16:20">
      <c r="P15421" s="1094">
        <v>6714</v>
      </c>
      <c r="Q15421" t="s">
        <v>15239</v>
      </c>
      <c r="R15421" t="s">
        <v>480</v>
      </c>
      <c r="S15421">
        <v>116.34993299999999</v>
      </c>
      <c r="T15421" s="1095">
        <v>-21.145063</v>
      </c>
    </row>
    <row r="15422" spans="16:20">
      <c r="P15422" s="1094">
        <v>6714</v>
      </c>
      <c r="Q15422" t="s">
        <v>15240</v>
      </c>
      <c r="R15422" t="s">
        <v>480</v>
      </c>
      <c r="S15422">
        <v>116.34993299999999</v>
      </c>
      <c r="T15422" s="1095">
        <v>-21.145063</v>
      </c>
    </row>
    <row r="15423" spans="16:20">
      <c r="P15423" s="1094">
        <v>6714</v>
      </c>
      <c r="Q15423" t="s">
        <v>15241</v>
      </c>
      <c r="R15423" t="s">
        <v>480</v>
      </c>
      <c r="S15423">
        <v>116.34993299999999</v>
      </c>
      <c r="T15423" s="1095">
        <v>-21.145063</v>
      </c>
    </row>
    <row r="15424" spans="16:20">
      <c r="P15424" s="1094">
        <v>6714</v>
      </c>
      <c r="Q15424" t="s">
        <v>15242</v>
      </c>
      <c r="R15424" t="s">
        <v>480</v>
      </c>
      <c r="S15424">
        <v>116.34993299999999</v>
      </c>
      <c r="T15424" s="1095">
        <v>-21.145063</v>
      </c>
    </row>
    <row r="15425" spans="16:20">
      <c r="P15425" s="1094">
        <v>6714</v>
      </c>
      <c r="Q15425" t="s">
        <v>2598</v>
      </c>
      <c r="R15425" t="s">
        <v>480</v>
      </c>
      <c r="S15425">
        <v>116.34993299999999</v>
      </c>
      <c r="T15425" s="1095">
        <v>-21.145063</v>
      </c>
    </row>
    <row r="15426" spans="16:20">
      <c r="P15426" s="1094">
        <v>6714</v>
      </c>
      <c r="Q15426" t="s">
        <v>15243</v>
      </c>
      <c r="R15426" t="s">
        <v>480</v>
      </c>
      <c r="S15426">
        <v>116.34993299999999</v>
      </c>
      <c r="T15426" s="1095">
        <v>-21.145063</v>
      </c>
    </row>
    <row r="15427" spans="16:20">
      <c r="P15427" s="1094">
        <v>6714</v>
      </c>
      <c r="Q15427" t="s">
        <v>15244</v>
      </c>
      <c r="R15427" t="s">
        <v>480</v>
      </c>
      <c r="S15427">
        <v>116.34993299999999</v>
      </c>
      <c r="T15427" s="1095">
        <v>-21.145063</v>
      </c>
    </row>
    <row r="15428" spans="16:20">
      <c r="P15428" s="1094">
        <v>6714</v>
      </c>
      <c r="Q15428" t="s">
        <v>15245</v>
      </c>
      <c r="R15428" t="s">
        <v>480</v>
      </c>
      <c r="S15428">
        <v>116.34993299999999</v>
      </c>
      <c r="T15428" s="1095">
        <v>-21.145063</v>
      </c>
    </row>
    <row r="15429" spans="16:20">
      <c r="P15429" s="1094">
        <v>6714</v>
      </c>
      <c r="Q15429" t="s">
        <v>15246</v>
      </c>
      <c r="R15429" t="s">
        <v>480</v>
      </c>
      <c r="S15429">
        <v>116.34993299999999</v>
      </c>
      <c r="T15429" s="1095">
        <v>-21.145063</v>
      </c>
    </row>
    <row r="15430" spans="16:20">
      <c r="P15430" s="1094">
        <v>6714</v>
      </c>
      <c r="Q15430" t="s">
        <v>15247</v>
      </c>
      <c r="R15430" t="s">
        <v>480</v>
      </c>
      <c r="S15430">
        <v>116.34993299999999</v>
      </c>
      <c r="T15430" s="1095">
        <v>-21.145063</v>
      </c>
    </row>
    <row r="15431" spans="16:20">
      <c r="P15431" s="1094">
        <v>6714</v>
      </c>
      <c r="Q15431" t="s">
        <v>15248</v>
      </c>
      <c r="R15431" t="s">
        <v>480</v>
      </c>
      <c r="S15431">
        <v>116.34993299999999</v>
      </c>
      <c r="T15431" s="1095">
        <v>-21.145063</v>
      </c>
    </row>
    <row r="15432" spans="16:20">
      <c r="P15432" s="1094">
        <v>6714</v>
      </c>
      <c r="Q15432" t="s">
        <v>13161</v>
      </c>
      <c r="R15432" t="s">
        <v>480</v>
      </c>
      <c r="S15432">
        <v>116.34993299999999</v>
      </c>
      <c r="T15432" s="1095">
        <v>-21.145063</v>
      </c>
    </row>
    <row r="15433" spans="16:20">
      <c r="P15433" s="1094">
        <v>6714</v>
      </c>
      <c r="Q15433" t="s">
        <v>15249</v>
      </c>
      <c r="R15433" t="s">
        <v>480</v>
      </c>
      <c r="S15433">
        <v>116.34993299999999</v>
      </c>
      <c r="T15433" s="1095">
        <v>-21.145063</v>
      </c>
    </row>
    <row r="15434" spans="16:20">
      <c r="P15434" s="1094">
        <v>6716</v>
      </c>
      <c r="Q15434" t="s">
        <v>15250</v>
      </c>
      <c r="R15434" t="s">
        <v>480</v>
      </c>
      <c r="S15434">
        <v>116.31198500000001</v>
      </c>
      <c r="T15434" s="1095">
        <v>-21.605319000000001</v>
      </c>
    </row>
    <row r="15435" spans="16:20">
      <c r="P15435" s="1094">
        <v>6716</v>
      </c>
      <c r="Q15435" t="s">
        <v>15251</v>
      </c>
      <c r="R15435" t="s">
        <v>480</v>
      </c>
      <c r="S15435">
        <v>116.31198500000001</v>
      </c>
      <c r="T15435" s="1095">
        <v>-21.605319000000001</v>
      </c>
    </row>
    <row r="15436" spans="16:20">
      <c r="P15436" s="1094">
        <v>6716</v>
      </c>
      <c r="Q15436" t="s">
        <v>12387</v>
      </c>
      <c r="R15436" t="s">
        <v>480</v>
      </c>
      <c r="S15436">
        <v>116.31198500000001</v>
      </c>
      <c r="T15436" s="1095">
        <v>-21.605319000000001</v>
      </c>
    </row>
    <row r="15437" spans="16:20">
      <c r="P15437" s="1094">
        <v>6716</v>
      </c>
      <c r="Q15437" t="s">
        <v>15252</v>
      </c>
      <c r="R15437" t="s">
        <v>480</v>
      </c>
      <c r="S15437">
        <v>116.31198500000001</v>
      </c>
      <c r="T15437" s="1095">
        <v>-21.605319000000001</v>
      </c>
    </row>
    <row r="15438" spans="16:20">
      <c r="P15438" s="1094">
        <v>6718</v>
      </c>
      <c r="Q15438" t="s">
        <v>15253</v>
      </c>
      <c r="R15438" t="s">
        <v>480</v>
      </c>
      <c r="S15438">
        <v>117.74096900000001</v>
      </c>
      <c r="T15438" s="1095">
        <v>-20.971499000000001</v>
      </c>
    </row>
    <row r="15439" spans="16:20">
      <c r="P15439" s="1094">
        <v>6718</v>
      </c>
      <c r="Q15439" t="s">
        <v>15254</v>
      </c>
      <c r="R15439" t="s">
        <v>480</v>
      </c>
      <c r="S15439">
        <v>117.74096900000001</v>
      </c>
      <c r="T15439" s="1095">
        <v>-20.971499000000001</v>
      </c>
    </row>
    <row r="15440" spans="16:20">
      <c r="P15440" s="1094">
        <v>6720</v>
      </c>
      <c r="Q15440" t="s">
        <v>15255</v>
      </c>
      <c r="R15440" t="s">
        <v>480</v>
      </c>
      <c r="S15440">
        <v>117.06761400000001</v>
      </c>
      <c r="T15440" s="1095">
        <v>-20.699287999999999</v>
      </c>
    </row>
    <row r="15441" spans="16:20">
      <c r="P15441" s="1094">
        <v>6720</v>
      </c>
      <c r="Q15441" t="s">
        <v>15256</v>
      </c>
      <c r="R15441" t="s">
        <v>480</v>
      </c>
      <c r="S15441">
        <v>117.06761400000001</v>
      </c>
      <c r="T15441" s="1095">
        <v>-20.699287999999999</v>
      </c>
    </row>
    <row r="15442" spans="16:20">
      <c r="P15442" s="1094">
        <v>6720</v>
      </c>
      <c r="Q15442" t="s">
        <v>2513</v>
      </c>
      <c r="R15442" t="s">
        <v>480</v>
      </c>
      <c r="S15442">
        <v>117.06761400000001</v>
      </c>
      <c r="T15442" s="1095">
        <v>-20.699287999999999</v>
      </c>
    </row>
    <row r="15443" spans="16:20">
      <c r="P15443" s="1094">
        <v>6721</v>
      </c>
      <c r="Q15443" t="s">
        <v>15257</v>
      </c>
      <c r="R15443" t="s">
        <v>480</v>
      </c>
      <c r="S15443">
        <v>118.441716</v>
      </c>
      <c r="T15443" s="1095">
        <v>-20.710799000000002</v>
      </c>
    </row>
    <row r="15444" spans="16:20">
      <c r="P15444" s="1094">
        <v>6721</v>
      </c>
      <c r="Q15444" t="s">
        <v>15258</v>
      </c>
      <c r="R15444" t="s">
        <v>480</v>
      </c>
      <c r="S15444">
        <v>118.441716</v>
      </c>
      <c r="T15444" s="1095">
        <v>-20.710799000000002</v>
      </c>
    </row>
    <row r="15445" spans="16:20">
      <c r="P15445" s="1094">
        <v>6721</v>
      </c>
      <c r="Q15445" t="s">
        <v>15259</v>
      </c>
      <c r="R15445" t="s">
        <v>480</v>
      </c>
      <c r="S15445">
        <v>118.441716</v>
      </c>
      <c r="T15445" s="1095">
        <v>-20.710799000000002</v>
      </c>
    </row>
    <row r="15446" spans="16:20">
      <c r="P15446" s="1094">
        <v>6721</v>
      </c>
      <c r="Q15446" t="s">
        <v>15260</v>
      </c>
      <c r="R15446" t="s">
        <v>480</v>
      </c>
      <c r="S15446">
        <v>118.441716</v>
      </c>
      <c r="T15446" s="1095">
        <v>-20.710799000000002</v>
      </c>
    </row>
    <row r="15447" spans="16:20">
      <c r="P15447" s="1094">
        <v>6721</v>
      </c>
      <c r="Q15447" t="s">
        <v>3574</v>
      </c>
      <c r="R15447" t="s">
        <v>480</v>
      </c>
      <c r="S15447">
        <v>118.441716</v>
      </c>
      <c r="T15447" s="1095">
        <v>-20.710799000000002</v>
      </c>
    </row>
    <row r="15448" spans="16:20">
      <c r="P15448" s="1094">
        <v>6721</v>
      </c>
      <c r="Q15448" t="s">
        <v>15261</v>
      </c>
      <c r="R15448" t="s">
        <v>480</v>
      </c>
      <c r="S15448">
        <v>118.441716</v>
      </c>
      <c r="T15448" s="1095">
        <v>-20.710799000000002</v>
      </c>
    </row>
    <row r="15449" spans="16:20">
      <c r="P15449" s="1094">
        <v>6721</v>
      </c>
      <c r="Q15449" t="s">
        <v>15262</v>
      </c>
      <c r="R15449" t="s">
        <v>480</v>
      </c>
      <c r="S15449">
        <v>118.441716</v>
      </c>
      <c r="T15449" s="1095">
        <v>-20.710799000000002</v>
      </c>
    </row>
    <row r="15450" spans="16:20">
      <c r="P15450" s="1094">
        <v>6721</v>
      </c>
      <c r="Q15450" t="s">
        <v>15263</v>
      </c>
      <c r="R15450" t="s">
        <v>480</v>
      </c>
      <c r="S15450">
        <v>118.441716</v>
      </c>
      <c r="T15450" s="1095">
        <v>-20.710799000000002</v>
      </c>
    </row>
    <row r="15451" spans="16:20">
      <c r="P15451" s="1094">
        <v>6722</v>
      </c>
      <c r="Q15451" t="s">
        <v>15264</v>
      </c>
      <c r="R15451" t="s">
        <v>480</v>
      </c>
      <c r="S15451">
        <v>118.606673</v>
      </c>
      <c r="T15451" s="1095">
        <v>-20.407852999999999</v>
      </c>
    </row>
    <row r="15452" spans="16:20">
      <c r="P15452" s="1094">
        <v>6722</v>
      </c>
      <c r="Q15452" t="s">
        <v>15265</v>
      </c>
      <c r="R15452" t="s">
        <v>480</v>
      </c>
      <c r="S15452">
        <v>118.606673</v>
      </c>
      <c r="T15452" s="1095">
        <v>-20.407852999999999</v>
      </c>
    </row>
    <row r="15453" spans="16:20">
      <c r="P15453" s="1094">
        <v>6722</v>
      </c>
      <c r="Q15453" t="s">
        <v>15266</v>
      </c>
      <c r="R15453" t="s">
        <v>480</v>
      </c>
      <c r="S15453">
        <v>118.606673</v>
      </c>
      <c r="T15453" s="1095">
        <v>-20.407852999999999</v>
      </c>
    </row>
    <row r="15454" spans="16:20">
      <c r="P15454" s="1094">
        <v>6722</v>
      </c>
      <c r="Q15454" t="s">
        <v>15267</v>
      </c>
      <c r="R15454" t="s">
        <v>480</v>
      </c>
      <c r="S15454">
        <v>118.606673</v>
      </c>
      <c r="T15454" s="1095">
        <v>-20.407852999999999</v>
      </c>
    </row>
    <row r="15455" spans="16:20">
      <c r="P15455" s="1094">
        <v>6722</v>
      </c>
      <c r="Q15455" t="s">
        <v>15268</v>
      </c>
      <c r="R15455" t="s">
        <v>480</v>
      </c>
      <c r="S15455">
        <v>118.606673</v>
      </c>
      <c r="T15455" s="1095">
        <v>-20.407852999999999</v>
      </c>
    </row>
    <row r="15456" spans="16:20">
      <c r="P15456" s="1094">
        <v>6723</v>
      </c>
      <c r="Q15456" t="s">
        <v>15269</v>
      </c>
      <c r="R15456" t="s">
        <v>480</v>
      </c>
      <c r="S15456">
        <v>119.72748799999999</v>
      </c>
      <c r="T15456" s="1095">
        <v>-20.2103</v>
      </c>
    </row>
    <row r="15457" spans="16:20">
      <c r="P15457" s="1094">
        <v>6725</v>
      </c>
      <c r="Q15457" t="s">
        <v>15270</v>
      </c>
      <c r="R15457" t="s">
        <v>480</v>
      </c>
      <c r="S15457">
        <v>122.753792</v>
      </c>
      <c r="T15457" s="1095">
        <v>-18.773364999999998</v>
      </c>
    </row>
    <row r="15458" spans="16:20">
      <c r="P15458" s="1094">
        <v>6725</v>
      </c>
      <c r="Q15458" t="s">
        <v>15271</v>
      </c>
      <c r="R15458" t="s">
        <v>480</v>
      </c>
      <c r="S15458">
        <v>122.753792</v>
      </c>
      <c r="T15458" s="1095">
        <v>-18.773364999999998</v>
      </c>
    </row>
    <row r="15459" spans="16:20">
      <c r="P15459" s="1094">
        <v>6725</v>
      </c>
      <c r="Q15459" t="s">
        <v>15272</v>
      </c>
      <c r="R15459" t="s">
        <v>480</v>
      </c>
      <c r="S15459">
        <v>122.753792</v>
      </c>
      <c r="T15459" s="1095">
        <v>-18.773364999999998</v>
      </c>
    </row>
    <row r="15460" spans="16:20">
      <c r="P15460" s="1094">
        <v>6725</v>
      </c>
      <c r="Q15460" t="s">
        <v>15273</v>
      </c>
      <c r="R15460" t="s">
        <v>480</v>
      </c>
      <c r="S15460">
        <v>122.753792</v>
      </c>
      <c r="T15460" s="1095">
        <v>-18.773364999999998</v>
      </c>
    </row>
    <row r="15461" spans="16:20">
      <c r="P15461" s="1094">
        <v>6725</v>
      </c>
      <c r="Q15461" t="s">
        <v>15274</v>
      </c>
      <c r="R15461" t="s">
        <v>480</v>
      </c>
      <c r="S15461">
        <v>122.753792</v>
      </c>
      <c r="T15461" s="1095">
        <v>-18.773364999999998</v>
      </c>
    </row>
    <row r="15462" spans="16:20">
      <c r="P15462" s="1094">
        <v>6725</v>
      </c>
      <c r="Q15462" t="s">
        <v>15275</v>
      </c>
      <c r="R15462" t="s">
        <v>480</v>
      </c>
      <c r="S15462">
        <v>122.753792</v>
      </c>
      <c r="T15462" s="1095">
        <v>-18.773364999999998</v>
      </c>
    </row>
    <row r="15463" spans="16:20">
      <c r="P15463" s="1094">
        <v>6725</v>
      </c>
      <c r="Q15463" t="s">
        <v>15276</v>
      </c>
      <c r="R15463" t="s">
        <v>480</v>
      </c>
      <c r="S15463">
        <v>122.753792</v>
      </c>
      <c r="T15463" s="1095">
        <v>-18.773364999999998</v>
      </c>
    </row>
    <row r="15464" spans="16:20">
      <c r="P15464" s="1094">
        <v>6725</v>
      </c>
      <c r="Q15464" t="s">
        <v>15277</v>
      </c>
      <c r="R15464" t="s">
        <v>480</v>
      </c>
      <c r="S15464">
        <v>122.753792</v>
      </c>
      <c r="T15464" s="1095">
        <v>-18.773364999999998</v>
      </c>
    </row>
    <row r="15465" spans="16:20">
      <c r="P15465" s="1094">
        <v>6725</v>
      </c>
      <c r="Q15465" t="s">
        <v>15278</v>
      </c>
      <c r="R15465" t="s">
        <v>480</v>
      </c>
      <c r="S15465">
        <v>122.753792</v>
      </c>
      <c r="T15465" s="1095">
        <v>-18.773364999999998</v>
      </c>
    </row>
    <row r="15466" spans="16:20">
      <c r="P15466" s="1094">
        <v>6725</v>
      </c>
      <c r="Q15466" t="s">
        <v>15279</v>
      </c>
      <c r="R15466" t="s">
        <v>480</v>
      </c>
      <c r="S15466">
        <v>122.753792</v>
      </c>
      <c r="T15466" s="1095">
        <v>-18.773364999999998</v>
      </c>
    </row>
    <row r="15467" spans="16:20">
      <c r="P15467" s="1094">
        <v>6726</v>
      </c>
      <c r="Q15467" t="s">
        <v>15280</v>
      </c>
      <c r="R15467" t="s">
        <v>480</v>
      </c>
      <c r="S15467">
        <v>0</v>
      </c>
      <c r="T15467" s="1095">
        <v>0</v>
      </c>
    </row>
    <row r="15468" spans="16:20">
      <c r="P15468" s="1094">
        <v>6728</v>
      </c>
      <c r="Q15468" t="s">
        <v>15281</v>
      </c>
      <c r="R15468" t="s">
        <v>480</v>
      </c>
      <c r="S15468">
        <v>124.591962</v>
      </c>
      <c r="T15468" s="1095">
        <v>-17.090606000000001</v>
      </c>
    </row>
    <row r="15469" spans="16:20">
      <c r="P15469" s="1094">
        <v>6728</v>
      </c>
      <c r="Q15469" t="s">
        <v>7864</v>
      </c>
      <c r="R15469" t="s">
        <v>480</v>
      </c>
      <c r="S15469">
        <v>124.591962</v>
      </c>
      <c r="T15469" s="1095">
        <v>-17.090606000000001</v>
      </c>
    </row>
    <row r="15470" spans="16:20">
      <c r="P15470" s="1094">
        <v>6728</v>
      </c>
      <c r="Q15470" t="s">
        <v>15282</v>
      </c>
      <c r="R15470" t="s">
        <v>480</v>
      </c>
      <c r="S15470">
        <v>124.591962</v>
      </c>
      <c r="T15470" s="1095">
        <v>-17.090606000000001</v>
      </c>
    </row>
    <row r="15471" spans="16:20">
      <c r="P15471" s="1094">
        <v>6728</v>
      </c>
      <c r="Q15471" t="s">
        <v>8006</v>
      </c>
      <c r="R15471" t="s">
        <v>480</v>
      </c>
      <c r="S15471">
        <v>124.591962</v>
      </c>
      <c r="T15471" s="1095">
        <v>-17.090606000000001</v>
      </c>
    </row>
    <row r="15472" spans="16:20">
      <c r="P15472" s="1094">
        <v>6728</v>
      </c>
      <c r="Q15472" t="s">
        <v>15283</v>
      </c>
      <c r="R15472" t="s">
        <v>480</v>
      </c>
      <c r="S15472">
        <v>124.591962</v>
      </c>
      <c r="T15472" s="1095">
        <v>-17.090606000000001</v>
      </c>
    </row>
    <row r="15473" spans="16:20">
      <c r="P15473" s="1094">
        <v>6728</v>
      </c>
      <c r="Q15473" t="s">
        <v>15284</v>
      </c>
      <c r="R15473" t="s">
        <v>480</v>
      </c>
      <c r="S15473">
        <v>124.591962</v>
      </c>
      <c r="T15473" s="1095">
        <v>-17.090606000000001</v>
      </c>
    </row>
    <row r="15474" spans="16:20">
      <c r="P15474" s="1094">
        <v>6728</v>
      </c>
      <c r="Q15474" t="s">
        <v>15285</v>
      </c>
      <c r="R15474" t="s">
        <v>480</v>
      </c>
      <c r="S15474">
        <v>124.591962</v>
      </c>
      <c r="T15474" s="1095">
        <v>-17.090606000000001</v>
      </c>
    </row>
    <row r="15475" spans="16:20">
      <c r="P15475" s="1094">
        <v>6728</v>
      </c>
      <c r="Q15475" t="s">
        <v>15286</v>
      </c>
      <c r="R15475" t="s">
        <v>480</v>
      </c>
      <c r="S15475">
        <v>124.591962</v>
      </c>
      <c r="T15475" s="1095">
        <v>-17.090606000000001</v>
      </c>
    </row>
    <row r="15476" spans="16:20">
      <c r="P15476" s="1094">
        <v>6731</v>
      </c>
      <c r="Q15476" t="s">
        <v>15287</v>
      </c>
      <c r="R15476" t="s">
        <v>480</v>
      </c>
      <c r="S15476">
        <v>123.610523</v>
      </c>
      <c r="T15476" s="1095">
        <v>-16.09862</v>
      </c>
    </row>
    <row r="15477" spans="16:20">
      <c r="P15477" s="1094">
        <v>6733</v>
      </c>
      <c r="Q15477" t="s">
        <v>15288</v>
      </c>
      <c r="R15477" t="s">
        <v>480</v>
      </c>
      <c r="S15477">
        <v>123.753964</v>
      </c>
      <c r="T15477" s="1095">
        <v>-16.134853</v>
      </c>
    </row>
    <row r="15478" spans="16:20">
      <c r="P15478" s="1094">
        <v>6740</v>
      </c>
      <c r="Q15478" t="s">
        <v>15289</v>
      </c>
      <c r="R15478" t="s">
        <v>480</v>
      </c>
      <c r="S15478">
        <v>128.39719199999999</v>
      </c>
      <c r="T15478" s="1095">
        <v>-14.962686</v>
      </c>
    </row>
    <row r="15479" spans="16:20">
      <c r="P15479" s="1094">
        <v>6740</v>
      </c>
      <c r="Q15479" t="s">
        <v>15290</v>
      </c>
      <c r="R15479" t="s">
        <v>480</v>
      </c>
      <c r="S15479">
        <v>128.39719199999999</v>
      </c>
      <c r="T15479" s="1095">
        <v>-14.962686</v>
      </c>
    </row>
    <row r="15480" spans="16:20">
      <c r="P15480" s="1094">
        <v>6740</v>
      </c>
      <c r="Q15480" t="s">
        <v>15291</v>
      </c>
      <c r="R15480" t="s">
        <v>480</v>
      </c>
      <c r="S15480">
        <v>128.39719199999999</v>
      </c>
      <c r="T15480" s="1095">
        <v>-14.962686</v>
      </c>
    </row>
    <row r="15481" spans="16:20">
      <c r="P15481" s="1094">
        <v>6740</v>
      </c>
      <c r="Q15481" t="s">
        <v>15292</v>
      </c>
      <c r="R15481" t="s">
        <v>480</v>
      </c>
      <c r="S15481">
        <v>128.39719199999999</v>
      </c>
      <c r="T15481" s="1095">
        <v>-14.962686</v>
      </c>
    </row>
    <row r="15482" spans="16:20">
      <c r="P15482" s="1094">
        <v>6740</v>
      </c>
      <c r="Q15482" t="s">
        <v>15293</v>
      </c>
      <c r="R15482" t="s">
        <v>480</v>
      </c>
      <c r="S15482">
        <v>128.39719199999999</v>
      </c>
      <c r="T15482" s="1095">
        <v>-14.962686</v>
      </c>
    </row>
    <row r="15483" spans="16:20">
      <c r="P15483" s="1094">
        <v>6740</v>
      </c>
      <c r="Q15483" t="s">
        <v>4489</v>
      </c>
      <c r="R15483" t="s">
        <v>480</v>
      </c>
      <c r="S15483">
        <v>128.39719199999999</v>
      </c>
      <c r="T15483" s="1095">
        <v>-14.962686</v>
      </c>
    </row>
    <row r="15484" spans="16:20">
      <c r="P15484" s="1094">
        <v>6743</v>
      </c>
      <c r="Q15484" t="s">
        <v>15294</v>
      </c>
      <c r="R15484" t="s">
        <v>480</v>
      </c>
      <c r="S15484">
        <v>129.66200799999999</v>
      </c>
      <c r="T15484" s="1095">
        <v>-17.293531999999999</v>
      </c>
    </row>
    <row r="15485" spans="16:20">
      <c r="P15485" s="1094">
        <v>6743</v>
      </c>
      <c r="Q15485" t="s">
        <v>1517</v>
      </c>
      <c r="R15485" t="s">
        <v>480</v>
      </c>
      <c r="S15485">
        <v>129.66200799999999</v>
      </c>
      <c r="T15485" s="1095">
        <v>-17.293531999999999</v>
      </c>
    </row>
    <row r="15486" spans="16:20">
      <c r="P15486" s="1094">
        <v>6743</v>
      </c>
      <c r="Q15486" t="s">
        <v>15295</v>
      </c>
      <c r="R15486" t="s">
        <v>480</v>
      </c>
      <c r="S15486">
        <v>129.66200799999999</v>
      </c>
      <c r="T15486" s="1095">
        <v>-17.293531999999999</v>
      </c>
    </row>
    <row r="15487" spans="16:20">
      <c r="P15487" s="1094">
        <v>6743</v>
      </c>
      <c r="Q15487" t="s">
        <v>15296</v>
      </c>
      <c r="R15487" t="s">
        <v>480</v>
      </c>
      <c r="S15487">
        <v>129.66200799999999</v>
      </c>
      <c r="T15487" s="1095">
        <v>-17.293531999999999</v>
      </c>
    </row>
    <row r="15488" spans="16:20">
      <c r="P15488" s="1094">
        <v>6743</v>
      </c>
      <c r="Q15488" t="s">
        <v>15297</v>
      </c>
      <c r="R15488" t="s">
        <v>480</v>
      </c>
      <c r="S15488">
        <v>129.66200799999999</v>
      </c>
      <c r="T15488" s="1095">
        <v>-17.293531999999999</v>
      </c>
    </row>
    <row r="15489" spans="16:20">
      <c r="P15489" s="1094">
        <v>6743</v>
      </c>
      <c r="Q15489" t="s">
        <v>15298</v>
      </c>
      <c r="R15489" t="s">
        <v>480</v>
      </c>
      <c r="S15489">
        <v>129.66200799999999</v>
      </c>
      <c r="T15489" s="1095">
        <v>-17.293531999999999</v>
      </c>
    </row>
    <row r="15490" spans="16:20">
      <c r="P15490" s="1094">
        <v>6751</v>
      </c>
      <c r="Q15490" t="s">
        <v>3235</v>
      </c>
      <c r="R15490" t="s">
        <v>480</v>
      </c>
      <c r="S15490">
        <v>117.057776</v>
      </c>
      <c r="T15490" s="1095">
        <v>-22.141251</v>
      </c>
    </row>
    <row r="15491" spans="16:20">
      <c r="P15491" s="1094">
        <v>6751</v>
      </c>
      <c r="Q15491" t="s">
        <v>15299</v>
      </c>
      <c r="R15491" t="s">
        <v>480</v>
      </c>
      <c r="S15491">
        <v>117.057776</v>
      </c>
      <c r="T15491" s="1095">
        <v>-22.141251</v>
      </c>
    </row>
    <row r="15492" spans="16:20">
      <c r="P15492" s="1094">
        <v>6751</v>
      </c>
      <c r="Q15492" t="s">
        <v>15300</v>
      </c>
      <c r="R15492" t="s">
        <v>480</v>
      </c>
      <c r="S15492">
        <v>117.057776</v>
      </c>
      <c r="T15492" s="1095">
        <v>-22.141251</v>
      </c>
    </row>
    <row r="15493" spans="16:20">
      <c r="P15493" s="1094">
        <v>6751</v>
      </c>
      <c r="Q15493" t="s">
        <v>15301</v>
      </c>
      <c r="R15493" t="s">
        <v>480</v>
      </c>
      <c r="S15493">
        <v>117.057776</v>
      </c>
      <c r="T15493" s="1095">
        <v>-22.141251</v>
      </c>
    </row>
    <row r="15494" spans="16:20">
      <c r="P15494" s="1094">
        <v>6751</v>
      </c>
      <c r="Q15494" t="s">
        <v>15302</v>
      </c>
      <c r="R15494" t="s">
        <v>480</v>
      </c>
      <c r="S15494">
        <v>117.057776</v>
      </c>
      <c r="T15494" s="1095">
        <v>-22.141251</v>
      </c>
    </row>
    <row r="15495" spans="16:20">
      <c r="P15495" s="1094">
        <v>6751</v>
      </c>
      <c r="Q15495" t="s">
        <v>15303</v>
      </c>
      <c r="R15495" t="s">
        <v>480</v>
      </c>
      <c r="S15495">
        <v>117.057776</v>
      </c>
      <c r="T15495" s="1095">
        <v>-22.141251</v>
      </c>
    </row>
    <row r="15496" spans="16:20">
      <c r="P15496" s="1094">
        <v>6751</v>
      </c>
      <c r="Q15496" t="s">
        <v>15304</v>
      </c>
      <c r="R15496" t="s">
        <v>480</v>
      </c>
      <c r="S15496">
        <v>117.057776</v>
      </c>
      <c r="T15496" s="1095">
        <v>-22.141251</v>
      </c>
    </row>
    <row r="15497" spans="16:20">
      <c r="P15497" s="1094">
        <v>6751</v>
      </c>
      <c r="Q15497" t="s">
        <v>9528</v>
      </c>
      <c r="R15497" t="s">
        <v>480</v>
      </c>
      <c r="S15497">
        <v>117.057776</v>
      </c>
      <c r="T15497" s="1095">
        <v>-22.141251</v>
      </c>
    </row>
    <row r="15498" spans="16:20">
      <c r="P15498" s="1094">
        <v>6751</v>
      </c>
      <c r="Q15498" t="s">
        <v>15305</v>
      </c>
      <c r="R15498" t="s">
        <v>480</v>
      </c>
      <c r="S15498">
        <v>117.057776</v>
      </c>
      <c r="T15498" s="1095">
        <v>-22.141251</v>
      </c>
    </row>
    <row r="15499" spans="16:20">
      <c r="P15499" s="1094">
        <v>6751</v>
      </c>
      <c r="Q15499" t="s">
        <v>15306</v>
      </c>
      <c r="R15499" t="s">
        <v>480</v>
      </c>
      <c r="S15499">
        <v>117.057776</v>
      </c>
      <c r="T15499" s="1095">
        <v>-22.141251</v>
      </c>
    </row>
    <row r="15500" spans="16:20">
      <c r="P15500" s="1094">
        <v>6753</v>
      </c>
      <c r="Q15500" t="s">
        <v>15307</v>
      </c>
      <c r="R15500" t="s">
        <v>480</v>
      </c>
      <c r="S15500">
        <v>119.714082</v>
      </c>
      <c r="T15500" s="1095">
        <v>-23.154069</v>
      </c>
    </row>
    <row r="15501" spans="16:20">
      <c r="P15501" s="1094">
        <v>6754</v>
      </c>
      <c r="Q15501" t="s">
        <v>15308</v>
      </c>
      <c r="R15501" t="s">
        <v>480</v>
      </c>
      <c r="S15501">
        <v>117.47663</v>
      </c>
      <c r="T15501" s="1095">
        <v>-23.303750999999998</v>
      </c>
    </row>
    <row r="15502" spans="16:20">
      <c r="P15502" s="1094">
        <v>6758</v>
      </c>
      <c r="Q15502" t="s">
        <v>15309</v>
      </c>
      <c r="R15502" t="s">
        <v>480</v>
      </c>
      <c r="S15502">
        <v>120.282267</v>
      </c>
      <c r="T15502" s="1095">
        <v>-22.055582000000001</v>
      </c>
    </row>
    <row r="15503" spans="16:20">
      <c r="P15503" s="1094">
        <v>6760</v>
      </c>
      <c r="Q15503" t="s">
        <v>15310</v>
      </c>
      <c r="R15503" t="s">
        <v>480</v>
      </c>
      <c r="S15503">
        <v>124.383893</v>
      </c>
      <c r="T15503" s="1095">
        <v>-22.026615</v>
      </c>
    </row>
    <row r="15504" spans="16:20">
      <c r="P15504" s="1094">
        <v>6761</v>
      </c>
      <c r="Q15504" t="s">
        <v>15311</v>
      </c>
      <c r="R15504" t="s">
        <v>480</v>
      </c>
      <c r="S15504">
        <v>120.469973</v>
      </c>
      <c r="T15504" s="1095">
        <v>-20.403597999999999</v>
      </c>
    </row>
    <row r="15505" spans="16:20">
      <c r="P15505" s="1094">
        <v>6762</v>
      </c>
      <c r="Q15505" t="s">
        <v>15312</v>
      </c>
      <c r="R15505" t="s">
        <v>480</v>
      </c>
      <c r="S15505">
        <v>122.224801</v>
      </c>
      <c r="T15505" s="1095">
        <v>-21.712223999999999</v>
      </c>
    </row>
    <row r="15506" spans="16:20">
      <c r="P15506" s="1094">
        <v>6765</v>
      </c>
      <c r="Q15506" t="s">
        <v>15313</v>
      </c>
      <c r="R15506" t="s">
        <v>480</v>
      </c>
      <c r="S15506">
        <v>125.282055</v>
      </c>
      <c r="T15506" s="1095">
        <v>-18.752827</v>
      </c>
    </row>
    <row r="15507" spans="16:20">
      <c r="P15507" s="1094">
        <v>6765</v>
      </c>
      <c r="Q15507" t="s">
        <v>15314</v>
      </c>
      <c r="R15507" t="s">
        <v>480</v>
      </c>
      <c r="S15507">
        <v>125.282055</v>
      </c>
      <c r="T15507" s="1095">
        <v>-18.752827</v>
      </c>
    </row>
    <row r="15508" spans="16:20">
      <c r="P15508" s="1094">
        <v>6770</v>
      </c>
      <c r="Q15508" t="s">
        <v>2924</v>
      </c>
      <c r="R15508" t="s">
        <v>480</v>
      </c>
      <c r="S15508">
        <v>127.320764</v>
      </c>
      <c r="T15508" s="1095">
        <v>-18.705507000000001</v>
      </c>
    </row>
    <row r="15509" spans="16:20">
      <c r="P15509" s="1094">
        <v>6770</v>
      </c>
      <c r="Q15509" t="s">
        <v>15315</v>
      </c>
      <c r="R15509" t="s">
        <v>480</v>
      </c>
      <c r="S15509">
        <v>127.320764</v>
      </c>
      <c r="T15509" s="1095">
        <v>-18.705507000000001</v>
      </c>
    </row>
    <row r="15510" spans="16:20">
      <c r="P15510" s="1094">
        <v>6798</v>
      </c>
      <c r="Q15510" t="s">
        <v>15316</v>
      </c>
      <c r="R15510" t="s">
        <v>480</v>
      </c>
      <c r="S15510">
        <v>0</v>
      </c>
      <c r="T15510" s="1095">
        <v>0</v>
      </c>
    </row>
    <row r="15511" spans="16:20">
      <c r="P15511" s="1094">
        <v>6799</v>
      </c>
      <c r="Q15511" t="s">
        <v>15317</v>
      </c>
      <c r="R15511" t="s">
        <v>480</v>
      </c>
      <c r="S15511">
        <v>0</v>
      </c>
      <c r="T15511" s="1095">
        <v>0</v>
      </c>
    </row>
    <row r="15512" spans="16:20">
      <c r="P15512" s="1094">
        <v>6799</v>
      </c>
      <c r="Q15512" t="s">
        <v>15318</v>
      </c>
      <c r="R15512" t="s">
        <v>480</v>
      </c>
      <c r="S15512">
        <v>0</v>
      </c>
      <c r="T15512" s="1095">
        <v>0</v>
      </c>
    </row>
    <row r="15513" spans="16:20">
      <c r="P15513" s="1094">
        <v>6800</v>
      </c>
      <c r="Q15513" t="s">
        <v>13799</v>
      </c>
      <c r="R15513" t="s">
        <v>480</v>
      </c>
      <c r="S15513">
        <v>0</v>
      </c>
      <c r="T15513" s="1095">
        <v>0</v>
      </c>
    </row>
    <row r="15514" spans="16:20">
      <c r="P15514" s="1094">
        <v>6803</v>
      </c>
      <c r="Q15514" t="s">
        <v>1678</v>
      </c>
      <c r="R15514" t="s">
        <v>480</v>
      </c>
      <c r="S15514">
        <v>0</v>
      </c>
      <c r="T15514" s="1095">
        <v>0</v>
      </c>
    </row>
    <row r="15515" spans="16:20">
      <c r="P15515" s="1094">
        <v>6809</v>
      </c>
      <c r="Q15515" t="s">
        <v>13799</v>
      </c>
      <c r="R15515" t="s">
        <v>480</v>
      </c>
      <c r="S15515">
        <v>0</v>
      </c>
      <c r="T15515" s="1095">
        <v>0</v>
      </c>
    </row>
    <row r="15516" spans="16:20">
      <c r="P15516" s="1094">
        <v>6817</v>
      </c>
      <c r="Q15516" t="s">
        <v>13799</v>
      </c>
      <c r="R15516" t="s">
        <v>480</v>
      </c>
      <c r="S15516">
        <v>0</v>
      </c>
      <c r="T15516" s="1095">
        <v>0</v>
      </c>
    </row>
    <row r="15517" spans="16:20">
      <c r="P15517" s="1094">
        <v>6820</v>
      </c>
      <c r="Q15517" t="s">
        <v>13799</v>
      </c>
      <c r="R15517" t="s">
        <v>480</v>
      </c>
      <c r="S15517">
        <v>0</v>
      </c>
      <c r="T15517" s="1095">
        <v>0</v>
      </c>
    </row>
    <row r="15518" spans="16:20">
      <c r="P15518" s="1094">
        <v>6827</v>
      </c>
      <c r="Q15518" t="s">
        <v>13799</v>
      </c>
      <c r="R15518" t="s">
        <v>480</v>
      </c>
      <c r="S15518">
        <v>0</v>
      </c>
      <c r="T15518" s="1095">
        <v>0</v>
      </c>
    </row>
    <row r="15519" spans="16:20">
      <c r="P15519" s="1094">
        <v>6830</v>
      </c>
      <c r="Q15519" t="s">
        <v>13799</v>
      </c>
      <c r="R15519" t="s">
        <v>480</v>
      </c>
      <c r="S15519">
        <v>0</v>
      </c>
      <c r="T15519" s="1095">
        <v>0</v>
      </c>
    </row>
    <row r="15520" spans="16:20">
      <c r="P15520" s="1094">
        <v>6831</v>
      </c>
      <c r="Q15520" t="s">
        <v>15319</v>
      </c>
      <c r="R15520" t="s">
        <v>480</v>
      </c>
      <c r="S15520">
        <v>0</v>
      </c>
      <c r="T15520" s="1095">
        <v>0</v>
      </c>
    </row>
    <row r="15521" spans="16:20">
      <c r="P15521" s="1094">
        <v>6832</v>
      </c>
      <c r="Q15521" t="s">
        <v>15320</v>
      </c>
      <c r="R15521" t="s">
        <v>480</v>
      </c>
      <c r="S15521">
        <v>0</v>
      </c>
      <c r="T15521" s="1095">
        <v>0</v>
      </c>
    </row>
    <row r="15522" spans="16:20">
      <c r="P15522" s="1094">
        <v>6837</v>
      </c>
      <c r="Q15522" t="s">
        <v>13799</v>
      </c>
      <c r="R15522" t="s">
        <v>480</v>
      </c>
      <c r="S15522">
        <v>0</v>
      </c>
      <c r="T15522" s="1095">
        <v>0</v>
      </c>
    </row>
    <row r="15523" spans="16:20">
      <c r="P15523" s="1094">
        <v>6838</v>
      </c>
      <c r="Q15523" t="s">
        <v>13799</v>
      </c>
      <c r="R15523" t="s">
        <v>480</v>
      </c>
      <c r="S15523">
        <v>0</v>
      </c>
      <c r="T15523" s="1095">
        <v>0</v>
      </c>
    </row>
    <row r="15524" spans="16:20">
      <c r="P15524" s="1094">
        <v>6839</v>
      </c>
      <c r="Q15524" t="s">
        <v>13799</v>
      </c>
      <c r="R15524" t="s">
        <v>480</v>
      </c>
      <c r="S15524">
        <v>0</v>
      </c>
      <c r="T15524" s="1095">
        <v>0</v>
      </c>
    </row>
    <row r="15525" spans="16:20">
      <c r="P15525" s="1094">
        <v>6840</v>
      </c>
      <c r="Q15525" t="s">
        <v>13799</v>
      </c>
      <c r="R15525" t="s">
        <v>480</v>
      </c>
      <c r="S15525">
        <v>0</v>
      </c>
      <c r="T15525" s="1095">
        <v>0</v>
      </c>
    </row>
    <row r="15526" spans="16:20">
      <c r="P15526" s="1094">
        <v>6841</v>
      </c>
      <c r="Q15526" t="s">
        <v>13799</v>
      </c>
      <c r="R15526" t="s">
        <v>480</v>
      </c>
      <c r="S15526">
        <v>0</v>
      </c>
      <c r="T15526" s="1095">
        <v>0</v>
      </c>
    </row>
    <row r="15527" spans="16:20">
      <c r="P15527" s="1094">
        <v>6842</v>
      </c>
      <c r="Q15527" t="s">
        <v>13799</v>
      </c>
      <c r="R15527" t="s">
        <v>480</v>
      </c>
      <c r="S15527">
        <v>0</v>
      </c>
      <c r="T15527" s="1095">
        <v>0</v>
      </c>
    </row>
    <row r="15528" spans="16:20">
      <c r="P15528" s="1094">
        <v>6843</v>
      </c>
      <c r="Q15528" t="s">
        <v>13799</v>
      </c>
      <c r="R15528" t="s">
        <v>480</v>
      </c>
      <c r="S15528">
        <v>0</v>
      </c>
      <c r="T15528" s="1095">
        <v>0</v>
      </c>
    </row>
    <row r="15529" spans="16:20">
      <c r="P15529" s="1094">
        <v>6844</v>
      </c>
      <c r="Q15529" t="s">
        <v>13799</v>
      </c>
      <c r="R15529" t="s">
        <v>480</v>
      </c>
      <c r="S15529">
        <v>0</v>
      </c>
      <c r="T15529" s="1095">
        <v>0</v>
      </c>
    </row>
    <row r="15530" spans="16:20">
      <c r="P15530" s="1094">
        <v>6845</v>
      </c>
      <c r="Q15530" t="s">
        <v>13799</v>
      </c>
      <c r="R15530" t="s">
        <v>480</v>
      </c>
      <c r="S15530">
        <v>0</v>
      </c>
      <c r="T15530" s="1095">
        <v>0</v>
      </c>
    </row>
    <row r="15531" spans="16:20">
      <c r="P15531" s="1094">
        <v>6846</v>
      </c>
      <c r="Q15531" t="s">
        <v>13799</v>
      </c>
      <c r="R15531" t="s">
        <v>480</v>
      </c>
      <c r="S15531">
        <v>0</v>
      </c>
      <c r="T15531" s="1095">
        <v>0</v>
      </c>
    </row>
    <row r="15532" spans="16:20">
      <c r="P15532" s="1094">
        <v>6847</v>
      </c>
      <c r="Q15532" t="s">
        <v>13799</v>
      </c>
      <c r="R15532" t="s">
        <v>480</v>
      </c>
      <c r="S15532">
        <v>0</v>
      </c>
      <c r="T15532" s="1095">
        <v>0</v>
      </c>
    </row>
    <row r="15533" spans="16:20">
      <c r="P15533" s="1094">
        <v>6848</v>
      </c>
      <c r="Q15533" t="s">
        <v>13799</v>
      </c>
      <c r="R15533" t="s">
        <v>480</v>
      </c>
      <c r="S15533">
        <v>0</v>
      </c>
      <c r="T15533" s="1095">
        <v>0</v>
      </c>
    </row>
    <row r="15534" spans="16:20">
      <c r="P15534" s="1094">
        <v>6849</v>
      </c>
      <c r="Q15534" t="s">
        <v>15321</v>
      </c>
      <c r="R15534" t="s">
        <v>480</v>
      </c>
      <c r="S15534">
        <v>0</v>
      </c>
      <c r="T15534" s="1095">
        <v>0</v>
      </c>
    </row>
    <row r="15535" spans="16:20">
      <c r="P15535" s="1094">
        <v>6850</v>
      </c>
      <c r="Q15535" t="s">
        <v>15322</v>
      </c>
      <c r="R15535" t="s">
        <v>480</v>
      </c>
      <c r="S15535">
        <v>0</v>
      </c>
      <c r="T15535" s="1095">
        <v>0</v>
      </c>
    </row>
    <row r="15536" spans="16:20">
      <c r="P15536" s="1094">
        <v>6865</v>
      </c>
      <c r="Q15536" t="s">
        <v>1678</v>
      </c>
      <c r="R15536" t="s">
        <v>480</v>
      </c>
      <c r="S15536">
        <v>0</v>
      </c>
      <c r="T15536" s="1095">
        <v>0</v>
      </c>
    </row>
    <row r="15537" spans="16:20">
      <c r="P15537" s="1094">
        <v>6872</v>
      </c>
      <c r="Q15537" t="s">
        <v>13802</v>
      </c>
      <c r="R15537" t="s">
        <v>480</v>
      </c>
      <c r="S15537">
        <v>0</v>
      </c>
      <c r="T15537" s="1095">
        <v>0</v>
      </c>
    </row>
    <row r="15538" spans="16:20">
      <c r="P15538" s="1094">
        <v>6892</v>
      </c>
      <c r="Q15538" t="s">
        <v>13801</v>
      </c>
      <c r="R15538" t="s">
        <v>480</v>
      </c>
      <c r="S15538">
        <v>0</v>
      </c>
      <c r="T15538" s="1095">
        <v>0</v>
      </c>
    </row>
    <row r="15539" spans="16:20">
      <c r="P15539" s="1094">
        <v>6900</v>
      </c>
      <c r="Q15539" t="s">
        <v>13804</v>
      </c>
      <c r="R15539" t="s">
        <v>480</v>
      </c>
      <c r="S15539">
        <v>0</v>
      </c>
      <c r="T15539" s="1095">
        <v>0</v>
      </c>
    </row>
    <row r="15540" spans="16:20">
      <c r="P15540" s="1094">
        <v>6901</v>
      </c>
      <c r="Q15540" t="s">
        <v>13805</v>
      </c>
      <c r="R15540" t="s">
        <v>480</v>
      </c>
      <c r="S15540">
        <v>0</v>
      </c>
      <c r="T15540" s="1095">
        <v>0</v>
      </c>
    </row>
    <row r="15541" spans="16:20">
      <c r="P15541" s="1094">
        <v>6902</v>
      </c>
      <c r="Q15541" t="s">
        <v>13804</v>
      </c>
      <c r="R15541" t="s">
        <v>480</v>
      </c>
      <c r="S15541">
        <v>0</v>
      </c>
      <c r="T15541" s="1095">
        <v>0</v>
      </c>
    </row>
    <row r="15542" spans="16:20">
      <c r="P15542" s="1094">
        <v>6903</v>
      </c>
      <c r="Q15542" t="s">
        <v>13804</v>
      </c>
      <c r="R15542" t="s">
        <v>480</v>
      </c>
      <c r="S15542">
        <v>0</v>
      </c>
      <c r="T15542" s="1095">
        <v>0</v>
      </c>
    </row>
    <row r="15543" spans="16:20">
      <c r="P15543" s="1094">
        <v>6904</v>
      </c>
      <c r="Q15543" t="s">
        <v>13808</v>
      </c>
      <c r="R15543" t="s">
        <v>480</v>
      </c>
      <c r="S15543">
        <v>0</v>
      </c>
      <c r="T15543" s="1095">
        <v>0</v>
      </c>
    </row>
    <row r="15544" spans="16:20">
      <c r="P15544" s="1094">
        <v>6905</v>
      </c>
      <c r="Q15544" t="s">
        <v>10173</v>
      </c>
      <c r="R15544" t="s">
        <v>480</v>
      </c>
      <c r="S15544">
        <v>0</v>
      </c>
      <c r="T15544" s="1095">
        <v>0</v>
      </c>
    </row>
    <row r="15545" spans="16:20">
      <c r="P15545" s="1094">
        <v>6906</v>
      </c>
      <c r="Q15545" t="s">
        <v>13803</v>
      </c>
      <c r="R15545" t="s">
        <v>480</v>
      </c>
      <c r="S15545">
        <v>0</v>
      </c>
      <c r="T15545" s="1095">
        <v>0</v>
      </c>
    </row>
    <row r="15546" spans="16:20">
      <c r="P15546" s="1094">
        <v>6907</v>
      </c>
      <c r="Q15546" t="s">
        <v>13813</v>
      </c>
      <c r="R15546" t="s">
        <v>480</v>
      </c>
      <c r="S15546">
        <v>0</v>
      </c>
      <c r="T15546" s="1095">
        <v>0</v>
      </c>
    </row>
    <row r="15547" spans="16:20">
      <c r="P15547" s="1094">
        <v>6909</v>
      </c>
      <c r="Q15547" t="s">
        <v>13813</v>
      </c>
      <c r="R15547" t="s">
        <v>480</v>
      </c>
      <c r="S15547">
        <v>0</v>
      </c>
      <c r="T15547" s="1095">
        <v>0</v>
      </c>
    </row>
    <row r="15548" spans="16:20">
      <c r="P15548" s="1094">
        <v>6910</v>
      </c>
      <c r="Q15548" t="s">
        <v>13815</v>
      </c>
      <c r="R15548" t="s">
        <v>480</v>
      </c>
      <c r="S15548">
        <v>0</v>
      </c>
      <c r="T15548" s="1095">
        <v>0</v>
      </c>
    </row>
    <row r="15549" spans="16:20">
      <c r="P15549" s="1094">
        <v>6911</v>
      </c>
      <c r="Q15549" t="s">
        <v>13820</v>
      </c>
      <c r="R15549" t="s">
        <v>480</v>
      </c>
      <c r="S15549">
        <v>0</v>
      </c>
      <c r="T15549" s="1095">
        <v>0</v>
      </c>
    </row>
    <row r="15550" spans="16:20">
      <c r="P15550" s="1094">
        <v>6912</v>
      </c>
      <c r="Q15550" t="s">
        <v>13822</v>
      </c>
      <c r="R15550" t="s">
        <v>480</v>
      </c>
      <c r="S15550">
        <v>0</v>
      </c>
      <c r="T15550" s="1095">
        <v>0</v>
      </c>
    </row>
    <row r="15551" spans="16:20">
      <c r="P15551" s="1094">
        <v>6913</v>
      </c>
      <c r="Q15551" t="s">
        <v>13826</v>
      </c>
      <c r="R15551" t="s">
        <v>480</v>
      </c>
      <c r="S15551">
        <v>0</v>
      </c>
      <c r="T15551" s="1095">
        <v>0</v>
      </c>
    </row>
    <row r="15552" spans="16:20">
      <c r="P15552" s="1094">
        <v>6914</v>
      </c>
      <c r="Q15552" t="s">
        <v>13842</v>
      </c>
      <c r="R15552" t="s">
        <v>480</v>
      </c>
      <c r="S15552">
        <v>0</v>
      </c>
      <c r="T15552" s="1095">
        <v>0</v>
      </c>
    </row>
    <row r="15553" spans="16:20">
      <c r="P15553" s="1094">
        <v>6915</v>
      </c>
      <c r="Q15553" t="s">
        <v>13829</v>
      </c>
      <c r="R15553" t="s">
        <v>480</v>
      </c>
      <c r="S15553">
        <v>0</v>
      </c>
      <c r="T15553" s="1095">
        <v>0</v>
      </c>
    </row>
    <row r="15554" spans="16:20">
      <c r="P15554" s="1094">
        <v>6916</v>
      </c>
      <c r="Q15554" t="s">
        <v>1844</v>
      </c>
      <c r="R15554" t="s">
        <v>480</v>
      </c>
      <c r="S15554">
        <v>0</v>
      </c>
      <c r="T15554" s="1095">
        <v>0</v>
      </c>
    </row>
    <row r="15555" spans="16:20">
      <c r="P15555" s="1094">
        <v>6916</v>
      </c>
      <c r="Q15555" t="s">
        <v>13831</v>
      </c>
      <c r="R15555" t="s">
        <v>480</v>
      </c>
      <c r="S15555">
        <v>0</v>
      </c>
      <c r="T15555" s="1095">
        <v>0</v>
      </c>
    </row>
    <row r="15556" spans="16:20">
      <c r="P15556" s="1094">
        <v>6917</v>
      </c>
      <c r="Q15556" t="s">
        <v>1844</v>
      </c>
      <c r="R15556" t="s">
        <v>480</v>
      </c>
      <c r="S15556">
        <v>0</v>
      </c>
      <c r="T15556" s="1095">
        <v>0</v>
      </c>
    </row>
    <row r="15557" spans="16:20">
      <c r="P15557" s="1094">
        <v>6918</v>
      </c>
      <c r="Q15557" t="s">
        <v>13836</v>
      </c>
      <c r="R15557" t="s">
        <v>480</v>
      </c>
      <c r="S15557">
        <v>0</v>
      </c>
      <c r="T15557" s="1095">
        <v>0</v>
      </c>
    </row>
    <row r="15558" spans="16:20">
      <c r="P15558" s="1094">
        <v>6919</v>
      </c>
      <c r="Q15558" t="s">
        <v>13854</v>
      </c>
      <c r="R15558" t="s">
        <v>480</v>
      </c>
      <c r="S15558">
        <v>0</v>
      </c>
      <c r="T15558" s="1095">
        <v>0</v>
      </c>
    </row>
    <row r="15559" spans="16:20">
      <c r="P15559" s="1094">
        <v>6920</v>
      </c>
      <c r="Q15559" t="s">
        <v>13540</v>
      </c>
      <c r="R15559" t="s">
        <v>480</v>
      </c>
      <c r="S15559">
        <v>0</v>
      </c>
      <c r="T15559" s="1095">
        <v>0</v>
      </c>
    </row>
    <row r="15560" spans="16:20">
      <c r="P15560" s="1094">
        <v>6921</v>
      </c>
      <c r="Q15560" t="s">
        <v>13837</v>
      </c>
      <c r="R15560" t="s">
        <v>480</v>
      </c>
      <c r="S15560">
        <v>0</v>
      </c>
      <c r="T15560" s="1095">
        <v>0</v>
      </c>
    </row>
    <row r="15561" spans="16:20">
      <c r="P15561" s="1094">
        <v>6922</v>
      </c>
      <c r="Q15561" t="s">
        <v>4187</v>
      </c>
      <c r="R15561" t="s">
        <v>480</v>
      </c>
      <c r="S15561">
        <v>0</v>
      </c>
      <c r="T15561" s="1095">
        <v>0</v>
      </c>
    </row>
    <row r="15562" spans="16:20">
      <c r="P15562" s="1094">
        <v>6923</v>
      </c>
      <c r="Q15562" t="s">
        <v>13845</v>
      </c>
      <c r="R15562" t="s">
        <v>480</v>
      </c>
      <c r="S15562">
        <v>0</v>
      </c>
      <c r="T15562" s="1095">
        <v>0</v>
      </c>
    </row>
    <row r="15563" spans="16:20">
      <c r="P15563" s="1094">
        <v>6924</v>
      </c>
      <c r="Q15563" t="s">
        <v>10395</v>
      </c>
      <c r="R15563" t="s">
        <v>480</v>
      </c>
      <c r="S15563">
        <v>0</v>
      </c>
      <c r="T15563" s="1095">
        <v>0</v>
      </c>
    </row>
    <row r="15564" spans="16:20">
      <c r="P15564" s="1094">
        <v>6925</v>
      </c>
      <c r="Q15564" t="s">
        <v>13971</v>
      </c>
      <c r="R15564" t="s">
        <v>480</v>
      </c>
      <c r="S15564">
        <v>0</v>
      </c>
      <c r="T15564" s="1095">
        <v>0</v>
      </c>
    </row>
    <row r="15565" spans="16:20">
      <c r="P15565" s="1094">
        <v>6926</v>
      </c>
      <c r="Q15565" t="s">
        <v>13965</v>
      </c>
      <c r="R15565" t="s">
        <v>480</v>
      </c>
      <c r="S15565">
        <v>0</v>
      </c>
      <c r="T15565" s="1095">
        <v>0</v>
      </c>
    </row>
    <row r="15566" spans="16:20">
      <c r="P15566" s="1094">
        <v>6929</v>
      </c>
      <c r="Q15566" t="s">
        <v>13884</v>
      </c>
      <c r="R15566" t="s">
        <v>480</v>
      </c>
      <c r="S15566">
        <v>0</v>
      </c>
      <c r="T15566" s="1095">
        <v>0</v>
      </c>
    </row>
    <row r="15567" spans="16:20">
      <c r="P15567" s="1094">
        <v>6931</v>
      </c>
      <c r="Q15567" t="s">
        <v>12583</v>
      </c>
      <c r="R15567" t="s">
        <v>480</v>
      </c>
      <c r="S15567">
        <v>0</v>
      </c>
      <c r="T15567" s="1095">
        <v>0</v>
      </c>
    </row>
    <row r="15568" spans="16:20">
      <c r="P15568" s="1094">
        <v>6932</v>
      </c>
      <c r="Q15568" t="s">
        <v>7871</v>
      </c>
      <c r="R15568" t="s">
        <v>480</v>
      </c>
      <c r="S15568">
        <v>0</v>
      </c>
      <c r="T15568" s="1095">
        <v>0</v>
      </c>
    </row>
    <row r="15569" spans="16:20">
      <c r="P15569" s="1094">
        <v>6933</v>
      </c>
      <c r="Q15569" t="s">
        <v>6669</v>
      </c>
      <c r="R15569" t="s">
        <v>480</v>
      </c>
      <c r="S15569">
        <v>0</v>
      </c>
      <c r="T15569" s="1095">
        <v>0</v>
      </c>
    </row>
    <row r="15570" spans="16:20">
      <c r="P15570" s="1094">
        <v>6934</v>
      </c>
      <c r="Q15570" t="s">
        <v>3051</v>
      </c>
      <c r="R15570" t="s">
        <v>480</v>
      </c>
      <c r="S15570">
        <v>0</v>
      </c>
      <c r="T15570" s="1095">
        <v>0</v>
      </c>
    </row>
    <row r="15571" spans="16:20">
      <c r="P15571" s="1094">
        <v>6935</v>
      </c>
      <c r="Q15571" t="s">
        <v>1714</v>
      </c>
      <c r="R15571" t="s">
        <v>480</v>
      </c>
      <c r="S15571">
        <v>0</v>
      </c>
      <c r="T15571" s="1095">
        <v>0</v>
      </c>
    </row>
    <row r="15572" spans="16:20">
      <c r="P15572" s="1094">
        <v>6936</v>
      </c>
      <c r="Q15572" t="s">
        <v>15323</v>
      </c>
      <c r="R15572" t="s">
        <v>480</v>
      </c>
      <c r="S15572">
        <v>0</v>
      </c>
      <c r="T15572" s="1095">
        <v>0</v>
      </c>
    </row>
    <row r="15573" spans="16:20">
      <c r="P15573" s="1094">
        <v>6937</v>
      </c>
      <c r="Q15573" t="s">
        <v>13915</v>
      </c>
      <c r="R15573" t="s">
        <v>480</v>
      </c>
      <c r="S15573">
        <v>0</v>
      </c>
      <c r="T15573" s="1095">
        <v>0</v>
      </c>
    </row>
    <row r="15574" spans="16:20">
      <c r="P15574" s="1094">
        <v>6938</v>
      </c>
      <c r="Q15574" t="s">
        <v>13915</v>
      </c>
      <c r="R15574" t="s">
        <v>480</v>
      </c>
      <c r="S15574">
        <v>0</v>
      </c>
      <c r="T15574" s="1095">
        <v>0</v>
      </c>
    </row>
    <row r="15575" spans="16:20">
      <c r="P15575" s="1094">
        <v>6939</v>
      </c>
      <c r="Q15575" t="s">
        <v>13915</v>
      </c>
      <c r="R15575" t="s">
        <v>480</v>
      </c>
      <c r="S15575">
        <v>0</v>
      </c>
      <c r="T15575" s="1095">
        <v>0</v>
      </c>
    </row>
    <row r="15576" spans="16:20">
      <c r="P15576" s="1094">
        <v>6940</v>
      </c>
      <c r="Q15576" t="s">
        <v>13915</v>
      </c>
      <c r="R15576" t="s">
        <v>480</v>
      </c>
      <c r="S15576">
        <v>0</v>
      </c>
      <c r="T15576" s="1095">
        <v>0</v>
      </c>
    </row>
    <row r="15577" spans="16:20">
      <c r="P15577" s="1094">
        <v>6941</v>
      </c>
      <c r="Q15577" t="s">
        <v>2416</v>
      </c>
      <c r="R15577" t="s">
        <v>480</v>
      </c>
      <c r="S15577">
        <v>0</v>
      </c>
      <c r="T15577" s="1095">
        <v>0</v>
      </c>
    </row>
    <row r="15578" spans="16:20">
      <c r="P15578" s="1094">
        <v>6942</v>
      </c>
      <c r="Q15578" t="s">
        <v>13886</v>
      </c>
      <c r="R15578" t="s">
        <v>480</v>
      </c>
      <c r="S15578">
        <v>0</v>
      </c>
      <c r="T15578" s="1095">
        <v>0</v>
      </c>
    </row>
    <row r="15579" spans="16:20">
      <c r="P15579" s="1094">
        <v>6943</v>
      </c>
      <c r="Q15579" t="s">
        <v>13921</v>
      </c>
      <c r="R15579" t="s">
        <v>480</v>
      </c>
      <c r="S15579">
        <v>0</v>
      </c>
      <c r="T15579" s="1095">
        <v>0</v>
      </c>
    </row>
    <row r="15580" spans="16:20">
      <c r="P15580" s="1094">
        <v>6944</v>
      </c>
      <c r="Q15580" t="s">
        <v>13983</v>
      </c>
      <c r="R15580" t="s">
        <v>480</v>
      </c>
      <c r="S15580">
        <v>0</v>
      </c>
      <c r="T15580" s="1095">
        <v>0</v>
      </c>
    </row>
    <row r="15581" spans="16:20">
      <c r="P15581" s="1094">
        <v>6945</v>
      </c>
      <c r="Q15581" t="s">
        <v>15324</v>
      </c>
      <c r="R15581" t="s">
        <v>480</v>
      </c>
      <c r="S15581">
        <v>0</v>
      </c>
      <c r="T15581" s="1095">
        <v>0</v>
      </c>
    </row>
    <row r="15582" spans="16:20">
      <c r="P15582" s="1094">
        <v>6946</v>
      </c>
      <c r="Q15582" t="s">
        <v>13944</v>
      </c>
      <c r="R15582" t="s">
        <v>480</v>
      </c>
      <c r="S15582">
        <v>0</v>
      </c>
      <c r="T15582" s="1095">
        <v>0</v>
      </c>
    </row>
    <row r="15583" spans="16:20">
      <c r="P15583" s="1094">
        <v>6947</v>
      </c>
      <c r="Q15583" t="s">
        <v>13943</v>
      </c>
      <c r="R15583" t="s">
        <v>480</v>
      </c>
      <c r="S15583">
        <v>0</v>
      </c>
      <c r="T15583" s="1095">
        <v>0</v>
      </c>
    </row>
    <row r="15584" spans="16:20">
      <c r="P15584" s="1094">
        <v>6951</v>
      </c>
      <c r="Q15584" t="s">
        <v>14037</v>
      </c>
      <c r="R15584" t="s">
        <v>480</v>
      </c>
      <c r="S15584">
        <v>0</v>
      </c>
      <c r="T15584" s="1095">
        <v>0</v>
      </c>
    </row>
    <row r="15585" spans="16:20">
      <c r="P15585" s="1094">
        <v>6952</v>
      </c>
      <c r="Q15585" t="s">
        <v>2231</v>
      </c>
      <c r="R15585" t="s">
        <v>480</v>
      </c>
      <c r="S15585">
        <v>0</v>
      </c>
      <c r="T15585" s="1095">
        <v>0</v>
      </c>
    </row>
    <row r="15586" spans="16:20">
      <c r="P15586" s="1094">
        <v>6953</v>
      </c>
      <c r="Q15586" t="s">
        <v>14042</v>
      </c>
      <c r="R15586" t="s">
        <v>480</v>
      </c>
      <c r="S15586">
        <v>0</v>
      </c>
      <c r="T15586" s="1095">
        <v>0</v>
      </c>
    </row>
    <row r="15587" spans="16:20">
      <c r="P15587" s="1094">
        <v>6954</v>
      </c>
      <c r="Q15587" t="s">
        <v>14047</v>
      </c>
      <c r="R15587" t="s">
        <v>480</v>
      </c>
      <c r="S15587">
        <v>0</v>
      </c>
      <c r="T15587" s="1095">
        <v>0</v>
      </c>
    </row>
    <row r="15588" spans="16:20">
      <c r="P15588" s="1094">
        <v>6955</v>
      </c>
      <c r="Q15588" t="s">
        <v>14052</v>
      </c>
      <c r="R15588" t="s">
        <v>480</v>
      </c>
      <c r="S15588">
        <v>0</v>
      </c>
      <c r="T15588" s="1095">
        <v>0</v>
      </c>
    </row>
    <row r="15589" spans="16:20">
      <c r="P15589" s="1094">
        <v>6956</v>
      </c>
      <c r="Q15589" t="s">
        <v>2601</v>
      </c>
      <c r="R15589" t="s">
        <v>480</v>
      </c>
      <c r="S15589">
        <v>0</v>
      </c>
      <c r="T15589" s="1095">
        <v>0</v>
      </c>
    </row>
    <row r="15590" spans="16:20">
      <c r="P15590" s="1094">
        <v>6957</v>
      </c>
      <c r="Q15590" t="s">
        <v>11718</v>
      </c>
      <c r="R15590" t="s">
        <v>480</v>
      </c>
      <c r="S15590">
        <v>0</v>
      </c>
      <c r="T15590" s="1095">
        <v>0</v>
      </c>
    </row>
    <row r="15591" spans="16:20">
      <c r="P15591" s="1094">
        <v>6958</v>
      </c>
      <c r="Q15591" t="s">
        <v>15325</v>
      </c>
      <c r="R15591" t="s">
        <v>480</v>
      </c>
      <c r="S15591">
        <v>0</v>
      </c>
      <c r="T15591" s="1095">
        <v>0</v>
      </c>
    </row>
    <row r="15592" spans="16:20">
      <c r="P15592" s="1094">
        <v>6959</v>
      </c>
      <c r="Q15592" t="s">
        <v>14060</v>
      </c>
      <c r="R15592" t="s">
        <v>480</v>
      </c>
      <c r="S15592">
        <v>0</v>
      </c>
      <c r="T15592" s="1095">
        <v>0</v>
      </c>
    </row>
    <row r="15593" spans="16:20">
      <c r="P15593" s="1094">
        <v>6960</v>
      </c>
      <c r="Q15593" t="s">
        <v>15326</v>
      </c>
      <c r="R15593" t="s">
        <v>480</v>
      </c>
      <c r="S15593">
        <v>0</v>
      </c>
      <c r="T15593" s="1095">
        <v>0</v>
      </c>
    </row>
    <row r="15594" spans="16:20">
      <c r="P15594" s="1094">
        <v>6961</v>
      </c>
      <c r="Q15594" t="s">
        <v>14057</v>
      </c>
      <c r="R15594" t="s">
        <v>480</v>
      </c>
      <c r="S15594">
        <v>0</v>
      </c>
      <c r="T15594" s="1095">
        <v>0</v>
      </c>
    </row>
    <row r="15595" spans="16:20">
      <c r="P15595" s="1094">
        <v>6963</v>
      </c>
      <c r="Q15595" t="s">
        <v>14067</v>
      </c>
      <c r="R15595" t="s">
        <v>480</v>
      </c>
      <c r="S15595">
        <v>0</v>
      </c>
      <c r="T15595" s="1095">
        <v>0</v>
      </c>
    </row>
    <row r="15596" spans="16:20">
      <c r="P15596" s="1094">
        <v>6964</v>
      </c>
      <c r="Q15596" t="s">
        <v>14079</v>
      </c>
      <c r="R15596" t="s">
        <v>480</v>
      </c>
      <c r="S15596">
        <v>0</v>
      </c>
      <c r="T15596" s="1095">
        <v>0</v>
      </c>
    </row>
    <row r="15597" spans="16:20">
      <c r="P15597" s="1094">
        <v>6965</v>
      </c>
      <c r="Q15597" t="s">
        <v>14065</v>
      </c>
      <c r="R15597" t="s">
        <v>480</v>
      </c>
      <c r="S15597">
        <v>0</v>
      </c>
      <c r="T15597" s="1095">
        <v>0</v>
      </c>
    </row>
    <row r="15598" spans="16:20">
      <c r="P15598" s="1094">
        <v>6966</v>
      </c>
      <c r="Q15598" t="s">
        <v>15327</v>
      </c>
      <c r="R15598" t="s">
        <v>480</v>
      </c>
      <c r="S15598">
        <v>0</v>
      </c>
      <c r="T15598" s="1095">
        <v>0</v>
      </c>
    </row>
    <row r="15599" spans="16:20">
      <c r="P15599" s="1094">
        <v>6967</v>
      </c>
      <c r="Q15599" t="s">
        <v>14103</v>
      </c>
      <c r="R15599" t="s">
        <v>480</v>
      </c>
      <c r="S15599">
        <v>0</v>
      </c>
      <c r="T15599" s="1095">
        <v>0</v>
      </c>
    </row>
    <row r="15600" spans="16:20">
      <c r="P15600" s="1094">
        <v>6968</v>
      </c>
      <c r="Q15600" t="s">
        <v>12076</v>
      </c>
      <c r="R15600" t="s">
        <v>480</v>
      </c>
      <c r="S15600">
        <v>0</v>
      </c>
      <c r="T15600" s="1095">
        <v>0</v>
      </c>
    </row>
    <row r="15601" spans="16:20">
      <c r="P15601" s="1094">
        <v>6969</v>
      </c>
      <c r="Q15601" t="s">
        <v>14102</v>
      </c>
      <c r="R15601" t="s">
        <v>480</v>
      </c>
      <c r="S15601">
        <v>0</v>
      </c>
      <c r="T15601" s="1095">
        <v>0</v>
      </c>
    </row>
    <row r="15602" spans="16:20">
      <c r="P15602" s="1094">
        <v>6970</v>
      </c>
      <c r="Q15602" t="s">
        <v>14050</v>
      </c>
      <c r="R15602" t="s">
        <v>480</v>
      </c>
      <c r="S15602">
        <v>0</v>
      </c>
      <c r="T15602" s="1095">
        <v>0</v>
      </c>
    </row>
    <row r="15603" spans="16:20">
      <c r="P15603" s="1094">
        <v>6979</v>
      </c>
      <c r="Q15603" t="s">
        <v>13986</v>
      </c>
      <c r="R15603" t="s">
        <v>480</v>
      </c>
      <c r="S15603">
        <v>0</v>
      </c>
      <c r="T15603" s="1095">
        <v>0</v>
      </c>
    </row>
    <row r="15604" spans="16:20">
      <c r="P15604" s="1094">
        <v>6980</v>
      </c>
      <c r="Q15604" t="s">
        <v>13998</v>
      </c>
      <c r="R15604" t="s">
        <v>480</v>
      </c>
      <c r="S15604">
        <v>0</v>
      </c>
      <c r="T15604" s="1095">
        <v>0</v>
      </c>
    </row>
    <row r="15605" spans="16:20">
      <c r="P15605" s="1094">
        <v>6981</v>
      </c>
      <c r="Q15605" t="s">
        <v>13990</v>
      </c>
      <c r="R15605" t="s">
        <v>480</v>
      </c>
      <c r="S15605">
        <v>0</v>
      </c>
      <c r="T15605" s="1095">
        <v>0</v>
      </c>
    </row>
    <row r="15606" spans="16:20">
      <c r="P15606" s="1094">
        <v>6982</v>
      </c>
      <c r="Q15606" t="s">
        <v>3977</v>
      </c>
      <c r="R15606" t="s">
        <v>480</v>
      </c>
      <c r="S15606">
        <v>0</v>
      </c>
      <c r="T15606" s="1095">
        <v>0</v>
      </c>
    </row>
    <row r="15607" spans="16:20">
      <c r="P15607" s="1094">
        <v>6983</v>
      </c>
      <c r="Q15607" t="s">
        <v>13991</v>
      </c>
      <c r="R15607" t="s">
        <v>480</v>
      </c>
      <c r="S15607">
        <v>0</v>
      </c>
      <c r="T15607" s="1095">
        <v>0</v>
      </c>
    </row>
    <row r="15608" spans="16:20">
      <c r="P15608" s="1094">
        <v>6984</v>
      </c>
      <c r="Q15608" t="s">
        <v>2429</v>
      </c>
      <c r="R15608" t="s">
        <v>480</v>
      </c>
      <c r="S15608">
        <v>0</v>
      </c>
      <c r="T15608" s="1095">
        <v>0</v>
      </c>
    </row>
    <row r="15609" spans="16:20">
      <c r="P15609" s="1094">
        <v>6985</v>
      </c>
      <c r="Q15609" t="s">
        <v>13993</v>
      </c>
      <c r="R15609" t="s">
        <v>480</v>
      </c>
      <c r="S15609">
        <v>0</v>
      </c>
      <c r="T15609" s="1095">
        <v>0</v>
      </c>
    </row>
    <row r="15610" spans="16:20">
      <c r="P15610" s="1094">
        <v>6986</v>
      </c>
      <c r="Q15610" t="s">
        <v>13996</v>
      </c>
      <c r="R15610" t="s">
        <v>480</v>
      </c>
      <c r="S15610">
        <v>0</v>
      </c>
      <c r="T15610" s="1095">
        <v>0</v>
      </c>
    </row>
    <row r="15611" spans="16:20">
      <c r="P15611" s="1094">
        <v>6987</v>
      </c>
      <c r="Q15611" t="s">
        <v>13998</v>
      </c>
      <c r="R15611" t="s">
        <v>480</v>
      </c>
      <c r="S15611">
        <v>0</v>
      </c>
      <c r="T15611" s="1095">
        <v>0</v>
      </c>
    </row>
    <row r="15612" spans="16:20">
      <c r="P15612" s="1094">
        <v>6988</v>
      </c>
      <c r="Q15612" t="s">
        <v>14002</v>
      </c>
      <c r="R15612" t="s">
        <v>480</v>
      </c>
      <c r="S15612">
        <v>0</v>
      </c>
      <c r="T15612" s="1095">
        <v>0</v>
      </c>
    </row>
    <row r="15613" spans="16:20">
      <c r="P15613" s="1094">
        <v>6989</v>
      </c>
      <c r="Q15613" t="s">
        <v>14003</v>
      </c>
      <c r="R15613" t="s">
        <v>480</v>
      </c>
      <c r="S15613">
        <v>0</v>
      </c>
      <c r="T15613" s="1095">
        <v>0</v>
      </c>
    </row>
    <row r="15614" spans="16:20">
      <c r="P15614" s="1094">
        <v>6990</v>
      </c>
      <c r="Q15614" t="s">
        <v>14004</v>
      </c>
      <c r="R15614" t="s">
        <v>480</v>
      </c>
      <c r="S15614">
        <v>0</v>
      </c>
      <c r="T15614" s="1095">
        <v>0</v>
      </c>
    </row>
    <row r="15615" spans="16:20">
      <c r="P15615" s="1094">
        <v>6991</v>
      </c>
      <c r="Q15615" t="s">
        <v>14010</v>
      </c>
      <c r="R15615" t="s">
        <v>480</v>
      </c>
      <c r="S15615">
        <v>0</v>
      </c>
      <c r="T15615" s="1095">
        <v>0</v>
      </c>
    </row>
    <row r="15616" spans="16:20">
      <c r="P15616" s="1094">
        <v>6992</v>
      </c>
      <c r="Q15616" t="s">
        <v>6642</v>
      </c>
      <c r="R15616" t="s">
        <v>480</v>
      </c>
      <c r="S15616">
        <v>0</v>
      </c>
      <c r="T15616" s="1095">
        <v>0</v>
      </c>
    </row>
    <row r="15617" spans="16:20">
      <c r="P15617" s="1094">
        <v>6997</v>
      </c>
      <c r="Q15617" t="s">
        <v>14011</v>
      </c>
      <c r="R15617" t="s">
        <v>480</v>
      </c>
      <c r="S15617">
        <v>0</v>
      </c>
      <c r="T15617" s="1095">
        <v>0</v>
      </c>
    </row>
    <row r="15618" spans="16:20">
      <c r="P15618" s="1094">
        <v>7000</v>
      </c>
      <c r="Q15618" t="s">
        <v>15328</v>
      </c>
      <c r="R15618" t="s">
        <v>618</v>
      </c>
      <c r="S15618">
        <v>147.30800199999999</v>
      </c>
      <c r="T15618" s="1095">
        <v>-42.878354999999999</v>
      </c>
    </row>
    <row r="15619" spans="16:20">
      <c r="P15619" s="1094">
        <v>7000</v>
      </c>
      <c r="Q15619" t="s">
        <v>1796</v>
      </c>
      <c r="R15619" t="s">
        <v>618</v>
      </c>
      <c r="S15619">
        <v>147.30800199999999</v>
      </c>
      <c r="T15619" s="1095">
        <v>-42.878354999999999</v>
      </c>
    </row>
    <row r="15620" spans="16:20">
      <c r="P15620" s="1094">
        <v>7000</v>
      </c>
      <c r="Q15620" t="s">
        <v>15329</v>
      </c>
      <c r="R15620" t="s">
        <v>618</v>
      </c>
      <c r="S15620">
        <v>147.30800199999999</v>
      </c>
      <c r="T15620" s="1095">
        <v>-42.878354999999999</v>
      </c>
    </row>
    <row r="15621" spans="16:20">
      <c r="P15621" s="1094">
        <v>7000</v>
      </c>
      <c r="Q15621" t="s">
        <v>11848</v>
      </c>
      <c r="R15621" t="s">
        <v>618</v>
      </c>
      <c r="S15621">
        <v>147.30800199999999</v>
      </c>
      <c r="T15621" s="1095">
        <v>-42.878354999999999</v>
      </c>
    </row>
    <row r="15622" spans="16:20">
      <c r="P15622" s="1094">
        <v>7000</v>
      </c>
      <c r="Q15622" t="s">
        <v>15330</v>
      </c>
      <c r="R15622" t="s">
        <v>618</v>
      </c>
      <c r="S15622">
        <v>147.30800199999999</v>
      </c>
      <c r="T15622" s="1095">
        <v>-42.878354999999999</v>
      </c>
    </row>
    <row r="15623" spans="16:20">
      <c r="P15623" s="1094">
        <v>7000</v>
      </c>
      <c r="Q15623" t="s">
        <v>15331</v>
      </c>
      <c r="R15623" t="s">
        <v>618</v>
      </c>
      <c r="S15623">
        <v>147.30800199999999</v>
      </c>
      <c r="T15623" s="1095">
        <v>-42.878354999999999</v>
      </c>
    </row>
    <row r="15624" spans="16:20">
      <c r="P15624" s="1094">
        <v>7000</v>
      </c>
      <c r="Q15624" t="s">
        <v>15332</v>
      </c>
      <c r="R15624" t="s">
        <v>618</v>
      </c>
      <c r="S15624">
        <v>147.30800199999999</v>
      </c>
      <c r="T15624" s="1095">
        <v>-42.878354999999999</v>
      </c>
    </row>
    <row r="15625" spans="16:20">
      <c r="P15625" s="1094">
        <v>7001</v>
      </c>
      <c r="Q15625" t="s">
        <v>15329</v>
      </c>
      <c r="R15625" t="s">
        <v>618</v>
      </c>
      <c r="S15625">
        <v>146.356055</v>
      </c>
      <c r="T15625" s="1095">
        <v>-43.535913000000001</v>
      </c>
    </row>
    <row r="15626" spans="16:20">
      <c r="P15626" s="1094">
        <v>7001</v>
      </c>
      <c r="Q15626" t="s">
        <v>15333</v>
      </c>
      <c r="R15626" t="s">
        <v>618</v>
      </c>
      <c r="S15626">
        <v>146.356055</v>
      </c>
      <c r="T15626" s="1095">
        <v>-43.535913000000001</v>
      </c>
    </row>
    <row r="15627" spans="16:20">
      <c r="P15627" s="1094">
        <v>7002</v>
      </c>
      <c r="Q15627" t="s">
        <v>15330</v>
      </c>
      <c r="R15627" t="s">
        <v>618</v>
      </c>
      <c r="S15627">
        <v>0</v>
      </c>
      <c r="T15627" s="1095">
        <v>0</v>
      </c>
    </row>
    <row r="15628" spans="16:20">
      <c r="P15628" s="1094">
        <v>7004</v>
      </c>
      <c r="Q15628" t="s">
        <v>15334</v>
      </c>
      <c r="R15628" t="s">
        <v>618</v>
      </c>
      <c r="S15628">
        <v>147.32892799999999</v>
      </c>
      <c r="T15628" s="1095">
        <v>-42.890148000000003</v>
      </c>
    </row>
    <row r="15629" spans="16:20">
      <c r="P15629" s="1094">
        <v>7004</v>
      </c>
      <c r="Q15629" t="s">
        <v>15335</v>
      </c>
      <c r="R15629" t="s">
        <v>618</v>
      </c>
      <c r="S15629">
        <v>147.32892799999999</v>
      </c>
      <c r="T15629" s="1095">
        <v>-42.890148000000003</v>
      </c>
    </row>
    <row r="15630" spans="16:20">
      <c r="P15630" s="1094">
        <v>7005</v>
      </c>
      <c r="Q15630" t="s">
        <v>15336</v>
      </c>
      <c r="R15630" t="s">
        <v>618</v>
      </c>
      <c r="S15630">
        <v>147.33680000000001</v>
      </c>
      <c r="T15630" s="1095">
        <v>-42.916204</v>
      </c>
    </row>
    <row r="15631" spans="16:20">
      <c r="P15631" s="1094">
        <v>7005</v>
      </c>
      <c r="Q15631" t="s">
        <v>15337</v>
      </c>
      <c r="R15631" t="s">
        <v>618</v>
      </c>
      <c r="S15631">
        <v>147.33680000000001</v>
      </c>
      <c r="T15631" s="1095">
        <v>-42.916204</v>
      </c>
    </row>
    <row r="15632" spans="16:20">
      <c r="P15632" s="1094">
        <v>7005</v>
      </c>
      <c r="Q15632" t="s">
        <v>15338</v>
      </c>
      <c r="R15632" t="s">
        <v>618</v>
      </c>
      <c r="S15632">
        <v>147.33680000000001</v>
      </c>
      <c r="T15632" s="1095">
        <v>-42.916204</v>
      </c>
    </row>
    <row r="15633" spans="16:20">
      <c r="P15633" s="1094">
        <v>7005</v>
      </c>
      <c r="Q15633" t="s">
        <v>15339</v>
      </c>
      <c r="R15633" t="s">
        <v>618</v>
      </c>
      <c r="S15633">
        <v>147.33680000000001</v>
      </c>
      <c r="T15633" s="1095">
        <v>-42.916204</v>
      </c>
    </row>
    <row r="15634" spans="16:20">
      <c r="P15634" s="1094">
        <v>7006</v>
      </c>
      <c r="Q15634" t="s">
        <v>15338</v>
      </c>
      <c r="R15634" t="s">
        <v>618</v>
      </c>
      <c r="S15634">
        <v>0</v>
      </c>
      <c r="T15634" s="1095">
        <v>0</v>
      </c>
    </row>
    <row r="15635" spans="16:20">
      <c r="P15635" s="1094">
        <v>7007</v>
      </c>
      <c r="Q15635" t="s">
        <v>15340</v>
      </c>
      <c r="R15635" t="s">
        <v>618</v>
      </c>
      <c r="S15635">
        <v>147.319501</v>
      </c>
      <c r="T15635" s="1095">
        <v>-42.922863</v>
      </c>
    </row>
    <row r="15636" spans="16:20">
      <c r="P15636" s="1094">
        <v>7007</v>
      </c>
      <c r="Q15636" t="s">
        <v>15341</v>
      </c>
      <c r="R15636" t="s">
        <v>618</v>
      </c>
      <c r="S15636">
        <v>147.319501</v>
      </c>
      <c r="T15636" s="1095">
        <v>-42.922863</v>
      </c>
    </row>
    <row r="15637" spans="16:20">
      <c r="P15637" s="1094">
        <v>7008</v>
      </c>
      <c r="Q15637" t="s">
        <v>15342</v>
      </c>
      <c r="R15637" t="s">
        <v>618</v>
      </c>
      <c r="S15637">
        <v>147.29326800000001</v>
      </c>
      <c r="T15637" s="1095">
        <v>-42.861932000000003</v>
      </c>
    </row>
    <row r="15638" spans="16:20">
      <c r="P15638" s="1094">
        <v>7008</v>
      </c>
      <c r="Q15638" t="s">
        <v>15343</v>
      </c>
      <c r="R15638" t="s">
        <v>618</v>
      </c>
      <c r="S15638">
        <v>147.29326800000001</v>
      </c>
      <c r="T15638" s="1095">
        <v>-42.861932000000003</v>
      </c>
    </row>
    <row r="15639" spans="16:20">
      <c r="P15639" s="1094">
        <v>7008</v>
      </c>
      <c r="Q15639" t="s">
        <v>13527</v>
      </c>
      <c r="R15639" t="s">
        <v>618</v>
      </c>
      <c r="S15639">
        <v>147.29326800000001</v>
      </c>
      <c r="T15639" s="1095">
        <v>-42.861932000000003</v>
      </c>
    </row>
    <row r="15640" spans="16:20">
      <c r="P15640" s="1094">
        <v>7009</v>
      </c>
      <c r="Q15640" t="s">
        <v>15344</v>
      </c>
      <c r="R15640" t="s">
        <v>618</v>
      </c>
      <c r="S15640">
        <v>147.289682</v>
      </c>
      <c r="T15640" s="1095">
        <v>-42.842607000000001</v>
      </c>
    </row>
    <row r="15641" spans="16:20">
      <c r="P15641" s="1094">
        <v>7009</v>
      </c>
      <c r="Q15641" t="s">
        <v>15345</v>
      </c>
      <c r="R15641" t="s">
        <v>618</v>
      </c>
      <c r="S15641">
        <v>147.289682</v>
      </c>
      <c r="T15641" s="1095">
        <v>-42.842607000000001</v>
      </c>
    </row>
    <row r="15642" spans="16:20">
      <c r="P15642" s="1094">
        <v>7009</v>
      </c>
      <c r="Q15642" t="s">
        <v>15346</v>
      </c>
      <c r="R15642" t="s">
        <v>618</v>
      </c>
      <c r="S15642">
        <v>147.289682</v>
      </c>
      <c r="T15642" s="1095">
        <v>-42.842607000000001</v>
      </c>
    </row>
    <row r="15643" spans="16:20">
      <c r="P15643" s="1094">
        <v>7009</v>
      </c>
      <c r="Q15643" t="s">
        <v>15347</v>
      </c>
      <c r="R15643" t="s">
        <v>618</v>
      </c>
      <c r="S15643">
        <v>147.289682</v>
      </c>
      <c r="T15643" s="1095">
        <v>-42.842607000000001</v>
      </c>
    </row>
    <row r="15644" spans="16:20">
      <c r="P15644" s="1094">
        <v>7010</v>
      </c>
      <c r="Q15644" t="s">
        <v>15348</v>
      </c>
      <c r="R15644" t="s">
        <v>618</v>
      </c>
      <c r="S15644">
        <v>147.212366</v>
      </c>
      <c r="T15644" s="1095">
        <v>-42.85913</v>
      </c>
    </row>
    <row r="15645" spans="16:20">
      <c r="P15645" s="1094">
        <v>7010</v>
      </c>
      <c r="Q15645" t="s">
        <v>15349</v>
      </c>
      <c r="R15645" t="s">
        <v>618</v>
      </c>
      <c r="S15645">
        <v>147.212366</v>
      </c>
      <c r="T15645" s="1095">
        <v>-42.85913</v>
      </c>
    </row>
    <row r="15646" spans="16:20">
      <c r="P15646" s="1094">
        <v>7010</v>
      </c>
      <c r="Q15646" t="s">
        <v>7464</v>
      </c>
      <c r="R15646" t="s">
        <v>618</v>
      </c>
      <c r="S15646">
        <v>147.212366</v>
      </c>
      <c r="T15646" s="1095">
        <v>-42.85913</v>
      </c>
    </row>
    <row r="15647" spans="16:20">
      <c r="P15647" s="1094">
        <v>7010</v>
      </c>
      <c r="Q15647" t="s">
        <v>11205</v>
      </c>
      <c r="R15647" t="s">
        <v>618</v>
      </c>
      <c r="S15647">
        <v>147.212366</v>
      </c>
      <c r="T15647" s="1095">
        <v>-42.85913</v>
      </c>
    </row>
    <row r="15648" spans="16:20">
      <c r="P15648" s="1094">
        <v>7010</v>
      </c>
      <c r="Q15648" t="s">
        <v>8677</v>
      </c>
      <c r="R15648" t="s">
        <v>618</v>
      </c>
      <c r="S15648">
        <v>147.212366</v>
      </c>
      <c r="T15648" s="1095">
        <v>-42.85913</v>
      </c>
    </row>
    <row r="15649" spans="16:20">
      <c r="P15649" s="1094">
        <v>7010</v>
      </c>
      <c r="Q15649" t="s">
        <v>15350</v>
      </c>
      <c r="R15649" t="s">
        <v>618</v>
      </c>
      <c r="S15649">
        <v>147.212366</v>
      </c>
      <c r="T15649" s="1095">
        <v>-42.85913</v>
      </c>
    </row>
    <row r="15650" spans="16:20">
      <c r="P15650" s="1094">
        <v>7011</v>
      </c>
      <c r="Q15650" t="s">
        <v>15351</v>
      </c>
      <c r="R15650" t="s">
        <v>618</v>
      </c>
      <c r="S15650">
        <v>147.230065</v>
      </c>
      <c r="T15650" s="1095">
        <v>-42.793393000000002</v>
      </c>
    </row>
    <row r="15651" spans="16:20">
      <c r="P15651" s="1094">
        <v>7011</v>
      </c>
      <c r="Q15651" t="s">
        <v>15352</v>
      </c>
      <c r="R15651" t="s">
        <v>618</v>
      </c>
      <c r="S15651">
        <v>147.230065</v>
      </c>
      <c r="T15651" s="1095">
        <v>-42.793393000000002</v>
      </c>
    </row>
    <row r="15652" spans="16:20">
      <c r="P15652" s="1094">
        <v>7011</v>
      </c>
      <c r="Q15652" t="s">
        <v>15353</v>
      </c>
      <c r="R15652" t="s">
        <v>618</v>
      </c>
      <c r="S15652">
        <v>147.230065</v>
      </c>
      <c r="T15652" s="1095">
        <v>-42.793393000000002</v>
      </c>
    </row>
    <row r="15653" spans="16:20">
      <c r="P15653" s="1094">
        <v>7011</v>
      </c>
      <c r="Q15653" t="s">
        <v>13815</v>
      </c>
      <c r="R15653" t="s">
        <v>618</v>
      </c>
      <c r="S15653">
        <v>147.230065</v>
      </c>
      <c r="T15653" s="1095">
        <v>-42.793393000000002</v>
      </c>
    </row>
    <row r="15654" spans="16:20">
      <c r="P15654" s="1094">
        <v>7012</v>
      </c>
      <c r="Q15654" t="s">
        <v>15354</v>
      </c>
      <c r="R15654" t="s">
        <v>618</v>
      </c>
      <c r="S15654">
        <v>147.17438200000001</v>
      </c>
      <c r="T15654" s="1095">
        <v>-42.833717999999998</v>
      </c>
    </row>
    <row r="15655" spans="16:20">
      <c r="P15655" s="1094">
        <v>7012</v>
      </c>
      <c r="Q15655" t="s">
        <v>15355</v>
      </c>
      <c r="R15655" t="s">
        <v>618</v>
      </c>
      <c r="S15655">
        <v>147.17438200000001</v>
      </c>
      <c r="T15655" s="1095">
        <v>-42.833717999999998</v>
      </c>
    </row>
    <row r="15656" spans="16:20">
      <c r="P15656" s="1094">
        <v>7015</v>
      </c>
      <c r="Q15656" t="s">
        <v>15356</v>
      </c>
      <c r="R15656" t="s">
        <v>618</v>
      </c>
      <c r="S15656">
        <v>147.360174</v>
      </c>
      <c r="T15656" s="1095">
        <v>-42.839030000000001</v>
      </c>
    </row>
    <row r="15657" spans="16:20">
      <c r="P15657" s="1094">
        <v>7015</v>
      </c>
      <c r="Q15657" t="s">
        <v>15357</v>
      </c>
      <c r="R15657" t="s">
        <v>618</v>
      </c>
      <c r="S15657">
        <v>147.360174</v>
      </c>
      <c r="T15657" s="1095">
        <v>-42.839030000000001</v>
      </c>
    </row>
    <row r="15658" spans="16:20">
      <c r="P15658" s="1094">
        <v>7015</v>
      </c>
      <c r="Q15658" t="s">
        <v>15358</v>
      </c>
      <c r="R15658" t="s">
        <v>618</v>
      </c>
      <c r="S15658">
        <v>147.360174</v>
      </c>
      <c r="T15658" s="1095">
        <v>-42.839030000000001</v>
      </c>
    </row>
    <row r="15659" spans="16:20">
      <c r="P15659" s="1094">
        <v>7015</v>
      </c>
      <c r="Q15659" t="s">
        <v>1768</v>
      </c>
      <c r="R15659" t="s">
        <v>618</v>
      </c>
      <c r="S15659">
        <v>147.360174</v>
      </c>
      <c r="T15659" s="1095">
        <v>-42.839030000000001</v>
      </c>
    </row>
    <row r="15660" spans="16:20">
      <c r="P15660" s="1094">
        <v>7016</v>
      </c>
      <c r="Q15660" t="s">
        <v>15359</v>
      </c>
      <c r="R15660" t="s">
        <v>618</v>
      </c>
      <c r="S15660">
        <v>147.34638100000001</v>
      </c>
      <c r="T15660" s="1095">
        <v>-42.813550999999997</v>
      </c>
    </row>
    <row r="15661" spans="16:20">
      <c r="P15661" s="1094">
        <v>7017</v>
      </c>
      <c r="Q15661" t="s">
        <v>15360</v>
      </c>
      <c r="R15661" t="s">
        <v>618</v>
      </c>
      <c r="S15661">
        <v>147.315111</v>
      </c>
      <c r="T15661" s="1095">
        <v>-42.719273999999999</v>
      </c>
    </row>
    <row r="15662" spans="16:20">
      <c r="P15662" s="1094">
        <v>7017</v>
      </c>
      <c r="Q15662" t="s">
        <v>15361</v>
      </c>
      <c r="R15662" t="s">
        <v>618</v>
      </c>
      <c r="S15662">
        <v>147.315111</v>
      </c>
      <c r="T15662" s="1095">
        <v>-42.719273999999999</v>
      </c>
    </row>
    <row r="15663" spans="16:20">
      <c r="P15663" s="1094">
        <v>7017</v>
      </c>
      <c r="Q15663" t="s">
        <v>15362</v>
      </c>
      <c r="R15663" t="s">
        <v>618</v>
      </c>
      <c r="S15663">
        <v>147.315111</v>
      </c>
      <c r="T15663" s="1095">
        <v>-42.719273999999999</v>
      </c>
    </row>
    <row r="15664" spans="16:20">
      <c r="P15664" s="1094">
        <v>7017</v>
      </c>
      <c r="Q15664" t="s">
        <v>15363</v>
      </c>
      <c r="R15664" t="s">
        <v>618</v>
      </c>
      <c r="S15664">
        <v>147.315111</v>
      </c>
      <c r="T15664" s="1095">
        <v>-42.719273999999999</v>
      </c>
    </row>
    <row r="15665" spans="16:20">
      <c r="P15665" s="1094">
        <v>7017</v>
      </c>
      <c r="Q15665" t="s">
        <v>15364</v>
      </c>
      <c r="R15665" t="s">
        <v>618</v>
      </c>
      <c r="S15665">
        <v>147.315111</v>
      </c>
      <c r="T15665" s="1095">
        <v>-42.719273999999999</v>
      </c>
    </row>
    <row r="15666" spans="16:20">
      <c r="P15666" s="1094">
        <v>7017</v>
      </c>
      <c r="Q15666" t="s">
        <v>15365</v>
      </c>
      <c r="R15666" t="s">
        <v>618</v>
      </c>
      <c r="S15666">
        <v>147.315111</v>
      </c>
      <c r="T15666" s="1095">
        <v>-42.719273999999999</v>
      </c>
    </row>
    <row r="15667" spans="16:20">
      <c r="P15667" s="1094">
        <v>7018</v>
      </c>
      <c r="Q15667" t="s">
        <v>15366</v>
      </c>
      <c r="R15667" t="s">
        <v>618</v>
      </c>
      <c r="S15667">
        <v>147.38568100000001</v>
      </c>
      <c r="T15667" s="1095">
        <v>-42.877588000000003</v>
      </c>
    </row>
    <row r="15668" spans="16:20">
      <c r="P15668" s="1094">
        <v>7018</v>
      </c>
      <c r="Q15668" t="s">
        <v>15367</v>
      </c>
      <c r="R15668" t="s">
        <v>618</v>
      </c>
      <c r="S15668">
        <v>147.38568100000001</v>
      </c>
      <c r="T15668" s="1095">
        <v>-42.877588000000003</v>
      </c>
    </row>
    <row r="15669" spans="16:20">
      <c r="P15669" s="1094">
        <v>7018</v>
      </c>
      <c r="Q15669" t="s">
        <v>15368</v>
      </c>
      <c r="R15669" t="s">
        <v>618</v>
      </c>
      <c r="S15669">
        <v>147.38568100000001</v>
      </c>
      <c r="T15669" s="1095">
        <v>-42.877588000000003</v>
      </c>
    </row>
    <row r="15670" spans="16:20">
      <c r="P15670" s="1094">
        <v>7018</v>
      </c>
      <c r="Q15670" t="s">
        <v>9132</v>
      </c>
      <c r="R15670" t="s">
        <v>618</v>
      </c>
      <c r="S15670">
        <v>147.38568100000001</v>
      </c>
      <c r="T15670" s="1095">
        <v>-42.877588000000003</v>
      </c>
    </row>
    <row r="15671" spans="16:20">
      <c r="P15671" s="1094">
        <v>7018</v>
      </c>
      <c r="Q15671" t="s">
        <v>15369</v>
      </c>
      <c r="R15671" t="s">
        <v>618</v>
      </c>
      <c r="S15671">
        <v>147.38568100000001</v>
      </c>
      <c r="T15671" s="1095">
        <v>-42.877588000000003</v>
      </c>
    </row>
    <row r="15672" spans="16:20">
      <c r="P15672" s="1094">
        <v>7018</v>
      </c>
      <c r="Q15672" t="s">
        <v>15370</v>
      </c>
      <c r="R15672" t="s">
        <v>618</v>
      </c>
      <c r="S15672">
        <v>147.38568100000001</v>
      </c>
      <c r="T15672" s="1095">
        <v>-42.877588000000003</v>
      </c>
    </row>
    <row r="15673" spans="16:20">
      <c r="P15673" s="1094">
        <v>7018</v>
      </c>
      <c r="Q15673" t="s">
        <v>12605</v>
      </c>
      <c r="R15673" t="s">
        <v>618</v>
      </c>
      <c r="S15673">
        <v>147.38568100000001</v>
      </c>
      <c r="T15673" s="1095">
        <v>-42.877588000000003</v>
      </c>
    </row>
    <row r="15674" spans="16:20">
      <c r="P15674" s="1094">
        <v>7018</v>
      </c>
      <c r="Q15674" t="s">
        <v>15371</v>
      </c>
      <c r="R15674" t="s">
        <v>618</v>
      </c>
      <c r="S15674">
        <v>147.38568100000001</v>
      </c>
      <c r="T15674" s="1095">
        <v>-42.877588000000003</v>
      </c>
    </row>
    <row r="15675" spans="16:20">
      <c r="P15675" s="1094">
        <v>7019</v>
      </c>
      <c r="Q15675" t="s">
        <v>15372</v>
      </c>
      <c r="R15675" t="s">
        <v>618</v>
      </c>
      <c r="S15675">
        <v>147.43333699999999</v>
      </c>
      <c r="T15675" s="1095">
        <v>-42.898778</v>
      </c>
    </row>
    <row r="15676" spans="16:20">
      <c r="P15676" s="1094">
        <v>7019</v>
      </c>
      <c r="Q15676" t="s">
        <v>15373</v>
      </c>
      <c r="R15676" t="s">
        <v>618</v>
      </c>
      <c r="S15676">
        <v>147.43333699999999</v>
      </c>
      <c r="T15676" s="1095">
        <v>-42.898778</v>
      </c>
    </row>
    <row r="15677" spans="16:20">
      <c r="P15677" s="1094">
        <v>7019</v>
      </c>
      <c r="Q15677" t="s">
        <v>8784</v>
      </c>
      <c r="R15677" t="s">
        <v>618</v>
      </c>
      <c r="S15677">
        <v>147.43333699999999</v>
      </c>
      <c r="T15677" s="1095">
        <v>-42.898778</v>
      </c>
    </row>
    <row r="15678" spans="16:20">
      <c r="P15678" s="1094">
        <v>7020</v>
      </c>
      <c r="Q15678" t="s">
        <v>12344</v>
      </c>
      <c r="R15678" t="s">
        <v>618</v>
      </c>
      <c r="S15678">
        <v>147.47851</v>
      </c>
      <c r="T15678" s="1095">
        <v>-42.965741000000001</v>
      </c>
    </row>
    <row r="15679" spans="16:20">
      <c r="P15679" s="1094">
        <v>7020</v>
      </c>
      <c r="Q15679" t="s">
        <v>7132</v>
      </c>
      <c r="R15679" t="s">
        <v>618</v>
      </c>
      <c r="S15679">
        <v>147.47851</v>
      </c>
      <c r="T15679" s="1095">
        <v>-42.965741000000001</v>
      </c>
    </row>
    <row r="15680" spans="16:20">
      <c r="P15680" s="1094">
        <v>7021</v>
      </c>
      <c r="Q15680" t="s">
        <v>15374</v>
      </c>
      <c r="R15680" t="s">
        <v>618</v>
      </c>
      <c r="S15680">
        <v>147.480017</v>
      </c>
      <c r="T15680" s="1095">
        <v>-42.906796</v>
      </c>
    </row>
    <row r="15681" spans="16:20">
      <c r="P15681" s="1094">
        <v>7022</v>
      </c>
      <c r="Q15681" t="s">
        <v>3608</v>
      </c>
      <c r="R15681" t="s">
        <v>618</v>
      </c>
      <c r="S15681">
        <v>147.47988000000001</v>
      </c>
      <c r="T15681" s="1095">
        <v>-43.053156000000001</v>
      </c>
    </row>
    <row r="15682" spans="16:20">
      <c r="P15682" s="1094">
        <v>7023</v>
      </c>
      <c r="Q15682" t="s">
        <v>15375</v>
      </c>
      <c r="R15682" t="s">
        <v>618</v>
      </c>
      <c r="S15682">
        <v>147.409324</v>
      </c>
      <c r="T15682" s="1095">
        <v>-42.988314000000003</v>
      </c>
    </row>
    <row r="15683" spans="16:20">
      <c r="P15683" s="1094">
        <v>7024</v>
      </c>
      <c r="Q15683" t="s">
        <v>1900</v>
      </c>
      <c r="R15683" t="s">
        <v>618</v>
      </c>
      <c r="S15683">
        <v>147.512182</v>
      </c>
      <c r="T15683" s="1095">
        <v>-42.950412</v>
      </c>
    </row>
    <row r="15684" spans="16:20">
      <c r="P15684" s="1094">
        <v>7025</v>
      </c>
      <c r="Q15684" t="s">
        <v>15376</v>
      </c>
      <c r="R15684" t="s">
        <v>618</v>
      </c>
      <c r="S15684">
        <v>147.439671</v>
      </c>
      <c r="T15684" s="1095">
        <v>-42.730263999999998</v>
      </c>
    </row>
    <row r="15685" spans="16:20">
      <c r="P15685" s="1094">
        <v>7025</v>
      </c>
      <c r="Q15685" t="s">
        <v>5573</v>
      </c>
      <c r="R15685" t="s">
        <v>618</v>
      </c>
      <c r="S15685">
        <v>147.439671</v>
      </c>
      <c r="T15685" s="1095">
        <v>-42.730263999999998</v>
      </c>
    </row>
    <row r="15686" spans="16:20">
      <c r="P15686" s="1094">
        <v>7026</v>
      </c>
      <c r="Q15686" t="s">
        <v>15377</v>
      </c>
      <c r="R15686" t="s">
        <v>618</v>
      </c>
      <c r="S15686">
        <v>147.45136299999999</v>
      </c>
      <c r="T15686" s="1095">
        <v>-42.646044000000003</v>
      </c>
    </row>
    <row r="15687" spans="16:20">
      <c r="P15687" s="1094">
        <v>7027</v>
      </c>
      <c r="Q15687" t="s">
        <v>15378</v>
      </c>
      <c r="R15687" t="s">
        <v>618</v>
      </c>
      <c r="S15687">
        <v>147.38349500000001</v>
      </c>
      <c r="T15687" s="1095">
        <v>-42.536377000000002</v>
      </c>
    </row>
    <row r="15688" spans="16:20">
      <c r="P15688" s="1094">
        <v>7030</v>
      </c>
      <c r="Q15688" t="s">
        <v>5925</v>
      </c>
      <c r="R15688" t="s">
        <v>618</v>
      </c>
      <c r="S15688">
        <v>146.958381</v>
      </c>
      <c r="T15688" s="1095">
        <v>-42.304288</v>
      </c>
    </row>
    <row r="15689" spans="16:20">
      <c r="P15689" s="1094">
        <v>7030</v>
      </c>
      <c r="Q15689" t="s">
        <v>15379</v>
      </c>
      <c r="R15689" t="s">
        <v>618</v>
      </c>
      <c r="S15689">
        <v>146.958381</v>
      </c>
      <c r="T15689" s="1095">
        <v>-42.304288</v>
      </c>
    </row>
    <row r="15690" spans="16:20">
      <c r="P15690" s="1094">
        <v>7030</v>
      </c>
      <c r="Q15690" t="s">
        <v>15380</v>
      </c>
      <c r="R15690" t="s">
        <v>618</v>
      </c>
      <c r="S15690">
        <v>146.958381</v>
      </c>
      <c r="T15690" s="1095">
        <v>-42.304288</v>
      </c>
    </row>
    <row r="15691" spans="16:20">
      <c r="P15691" s="1094">
        <v>7030</v>
      </c>
      <c r="Q15691" t="s">
        <v>15381</v>
      </c>
      <c r="R15691" t="s">
        <v>618</v>
      </c>
      <c r="S15691">
        <v>146.958381</v>
      </c>
      <c r="T15691" s="1095">
        <v>-42.304288</v>
      </c>
    </row>
    <row r="15692" spans="16:20">
      <c r="P15692" s="1094">
        <v>7030</v>
      </c>
      <c r="Q15692" t="s">
        <v>15382</v>
      </c>
      <c r="R15692" t="s">
        <v>618</v>
      </c>
      <c r="S15692">
        <v>146.958381</v>
      </c>
      <c r="T15692" s="1095">
        <v>-42.304288</v>
      </c>
    </row>
    <row r="15693" spans="16:20">
      <c r="P15693" s="1094">
        <v>7030</v>
      </c>
      <c r="Q15693" t="s">
        <v>7861</v>
      </c>
      <c r="R15693" t="s">
        <v>618</v>
      </c>
      <c r="S15693">
        <v>146.958381</v>
      </c>
      <c r="T15693" s="1095">
        <v>-42.304288</v>
      </c>
    </row>
    <row r="15694" spans="16:20">
      <c r="P15694" s="1094">
        <v>7030</v>
      </c>
      <c r="Q15694" t="s">
        <v>6736</v>
      </c>
      <c r="R15694" t="s">
        <v>618</v>
      </c>
      <c r="S15694">
        <v>146.958381</v>
      </c>
      <c r="T15694" s="1095">
        <v>-42.304288</v>
      </c>
    </row>
    <row r="15695" spans="16:20">
      <c r="P15695" s="1094">
        <v>7030</v>
      </c>
      <c r="Q15695" t="s">
        <v>15383</v>
      </c>
      <c r="R15695" t="s">
        <v>618</v>
      </c>
      <c r="S15695">
        <v>146.958381</v>
      </c>
      <c r="T15695" s="1095">
        <v>-42.304288</v>
      </c>
    </row>
    <row r="15696" spans="16:20">
      <c r="P15696" s="1094">
        <v>7030</v>
      </c>
      <c r="Q15696" t="s">
        <v>15384</v>
      </c>
      <c r="R15696" t="s">
        <v>618</v>
      </c>
      <c r="S15696">
        <v>146.958381</v>
      </c>
      <c r="T15696" s="1095">
        <v>-42.304288</v>
      </c>
    </row>
    <row r="15697" spans="16:20">
      <c r="P15697" s="1094">
        <v>7030</v>
      </c>
      <c r="Q15697" t="s">
        <v>11558</v>
      </c>
      <c r="R15697" t="s">
        <v>618</v>
      </c>
      <c r="S15697">
        <v>146.958381</v>
      </c>
      <c r="T15697" s="1095">
        <v>-42.304288</v>
      </c>
    </row>
    <row r="15698" spans="16:20">
      <c r="P15698" s="1094">
        <v>7030</v>
      </c>
      <c r="Q15698" t="s">
        <v>8327</v>
      </c>
      <c r="R15698" t="s">
        <v>618</v>
      </c>
      <c r="S15698">
        <v>146.958381</v>
      </c>
      <c r="T15698" s="1095">
        <v>-42.304288</v>
      </c>
    </row>
    <row r="15699" spans="16:20">
      <c r="P15699" s="1094">
        <v>7030</v>
      </c>
      <c r="Q15699" t="s">
        <v>2811</v>
      </c>
      <c r="R15699" t="s">
        <v>618</v>
      </c>
      <c r="S15699">
        <v>146.958381</v>
      </c>
      <c r="T15699" s="1095">
        <v>-42.304288</v>
      </c>
    </row>
    <row r="15700" spans="16:20">
      <c r="P15700" s="1094">
        <v>7030</v>
      </c>
      <c r="Q15700" t="s">
        <v>15385</v>
      </c>
      <c r="R15700" t="s">
        <v>618</v>
      </c>
      <c r="S15700">
        <v>146.958381</v>
      </c>
      <c r="T15700" s="1095">
        <v>-42.304288</v>
      </c>
    </row>
    <row r="15701" spans="16:20">
      <c r="P15701" s="1094">
        <v>7030</v>
      </c>
      <c r="Q15701" t="s">
        <v>15386</v>
      </c>
      <c r="R15701" t="s">
        <v>618</v>
      </c>
      <c r="S15701">
        <v>146.958381</v>
      </c>
      <c r="T15701" s="1095">
        <v>-42.304288</v>
      </c>
    </row>
    <row r="15702" spans="16:20">
      <c r="P15702" s="1094">
        <v>7030</v>
      </c>
      <c r="Q15702" t="s">
        <v>15387</v>
      </c>
      <c r="R15702" t="s">
        <v>618</v>
      </c>
      <c r="S15702">
        <v>146.958381</v>
      </c>
      <c r="T15702" s="1095">
        <v>-42.304288</v>
      </c>
    </row>
    <row r="15703" spans="16:20">
      <c r="P15703" s="1094">
        <v>7030</v>
      </c>
      <c r="Q15703" t="s">
        <v>15388</v>
      </c>
      <c r="R15703" t="s">
        <v>618</v>
      </c>
      <c r="S15703">
        <v>146.958381</v>
      </c>
      <c r="T15703" s="1095">
        <v>-42.304288</v>
      </c>
    </row>
    <row r="15704" spans="16:20">
      <c r="P15704" s="1094">
        <v>7030</v>
      </c>
      <c r="Q15704" t="s">
        <v>15389</v>
      </c>
      <c r="R15704" t="s">
        <v>618</v>
      </c>
      <c r="S15704">
        <v>146.958381</v>
      </c>
      <c r="T15704" s="1095">
        <v>-42.304288</v>
      </c>
    </row>
    <row r="15705" spans="16:20">
      <c r="P15705" s="1094">
        <v>7030</v>
      </c>
      <c r="Q15705" t="s">
        <v>11580</v>
      </c>
      <c r="R15705" t="s">
        <v>618</v>
      </c>
      <c r="S15705">
        <v>146.958381</v>
      </c>
      <c r="T15705" s="1095">
        <v>-42.304288</v>
      </c>
    </row>
    <row r="15706" spans="16:20">
      <c r="P15706" s="1094">
        <v>7030</v>
      </c>
      <c r="Q15706" t="s">
        <v>4733</v>
      </c>
      <c r="R15706" t="s">
        <v>618</v>
      </c>
      <c r="S15706">
        <v>146.958381</v>
      </c>
      <c r="T15706" s="1095">
        <v>-42.304288</v>
      </c>
    </row>
    <row r="15707" spans="16:20">
      <c r="P15707" s="1094">
        <v>7030</v>
      </c>
      <c r="Q15707" t="s">
        <v>15390</v>
      </c>
      <c r="R15707" t="s">
        <v>618</v>
      </c>
      <c r="S15707">
        <v>146.958381</v>
      </c>
      <c r="T15707" s="1095">
        <v>-42.304288</v>
      </c>
    </row>
    <row r="15708" spans="16:20">
      <c r="P15708" s="1094">
        <v>7030</v>
      </c>
      <c r="Q15708" t="s">
        <v>15391</v>
      </c>
      <c r="R15708" t="s">
        <v>618</v>
      </c>
      <c r="S15708">
        <v>146.958381</v>
      </c>
      <c r="T15708" s="1095">
        <v>-42.304288</v>
      </c>
    </row>
    <row r="15709" spans="16:20">
      <c r="P15709" s="1094">
        <v>7030</v>
      </c>
      <c r="Q15709" t="s">
        <v>15392</v>
      </c>
      <c r="R15709" t="s">
        <v>618</v>
      </c>
      <c r="S15709">
        <v>146.958381</v>
      </c>
      <c r="T15709" s="1095">
        <v>-42.304288</v>
      </c>
    </row>
    <row r="15710" spans="16:20">
      <c r="P15710" s="1094">
        <v>7030</v>
      </c>
      <c r="Q15710" t="s">
        <v>8336</v>
      </c>
      <c r="R15710" t="s">
        <v>618</v>
      </c>
      <c r="S15710">
        <v>146.958381</v>
      </c>
      <c r="T15710" s="1095">
        <v>-42.304288</v>
      </c>
    </row>
    <row r="15711" spans="16:20">
      <c r="P15711" s="1094">
        <v>7030</v>
      </c>
      <c r="Q15711" t="s">
        <v>15393</v>
      </c>
      <c r="R15711" t="s">
        <v>618</v>
      </c>
      <c r="S15711">
        <v>146.958381</v>
      </c>
      <c r="T15711" s="1095">
        <v>-42.304288</v>
      </c>
    </row>
    <row r="15712" spans="16:20">
      <c r="P15712" s="1094">
        <v>7030</v>
      </c>
      <c r="Q15712" t="s">
        <v>15394</v>
      </c>
      <c r="R15712" t="s">
        <v>618</v>
      </c>
      <c r="S15712">
        <v>146.958381</v>
      </c>
      <c r="T15712" s="1095">
        <v>-42.304288</v>
      </c>
    </row>
    <row r="15713" spans="16:20">
      <c r="P15713" s="1094">
        <v>7030</v>
      </c>
      <c r="Q15713" t="s">
        <v>15395</v>
      </c>
      <c r="R15713" t="s">
        <v>618</v>
      </c>
      <c r="S15713">
        <v>146.958381</v>
      </c>
      <c r="T15713" s="1095">
        <v>-42.304288</v>
      </c>
    </row>
    <row r="15714" spans="16:20">
      <c r="P15714" s="1094">
        <v>7030</v>
      </c>
      <c r="Q15714" t="s">
        <v>15396</v>
      </c>
      <c r="R15714" t="s">
        <v>618</v>
      </c>
      <c r="S15714">
        <v>146.958381</v>
      </c>
      <c r="T15714" s="1095">
        <v>-42.304288</v>
      </c>
    </row>
    <row r="15715" spans="16:20">
      <c r="P15715" s="1094">
        <v>7030</v>
      </c>
      <c r="Q15715" t="s">
        <v>10461</v>
      </c>
      <c r="R15715" t="s">
        <v>618</v>
      </c>
      <c r="S15715">
        <v>146.958381</v>
      </c>
      <c r="T15715" s="1095">
        <v>-42.304288</v>
      </c>
    </row>
    <row r="15716" spans="16:20">
      <c r="P15716" s="1094">
        <v>7030</v>
      </c>
      <c r="Q15716" t="s">
        <v>15397</v>
      </c>
      <c r="R15716" t="s">
        <v>618</v>
      </c>
      <c r="S15716">
        <v>146.958381</v>
      </c>
      <c r="T15716" s="1095">
        <v>-42.304288</v>
      </c>
    </row>
    <row r="15717" spans="16:20">
      <c r="P15717" s="1094">
        <v>7030</v>
      </c>
      <c r="Q15717" t="s">
        <v>14290</v>
      </c>
      <c r="R15717" t="s">
        <v>618</v>
      </c>
      <c r="S15717">
        <v>146.958381</v>
      </c>
      <c r="T15717" s="1095">
        <v>-42.304288</v>
      </c>
    </row>
    <row r="15718" spans="16:20">
      <c r="P15718" s="1094">
        <v>7030</v>
      </c>
      <c r="Q15718" t="s">
        <v>15398</v>
      </c>
      <c r="R15718" t="s">
        <v>618</v>
      </c>
      <c r="S15718">
        <v>146.958381</v>
      </c>
      <c r="T15718" s="1095">
        <v>-42.304288</v>
      </c>
    </row>
    <row r="15719" spans="16:20">
      <c r="P15719" s="1094">
        <v>7030</v>
      </c>
      <c r="Q15719" t="s">
        <v>15399</v>
      </c>
      <c r="R15719" t="s">
        <v>618</v>
      </c>
      <c r="S15719">
        <v>146.958381</v>
      </c>
      <c r="T15719" s="1095">
        <v>-42.304288</v>
      </c>
    </row>
    <row r="15720" spans="16:20">
      <c r="P15720" s="1094">
        <v>7030</v>
      </c>
      <c r="Q15720" t="s">
        <v>15400</v>
      </c>
      <c r="R15720" t="s">
        <v>618</v>
      </c>
      <c r="S15720">
        <v>146.958381</v>
      </c>
      <c r="T15720" s="1095">
        <v>-42.304288</v>
      </c>
    </row>
    <row r="15721" spans="16:20">
      <c r="P15721" s="1094">
        <v>7030</v>
      </c>
      <c r="Q15721" t="s">
        <v>15401</v>
      </c>
      <c r="R15721" t="s">
        <v>618</v>
      </c>
      <c r="S15721">
        <v>146.958381</v>
      </c>
      <c r="T15721" s="1095">
        <v>-42.304288</v>
      </c>
    </row>
    <row r="15722" spans="16:20">
      <c r="P15722" s="1094">
        <v>7050</v>
      </c>
      <c r="Q15722" t="s">
        <v>15402</v>
      </c>
      <c r="R15722" t="s">
        <v>618</v>
      </c>
      <c r="S15722">
        <v>147.298181</v>
      </c>
      <c r="T15722" s="1095">
        <v>-42.975501999999999</v>
      </c>
    </row>
    <row r="15723" spans="16:20">
      <c r="P15723" s="1094">
        <v>7050</v>
      </c>
      <c r="Q15723" t="s">
        <v>4811</v>
      </c>
      <c r="R15723" t="s">
        <v>618</v>
      </c>
      <c r="S15723">
        <v>147.298181</v>
      </c>
      <c r="T15723" s="1095">
        <v>-42.975501999999999</v>
      </c>
    </row>
    <row r="15724" spans="16:20">
      <c r="P15724" s="1094">
        <v>7050</v>
      </c>
      <c r="Q15724" t="s">
        <v>15403</v>
      </c>
      <c r="R15724" t="s">
        <v>618</v>
      </c>
      <c r="S15724">
        <v>147.298181</v>
      </c>
      <c r="T15724" s="1095">
        <v>-42.975501999999999</v>
      </c>
    </row>
    <row r="15725" spans="16:20">
      <c r="P15725" s="1094">
        <v>7051</v>
      </c>
      <c r="Q15725" t="s">
        <v>4811</v>
      </c>
      <c r="R15725" t="s">
        <v>618</v>
      </c>
      <c r="S15725">
        <v>0</v>
      </c>
      <c r="T15725" s="1095">
        <v>0</v>
      </c>
    </row>
    <row r="15726" spans="16:20">
      <c r="P15726" s="1094">
        <v>7052</v>
      </c>
      <c r="Q15726" t="s">
        <v>15404</v>
      </c>
      <c r="R15726" t="s">
        <v>618</v>
      </c>
      <c r="S15726">
        <v>147.309302</v>
      </c>
      <c r="T15726" s="1095">
        <v>-43.008051999999999</v>
      </c>
    </row>
    <row r="15727" spans="16:20">
      <c r="P15727" s="1094">
        <v>7053</v>
      </c>
      <c r="Q15727" t="s">
        <v>15405</v>
      </c>
      <c r="R15727" t="s">
        <v>618</v>
      </c>
      <c r="S15727">
        <v>147.33469500000001</v>
      </c>
      <c r="T15727" s="1095">
        <v>-42.947313999999999</v>
      </c>
    </row>
    <row r="15728" spans="16:20">
      <c r="P15728" s="1094">
        <v>7053</v>
      </c>
      <c r="Q15728" t="s">
        <v>15406</v>
      </c>
      <c r="R15728" t="s">
        <v>618</v>
      </c>
      <c r="S15728">
        <v>147.33469500000001</v>
      </c>
      <c r="T15728" s="1095">
        <v>-42.947313999999999</v>
      </c>
    </row>
    <row r="15729" spans="16:20">
      <c r="P15729" s="1094">
        <v>7054</v>
      </c>
      <c r="Q15729" t="s">
        <v>15407</v>
      </c>
      <c r="R15729" t="s">
        <v>618</v>
      </c>
      <c r="S15729">
        <v>147.256698</v>
      </c>
      <c r="T15729" s="1095">
        <v>-43.00658</v>
      </c>
    </row>
    <row r="15730" spans="16:20">
      <c r="P15730" s="1094">
        <v>7054</v>
      </c>
      <c r="Q15730" t="s">
        <v>15408</v>
      </c>
      <c r="R15730" t="s">
        <v>618</v>
      </c>
      <c r="S15730">
        <v>147.256698</v>
      </c>
      <c r="T15730" s="1095">
        <v>-43.00658</v>
      </c>
    </row>
    <row r="15731" spans="16:20">
      <c r="P15731" s="1094">
        <v>7054</v>
      </c>
      <c r="Q15731" t="s">
        <v>15409</v>
      </c>
      <c r="R15731" t="s">
        <v>618</v>
      </c>
      <c r="S15731">
        <v>147.256698</v>
      </c>
      <c r="T15731" s="1095">
        <v>-43.00658</v>
      </c>
    </row>
    <row r="15732" spans="16:20">
      <c r="P15732" s="1094">
        <v>7054</v>
      </c>
      <c r="Q15732" t="s">
        <v>15410</v>
      </c>
      <c r="R15732" t="s">
        <v>618</v>
      </c>
      <c r="S15732">
        <v>147.256698</v>
      </c>
      <c r="T15732" s="1095">
        <v>-43.00658</v>
      </c>
    </row>
    <row r="15733" spans="16:20">
      <c r="P15733" s="1094">
        <v>7054</v>
      </c>
      <c r="Q15733" t="s">
        <v>15411</v>
      </c>
      <c r="R15733" t="s">
        <v>618</v>
      </c>
      <c r="S15733">
        <v>147.256698</v>
      </c>
      <c r="T15733" s="1095">
        <v>-43.00658</v>
      </c>
    </row>
    <row r="15734" spans="16:20">
      <c r="P15734" s="1094">
        <v>7054</v>
      </c>
      <c r="Q15734" t="s">
        <v>15412</v>
      </c>
      <c r="R15734" t="s">
        <v>618</v>
      </c>
      <c r="S15734">
        <v>147.256698</v>
      </c>
      <c r="T15734" s="1095">
        <v>-43.00658</v>
      </c>
    </row>
    <row r="15735" spans="16:20">
      <c r="P15735" s="1094">
        <v>7054</v>
      </c>
      <c r="Q15735" t="s">
        <v>15413</v>
      </c>
      <c r="R15735" t="s">
        <v>618</v>
      </c>
      <c r="S15735">
        <v>147.256698</v>
      </c>
      <c r="T15735" s="1095">
        <v>-43.00658</v>
      </c>
    </row>
    <row r="15736" spans="16:20">
      <c r="P15736" s="1094">
        <v>7054</v>
      </c>
      <c r="Q15736" t="s">
        <v>9373</v>
      </c>
      <c r="R15736" t="s">
        <v>618</v>
      </c>
      <c r="S15736">
        <v>147.256698</v>
      </c>
      <c r="T15736" s="1095">
        <v>-43.00658</v>
      </c>
    </row>
    <row r="15737" spans="16:20">
      <c r="P15737" s="1094">
        <v>7054</v>
      </c>
      <c r="Q15737" t="s">
        <v>15414</v>
      </c>
      <c r="R15737" t="s">
        <v>618</v>
      </c>
      <c r="S15737">
        <v>147.256698</v>
      </c>
      <c r="T15737" s="1095">
        <v>-43.00658</v>
      </c>
    </row>
    <row r="15738" spans="16:20">
      <c r="P15738" s="1094">
        <v>7054</v>
      </c>
      <c r="Q15738" t="s">
        <v>15415</v>
      </c>
      <c r="R15738" t="s">
        <v>618</v>
      </c>
      <c r="S15738">
        <v>147.256698</v>
      </c>
      <c r="T15738" s="1095">
        <v>-43.00658</v>
      </c>
    </row>
    <row r="15739" spans="16:20">
      <c r="P15739" s="1094">
        <v>7054</v>
      </c>
      <c r="Q15739" t="s">
        <v>15416</v>
      </c>
      <c r="R15739" t="s">
        <v>618</v>
      </c>
      <c r="S15739">
        <v>147.256698</v>
      </c>
      <c r="T15739" s="1095">
        <v>-43.00658</v>
      </c>
    </row>
    <row r="15740" spans="16:20">
      <c r="P15740" s="1094">
        <v>7054</v>
      </c>
      <c r="Q15740" t="s">
        <v>4901</v>
      </c>
      <c r="R15740" t="s">
        <v>618</v>
      </c>
      <c r="S15740">
        <v>147.256698</v>
      </c>
      <c r="T15740" s="1095">
        <v>-43.00658</v>
      </c>
    </row>
    <row r="15741" spans="16:20">
      <c r="P15741" s="1094">
        <v>7054</v>
      </c>
      <c r="Q15741" t="s">
        <v>15417</v>
      </c>
      <c r="R15741" t="s">
        <v>618</v>
      </c>
      <c r="S15741">
        <v>147.256698</v>
      </c>
      <c r="T15741" s="1095">
        <v>-43.00658</v>
      </c>
    </row>
    <row r="15742" spans="16:20">
      <c r="P15742" s="1094">
        <v>7054</v>
      </c>
      <c r="Q15742" t="s">
        <v>15418</v>
      </c>
      <c r="R15742" t="s">
        <v>618</v>
      </c>
      <c r="S15742">
        <v>147.256698</v>
      </c>
      <c r="T15742" s="1095">
        <v>-43.00658</v>
      </c>
    </row>
    <row r="15743" spans="16:20">
      <c r="P15743" s="1094">
        <v>7054</v>
      </c>
      <c r="Q15743" t="s">
        <v>15419</v>
      </c>
      <c r="R15743" t="s">
        <v>618</v>
      </c>
      <c r="S15743">
        <v>147.256698</v>
      </c>
      <c r="T15743" s="1095">
        <v>-43.00658</v>
      </c>
    </row>
    <row r="15744" spans="16:20">
      <c r="P15744" s="1094">
        <v>7055</v>
      </c>
      <c r="Q15744" t="s">
        <v>15420</v>
      </c>
      <c r="R15744" t="s">
        <v>618</v>
      </c>
      <c r="S15744">
        <v>147.285203</v>
      </c>
      <c r="T15744" s="1095">
        <v>-42.994714999999999</v>
      </c>
    </row>
    <row r="15745" spans="16:20">
      <c r="P15745" s="1094">
        <v>7109</v>
      </c>
      <c r="Q15745" t="s">
        <v>15421</v>
      </c>
      <c r="R15745" t="s">
        <v>618</v>
      </c>
      <c r="S15745">
        <v>146.52406400000001</v>
      </c>
      <c r="T15745" s="1095">
        <v>-43.571086999999999</v>
      </c>
    </row>
    <row r="15746" spans="16:20">
      <c r="P15746" s="1094">
        <v>7109</v>
      </c>
      <c r="Q15746" t="s">
        <v>15422</v>
      </c>
      <c r="R15746" t="s">
        <v>618</v>
      </c>
      <c r="S15746">
        <v>146.52406400000001</v>
      </c>
      <c r="T15746" s="1095">
        <v>-43.571086999999999</v>
      </c>
    </row>
    <row r="15747" spans="16:20">
      <c r="P15747" s="1094">
        <v>7109</v>
      </c>
      <c r="Q15747" t="s">
        <v>15423</v>
      </c>
      <c r="R15747" t="s">
        <v>618</v>
      </c>
      <c r="S15747">
        <v>146.52406400000001</v>
      </c>
      <c r="T15747" s="1095">
        <v>-43.571086999999999</v>
      </c>
    </row>
    <row r="15748" spans="16:20">
      <c r="P15748" s="1094">
        <v>7109</v>
      </c>
      <c r="Q15748" t="s">
        <v>15424</v>
      </c>
      <c r="R15748" t="s">
        <v>618</v>
      </c>
      <c r="S15748">
        <v>146.52406400000001</v>
      </c>
      <c r="T15748" s="1095">
        <v>-43.571086999999999</v>
      </c>
    </row>
    <row r="15749" spans="16:20">
      <c r="P15749" s="1094">
        <v>7109</v>
      </c>
      <c r="Q15749" t="s">
        <v>15425</v>
      </c>
      <c r="R15749" t="s">
        <v>618</v>
      </c>
      <c r="S15749">
        <v>146.52406400000001</v>
      </c>
      <c r="T15749" s="1095">
        <v>-43.571086999999999</v>
      </c>
    </row>
    <row r="15750" spans="16:20">
      <c r="P15750" s="1094">
        <v>7109</v>
      </c>
      <c r="Q15750" t="s">
        <v>15426</v>
      </c>
      <c r="R15750" t="s">
        <v>618</v>
      </c>
      <c r="S15750">
        <v>146.52406400000001</v>
      </c>
      <c r="T15750" s="1095">
        <v>-43.571086999999999</v>
      </c>
    </row>
    <row r="15751" spans="16:20">
      <c r="P15751" s="1094">
        <v>7109</v>
      </c>
      <c r="Q15751" t="s">
        <v>15427</v>
      </c>
      <c r="R15751" t="s">
        <v>618</v>
      </c>
      <c r="S15751">
        <v>146.52406400000001</v>
      </c>
      <c r="T15751" s="1095">
        <v>-43.571086999999999</v>
      </c>
    </row>
    <row r="15752" spans="16:20">
      <c r="P15752" s="1094">
        <v>7109</v>
      </c>
      <c r="Q15752" t="s">
        <v>9101</v>
      </c>
      <c r="R15752" t="s">
        <v>618</v>
      </c>
      <c r="S15752">
        <v>146.52406400000001</v>
      </c>
      <c r="T15752" s="1095">
        <v>-43.571086999999999</v>
      </c>
    </row>
    <row r="15753" spans="16:20">
      <c r="P15753" s="1094">
        <v>7109</v>
      </c>
      <c r="Q15753" t="s">
        <v>15428</v>
      </c>
      <c r="R15753" t="s">
        <v>618</v>
      </c>
      <c r="S15753">
        <v>146.52406400000001</v>
      </c>
      <c r="T15753" s="1095">
        <v>-43.571086999999999</v>
      </c>
    </row>
    <row r="15754" spans="16:20">
      <c r="P15754" s="1094">
        <v>7109</v>
      </c>
      <c r="Q15754" t="s">
        <v>15429</v>
      </c>
      <c r="R15754" t="s">
        <v>618</v>
      </c>
      <c r="S15754">
        <v>146.52406400000001</v>
      </c>
      <c r="T15754" s="1095">
        <v>-43.571086999999999</v>
      </c>
    </row>
    <row r="15755" spans="16:20">
      <c r="P15755" s="1094">
        <v>7109</v>
      </c>
      <c r="Q15755" t="s">
        <v>15430</v>
      </c>
      <c r="R15755" t="s">
        <v>618</v>
      </c>
      <c r="S15755">
        <v>146.52406400000001</v>
      </c>
      <c r="T15755" s="1095">
        <v>-43.571086999999999</v>
      </c>
    </row>
    <row r="15756" spans="16:20">
      <c r="P15756" s="1094">
        <v>7109</v>
      </c>
      <c r="Q15756" t="s">
        <v>15431</v>
      </c>
      <c r="R15756" t="s">
        <v>618</v>
      </c>
      <c r="S15756">
        <v>146.52406400000001</v>
      </c>
      <c r="T15756" s="1095">
        <v>-43.571086999999999</v>
      </c>
    </row>
    <row r="15757" spans="16:20">
      <c r="P15757" s="1094">
        <v>7109</v>
      </c>
      <c r="Q15757" t="s">
        <v>15432</v>
      </c>
      <c r="R15757" t="s">
        <v>618</v>
      </c>
      <c r="S15757">
        <v>146.52406400000001</v>
      </c>
      <c r="T15757" s="1095">
        <v>-43.571086999999999</v>
      </c>
    </row>
    <row r="15758" spans="16:20">
      <c r="P15758" s="1094">
        <v>7109</v>
      </c>
      <c r="Q15758" t="s">
        <v>15433</v>
      </c>
      <c r="R15758" t="s">
        <v>618</v>
      </c>
      <c r="S15758">
        <v>146.52406400000001</v>
      </c>
      <c r="T15758" s="1095">
        <v>-43.571086999999999</v>
      </c>
    </row>
    <row r="15759" spans="16:20">
      <c r="P15759" s="1094">
        <v>7109</v>
      </c>
      <c r="Q15759" t="s">
        <v>15434</v>
      </c>
      <c r="R15759" t="s">
        <v>618</v>
      </c>
      <c r="S15759">
        <v>146.52406400000001</v>
      </c>
      <c r="T15759" s="1095">
        <v>-43.571086999999999</v>
      </c>
    </row>
    <row r="15760" spans="16:20">
      <c r="P15760" s="1094">
        <v>7109</v>
      </c>
      <c r="Q15760" t="s">
        <v>15435</v>
      </c>
      <c r="R15760" t="s">
        <v>618</v>
      </c>
      <c r="S15760">
        <v>146.52406400000001</v>
      </c>
      <c r="T15760" s="1095">
        <v>-43.571086999999999</v>
      </c>
    </row>
    <row r="15761" spans="16:20">
      <c r="P15761" s="1094">
        <v>7109</v>
      </c>
      <c r="Q15761" t="s">
        <v>15436</v>
      </c>
      <c r="R15761" t="s">
        <v>618</v>
      </c>
      <c r="S15761">
        <v>146.52406400000001</v>
      </c>
      <c r="T15761" s="1095">
        <v>-43.571086999999999</v>
      </c>
    </row>
    <row r="15762" spans="16:20">
      <c r="P15762" s="1094">
        <v>7109</v>
      </c>
      <c r="Q15762" t="s">
        <v>15437</v>
      </c>
      <c r="R15762" t="s">
        <v>618</v>
      </c>
      <c r="S15762">
        <v>146.52406400000001</v>
      </c>
      <c r="T15762" s="1095">
        <v>-43.571086999999999</v>
      </c>
    </row>
    <row r="15763" spans="16:20">
      <c r="P15763" s="1094">
        <v>7109</v>
      </c>
      <c r="Q15763" t="s">
        <v>15438</v>
      </c>
      <c r="R15763" t="s">
        <v>618</v>
      </c>
      <c r="S15763">
        <v>146.52406400000001</v>
      </c>
      <c r="T15763" s="1095">
        <v>-43.571086999999999</v>
      </c>
    </row>
    <row r="15764" spans="16:20">
      <c r="P15764" s="1094">
        <v>7109</v>
      </c>
      <c r="Q15764" t="s">
        <v>15439</v>
      </c>
      <c r="R15764" t="s">
        <v>618</v>
      </c>
      <c r="S15764">
        <v>146.52406400000001</v>
      </c>
      <c r="T15764" s="1095">
        <v>-43.571086999999999</v>
      </c>
    </row>
    <row r="15765" spans="16:20">
      <c r="P15765" s="1094">
        <v>7109</v>
      </c>
      <c r="Q15765" t="s">
        <v>15440</v>
      </c>
      <c r="R15765" t="s">
        <v>618</v>
      </c>
      <c r="S15765">
        <v>146.52406400000001</v>
      </c>
      <c r="T15765" s="1095">
        <v>-43.571086999999999</v>
      </c>
    </row>
    <row r="15766" spans="16:20">
      <c r="P15766" s="1094">
        <v>7109</v>
      </c>
      <c r="Q15766" t="s">
        <v>15441</v>
      </c>
      <c r="R15766" t="s">
        <v>618</v>
      </c>
      <c r="S15766">
        <v>146.52406400000001</v>
      </c>
      <c r="T15766" s="1095">
        <v>-43.571086999999999</v>
      </c>
    </row>
    <row r="15767" spans="16:20">
      <c r="P15767" s="1094">
        <v>7109</v>
      </c>
      <c r="Q15767" t="s">
        <v>1504</v>
      </c>
      <c r="R15767" t="s">
        <v>618</v>
      </c>
      <c r="S15767">
        <v>146.52406400000001</v>
      </c>
      <c r="T15767" s="1095">
        <v>-43.571086999999999</v>
      </c>
    </row>
    <row r="15768" spans="16:20">
      <c r="P15768" s="1094">
        <v>7109</v>
      </c>
      <c r="Q15768" t="s">
        <v>15442</v>
      </c>
      <c r="R15768" t="s">
        <v>618</v>
      </c>
      <c r="S15768">
        <v>146.52406400000001</v>
      </c>
      <c r="T15768" s="1095">
        <v>-43.571086999999999</v>
      </c>
    </row>
    <row r="15769" spans="16:20">
      <c r="P15769" s="1094">
        <v>7109</v>
      </c>
      <c r="Q15769" t="s">
        <v>15443</v>
      </c>
      <c r="R15769" t="s">
        <v>618</v>
      </c>
      <c r="S15769">
        <v>146.52406400000001</v>
      </c>
      <c r="T15769" s="1095">
        <v>-43.571086999999999</v>
      </c>
    </row>
    <row r="15770" spans="16:20">
      <c r="P15770" s="1094">
        <v>7109</v>
      </c>
      <c r="Q15770" t="s">
        <v>1661</v>
      </c>
      <c r="R15770" t="s">
        <v>618</v>
      </c>
      <c r="S15770">
        <v>146.52406400000001</v>
      </c>
      <c r="T15770" s="1095">
        <v>-43.571086999999999</v>
      </c>
    </row>
    <row r="15771" spans="16:20">
      <c r="P15771" s="1094">
        <v>7109</v>
      </c>
      <c r="Q15771" t="s">
        <v>2131</v>
      </c>
      <c r="R15771" t="s">
        <v>618</v>
      </c>
      <c r="S15771">
        <v>146.52406400000001</v>
      </c>
      <c r="T15771" s="1095">
        <v>-43.571086999999999</v>
      </c>
    </row>
    <row r="15772" spans="16:20">
      <c r="P15772" s="1094">
        <v>7109</v>
      </c>
      <c r="Q15772" t="s">
        <v>4327</v>
      </c>
      <c r="R15772" t="s">
        <v>618</v>
      </c>
      <c r="S15772">
        <v>146.52406400000001</v>
      </c>
      <c r="T15772" s="1095">
        <v>-43.571086999999999</v>
      </c>
    </row>
    <row r="15773" spans="16:20">
      <c r="P15773" s="1094">
        <v>7112</v>
      </c>
      <c r="Q15773" t="s">
        <v>15444</v>
      </c>
      <c r="R15773" t="s">
        <v>618</v>
      </c>
      <c r="S15773">
        <v>147.14001400000001</v>
      </c>
      <c r="T15773" s="1095">
        <v>-43.291936999999997</v>
      </c>
    </row>
    <row r="15774" spans="16:20">
      <c r="P15774" s="1094">
        <v>7112</v>
      </c>
      <c r="Q15774" t="s">
        <v>15445</v>
      </c>
      <c r="R15774" t="s">
        <v>618</v>
      </c>
      <c r="S15774">
        <v>147.14001400000001</v>
      </c>
      <c r="T15774" s="1095">
        <v>-43.291936999999997</v>
      </c>
    </row>
    <row r="15775" spans="16:20">
      <c r="P15775" s="1094">
        <v>7112</v>
      </c>
      <c r="Q15775" t="s">
        <v>15446</v>
      </c>
      <c r="R15775" t="s">
        <v>618</v>
      </c>
      <c r="S15775">
        <v>147.14001400000001</v>
      </c>
      <c r="T15775" s="1095">
        <v>-43.291936999999997</v>
      </c>
    </row>
    <row r="15776" spans="16:20">
      <c r="P15776" s="1094">
        <v>7112</v>
      </c>
      <c r="Q15776" t="s">
        <v>15447</v>
      </c>
      <c r="R15776" t="s">
        <v>618</v>
      </c>
      <c r="S15776">
        <v>147.14001400000001</v>
      </c>
      <c r="T15776" s="1095">
        <v>-43.291936999999997</v>
      </c>
    </row>
    <row r="15777" spans="16:20">
      <c r="P15777" s="1094">
        <v>7112</v>
      </c>
      <c r="Q15777" t="s">
        <v>15448</v>
      </c>
      <c r="R15777" t="s">
        <v>618</v>
      </c>
      <c r="S15777">
        <v>147.14001400000001</v>
      </c>
      <c r="T15777" s="1095">
        <v>-43.291936999999997</v>
      </c>
    </row>
    <row r="15778" spans="16:20">
      <c r="P15778" s="1094">
        <v>7112</v>
      </c>
      <c r="Q15778" t="s">
        <v>15449</v>
      </c>
      <c r="R15778" t="s">
        <v>618</v>
      </c>
      <c r="S15778">
        <v>147.14001400000001</v>
      </c>
      <c r="T15778" s="1095">
        <v>-43.291936999999997</v>
      </c>
    </row>
    <row r="15779" spans="16:20">
      <c r="P15779" s="1094">
        <v>7112</v>
      </c>
      <c r="Q15779" t="s">
        <v>15450</v>
      </c>
      <c r="R15779" t="s">
        <v>618</v>
      </c>
      <c r="S15779">
        <v>147.14001400000001</v>
      </c>
      <c r="T15779" s="1095">
        <v>-43.291936999999997</v>
      </c>
    </row>
    <row r="15780" spans="16:20">
      <c r="P15780" s="1094">
        <v>7112</v>
      </c>
      <c r="Q15780" t="s">
        <v>15451</v>
      </c>
      <c r="R15780" t="s">
        <v>618</v>
      </c>
      <c r="S15780">
        <v>147.14001400000001</v>
      </c>
      <c r="T15780" s="1095">
        <v>-43.291936999999997</v>
      </c>
    </row>
    <row r="15781" spans="16:20">
      <c r="P15781" s="1094">
        <v>7112</v>
      </c>
      <c r="Q15781" t="s">
        <v>15452</v>
      </c>
      <c r="R15781" t="s">
        <v>618</v>
      </c>
      <c r="S15781">
        <v>147.14001400000001</v>
      </c>
      <c r="T15781" s="1095">
        <v>-43.291936999999997</v>
      </c>
    </row>
    <row r="15782" spans="16:20">
      <c r="P15782" s="1094">
        <v>7112</v>
      </c>
      <c r="Q15782" t="s">
        <v>15453</v>
      </c>
      <c r="R15782" t="s">
        <v>618</v>
      </c>
      <c r="S15782">
        <v>147.14001400000001</v>
      </c>
      <c r="T15782" s="1095">
        <v>-43.291936999999997</v>
      </c>
    </row>
    <row r="15783" spans="16:20">
      <c r="P15783" s="1094">
        <v>7113</v>
      </c>
      <c r="Q15783" t="s">
        <v>6348</v>
      </c>
      <c r="R15783" t="s">
        <v>618</v>
      </c>
      <c r="S15783">
        <v>146.97048899999999</v>
      </c>
      <c r="T15783" s="1095">
        <v>-43.091051</v>
      </c>
    </row>
    <row r="15784" spans="16:20">
      <c r="P15784" s="1094">
        <v>7116</v>
      </c>
      <c r="Q15784" t="s">
        <v>15454</v>
      </c>
      <c r="R15784" t="s">
        <v>618</v>
      </c>
      <c r="S15784">
        <v>147.03434999999999</v>
      </c>
      <c r="T15784" s="1095">
        <v>-43.262123000000003</v>
      </c>
    </row>
    <row r="15785" spans="16:20">
      <c r="P15785" s="1094">
        <v>7116</v>
      </c>
      <c r="Q15785" t="s">
        <v>15455</v>
      </c>
      <c r="R15785" t="s">
        <v>618</v>
      </c>
      <c r="S15785">
        <v>147.03434999999999</v>
      </c>
      <c r="T15785" s="1095">
        <v>-43.262123000000003</v>
      </c>
    </row>
    <row r="15786" spans="16:20">
      <c r="P15786" s="1094">
        <v>7116</v>
      </c>
      <c r="Q15786" t="s">
        <v>15456</v>
      </c>
      <c r="R15786" t="s">
        <v>618</v>
      </c>
      <c r="S15786">
        <v>147.03434999999999</v>
      </c>
      <c r="T15786" s="1095">
        <v>-43.262123000000003</v>
      </c>
    </row>
    <row r="15787" spans="16:20">
      <c r="P15787" s="1094">
        <v>7116</v>
      </c>
      <c r="Q15787" t="s">
        <v>15457</v>
      </c>
      <c r="R15787" t="s">
        <v>618</v>
      </c>
      <c r="S15787">
        <v>147.03434999999999</v>
      </c>
      <c r="T15787" s="1095">
        <v>-43.262123000000003</v>
      </c>
    </row>
    <row r="15788" spans="16:20">
      <c r="P15788" s="1094">
        <v>7116</v>
      </c>
      <c r="Q15788" t="s">
        <v>15458</v>
      </c>
      <c r="R15788" t="s">
        <v>618</v>
      </c>
      <c r="S15788">
        <v>147.03434999999999</v>
      </c>
      <c r="T15788" s="1095">
        <v>-43.262123000000003</v>
      </c>
    </row>
    <row r="15789" spans="16:20">
      <c r="P15789" s="1094">
        <v>7116</v>
      </c>
      <c r="Q15789" t="s">
        <v>15459</v>
      </c>
      <c r="R15789" t="s">
        <v>618</v>
      </c>
      <c r="S15789">
        <v>147.03434999999999</v>
      </c>
      <c r="T15789" s="1095">
        <v>-43.262123000000003</v>
      </c>
    </row>
    <row r="15790" spans="16:20">
      <c r="P15790" s="1094">
        <v>7116</v>
      </c>
      <c r="Q15790" t="s">
        <v>15460</v>
      </c>
      <c r="R15790" t="s">
        <v>618</v>
      </c>
      <c r="S15790">
        <v>147.03434999999999</v>
      </c>
      <c r="T15790" s="1095">
        <v>-43.262123000000003</v>
      </c>
    </row>
    <row r="15791" spans="16:20">
      <c r="P15791" s="1094">
        <v>7116</v>
      </c>
      <c r="Q15791" t="s">
        <v>15461</v>
      </c>
      <c r="R15791" t="s">
        <v>618</v>
      </c>
      <c r="S15791">
        <v>147.03434999999999</v>
      </c>
      <c r="T15791" s="1095">
        <v>-43.262123000000003</v>
      </c>
    </row>
    <row r="15792" spans="16:20">
      <c r="P15792" s="1094">
        <v>7117</v>
      </c>
      <c r="Q15792" t="s">
        <v>15462</v>
      </c>
      <c r="R15792" t="s">
        <v>618</v>
      </c>
      <c r="S15792">
        <v>147.04013499999999</v>
      </c>
      <c r="T15792" s="1095">
        <v>-43.338434999999997</v>
      </c>
    </row>
    <row r="15793" spans="16:20">
      <c r="P15793" s="1094">
        <v>7119</v>
      </c>
      <c r="Q15793" t="s">
        <v>15463</v>
      </c>
      <c r="R15793" t="s">
        <v>618</v>
      </c>
      <c r="S15793">
        <v>147.36537200000001</v>
      </c>
      <c r="T15793" s="1095">
        <v>-42.431887000000003</v>
      </c>
    </row>
    <row r="15794" spans="16:20">
      <c r="P15794" s="1094">
        <v>7120</v>
      </c>
      <c r="Q15794" t="s">
        <v>15464</v>
      </c>
      <c r="R15794" t="s">
        <v>618</v>
      </c>
      <c r="S15794">
        <v>147.48727</v>
      </c>
      <c r="T15794" s="1095">
        <v>-42.316940000000002</v>
      </c>
    </row>
    <row r="15795" spans="16:20">
      <c r="P15795" s="1094">
        <v>7120</v>
      </c>
      <c r="Q15795" t="s">
        <v>15465</v>
      </c>
      <c r="R15795" t="s">
        <v>618</v>
      </c>
      <c r="S15795">
        <v>147.48727</v>
      </c>
      <c r="T15795" s="1095">
        <v>-42.316940000000002</v>
      </c>
    </row>
    <row r="15796" spans="16:20">
      <c r="P15796" s="1094">
        <v>7120</v>
      </c>
      <c r="Q15796" t="s">
        <v>15466</v>
      </c>
      <c r="R15796" t="s">
        <v>618</v>
      </c>
      <c r="S15796">
        <v>147.48727</v>
      </c>
      <c r="T15796" s="1095">
        <v>-42.316940000000002</v>
      </c>
    </row>
    <row r="15797" spans="16:20">
      <c r="P15797" s="1094">
        <v>7120</v>
      </c>
      <c r="Q15797" t="s">
        <v>15467</v>
      </c>
      <c r="R15797" t="s">
        <v>618</v>
      </c>
      <c r="S15797">
        <v>147.48727</v>
      </c>
      <c r="T15797" s="1095">
        <v>-42.316940000000002</v>
      </c>
    </row>
    <row r="15798" spans="16:20">
      <c r="P15798" s="1094">
        <v>7120</v>
      </c>
      <c r="Q15798" t="s">
        <v>15468</v>
      </c>
      <c r="R15798" t="s">
        <v>618</v>
      </c>
      <c r="S15798">
        <v>147.48727</v>
      </c>
      <c r="T15798" s="1095">
        <v>-42.316940000000002</v>
      </c>
    </row>
    <row r="15799" spans="16:20">
      <c r="P15799" s="1094">
        <v>7120</v>
      </c>
      <c r="Q15799" t="s">
        <v>15469</v>
      </c>
      <c r="R15799" t="s">
        <v>618</v>
      </c>
      <c r="S15799">
        <v>147.48727</v>
      </c>
      <c r="T15799" s="1095">
        <v>-42.316940000000002</v>
      </c>
    </row>
    <row r="15800" spans="16:20">
      <c r="P15800" s="1094">
        <v>7120</v>
      </c>
      <c r="Q15800" t="s">
        <v>1987</v>
      </c>
      <c r="R15800" t="s">
        <v>618</v>
      </c>
      <c r="S15800">
        <v>147.48727</v>
      </c>
      <c r="T15800" s="1095">
        <v>-42.316940000000002</v>
      </c>
    </row>
    <row r="15801" spans="16:20">
      <c r="P15801" s="1094">
        <v>7120</v>
      </c>
      <c r="Q15801" t="s">
        <v>15470</v>
      </c>
      <c r="R15801" t="s">
        <v>618</v>
      </c>
      <c r="S15801">
        <v>147.48727</v>
      </c>
      <c r="T15801" s="1095">
        <v>-42.316940000000002</v>
      </c>
    </row>
    <row r="15802" spans="16:20">
      <c r="P15802" s="1094">
        <v>7120</v>
      </c>
      <c r="Q15802" t="s">
        <v>15471</v>
      </c>
      <c r="R15802" t="s">
        <v>618</v>
      </c>
      <c r="S15802">
        <v>147.48727</v>
      </c>
      <c r="T15802" s="1095">
        <v>-42.316940000000002</v>
      </c>
    </row>
    <row r="15803" spans="16:20">
      <c r="P15803" s="1094">
        <v>7120</v>
      </c>
      <c r="Q15803" t="s">
        <v>15472</v>
      </c>
      <c r="R15803" t="s">
        <v>618</v>
      </c>
      <c r="S15803">
        <v>147.48727</v>
      </c>
      <c r="T15803" s="1095">
        <v>-42.316940000000002</v>
      </c>
    </row>
    <row r="15804" spans="16:20">
      <c r="P15804" s="1094">
        <v>7120</v>
      </c>
      <c r="Q15804" t="s">
        <v>3095</v>
      </c>
      <c r="R15804" t="s">
        <v>618</v>
      </c>
      <c r="S15804">
        <v>147.48727</v>
      </c>
      <c r="T15804" s="1095">
        <v>-42.316940000000002</v>
      </c>
    </row>
    <row r="15805" spans="16:20">
      <c r="P15805" s="1094">
        <v>7120</v>
      </c>
      <c r="Q15805" t="s">
        <v>15473</v>
      </c>
      <c r="R15805" t="s">
        <v>618</v>
      </c>
      <c r="S15805">
        <v>147.48727</v>
      </c>
      <c r="T15805" s="1095">
        <v>-42.316940000000002</v>
      </c>
    </row>
    <row r="15806" spans="16:20">
      <c r="P15806" s="1094">
        <v>7120</v>
      </c>
      <c r="Q15806" t="s">
        <v>15474</v>
      </c>
      <c r="R15806" t="s">
        <v>618</v>
      </c>
      <c r="S15806">
        <v>147.48727</v>
      </c>
      <c r="T15806" s="1095">
        <v>-42.316940000000002</v>
      </c>
    </row>
    <row r="15807" spans="16:20">
      <c r="P15807" s="1094">
        <v>7120</v>
      </c>
      <c r="Q15807" t="s">
        <v>15475</v>
      </c>
      <c r="R15807" t="s">
        <v>618</v>
      </c>
      <c r="S15807">
        <v>147.48727</v>
      </c>
      <c r="T15807" s="1095">
        <v>-42.316940000000002</v>
      </c>
    </row>
    <row r="15808" spans="16:20">
      <c r="P15808" s="1094">
        <v>7120</v>
      </c>
      <c r="Q15808" t="s">
        <v>15476</v>
      </c>
      <c r="R15808" t="s">
        <v>618</v>
      </c>
      <c r="S15808">
        <v>147.48727</v>
      </c>
      <c r="T15808" s="1095">
        <v>-42.316940000000002</v>
      </c>
    </row>
    <row r="15809" spans="16:20">
      <c r="P15809" s="1094">
        <v>7120</v>
      </c>
      <c r="Q15809" t="s">
        <v>15477</v>
      </c>
      <c r="R15809" t="s">
        <v>618</v>
      </c>
      <c r="S15809">
        <v>147.48727</v>
      </c>
      <c r="T15809" s="1095">
        <v>-42.316940000000002</v>
      </c>
    </row>
    <row r="15810" spans="16:20">
      <c r="P15810" s="1094">
        <v>7120</v>
      </c>
      <c r="Q15810" t="s">
        <v>11511</v>
      </c>
      <c r="R15810" t="s">
        <v>618</v>
      </c>
      <c r="S15810">
        <v>147.48727</v>
      </c>
      <c r="T15810" s="1095">
        <v>-42.316940000000002</v>
      </c>
    </row>
    <row r="15811" spans="16:20">
      <c r="P15811" s="1094">
        <v>7120</v>
      </c>
      <c r="Q15811" t="s">
        <v>15478</v>
      </c>
      <c r="R15811" t="s">
        <v>618</v>
      </c>
      <c r="S15811">
        <v>147.48727</v>
      </c>
      <c r="T15811" s="1095">
        <v>-42.316940000000002</v>
      </c>
    </row>
    <row r="15812" spans="16:20">
      <c r="P15812" s="1094">
        <v>7120</v>
      </c>
      <c r="Q15812" t="s">
        <v>7764</v>
      </c>
      <c r="R15812" t="s">
        <v>618</v>
      </c>
      <c r="S15812">
        <v>147.48727</v>
      </c>
      <c r="T15812" s="1095">
        <v>-42.316940000000002</v>
      </c>
    </row>
    <row r="15813" spans="16:20">
      <c r="P15813" s="1094">
        <v>7139</v>
      </c>
      <c r="Q15813" t="s">
        <v>15479</v>
      </c>
      <c r="R15813" t="s">
        <v>618</v>
      </c>
      <c r="S15813">
        <v>145.92530199999999</v>
      </c>
      <c r="T15813" s="1095">
        <v>-42.715494</v>
      </c>
    </row>
    <row r="15814" spans="16:20">
      <c r="P15814" s="1094">
        <v>7140</v>
      </c>
      <c r="Q15814" t="s">
        <v>15480</v>
      </c>
      <c r="R15814" t="s">
        <v>618</v>
      </c>
      <c r="S15814">
        <v>146.45501999999999</v>
      </c>
      <c r="T15814" s="1095">
        <v>-42.544215000000001</v>
      </c>
    </row>
    <row r="15815" spans="16:20">
      <c r="P15815" s="1094">
        <v>7140</v>
      </c>
      <c r="Q15815" t="s">
        <v>15481</v>
      </c>
      <c r="R15815" t="s">
        <v>618</v>
      </c>
      <c r="S15815">
        <v>146.45501999999999</v>
      </c>
      <c r="T15815" s="1095">
        <v>-42.544215000000001</v>
      </c>
    </row>
    <row r="15816" spans="16:20">
      <c r="P15816" s="1094">
        <v>7140</v>
      </c>
      <c r="Q15816" t="s">
        <v>15482</v>
      </c>
      <c r="R15816" t="s">
        <v>618</v>
      </c>
      <c r="S15816">
        <v>146.45501999999999</v>
      </c>
      <c r="T15816" s="1095">
        <v>-42.544215000000001</v>
      </c>
    </row>
    <row r="15817" spans="16:20">
      <c r="P15817" s="1094">
        <v>7140</v>
      </c>
      <c r="Q15817" t="s">
        <v>15483</v>
      </c>
      <c r="R15817" t="s">
        <v>618</v>
      </c>
      <c r="S15817">
        <v>146.45501999999999</v>
      </c>
      <c r="T15817" s="1095">
        <v>-42.544215000000001</v>
      </c>
    </row>
    <row r="15818" spans="16:20">
      <c r="P15818" s="1094">
        <v>7140</v>
      </c>
      <c r="Q15818" t="s">
        <v>8918</v>
      </c>
      <c r="R15818" t="s">
        <v>618</v>
      </c>
      <c r="S15818">
        <v>146.45501999999999</v>
      </c>
      <c r="T15818" s="1095">
        <v>-42.544215000000001</v>
      </c>
    </row>
    <row r="15819" spans="16:20">
      <c r="P15819" s="1094">
        <v>7140</v>
      </c>
      <c r="Q15819" t="s">
        <v>15484</v>
      </c>
      <c r="R15819" t="s">
        <v>618</v>
      </c>
      <c r="S15819">
        <v>146.45501999999999</v>
      </c>
      <c r="T15819" s="1095">
        <v>-42.544215000000001</v>
      </c>
    </row>
    <row r="15820" spans="16:20">
      <c r="P15820" s="1094">
        <v>7140</v>
      </c>
      <c r="Q15820" t="s">
        <v>15485</v>
      </c>
      <c r="R15820" t="s">
        <v>618</v>
      </c>
      <c r="S15820">
        <v>146.45501999999999</v>
      </c>
      <c r="T15820" s="1095">
        <v>-42.544215000000001</v>
      </c>
    </row>
    <row r="15821" spans="16:20">
      <c r="P15821" s="1094">
        <v>7140</v>
      </c>
      <c r="Q15821" t="s">
        <v>15486</v>
      </c>
      <c r="R15821" t="s">
        <v>618</v>
      </c>
      <c r="S15821">
        <v>146.45501999999999</v>
      </c>
      <c r="T15821" s="1095">
        <v>-42.544215000000001</v>
      </c>
    </row>
    <row r="15822" spans="16:20">
      <c r="P15822" s="1094">
        <v>7140</v>
      </c>
      <c r="Q15822" t="s">
        <v>15044</v>
      </c>
      <c r="R15822" t="s">
        <v>618</v>
      </c>
      <c r="S15822">
        <v>146.45501999999999</v>
      </c>
      <c r="T15822" s="1095">
        <v>-42.544215000000001</v>
      </c>
    </row>
    <row r="15823" spans="16:20">
      <c r="P15823" s="1094">
        <v>7140</v>
      </c>
      <c r="Q15823" t="s">
        <v>15487</v>
      </c>
      <c r="R15823" t="s">
        <v>618</v>
      </c>
      <c r="S15823">
        <v>146.45501999999999</v>
      </c>
      <c r="T15823" s="1095">
        <v>-42.544215000000001</v>
      </c>
    </row>
    <row r="15824" spans="16:20">
      <c r="P15824" s="1094">
        <v>7140</v>
      </c>
      <c r="Q15824" t="s">
        <v>14557</v>
      </c>
      <c r="R15824" t="s">
        <v>618</v>
      </c>
      <c r="S15824">
        <v>146.45501999999999</v>
      </c>
      <c r="T15824" s="1095">
        <v>-42.544215000000001</v>
      </c>
    </row>
    <row r="15825" spans="16:20">
      <c r="P15825" s="1094">
        <v>7140</v>
      </c>
      <c r="Q15825" t="s">
        <v>15488</v>
      </c>
      <c r="R15825" t="s">
        <v>618</v>
      </c>
      <c r="S15825">
        <v>146.45501999999999</v>
      </c>
      <c r="T15825" s="1095">
        <v>-42.544215000000001</v>
      </c>
    </row>
    <row r="15826" spans="16:20">
      <c r="P15826" s="1094">
        <v>7140</v>
      </c>
      <c r="Q15826" t="s">
        <v>15489</v>
      </c>
      <c r="R15826" t="s">
        <v>618</v>
      </c>
      <c r="S15826">
        <v>146.45501999999999</v>
      </c>
      <c r="T15826" s="1095">
        <v>-42.544215000000001</v>
      </c>
    </row>
    <row r="15827" spans="16:20">
      <c r="P15827" s="1094">
        <v>7140</v>
      </c>
      <c r="Q15827" t="s">
        <v>15490</v>
      </c>
      <c r="R15827" t="s">
        <v>618</v>
      </c>
      <c r="S15827">
        <v>146.45501999999999</v>
      </c>
      <c r="T15827" s="1095">
        <v>-42.544215000000001</v>
      </c>
    </row>
    <row r="15828" spans="16:20">
      <c r="P15828" s="1094">
        <v>7140</v>
      </c>
      <c r="Q15828" t="s">
        <v>15491</v>
      </c>
      <c r="R15828" t="s">
        <v>618</v>
      </c>
      <c r="S15828">
        <v>146.45501999999999</v>
      </c>
      <c r="T15828" s="1095">
        <v>-42.544215000000001</v>
      </c>
    </row>
    <row r="15829" spans="16:20">
      <c r="P15829" s="1094">
        <v>7140</v>
      </c>
      <c r="Q15829" t="s">
        <v>2531</v>
      </c>
      <c r="R15829" t="s">
        <v>618</v>
      </c>
      <c r="S15829">
        <v>146.45501999999999</v>
      </c>
      <c r="T15829" s="1095">
        <v>-42.544215000000001</v>
      </c>
    </row>
    <row r="15830" spans="16:20">
      <c r="P15830" s="1094">
        <v>7140</v>
      </c>
      <c r="Q15830" t="s">
        <v>15492</v>
      </c>
      <c r="R15830" t="s">
        <v>618</v>
      </c>
      <c r="S15830">
        <v>146.45501999999999</v>
      </c>
      <c r="T15830" s="1095">
        <v>-42.544215000000001</v>
      </c>
    </row>
    <row r="15831" spans="16:20">
      <c r="P15831" s="1094">
        <v>7140</v>
      </c>
      <c r="Q15831" t="s">
        <v>15493</v>
      </c>
      <c r="R15831" t="s">
        <v>618</v>
      </c>
      <c r="S15831">
        <v>146.45501999999999</v>
      </c>
      <c r="T15831" s="1095">
        <v>-42.544215000000001</v>
      </c>
    </row>
    <row r="15832" spans="16:20">
      <c r="P15832" s="1094">
        <v>7140</v>
      </c>
      <c r="Q15832" t="s">
        <v>15494</v>
      </c>
      <c r="R15832" t="s">
        <v>618</v>
      </c>
      <c r="S15832">
        <v>146.45501999999999</v>
      </c>
      <c r="T15832" s="1095">
        <v>-42.544215000000001</v>
      </c>
    </row>
    <row r="15833" spans="16:20">
      <c r="P15833" s="1094">
        <v>7140</v>
      </c>
      <c r="Q15833" t="s">
        <v>15495</v>
      </c>
      <c r="R15833" t="s">
        <v>618</v>
      </c>
      <c r="S15833">
        <v>146.45501999999999</v>
      </c>
      <c r="T15833" s="1095">
        <v>-42.544215000000001</v>
      </c>
    </row>
    <row r="15834" spans="16:20">
      <c r="P15834" s="1094">
        <v>7140</v>
      </c>
      <c r="Q15834" t="s">
        <v>15496</v>
      </c>
      <c r="R15834" t="s">
        <v>618</v>
      </c>
      <c r="S15834">
        <v>146.45501999999999</v>
      </c>
      <c r="T15834" s="1095">
        <v>-42.544215000000001</v>
      </c>
    </row>
    <row r="15835" spans="16:20">
      <c r="P15835" s="1094">
        <v>7140</v>
      </c>
      <c r="Q15835" t="s">
        <v>15497</v>
      </c>
      <c r="R15835" t="s">
        <v>618</v>
      </c>
      <c r="S15835">
        <v>146.45501999999999</v>
      </c>
      <c r="T15835" s="1095">
        <v>-42.544215000000001</v>
      </c>
    </row>
    <row r="15836" spans="16:20">
      <c r="P15836" s="1094">
        <v>7140</v>
      </c>
      <c r="Q15836" t="s">
        <v>15498</v>
      </c>
      <c r="R15836" t="s">
        <v>618</v>
      </c>
      <c r="S15836">
        <v>146.45501999999999</v>
      </c>
      <c r="T15836" s="1095">
        <v>-42.544215000000001</v>
      </c>
    </row>
    <row r="15837" spans="16:20">
      <c r="P15837" s="1094">
        <v>7140</v>
      </c>
      <c r="Q15837" t="s">
        <v>15499</v>
      </c>
      <c r="R15837" t="s">
        <v>618</v>
      </c>
      <c r="S15837">
        <v>146.45501999999999</v>
      </c>
      <c r="T15837" s="1095">
        <v>-42.544215000000001</v>
      </c>
    </row>
    <row r="15838" spans="16:20">
      <c r="P15838" s="1094">
        <v>7140</v>
      </c>
      <c r="Q15838" t="s">
        <v>15500</v>
      </c>
      <c r="R15838" t="s">
        <v>618</v>
      </c>
      <c r="S15838">
        <v>146.45501999999999</v>
      </c>
      <c r="T15838" s="1095">
        <v>-42.544215000000001</v>
      </c>
    </row>
    <row r="15839" spans="16:20">
      <c r="P15839" s="1094">
        <v>7140</v>
      </c>
      <c r="Q15839" t="s">
        <v>15501</v>
      </c>
      <c r="R15839" t="s">
        <v>618</v>
      </c>
      <c r="S15839">
        <v>146.45501999999999</v>
      </c>
      <c r="T15839" s="1095">
        <v>-42.544215000000001</v>
      </c>
    </row>
    <row r="15840" spans="16:20">
      <c r="P15840" s="1094">
        <v>7140</v>
      </c>
      <c r="Q15840" t="s">
        <v>15502</v>
      </c>
      <c r="R15840" t="s">
        <v>618</v>
      </c>
      <c r="S15840">
        <v>146.45501999999999</v>
      </c>
      <c r="T15840" s="1095">
        <v>-42.544215000000001</v>
      </c>
    </row>
    <row r="15841" spans="16:20">
      <c r="P15841" s="1094">
        <v>7140</v>
      </c>
      <c r="Q15841" t="s">
        <v>15503</v>
      </c>
      <c r="R15841" t="s">
        <v>618</v>
      </c>
      <c r="S15841">
        <v>146.45501999999999</v>
      </c>
      <c r="T15841" s="1095">
        <v>-42.544215000000001</v>
      </c>
    </row>
    <row r="15842" spans="16:20">
      <c r="P15842" s="1094">
        <v>7140</v>
      </c>
      <c r="Q15842" t="s">
        <v>1982</v>
      </c>
      <c r="R15842" t="s">
        <v>618</v>
      </c>
      <c r="S15842">
        <v>146.45501999999999</v>
      </c>
      <c r="T15842" s="1095">
        <v>-42.544215000000001</v>
      </c>
    </row>
    <row r="15843" spans="16:20">
      <c r="P15843" s="1094">
        <v>7140</v>
      </c>
      <c r="Q15843" t="s">
        <v>8542</v>
      </c>
      <c r="R15843" t="s">
        <v>618</v>
      </c>
      <c r="S15843">
        <v>146.45501999999999</v>
      </c>
      <c r="T15843" s="1095">
        <v>-42.544215000000001</v>
      </c>
    </row>
    <row r="15844" spans="16:20">
      <c r="P15844" s="1094">
        <v>7140</v>
      </c>
      <c r="Q15844" t="s">
        <v>15504</v>
      </c>
      <c r="R15844" t="s">
        <v>618</v>
      </c>
      <c r="S15844">
        <v>146.45501999999999</v>
      </c>
      <c r="T15844" s="1095">
        <v>-42.544215000000001</v>
      </c>
    </row>
    <row r="15845" spans="16:20">
      <c r="P15845" s="1094">
        <v>7140</v>
      </c>
      <c r="Q15845" t="s">
        <v>15505</v>
      </c>
      <c r="R15845" t="s">
        <v>618</v>
      </c>
      <c r="S15845">
        <v>146.45501999999999</v>
      </c>
      <c r="T15845" s="1095">
        <v>-42.544215000000001</v>
      </c>
    </row>
    <row r="15846" spans="16:20">
      <c r="P15846" s="1094">
        <v>7140</v>
      </c>
      <c r="Q15846" t="s">
        <v>15506</v>
      </c>
      <c r="R15846" t="s">
        <v>618</v>
      </c>
      <c r="S15846">
        <v>146.45501999999999</v>
      </c>
      <c r="T15846" s="1095">
        <v>-42.544215000000001</v>
      </c>
    </row>
    <row r="15847" spans="16:20">
      <c r="P15847" s="1094">
        <v>7140</v>
      </c>
      <c r="Q15847" t="s">
        <v>15507</v>
      </c>
      <c r="R15847" t="s">
        <v>618</v>
      </c>
      <c r="S15847">
        <v>146.45501999999999</v>
      </c>
      <c r="T15847" s="1095">
        <v>-42.544215000000001</v>
      </c>
    </row>
    <row r="15848" spans="16:20">
      <c r="P15848" s="1094">
        <v>7140</v>
      </c>
      <c r="Q15848" t="s">
        <v>15508</v>
      </c>
      <c r="R15848" t="s">
        <v>618</v>
      </c>
      <c r="S15848">
        <v>146.45501999999999</v>
      </c>
      <c r="T15848" s="1095">
        <v>-42.544215000000001</v>
      </c>
    </row>
    <row r="15849" spans="16:20">
      <c r="P15849" s="1094">
        <v>7140</v>
      </c>
      <c r="Q15849" t="s">
        <v>2672</v>
      </c>
      <c r="R15849" t="s">
        <v>618</v>
      </c>
      <c r="S15849">
        <v>146.45501999999999</v>
      </c>
      <c r="T15849" s="1095">
        <v>-42.544215000000001</v>
      </c>
    </row>
    <row r="15850" spans="16:20">
      <c r="P15850" s="1094">
        <v>7140</v>
      </c>
      <c r="Q15850" t="s">
        <v>15509</v>
      </c>
      <c r="R15850" t="s">
        <v>618</v>
      </c>
      <c r="S15850">
        <v>146.45501999999999</v>
      </c>
      <c r="T15850" s="1095">
        <v>-42.544215000000001</v>
      </c>
    </row>
    <row r="15851" spans="16:20">
      <c r="P15851" s="1094">
        <v>7140</v>
      </c>
      <c r="Q15851" t="s">
        <v>6539</v>
      </c>
      <c r="R15851" t="s">
        <v>618</v>
      </c>
      <c r="S15851">
        <v>146.45501999999999</v>
      </c>
      <c r="T15851" s="1095">
        <v>-42.544215000000001</v>
      </c>
    </row>
    <row r="15852" spans="16:20">
      <c r="P15852" s="1094">
        <v>7140</v>
      </c>
      <c r="Q15852" t="s">
        <v>15510</v>
      </c>
      <c r="R15852" t="s">
        <v>618</v>
      </c>
      <c r="S15852">
        <v>146.45501999999999</v>
      </c>
      <c r="T15852" s="1095">
        <v>-42.544215000000001</v>
      </c>
    </row>
    <row r="15853" spans="16:20">
      <c r="P15853" s="1094">
        <v>7140</v>
      </c>
      <c r="Q15853" t="s">
        <v>15511</v>
      </c>
      <c r="R15853" t="s">
        <v>618</v>
      </c>
      <c r="S15853">
        <v>146.45501999999999</v>
      </c>
      <c r="T15853" s="1095">
        <v>-42.544215000000001</v>
      </c>
    </row>
    <row r="15854" spans="16:20">
      <c r="P15854" s="1094">
        <v>7140</v>
      </c>
      <c r="Q15854" t="s">
        <v>15512</v>
      </c>
      <c r="R15854" t="s">
        <v>618</v>
      </c>
      <c r="S15854">
        <v>146.45501999999999</v>
      </c>
      <c r="T15854" s="1095">
        <v>-42.544215000000001</v>
      </c>
    </row>
    <row r="15855" spans="16:20">
      <c r="P15855" s="1094">
        <v>7140</v>
      </c>
      <c r="Q15855" t="s">
        <v>15513</v>
      </c>
      <c r="R15855" t="s">
        <v>618</v>
      </c>
      <c r="S15855">
        <v>146.45501999999999</v>
      </c>
      <c r="T15855" s="1095">
        <v>-42.544215000000001</v>
      </c>
    </row>
    <row r="15856" spans="16:20">
      <c r="P15856" s="1094">
        <v>7140</v>
      </c>
      <c r="Q15856" t="s">
        <v>15514</v>
      </c>
      <c r="R15856" t="s">
        <v>618</v>
      </c>
      <c r="S15856">
        <v>146.45501999999999</v>
      </c>
      <c r="T15856" s="1095">
        <v>-42.544215000000001</v>
      </c>
    </row>
    <row r="15857" spans="16:20">
      <c r="P15857" s="1094">
        <v>7140</v>
      </c>
      <c r="Q15857" t="s">
        <v>15515</v>
      </c>
      <c r="R15857" t="s">
        <v>618</v>
      </c>
      <c r="S15857">
        <v>146.45501999999999</v>
      </c>
      <c r="T15857" s="1095">
        <v>-42.544215000000001</v>
      </c>
    </row>
    <row r="15858" spans="16:20">
      <c r="P15858" s="1094">
        <v>7140</v>
      </c>
      <c r="Q15858" t="s">
        <v>15516</v>
      </c>
      <c r="R15858" t="s">
        <v>618</v>
      </c>
      <c r="S15858">
        <v>146.45501999999999</v>
      </c>
      <c r="T15858" s="1095">
        <v>-42.544215000000001</v>
      </c>
    </row>
    <row r="15859" spans="16:20">
      <c r="P15859" s="1094">
        <v>7140</v>
      </c>
      <c r="Q15859" t="s">
        <v>7067</v>
      </c>
      <c r="R15859" t="s">
        <v>618</v>
      </c>
      <c r="S15859">
        <v>146.45501999999999</v>
      </c>
      <c r="T15859" s="1095">
        <v>-42.544215000000001</v>
      </c>
    </row>
    <row r="15860" spans="16:20">
      <c r="P15860" s="1094">
        <v>7140</v>
      </c>
      <c r="Q15860" t="s">
        <v>15517</v>
      </c>
      <c r="R15860" t="s">
        <v>618</v>
      </c>
      <c r="S15860">
        <v>146.45501999999999</v>
      </c>
      <c r="T15860" s="1095">
        <v>-42.544215000000001</v>
      </c>
    </row>
    <row r="15861" spans="16:20">
      <c r="P15861" s="1094">
        <v>7140</v>
      </c>
      <c r="Q15861" t="s">
        <v>15518</v>
      </c>
      <c r="R15861" t="s">
        <v>618</v>
      </c>
      <c r="S15861">
        <v>146.45501999999999</v>
      </c>
      <c r="T15861" s="1095">
        <v>-42.544215000000001</v>
      </c>
    </row>
    <row r="15862" spans="16:20">
      <c r="P15862" s="1094">
        <v>7150</v>
      </c>
      <c r="Q15862" t="s">
        <v>15519</v>
      </c>
      <c r="R15862" t="s">
        <v>618</v>
      </c>
      <c r="S15862">
        <v>147.95844099999999</v>
      </c>
      <c r="T15862" s="1095">
        <v>-43.077585999999997</v>
      </c>
    </row>
    <row r="15863" spans="16:20">
      <c r="P15863" s="1094">
        <v>7150</v>
      </c>
      <c r="Q15863" t="s">
        <v>15520</v>
      </c>
      <c r="R15863" t="s">
        <v>618</v>
      </c>
      <c r="S15863">
        <v>147.95844099999999</v>
      </c>
      <c r="T15863" s="1095">
        <v>-43.077585999999997</v>
      </c>
    </row>
    <row r="15864" spans="16:20">
      <c r="P15864" s="1094">
        <v>7150</v>
      </c>
      <c r="Q15864" t="s">
        <v>15521</v>
      </c>
      <c r="R15864" t="s">
        <v>618</v>
      </c>
      <c r="S15864">
        <v>147.95844099999999</v>
      </c>
      <c r="T15864" s="1095">
        <v>-43.077585999999997</v>
      </c>
    </row>
    <row r="15865" spans="16:20">
      <c r="P15865" s="1094">
        <v>7150</v>
      </c>
      <c r="Q15865" t="s">
        <v>6867</v>
      </c>
      <c r="R15865" t="s">
        <v>618</v>
      </c>
      <c r="S15865">
        <v>147.95844099999999</v>
      </c>
      <c r="T15865" s="1095">
        <v>-43.077585999999997</v>
      </c>
    </row>
    <row r="15866" spans="16:20">
      <c r="P15866" s="1094">
        <v>7150</v>
      </c>
      <c r="Q15866" t="s">
        <v>15522</v>
      </c>
      <c r="R15866" t="s">
        <v>618</v>
      </c>
      <c r="S15866">
        <v>147.95844099999999</v>
      </c>
      <c r="T15866" s="1095">
        <v>-43.077585999999997</v>
      </c>
    </row>
    <row r="15867" spans="16:20">
      <c r="P15867" s="1094">
        <v>7150</v>
      </c>
      <c r="Q15867" t="s">
        <v>15523</v>
      </c>
      <c r="R15867" t="s">
        <v>618</v>
      </c>
      <c r="S15867">
        <v>147.95844099999999</v>
      </c>
      <c r="T15867" s="1095">
        <v>-43.077585999999997</v>
      </c>
    </row>
    <row r="15868" spans="16:20">
      <c r="P15868" s="1094">
        <v>7150</v>
      </c>
      <c r="Q15868" t="s">
        <v>1858</v>
      </c>
      <c r="R15868" t="s">
        <v>618</v>
      </c>
      <c r="S15868">
        <v>147.95844099999999</v>
      </c>
      <c r="T15868" s="1095">
        <v>-43.077585999999997</v>
      </c>
    </row>
    <row r="15869" spans="16:20">
      <c r="P15869" s="1094">
        <v>7150</v>
      </c>
      <c r="Q15869" t="s">
        <v>15524</v>
      </c>
      <c r="R15869" t="s">
        <v>618</v>
      </c>
      <c r="S15869">
        <v>147.95844099999999</v>
      </c>
      <c r="T15869" s="1095">
        <v>-43.077585999999997</v>
      </c>
    </row>
    <row r="15870" spans="16:20">
      <c r="P15870" s="1094">
        <v>7150</v>
      </c>
      <c r="Q15870" t="s">
        <v>15525</v>
      </c>
      <c r="R15870" t="s">
        <v>618</v>
      </c>
      <c r="S15870">
        <v>147.95844099999999</v>
      </c>
      <c r="T15870" s="1095">
        <v>-43.077585999999997</v>
      </c>
    </row>
    <row r="15871" spans="16:20">
      <c r="P15871" s="1094">
        <v>7150</v>
      </c>
      <c r="Q15871" t="s">
        <v>15526</v>
      </c>
      <c r="R15871" t="s">
        <v>618</v>
      </c>
      <c r="S15871">
        <v>147.95844099999999</v>
      </c>
      <c r="T15871" s="1095">
        <v>-43.077585999999997</v>
      </c>
    </row>
    <row r="15872" spans="16:20">
      <c r="P15872" s="1094">
        <v>7150</v>
      </c>
      <c r="Q15872" t="s">
        <v>15527</v>
      </c>
      <c r="R15872" t="s">
        <v>618</v>
      </c>
      <c r="S15872">
        <v>147.95844099999999</v>
      </c>
      <c r="T15872" s="1095">
        <v>-43.077585999999997</v>
      </c>
    </row>
    <row r="15873" spans="16:20">
      <c r="P15873" s="1094">
        <v>7150</v>
      </c>
      <c r="Q15873" t="s">
        <v>15528</v>
      </c>
      <c r="R15873" t="s">
        <v>618</v>
      </c>
      <c r="S15873">
        <v>147.95844099999999</v>
      </c>
      <c r="T15873" s="1095">
        <v>-43.077585999999997</v>
      </c>
    </row>
    <row r="15874" spans="16:20">
      <c r="P15874" s="1094">
        <v>7150</v>
      </c>
      <c r="Q15874" t="s">
        <v>15529</v>
      </c>
      <c r="R15874" t="s">
        <v>618</v>
      </c>
      <c r="S15874">
        <v>147.95844099999999</v>
      </c>
      <c r="T15874" s="1095">
        <v>-43.077585999999997</v>
      </c>
    </row>
    <row r="15875" spans="16:20">
      <c r="P15875" s="1094">
        <v>7150</v>
      </c>
      <c r="Q15875" t="s">
        <v>2579</v>
      </c>
      <c r="R15875" t="s">
        <v>618</v>
      </c>
      <c r="S15875">
        <v>147.95844099999999</v>
      </c>
      <c r="T15875" s="1095">
        <v>-43.077585999999997</v>
      </c>
    </row>
    <row r="15876" spans="16:20">
      <c r="P15876" s="1094">
        <v>7150</v>
      </c>
      <c r="Q15876" t="s">
        <v>15530</v>
      </c>
      <c r="R15876" t="s">
        <v>618</v>
      </c>
      <c r="S15876">
        <v>147.95844099999999</v>
      </c>
      <c r="T15876" s="1095">
        <v>-43.077585999999997</v>
      </c>
    </row>
    <row r="15877" spans="16:20">
      <c r="P15877" s="1094">
        <v>7150</v>
      </c>
      <c r="Q15877" t="s">
        <v>15531</v>
      </c>
      <c r="R15877" t="s">
        <v>618</v>
      </c>
      <c r="S15877">
        <v>147.95844099999999</v>
      </c>
      <c r="T15877" s="1095">
        <v>-43.077585999999997</v>
      </c>
    </row>
    <row r="15878" spans="16:20">
      <c r="P15878" s="1094">
        <v>7150</v>
      </c>
      <c r="Q15878" t="s">
        <v>15532</v>
      </c>
      <c r="R15878" t="s">
        <v>618</v>
      </c>
      <c r="S15878">
        <v>147.95844099999999</v>
      </c>
      <c r="T15878" s="1095">
        <v>-43.077585999999997</v>
      </c>
    </row>
    <row r="15879" spans="16:20">
      <c r="P15879" s="1094">
        <v>7150</v>
      </c>
      <c r="Q15879" t="s">
        <v>15533</v>
      </c>
      <c r="R15879" t="s">
        <v>618</v>
      </c>
      <c r="S15879">
        <v>147.95844099999999</v>
      </c>
      <c r="T15879" s="1095">
        <v>-43.077585999999997</v>
      </c>
    </row>
    <row r="15880" spans="16:20">
      <c r="P15880" s="1094">
        <v>7150</v>
      </c>
      <c r="Q15880" t="s">
        <v>15534</v>
      </c>
      <c r="R15880" t="s">
        <v>618</v>
      </c>
      <c r="S15880">
        <v>147.95844099999999</v>
      </c>
      <c r="T15880" s="1095">
        <v>-43.077585999999997</v>
      </c>
    </row>
    <row r="15881" spans="16:20">
      <c r="P15881" s="1094">
        <v>7151</v>
      </c>
      <c r="Q15881" t="s">
        <v>15535</v>
      </c>
      <c r="R15881" t="s">
        <v>618</v>
      </c>
      <c r="S15881">
        <v>0</v>
      </c>
      <c r="T15881" s="1095">
        <v>0</v>
      </c>
    </row>
    <row r="15882" spans="16:20">
      <c r="P15882" s="1094">
        <v>7151</v>
      </c>
      <c r="Q15882" t="s">
        <v>15536</v>
      </c>
      <c r="R15882" t="s">
        <v>618</v>
      </c>
      <c r="S15882">
        <v>0</v>
      </c>
      <c r="T15882" s="1095">
        <v>0</v>
      </c>
    </row>
    <row r="15883" spans="16:20">
      <c r="P15883" s="1094">
        <v>7151</v>
      </c>
      <c r="Q15883" t="s">
        <v>4855</v>
      </c>
      <c r="R15883" t="s">
        <v>618</v>
      </c>
      <c r="S15883">
        <v>0</v>
      </c>
      <c r="T15883" s="1095">
        <v>0</v>
      </c>
    </row>
    <row r="15884" spans="16:20">
      <c r="P15884" s="1094">
        <v>7151</v>
      </c>
      <c r="Q15884" t="s">
        <v>15537</v>
      </c>
      <c r="R15884" t="s">
        <v>618</v>
      </c>
      <c r="S15884">
        <v>0</v>
      </c>
      <c r="T15884" s="1095">
        <v>0</v>
      </c>
    </row>
    <row r="15885" spans="16:20">
      <c r="P15885" s="1094">
        <v>7151</v>
      </c>
      <c r="Q15885" t="s">
        <v>4824</v>
      </c>
      <c r="R15885" t="s">
        <v>618</v>
      </c>
      <c r="S15885">
        <v>0</v>
      </c>
      <c r="T15885" s="1095">
        <v>0</v>
      </c>
    </row>
    <row r="15886" spans="16:20">
      <c r="P15886" s="1094">
        <v>7155</v>
      </c>
      <c r="Q15886" t="s">
        <v>15538</v>
      </c>
      <c r="R15886" t="s">
        <v>618</v>
      </c>
      <c r="S15886">
        <v>147.21691799999999</v>
      </c>
      <c r="T15886" s="1095">
        <v>-43.128867999999997</v>
      </c>
    </row>
    <row r="15887" spans="16:20">
      <c r="P15887" s="1094">
        <v>7162</v>
      </c>
      <c r="Q15887" t="s">
        <v>15539</v>
      </c>
      <c r="R15887" t="s">
        <v>618</v>
      </c>
      <c r="S15887">
        <v>147.20962800000001</v>
      </c>
      <c r="T15887" s="1095">
        <v>-43.158651999999996</v>
      </c>
    </row>
    <row r="15888" spans="16:20">
      <c r="P15888" s="1094">
        <v>7162</v>
      </c>
      <c r="Q15888" t="s">
        <v>13908</v>
      </c>
      <c r="R15888" t="s">
        <v>618</v>
      </c>
      <c r="S15888">
        <v>147.20962800000001</v>
      </c>
      <c r="T15888" s="1095">
        <v>-43.158651999999996</v>
      </c>
    </row>
    <row r="15889" spans="16:20">
      <c r="P15889" s="1094">
        <v>7163</v>
      </c>
      <c r="Q15889" t="s">
        <v>15540</v>
      </c>
      <c r="R15889" t="s">
        <v>618</v>
      </c>
      <c r="S15889">
        <v>147.22747899999999</v>
      </c>
      <c r="T15889" s="1095">
        <v>-43.209774000000003</v>
      </c>
    </row>
    <row r="15890" spans="16:20">
      <c r="P15890" s="1094">
        <v>7163</v>
      </c>
      <c r="Q15890" t="s">
        <v>11593</v>
      </c>
      <c r="R15890" t="s">
        <v>618</v>
      </c>
      <c r="S15890">
        <v>147.22747899999999</v>
      </c>
      <c r="T15890" s="1095">
        <v>-43.209774000000003</v>
      </c>
    </row>
    <row r="15891" spans="16:20">
      <c r="P15891" s="1094">
        <v>7170</v>
      </c>
      <c r="Q15891" t="s">
        <v>14308</v>
      </c>
      <c r="R15891" t="s">
        <v>618</v>
      </c>
      <c r="S15891">
        <v>147.449794</v>
      </c>
      <c r="T15891" s="1095">
        <v>-42.851320000000001</v>
      </c>
    </row>
    <row r="15892" spans="16:20">
      <c r="P15892" s="1094">
        <v>7170</v>
      </c>
      <c r="Q15892" t="s">
        <v>15541</v>
      </c>
      <c r="R15892" t="s">
        <v>618</v>
      </c>
      <c r="S15892">
        <v>147.449794</v>
      </c>
      <c r="T15892" s="1095">
        <v>-42.851320000000001</v>
      </c>
    </row>
    <row r="15893" spans="16:20">
      <c r="P15893" s="1094">
        <v>7170</v>
      </c>
      <c r="Q15893" t="s">
        <v>15542</v>
      </c>
      <c r="R15893" t="s">
        <v>618</v>
      </c>
      <c r="S15893">
        <v>147.449794</v>
      </c>
      <c r="T15893" s="1095">
        <v>-42.851320000000001</v>
      </c>
    </row>
    <row r="15894" spans="16:20">
      <c r="P15894" s="1094">
        <v>7170</v>
      </c>
      <c r="Q15894" t="s">
        <v>15543</v>
      </c>
      <c r="R15894" t="s">
        <v>618</v>
      </c>
      <c r="S15894">
        <v>147.449794</v>
      </c>
      <c r="T15894" s="1095">
        <v>-42.851320000000001</v>
      </c>
    </row>
    <row r="15895" spans="16:20">
      <c r="P15895" s="1094">
        <v>7170</v>
      </c>
      <c r="Q15895" t="s">
        <v>15544</v>
      </c>
      <c r="R15895" t="s">
        <v>618</v>
      </c>
      <c r="S15895">
        <v>147.449794</v>
      </c>
      <c r="T15895" s="1095">
        <v>-42.851320000000001</v>
      </c>
    </row>
    <row r="15896" spans="16:20">
      <c r="P15896" s="1094">
        <v>7171</v>
      </c>
      <c r="Q15896" t="s">
        <v>15545</v>
      </c>
      <c r="R15896" t="s">
        <v>618</v>
      </c>
      <c r="S15896">
        <v>147.488282</v>
      </c>
      <c r="T15896" s="1095">
        <v>-42.780110000000001</v>
      </c>
    </row>
    <row r="15897" spans="16:20">
      <c r="P15897" s="1094">
        <v>7171</v>
      </c>
      <c r="Q15897" t="s">
        <v>15546</v>
      </c>
      <c r="R15897" t="s">
        <v>618</v>
      </c>
      <c r="S15897">
        <v>147.488282</v>
      </c>
      <c r="T15897" s="1095">
        <v>-42.780110000000001</v>
      </c>
    </row>
    <row r="15898" spans="16:20">
      <c r="P15898" s="1094">
        <v>7172</v>
      </c>
      <c r="Q15898" t="s">
        <v>15547</v>
      </c>
      <c r="R15898" t="s">
        <v>618</v>
      </c>
      <c r="S15898">
        <v>147.63169500000001</v>
      </c>
      <c r="T15898" s="1095">
        <v>-42.730285000000002</v>
      </c>
    </row>
    <row r="15899" spans="16:20">
      <c r="P15899" s="1094">
        <v>7172</v>
      </c>
      <c r="Q15899" t="s">
        <v>15548</v>
      </c>
      <c r="R15899" t="s">
        <v>618</v>
      </c>
      <c r="S15899">
        <v>147.63169500000001</v>
      </c>
      <c r="T15899" s="1095">
        <v>-42.730285000000002</v>
      </c>
    </row>
    <row r="15900" spans="16:20">
      <c r="P15900" s="1094">
        <v>7172</v>
      </c>
      <c r="Q15900" t="s">
        <v>15549</v>
      </c>
      <c r="R15900" t="s">
        <v>618</v>
      </c>
      <c r="S15900">
        <v>147.63169500000001</v>
      </c>
      <c r="T15900" s="1095">
        <v>-42.730285000000002</v>
      </c>
    </row>
    <row r="15901" spans="16:20">
      <c r="P15901" s="1094">
        <v>7172</v>
      </c>
      <c r="Q15901" t="s">
        <v>15550</v>
      </c>
      <c r="R15901" t="s">
        <v>618</v>
      </c>
      <c r="S15901">
        <v>147.63169500000001</v>
      </c>
      <c r="T15901" s="1095">
        <v>-42.730285000000002</v>
      </c>
    </row>
    <row r="15902" spans="16:20">
      <c r="P15902" s="1094">
        <v>7172</v>
      </c>
      <c r="Q15902" t="s">
        <v>6881</v>
      </c>
      <c r="R15902" t="s">
        <v>618</v>
      </c>
      <c r="S15902">
        <v>147.63169500000001</v>
      </c>
      <c r="T15902" s="1095">
        <v>-42.730285000000002</v>
      </c>
    </row>
    <row r="15903" spans="16:20">
      <c r="P15903" s="1094">
        <v>7173</v>
      </c>
      <c r="Q15903" t="s">
        <v>2210</v>
      </c>
      <c r="R15903" t="s">
        <v>618</v>
      </c>
      <c r="S15903">
        <v>147.63073700000001</v>
      </c>
      <c r="T15903" s="1095">
        <v>-42.823649000000003</v>
      </c>
    </row>
    <row r="15904" spans="16:20">
      <c r="P15904" s="1094">
        <v>7173</v>
      </c>
      <c r="Q15904" t="s">
        <v>15551</v>
      </c>
      <c r="R15904" t="s">
        <v>618</v>
      </c>
      <c r="S15904">
        <v>147.63073700000001</v>
      </c>
      <c r="T15904" s="1095">
        <v>-42.823649000000003</v>
      </c>
    </row>
    <row r="15905" spans="16:20">
      <c r="P15905" s="1094">
        <v>7173</v>
      </c>
      <c r="Q15905" t="s">
        <v>15552</v>
      </c>
      <c r="R15905" t="s">
        <v>618</v>
      </c>
      <c r="S15905">
        <v>147.63073700000001</v>
      </c>
      <c r="T15905" s="1095">
        <v>-42.823649000000003</v>
      </c>
    </row>
    <row r="15906" spans="16:20">
      <c r="P15906" s="1094">
        <v>7173</v>
      </c>
      <c r="Q15906" t="s">
        <v>15553</v>
      </c>
      <c r="R15906" t="s">
        <v>618</v>
      </c>
      <c r="S15906">
        <v>147.63073700000001</v>
      </c>
      <c r="T15906" s="1095">
        <v>-42.823649000000003</v>
      </c>
    </row>
    <row r="15907" spans="16:20">
      <c r="P15907" s="1094">
        <v>7173</v>
      </c>
      <c r="Q15907" t="s">
        <v>15554</v>
      </c>
      <c r="R15907" t="s">
        <v>618</v>
      </c>
      <c r="S15907">
        <v>147.63073700000001</v>
      </c>
      <c r="T15907" s="1095">
        <v>-42.823649000000003</v>
      </c>
    </row>
    <row r="15908" spans="16:20">
      <c r="P15908" s="1094">
        <v>7173</v>
      </c>
      <c r="Q15908" t="s">
        <v>1820</v>
      </c>
      <c r="R15908" t="s">
        <v>618</v>
      </c>
      <c r="S15908">
        <v>147.63073700000001</v>
      </c>
      <c r="T15908" s="1095">
        <v>-42.823649000000003</v>
      </c>
    </row>
    <row r="15909" spans="16:20">
      <c r="P15909" s="1094">
        <v>7173</v>
      </c>
      <c r="Q15909" t="s">
        <v>15555</v>
      </c>
      <c r="R15909" t="s">
        <v>618</v>
      </c>
      <c r="S15909">
        <v>147.63073700000001</v>
      </c>
      <c r="T15909" s="1095">
        <v>-42.823649000000003</v>
      </c>
    </row>
    <row r="15910" spans="16:20">
      <c r="P15910" s="1094">
        <v>7174</v>
      </c>
      <c r="Q15910" t="s">
        <v>15556</v>
      </c>
      <c r="R15910" t="s">
        <v>618</v>
      </c>
      <c r="S15910">
        <v>147.74328499999999</v>
      </c>
      <c r="T15910" s="1095">
        <v>-42.807682</v>
      </c>
    </row>
    <row r="15911" spans="16:20">
      <c r="P15911" s="1094">
        <v>7175</v>
      </c>
      <c r="Q15911" t="s">
        <v>15557</v>
      </c>
      <c r="R15911" t="s">
        <v>618</v>
      </c>
      <c r="S15911">
        <v>147.82859400000001</v>
      </c>
      <c r="T15911" s="1095">
        <v>-42.818606000000003</v>
      </c>
    </row>
    <row r="15912" spans="16:20">
      <c r="P15912" s="1094">
        <v>7175</v>
      </c>
      <c r="Q15912" t="s">
        <v>13584</v>
      </c>
      <c r="R15912" t="s">
        <v>618</v>
      </c>
      <c r="S15912">
        <v>147.82859400000001</v>
      </c>
      <c r="T15912" s="1095">
        <v>-42.818606000000003</v>
      </c>
    </row>
    <row r="15913" spans="16:20">
      <c r="P15913" s="1094">
        <v>7176</v>
      </c>
      <c r="Q15913" t="s">
        <v>15558</v>
      </c>
      <c r="R15913" t="s">
        <v>618</v>
      </c>
      <c r="S15913">
        <v>147.83767499999999</v>
      </c>
      <c r="T15913" s="1095">
        <v>-42.753098000000001</v>
      </c>
    </row>
    <row r="15914" spans="16:20">
      <c r="P15914" s="1094">
        <v>7177</v>
      </c>
      <c r="Q15914" t="s">
        <v>15559</v>
      </c>
      <c r="R15914" t="s">
        <v>618</v>
      </c>
      <c r="S15914">
        <v>147.976495</v>
      </c>
      <c r="T15914" s="1095">
        <v>-42.884194999999998</v>
      </c>
    </row>
    <row r="15915" spans="16:20">
      <c r="P15915" s="1094">
        <v>7177</v>
      </c>
      <c r="Q15915" t="s">
        <v>15560</v>
      </c>
      <c r="R15915" t="s">
        <v>618</v>
      </c>
      <c r="S15915">
        <v>147.976495</v>
      </c>
      <c r="T15915" s="1095">
        <v>-42.884194999999998</v>
      </c>
    </row>
    <row r="15916" spans="16:20">
      <c r="P15916" s="1094">
        <v>7178</v>
      </c>
      <c r="Q15916" t="s">
        <v>15561</v>
      </c>
      <c r="R15916" t="s">
        <v>618</v>
      </c>
      <c r="S15916">
        <v>147.90615199999999</v>
      </c>
      <c r="T15916" s="1095">
        <v>-42.958471000000003</v>
      </c>
    </row>
    <row r="15917" spans="16:20">
      <c r="P15917" s="1094">
        <v>7179</v>
      </c>
      <c r="Q15917" t="s">
        <v>15562</v>
      </c>
      <c r="R15917" t="s">
        <v>618</v>
      </c>
      <c r="S15917">
        <v>147.94495699999999</v>
      </c>
      <c r="T15917" s="1095">
        <v>-43.033825999999998</v>
      </c>
    </row>
    <row r="15918" spans="16:20">
      <c r="P15918" s="1094">
        <v>7180</v>
      </c>
      <c r="Q15918" t="s">
        <v>15563</v>
      </c>
      <c r="R15918" t="s">
        <v>618</v>
      </c>
      <c r="S15918">
        <v>148.006561</v>
      </c>
      <c r="T15918" s="1095">
        <v>-43.138711999999998</v>
      </c>
    </row>
    <row r="15919" spans="16:20">
      <c r="P15919" s="1094">
        <v>7182</v>
      </c>
      <c r="Q15919" t="s">
        <v>15250</v>
      </c>
      <c r="R15919" t="s">
        <v>618</v>
      </c>
      <c r="S15919">
        <v>147.82293100000001</v>
      </c>
      <c r="T15919" s="1095">
        <v>-43.170597999999998</v>
      </c>
    </row>
    <row r="15920" spans="16:20">
      <c r="P15920" s="1094">
        <v>7182</v>
      </c>
      <c r="Q15920" t="s">
        <v>13569</v>
      </c>
      <c r="R15920" t="s">
        <v>618</v>
      </c>
      <c r="S15920">
        <v>147.82293100000001</v>
      </c>
      <c r="T15920" s="1095">
        <v>-43.170597999999998</v>
      </c>
    </row>
    <row r="15921" spans="16:20">
      <c r="P15921" s="1094">
        <v>7183</v>
      </c>
      <c r="Q15921" t="s">
        <v>15564</v>
      </c>
      <c r="R15921" t="s">
        <v>618</v>
      </c>
      <c r="S15921">
        <v>147.75059300000001</v>
      </c>
      <c r="T15921" s="1095">
        <v>-43.171185000000001</v>
      </c>
    </row>
    <row r="15922" spans="16:20">
      <c r="P15922" s="1094">
        <v>7184</v>
      </c>
      <c r="Q15922" t="s">
        <v>15565</v>
      </c>
      <c r="R15922" t="s">
        <v>618</v>
      </c>
      <c r="S15922">
        <v>147.70788999999999</v>
      </c>
      <c r="T15922" s="1095">
        <v>-43.152512000000002</v>
      </c>
    </row>
    <row r="15923" spans="16:20">
      <c r="P15923" s="1094">
        <v>7184</v>
      </c>
      <c r="Q15923" t="s">
        <v>15566</v>
      </c>
      <c r="R15923" t="s">
        <v>618</v>
      </c>
      <c r="S15923">
        <v>147.70788999999999</v>
      </c>
      <c r="T15923" s="1095">
        <v>-43.152512000000002</v>
      </c>
    </row>
    <row r="15924" spans="16:20">
      <c r="P15924" s="1094">
        <v>7184</v>
      </c>
      <c r="Q15924" t="s">
        <v>15567</v>
      </c>
      <c r="R15924" t="s">
        <v>618</v>
      </c>
      <c r="S15924">
        <v>147.70788999999999</v>
      </c>
      <c r="T15924" s="1095">
        <v>-43.152512000000002</v>
      </c>
    </row>
    <row r="15925" spans="16:20">
      <c r="P15925" s="1094">
        <v>7185</v>
      </c>
      <c r="Q15925" t="s">
        <v>15568</v>
      </c>
      <c r="R15925" t="s">
        <v>618</v>
      </c>
      <c r="S15925">
        <v>147.753782</v>
      </c>
      <c r="T15925" s="1095">
        <v>-43.062899000000002</v>
      </c>
    </row>
    <row r="15926" spans="16:20">
      <c r="P15926" s="1094">
        <v>7186</v>
      </c>
      <c r="Q15926" t="s">
        <v>15569</v>
      </c>
      <c r="R15926" t="s">
        <v>618</v>
      </c>
      <c r="S15926">
        <v>147.66398100000001</v>
      </c>
      <c r="T15926" s="1095">
        <v>-43.029525</v>
      </c>
    </row>
    <row r="15927" spans="16:20">
      <c r="P15927" s="1094">
        <v>7186</v>
      </c>
      <c r="Q15927" t="s">
        <v>15570</v>
      </c>
      <c r="R15927" t="s">
        <v>618</v>
      </c>
      <c r="S15927">
        <v>147.66398100000001</v>
      </c>
      <c r="T15927" s="1095">
        <v>-43.029525</v>
      </c>
    </row>
    <row r="15928" spans="16:20">
      <c r="P15928" s="1094">
        <v>7187</v>
      </c>
      <c r="Q15928" t="s">
        <v>15571</v>
      </c>
      <c r="R15928" t="s">
        <v>618</v>
      </c>
      <c r="S15928">
        <v>147.848028</v>
      </c>
      <c r="T15928" s="1095">
        <v>-43.027742000000003</v>
      </c>
    </row>
    <row r="15929" spans="16:20">
      <c r="P15929" s="1094">
        <v>7190</v>
      </c>
      <c r="Q15929" t="s">
        <v>15572</v>
      </c>
      <c r="R15929" t="s">
        <v>618</v>
      </c>
      <c r="S15929">
        <v>148.09169600000001</v>
      </c>
      <c r="T15929" s="1095">
        <v>-42.62988</v>
      </c>
    </row>
    <row r="15930" spans="16:20">
      <c r="P15930" s="1094">
        <v>7190</v>
      </c>
      <c r="Q15930" t="s">
        <v>8622</v>
      </c>
      <c r="R15930" t="s">
        <v>618</v>
      </c>
      <c r="S15930">
        <v>148.09169600000001</v>
      </c>
      <c r="T15930" s="1095">
        <v>-42.62988</v>
      </c>
    </row>
    <row r="15931" spans="16:20">
      <c r="P15931" s="1094">
        <v>7190</v>
      </c>
      <c r="Q15931" t="s">
        <v>11867</v>
      </c>
      <c r="R15931" t="s">
        <v>618</v>
      </c>
      <c r="S15931">
        <v>148.09169600000001</v>
      </c>
      <c r="T15931" s="1095">
        <v>-42.62988</v>
      </c>
    </row>
    <row r="15932" spans="16:20">
      <c r="P15932" s="1094">
        <v>7190</v>
      </c>
      <c r="Q15932" t="s">
        <v>15573</v>
      </c>
      <c r="R15932" t="s">
        <v>618</v>
      </c>
      <c r="S15932">
        <v>148.09169600000001</v>
      </c>
      <c r="T15932" s="1095">
        <v>-42.62988</v>
      </c>
    </row>
    <row r="15933" spans="16:20">
      <c r="P15933" s="1094">
        <v>7190</v>
      </c>
      <c r="Q15933" t="s">
        <v>15574</v>
      </c>
      <c r="R15933" t="s">
        <v>618</v>
      </c>
      <c r="S15933">
        <v>148.09169600000001</v>
      </c>
      <c r="T15933" s="1095">
        <v>-42.62988</v>
      </c>
    </row>
    <row r="15934" spans="16:20">
      <c r="P15934" s="1094">
        <v>7190</v>
      </c>
      <c r="Q15934" t="s">
        <v>15575</v>
      </c>
      <c r="R15934" t="s">
        <v>618</v>
      </c>
      <c r="S15934">
        <v>148.09169600000001</v>
      </c>
      <c r="T15934" s="1095">
        <v>-42.62988</v>
      </c>
    </row>
    <row r="15935" spans="16:20">
      <c r="P15935" s="1094">
        <v>7190</v>
      </c>
      <c r="Q15935" t="s">
        <v>7045</v>
      </c>
      <c r="R15935" t="s">
        <v>618</v>
      </c>
      <c r="S15935">
        <v>148.09169600000001</v>
      </c>
      <c r="T15935" s="1095">
        <v>-42.62988</v>
      </c>
    </row>
    <row r="15936" spans="16:20">
      <c r="P15936" s="1094">
        <v>7190</v>
      </c>
      <c r="Q15936" t="s">
        <v>15576</v>
      </c>
      <c r="R15936" t="s">
        <v>618</v>
      </c>
      <c r="S15936">
        <v>148.09169600000001</v>
      </c>
      <c r="T15936" s="1095">
        <v>-42.62988</v>
      </c>
    </row>
    <row r="15937" spans="16:20">
      <c r="P15937" s="1094">
        <v>7190</v>
      </c>
      <c r="Q15937" t="s">
        <v>15577</v>
      </c>
      <c r="R15937" t="s">
        <v>618</v>
      </c>
      <c r="S15937">
        <v>148.09169600000001</v>
      </c>
      <c r="T15937" s="1095">
        <v>-42.62988</v>
      </c>
    </row>
    <row r="15938" spans="16:20">
      <c r="P15938" s="1094">
        <v>7190</v>
      </c>
      <c r="Q15938" t="s">
        <v>15578</v>
      </c>
      <c r="R15938" t="s">
        <v>618</v>
      </c>
      <c r="S15938">
        <v>148.09169600000001</v>
      </c>
      <c r="T15938" s="1095">
        <v>-42.62988</v>
      </c>
    </row>
    <row r="15939" spans="16:20">
      <c r="P15939" s="1094">
        <v>7190</v>
      </c>
      <c r="Q15939" t="s">
        <v>8057</v>
      </c>
      <c r="R15939" t="s">
        <v>618</v>
      </c>
      <c r="S15939">
        <v>148.09169600000001</v>
      </c>
      <c r="T15939" s="1095">
        <v>-42.62988</v>
      </c>
    </row>
    <row r="15940" spans="16:20">
      <c r="P15940" s="1094">
        <v>7190</v>
      </c>
      <c r="Q15940" t="s">
        <v>15579</v>
      </c>
      <c r="R15940" t="s">
        <v>618</v>
      </c>
      <c r="S15940">
        <v>148.09169600000001</v>
      </c>
      <c r="T15940" s="1095">
        <v>-42.62988</v>
      </c>
    </row>
    <row r="15941" spans="16:20">
      <c r="P15941" s="1094">
        <v>7190</v>
      </c>
      <c r="Q15941" t="s">
        <v>2445</v>
      </c>
      <c r="R15941" t="s">
        <v>618</v>
      </c>
      <c r="S15941">
        <v>148.09169600000001</v>
      </c>
      <c r="T15941" s="1095">
        <v>-42.62988</v>
      </c>
    </row>
    <row r="15942" spans="16:20">
      <c r="P15942" s="1094">
        <v>7190</v>
      </c>
      <c r="Q15942" t="s">
        <v>15580</v>
      </c>
      <c r="R15942" t="s">
        <v>618</v>
      </c>
      <c r="S15942">
        <v>148.09169600000001</v>
      </c>
      <c r="T15942" s="1095">
        <v>-42.62988</v>
      </c>
    </row>
    <row r="15943" spans="16:20">
      <c r="P15943" s="1094">
        <v>7209</v>
      </c>
      <c r="Q15943" t="s">
        <v>15581</v>
      </c>
      <c r="R15943" t="s">
        <v>618</v>
      </c>
      <c r="S15943">
        <v>147.614307</v>
      </c>
      <c r="T15943" s="1095">
        <v>-42.104584000000003</v>
      </c>
    </row>
    <row r="15944" spans="16:20">
      <c r="P15944" s="1094">
        <v>7209</v>
      </c>
      <c r="Q15944" t="s">
        <v>15582</v>
      </c>
      <c r="R15944" t="s">
        <v>618</v>
      </c>
      <c r="S15944">
        <v>147.614307</v>
      </c>
      <c r="T15944" s="1095">
        <v>-42.104584000000003</v>
      </c>
    </row>
    <row r="15945" spans="16:20">
      <c r="P15945" s="1094">
        <v>7210</v>
      </c>
      <c r="Q15945" t="s">
        <v>15583</v>
      </c>
      <c r="R15945" t="s">
        <v>618</v>
      </c>
      <c r="S15945">
        <v>147.41074699999999</v>
      </c>
      <c r="T15945" s="1095">
        <v>-41.915922999999999</v>
      </c>
    </row>
    <row r="15946" spans="16:20">
      <c r="P15946" s="1094">
        <v>7210</v>
      </c>
      <c r="Q15946" t="s">
        <v>15584</v>
      </c>
      <c r="R15946" t="s">
        <v>618</v>
      </c>
      <c r="S15946">
        <v>147.41074699999999</v>
      </c>
      <c r="T15946" s="1095">
        <v>-41.915922999999999</v>
      </c>
    </row>
    <row r="15947" spans="16:20">
      <c r="P15947" s="1094">
        <v>7211</v>
      </c>
      <c r="Q15947" t="s">
        <v>9642</v>
      </c>
      <c r="R15947" t="s">
        <v>618</v>
      </c>
      <c r="S15947">
        <v>147.31708900000001</v>
      </c>
      <c r="T15947" s="1095">
        <v>-41.788618999999997</v>
      </c>
    </row>
    <row r="15948" spans="16:20">
      <c r="P15948" s="1094">
        <v>7211</v>
      </c>
      <c r="Q15948" t="s">
        <v>15585</v>
      </c>
      <c r="R15948" t="s">
        <v>618</v>
      </c>
      <c r="S15948">
        <v>147.31708900000001</v>
      </c>
      <c r="T15948" s="1095">
        <v>-41.788618999999997</v>
      </c>
    </row>
    <row r="15949" spans="16:20">
      <c r="P15949" s="1094">
        <v>7211</v>
      </c>
      <c r="Q15949" t="s">
        <v>15586</v>
      </c>
      <c r="R15949" t="s">
        <v>618</v>
      </c>
      <c r="S15949">
        <v>147.31708900000001</v>
      </c>
      <c r="T15949" s="1095">
        <v>-41.788618999999997</v>
      </c>
    </row>
    <row r="15950" spans="16:20">
      <c r="P15950" s="1094">
        <v>7212</v>
      </c>
      <c r="Q15950" t="s">
        <v>3052</v>
      </c>
      <c r="R15950" t="s">
        <v>618</v>
      </c>
      <c r="S15950">
        <v>147.48841200000001</v>
      </c>
      <c r="T15950" s="1095">
        <v>-41.567875999999998</v>
      </c>
    </row>
    <row r="15951" spans="16:20">
      <c r="P15951" s="1094">
        <v>7212</v>
      </c>
      <c r="Q15951" t="s">
        <v>15587</v>
      </c>
      <c r="R15951" t="s">
        <v>618</v>
      </c>
      <c r="S15951">
        <v>147.48841200000001</v>
      </c>
      <c r="T15951" s="1095">
        <v>-41.567875999999998</v>
      </c>
    </row>
    <row r="15952" spans="16:20">
      <c r="P15952" s="1094">
        <v>7212</v>
      </c>
      <c r="Q15952" t="s">
        <v>15588</v>
      </c>
      <c r="R15952" t="s">
        <v>618</v>
      </c>
      <c r="S15952">
        <v>147.48841200000001</v>
      </c>
      <c r="T15952" s="1095">
        <v>-41.567875999999998</v>
      </c>
    </row>
    <row r="15953" spans="16:20">
      <c r="P15953" s="1094">
        <v>7212</v>
      </c>
      <c r="Q15953" t="s">
        <v>15589</v>
      </c>
      <c r="R15953" t="s">
        <v>618</v>
      </c>
      <c r="S15953">
        <v>147.48841200000001</v>
      </c>
      <c r="T15953" s="1095">
        <v>-41.567875999999998</v>
      </c>
    </row>
    <row r="15954" spans="16:20">
      <c r="P15954" s="1094">
        <v>7212</v>
      </c>
      <c r="Q15954" t="s">
        <v>12581</v>
      </c>
      <c r="R15954" t="s">
        <v>618</v>
      </c>
      <c r="S15954">
        <v>147.48841200000001</v>
      </c>
      <c r="T15954" s="1095">
        <v>-41.567875999999998</v>
      </c>
    </row>
    <row r="15955" spans="16:20">
      <c r="P15955" s="1094">
        <v>7212</v>
      </c>
      <c r="Q15955" t="s">
        <v>15590</v>
      </c>
      <c r="R15955" t="s">
        <v>618</v>
      </c>
      <c r="S15955">
        <v>147.48841200000001</v>
      </c>
      <c r="T15955" s="1095">
        <v>-41.567875999999998</v>
      </c>
    </row>
    <row r="15956" spans="16:20">
      <c r="P15956" s="1094">
        <v>7212</v>
      </c>
      <c r="Q15956" t="s">
        <v>15591</v>
      </c>
      <c r="R15956" t="s">
        <v>618</v>
      </c>
      <c r="S15956">
        <v>147.48841200000001</v>
      </c>
      <c r="T15956" s="1095">
        <v>-41.567875999999998</v>
      </c>
    </row>
    <row r="15957" spans="16:20">
      <c r="P15957" s="1094">
        <v>7212</v>
      </c>
      <c r="Q15957" t="s">
        <v>15592</v>
      </c>
      <c r="R15957" t="s">
        <v>618</v>
      </c>
      <c r="S15957">
        <v>147.48841200000001</v>
      </c>
      <c r="T15957" s="1095">
        <v>-41.567875999999998</v>
      </c>
    </row>
    <row r="15958" spans="16:20">
      <c r="P15958" s="1094">
        <v>7213</v>
      </c>
      <c r="Q15958" t="s">
        <v>4608</v>
      </c>
      <c r="R15958" t="s">
        <v>618</v>
      </c>
      <c r="S15958">
        <v>147.78159299999999</v>
      </c>
      <c r="T15958" s="1095">
        <v>-41.828496000000001</v>
      </c>
    </row>
    <row r="15959" spans="16:20">
      <c r="P15959" s="1094">
        <v>7213</v>
      </c>
      <c r="Q15959" t="s">
        <v>15593</v>
      </c>
      <c r="R15959" t="s">
        <v>618</v>
      </c>
      <c r="S15959">
        <v>147.78159299999999</v>
      </c>
      <c r="T15959" s="1095">
        <v>-41.828496000000001</v>
      </c>
    </row>
    <row r="15960" spans="16:20">
      <c r="P15960" s="1094">
        <v>7213</v>
      </c>
      <c r="Q15960" t="s">
        <v>15594</v>
      </c>
      <c r="R15960" t="s">
        <v>618</v>
      </c>
      <c r="S15960">
        <v>147.78159299999999</v>
      </c>
      <c r="T15960" s="1095">
        <v>-41.828496000000001</v>
      </c>
    </row>
    <row r="15961" spans="16:20">
      <c r="P15961" s="1094">
        <v>7214</v>
      </c>
      <c r="Q15961" t="s">
        <v>9141</v>
      </c>
      <c r="R15961" t="s">
        <v>618</v>
      </c>
      <c r="S15961">
        <v>147.897402</v>
      </c>
      <c r="T15961" s="1095">
        <v>-41.600718999999998</v>
      </c>
    </row>
    <row r="15962" spans="16:20">
      <c r="P15962" s="1094">
        <v>7214</v>
      </c>
      <c r="Q15962" t="s">
        <v>15595</v>
      </c>
      <c r="R15962" t="s">
        <v>618</v>
      </c>
      <c r="S15962">
        <v>147.897402</v>
      </c>
      <c r="T15962" s="1095">
        <v>-41.600718999999998</v>
      </c>
    </row>
    <row r="15963" spans="16:20">
      <c r="P15963" s="1094">
        <v>7214</v>
      </c>
      <c r="Q15963" t="s">
        <v>15596</v>
      </c>
      <c r="R15963" t="s">
        <v>618</v>
      </c>
      <c r="S15963">
        <v>147.897402</v>
      </c>
      <c r="T15963" s="1095">
        <v>-41.600718999999998</v>
      </c>
    </row>
    <row r="15964" spans="16:20">
      <c r="P15964" s="1094">
        <v>7214</v>
      </c>
      <c r="Q15964" t="s">
        <v>15597</v>
      </c>
      <c r="R15964" t="s">
        <v>618</v>
      </c>
      <c r="S15964">
        <v>147.897402</v>
      </c>
      <c r="T15964" s="1095">
        <v>-41.600718999999998</v>
      </c>
    </row>
    <row r="15965" spans="16:20">
      <c r="P15965" s="1094">
        <v>7215</v>
      </c>
      <c r="Q15965" t="s">
        <v>6751</v>
      </c>
      <c r="R15965" t="s">
        <v>618</v>
      </c>
      <c r="S15965">
        <v>148.281407</v>
      </c>
      <c r="T15965" s="1095">
        <v>-42.314526000000001</v>
      </c>
    </row>
    <row r="15966" spans="16:20">
      <c r="P15966" s="1094">
        <v>7215</v>
      </c>
      <c r="Q15966" t="s">
        <v>15598</v>
      </c>
      <c r="R15966" t="s">
        <v>618</v>
      </c>
      <c r="S15966">
        <v>148.281407</v>
      </c>
      <c r="T15966" s="1095">
        <v>-42.314526000000001</v>
      </c>
    </row>
    <row r="15967" spans="16:20">
      <c r="P15967" s="1094">
        <v>7215</v>
      </c>
      <c r="Q15967" t="s">
        <v>15599</v>
      </c>
      <c r="R15967" t="s">
        <v>618</v>
      </c>
      <c r="S15967">
        <v>148.281407</v>
      </c>
      <c r="T15967" s="1095">
        <v>-42.314526000000001</v>
      </c>
    </row>
    <row r="15968" spans="16:20">
      <c r="P15968" s="1094">
        <v>7215</v>
      </c>
      <c r="Q15968" t="s">
        <v>15600</v>
      </c>
      <c r="R15968" t="s">
        <v>618</v>
      </c>
      <c r="S15968">
        <v>148.281407</v>
      </c>
      <c r="T15968" s="1095">
        <v>-42.314526000000001</v>
      </c>
    </row>
    <row r="15969" spans="16:20">
      <c r="P15969" s="1094">
        <v>7215</v>
      </c>
      <c r="Q15969" t="s">
        <v>10520</v>
      </c>
      <c r="R15969" t="s">
        <v>618</v>
      </c>
      <c r="S15969">
        <v>148.281407</v>
      </c>
      <c r="T15969" s="1095">
        <v>-42.314526000000001</v>
      </c>
    </row>
    <row r="15970" spans="16:20">
      <c r="P15970" s="1094">
        <v>7215</v>
      </c>
      <c r="Q15970" t="s">
        <v>15601</v>
      </c>
      <c r="R15970" t="s">
        <v>618</v>
      </c>
      <c r="S15970">
        <v>148.281407</v>
      </c>
      <c r="T15970" s="1095">
        <v>-42.314526000000001</v>
      </c>
    </row>
    <row r="15971" spans="16:20">
      <c r="P15971" s="1094">
        <v>7215</v>
      </c>
      <c r="Q15971" t="s">
        <v>15602</v>
      </c>
      <c r="R15971" t="s">
        <v>618</v>
      </c>
      <c r="S15971">
        <v>148.281407</v>
      </c>
      <c r="T15971" s="1095">
        <v>-42.314526000000001</v>
      </c>
    </row>
    <row r="15972" spans="16:20">
      <c r="P15972" s="1094">
        <v>7215</v>
      </c>
      <c r="Q15972" t="s">
        <v>5878</v>
      </c>
      <c r="R15972" t="s">
        <v>618</v>
      </c>
      <c r="S15972">
        <v>148.281407</v>
      </c>
      <c r="T15972" s="1095">
        <v>-42.314526000000001</v>
      </c>
    </row>
    <row r="15973" spans="16:20">
      <c r="P15973" s="1094">
        <v>7215</v>
      </c>
      <c r="Q15973" t="s">
        <v>15603</v>
      </c>
      <c r="R15973" t="s">
        <v>618</v>
      </c>
      <c r="S15973">
        <v>148.281407</v>
      </c>
      <c r="T15973" s="1095">
        <v>-42.314526000000001</v>
      </c>
    </row>
    <row r="15974" spans="16:20">
      <c r="P15974" s="1094">
        <v>7215</v>
      </c>
      <c r="Q15974" t="s">
        <v>15604</v>
      </c>
      <c r="R15974" t="s">
        <v>618</v>
      </c>
      <c r="S15974">
        <v>148.281407</v>
      </c>
      <c r="T15974" s="1095">
        <v>-42.314526000000001</v>
      </c>
    </row>
    <row r="15975" spans="16:20">
      <c r="P15975" s="1094">
        <v>7215</v>
      </c>
      <c r="Q15975" t="s">
        <v>1519</v>
      </c>
      <c r="R15975" t="s">
        <v>618</v>
      </c>
      <c r="S15975">
        <v>148.281407</v>
      </c>
      <c r="T15975" s="1095">
        <v>-42.314526000000001</v>
      </c>
    </row>
    <row r="15976" spans="16:20">
      <c r="P15976" s="1094">
        <v>7215</v>
      </c>
      <c r="Q15976" t="s">
        <v>15605</v>
      </c>
      <c r="R15976" t="s">
        <v>618</v>
      </c>
      <c r="S15976">
        <v>148.281407</v>
      </c>
      <c r="T15976" s="1095">
        <v>-42.314526000000001</v>
      </c>
    </row>
    <row r="15977" spans="16:20">
      <c r="P15977" s="1094">
        <v>7215</v>
      </c>
      <c r="Q15977" t="s">
        <v>8331</v>
      </c>
      <c r="R15977" t="s">
        <v>618</v>
      </c>
      <c r="S15977">
        <v>148.281407</v>
      </c>
      <c r="T15977" s="1095">
        <v>-42.314526000000001</v>
      </c>
    </row>
    <row r="15978" spans="16:20">
      <c r="P15978" s="1094">
        <v>7215</v>
      </c>
      <c r="Q15978" t="s">
        <v>1705</v>
      </c>
      <c r="R15978" t="s">
        <v>618</v>
      </c>
      <c r="S15978">
        <v>148.281407</v>
      </c>
      <c r="T15978" s="1095">
        <v>-42.314526000000001</v>
      </c>
    </row>
    <row r="15979" spans="16:20">
      <c r="P15979" s="1094">
        <v>7215</v>
      </c>
      <c r="Q15979" t="s">
        <v>15606</v>
      </c>
      <c r="R15979" t="s">
        <v>618</v>
      </c>
      <c r="S15979">
        <v>148.281407</v>
      </c>
      <c r="T15979" s="1095">
        <v>-42.314526000000001</v>
      </c>
    </row>
    <row r="15980" spans="16:20">
      <c r="P15980" s="1094">
        <v>7216</v>
      </c>
      <c r="Q15980" t="s">
        <v>15607</v>
      </c>
      <c r="R15980" t="s">
        <v>618</v>
      </c>
      <c r="S15980">
        <v>148.076401</v>
      </c>
      <c r="T15980" s="1095">
        <v>-41.284241999999999</v>
      </c>
    </row>
    <row r="15981" spans="16:20">
      <c r="P15981" s="1094">
        <v>7216</v>
      </c>
      <c r="Q15981" t="s">
        <v>15608</v>
      </c>
      <c r="R15981" t="s">
        <v>618</v>
      </c>
      <c r="S15981">
        <v>148.076401</v>
      </c>
      <c r="T15981" s="1095">
        <v>-41.284241999999999</v>
      </c>
    </row>
    <row r="15982" spans="16:20">
      <c r="P15982" s="1094">
        <v>7216</v>
      </c>
      <c r="Q15982" t="s">
        <v>15609</v>
      </c>
      <c r="R15982" t="s">
        <v>618</v>
      </c>
      <c r="S15982">
        <v>148.076401</v>
      </c>
      <c r="T15982" s="1095">
        <v>-41.284241999999999</v>
      </c>
    </row>
    <row r="15983" spans="16:20">
      <c r="P15983" s="1094">
        <v>7216</v>
      </c>
      <c r="Q15983" t="s">
        <v>15610</v>
      </c>
      <c r="R15983" t="s">
        <v>618</v>
      </c>
      <c r="S15983">
        <v>148.076401</v>
      </c>
      <c r="T15983" s="1095">
        <v>-41.284241999999999</v>
      </c>
    </row>
    <row r="15984" spans="16:20">
      <c r="P15984" s="1094">
        <v>7216</v>
      </c>
      <c r="Q15984" t="s">
        <v>15611</v>
      </c>
      <c r="R15984" t="s">
        <v>618</v>
      </c>
      <c r="S15984">
        <v>148.076401</v>
      </c>
      <c r="T15984" s="1095">
        <v>-41.284241999999999</v>
      </c>
    </row>
    <row r="15985" spans="16:20">
      <c r="P15985" s="1094">
        <v>7216</v>
      </c>
      <c r="Q15985" t="s">
        <v>15612</v>
      </c>
      <c r="R15985" t="s">
        <v>618</v>
      </c>
      <c r="S15985">
        <v>148.076401</v>
      </c>
      <c r="T15985" s="1095">
        <v>-41.284241999999999</v>
      </c>
    </row>
    <row r="15986" spans="16:20">
      <c r="P15986" s="1094">
        <v>7216</v>
      </c>
      <c r="Q15986" t="s">
        <v>15613</v>
      </c>
      <c r="R15986" t="s">
        <v>618</v>
      </c>
      <c r="S15986">
        <v>148.076401</v>
      </c>
      <c r="T15986" s="1095">
        <v>-41.284241999999999</v>
      </c>
    </row>
    <row r="15987" spans="16:20">
      <c r="P15987" s="1094">
        <v>7216</v>
      </c>
      <c r="Q15987" t="s">
        <v>7048</v>
      </c>
      <c r="R15987" t="s">
        <v>618</v>
      </c>
      <c r="S15987">
        <v>148.076401</v>
      </c>
      <c r="T15987" s="1095">
        <v>-41.284241999999999</v>
      </c>
    </row>
    <row r="15988" spans="16:20">
      <c r="P15988" s="1094">
        <v>7216</v>
      </c>
      <c r="Q15988" t="s">
        <v>15614</v>
      </c>
      <c r="R15988" t="s">
        <v>618</v>
      </c>
      <c r="S15988">
        <v>148.076401</v>
      </c>
      <c r="T15988" s="1095">
        <v>-41.284241999999999</v>
      </c>
    </row>
    <row r="15989" spans="16:20">
      <c r="P15989" s="1094">
        <v>7216</v>
      </c>
      <c r="Q15989" t="s">
        <v>1470</v>
      </c>
      <c r="R15989" t="s">
        <v>618</v>
      </c>
      <c r="S15989">
        <v>148.076401</v>
      </c>
      <c r="T15989" s="1095">
        <v>-41.284241999999999</v>
      </c>
    </row>
    <row r="15990" spans="16:20">
      <c r="P15990" s="1094">
        <v>7248</v>
      </c>
      <c r="Q15990" t="s">
        <v>15615</v>
      </c>
      <c r="R15990" t="s">
        <v>618</v>
      </c>
      <c r="S15990">
        <v>147.13018500000001</v>
      </c>
      <c r="T15990" s="1095">
        <v>-41.397238999999999</v>
      </c>
    </row>
    <row r="15991" spans="16:20">
      <c r="P15991" s="1094">
        <v>7248</v>
      </c>
      <c r="Q15991" t="s">
        <v>15616</v>
      </c>
      <c r="R15991" t="s">
        <v>618</v>
      </c>
      <c r="S15991">
        <v>147.13018500000001</v>
      </c>
      <c r="T15991" s="1095">
        <v>-41.397238999999999</v>
      </c>
    </row>
    <row r="15992" spans="16:20">
      <c r="P15992" s="1094">
        <v>7248</v>
      </c>
      <c r="Q15992" t="s">
        <v>7304</v>
      </c>
      <c r="R15992" t="s">
        <v>618</v>
      </c>
      <c r="S15992">
        <v>147.13018500000001</v>
      </c>
      <c r="T15992" s="1095">
        <v>-41.397238999999999</v>
      </c>
    </row>
    <row r="15993" spans="16:20">
      <c r="P15993" s="1094">
        <v>7248</v>
      </c>
      <c r="Q15993" t="s">
        <v>2535</v>
      </c>
      <c r="R15993" t="s">
        <v>618</v>
      </c>
      <c r="S15993">
        <v>147.13018500000001</v>
      </c>
      <c r="T15993" s="1095">
        <v>-41.397238999999999</v>
      </c>
    </row>
    <row r="15994" spans="16:20">
      <c r="P15994" s="1094">
        <v>7248</v>
      </c>
      <c r="Q15994" t="s">
        <v>12333</v>
      </c>
      <c r="R15994" t="s">
        <v>618</v>
      </c>
      <c r="S15994">
        <v>147.13018500000001</v>
      </c>
      <c r="T15994" s="1095">
        <v>-41.397238999999999</v>
      </c>
    </row>
    <row r="15995" spans="16:20">
      <c r="P15995" s="1094">
        <v>7248</v>
      </c>
      <c r="Q15995" t="s">
        <v>15617</v>
      </c>
      <c r="R15995" t="s">
        <v>618</v>
      </c>
      <c r="S15995">
        <v>147.13018500000001</v>
      </c>
      <c r="T15995" s="1095">
        <v>-41.397238999999999</v>
      </c>
    </row>
    <row r="15996" spans="16:20">
      <c r="P15996" s="1094">
        <v>7248</v>
      </c>
      <c r="Q15996" t="s">
        <v>15618</v>
      </c>
      <c r="R15996" t="s">
        <v>618</v>
      </c>
      <c r="S15996">
        <v>147.13018500000001</v>
      </c>
      <c r="T15996" s="1095">
        <v>-41.397238999999999</v>
      </c>
    </row>
    <row r="15997" spans="16:20">
      <c r="P15997" s="1094">
        <v>7248</v>
      </c>
      <c r="Q15997" t="s">
        <v>15619</v>
      </c>
      <c r="R15997" t="s">
        <v>618</v>
      </c>
      <c r="S15997">
        <v>147.13018500000001</v>
      </c>
      <c r="T15997" s="1095">
        <v>-41.397238999999999</v>
      </c>
    </row>
    <row r="15998" spans="16:20">
      <c r="P15998" s="1094">
        <v>7249</v>
      </c>
      <c r="Q15998" t="s">
        <v>15620</v>
      </c>
      <c r="R15998" t="s">
        <v>618</v>
      </c>
      <c r="S15998">
        <v>147.15778599999999</v>
      </c>
      <c r="T15998" s="1095">
        <v>-41.472434999999997</v>
      </c>
    </row>
    <row r="15999" spans="16:20">
      <c r="P15999" s="1094">
        <v>7249</v>
      </c>
      <c r="Q15999" t="s">
        <v>15621</v>
      </c>
      <c r="R15999" t="s">
        <v>618</v>
      </c>
      <c r="S15999">
        <v>147.15778599999999</v>
      </c>
      <c r="T15999" s="1095">
        <v>-41.472434999999997</v>
      </c>
    </row>
    <row r="16000" spans="16:20">
      <c r="P16000" s="1094">
        <v>7249</v>
      </c>
      <c r="Q16000" t="s">
        <v>2160</v>
      </c>
      <c r="R16000" t="s">
        <v>618</v>
      </c>
      <c r="S16000">
        <v>147.15778599999999</v>
      </c>
      <c r="T16000" s="1095">
        <v>-41.472434999999997</v>
      </c>
    </row>
    <row r="16001" spans="16:20">
      <c r="P16001" s="1094">
        <v>7249</v>
      </c>
      <c r="Q16001" t="s">
        <v>15622</v>
      </c>
      <c r="R16001" t="s">
        <v>618</v>
      </c>
      <c r="S16001">
        <v>147.15778599999999</v>
      </c>
      <c r="T16001" s="1095">
        <v>-41.472434999999997</v>
      </c>
    </row>
    <row r="16002" spans="16:20">
      <c r="P16002" s="1094">
        <v>7249</v>
      </c>
      <c r="Q16002" t="s">
        <v>15623</v>
      </c>
      <c r="R16002" t="s">
        <v>618</v>
      </c>
      <c r="S16002">
        <v>147.15778599999999</v>
      </c>
      <c r="T16002" s="1095">
        <v>-41.472434999999997</v>
      </c>
    </row>
    <row r="16003" spans="16:20">
      <c r="P16003" s="1094">
        <v>7249</v>
      </c>
      <c r="Q16003" t="s">
        <v>15624</v>
      </c>
      <c r="R16003" t="s">
        <v>618</v>
      </c>
      <c r="S16003">
        <v>147.15778599999999</v>
      </c>
      <c r="T16003" s="1095">
        <v>-41.472434999999997</v>
      </c>
    </row>
    <row r="16004" spans="16:20">
      <c r="P16004" s="1094">
        <v>7250</v>
      </c>
      <c r="Q16004" t="s">
        <v>15625</v>
      </c>
      <c r="R16004" t="s">
        <v>618</v>
      </c>
      <c r="S16004">
        <v>147.07758899999999</v>
      </c>
      <c r="T16004" s="1095">
        <v>-41.432254</v>
      </c>
    </row>
    <row r="16005" spans="16:20">
      <c r="P16005" s="1094">
        <v>7250</v>
      </c>
      <c r="Q16005" t="s">
        <v>15626</v>
      </c>
      <c r="R16005" t="s">
        <v>618</v>
      </c>
      <c r="S16005">
        <v>147.07758899999999</v>
      </c>
      <c r="T16005" s="1095">
        <v>-41.432254</v>
      </c>
    </row>
    <row r="16006" spans="16:20">
      <c r="P16006" s="1094">
        <v>7250</v>
      </c>
      <c r="Q16006" t="s">
        <v>15627</v>
      </c>
      <c r="R16006" t="s">
        <v>618</v>
      </c>
      <c r="S16006">
        <v>147.07758899999999</v>
      </c>
      <c r="T16006" s="1095">
        <v>-41.432254</v>
      </c>
    </row>
    <row r="16007" spans="16:20">
      <c r="P16007" s="1094">
        <v>7250</v>
      </c>
      <c r="Q16007" t="s">
        <v>15628</v>
      </c>
      <c r="R16007" t="s">
        <v>618</v>
      </c>
      <c r="S16007">
        <v>147.07758899999999</v>
      </c>
      <c r="T16007" s="1095">
        <v>-41.432254</v>
      </c>
    </row>
    <row r="16008" spans="16:20">
      <c r="P16008" s="1094">
        <v>7250</v>
      </c>
      <c r="Q16008" t="s">
        <v>3033</v>
      </c>
      <c r="R16008" t="s">
        <v>618</v>
      </c>
      <c r="S16008">
        <v>147.07758899999999</v>
      </c>
      <c r="T16008" s="1095">
        <v>-41.432254</v>
      </c>
    </row>
    <row r="16009" spans="16:20">
      <c r="P16009" s="1094">
        <v>7250</v>
      </c>
      <c r="Q16009" t="s">
        <v>12570</v>
      </c>
      <c r="R16009" t="s">
        <v>618</v>
      </c>
      <c r="S16009">
        <v>147.07758899999999</v>
      </c>
      <c r="T16009" s="1095">
        <v>-41.432254</v>
      </c>
    </row>
    <row r="16010" spans="16:20">
      <c r="P16010" s="1094">
        <v>7250</v>
      </c>
      <c r="Q16010" t="s">
        <v>15629</v>
      </c>
      <c r="R16010" t="s">
        <v>618</v>
      </c>
      <c r="S16010">
        <v>147.07758899999999</v>
      </c>
      <c r="T16010" s="1095">
        <v>-41.432254</v>
      </c>
    </row>
    <row r="16011" spans="16:20">
      <c r="P16011" s="1094">
        <v>7250</v>
      </c>
      <c r="Q16011" t="s">
        <v>2056</v>
      </c>
      <c r="R16011" t="s">
        <v>618</v>
      </c>
      <c r="S16011">
        <v>147.07758899999999</v>
      </c>
      <c r="T16011" s="1095">
        <v>-41.432254</v>
      </c>
    </row>
    <row r="16012" spans="16:20">
      <c r="P16012" s="1094">
        <v>7250</v>
      </c>
      <c r="Q16012" t="s">
        <v>15630</v>
      </c>
      <c r="R16012" t="s">
        <v>618</v>
      </c>
      <c r="S16012">
        <v>147.07758899999999</v>
      </c>
      <c r="T16012" s="1095">
        <v>-41.432254</v>
      </c>
    </row>
    <row r="16013" spans="16:20">
      <c r="P16013" s="1094">
        <v>7250</v>
      </c>
      <c r="Q16013" t="s">
        <v>5966</v>
      </c>
      <c r="R16013" t="s">
        <v>618</v>
      </c>
      <c r="S16013">
        <v>147.07758899999999</v>
      </c>
      <c r="T16013" s="1095">
        <v>-41.432254</v>
      </c>
    </row>
    <row r="16014" spans="16:20">
      <c r="P16014" s="1094">
        <v>7250</v>
      </c>
      <c r="Q16014" t="s">
        <v>3540</v>
      </c>
      <c r="R16014" t="s">
        <v>618</v>
      </c>
      <c r="S16014">
        <v>147.07758899999999</v>
      </c>
      <c r="T16014" s="1095">
        <v>-41.432254</v>
      </c>
    </row>
    <row r="16015" spans="16:20">
      <c r="P16015" s="1094">
        <v>7250</v>
      </c>
      <c r="Q16015" t="s">
        <v>1682</v>
      </c>
      <c r="R16015" t="s">
        <v>618</v>
      </c>
      <c r="S16015">
        <v>147.07758899999999</v>
      </c>
      <c r="T16015" s="1095">
        <v>-41.432254</v>
      </c>
    </row>
    <row r="16016" spans="16:20">
      <c r="P16016" s="1094">
        <v>7250</v>
      </c>
      <c r="Q16016" t="s">
        <v>15631</v>
      </c>
      <c r="R16016" t="s">
        <v>618</v>
      </c>
      <c r="S16016">
        <v>147.07758899999999</v>
      </c>
      <c r="T16016" s="1095">
        <v>-41.432254</v>
      </c>
    </row>
    <row r="16017" spans="16:20">
      <c r="P16017" s="1094">
        <v>7250</v>
      </c>
      <c r="Q16017" t="s">
        <v>15632</v>
      </c>
      <c r="R16017" t="s">
        <v>618</v>
      </c>
      <c r="S16017">
        <v>147.07758899999999</v>
      </c>
      <c r="T16017" s="1095">
        <v>-41.432254</v>
      </c>
    </row>
    <row r="16018" spans="16:20">
      <c r="P16018" s="1094">
        <v>7250</v>
      </c>
      <c r="Q16018" t="s">
        <v>3254</v>
      </c>
      <c r="R16018" t="s">
        <v>618</v>
      </c>
      <c r="S16018">
        <v>147.07758899999999</v>
      </c>
      <c r="T16018" s="1095">
        <v>-41.432254</v>
      </c>
    </row>
    <row r="16019" spans="16:20">
      <c r="P16019" s="1094">
        <v>7250</v>
      </c>
      <c r="Q16019" t="s">
        <v>1758</v>
      </c>
      <c r="R16019" t="s">
        <v>618</v>
      </c>
      <c r="S16019">
        <v>147.07758899999999</v>
      </c>
      <c r="T16019" s="1095">
        <v>-41.432254</v>
      </c>
    </row>
    <row r="16020" spans="16:20">
      <c r="P16020" s="1094">
        <v>7250</v>
      </c>
      <c r="Q16020" t="s">
        <v>15633</v>
      </c>
      <c r="R16020" t="s">
        <v>618</v>
      </c>
      <c r="S16020">
        <v>147.07758899999999</v>
      </c>
      <c r="T16020" s="1095">
        <v>-41.432254</v>
      </c>
    </row>
    <row r="16021" spans="16:20">
      <c r="P16021" s="1094">
        <v>7252</v>
      </c>
      <c r="Q16021" t="s">
        <v>15634</v>
      </c>
      <c r="R16021" t="s">
        <v>618</v>
      </c>
      <c r="S16021">
        <v>146.99252000000001</v>
      </c>
      <c r="T16021" s="1095">
        <v>-41.148031000000003</v>
      </c>
    </row>
    <row r="16022" spans="16:20">
      <c r="P16022" s="1094">
        <v>7252</v>
      </c>
      <c r="Q16022" t="s">
        <v>15635</v>
      </c>
      <c r="R16022" t="s">
        <v>618</v>
      </c>
      <c r="S16022">
        <v>146.99252000000001</v>
      </c>
      <c r="T16022" s="1095">
        <v>-41.148031000000003</v>
      </c>
    </row>
    <row r="16023" spans="16:20">
      <c r="P16023" s="1094">
        <v>7252</v>
      </c>
      <c r="Q16023" t="s">
        <v>15636</v>
      </c>
      <c r="R16023" t="s">
        <v>618</v>
      </c>
      <c r="S16023">
        <v>146.99252000000001</v>
      </c>
      <c r="T16023" s="1095">
        <v>-41.148031000000003</v>
      </c>
    </row>
    <row r="16024" spans="16:20">
      <c r="P16024" s="1094">
        <v>7252</v>
      </c>
      <c r="Q16024" t="s">
        <v>15637</v>
      </c>
      <c r="R16024" t="s">
        <v>618</v>
      </c>
      <c r="S16024">
        <v>146.99252000000001</v>
      </c>
      <c r="T16024" s="1095">
        <v>-41.148031000000003</v>
      </c>
    </row>
    <row r="16025" spans="16:20">
      <c r="P16025" s="1094">
        <v>7252</v>
      </c>
      <c r="Q16025" t="s">
        <v>15638</v>
      </c>
      <c r="R16025" t="s">
        <v>618</v>
      </c>
      <c r="S16025">
        <v>146.99252000000001</v>
      </c>
      <c r="T16025" s="1095">
        <v>-41.148031000000003</v>
      </c>
    </row>
    <row r="16026" spans="16:20">
      <c r="P16026" s="1094">
        <v>7252</v>
      </c>
      <c r="Q16026" t="s">
        <v>15639</v>
      </c>
      <c r="R16026" t="s">
        <v>618</v>
      </c>
      <c r="S16026">
        <v>146.99252000000001</v>
      </c>
      <c r="T16026" s="1095">
        <v>-41.148031000000003</v>
      </c>
    </row>
    <row r="16027" spans="16:20">
      <c r="P16027" s="1094">
        <v>7252</v>
      </c>
      <c r="Q16027" t="s">
        <v>15640</v>
      </c>
      <c r="R16027" t="s">
        <v>618</v>
      </c>
      <c r="S16027">
        <v>146.99252000000001</v>
      </c>
      <c r="T16027" s="1095">
        <v>-41.148031000000003</v>
      </c>
    </row>
    <row r="16028" spans="16:20">
      <c r="P16028" s="1094">
        <v>7252</v>
      </c>
      <c r="Q16028" t="s">
        <v>15641</v>
      </c>
      <c r="R16028" t="s">
        <v>618</v>
      </c>
      <c r="S16028">
        <v>146.99252000000001</v>
      </c>
      <c r="T16028" s="1095">
        <v>-41.148031000000003</v>
      </c>
    </row>
    <row r="16029" spans="16:20">
      <c r="P16029" s="1094">
        <v>7252</v>
      </c>
      <c r="Q16029" t="s">
        <v>2677</v>
      </c>
      <c r="R16029" t="s">
        <v>618</v>
      </c>
      <c r="S16029">
        <v>146.99252000000001</v>
      </c>
      <c r="T16029" s="1095">
        <v>-41.148031000000003</v>
      </c>
    </row>
    <row r="16030" spans="16:20">
      <c r="P16030" s="1094">
        <v>7252</v>
      </c>
      <c r="Q16030" t="s">
        <v>15642</v>
      </c>
      <c r="R16030" t="s">
        <v>618</v>
      </c>
      <c r="S16030">
        <v>146.99252000000001</v>
      </c>
      <c r="T16030" s="1095">
        <v>-41.148031000000003</v>
      </c>
    </row>
    <row r="16031" spans="16:20">
      <c r="P16031" s="1094">
        <v>7252</v>
      </c>
      <c r="Q16031" t="s">
        <v>2633</v>
      </c>
      <c r="R16031" t="s">
        <v>618</v>
      </c>
      <c r="S16031">
        <v>146.99252000000001</v>
      </c>
      <c r="T16031" s="1095">
        <v>-41.148031000000003</v>
      </c>
    </row>
    <row r="16032" spans="16:20">
      <c r="P16032" s="1094">
        <v>7253</v>
      </c>
      <c r="Q16032" t="s">
        <v>15643</v>
      </c>
      <c r="R16032" t="s">
        <v>618</v>
      </c>
      <c r="S16032">
        <v>146.83065999999999</v>
      </c>
      <c r="T16032" s="1095">
        <v>-41.117415000000001</v>
      </c>
    </row>
    <row r="16033" spans="16:20">
      <c r="P16033" s="1094">
        <v>7253</v>
      </c>
      <c r="Q16033" t="s">
        <v>15644</v>
      </c>
      <c r="R16033" t="s">
        <v>618</v>
      </c>
      <c r="S16033">
        <v>146.83065999999999</v>
      </c>
      <c r="T16033" s="1095">
        <v>-41.117415000000001</v>
      </c>
    </row>
    <row r="16034" spans="16:20">
      <c r="P16034" s="1094">
        <v>7253</v>
      </c>
      <c r="Q16034" t="s">
        <v>15645</v>
      </c>
      <c r="R16034" t="s">
        <v>618</v>
      </c>
      <c r="S16034">
        <v>146.83065999999999</v>
      </c>
      <c r="T16034" s="1095">
        <v>-41.117415000000001</v>
      </c>
    </row>
    <row r="16035" spans="16:20">
      <c r="P16035" s="1094">
        <v>7253</v>
      </c>
      <c r="Q16035" t="s">
        <v>15646</v>
      </c>
      <c r="R16035" t="s">
        <v>618</v>
      </c>
      <c r="S16035">
        <v>146.83065999999999</v>
      </c>
      <c r="T16035" s="1095">
        <v>-41.117415000000001</v>
      </c>
    </row>
    <row r="16036" spans="16:20">
      <c r="P16036" s="1094">
        <v>7254</v>
      </c>
      <c r="Q16036" t="s">
        <v>15647</v>
      </c>
      <c r="R16036" t="s">
        <v>618</v>
      </c>
      <c r="S16036">
        <v>147.19801799999999</v>
      </c>
      <c r="T16036" s="1095">
        <v>-41.134070000000001</v>
      </c>
    </row>
    <row r="16037" spans="16:20">
      <c r="P16037" s="1094">
        <v>7254</v>
      </c>
      <c r="Q16037" t="s">
        <v>15648</v>
      </c>
      <c r="R16037" t="s">
        <v>618</v>
      </c>
      <c r="S16037">
        <v>147.19801799999999</v>
      </c>
      <c r="T16037" s="1095">
        <v>-41.134070000000001</v>
      </c>
    </row>
    <row r="16038" spans="16:20">
      <c r="P16038" s="1094">
        <v>7254</v>
      </c>
      <c r="Q16038" t="s">
        <v>15649</v>
      </c>
      <c r="R16038" t="s">
        <v>618</v>
      </c>
      <c r="S16038">
        <v>147.19801799999999</v>
      </c>
      <c r="T16038" s="1095">
        <v>-41.134070000000001</v>
      </c>
    </row>
    <row r="16039" spans="16:20">
      <c r="P16039" s="1094">
        <v>7254</v>
      </c>
      <c r="Q16039" t="s">
        <v>15650</v>
      </c>
      <c r="R16039" t="s">
        <v>618</v>
      </c>
      <c r="S16039">
        <v>147.19801799999999</v>
      </c>
      <c r="T16039" s="1095">
        <v>-41.134070000000001</v>
      </c>
    </row>
    <row r="16040" spans="16:20">
      <c r="P16040" s="1094">
        <v>7254</v>
      </c>
      <c r="Q16040" t="s">
        <v>2997</v>
      </c>
      <c r="R16040" t="s">
        <v>618</v>
      </c>
      <c r="S16040">
        <v>147.19801799999999</v>
      </c>
      <c r="T16040" s="1095">
        <v>-41.134070000000001</v>
      </c>
    </row>
    <row r="16041" spans="16:20">
      <c r="P16041" s="1094">
        <v>7254</v>
      </c>
      <c r="Q16041" t="s">
        <v>15651</v>
      </c>
      <c r="R16041" t="s">
        <v>618</v>
      </c>
      <c r="S16041">
        <v>147.19801799999999</v>
      </c>
      <c r="T16041" s="1095">
        <v>-41.134070000000001</v>
      </c>
    </row>
    <row r="16042" spans="16:20">
      <c r="P16042" s="1094">
        <v>7254</v>
      </c>
      <c r="Q16042" t="s">
        <v>15652</v>
      </c>
      <c r="R16042" t="s">
        <v>618</v>
      </c>
      <c r="S16042">
        <v>147.19801799999999</v>
      </c>
      <c r="T16042" s="1095">
        <v>-41.134070000000001</v>
      </c>
    </row>
    <row r="16043" spans="16:20">
      <c r="P16043" s="1094">
        <v>7255</v>
      </c>
      <c r="Q16043" t="s">
        <v>15653</v>
      </c>
      <c r="R16043" t="s">
        <v>618</v>
      </c>
      <c r="S16043">
        <v>148.32924700000001</v>
      </c>
      <c r="T16043" s="1095">
        <v>-39.949379</v>
      </c>
    </row>
    <row r="16044" spans="16:20">
      <c r="P16044" s="1094">
        <v>7255</v>
      </c>
      <c r="Q16044" t="s">
        <v>15654</v>
      </c>
      <c r="R16044" t="s">
        <v>618</v>
      </c>
      <c r="S16044">
        <v>148.32924700000001</v>
      </c>
      <c r="T16044" s="1095">
        <v>-39.949379</v>
      </c>
    </row>
    <row r="16045" spans="16:20">
      <c r="P16045" s="1094">
        <v>7255</v>
      </c>
      <c r="Q16045" t="s">
        <v>15655</v>
      </c>
      <c r="R16045" t="s">
        <v>618</v>
      </c>
      <c r="S16045">
        <v>148.32924700000001</v>
      </c>
      <c r="T16045" s="1095">
        <v>-39.949379</v>
      </c>
    </row>
    <row r="16046" spans="16:20">
      <c r="P16046" s="1094">
        <v>7255</v>
      </c>
      <c r="Q16046" t="s">
        <v>15656</v>
      </c>
      <c r="R16046" t="s">
        <v>618</v>
      </c>
      <c r="S16046">
        <v>148.32924700000001</v>
      </c>
      <c r="T16046" s="1095">
        <v>-39.949379</v>
      </c>
    </row>
    <row r="16047" spans="16:20">
      <c r="P16047" s="1094">
        <v>7255</v>
      </c>
      <c r="Q16047" t="s">
        <v>15657</v>
      </c>
      <c r="R16047" t="s">
        <v>618</v>
      </c>
      <c r="S16047">
        <v>148.32924700000001</v>
      </c>
      <c r="T16047" s="1095">
        <v>-39.949379</v>
      </c>
    </row>
    <row r="16048" spans="16:20">
      <c r="P16048" s="1094">
        <v>7255</v>
      </c>
      <c r="Q16048" t="s">
        <v>15658</v>
      </c>
      <c r="R16048" t="s">
        <v>618</v>
      </c>
      <c r="S16048">
        <v>148.32924700000001</v>
      </c>
      <c r="T16048" s="1095">
        <v>-39.949379</v>
      </c>
    </row>
    <row r="16049" spans="16:20">
      <c r="P16049" s="1094">
        <v>7255</v>
      </c>
      <c r="Q16049" t="s">
        <v>15659</v>
      </c>
      <c r="R16049" t="s">
        <v>618</v>
      </c>
      <c r="S16049">
        <v>148.32924700000001</v>
      </c>
      <c r="T16049" s="1095">
        <v>-39.949379</v>
      </c>
    </row>
    <row r="16050" spans="16:20">
      <c r="P16050" s="1094">
        <v>7255</v>
      </c>
      <c r="Q16050" t="s">
        <v>15660</v>
      </c>
      <c r="R16050" t="s">
        <v>618</v>
      </c>
      <c r="S16050">
        <v>148.32924700000001</v>
      </c>
      <c r="T16050" s="1095">
        <v>-39.949379</v>
      </c>
    </row>
    <row r="16051" spans="16:20">
      <c r="P16051" s="1094">
        <v>7255</v>
      </c>
      <c r="Q16051" t="s">
        <v>15661</v>
      </c>
      <c r="R16051" t="s">
        <v>618</v>
      </c>
      <c r="S16051">
        <v>148.32924700000001</v>
      </c>
      <c r="T16051" s="1095">
        <v>-39.949379</v>
      </c>
    </row>
    <row r="16052" spans="16:20">
      <c r="P16052" s="1094">
        <v>7255</v>
      </c>
      <c r="Q16052" t="s">
        <v>15662</v>
      </c>
      <c r="R16052" t="s">
        <v>618</v>
      </c>
      <c r="S16052">
        <v>148.32924700000001</v>
      </c>
      <c r="T16052" s="1095">
        <v>-39.949379</v>
      </c>
    </row>
    <row r="16053" spans="16:20">
      <c r="P16053" s="1094">
        <v>7255</v>
      </c>
      <c r="Q16053" t="s">
        <v>15663</v>
      </c>
      <c r="R16053" t="s">
        <v>618</v>
      </c>
      <c r="S16053">
        <v>148.32924700000001</v>
      </c>
      <c r="T16053" s="1095">
        <v>-39.949379</v>
      </c>
    </row>
    <row r="16054" spans="16:20">
      <c r="P16054" s="1094">
        <v>7255</v>
      </c>
      <c r="Q16054" t="s">
        <v>9160</v>
      </c>
      <c r="R16054" t="s">
        <v>618</v>
      </c>
      <c r="S16054">
        <v>148.32924700000001</v>
      </c>
      <c r="T16054" s="1095">
        <v>-39.949379</v>
      </c>
    </row>
    <row r="16055" spans="16:20">
      <c r="P16055" s="1094">
        <v>7255</v>
      </c>
      <c r="Q16055" t="s">
        <v>15664</v>
      </c>
      <c r="R16055" t="s">
        <v>618</v>
      </c>
      <c r="S16055">
        <v>148.32924700000001</v>
      </c>
      <c r="T16055" s="1095">
        <v>-39.949379</v>
      </c>
    </row>
    <row r="16056" spans="16:20">
      <c r="P16056" s="1094">
        <v>7255</v>
      </c>
      <c r="Q16056" t="s">
        <v>15665</v>
      </c>
      <c r="R16056" t="s">
        <v>618</v>
      </c>
      <c r="S16056">
        <v>148.32924700000001</v>
      </c>
      <c r="T16056" s="1095">
        <v>-39.949379</v>
      </c>
    </row>
    <row r="16057" spans="16:20">
      <c r="P16057" s="1094">
        <v>7256</v>
      </c>
      <c r="Q16057" t="s">
        <v>7284</v>
      </c>
      <c r="R16057" t="s">
        <v>618</v>
      </c>
      <c r="S16057">
        <v>144.159775</v>
      </c>
      <c r="T16057" s="1095">
        <v>-39.830945999999997</v>
      </c>
    </row>
    <row r="16058" spans="16:20">
      <c r="P16058" s="1094">
        <v>7256</v>
      </c>
      <c r="Q16058" t="s">
        <v>15666</v>
      </c>
      <c r="R16058" t="s">
        <v>618</v>
      </c>
      <c r="S16058">
        <v>144.159775</v>
      </c>
      <c r="T16058" s="1095">
        <v>-39.830945999999997</v>
      </c>
    </row>
    <row r="16059" spans="16:20">
      <c r="P16059" s="1094">
        <v>7256</v>
      </c>
      <c r="Q16059" t="s">
        <v>15667</v>
      </c>
      <c r="R16059" t="s">
        <v>618</v>
      </c>
      <c r="S16059">
        <v>144.159775</v>
      </c>
      <c r="T16059" s="1095">
        <v>-39.830945999999997</v>
      </c>
    </row>
    <row r="16060" spans="16:20">
      <c r="P16060" s="1094">
        <v>7256</v>
      </c>
      <c r="Q16060" t="s">
        <v>15668</v>
      </c>
      <c r="R16060" t="s">
        <v>618</v>
      </c>
      <c r="S16060">
        <v>144.159775</v>
      </c>
      <c r="T16060" s="1095">
        <v>-39.830945999999997</v>
      </c>
    </row>
    <row r="16061" spans="16:20">
      <c r="P16061" s="1094">
        <v>7256</v>
      </c>
      <c r="Q16061" t="s">
        <v>15669</v>
      </c>
      <c r="R16061" t="s">
        <v>618</v>
      </c>
      <c r="S16061">
        <v>144.159775</v>
      </c>
      <c r="T16061" s="1095">
        <v>-39.830945999999997</v>
      </c>
    </row>
    <row r="16062" spans="16:20">
      <c r="P16062" s="1094">
        <v>7256</v>
      </c>
      <c r="Q16062" t="s">
        <v>15670</v>
      </c>
      <c r="R16062" t="s">
        <v>618</v>
      </c>
      <c r="S16062">
        <v>144.159775</v>
      </c>
      <c r="T16062" s="1095">
        <v>-39.830945999999997</v>
      </c>
    </row>
    <row r="16063" spans="16:20">
      <c r="P16063" s="1094">
        <v>7256</v>
      </c>
      <c r="Q16063" t="s">
        <v>15671</v>
      </c>
      <c r="R16063" t="s">
        <v>618</v>
      </c>
      <c r="S16063">
        <v>144.159775</v>
      </c>
      <c r="T16063" s="1095">
        <v>-39.830945999999997</v>
      </c>
    </row>
    <row r="16064" spans="16:20">
      <c r="P16064" s="1094">
        <v>7256</v>
      </c>
      <c r="Q16064" t="s">
        <v>15672</v>
      </c>
      <c r="R16064" t="s">
        <v>618</v>
      </c>
      <c r="S16064">
        <v>144.159775</v>
      </c>
      <c r="T16064" s="1095">
        <v>-39.830945999999997</v>
      </c>
    </row>
    <row r="16065" spans="16:20">
      <c r="P16065" s="1094">
        <v>7256</v>
      </c>
      <c r="Q16065" t="s">
        <v>15673</v>
      </c>
      <c r="R16065" t="s">
        <v>618</v>
      </c>
      <c r="S16065">
        <v>144.159775</v>
      </c>
      <c r="T16065" s="1095">
        <v>-39.830945999999997</v>
      </c>
    </row>
    <row r="16066" spans="16:20">
      <c r="P16066" s="1094">
        <v>7256</v>
      </c>
      <c r="Q16066" t="s">
        <v>15674</v>
      </c>
      <c r="R16066" t="s">
        <v>618</v>
      </c>
      <c r="S16066">
        <v>144.159775</v>
      </c>
      <c r="T16066" s="1095">
        <v>-39.830945999999997</v>
      </c>
    </row>
    <row r="16067" spans="16:20">
      <c r="P16067" s="1094">
        <v>7256</v>
      </c>
      <c r="Q16067" t="s">
        <v>15675</v>
      </c>
      <c r="R16067" t="s">
        <v>618</v>
      </c>
      <c r="S16067">
        <v>144.159775</v>
      </c>
      <c r="T16067" s="1095">
        <v>-39.830945999999997</v>
      </c>
    </row>
    <row r="16068" spans="16:20">
      <c r="P16068" s="1094">
        <v>7256</v>
      </c>
      <c r="Q16068" t="s">
        <v>15676</v>
      </c>
      <c r="R16068" t="s">
        <v>618</v>
      </c>
      <c r="S16068">
        <v>144.159775</v>
      </c>
      <c r="T16068" s="1095">
        <v>-39.830945999999997</v>
      </c>
    </row>
    <row r="16069" spans="16:20">
      <c r="P16069" s="1094">
        <v>7256</v>
      </c>
      <c r="Q16069" t="s">
        <v>15677</v>
      </c>
      <c r="R16069" t="s">
        <v>618</v>
      </c>
      <c r="S16069">
        <v>144.159775</v>
      </c>
      <c r="T16069" s="1095">
        <v>-39.830945999999997</v>
      </c>
    </row>
    <row r="16070" spans="16:20">
      <c r="P16070" s="1094">
        <v>7256</v>
      </c>
      <c r="Q16070" t="s">
        <v>2513</v>
      </c>
      <c r="R16070" t="s">
        <v>618</v>
      </c>
      <c r="S16070">
        <v>144.159775</v>
      </c>
      <c r="T16070" s="1095">
        <v>-39.830945999999997</v>
      </c>
    </row>
    <row r="16071" spans="16:20">
      <c r="P16071" s="1094">
        <v>7256</v>
      </c>
      <c r="Q16071" t="s">
        <v>15678</v>
      </c>
      <c r="R16071" t="s">
        <v>618</v>
      </c>
      <c r="S16071">
        <v>144.159775</v>
      </c>
      <c r="T16071" s="1095">
        <v>-39.830945999999997</v>
      </c>
    </row>
    <row r="16072" spans="16:20">
      <c r="P16072" s="1094">
        <v>7256</v>
      </c>
      <c r="Q16072" t="s">
        <v>15679</v>
      </c>
      <c r="R16072" t="s">
        <v>618</v>
      </c>
      <c r="S16072">
        <v>144.159775</v>
      </c>
      <c r="T16072" s="1095">
        <v>-39.830945999999997</v>
      </c>
    </row>
    <row r="16073" spans="16:20">
      <c r="P16073" s="1094">
        <v>7257</v>
      </c>
      <c r="Q16073" t="s">
        <v>15680</v>
      </c>
      <c r="R16073" t="s">
        <v>618</v>
      </c>
      <c r="S16073">
        <v>148.33896200000001</v>
      </c>
      <c r="T16073" s="1095">
        <v>-40.505977999999999</v>
      </c>
    </row>
    <row r="16074" spans="16:20">
      <c r="P16074" s="1094">
        <v>7258</v>
      </c>
      <c r="Q16074" t="s">
        <v>4691</v>
      </c>
      <c r="R16074" t="s">
        <v>618</v>
      </c>
      <c r="S16074">
        <v>147.20944600000001</v>
      </c>
      <c r="T16074" s="1095">
        <v>-41.499941999999997</v>
      </c>
    </row>
    <row r="16075" spans="16:20">
      <c r="P16075" s="1094">
        <v>7258</v>
      </c>
      <c r="Q16075" t="s">
        <v>15681</v>
      </c>
      <c r="R16075" t="s">
        <v>618</v>
      </c>
      <c r="S16075">
        <v>147.20944600000001</v>
      </c>
      <c r="T16075" s="1095">
        <v>-41.499941999999997</v>
      </c>
    </row>
    <row r="16076" spans="16:20">
      <c r="P16076" s="1094">
        <v>7258</v>
      </c>
      <c r="Q16076" t="s">
        <v>7991</v>
      </c>
      <c r="R16076" t="s">
        <v>618</v>
      </c>
      <c r="S16076">
        <v>147.20944600000001</v>
      </c>
      <c r="T16076" s="1095">
        <v>-41.499941999999997</v>
      </c>
    </row>
    <row r="16077" spans="16:20">
      <c r="P16077" s="1094">
        <v>7259</v>
      </c>
      <c r="Q16077" t="s">
        <v>12556</v>
      </c>
      <c r="R16077" t="s">
        <v>618</v>
      </c>
      <c r="S16077">
        <v>147.357686</v>
      </c>
      <c r="T16077" s="1095">
        <v>-41.358817000000002</v>
      </c>
    </row>
    <row r="16078" spans="16:20">
      <c r="P16078" s="1094">
        <v>7259</v>
      </c>
      <c r="Q16078" t="s">
        <v>15682</v>
      </c>
      <c r="R16078" t="s">
        <v>618</v>
      </c>
      <c r="S16078">
        <v>147.357686</v>
      </c>
      <c r="T16078" s="1095">
        <v>-41.358817000000002</v>
      </c>
    </row>
    <row r="16079" spans="16:20">
      <c r="P16079" s="1094">
        <v>7259</v>
      </c>
      <c r="Q16079" t="s">
        <v>15683</v>
      </c>
      <c r="R16079" t="s">
        <v>618</v>
      </c>
      <c r="S16079">
        <v>147.357686</v>
      </c>
      <c r="T16079" s="1095">
        <v>-41.358817000000002</v>
      </c>
    </row>
    <row r="16080" spans="16:20">
      <c r="P16080" s="1094">
        <v>7259</v>
      </c>
      <c r="Q16080" t="s">
        <v>15684</v>
      </c>
      <c r="R16080" t="s">
        <v>618</v>
      </c>
      <c r="S16080">
        <v>147.357686</v>
      </c>
      <c r="T16080" s="1095">
        <v>-41.358817000000002</v>
      </c>
    </row>
    <row r="16081" spans="16:20">
      <c r="P16081" s="1094">
        <v>7259</v>
      </c>
      <c r="Q16081" t="s">
        <v>15685</v>
      </c>
      <c r="R16081" t="s">
        <v>618</v>
      </c>
      <c r="S16081">
        <v>147.357686</v>
      </c>
      <c r="T16081" s="1095">
        <v>-41.358817000000002</v>
      </c>
    </row>
    <row r="16082" spans="16:20">
      <c r="P16082" s="1094">
        <v>7260</v>
      </c>
      <c r="Q16082" t="s">
        <v>15686</v>
      </c>
      <c r="R16082" t="s">
        <v>618</v>
      </c>
      <c r="S16082">
        <v>147.502082</v>
      </c>
      <c r="T16082" s="1095">
        <v>-41.158791000000001</v>
      </c>
    </row>
    <row r="16083" spans="16:20">
      <c r="P16083" s="1094">
        <v>7260</v>
      </c>
      <c r="Q16083" t="s">
        <v>15687</v>
      </c>
      <c r="R16083" t="s">
        <v>618</v>
      </c>
      <c r="S16083">
        <v>147.502082</v>
      </c>
      <c r="T16083" s="1095">
        <v>-41.158791000000001</v>
      </c>
    </row>
    <row r="16084" spans="16:20">
      <c r="P16084" s="1094">
        <v>7260</v>
      </c>
      <c r="Q16084" t="s">
        <v>15688</v>
      </c>
      <c r="R16084" t="s">
        <v>618</v>
      </c>
      <c r="S16084">
        <v>147.502082</v>
      </c>
      <c r="T16084" s="1095">
        <v>-41.158791000000001</v>
      </c>
    </row>
    <row r="16085" spans="16:20">
      <c r="P16085" s="1094">
        <v>7260</v>
      </c>
      <c r="Q16085" t="s">
        <v>15689</v>
      </c>
      <c r="R16085" t="s">
        <v>618</v>
      </c>
      <c r="S16085">
        <v>147.502082</v>
      </c>
      <c r="T16085" s="1095">
        <v>-41.158791000000001</v>
      </c>
    </row>
    <row r="16086" spans="16:20">
      <c r="P16086" s="1094">
        <v>7260</v>
      </c>
      <c r="Q16086" t="s">
        <v>15690</v>
      </c>
      <c r="R16086" t="s">
        <v>618</v>
      </c>
      <c r="S16086">
        <v>147.502082</v>
      </c>
      <c r="T16086" s="1095">
        <v>-41.158791000000001</v>
      </c>
    </row>
    <row r="16087" spans="16:20">
      <c r="P16087" s="1094">
        <v>7260</v>
      </c>
      <c r="Q16087" t="s">
        <v>15691</v>
      </c>
      <c r="R16087" t="s">
        <v>618</v>
      </c>
      <c r="S16087">
        <v>147.502082</v>
      </c>
      <c r="T16087" s="1095">
        <v>-41.158791000000001</v>
      </c>
    </row>
    <row r="16088" spans="16:20">
      <c r="P16088" s="1094">
        <v>7260</v>
      </c>
      <c r="Q16088" t="s">
        <v>15692</v>
      </c>
      <c r="R16088" t="s">
        <v>618</v>
      </c>
      <c r="S16088">
        <v>147.502082</v>
      </c>
      <c r="T16088" s="1095">
        <v>-41.158791000000001</v>
      </c>
    </row>
    <row r="16089" spans="16:20">
      <c r="P16089" s="1094">
        <v>7260</v>
      </c>
      <c r="Q16089" t="s">
        <v>15693</v>
      </c>
      <c r="R16089" t="s">
        <v>618</v>
      </c>
      <c r="S16089">
        <v>147.502082</v>
      </c>
      <c r="T16089" s="1095">
        <v>-41.158791000000001</v>
      </c>
    </row>
    <row r="16090" spans="16:20">
      <c r="P16090" s="1094">
        <v>7260</v>
      </c>
      <c r="Q16090" t="s">
        <v>15694</v>
      </c>
      <c r="R16090" t="s">
        <v>618</v>
      </c>
      <c r="S16090">
        <v>147.502082</v>
      </c>
      <c r="T16090" s="1095">
        <v>-41.158791000000001</v>
      </c>
    </row>
    <row r="16091" spans="16:20">
      <c r="P16091" s="1094">
        <v>7260</v>
      </c>
      <c r="Q16091" t="s">
        <v>15695</v>
      </c>
      <c r="R16091" t="s">
        <v>618</v>
      </c>
      <c r="S16091">
        <v>147.502082</v>
      </c>
      <c r="T16091" s="1095">
        <v>-41.158791000000001</v>
      </c>
    </row>
    <row r="16092" spans="16:20">
      <c r="P16092" s="1094">
        <v>7260</v>
      </c>
      <c r="Q16092" t="s">
        <v>15696</v>
      </c>
      <c r="R16092" t="s">
        <v>618</v>
      </c>
      <c r="S16092">
        <v>147.502082</v>
      </c>
      <c r="T16092" s="1095">
        <v>-41.158791000000001</v>
      </c>
    </row>
    <row r="16093" spans="16:20">
      <c r="P16093" s="1094">
        <v>7260</v>
      </c>
      <c r="Q16093" t="s">
        <v>2295</v>
      </c>
      <c r="R16093" t="s">
        <v>618</v>
      </c>
      <c r="S16093">
        <v>147.502082</v>
      </c>
      <c r="T16093" s="1095">
        <v>-41.158791000000001</v>
      </c>
    </row>
    <row r="16094" spans="16:20">
      <c r="P16094" s="1094">
        <v>7260</v>
      </c>
      <c r="Q16094" t="s">
        <v>15697</v>
      </c>
      <c r="R16094" t="s">
        <v>618</v>
      </c>
      <c r="S16094">
        <v>147.502082</v>
      </c>
      <c r="T16094" s="1095">
        <v>-41.158791000000001</v>
      </c>
    </row>
    <row r="16095" spans="16:20">
      <c r="P16095" s="1094">
        <v>7260</v>
      </c>
      <c r="Q16095" t="s">
        <v>15698</v>
      </c>
      <c r="R16095" t="s">
        <v>618</v>
      </c>
      <c r="S16095">
        <v>147.502082</v>
      </c>
      <c r="T16095" s="1095">
        <v>-41.158791000000001</v>
      </c>
    </row>
    <row r="16096" spans="16:20">
      <c r="P16096" s="1094">
        <v>7260</v>
      </c>
      <c r="Q16096" t="s">
        <v>15699</v>
      </c>
      <c r="R16096" t="s">
        <v>618</v>
      </c>
      <c r="S16096">
        <v>147.502082</v>
      </c>
      <c r="T16096" s="1095">
        <v>-41.158791000000001</v>
      </c>
    </row>
    <row r="16097" spans="16:20">
      <c r="P16097" s="1094">
        <v>7261</v>
      </c>
      <c r="Q16097" t="s">
        <v>15700</v>
      </c>
      <c r="R16097" t="s">
        <v>618</v>
      </c>
      <c r="S16097">
        <v>147.56781899999999</v>
      </c>
      <c r="T16097" s="1095">
        <v>-41.126939999999998</v>
      </c>
    </row>
    <row r="16098" spans="16:20">
      <c r="P16098" s="1094">
        <v>7261</v>
      </c>
      <c r="Q16098" t="s">
        <v>15701</v>
      </c>
      <c r="R16098" t="s">
        <v>618</v>
      </c>
      <c r="S16098">
        <v>147.56781899999999</v>
      </c>
      <c r="T16098" s="1095">
        <v>-41.126939999999998</v>
      </c>
    </row>
    <row r="16099" spans="16:20">
      <c r="P16099" s="1094">
        <v>7262</v>
      </c>
      <c r="Q16099" t="s">
        <v>15702</v>
      </c>
      <c r="R16099" t="s">
        <v>618</v>
      </c>
      <c r="S16099">
        <v>147.630044</v>
      </c>
      <c r="T16099" s="1095">
        <v>-40.801510999999998</v>
      </c>
    </row>
    <row r="16100" spans="16:20">
      <c r="P16100" s="1094">
        <v>7262</v>
      </c>
      <c r="Q16100" t="s">
        <v>15703</v>
      </c>
      <c r="R16100" t="s">
        <v>618</v>
      </c>
      <c r="S16100">
        <v>147.630044</v>
      </c>
      <c r="T16100" s="1095">
        <v>-40.801510999999998</v>
      </c>
    </row>
    <row r="16101" spans="16:20">
      <c r="P16101" s="1094">
        <v>7262</v>
      </c>
      <c r="Q16101" t="s">
        <v>15704</v>
      </c>
      <c r="R16101" t="s">
        <v>618</v>
      </c>
      <c r="S16101">
        <v>147.630044</v>
      </c>
      <c r="T16101" s="1095">
        <v>-40.801510999999998</v>
      </c>
    </row>
    <row r="16102" spans="16:20">
      <c r="P16102" s="1094">
        <v>7263</v>
      </c>
      <c r="Q16102" t="s">
        <v>9227</v>
      </c>
      <c r="R16102" t="s">
        <v>618</v>
      </c>
      <c r="S16102">
        <v>147.70265499999999</v>
      </c>
      <c r="T16102" s="1095">
        <v>-41.308785</v>
      </c>
    </row>
    <row r="16103" spans="16:20">
      <c r="P16103" s="1094">
        <v>7263</v>
      </c>
      <c r="Q16103" t="s">
        <v>15705</v>
      </c>
      <c r="R16103" t="s">
        <v>618</v>
      </c>
      <c r="S16103">
        <v>147.70265499999999</v>
      </c>
      <c r="T16103" s="1095">
        <v>-41.308785</v>
      </c>
    </row>
    <row r="16104" spans="16:20">
      <c r="P16104" s="1094">
        <v>7263</v>
      </c>
      <c r="Q16104" t="s">
        <v>15706</v>
      </c>
      <c r="R16104" t="s">
        <v>618</v>
      </c>
      <c r="S16104">
        <v>147.70265499999999</v>
      </c>
      <c r="T16104" s="1095">
        <v>-41.308785</v>
      </c>
    </row>
    <row r="16105" spans="16:20">
      <c r="P16105" s="1094">
        <v>7263</v>
      </c>
      <c r="Q16105" t="s">
        <v>15707</v>
      </c>
      <c r="R16105" t="s">
        <v>618</v>
      </c>
      <c r="S16105">
        <v>147.70265499999999</v>
      </c>
      <c r="T16105" s="1095">
        <v>-41.308785</v>
      </c>
    </row>
    <row r="16106" spans="16:20">
      <c r="P16106" s="1094">
        <v>7263</v>
      </c>
      <c r="Q16106" t="s">
        <v>15708</v>
      </c>
      <c r="R16106" t="s">
        <v>618</v>
      </c>
      <c r="S16106">
        <v>147.70265499999999</v>
      </c>
      <c r="T16106" s="1095">
        <v>-41.308785</v>
      </c>
    </row>
    <row r="16107" spans="16:20">
      <c r="P16107" s="1094">
        <v>7264</v>
      </c>
      <c r="Q16107" t="s">
        <v>15709</v>
      </c>
      <c r="R16107" t="s">
        <v>618</v>
      </c>
      <c r="S16107">
        <v>148.02613700000001</v>
      </c>
      <c r="T16107" s="1095">
        <v>-41.015197000000001</v>
      </c>
    </row>
    <row r="16108" spans="16:20">
      <c r="P16108" s="1094">
        <v>7264</v>
      </c>
      <c r="Q16108" t="s">
        <v>15710</v>
      </c>
      <c r="R16108" t="s">
        <v>618</v>
      </c>
      <c r="S16108">
        <v>148.02613700000001</v>
      </c>
      <c r="T16108" s="1095">
        <v>-41.015197000000001</v>
      </c>
    </row>
    <row r="16109" spans="16:20">
      <c r="P16109" s="1094">
        <v>7264</v>
      </c>
      <c r="Q16109" t="s">
        <v>7864</v>
      </c>
      <c r="R16109" t="s">
        <v>618</v>
      </c>
      <c r="S16109">
        <v>148.02613700000001</v>
      </c>
      <c r="T16109" s="1095">
        <v>-41.015197000000001</v>
      </c>
    </row>
    <row r="16110" spans="16:20">
      <c r="P16110" s="1094">
        <v>7264</v>
      </c>
      <c r="Q16110" t="s">
        <v>15711</v>
      </c>
      <c r="R16110" t="s">
        <v>618</v>
      </c>
      <c r="S16110">
        <v>148.02613700000001</v>
      </c>
      <c r="T16110" s="1095">
        <v>-41.015197000000001</v>
      </c>
    </row>
    <row r="16111" spans="16:20">
      <c r="P16111" s="1094">
        <v>7264</v>
      </c>
      <c r="Q16111" t="s">
        <v>15712</v>
      </c>
      <c r="R16111" t="s">
        <v>618</v>
      </c>
      <c r="S16111">
        <v>148.02613700000001</v>
      </c>
      <c r="T16111" s="1095">
        <v>-41.015197000000001</v>
      </c>
    </row>
    <row r="16112" spans="16:20">
      <c r="P16112" s="1094">
        <v>7264</v>
      </c>
      <c r="Q16112" t="s">
        <v>3460</v>
      </c>
      <c r="R16112" t="s">
        <v>618</v>
      </c>
      <c r="S16112">
        <v>148.02613700000001</v>
      </c>
      <c r="T16112" s="1095">
        <v>-41.015197000000001</v>
      </c>
    </row>
    <row r="16113" spans="16:20">
      <c r="P16113" s="1094">
        <v>7264</v>
      </c>
      <c r="Q16113" t="s">
        <v>15713</v>
      </c>
      <c r="R16113" t="s">
        <v>618</v>
      </c>
      <c r="S16113">
        <v>148.02613700000001</v>
      </c>
      <c r="T16113" s="1095">
        <v>-41.015197000000001</v>
      </c>
    </row>
    <row r="16114" spans="16:20">
      <c r="P16114" s="1094">
        <v>7264</v>
      </c>
      <c r="Q16114" t="s">
        <v>10612</v>
      </c>
      <c r="R16114" t="s">
        <v>618</v>
      </c>
      <c r="S16114">
        <v>148.02613700000001</v>
      </c>
      <c r="T16114" s="1095">
        <v>-41.015197000000001</v>
      </c>
    </row>
    <row r="16115" spans="16:20">
      <c r="P16115" s="1094">
        <v>7264</v>
      </c>
      <c r="Q16115" t="s">
        <v>15714</v>
      </c>
      <c r="R16115" t="s">
        <v>618</v>
      </c>
      <c r="S16115">
        <v>148.02613700000001</v>
      </c>
      <c r="T16115" s="1095">
        <v>-41.015197000000001</v>
      </c>
    </row>
    <row r="16116" spans="16:20">
      <c r="P16116" s="1094">
        <v>7264</v>
      </c>
      <c r="Q16116" t="s">
        <v>11991</v>
      </c>
      <c r="R16116" t="s">
        <v>618</v>
      </c>
      <c r="S16116">
        <v>148.02613700000001</v>
      </c>
      <c r="T16116" s="1095">
        <v>-41.015197000000001</v>
      </c>
    </row>
    <row r="16117" spans="16:20">
      <c r="P16117" s="1094">
        <v>7264</v>
      </c>
      <c r="Q16117" t="s">
        <v>15715</v>
      </c>
      <c r="R16117" t="s">
        <v>618</v>
      </c>
      <c r="S16117">
        <v>148.02613700000001</v>
      </c>
      <c r="T16117" s="1095">
        <v>-41.015197000000001</v>
      </c>
    </row>
    <row r="16118" spans="16:20">
      <c r="P16118" s="1094">
        <v>7264</v>
      </c>
      <c r="Q16118" t="s">
        <v>15716</v>
      </c>
      <c r="R16118" t="s">
        <v>618</v>
      </c>
      <c r="S16118">
        <v>148.02613700000001</v>
      </c>
      <c r="T16118" s="1095">
        <v>-41.015197000000001</v>
      </c>
    </row>
    <row r="16119" spans="16:20">
      <c r="P16119" s="1094">
        <v>7264</v>
      </c>
      <c r="Q16119" t="s">
        <v>15717</v>
      </c>
      <c r="R16119" t="s">
        <v>618</v>
      </c>
      <c r="S16119">
        <v>148.02613700000001</v>
      </c>
      <c r="T16119" s="1095">
        <v>-41.015197000000001</v>
      </c>
    </row>
    <row r="16120" spans="16:20">
      <c r="P16120" s="1094">
        <v>7264</v>
      </c>
      <c r="Q16120" t="s">
        <v>15718</v>
      </c>
      <c r="R16120" t="s">
        <v>618</v>
      </c>
      <c r="S16120">
        <v>148.02613700000001</v>
      </c>
      <c r="T16120" s="1095">
        <v>-41.015197000000001</v>
      </c>
    </row>
    <row r="16121" spans="16:20">
      <c r="P16121" s="1094">
        <v>7265</v>
      </c>
      <c r="Q16121" t="s">
        <v>15719</v>
      </c>
      <c r="R16121" t="s">
        <v>618</v>
      </c>
      <c r="S16121">
        <v>147.823431</v>
      </c>
      <c r="T16121" s="1095">
        <v>-41.081060000000001</v>
      </c>
    </row>
    <row r="16122" spans="16:20">
      <c r="P16122" s="1094">
        <v>7265</v>
      </c>
      <c r="Q16122" t="s">
        <v>15720</v>
      </c>
      <c r="R16122" t="s">
        <v>618</v>
      </c>
      <c r="S16122">
        <v>147.823431</v>
      </c>
      <c r="T16122" s="1095">
        <v>-41.081060000000001</v>
      </c>
    </row>
    <row r="16123" spans="16:20">
      <c r="P16123" s="1094">
        <v>7267</v>
      </c>
      <c r="Q16123" t="s">
        <v>2260</v>
      </c>
      <c r="R16123" t="s">
        <v>618</v>
      </c>
      <c r="S16123">
        <v>147.08639600000001</v>
      </c>
      <c r="T16123" s="1095">
        <v>-41.264912000000002</v>
      </c>
    </row>
    <row r="16124" spans="16:20">
      <c r="P16124" s="1094">
        <v>7267</v>
      </c>
      <c r="Q16124" t="s">
        <v>15721</v>
      </c>
      <c r="R16124" t="s">
        <v>618</v>
      </c>
      <c r="S16124">
        <v>147.08639600000001</v>
      </c>
      <c r="T16124" s="1095">
        <v>-41.264912000000002</v>
      </c>
    </row>
    <row r="16125" spans="16:20">
      <c r="P16125" s="1094">
        <v>7267</v>
      </c>
      <c r="Q16125" t="s">
        <v>15722</v>
      </c>
      <c r="R16125" t="s">
        <v>618</v>
      </c>
      <c r="S16125">
        <v>147.08639600000001</v>
      </c>
      <c r="T16125" s="1095">
        <v>-41.264912000000002</v>
      </c>
    </row>
    <row r="16126" spans="16:20">
      <c r="P16126" s="1094">
        <v>7267</v>
      </c>
      <c r="Q16126" t="s">
        <v>15723</v>
      </c>
      <c r="R16126" t="s">
        <v>618</v>
      </c>
      <c r="S16126">
        <v>147.08639600000001</v>
      </c>
      <c r="T16126" s="1095">
        <v>-41.264912000000002</v>
      </c>
    </row>
    <row r="16127" spans="16:20">
      <c r="P16127" s="1094">
        <v>7267</v>
      </c>
      <c r="Q16127" t="s">
        <v>15724</v>
      </c>
      <c r="R16127" t="s">
        <v>618</v>
      </c>
      <c r="S16127">
        <v>147.08639600000001</v>
      </c>
      <c r="T16127" s="1095">
        <v>-41.264912000000002</v>
      </c>
    </row>
    <row r="16128" spans="16:20">
      <c r="P16128" s="1094">
        <v>7268</v>
      </c>
      <c r="Q16128" t="s">
        <v>3735</v>
      </c>
      <c r="R16128" t="s">
        <v>618</v>
      </c>
      <c r="S16128">
        <v>147.15275700000001</v>
      </c>
      <c r="T16128" s="1095">
        <v>-41.333886999999997</v>
      </c>
    </row>
    <row r="16129" spans="16:20">
      <c r="P16129" s="1094">
        <v>7268</v>
      </c>
      <c r="Q16129" t="s">
        <v>15725</v>
      </c>
      <c r="R16129" t="s">
        <v>618</v>
      </c>
      <c r="S16129">
        <v>147.15275700000001</v>
      </c>
      <c r="T16129" s="1095">
        <v>-41.333886999999997</v>
      </c>
    </row>
    <row r="16130" spans="16:20">
      <c r="P16130" s="1094">
        <v>7268</v>
      </c>
      <c r="Q16130" t="s">
        <v>9567</v>
      </c>
      <c r="R16130" t="s">
        <v>618</v>
      </c>
      <c r="S16130">
        <v>147.15275700000001</v>
      </c>
      <c r="T16130" s="1095">
        <v>-41.333886999999997</v>
      </c>
    </row>
    <row r="16131" spans="16:20">
      <c r="P16131" s="1094">
        <v>7270</v>
      </c>
      <c r="Q16131" t="s">
        <v>15726</v>
      </c>
      <c r="R16131" t="s">
        <v>618</v>
      </c>
      <c r="S16131">
        <v>146.78394700000001</v>
      </c>
      <c r="T16131" s="1095">
        <v>-41.177923999999997</v>
      </c>
    </row>
    <row r="16132" spans="16:20">
      <c r="P16132" s="1094">
        <v>7270</v>
      </c>
      <c r="Q16132" t="s">
        <v>1744</v>
      </c>
      <c r="R16132" t="s">
        <v>618</v>
      </c>
      <c r="S16132">
        <v>146.78394700000001</v>
      </c>
      <c r="T16132" s="1095">
        <v>-41.177923999999997</v>
      </c>
    </row>
    <row r="16133" spans="16:20">
      <c r="P16133" s="1094">
        <v>7270</v>
      </c>
      <c r="Q16133" t="s">
        <v>4412</v>
      </c>
      <c r="R16133" t="s">
        <v>618</v>
      </c>
      <c r="S16133">
        <v>146.78394700000001</v>
      </c>
      <c r="T16133" s="1095">
        <v>-41.177923999999997</v>
      </c>
    </row>
    <row r="16134" spans="16:20">
      <c r="P16134" s="1094">
        <v>7270</v>
      </c>
      <c r="Q16134" t="s">
        <v>15727</v>
      </c>
      <c r="R16134" t="s">
        <v>618</v>
      </c>
      <c r="S16134">
        <v>146.78394700000001</v>
      </c>
      <c r="T16134" s="1095">
        <v>-41.177923999999997</v>
      </c>
    </row>
    <row r="16135" spans="16:20">
      <c r="P16135" s="1094">
        <v>7270</v>
      </c>
      <c r="Q16135" t="s">
        <v>15728</v>
      </c>
      <c r="R16135" t="s">
        <v>618</v>
      </c>
      <c r="S16135">
        <v>146.78394700000001</v>
      </c>
      <c r="T16135" s="1095">
        <v>-41.177923999999997</v>
      </c>
    </row>
    <row r="16136" spans="16:20">
      <c r="P16136" s="1094">
        <v>7270</v>
      </c>
      <c r="Q16136" t="s">
        <v>15729</v>
      </c>
      <c r="R16136" t="s">
        <v>618</v>
      </c>
      <c r="S16136">
        <v>146.78394700000001</v>
      </c>
      <c r="T16136" s="1095">
        <v>-41.177923999999997</v>
      </c>
    </row>
    <row r="16137" spans="16:20">
      <c r="P16137" s="1094">
        <v>7270</v>
      </c>
      <c r="Q16137" t="s">
        <v>15730</v>
      </c>
      <c r="R16137" t="s">
        <v>618</v>
      </c>
      <c r="S16137">
        <v>146.78394700000001</v>
      </c>
      <c r="T16137" s="1095">
        <v>-41.177923999999997</v>
      </c>
    </row>
    <row r="16138" spans="16:20">
      <c r="P16138" s="1094">
        <v>7270</v>
      </c>
      <c r="Q16138" t="s">
        <v>15731</v>
      </c>
      <c r="R16138" t="s">
        <v>618</v>
      </c>
      <c r="S16138">
        <v>146.78394700000001</v>
      </c>
      <c r="T16138" s="1095">
        <v>-41.177923999999997</v>
      </c>
    </row>
    <row r="16139" spans="16:20">
      <c r="P16139" s="1094">
        <v>7270</v>
      </c>
      <c r="Q16139" t="s">
        <v>5797</v>
      </c>
      <c r="R16139" t="s">
        <v>618</v>
      </c>
      <c r="S16139">
        <v>146.78394700000001</v>
      </c>
      <c r="T16139" s="1095">
        <v>-41.177923999999997</v>
      </c>
    </row>
    <row r="16140" spans="16:20">
      <c r="P16140" s="1094">
        <v>7270</v>
      </c>
      <c r="Q16140" t="s">
        <v>15732</v>
      </c>
      <c r="R16140" t="s">
        <v>618</v>
      </c>
      <c r="S16140">
        <v>146.78394700000001</v>
      </c>
      <c r="T16140" s="1095">
        <v>-41.177923999999997</v>
      </c>
    </row>
    <row r="16141" spans="16:20">
      <c r="P16141" s="1094">
        <v>7270</v>
      </c>
      <c r="Q16141" t="s">
        <v>15733</v>
      </c>
      <c r="R16141" t="s">
        <v>618</v>
      </c>
      <c r="S16141">
        <v>146.78394700000001</v>
      </c>
      <c r="T16141" s="1095">
        <v>-41.177923999999997</v>
      </c>
    </row>
    <row r="16142" spans="16:20">
      <c r="P16142" s="1094">
        <v>7270</v>
      </c>
      <c r="Q16142" t="s">
        <v>15734</v>
      </c>
      <c r="R16142" t="s">
        <v>618</v>
      </c>
      <c r="S16142">
        <v>146.78394700000001</v>
      </c>
      <c r="T16142" s="1095">
        <v>-41.177923999999997</v>
      </c>
    </row>
    <row r="16143" spans="16:20">
      <c r="P16143" s="1094">
        <v>7275</v>
      </c>
      <c r="Q16143" t="s">
        <v>2314</v>
      </c>
      <c r="R16143" t="s">
        <v>618</v>
      </c>
      <c r="S16143">
        <v>146.835317</v>
      </c>
      <c r="T16143" s="1095">
        <v>-41.319890999999998</v>
      </c>
    </row>
    <row r="16144" spans="16:20">
      <c r="P16144" s="1094">
        <v>7275</v>
      </c>
      <c r="Q16144" t="s">
        <v>15735</v>
      </c>
      <c r="R16144" t="s">
        <v>618</v>
      </c>
      <c r="S16144">
        <v>146.835317</v>
      </c>
      <c r="T16144" s="1095">
        <v>-41.319890999999998</v>
      </c>
    </row>
    <row r="16145" spans="16:20">
      <c r="P16145" s="1094">
        <v>7275</v>
      </c>
      <c r="Q16145" t="s">
        <v>4639</v>
      </c>
      <c r="R16145" t="s">
        <v>618</v>
      </c>
      <c r="S16145">
        <v>146.835317</v>
      </c>
      <c r="T16145" s="1095">
        <v>-41.319890999999998</v>
      </c>
    </row>
    <row r="16146" spans="16:20">
      <c r="P16146" s="1094">
        <v>7275</v>
      </c>
      <c r="Q16146" t="s">
        <v>15736</v>
      </c>
      <c r="R16146" t="s">
        <v>618</v>
      </c>
      <c r="S16146">
        <v>146.835317</v>
      </c>
      <c r="T16146" s="1095">
        <v>-41.319890999999998</v>
      </c>
    </row>
    <row r="16147" spans="16:20">
      <c r="P16147" s="1094">
        <v>7275</v>
      </c>
      <c r="Q16147" t="s">
        <v>8897</v>
      </c>
      <c r="R16147" t="s">
        <v>618</v>
      </c>
      <c r="S16147">
        <v>146.835317</v>
      </c>
      <c r="T16147" s="1095">
        <v>-41.319890999999998</v>
      </c>
    </row>
    <row r="16148" spans="16:20">
      <c r="P16148" s="1094">
        <v>7275</v>
      </c>
      <c r="Q16148" t="s">
        <v>15737</v>
      </c>
      <c r="R16148" t="s">
        <v>618</v>
      </c>
      <c r="S16148">
        <v>146.835317</v>
      </c>
      <c r="T16148" s="1095">
        <v>-41.319890999999998</v>
      </c>
    </row>
    <row r="16149" spans="16:20">
      <c r="P16149" s="1094">
        <v>7275</v>
      </c>
      <c r="Q16149" t="s">
        <v>15738</v>
      </c>
      <c r="R16149" t="s">
        <v>618</v>
      </c>
      <c r="S16149">
        <v>146.835317</v>
      </c>
      <c r="T16149" s="1095">
        <v>-41.319890999999998</v>
      </c>
    </row>
    <row r="16150" spans="16:20">
      <c r="P16150" s="1094">
        <v>7275</v>
      </c>
      <c r="Q16150" t="s">
        <v>15739</v>
      </c>
      <c r="R16150" t="s">
        <v>618</v>
      </c>
      <c r="S16150">
        <v>146.835317</v>
      </c>
      <c r="T16150" s="1095">
        <v>-41.319890999999998</v>
      </c>
    </row>
    <row r="16151" spans="16:20">
      <c r="P16151" s="1094">
        <v>7275</v>
      </c>
      <c r="Q16151" t="s">
        <v>15740</v>
      </c>
      <c r="R16151" t="s">
        <v>618</v>
      </c>
      <c r="S16151">
        <v>146.835317</v>
      </c>
      <c r="T16151" s="1095">
        <v>-41.319890999999998</v>
      </c>
    </row>
    <row r="16152" spans="16:20">
      <c r="P16152" s="1094">
        <v>7275</v>
      </c>
      <c r="Q16152" t="s">
        <v>15741</v>
      </c>
      <c r="R16152" t="s">
        <v>618</v>
      </c>
      <c r="S16152">
        <v>146.835317</v>
      </c>
      <c r="T16152" s="1095">
        <v>-41.319890999999998</v>
      </c>
    </row>
    <row r="16153" spans="16:20">
      <c r="P16153" s="1094">
        <v>7275</v>
      </c>
      <c r="Q16153" t="s">
        <v>15742</v>
      </c>
      <c r="R16153" t="s">
        <v>618</v>
      </c>
      <c r="S16153">
        <v>146.835317</v>
      </c>
      <c r="T16153" s="1095">
        <v>-41.319890999999998</v>
      </c>
    </row>
    <row r="16154" spans="16:20">
      <c r="P16154" s="1094">
        <v>7275</v>
      </c>
      <c r="Q16154" t="s">
        <v>15743</v>
      </c>
      <c r="R16154" t="s">
        <v>618</v>
      </c>
      <c r="S16154">
        <v>146.835317</v>
      </c>
      <c r="T16154" s="1095">
        <v>-41.319890999999998</v>
      </c>
    </row>
    <row r="16155" spans="16:20">
      <c r="P16155" s="1094">
        <v>7276</v>
      </c>
      <c r="Q16155" t="s">
        <v>15744</v>
      </c>
      <c r="R16155" t="s">
        <v>618</v>
      </c>
      <c r="S16155">
        <v>146.97202300000001</v>
      </c>
      <c r="T16155" s="1095">
        <v>-41.293081000000001</v>
      </c>
    </row>
    <row r="16156" spans="16:20">
      <c r="P16156" s="1094">
        <v>7277</v>
      </c>
      <c r="Q16156" t="s">
        <v>15745</v>
      </c>
      <c r="R16156" t="s">
        <v>618</v>
      </c>
      <c r="S16156">
        <v>146.99697699999999</v>
      </c>
      <c r="T16156" s="1095">
        <v>-41.366416000000001</v>
      </c>
    </row>
    <row r="16157" spans="16:20">
      <c r="P16157" s="1094">
        <v>7277</v>
      </c>
      <c r="Q16157" t="s">
        <v>15746</v>
      </c>
      <c r="R16157" t="s">
        <v>618</v>
      </c>
      <c r="S16157">
        <v>146.99697699999999</v>
      </c>
      <c r="T16157" s="1095">
        <v>-41.366416000000001</v>
      </c>
    </row>
    <row r="16158" spans="16:20">
      <c r="P16158" s="1094">
        <v>7277</v>
      </c>
      <c r="Q16158" t="s">
        <v>15747</v>
      </c>
      <c r="R16158" t="s">
        <v>618</v>
      </c>
      <c r="S16158">
        <v>146.99697699999999</v>
      </c>
      <c r="T16158" s="1095">
        <v>-41.366416000000001</v>
      </c>
    </row>
    <row r="16159" spans="16:20">
      <c r="P16159" s="1094">
        <v>7277</v>
      </c>
      <c r="Q16159" t="s">
        <v>15748</v>
      </c>
      <c r="R16159" t="s">
        <v>618</v>
      </c>
      <c r="S16159">
        <v>146.99697699999999</v>
      </c>
      <c r="T16159" s="1095">
        <v>-41.366416000000001</v>
      </c>
    </row>
    <row r="16160" spans="16:20">
      <c r="P16160" s="1094">
        <v>7290</v>
      </c>
      <c r="Q16160" t="s">
        <v>15749</v>
      </c>
      <c r="R16160" t="s">
        <v>618</v>
      </c>
      <c r="S16160">
        <v>147.068603</v>
      </c>
      <c r="T16160" s="1095">
        <v>-41.512506999999999</v>
      </c>
    </row>
    <row r="16161" spans="16:20">
      <c r="P16161" s="1094">
        <v>7291</v>
      </c>
      <c r="Q16161" t="s">
        <v>15750</v>
      </c>
      <c r="R16161" t="s">
        <v>618</v>
      </c>
      <c r="S16161">
        <v>147.013597</v>
      </c>
      <c r="T16161" s="1095">
        <v>-41.530631</v>
      </c>
    </row>
    <row r="16162" spans="16:20">
      <c r="P16162" s="1094">
        <v>7292</v>
      </c>
      <c r="Q16162" t="s">
        <v>15751</v>
      </c>
      <c r="R16162" t="s">
        <v>618</v>
      </c>
      <c r="S16162">
        <v>146.944728</v>
      </c>
      <c r="T16162" s="1095">
        <v>-41.472098000000003</v>
      </c>
    </row>
    <row r="16163" spans="16:20">
      <c r="P16163" s="1094">
        <v>7292</v>
      </c>
      <c r="Q16163" t="s">
        <v>15752</v>
      </c>
      <c r="R16163" t="s">
        <v>618</v>
      </c>
      <c r="S16163">
        <v>146.944728</v>
      </c>
      <c r="T16163" s="1095">
        <v>-41.472098000000003</v>
      </c>
    </row>
    <row r="16164" spans="16:20">
      <c r="P16164" s="1094">
        <v>7292</v>
      </c>
      <c r="Q16164" t="s">
        <v>10087</v>
      </c>
      <c r="R16164" t="s">
        <v>618</v>
      </c>
      <c r="S16164">
        <v>146.944728</v>
      </c>
      <c r="T16164" s="1095">
        <v>-41.472098000000003</v>
      </c>
    </row>
    <row r="16165" spans="16:20">
      <c r="P16165" s="1094">
        <v>7292</v>
      </c>
      <c r="Q16165" t="s">
        <v>15753</v>
      </c>
      <c r="R16165" t="s">
        <v>618</v>
      </c>
      <c r="S16165">
        <v>146.944728</v>
      </c>
      <c r="T16165" s="1095">
        <v>-41.472098000000003</v>
      </c>
    </row>
    <row r="16166" spans="16:20">
      <c r="P16166" s="1094">
        <v>7292</v>
      </c>
      <c r="Q16166" t="s">
        <v>5502</v>
      </c>
      <c r="R16166" t="s">
        <v>618</v>
      </c>
      <c r="S16166">
        <v>146.944728</v>
      </c>
      <c r="T16166" s="1095">
        <v>-41.472098000000003</v>
      </c>
    </row>
    <row r="16167" spans="16:20">
      <c r="P16167" s="1094">
        <v>7300</v>
      </c>
      <c r="Q16167" t="s">
        <v>15754</v>
      </c>
      <c r="R16167" t="s">
        <v>618</v>
      </c>
      <c r="S16167">
        <v>147.223173</v>
      </c>
      <c r="T16167" s="1095">
        <v>-41.616219000000001</v>
      </c>
    </row>
    <row r="16168" spans="16:20">
      <c r="P16168" s="1094">
        <v>7300</v>
      </c>
      <c r="Q16168" t="s">
        <v>13799</v>
      </c>
      <c r="R16168" t="s">
        <v>618</v>
      </c>
      <c r="S16168">
        <v>147.223173</v>
      </c>
      <c r="T16168" s="1095">
        <v>-41.616219000000001</v>
      </c>
    </row>
    <row r="16169" spans="16:20">
      <c r="P16169" s="1094">
        <v>7300</v>
      </c>
      <c r="Q16169" t="s">
        <v>15755</v>
      </c>
      <c r="R16169" t="s">
        <v>618</v>
      </c>
      <c r="S16169">
        <v>147.223173</v>
      </c>
      <c r="T16169" s="1095">
        <v>-41.616219000000001</v>
      </c>
    </row>
    <row r="16170" spans="16:20">
      <c r="P16170" s="1094">
        <v>7301</v>
      </c>
      <c r="Q16170" t="s">
        <v>15756</v>
      </c>
      <c r="R16170" t="s">
        <v>618</v>
      </c>
      <c r="S16170">
        <v>147.046481</v>
      </c>
      <c r="T16170" s="1095">
        <v>-41.600123000000004</v>
      </c>
    </row>
    <row r="16171" spans="16:20">
      <c r="P16171" s="1094">
        <v>7301</v>
      </c>
      <c r="Q16171" t="s">
        <v>15757</v>
      </c>
      <c r="R16171" t="s">
        <v>618</v>
      </c>
      <c r="S16171">
        <v>147.046481</v>
      </c>
      <c r="T16171" s="1095">
        <v>-41.600123000000004</v>
      </c>
    </row>
    <row r="16172" spans="16:20">
      <c r="P16172" s="1094">
        <v>7301</v>
      </c>
      <c r="Q16172" t="s">
        <v>15758</v>
      </c>
      <c r="R16172" t="s">
        <v>618</v>
      </c>
      <c r="S16172">
        <v>147.046481</v>
      </c>
      <c r="T16172" s="1095">
        <v>-41.600123000000004</v>
      </c>
    </row>
    <row r="16173" spans="16:20">
      <c r="P16173" s="1094">
        <v>7301</v>
      </c>
      <c r="Q16173" t="s">
        <v>8886</v>
      </c>
      <c r="R16173" t="s">
        <v>618</v>
      </c>
      <c r="S16173">
        <v>147.046481</v>
      </c>
      <c r="T16173" s="1095">
        <v>-41.600123000000004</v>
      </c>
    </row>
    <row r="16174" spans="16:20">
      <c r="P16174" s="1094">
        <v>7301</v>
      </c>
      <c r="Q16174" t="s">
        <v>15759</v>
      </c>
      <c r="R16174" t="s">
        <v>618</v>
      </c>
      <c r="S16174">
        <v>147.046481</v>
      </c>
      <c r="T16174" s="1095">
        <v>-41.600123000000004</v>
      </c>
    </row>
    <row r="16175" spans="16:20">
      <c r="P16175" s="1094">
        <v>7302</v>
      </c>
      <c r="Q16175" t="s">
        <v>15760</v>
      </c>
      <c r="R16175" t="s">
        <v>618</v>
      </c>
      <c r="S16175">
        <v>146.988293</v>
      </c>
      <c r="T16175" s="1095">
        <v>-41.704569999999997</v>
      </c>
    </row>
    <row r="16176" spans="16:20">
      <c r="P16176" s="1094">
        <v>7302</v>
      </c>
      <c r="Q16176" t="s">
        <v>7173</v>
      </c>
      <c r="R16176" t="s">
        <v>618</v>
      </c>
      <c r="S16176">
        <v>146.988293</v>
      </c>
      <c r="T16176" s="1095">
        <v>-41.704569999999997</v>
      </c>
    </row>
    <row r="16177" spans="16:20">
      <c r="P16177" s="1094">
        <v>7302</v>
      </c>
      <c r="Q16177" t="s">
        <v>15761</v>
      </c>
      <c r="R16177" t="s">
        <v>618</v>
      </c>
      <c r="S16177">
        <v>146.988293</v>
      </c>
      <c r="T16177" s="1095">
        <v>-41.704569999999997</v>
      </c>
    </row>
    <row r="16178" spans="16:20">
      <c r="P16178" s="1094">
        <v>7303</v>
      </c>
      <c r="Q16178" t="s">
        <v>15762</v>
      </c>
      <c r="R16178" t="s">
        <v>618</v>
      </c>
      <c r="S16178">
        <v>146.81508400000001</v>
      </c>
      <c r="T16178" s="1095">
        <v>-41.594912999999998</v>
      </c>
    </row>
    <row r="16179" spans="16:20">
      <c r="P16179" s="1094">
        <v>7303</v>
      </c>
      <c r="Q16179" t="s">
        <v>15763</v>
      </c>
      <c r="R16179" t="s">
        <v>618</v>
      </c>
      <c r="S16179">
        <v>146.81508400000001</v>
      </c>
      <c r="T16179" s="1095">
        <v>-41.594912999999998</v>
      </c>
    </row>
    <row r="16180" spans="16:20">
      <c r="P16180" s="1094">
        <v>7303</v>
      </c>
      <c r="Q16180" t="s">
        <v>15764</v>
      </c>
      <c r="R16180" t="s">
        <v>618</v>
      </c>
      <c r="S16180">
        <v>146.81508400000001</v>
      </c>
      <c r="T16180" s="1095">
        <v>-41.594912999999998</v>
      </c>
    </row>
    <row r="16181" spans="16:20">
      <c r="P16181" s="1094">
        <v>7303</v>
      </c>
      <c r="Q16181" t="s">
        <v>15765</v>
      </c>
      <c r="R16181" t="s">
        <v>618</v>
      </c>
      <c r="S16181">
        <v>146.81508400000001</v>
      </c>
      <c r="T16181" s="1095">
        <v>-41.594912999999998</v>
      </c>
    </row>
    <row r="16182" spans="16:20">
      <c r="P16182" s="1094">
        <v>7303</v>
      </c>
      <c r="Q16182" t="s">
        <v>15766</v>
      </c>
      <c r="R16182" t="s">
        <v>618</v>
      </c>
      <c r="S16182">
        <v>146.81508400000001</v>
      </c>
      <c r="T16182" s="1095">
        <v>-41.594912999999998</v>
      </c>
    </row>
    <row r="16183" spans="16:20">
      <c r="P16183" s="1094">
        <v>7303</v>
      </c>
      <c r="Q16183" t="s">
        <v>8822</v>
      </c>
      <c r="R16183" t="s">
        <v>618</v>
      </c>
      <c r="S16183">
        <v>146.81508400000001</v>
      </c>
      <c r="T16183" s="1095">
        <v>-41.594912999999998</v>
      </c>
    </row>
    <row r="16184" spans="16:20">
      <c r="P16184" s="1094">
        <v>7303</v>
      </c>
      <c r="Q16184" t="s">
        <v>15767</v>
      </c>
      <c r="R16184" t="s">
        <v>618</v>
      </c>
      <c r="S16184">
        <v>146.81508400000001</v>
      </c>
      <c r="T16184" s="1095">
        <v>-41.594912999999998</v>
      </c>
    </row>
    <row r="16185" spans="16:20">
      <c r="P16185" s="1094">
        <v>7304</v>
      </c>
      <c r="Q16185" t="s">
        <v>15768</v>
      </c>
      <c r="R16185" t="s">
        <v>618</v>
      </c>
      <c r="S16185">
        <v>146.165998</v>
      </c>
      <c r="T16185" s="1095">
        <v>-41.710417</v>
      </c>
    </row>
    <row r="16186" spans="16:20">
      <c r="P16186" s="1094">
        <v>7304</v>
      </c>
      <c r="Q16186" t="s">
        <v>15769</v>
      </c>
      <c r="R16186" t="s">
        <v>618</v>
      </c>
      <c r="S16186">
        <v>146.165998</v>
      </c>
      <c r="T16186" s="1095">
        <v>-41.710417</v>
      </c>
    </row>
    <row r="16187" spans="16:20">
      <c r="P16187" s="1094">
        <v>7304</v>
      </c>
      <c r="Q16187" t="s">
        <v>15770</v>
      </c>
      <c r="R16187" t="s">
        <v>618</v>
      </c>
      <c r="S16187">
        <v>146.165998</v>
      </c>
      <c r="T16187" s="1095">
        <v>-41.710417</v>
      </c>
    </row>
    <row r="16188" spans="16:20">
      <c r="P16188" s="1094">
        <v>7304</v>
      </c>
      <c r="Q16188" t="s">
        <v>15771</v>
      </c>
      <c r="R16188" t="s">
        <v>618</v>
      </c>
      <c r="S16188">
        <v>146.165998</v>
      </c>
      <c r="T16188" s="1095">
        <v>-41.710417</v>
      </c>
    </row>
    <row r="16189" spans="16:20">
      <c r="P16189" s="1094">
        <v>7304</v>
      </c>
      <c r="Q16189" t="s">
        <v>15772</v>
      </c>
      <c r="R16189" t="s">
        <v>618</v>
      </c>
      <c r="S16189">
        <v>146.165998</v>
      </c>
      <c r="T16189" s="1095">
        <v>-41.710417</v>
      </c>
    </row>
    <row r="16190" spans="16:20">
      <c r="P16190" s="1094">
        <v>7304</v>
      </c>
      <c r="Q16190" t="s">
        <v>15773</v>
      </c>
      <c r="R16190" t="s">
        <v>618</v>
      </c>
      <c r="S16190">
        <v>146.165998</v>
      </c>
      <c r="T16190" s="1095">
        <v>-41.710417</v>
      </c>
    </row>
    <row r="16191" spans="16:20">
      <c r="P16191" s="1094">
        <v>7304</v>
      </c>
      <c r="Q16191" t="s">
        <v>15774</v>
      </c>
      <c r="R16191" t="s">
        <v>618</v>
      </c>
      <c r="S16191">
        <v>146.165998</v>
      </c>
      <c r="T16191" s="1095">
        <v>-41.710417</v>
      </c>
    </row>
    <row r="16192" spans="16:20">
      <c r="P16192" s="1094">
        <v>7304</v>
      </c>
      <c r="Q16192" t="s">
        <v>15775</v>
      </c>
      <c r="R16192" t="s">
        <v>618</v>
      </c>
      <c r="S16192">
        <v>146.165998</v>
      </c>
      <c r="T16192" s="1095">
        <v>-41.710417</v>
      </c>
    </row>
    <row r="16193" spans="16:20">
      <c r="P16193" s="1094">
        <v>7304</v>
      </c>
      <c r="Q16193" t="s">
        <v>15776</v>
      </c>
      <c r="R16193" t="s">
        <v>618</v>
      </c>
      <c r="S16193">
        <v>146.165998</v>
      </c>
      <c r="T16193" s="1095">
        <v>-41.710417</v>
      </c>
    </row>
    <row r="16194" spans="16:20">
      <c r="P16194" s="1094">
        <v>7304</v>
      </c>
      <c r="Q16194" t="s">
        <v>15777</v>
      </c>
      <c r="R16194" t="s">
        <v>618</v>
      </c>
      <c r="S16194">
        <v>146.165998</v>
      </c>
      <c r="T16194" s="1095">
        <v>-41.710417</v>
      </c>
    </row>
    <row r="16195" spans="16:20">
      <c r="P16195" s="1094">
        <v>7304</v>
      </c>
      <c r="Q16195" t="s">
        <v>15778</v>
      </c>
      <c r="R16195" t="s">
        <v>618</v>
      </c>
      <c r="S16195">
        <v>146.165998</v>
      </c>
      <c r="T16195" s="1095">
        <v>-41.710417</v>
      </c>
    </row>
    <row r="16196" spans="16:20">
      <c r="P16196" s="1094">
        <v>7304</v>
      </c>
      <c r="Q16196" t="s">
        <v>15779</v>
      </c>
      <c r="R16196" t="s">
        <v>618</v>
      </c>
      <c r="S16196">
        <v>146.165998</v>
      </c>
      <c r="T16196" s="1095">
        <v>-41.710417</v>
      </c>
    </row>
    <row r="16197" spans="16:20">
      <c r="P16197" s="1094">
        <v>7304</v>
      </c>
      <c r="Q16197" t="s">
        <v>12282</v>
      </c>
      <c r="R16197" t="s">
        <v>618</v>
      </c>
      <c r="S16197">
        <v>146.165998</v>
      </c>
      <c r="T16197" s="1095">
        <v>-41.710417</v>
      </c>
    </row>
    <row r="16198" spans="16:20">
      <c r="P16198" s="1094">
        <v>7304</v>
      </c>
      <c r="Q16198" t="s">
        <v>15780</v>
      </c>
      <c r="R16198" t="s">
        <v>618</v>
      </c>
      <c r="S16198">
        <v>146.165998</v>
      </c>
      <c r="T16198" s="1095">
        <v>-41.710417</v>
      </c>
    </row>
    <row r="16199" spans="16:20">
      <c r="P16199" s="1094">
        <v>7304</v>
      </c>
      <c r="Q16199" t="s">
        <v>15781</v>
      </c>
      <c r="R16199" t="s">
        <v>618</v>
      </c>
      <c r="S16199">
        <v>146.165998</v>
      </c>
      <c r="T16199" s="1095">
        <v>-41.710417</v>
      </c>
    </row>
    <row r="16200" spans="16:20">
      <c r="P16200" s="1094">
        <v>7304</v>
      </c>
      <c r="Q16200" t="s">
        <v>15782</v>
      </c>
      <c r="R16200" t="s">
        <v>618</v>
      </c>
      <c r="S16200">
        <v>146.165998</v>
      </c>
      <c r="T16200" s="1095">
        <v>-41.710417</v>
      </c>
    </row>
    <row r="16201" spans="16:20">
      <c r="P16201" s="1094">
        <v>7304</v>
      </c>
      <c r="Q16201" t="s">
        <v>15783</v>
      </c>
      <c r="R16201" t="s">
        <v>618</v>
      </c>
      <c r="S16201">
        <v>146.165998</v>
      </c>
      <c r="T16201" s="1095">
        <v>-41.710417</v>
      </c>
    </row>
    <row r="16202" spans="16:20">
      <c r="P16202" s="1094">
        <v>7304</v>
      </c>
      <c r="Q16202" t="s">
        <v>15784</v>
      </c>
      <c r="R16202" t="s">
        <v>618</v>
      </c>
      <c r="S16202">
        <v>146.165998</v>
      </c>
      <c r="T16202" s="1095">
        <v>-41.710417</v>
      </c>
    </row>
    <row r="16203" spans="16:20">
      <c r="P16203" s="1094">
        <v>7304</v>
      </c>
      <c r="Q16203" t="s">
        <v>15785</v>
      </c>
      <c r="R16203" t="s">
        <v>618</v>
      </c>
      <c r="S16203">
        <v>146.165998</v>
      </c>
      <c r="T16203" s="1095">
        <v>-41.710417</v>
      </c>
    </row>
    <row r="16204" spans="16:20">
      <c r="P16204" s="1094">
        <v>7304</v>
      </c>
      <c r="Q16204" t="s">
        <v>15786</v>
      </c>
      <c r="R16204" t="s">
        <v>618</v>
      </c>
      <c r="S16204">
        <v>146.165998</v>
      </c>
      <c r="T16204" s="1095">
        <v>-41.710417</v>
      </c>
    </row>
    <row r="16205" spans="16:20">
      <c r="P16205" s="1094">
        <v>7304</v>
      </c>
      <c r="Q16205" t="s">
        <v>15787</v>
      </c>
      <c r="R16205" t="s">
        <v>618</v>
      </c>
      <c r="S16205">
        <v>146.165998</v>
      </c>
      <c r="T16205" s="1095">
        <v>-41.710417</v>
      </c>
    </row>
    <row r="16206" spans="16:20">
      <c r="P16206" s="1094">
        <v>7304</v>
      </c>
      <c r="Q16206" t="s">
        <v>15788</v>
      </c>
      <c r="R16206" t="s">
        <v>618</v>
      </c>
      <c r="S16206">
        <v>146.165998</v>
      </c>
      <c r="T16206" s="1095">
        <v>-41.710417</v>
      </c>
    </row>
    <row r="16207" spans="16:20">
      <c r="P16207" s="1094">
        <v>7304</v>
      </c>
      <c r="Q16207" t="s">
        <v>15789</v>
      </c>
      <c r="R16207" t="s">
        <v>618</v>
      </c>
      <c r="S16207">
        <v>146.165998</v>
      </c>
      <c r="T16207" s="1095">
        <v>-41.710417</v>
      </c>
    </row>
    <row r="16208" spans="16:20">
      <c r="P16208" s="1094">
        <v>7304</v>
      </c>
      <c r="Q16208" t="s">
        <v>15790</v>
      </c>
      <c r="R16208" t="s">
        <v>618</v>
      </c>
      <c r="S16208">
        <v>146.165998</v>
      </c>
      <c r="T16208" s="1095">
        <v>-41.710417</v>
      </c>
    </row>
    <row r="16209" spans="16:20">
      <c r="P16209" s="1094">
        <v>7304</v>
      </c>
      <c r="Q16209" t="s">
        <v>15791</v>
      </c>
      <c r="R16209" t="s">
        <v>618</v>
      </c>
      <c r="S16209">
        <v>146.165998</v>
      </c>
      <c r="T16209" s="1095">
        <v>-41.710417</v>
      </c>
    </row>
    <row r="16210" spans="16:20">
      <c r="P16210" s="1094">
        <v>7304</v>
      </c>
      <c r="Q16210" t="s">
        <v>15792</v>
      </c>
      <c r="R16210" t="s">
        <v>618</v>
      </c>
      <c r="S16210">
        <v>146.165998</v>
      </c>
      <c r="T16210" s="1095">
        <v>-41.710417</v>
      </c>
    </row>
    <row r="16211" spans="16:20">
      <c r="P16211" s="1094">
        <v>7304</v>
      </c>
      <c r="Q16211" t="s">
        <v>15793</v>
      </c>
      <c r="R16211" t="s">
        <v>618</v>
      </c>
      <c r="S16211">
        <v>146.165998</v>
      </c>
      <c r="T16211" s="1095">
        <v>-41.710417</v>
      </c>
    </row>
    <row r="16212" spans="16:20">
      <c r="P16212" s="1094">
        <v>7304</v>
      </c>
      <c r="Q16212" t="s">
        <v>15794</v>
      </c>
      <c r="R16212" t="s">
        <v>618</v>
      </c>
      <c r="S16212">
        <v>146.165998</v>
      </c>
      <c r="T16212" s="1095">
        <v>-41.710417</v>
      </c>
    </row>
    <row r="16213" spans="16:20">
      <c r="P16213" s="1094">
        <v>7304</v>
      </c>
      <c r="Q16213" t="s">
        <v>10305</v>
      </c>
      <c r="R16213" t="s">
        <v>618</v>
      </c>
      <c r="S16213">
        <v>146.165998</v>
      </c>
      <c r="T16213" s="1095">
        <v>-41.710417</v>
      </c>
    </row>
    <row r="16214" spans="16:20">
      <c r="P16214" s="1094">
        <v>7305</v>
      </c>
      <c r="Q16214" t="s">
        <v>15795</v>
      </c>
      <c r="R16214" t="s">
        <v>618</v>
      </c>
      <c r="S16214">
        <v>146.412127</v>
      </c>
      <c r="T16214" s="1095">
        <v>-41.352322000000001</v>
      </c>
    </row>
    <row r="16215" spans="16:20">
      <c r="P16215" s="1094">
        <v>7305</v>
      </c>
      <c r="Q16215" t="s">
        <v>15796</v>
      </c>
      <c r="R16215" t="s">
        <v>618</v>
      </c>
      <c r="S16215">
        <v>146.412127</v>
      </c>
      <c r="T16215" s="1095">
        <v>-41.352322000000001</v>
      </c>
    </row>
    <row r="16216" spans="16:20">
      <c r="P16216" s="1094">
        <v>7305</v>
      </c>
      <c r="Q16216" t="s">
        <v>3126</v>
      </c>
      <c r="R16216" t="s">
        <v>618</v>
      </c>
      <c r="S16216">
        <v>146.412127</v>
      </c>
      <c r="T16216" s="1095">
        <v>-41.352322000000001</v>
      </c>
    </row>
    <row r="16217" spans="16:20">
      <c r="P16217" s="1094">
        <v>7306</v>
      </c>
      <c r="Q16217" t="s">
        <v>1474</v>
      </c>
      <c r="R16217" t="s">
        <v>618</v>
      </c>
      <c r="S16217">
        <v>146.19342800000001</v>
      </c>
      <c r="T16217" s="1095">
        <v>-41.465311</v>
      </c>
    </row>
    <row r="16218" spans="16:20">
      <c r="P16218" s="1094">
        <v>7306</v>
      </c>
      <c r="Q16218" t="s">
        <v>3257</v>
      </c>
      <c r="R16218" t="s">
        <v>618</v>
      </c>
      <c r="S16218">
        <v>146.19342800000001</v>
      </c>
      <c r="T16218" s="1095">
        <v>-41.465311</v>
      </c>
    </row>
    <row r="16219" spans="16:20">
      <c r="P16219" s="1094">
        <v>7306</v>
      </c>
      <c r="Q16219" t="s">
        <v>7486</v>
      </c>
      <c r="R16219" t="s">
        <v>618</v>
      </c>
      <c r="S16219">
        <v>146.19342800000001</v>
      </c>
      <c r="T16219" s="1095">
        <v>-41.465311</v>
      </c>
    </row>
    <row r="16220" spans="16:20">
      <c r="P16220" s="1094">
        <v>7306</v>
      </c>
      <c r="Q16220" t="s">
        <v>15797</v>
      </c>
      <c r="R16220" t="s">
        <v>618</v>
      </c>
      <c r="S16220">
        <v>146.19342800000001</v>
      </c>
      <c r="T16220" s="1095">
        <v>-41.465311</v>
      </c>
    </row>
    <row r="16221" spans="16:20">
      <c r="P16221" s="1094">
        <v>7306</v>
      </c>
      <c r="Q16221" t="s">
        <v>15798</v>
      </c>
      <c r="R16221" t="s">
        <v>618</v>
      </c>
      <c r="S16221">
        <v>146.19342800000001</v>
      </c>
      <c r="T16221" s="1095">
        <v>-41.465311</v>
      </c>
    </row>
    <row r="16222" spans="16:20">
      <c r="P16222" s="1094">
        <v>7306</v>
      </c>
      <c r="Q16222" t="s">
        <v>15799</v>
      </c>
      <c r="R16222" t="s">
        <v>618</v>
      </c>
      <c r="S16222">
        <v>146.19342800000001</v>
      </c>
      <c r="T16222" s="1095">
        <v>-41.465311</v>
      </c>
    </row>
    <row r="16223" spans="16:20">
      <c r="P16223" s="1094">
        <v>7306</v>
      </c>
      <c r="Q16223" t="s">
        <v>15800</v>
      </c>
      <c r="R16223" t="s">
        <v>618</v>
      </c>
      <c r="S16223">
        <v>146.19342800000001</v>
      </c>
      <c r="T16223" s="1095">
        <v>-41.465311</v>
      </c>
    </row>
    <row r="16224" spans="16:20">
      <c r="P16224" s="1094">
        <v>7306</v>
      </c>
      <c r="Q16224" t="s">
        <v>15801</v>
      </c>
      <c r="R16224" t="s">
        <v>618</v>
      </c>
      <c r="S16224">
        <v>146.19342800000001</v>
      </c>
      <c r="T16224" s="1095">
        <v>-41.465311</v>
      </c>
    </row>
    <row r="16225" spans="16:20">
      <c r="P16225" s="1094">
        <v>7306</v>
      </c>
      <c r="Q16225" t="s">
        <v>15802</v>
      </c>
      <c r="R16225" t="s">
        <v>618</v>
      </c>
      <c r="S16225">
        <v>146.19342800000001</v>
      </c>
      <c r="T16225" s="1095">
        <v>-41.465311</v>
      </c>
    </row>
    <row r="16226" spans="16:20">
      <c r="P16226" s="1094">
        <v>7306</v>
      </c>
      <c r="Q16226" t="s">
        <v>15803</v>
      </c>
      <c r="R16226" t="s">
        <v>618</v>
      </c>
      <c r="S16226">
        <v>146.19342800000001</v>
      </c>
      <c r="T16226" s="1095">
        <v>-41.465311</v>
      </c>
    </row>
    <row r="16227" spans="16:20">
      <c r="P16227" s="1094">
        <v>7306</v>
      </c>
      <c r="Q16227" t="s">
        <v>14264</v>
      </c>
      <c r="R16227" t="s">
        <v>618</v>
      </c>
      <c r="S16227">
        <v>146.19342800000001</v>
      </c>
      <c r="T16227" s="1095">
        <v>-41.465311</v>
      </c>
    </row>
    <row r="16228" spans="16:20">
      <c r="P16228" s="1094">
        <v>7306</v>
      </c>
      <c r="Q16228" t="s">
        <v>15804</v>
      </c>
      <c r="R16228" t="s">
        <v>618</v>
      </c>
      <c r="S16228">
        <v>146.19342800000001</v>
      </c>
      <c r="T16228" s="1095">
        <v>-41.465311</v>
      </c>
    </row>
    <row r="16229" spans="16:20">
      <c r="P16229" s="1094">
        <v>7306</v>
      </c>
      <c r="Q16229" t="s">
        <v>15805</v>
      </c>
      <c r="R16229" t="s">
        <v>618</v>
      </c>
      <c r="S16229">
        <v>146.19342800000001</v>
      </c>
      <c r="T16229" s="1095">
        <v>-41.465311</v>
      </c>
    </row>
    <row r="16230" spans="16:20">
      <c r="P16230" s="1094">
        <v>7306</v>
      </c>
      <c r="Q16230" t="s">
        <v>3036</v>
      </c>
      <c r="R16230" t="s">
        <v>618</v>
      </c>
      <c r="S16230">
        <v>146.19342800000001</v>
      </c>
      <c r="T16230" s="1095">
        <v>-41.465311</v>
      </c>
    </row>
    <row r="16231" spans="16:20">
      <c r="P16231" s="1094">
        <v>7306</v>
      </c>
      <c r="Q16231" t="s">
        <v>15806</v>
      </c>
      <c r="R16231" t="s">
        <v>618</v>
      </c>
      <c r="S16231">
        <v>146.19342800000001</v>
      </c>
      <c r="T16231" s="1095">
        <v>-41.465311</v>
      </c>
    </row>
    <row r="16232" spans="16:20">
      <c r="P16232" s="1094">
        <v>7306</v>
      </c>
      <c r="Q16232" t="s">
        <v>15807</v>
      </c>
      <c r="R16232" t="s">
        <v>618</v>
      </c>
      <c r="S16232">
        <v>146.19342800000001</v>
      </c>
      <c r="T16232" s="1095">
        <v>-41.465311</v>
      </c>
    </row>
    <row r="16233" spans="16:20">
      <c r="P16233" s="1094">
        <v>7306</v>
      </c>
      <c r="Q16233" t="s">
        <v>15808</v>
      </c>
      <c r="R16233" t="s">
        <v>618</v>
      </c>
      <c r="S16233">
        <v>146.19342800000001</v>
      </c>
      <c r="T16233" s="1095">
        <v>-41.465311</v>
      </c>
    </row>
    <row r="16234" spans="16:20">
      <c r="P16234" s="1094">
        <v>7306</v>
      </c>
      <c r="Q16234" t="s">
        <v>15809</v>
      </c>
      <c r="R16234" t="s">
        <v>618</v>
      </c>
      <c r="S16234">
        <v>146.19342800000001</v>
      </c>
      <c r="T16234" s="1095">
        <v>-41.465311</v>
      </c>
    </row>
    <row r="16235" spans="16:20">
      <c r="P16235" s="1094">
        <v>7306</v>
      </c>
      <c r="Q16235" t="s">
        <v>15810</v>
      </c>
      <c r="R16235" t="s">
        <v>618</v>
      </c>
      <c r="S16235">
        <v>146.19342800000001</v>
      </c>
      <c r="T16235" s="1095">
        <v>-41.465311</v>
      </c>
    </row>
    <row r="16236" spans="16:20">
      <c r="P16236" s="1094">
        <v>7306</v>
      </c>
      <c r="Q16236" t="s">
        <v>15811</v>
      </c>
      <c r="R16236" t="s">
        <v>618</v>
      </c>
      <c r="S16236">
        <v>146.19342800000001</v>
      </c>
      <c r="T16236" s="1095">
        <v>-41.465311</v>
      </c>
    </row>
    <row r="16237" spans="16:20">
      <c r="P16237" s="1094">
        <v>7307</v>
      </c>
      <c r="Q16237" t="s">
        <v>15812</v>
      </c>
      <c r="R16237" t="s">
        <v>618</v>
      </c>
      <c r="S16237">
        <v>146.57355999999999</v>
      </c>
      <c r="T16237" s="1095">
        <v>-41.210495000000002</v>
      </c>
    </row>
    <row r="16238" spans="16:20">
      <c r="P16238" s="1094">
        <v>7307</v>
      </c>
      <c r="Q16238" t="s">
        <v>15813</v>
      </c>
      <c r="R16238" t="s">
        <v>618</v>
      </c>
      <c r="S16238">
        <v>146.57355999999999</v>
      </c>
      <c r="T16238" s="1095">
        <v>-41.210495000000002</v>
      </c>
    </row>
    <row r="16239" spans="16:20">
      <c r="P16239" s="1094">
        <v>7307</v>
      </c>
      <c r="Q16239" t="s">
        <v>15814</v>
      </c>
      <c r="R16239" t="s">
        <v>618</v>
      </c>
      <c r="S16239">
        <v>146.57355999999999</v>
      </c>
      <c r="T16239" s="1095">
        <v>-41.210495000000002</v>
      </c>
    </row>
    <row r="16240" spans="16:20">
      <c r="P16240" s="1094">
        <v>7307</v>
      </c>
      <c r="Q16240" t="s">
        <v>15815</v>
      </c>
      <c r="R16240" t="s">
        <v>618</v>
      </c>
      <c r="S16240">
        <v>146.57355999999999</v>
      </c>
      <c r="T16240" s="1095">
        <v>-41.210495000000002</v>
      </c>
    </row>
    <row r="16241" spans="16:20">
      <c r="P16241" s="1094">
        <v>7307</v>
      </c>
      <c r="Q16241" t="s">
        <v>15816</v>
      </c>
      <c r="R16241" t="s">
        <v>618</v>
      </c>
      <c r="S16241">
        <v>146.57355999999999</v>
      </c>
      <c r="T16241" s="1095">
        <v>-41.210495000000002</v>
      </c>
    </row>
    <row r="16242" spans="16:20">
      <c r="P16242" s="1094">
        <v>7307</v>
      </c>
      <c r="Q16242" t="s">
        <v>15817</v>
      </c>
      <c r="R16242" t="s">
        <v>618</v>
      </c>
      <c r="S16242">
        <v>146.57355999999999</v>
      </c>
      <c r="T16242" s="1095">
        <v>-41.210495000000002</v>
      </c>
    </row>
    <row r="16243" spans="16:20">
      <c r="P16243" s="1094">
        <v>7307</v>
      </c>
      <c r="Q16243" t="s">
        <v>15818</v>
      </c>
      <c r="R16243" t="s">
        <v>618</v>
      </c>
      <c r="S16243">
        <v>146.57355999999999</v>
      </c>
      <c r="T16243" s="1095">
        <v>-41.210495000000002</v>
      </c>
    </row>
    <row r="16244" spans="16:20">
      <c r="P16244" s="1094">
        <v>7307</v>
      </c>
      <c r="Q16244" t="s">
        <v>4957</v>
      </c>
      <c r="R16244" t="s">
        <v>618</v>
      </c>
      <c r="S16244">
        <v>146.57355999999999</v>
      </c>
      <c r="T16244" s="1095">
        <v>-41.210495000000002</v>
      </c>
    </row>
    <row r="16245" spans="16:20">
      <c r="P16245" s="1094">
        <v>7307</v>
      </c>
      <c r="Q16245" t="s">
        <v>15819</v>
      </c>
      <c r="R16245" t="s">
        <v>618</v>
      </c>
      <c r="S16245">
        <v>146.57355999999999</v>
      </c>
      <c r="T16245" s="1095">
        <v>-41.210495000000002</v>
      </c>
    </row>
    <row r="16246" spans="16:20">
      <c r="P16246" s="1094">
        <v>7307</v>
      </c>
      <c r="Q16246" t="s">
        <v>15820</v>
      </c>
      <c r="R16246" t="s">
        <v>618</v>
      </c>
      <c r="S16246">
        <v>146.57355999999999</v>
      </c>
      <c r="T16246" s="1095">
        <v>-41.210495000000002</v>
      </c>
    </row>
    <row r="16247" spans="16:20">
      <c r="P16247" s="1094">
        <v>7307</v>
      </c>
      <c r="Q16247" t="s">
        <v>15821</v>
      </c>
      <c r="R16247" t="s">
        <v>618</v>
      </c>
      <c r="S16247">
        <v>146.57355999999999</v>
      </c>
      <c r="T16247" s="1095">
        <v>-41.210495000000002</v>
      </c>
    </row>
    <row r="16248" spans="16:20">
      <c r="P16248" s="1094">
        <v>7307</v>
      </c>
      <c r="Q16248" t="s">
        <v>15822</v>
      </c>
      <c r="R16248" t="s">
        <v>618</v>
      </c>
      <c r="S16248">
        <v>146.57355999999999</v>
      </c>
      <c r="T16248" s="1095">
        <v>-41.210495000000002</v>
      </c>
    </row>
    <row r="16249" spans="16:20">
      <c r="P16249" s="1094">
        <v>7310</v>
      </c>
      <c r="Q16249" t="s">
        <v>2817</v>
      </c>
      <c r="R16249" t="s">
        <v>618</v>
      </c>
      <c r="S16249">
        <v>146.239406</v>
      </c>
      <c r="T16249" s="1095">
        <v>-41.237355000000001</v>
      </c>
    </row>
    <row r="16250" spans="16:20">
      <c r="P16250" s="1094">
        <v>7310</v>
      </c>
      <c r="Q16250" t="s">
        <v>15823</v>
      </c>
      <c r="R16250" t="s">
        <v>618</v>
      </c>
      <c r="S16250">
        <v>146.239406</v>
      </c>
      <c r="T16250" s="1095">
        <v>-41.237355000000001</v>
      </c>
    </row>
    <row r="16251" spans="16:20">
      <c r="P16251" s="1094">
        <v>7310</v>
      </c>
      <c r="Q16251" t="s">
        <v>15824</v>
      </c>
      <c r="R16251" t="s">
        <v>618</v>
      </c>
      <c r="S16251">
        <v>146.239406</v>
      </c>
      <c r="T16251" s="1095">
        <v>-41.237355000000001</v>
      </c>
    </row>
    <row r="16252" spans="16:20">
      <c r="P16252" s="1094">
        <v>7310</v>
      </c>
      <c r="Q16252" t="s">
        <v>15825</v>
      </c>
      <c r="R16252" t="s">
        <v>618</v>
      </c>
      <c r="S16252">
        <v>146.239406</v>
      </c>
      <c r="T16252" s="1095">
        <v>-41.237355000000001</v>
      </c>
    </row>
    <row r="16253" spans="16:20">
      <c r="P16253" s="1094">
        <v>7310</v>
      </c>
      <c r="Q16253" t="s">
        <v>15826</v>
      </c>
      <c r="R16253" t="s">
        <v>618</v>
      </c>
      <c r="S16253">
        <v>146.239406</v>
      </c>
      <c r="T16253" s="1095">
        <v>-41.237355000000001</v>
      </c>
    </row>
    <row r="16254" spans="16:20">
      <c r="P16254" s="1094">
        <v>7310</v>
      </c>
      <c r="Q16254" t="s">
        <v>15827</v>
      </c>
      <c r="R16254" t="s">
        <v>618</v>
      </c>
      <c r="S16254">
        <v>146.239406</v>
      </c>
      <c r="T16254" s="1095">
        <v>-41.237355000000001</v>
      </c>
    </row>
    <row r="16255" spans="16:20">
      <c r="P16255" s="1094">
        <v>7310</v>
      </c>
      <c r="Q16255" t="s">
        <v>15828</v>
      </c>
      <c r="R16255" t="s">
        <v>618</v>
      </c>
      <c r="S16255">
        <v>146.239406</v>
      </c>
      <c r="T16255" s="1095">
        <v>-41.237355000000001</v>
      </c>
    </row>
    <row r="16256" spans="16:20">
      <c r="P16256" s="1094">
        <v>7310</v>
      </c>
      <c r="Q16256" t="s">
        <v>15829</v>
      </c>
      <c r="R16256" t="s">
        <v>618</v>
      </c>
      <c r="S16256">
        <v>146.239406</v>
      </c>
      <c r="T16256" s="1095">
        <v>-41.237355000000001</v>
      </c>
    </row>
    <row r="16257" spans="16:20">
      <c r="P16257" s="1094">
        <v>7310</v>
      </c>
      <c r="Q16257" t="s">
        <v>15830</v>
      </c>
      <c r="R16257" t="s">
        <v>618</v>
      </c>
      <c r="S16257">
        <v>146.239406</v>
      </c>
      <c r="T16257" s="1095">
        <v>-41.237355000000001</v>
      </c>
    </row>
    <row r="16258" spans="16:20">
      <c r="P16258" s="1094">
        <v>7310</v>
      </c>
      <c r="Q16258" t="s">
        <v>15831</v>
      </c>
      <c r="R16258" t="s">
        <v>618</v>
      </c>
      <c r="S16258">
        <v>146.239406</v>
      </c>
      <c r="T16258" s="1095">
        <v>-41.237355000000001</v>
      </c>
    </row>
    <row r="16259" spans="16:20">
      <c r="P16259" s="1094">
        <v>7310</v>
      </c>
      <c r="Q16259" t="s">
        <v>8770</v>
      </c>
      <c r="R16259" t="s">
        <v>618</v>
      </c>
      <c r="S16259">
        <v>146.239406</v>
      </c>
      <c r="T16259" s="1095">
        <v>-41.237355000000001</v>
      </c>
    </row>
    <row r="16260" spans="16:20">
      <c r="P16260" s="1094">
        <v>7310</v>
      </c>
      <c r="Q16260" t="s">
        <v>15832</v>
      </c>
      <c r="R16260" t="s">
        <v>618</v>
      </c>
      <c r="S16260">
        <v>146.239406</v>
      </c>
      <c r="T16260" s="1095">
        <v>-41.237355000000001</v>
      </c>
    </row>
    <row r="16261" spans="16:20">
      <c r="P16261" s="1094">
        <v>7310</v>
      </c>
      <c r="Q16261" t="s">
        <v>10996</v>
      </c>
      <c r="R16261" t="s">
        <v>618</v>
      </c>
      <c r="S16261">
        <v>146.239406</v>
      </c>
      <c r="T16261" s="1095">
        <v>-41.237355000000001</v>
      </c>
    </row>
    <row r="16262" spans="16:20">
      <c r="P16262" s="1094">
        <v>7310</v>
      </c>
      <c r="Q16262" t="s">
        <v>5972</v>
      </c>
      <c r="R16262" t="s">
        <v>618</v>
      </c>
      <c r="S16262">
        <v>146.239406</v>
      </c>
      <c r="T16262" s="1095">
        <v>-41.237355000000001</v>
      </c>
    </row>
    <row r="16263" spans="16:20">
      <c r="P16263" s="1094">
        <v>7310</v>
      </c>
      <c r="Q16263" t="s">
        <v>15833</v>
      </c>
      <c r="R16263" t="s">
        <v>618</v>
      </c>
      <c r="S16263">
        <v>146.239406</v>
      </c>
      <c r="T16263" s="1095">
        <v>-41.237355000000001</v>
      </c>
    </row>
    <row r="16264" spans="16:20">
      <c r="P16264" s="1094">
        <v>7310</v>
      </c>
      <c r="Q16264" t="s">
        <v>15834</v>
      </c>
      <c r="R16264" t="s">
        <v>618</v>
      </c>
      <c r="S16264">
        <v>146.239406</v>
      </c>
      <c r="T16264" s="1095">
        <v>-41.237355000000001</v>
      </c>
    </row>
    <row r="16265" spans="16:20">
      <c r="P16265" s="1094">
        <v>7310</v>
      </c>
      <c r="Q16265" t="s">
        <v>15835</v>
      </c>
      <c r="R16265" t="s">
        <v>618</v>
      </c>
      <c r="S16265">
        <v>146.239406</v>
      </c>
      <c r="T16265" s="1095">
        <v>-41.237355000000001</v>
      </c>
    </row>
    <row r="16266" spans="16:20">
      <c r="P16266" s="1094">
        <v>7310</v>
      </c>
      <c r="Q16266" t="s">
        <v>15836</v>
      </c>
      <c r="R16266" t="s">
        <v>618</v>
      </c>
      <c r="S16266">
        <v>146.239406</v>
      </c>
      <c r="T16266" s="1095">
        <v>-41.237355000000001</v>
      </c>
    </row>
    <row r="16267" spans="16:20">
      <c r="P16267" s="1094">
        <v>7310</v>
      </c>
      <c r="Q16267" t="s">
        <v>15837</v>
      </c>
      <c r="R16267" t="s">
        <v>618</v>
      </c>
      <c r="S16267">
        <v>146.239406</v>
      </c>
      <c r="T16267" s="1095">
        <v>-41.237355000000001</v>
      </c>
    </row>
    <row r="16268" spans="16:20">
      <c r="P16268" s="1094">
        <v>7310</v>
      </c>
      <c r="Q16268" t="s">
        <v>15838</v>
      </c>
      <c r="R16268" t="s">
        <v>618</v>
      </c>
      <c r="S16268">
        <v>146.239406</v>
      </c>
      <c r="T16268" s="1095">
        <v>-41.237355000000001</v>
      </c>
    </row>
    <row r="16269" spans="16:20">
      <c r="P16269" s="1094">
        <v>7310</v>
      </c>
      <c r="Q16269" t="s">
        <v>15839</v>
      </c>
      <c r="R16269" t="s">
        <v>618</v>
      </c>
      <c r="S16269">
        <v>146.239406</v>
      </c>
      <c r="T16269" s="1095">
        <v>-41.237355000000001</v>
      </c>
    </row>
    <row r="16270" spans="16:20">
      <c r="P16270" s="1094">
        <v>7310</v>
      </c>
      <c r="Q16270" t="s">
        <v>15840</v>
      </c>
      <c r="R16270" t="s">
        <v>618</v>
      </c>
      <c r="S16270">
        <v>146.239406</v>
      </c>
      <c r="T16270" s="1095">
        <v>-41.237355000000001</v>
      </c>
    </row>
    <row r="16271" spans="16:20">
      <c r="P16271" s="1094">
        <v>7310</v>
      </c>
      <c r="Q16271" t="s">
        <v>15841</v>
      </c>
      <c r="R16271" t="s">
        <v>618</v>
      </c>
      <c r="S16271">
        <v>146.239406</v>
      </c>
      <c r="T16271" s="1095">
        <v>-41.237355000000001</v>
      </c>
    </row>
    <row r="16272" spans="16:20">
      <c r="P16272" s="1094">
        <v>7310</v>
      </c>
      <c r="Q16272" t="s">
        <v>15842</v>
      </c>
      <c r="R16272" t="s">
        <v>618</v>
      </c>
      <c r="S16272">
        <v>146.239406</v>
      </c>
      <c r="T16272" s="1095">
        <v>-41.237355000000001</v>
      </c>
    </row>
    <row r="16273" spans="16:20">
      <c r="P16273" s="1094">
        <v>7315</v>
      </c>
      <c r="Q16273" t="s">
        <v>15843</v>
      </c>
      <c r="R16273" t="s">
        <v>618</v>
      </c>
      <c r="S16273">
        <v>146.072407</v>
      </c>
      <c r="T16273" s="1095">
        <v>-41.303173999999999</v>
      </c>
    </row>
    <row r="16274" spans="16:20">
      <c r="P16274" s="1094">
        <v>7315</v>
      </c>
      <c r="Q16274" t="s">
        <v>15844</v>
      </c>
      <c r="R16274" t="s">
        <v>618</v>
      </c>
      <c r="S16274">
        <v>146.072407</v>
      </c>
      <c r="T16274" s="1095">
        <v>-41.303173999999999</v>
      </c>
    </row>
    <row r="16275" spans="16:20">
      <c r="P16275" s="1094">
        <v>7315</v>
      </c>
      <c r="Q16275" t="s">
        <v>12715</v>
      </c>
      <c r="R16275" t="s">
        <v>618</v>
      </c>
      <c r="S16275">
        <v>146.072407</v>
      </c>
      <c r="T16275" s="1095">
        <v>-41.303173999999999</v>
      </c>
    </row>
    <row r="16276" spans="16:20">
      <c r="P16276" s="1094">
        <v>7315</v>
      </c>
      <c r="Q16276" t="s">
        <v>15845</v>
      </c>
      <c r="R16276" t="s">
        <v>618</v>
      </c>
      <c r="S16276">
        <v>146.072407</v>
      </c>
      <c r="T16276" s="1095">
        <v>-41.303173999999999</v>
      </c>
    </row>
    <row r="16277" spans="16:20">
      <c r="P16277" s="1094">
        <v>7315</v>
      </c>
      <c r="Q16277" t="s">
        <v>15846</v>
      </c>
      <c r="R16277" t="s">
        <v>618</v>
      </c>
      <c r="S16277">
        <v>146.072407</v>
      </c>
      <c r="T16277" s="1095">
        <v>-41.303173999999999</v>
      </c>
    </row>
    <row r="16278" spans="16:20">
      <c r="P16278" s="1094">
        <v>7315</v>
      </c>
      <c r="Q16278" t="s">
        <v>15847</v>
      </c>
      <c r="R16278" t="s">
        <v>618</v>
      </c>
      <c r="S16278">
        <v>146.072407</v>
      </c>
      <c r="T16278" s="1095">
        <v>-41.303173999999999</v>
      </c>
    </row>
    <row r="16279" spans="16:20">
      <c r="P16279" s="1094">
        <v>7315</v>
      </c>
      <c r="Q16279" t="s">
        <v>15848</v>
      </c>
      <c r="R16279" t="s">
        <v>618</v>
      </c>
      <c r="S16279">
        <v>146.072407</v>
      </c>
      <c r="T16279" s="1095">
        <v>-41.303173999999999</v>
      </c>
    </row>
    <row r="16280" spans="16:20">
      <c r="P16280" s="1094">
        <v>7315</v>
      </c>
      <c r="Q16280" t="s">
        <v>15849</v>
      </c>
      <c r="R16280" t="s">
        <v>618</v>
      </c>
      <c r="S16280">
        <v>146.072407</v>
      </c>
      <c r="T16280" s="1095">
        <v>-41.303173999999999</v>
      </c>
    </row>
    <row r="16281" spans="16:20">
      <c r="P16281" s="1094">
        <v>7315</v>
      </c>
      <c r="Q16281" t="s">
        <v>6500</v>
      </c>
      <c r="R16281" t="s">
        <v>618</v>
      </c>
      <c r="S16281">
        <v>146.072407</v>
      </c>
      <c r="T16281" s="1095">
        <v>-41.303173999999999</v>
      </c>
    </row>
    <row r="16282" spans="16:20">
      <c r="P16282" s="1094">
        <v>7315</v>
      </c>
      <c r="Q16282" t="s">
        <v>15850</v>
      </c>
      <c r="R16282" t="s">
        <v>618</v>
      </c>
      <c r="S16282">
        <v>146.072407</v>
      </c>
      <c r="T16282" s="1095">
        <v>-41.303173999999999</v>
      </c>
    </row>
    <row r="16283" spans="16:20">
      <c r="P16283" s="1094">
        <v>7315</v>
      </c>
      <c r="Q16283" t="s">
        <v>15851</v>
      </c>
      <c r="R16283" t="s">
        <v>618</v>
      </c>
      <c r="S16283">
        <v>146.072407</v>
      </c>
      <c r="T16283" s="1095">
        <v>-41.303173999999999</v>
      </c>
    </row>
    <row r="16284" spans="16:20">
      <c r="P16284" s="1094">
        <v>7315</v>
      </c>
      <c r="Q16284" t="s">
        <v>15852</v>
      </c>
      <c r="R16284" t="s">
        <v>618</v>
      </c>
      <c r="S16284">
        <v>146.072407</v>
      </c>
      <c r="T16284" s="1095">
        <v>-41.303173999999999</v>
      </c>
    </row>
    <row r="16285" spans="16:20">
      <c r="P16285" s="1094">
        <v>7315</v>
      </c>
      <c r="Q16285" t="s">
        <v>15853</v>
      </c>
      <c r="R16285" t="s">
        <v>618</v>
      </c>
      <c r="S16285">
        <v>146.072407</v>
      </c>
      <c r="T16285" s="1095">
        <v>-41.303173999999999</v>
      </c>
    </row>
    <row r="16286" spans="16:20">
      <c r="P16286" s="1094">
        <v>7315</v>
      </c>
      <c r="Q16286" t="s">
        <v>15854</v>
      </c>
      <c r="R16286" t="s">
        <v>618</v>
      </c>
      <c r="S16286">
        <v>146.072407</v>
      </c>
      <c r="T16286" s="1095">
        <v>-41.303173999999999</v>
      </c>
    </row>
    <row r="16287" spans="16:20">
      <c r="P16287" s="1094">
        <v>7315</v>
      </c>
      <c r="Q16287" t="s">
        <v>15855</v>
      </c>
      <c r="R16287" t="s">
        <v>618</v>
      </c>
      <c r="S16287">
        <v>146.072407</v>
      </c>
      <c r="T16287" s="1095">
        <v>-41.303173999999999</v>
      </c>
    </row>
    <row r="16288" spans="16:20">
      <c r="P16288" s="1094">
        <v>7315</v>
      </c>
      <c r="Q16288" t="s">
        <v>15856</v>
      </c>
      <c r="R16288" t="s">
        <v>618</v>
      </c>
      <c r="S16288">
        <v>146.072407</v>
      </c>
      <c r="T16288" s="1095">
        <v>-41.303173999999999</v>
      </c>
    </row>
    <row r="16289" spans="16:20">
      <c r="P16289" s="1094">
        <v>7315</v>
      </c>
      <c r="Q16289" t="s">
        <v>15857</v>
      </c>
      <c r="R16289" t="s">
        <v>618</v>
      </c>
      <c r="S16289">
        <v>146.072407</v>
      </c>
      <c r="T16289" s="1095">
        <v>-41.303173999999999</v>
      </c>
    </row>
    <row r="16290" spans="16:20">
      <c r="P16290" s="1094">
        <v>7316</v>
      </c>
      <c r="Q16290" t="s">
        <v>15858</v>
      </c>
      <c r="R16290" t="s">
        <v>618</v>
      </c>
      <c r="S16290">
        <v>145.93177600000001</v>
      </c>
      <c r="T16290" s="1095">
        <v>-41.269708000000001</v>
      </c>
    </row>
    <row r="16291" spans="16:20">
      <c r="P16291" s="1094">
        <v>7316</v>
      </c>
      <c r="Q16291" t="s">
        <v>15859</v>
      </c>
      <c r="R16291" t="s">
        <v>618</v>
      </c>
      <c r="S16291">
        <v>145.93177600000001</v>
      </c>
      <c r="T16291" s="1095">
        <v>-41.269708000000001</v>
      </c>
    </row>
    <row r="16292" spans="16:20">
      <c r="P16292" s="1094">
        <v>7316</v>
      </c>
      <c r="Q16292" t="s">
        <v>15860</v>
      </c>
      <c r="R16292" t="s">
        <v>618</v>
      </c>
      <c r="S16292">
        <v>145.93177600000001</v>
      </c>
      <c r="T16292" s="1095">
        <v>-41.269708000000001</v>
      </c>
    </row>
    <row r="16293" spans="16:20">
      <c r="P16293" s="1094">
        <v>7316</v>
      </c>
      <c r="Q16293" t="s">
        <v>15861</v>
      </c>
      <c r="R16293" t="s">
        <v>618</v>
      </c>
      <c r="S16293">
        <v>145.93177600000001</v>
      </c>
      <c r="T16293" s="1095">
        <v>-41.269708000000001</v>
      </c>
    </row>
    <row r="16294" spans="16:20">
      <c r="P16294" s="1094">
        <v>7316</v>
      </c>
      <c r="Q16294" t="s">
        <v>15862</v>
      </c>
      <c r="R16294" t="s">
        <v>618</v>
      </c>
      <c r="S16294">
        <v>145.93177600000001</v>
      </c>
      <c r="T16294" s="1095">
        <v>-41.269708000000001</v>
      </c>
    </row>
    <row r="16295" spans="16:20">
      <c r="P16295" s="1094">
        <v>7316</v>
      </c>
      <c r="Q16295" t="s">
        <v>15863</v>
      </c>
      <c r="R16295" t="s">
        <v>618</v>
      </c>
      <c r="S16295">
        <v>145.93177600000001</v>
      </c>
      <c r="T16295" s="1095">
        <v>-41.269708000000001</v>
      </c>
    </row>
    <row r="16296" spans="16:20">
      <c r="P16296" s="1094">
        <v>7316</v>
      </c>
      <c r="Q16296" t="s">
        <v>15864</v>
      </c>
      <c r="R16296" t="s">
        <v>618</v>
      </c>
      <c r="S16296">
        <v>145.93177600000001</v>
      </c>
      <c r="T16296" s="1095">
        <v>-41.269708000000001</v>
      </c>
    </row>
    <row r="16297" spans="16:20">
      <c r="P16297" s="1094">
        <v>7316</v>
      </c>
      <c r="Q16297" t="s">
        <v>15865</v>
      </c>
      <c r="R16297" t="s">
        <v>618</v>
      </c>
      <c r="S16297">
        <v>145.93177600000001</v>
      </c>
      <c r="T16297" s="1095">
        <v>-41.269708000000001</v>
      </c>
    </row>
    <row r="16298" spans="16:20">
      <c r="P16298" s="1094">
        <v>7316</v>
      </c>
      <c r="Q16298" t="s">
        <v>15866</v>
      </c>
      <c r="R16298" t="s">
        <v>618</v>
      </c>
      <c r="S16298">
        <v>145.93177600000001</v>
      </c>
      <c r="T16298" s="1095">
        <v>-41.269708000000001</v>
      </c>
    </row>
    <row r="16299" spans="16:20">
      <c r="P16299" s="1094">
        <v>7316</v>
      </c>
      <c r="Q16299" t="s">
        <v>15867</v>
      </c>
      <c r="R16299" t="s">
        <v>618</v>
      </c>
      <c r="S16299">
        <v>145.93177600000001</v>
      </c>
      <c r="T16299" s="1095">
        <v>-41.269708000000001</v>
      </c>
    </row>
    <row r="16300" spans="16:20">
      <c r="P16300" s="1094">
        <v>7316</v>
      </c>
      <c r="Q16300" t="s">
        <v>15868</v>
      </c>
      <c r="R16300" t="s">
        <v>618</v>
      </c>
      <c r="S16300">
        <v>145.93177600000001</v>
      </c>
      <c r="T16300" s="1095">
        <v>-41.269708000000001</v>
      </c>
    </row>
    <row r="16301" spans="16:20">
      <c r="P16301" s="1094">
        <v>7320</v>
      </c>
      <c r="Q16301" t="s">
        <v>4798</v>
      </c>
      <c r="R16301" t="s">
        <v>618</v>
      </c>
      <c r="S16301">
        <v>145.86207899999999</v>
      </c>
      <c r="T16301" s="1095">
        <v>-41.084220000000002</v>
      </c>
    </row>
    <row r="16302" spans="16:20">
      <c r="P16302" s="1094">
        <v>7320</v>
      </c>
      <c r="Q16302" t="s">
        <v>1881</v>
      </c>
      <c r="R16302" t="s">
        <v>618</v>
      </c>
      <c r="S16302">
        <v>145.86207899999999</v>
      </c>
      <c r="T16302" s="1095">
        <v>-41.084220000000002</v>
      </c>
    </row>
    <row r="16303" spans="16:20">
      <c r="P16303" s="1094">
        <v>7320</v>
      </c>
      <c r="Q16303" t="s">
        <v>15869</v>
      </c>
      <c r="R16303" t="s">
        <v>618</v>
      </c>
      <c r="S16303">
        <v>145.86207899999999</v>
      </c>
      <c r="T16303" s="1095">
        <v>-41.084220000000002</v>
      </c>
    </row>
    <row r="16304" spans="16:20">
      <c r="P16304" s="1094">
        <v>7320</v>
      </c>
      <c r="Q16304" t="s">
        <v>15870</v>
      </c>
      <c r="R16304" t="s">
        <v>618</v>
      </c>
      <c r="S16304">
        <v>145.86207899999999</v>
      </c>
      <c r="T16304" s="1095">
        <v>-41.084220000000002</v>
      </c>
    </row>
    <row r="16305" spans="16:20">
      <c r="P16305" s="1094">
        <v>7320</v>
      </c>
      <c r="Q16305" t="s">
        <v>15871</v>
      </c>
      <c r="R16305" t="s">
        <v>618</v>
      </c>
      <c r="S16305">
        <v>145.86207899999999</v>
      </c>
      <c r="T16305" s="1095">
        <v>-41.084220000000002</v>
      </c>
    </row>
    <row r="16306" spans="16:20">
      <c r="P16306" s="1094">
        <v>7320</v>
      </c>
      <c r="Q16306" t="s">
        <v>15872</v>
      </c>
      <c r="R16306" t="s">
        <v>618</v>
      </c>
      <c r="S16306">
        <v>145.86207899999999</v>
      </c>
      <c r="T16306" s="1095">
        <v>-41.084220000000002</v>
      </c>
    </row>
    <row r="16307" spans="16:20">
      <c r="P16307" s="1094">
        <v>7320</v>
      </c>
      <c r="Q16307" t="s">
        <v>5557</v>
      </c>
      <c r="R16307" t="s">
        <v>618</v>
      </c>
      <c r="S16307">
        <v>145.86207899999999</v>
      </c>
      <c r="T16307" s="1095">
        <v>-41.084220000000002</v>
      </c>
    </row>
    <row r="16308" spans="16:20">
      <c r="P16308" s="1094">
        <v>7320</v>
      </c>
      <c r="Q16308" t="s">
        <v>15873</v>
      </c>
      <c r="R16308" t="s">
        <v>618</v>
      </c>
      <c r="S16308">
        <v>145.86207899999999</v>
      </c>
      <c r="T16308" s="1095">
        <v>-41.084220000000002</v>
      </c>
    </row>
    <row r="16309" spans="16:20">
      <c r="P16309" s="1094">
        <v>7320</v>
      </c>
      <c r="Q16309" t="s">
        <v>7256</v>
      </c>
      <c r="R16309" t="s">
        <v>618</v>
      </c>
      <c r="S16309">
        <v>145.86207899999999</v>
      </c>
      <c r="T16309" s="1095">
        <v>-41.084220000000002</v>
      </c>
    </row>
    <row r="16310" spans="16:20">
      <c r="P16310" s="1094">
        <v>7320</v>
      </c>
      <c r="Q16310" t="s">
        <v>15874</v>
      </c>
      <c r="R16310" t="s">
        <v>618</v>
      </c>
      <c r="S16310">
        <v>145.86207899999999</v>
      </c>
      <c r="T16310" s="1095">
        <v>-41.084220000000002</v>
      </c>
    </row>
    <row r="16311" spans="16:20">
      <c r="P16311" s="1094">
        <v>7320</v>
      </c>
      <c r="Q16311" t="s">
        <v>15875</v>
      </c>
      <c r="R16311" t="s">
        <v>618</v>
      </c>
      <c r="S16311">
        <v>145.86207899999999</v>
      </c>
      <c r="T16311" s="1095">
        <v>-41.084220000000002</v>
      </c>
    </row>
    <row r="16312" spans="16:20">
      <c r="P16312" s="1094">
        <v>7320</v>
      </c>
      <c r="Q16312" t="s">
        <v>15876</v>
      </c>
      <c r="R16312" t="s">
        <v>618</v>
      </c>
      <c r="S16312">
        <v>145.86207899999999</v>
      </c>
      <c r="T16312" s="1095">
        <v>-41.084220000000002</v>
      </c>
    </row>
    <row r="16313" spans="16:20">
      <c r="P16313" s="1094">
        <v>7320</v>
      </c>
      <c r="Q16313" t="s">
        <v>10753</v>
      </c>
      <c r="R16313" t="s">
        <v>618</v>
      </c>
      <c r="S16313">
        <v>145.86207899999999</v>
      </c>
      <c r="T16313" s="1095">
        <v>-41.084220000000002</v>
      </c>
    </row>
    <row r="16314" spans="16:20">
      <c r="P16314" s="1094">
        <v>7320</v>
      </c>
      <c r="Q16314" t="s">
        <v>15877</v>
      </c>
      <c r="R16314" t="s">
        <v>618</v>
      </c>
      <c r="S16314">
        <v>145.86207899999999</v>
      </c>
      <c r="T16314" s="1095">
        <v>-41.084220000000002</v>
      </c>
    </row>
    <row r="16315" spans="16:20">
      <c r="P16315" s="1094">
        <v>7320</v>
      </c>
      <c r="Q16315" t="s">
        <v>11313</v>
      </c>
      <c r="R16315" t="s">
        <v>618</v>
      </c>
      <c r="S16315">
        <v>145.86207899999999</v>
      </c>
      <c r="T16315" s="1095">
        <v>-41.084220000000002</v>
      </c>
    </row>
    <row r="16316" spans="16:20">
      <c r="P16316" s="1094">
        <v>7320</v>
      </c>
      <c r="Q16316" t="s">
        <v>15878</v>
      </c>
      <c r="R16316" t="s">
        <v>618</v>
      </c>
      <c r="S16316">
        <v>145.86207899999999</v>
      </c>
      <c r="T16316" s="1095">
        <v>-41.084220000000002</v>
      </c>
    </row>
    <row r="16317" spans="16:20">
      <c r="P16317" s="1094">
        <v>7320</v>
      </c>
      <c r="Q16317" t="s">
        <v>15879</v>
      </c>
      <c r="R16317" t="s">
        <v>618</v>
      </c>
      <c r="S16317">
        <v>145.86207899999999</v>
      </c>
      <c r="T16317" s="1095">
        <v>-41.084220000000002</v>
      </c>
    </row>
    <row r="16318" spans="16:20">
      <c r="P16318" s="1094">
        <v>7320</v>
      </c>
      <c r="Q16318" t="s">
        <v>15880</v>
      </c>
      <c r="R16318" t="s">
        <v>618</v>
      </c>
      <c r="S16318">
        <v>145.86207899999999</v>
      </c>
      <c r="T16318" s="1095">
        <v>-41.084220000000002</v>
      </c>
    </row>
    <row r="16319" spans="16:20">
      <c r="P16319" s="1094">
        <v>7320</v>
      </c>
      <c r="Q16319" t="s">
        <v>9984</v>
      </c>
      <c r="R16319" t="s">
        <v>618</v>
      </c>
      <c r="S16319">
        <v>145.86207899999999</v>
      </c>
      <c r="T16319" s="1095">
        <v>-41.084220000000002</v>
      </c>
    </row>
    <row r="16320" spans="16:20">
      <c r="P16320" s="1094">
        <v>7321</v>
      </c>
      <c r="Q16320" t="s">
        <v>11916</v>
      </c>
      <c r="R16320" t="s">
        <v>618</v>
      </c>
      <c r="S16320">
        <v>145.503726</v>
      </c>
      <c r="T16320" s="1095">
        <v>-41.456389000000001</v>
      </c>
    </row>
    <row r="16321" spans="16:20">
      <c r="P16321" s="1094">
        <v>7321</v>
      </c>
      <c r="Q16321" t="s">
        <v>2568</v>
      </c>
      <c r="R16321" t="s">
        <v>618</v>
      </c>
      <c r="S16321">
        <v>145.503726</v>
      </c>
      <c r="T16321" s="1095">
        <v>-41.456389000000001</v>
      </c>
    </row>
    <row r="16322" spans="16:20">
      <c r="P16322" s="1094">
        <v>7321</v>
      </c>
      <c r="Q16322" t="s">
        <v>15881</v>
      </c>
      <c r="R16322" t="s">
        <v>618</v>
      </c>
      <c r="S16322">
        <v>145.503726</v>
      </c>
      <c r="T16322" s="1095">
        <v>-41.456389000000001</v>
      </c>
    </row>
    <row r="16323" spans="16:20">
      <c r="P16323" s="1094">
        <v>7321</v>
      </c>
      <c r="Q16323" t="s">
        <v>15882</v>
      </c>
      <c r="R16323" t="s">
        <v>618</v>
      </c>
      <c r="S16323">
        <v>145.503726</v>
      </c>
      <c r="T16323" s="1095">
        <v>-41.456389000000001</v>
      </c>
    </row>
    <row r="16324" spans="16:20">
      <c r="P16324" s="1094">
        <v>7321</v>
      </c>
      <c r="Q16324" t="s">
        <v>15883</v>
      </c>
      <c r="R16324" t="s">
        <v>618</v>
      </c>
      <c r="S16324">
        <v>145.503726</v>
      </c>
      <c r="T16324" s="1095">
        <v>-41.456389000000001</v>
      </c>
    </row>
    <row r="16325" spans="16:20">
      <c r="P16325" s="1094">
        <v>7321</v>
      </c>
      <c r="Q16325" t="s">
        <v>15884</v>
      </c>
      <c r="R16325" t="s">
        <v>618</v>
      </c>
      <c r="S16325">
        <v>145.503726</v>
      </c>
      <c r="T16325" s="1095">
        <v>-41.456389000000001</v>
      </c>
    </row>
    <row r="16326" spans="16:20">
      <c r="P16326" s="1094">
        <v>7321</v>
      </c>
      <c r="Q16326" t="s">
        <v>15885</v>
      </c>
      <c r="R16326" t="s">
        <v>618</v>
      </c>
      <c r="S16326">
        <v>145.503726</v>
      </c>
      <c r="T16326" s="1095">
        <v>-41.456389000000001</v>
      </c>
    </row>
    <row r="16327" spans="16:20">
      <c r="P16327" s="1094">
        <v>7321</v>
      </c>
      <c r="Q16327" t="s">
        <v>15886</v>
      </c>
      <c r="R16327" t="s">
        <v>618</v>
      </c>
      <c r="S16327">
        <v>145.503726</v>
      </c>
      <c r="T16327" s="1095">
        <v>-41.456389000000001</v>
      </c>
    </row>
    <row r="16328" spans="16:20">
      <c r="P16328" s="1094">
        <v>7321</v>
      </c>
      <c r="Q16328" t="s">
        <v>15887</v>
      </c>
      <c r="R16328" t="s">
        <v>618</v>
      </c>
      <c r="S16328">
        <v>145.503726</v>
      </c>
      <c r="T16328" s="1095">
        <v>-41.456389000000001</v>
      </c>
    </row>
    <row r="16329" spans="16:20">
      <c r="P16329" s="1094">
        <v>7321</v>
      </c>
      <c r="Q16329" t="s">
        <v>15888</v>
      </c>
      <c r="R16329" t="s">
        <v>618</v>
      </c>
      <c r="S16329">
        <v>145.503726</v>
      </c>
      <c r="T16329" s="1095">
        <v>-41.456389000000001</v>
      </c>
    </row>
    <row r="16330" spans="16:20">
      <c r="P16330" s="1094">
        <v>7321</v>
      </c>
      <c r="Q16330" t="s">
        <v>15889</v>
      </c>
      <c r="R16330" t="s">
        <v>618</v>
      </c>
      <c r="S16330">
        <v>145.503726</v>
      </c>
      <c r="T16330" s="1095">
        <v>-41.456389000000001</v>
      </c>
    </row>
    <row r="16331" spans="16:20">
      <c r="P16331" s="1094">
        <v>7321</v>
      </c>
      <c r="Q16331" t="s">
        <v>1714</v>
      </c>
      <c r="R16331" t="s">
        <v>618</v>
      </c>
      <c r="S16331">
        <v>145.503726</v>
      </c>
      <c r="T16331" s="1095">
        <v>-41.456389000000001</v>
      </c>
    </row>
    <row r="16332" spans="16:20">
      <c r="P16332" s="1094">
        <v>7321</v>
      </c>
      <c r="Q16332" t="s">
        <v>15890</v>
      </c>
      <c r="R16332" t="s">
        <v>618</v>
      </c>
      <c r="S16332">
        <v>145.503726</v>
      </c>
      <c r="T16332" s="1095">
        <v>-41.456389000000001</v>
      </c>
    </row>
    <row r="16333" spans="16:20">
      <c r="P16333" s="1094">
        <v>7321</v>
      </c>
      <c r="Q16333" t="s">
        <v>15891</v>
      </c>
      <c r="R16333" t="s">
        <v>618</v>
      </c>
      <c r="S16333">
        <v>145.503726</v>
      </c>
      <c r="T16333" s="1095">
        <v>-41.456389000000001</v>
      </c>
    </row>
    <row r="16334" spans="16:20">
      <c r="P16334" s="1094">
        <v>7321</v>
      </c>
      <c r="Q16334" t="s">
        <v>15892</v>
      </c>
      <c r="R16334" t="s">
        <v>618</v>
      </c>
      <c r="S16334">
        <v>145.503726</v>
      </c>
      <c r="T16334" s="1095">
        <v>-41.456389000000001</v>
      </c>
    </row>
    <row r="16335" spans="16:20">
      <c r="P16335" s="1094">
        <v>7321</v>
      </c>
      <c r="Q16335" t="s">
        <v>15893</v>
      </c>
      <c r="R16335" t="s">
        <v>618</v>
      </c>
      <c r="S16335">
        <v>145.503726</v>
      </c>
      <c r="T16335" s="1095">
        <v>-41.456389000000001</v>
      </c>
    </row>
    <row r="16336" spans="16:20">
      <c r="P16336" s="1094">
        <v>7321</v>
      </c>
      <c r="Q16336" t="s">
        <v>15894</v>
      </c>
      <c r="R16336" t="s">
        <v>618</v>
      </c>
      <c r="S16336">
        <v>145.503726</v>
      </c>
      <c r="T16336" s="1095">
        <v>-41.456389000000001</v>
      </c>
    </row>
    <row r="16337" spans="16:20">
      <c r="P16337" s="1094">
        <v>7321</v>
      </c>
      <c r="Q16337" t="s">
        <v>15895</v>
      </c>
      <c r="R16337" t="s">
        <v>618</v>
      </c>
      <c r="S16337">
        <v>145.503726</v>
      </c>
      <c r="T16337" s="1095">
        <v>-41.456389000000001</v>
      </c>
    </row>
    <row r="16338" spans="16:20">
      <c r="P16338" s="1094">
        <v>7321</v>
      </c>
      <c r="Q16338" t="s">
        <v>15896</v>
      </c>
      <c r="R16338" t="s">
        <v>618</v>
      </c>
      <c r="S16338">
        <v>145.503726</v>
      </c>
      <c r="T16338" s="1095">
        <v>-41.456389000000001</v>
      </c>
    </row>
    <row r="16339" spans="16:20">
      <c r="P16339" s="1094">
        <v>7321</v>
      </c>
      <c r="Q16339" t="s">
        <v>15897</v>
      </c>
      <c r="R16339" t="s">
        <v>618</v>
      </c>
      <c r="S16339">
        <v>145.503726</v>
      </c>
      <c r="T16339" s="1095">
        <v>-41.456389000000001</v>
      </c>
    </row>
    <row r="16340" spans="16:20">
      <c r="P16340" s="1094">
        <v>7321</v>
      </c>
      <c r="Q16340" t="s">
        <v>15898</v>
      </c>
      <c r="R16340" t="s">
        <v>618</v>
      </c>
      <c r="S16340">
        <v>145.503726</v>
      </c>
      <c r="T16340" s="1095">
        <v>-41.456389000000001</v>
      </c>
    </row>
    <row r="16341" spans="16:20">
      <c r="P16341" s="1094">
        <v>7321</v>
      </c>
      <c r="Q16341" t="s">
        <v>15899</v>
      </c>
      <c r="R16341" t="s">
        <v>618</v>
      </c>
      <c r="S16341">
        <v>145.503726</v>
      </c>
      <c r="T16341" s="1095">
        <v>-41.456389000000001</v>
      </c>
    </row>
    <row r="16342" spans="16:20">
      <c r="P16342" s="1094">
        <v>7321</v>
      </c>
      <c r="Q16342" t="s">
        <v>15900</v>
      </c>
      <c r="R16342" t="s">
        <v>618</v>
      </c>
      <c r="S16342">
        <v>145.503726</v>
      </c>
      <c r="T16342" s="1095">
        <v>-41.456389000000001</v>
      </c>
    </row>
    <row r="16343" spans="16:20">
      <c r="P16343" s="1094">
        <v>7321</v>
      </c>
      <c r="Q16343" t="s">
        <v>15901</v>
      </c>
      <c r="R16343" t="s">
        <v>618</v>
      </c>
      <c r="S16343">
        <v>145.503726</v>
      </c>
      <c r="T16343" s="1095">
        <v>-41.456389000000001</v>
      </c>
    </row>
    <row r="16344" spans="16:20">
      <c r="P16344" s="1094">
        <v>7321</v>
      </c>
      <c r="Q16344" t="s">
        <v>15902</v>
      </c>
      <c r="R16344" t="s">
        <v>618</v>
      </c>
      <c r="S16344">
        <v>145.503726</v>
      </c>
      <c r="T16344" s="1095">
        <v>-41.456389000000001</v>
      </c>
    </row>
    <row r="16345" spans="16:20">
      <c r="P16345" s="1094">
        <v>7321</v>
      </c>
      <c r="Q16345" t="s">
        <v>15903</v>
      </c>
      <c r="R16345" t="s">
        <v>618</v>
      </c>
      <c r="S16345">
        <v>145.503726</v>
      </c>
      <c r="T16345" s="1095">
        <v>-41.456389000000001</v>
      </c>
    </row>
    <row r="16346" spans="16:20">
      <c r="P16346" s="1094">
        <v>7321</v>
      </c>
      <c r="Q16346" t="s">
        <v>15904</v>
      </c>
      <c r="R16346" t="s">
        <v>618</v>
      </c>
      <c r="S16346">
        <v>145.503726</v>
      </c>
      <c r="T16346" s="1095">
        <v>-41.456389000000001</v>
      </c>
    </row>
    <row r="16347" spans="16:20">
      <c r="P16347" s="1094">
        <v>7321</v>
      </c>
      <c r="Q16347" t="s">
        <v>15905</v>
      </c>
      <c r="R16347" t="s">
        <v>618</v>
      </c>
      <c r="S16347">
        <v>145.503726</v>
      </c>
      <c r="T16347" s="1095">
        <v>-41.456389000000001</v>
      </c>
    </row>
    <row r="16348" spans="16:20">
      <c r="P16348" s="1094">
        <v>7321</v>
      </c>
      <c r="Q16348" t="s">
        <v>15906</v>
      </c>
      <c r="R16348" t="s">
        <v>618</v>
      </c>
      <c r="S16348">
        <v>145.503726</v>
      </c>
      <c r="T16348" s="1095">
        <v>-41.456389000000001</v>
      </c>
    </row>
    <row r="16349" spans="16:20">
      <c r="P16349" s="1094">
        <v>7321</v>
      </c>
      <c r="Q16349" t="s">
        <v>15907</v>
      </c>
      <c r="R16349" t="s">
        <v>618</v>
      </c>
      <c r="S16349">
        <v>145.503726</v>
      </c>
      <c r="T16349" s="1095">
        <v>-41.456389000000001</v>
      </c>
    </row>
    <row r="16350" spans="16:20">
      <c r="P16350" s="1094">
        <v>7321</v>
      </c>
      <c r="Q16350" t="s">
        <v>15908</v>
      </c>
      <c r="R16350" t="s">
        <v>618</v>
      </c>
      <c r="S16350">
        <v>145.503726</v>
      </c>
      <c r="T16350" s="1095">
        <v>-41.456389000000001</v>
      </c>
    </row>
    <row r="16351" spans="16:20">
      <c r="P16351" s="1094">
        <v>7321</v>
      </c>
      <c r="Q16351" t="s">
        <v>2520</v>
      </c>
      <c r="R16351" t="s">
        <v>618</v>
      </c>
      <c r="S16351">
        <v>145.503726</v>
      </c>
      <c r="T16351" s="1095">
        <v>-41.456389000000001</v>
      </c>
    </row>
    <row r="16352" spans="16:20">
      <c r="P16352" s="1094">
        <v>7321</v>
      </c>
      <c r="Q16352" t="s">
        <v>15909</v>
      </c>
      <c r="R16352" t="s">
        <v>618</v>
      </c>
      <c r="S16352">
        <v>145.503726</v>
      </c>
      <c r="T16352" s="1095">
        <v>-41.456389000000001</v>
      </c>
    </row>
    <row r="16353" spans="16:20">
      <c r="P16353" s="1094">
        <v>7321</v>
      </c>
      <c r="Q16353" t="s">
        <v>15910</v>
      </c>
      <c r="R16353" t="s">
        <v>618</v>
      </c>
      <c r="S16353">
        <v>145.503726</v>
      </c>
      <c r="T16353" s="1095">
        <v>-41.456389000000001</v>
      </c>
    </row>
    <row r="16354" spans="16:20">
      <c r="P16354" s="1094">
        <v>7321</v>
      </c>
      <c r="Q16354" t="s">
        <v>15911</v>
      </c>
      <c r="R16354" t="s">
        <v>618</v>
      </c>
      <c r="S16354">
        <v>145.503726</v>
      </c>
      <c r="T16354" s="1095">
        <v>-41.456389000000001</v>
      </c>
    </row>
    <row r="16355" spans="16:20">
      <c r="P16355" s="1094">
        <v>7322</v>
      </c>
      <c r="Q16355" t="s">
        <v>15912</v>
      </c>
      <c r="R16355" t="s">
        <v>618</v>
      </c>
      <c r="S16355">
        <v>145.80453299999999</v>
      </c>
      <c r="T16355" s="1095">
        <v>-41.044471999999999</v>
      </c>
    </row>
    <row r="16356" spans="16:20">
      <c r="P16356" s="1094">
        <v>7325</v>
      </c>
      <c r="Q16356" t="s">
        <v>15913</v>
      </c>
      <c r="R16356" t="s">
        <v>618</v>
      </c>
      <c r="S16356">
        <v>145.60755599999999</v>
      </c>
      <c r="T16356" s="1095">
        <v>-41.100304999999999</v>
      </c>
    </row>
    <row r="16357" spans="16:20">
      <c r="P16357" s="1094">
        <v>7325</v>
      </c>
      <c r="Q16357" t="s">
        <v>15914</v>
      </c>
      <c r="R16357" t="s">
        <v>618</v>
      </c>
      <c r="S16357">
        <v>145.60755599999999</v>
      </c>
      <c r="T16357" s="1095">
        <v>-41.100304999999999</v>
      </c>
    </row>
    <row r="16358" spans="16:20">
      <c r="P16358" s="1094">
        <v>7325</v>
      </c>
      <c r="Q16358" t="s">
        <v>1570</v>
      </c>
      <c r="R16358" t="s">
        <v>618</v>
      </c>
      <c r="S16358">
        <v>145.60755599999999</v>
      </c>
      <c r="T16358" s="1095">
        <v>-41.100304999999999</v>
      </c>
    </row>
    <row r="16359" spans="16:20">
      <c r="P16359" s="1094">
        <v>7325</v>
      </c>
      <c r="Q16359" t="s">
        <v>8317</v>
      </c>
      <c r="R16359" t="s">
        <v>618</v>
      </c>
      <c r="S16359">
        <v>145.60755599999999</v>
      </c>
      <c r="T16359" s="1095">
        <v>-41.100304999999999</v>
      </c>
    </row>
    <row r="16360" spans="16:20">
      <c r="P16360" s="1094">
        <v>7325</v>
      </c>
      <c r="Q16360" t="s">
        <v>15915</v>
      </c>
      <c r="R16360" t="s">
        <v>618</v>
      </c>
      <c r="S16360">
        <v>145.60755599999999</v>
      </c>
      <c r="T16360" s="1095">
        <v>-41.100304999999999</v>
      </c>
    </row>
    <row r="16361" spans="16:20">
      <c r="P16361" s="1094">
        <v>7325</v>
      </c>
      <c r="Q16361" t="s">
        <v>15916</v>
      </c>
      <c r="R16361" t="s">
        <v>618</v>
      </c>
      <c r="S16361">
        <v>145.60755599999999</v>
      </c>
      <c r="T16361" s="1095">
        <v>-41.100304999999999</v>
      </c>
    </row>
    <row r="16362" spans="16:20">
      <c r="P16362" s="1094">
        <v>7325</v>
      </c>
      <c r="Q16362" t="s">
        <v>15917</v>
      </c>
      <c r="R16362" t="s">
        <v>618</v>
      </c>
      <c r="S16362">
        <v>145.60755599999999</v>
      </c>
      <c r="T16362" s="1095">
        <v>-41.100304999999999</v>
      </c>
    </row>
    <row r="16363" spans="16:20">
      <c r="P16363" s="1094">
        <v>7325</v>
      </c>
      <c r="Q16363" t="s">
        <v>15918</v>
      </c>
      <c r="R16363" t="s">
        <v>618</v>
      </c>
      <c r="S16363">
        <v>145.60755599999999</v>
      </c>
      <c r="T16363" s="1095">
        <v>-41.100304999999999</v>
      </c>
    </row>
    <row r="16364" spans="16:20">
      <c r="P16364" s="1094">
        <v>7325</v>
      </c>
      <c r="Q16364" t="s">
        <v>15919</v>
      </c>
      <c r="R16364" t="s">
        <v>618</v>
      </c>
      <c r="S16364">
        <v>145.60755599999999</v>
      </c>
      <c r="T16364" s="1095">
        <v>-41.100304999999999</v>
      </c>
    </row>
    <row r="16365" spans="16:20">
      <c r="P16365" s="1094">
        <v>7325</v>
      </c>
      <c r="Q16365" t="s">
        <v>15920</v>
      </c>
      <c r="R16365" t="s">
        <v>618</v>
      </c>
      <c r="S16365">
        <v>145.60755599999999</v>
      </c>
      <c r="T16365" s="1095">
        <v>-41.100304999999999</v>
      </c>
    </row>
    <row r="16366" spans="16:20">
      <c r="P16366" s="1094">
        <v>7325</v>
      </c>
      <c r="Q16366" t="s">
        <v>5035</v>
      </c>
      <c r="R16366" t="s">
        <v>618</v>
      </c>
      <c r="S16366">
        <v>145.60755599999999</v>
      </c>
      <c r="T16366" s="1095">
        <v>-41.100304999999999</v>
      </c>
    </row>
    <row r="16367" spans="16:20">
      <c r="P16367" s="1094">
        <v>7325</v>
      </c>
      <c r="Q16367" t="s">
        <v>15921</v>
      </c>
      <c r="R16367" t="s">
        <v>618</v>
      </c>
      <c r="S16367">
        <v>145.60755599999999</v>
      </c>
      <c r="T16367" s="1095">
        <v>-41.100304999999999</v>
      </c>
    </row>
    <row r="16368" spans="16:20">
      <c r="P16368" s="1094">
        <v>7325</v>
      </c>
      <c r="Q16368" t="s">
        <v>15922</v>
      </c>
      <c r="R16368" t="s">
        <v>618</v>
      </c>
      <c r="S16368">
        <v>145.60755599999999</v>
      </c>
      <c r="T16368" s="1095">
        <v>-41.100304999999999</v>
      </c>
    </row>
    <row r="16369" spans="16:20">
      <c r="P16369" s="1094">
        <v>7325</v>
      </c>
      <c r="Q16369" t="s">
        <v>15923</v>
      </c>
      <c r="R16369" t="s">
        <v>618</v>
      </c>
      <c r="S16369">
        <v>145.60755599999999</v>
      </c>
      <c r="T16369" s="1095">
        <v>-41.100304999999999</v>
      </c>
    </row>
    <row r="16370" spans="16:20">
      <c r="P16370" s="1094">
        <v>7325</v>
      </c>
      <c r="Q16370" t="s">
        <v>6406</v>
      </c>
      <c r="R16370" t="s">
        <v>618</v>
      </c>
      <c r="S16370">
        <v>145.60755599999999</v>
      </c>
      <c r="T16370" s="1095">
        <v>-41.100304999999999</v>
      </c>
    </row>
    <row r="16371" spans="16:20">
      <c r="P16371" s="1094">
        <v>7325</v>
      </c>
      <c r="Q16371" t="s">
        <v>15924</v>
      </c>
      <c r="R16371" t="s">
        <v>618</v>
      </c>
      <c r="S16371">
        <v>145.60755599999999</v>
      </c>
      <c r="T16371" s="1095">
        <v>-41.100304999999999</v>
      </c>
    </row>
    <row r="16372" spans="16:20">
      <c r="P16372" s="1094">
        <v>7325</v>
      </c>
      <c r="Q16372" t="s">
        <v>15925</v>
      </c>
      <c r="R16372" t="s">
        <v>618</v>
      </c>
      <c r="S16372">
        <v>145.60755599999999</v>
      </c>
      <c r="T16372" s="1095">
        <v>-41.100304999999999</v>
      </c>
    </row>
    <row r="16373" spans="16:20">
      <c r="P16373" s="1094">
        <v>7325</v>
      </c>
      <c r="Q16373" t="s">
        <v>15926</v>
      </c>
      <c r="R16373" t="s">
        <v>618</v>
      </c>
      <c r="S16373">
        <v>145.60755599999999</v>
      </c>
      <c r="T16373" s="1095">
        <v>-41.100304999999999</v>
      </c>
    </row>
    <row r="16374" spans="16:20">
      <c r="P16374" s="1094">
        <v>7325</v>
      </c>
      <c r="Q16374" t="s">
        <v>15927</v>
      </c>
      <c r="R16374" t="s">
        <v>618</v>
      </c>
      <c r="S16374">
        <v>145.60755599999999</v>
      </c>
      <c r="T16374" s="1095">
        <v>-41.100304999999999</v>
      </c>
    </row>
    <row r="16375" spans="16:20">
      <c r="P16375" s="1094">
        <v>7325</v>
      </c>
      <c r="Q16375" t="s">
        <v>15928</v>
      </c>
      <c r="R16375" t="s">
        <v>618</v>
      </c>
      <c r="S16375">
        <v>145.60755599999999</v>
      </c>
      <c r="T16375" s="1095">
        <v>-41.100304999999999</v>
      </c>
    </row>
    <row r="16376" spans="16:20">
      <c r="P16376" s="1094">
        <v>7325</v>
      </c>
      <c r="Q16376" t="s">
        <v>15929</v>
      </c>
      <c r="R16376" t="s">
        <v>618</v>
      </c>
      <c r="S16376">
        <v>145.60755599999999</v>
      </c>
      <c r="T16376" s="1095">
        <v>-41.100304999999999</v>
      </c>
    </row>
    <row r="16377" spans="16:20">
      <c r="P16377" s="1094">
        <v>7330</v>
      </c>
      <c r="Q16377" t="s">
        <v>15930</v>
      </c>
      <c r="R16377" t="s">
        <v>618</v>
      </c>
      <c r="S16377">
        <v>145.05762300000001</v>
      </c>
      <c r="T16377" s="1095">
        <v>-40.782341000000002</v>
      </c>
    </row>
    <row r="16378" spans="16:20">
      <c r="P16378" s="1094">
        <v>7330</v>
      </c>
      <c r="Q16378" t="s">
        <v>14430</v>
      </c>
      <c r="R16378" t="s">
        <v>618</v>
      </c>
      <c r="S16378">
        <v>145.05762300000001</v>
      </c>
      <c r="T16378" s="1095">
        <v>-40.782341000000002</v>
      </c>
    </row>
    <row r="16379" spans="16:20">
      <c r="P16379" s="1094">
        <v>7330</v>
      </c>
      <c r="Q16379" t="s">
        <v>15931</v>
      </c>
      <c r="R16379" t="s">
        <v>618</v>
      </c>
      <c r="S16379">
        <v>145.05762300000001</v>
      </c>
      <c r="T16379" s="1095">
        <v>-40.782341000000002</v>
      </c>
    </row>
    <row r="16380" spans="16:20">
      <c r="P16380" s="1094">
        <v>7330</v>
      </c>
      <c r="Q16380" t="s">
        <v>6451</v>
      </c>
      <c r="R16380" t="s">
        <v>618</v>
      </c>
      <c r="S16380">
        <v>145.05762300000001</v>
      </c>
      <c r="T16380" s="1095">
        <v>-40.782341000000002</v>
      </c>
    </row>
    <row r="16381" spans="16:20">
      <c r="P16381" s="1094">
        <v>7330</v>
      </c>
      <c r="Q16381" t="s">
        <v>8682</v>
      </c>
      <c r="R16381" t="s">
        <v>618</v>
      </c>
      <c r="S16381">
        <v>145.05762300000001</v>
      </c>
      <c r="T16381" s="1095">
        <v>-40.782341000000002</v>
      </c>
    </row>
    <row r="16382" spans="16:20">
      <c r="P16382" s="1094">
        <v>7330</v>
      </c>
      <c r="Q16382" t="s">
        <v>15932</v>
      </c>
      <c r="R16382" t="s">
        <v>618</v>
      </c>
      <c r="S16382">
        <v>145.05762300000001</v>
      </c>
      <c r="T16382" s="1095">
        <v>-40.782341000000002</v>
      </c>
    </row>
    <row r="16383" spans="16:20">
      <c r="P16383" s="1094">
        <v>7330</v>
      </c>
      <c r="Q16383" t="s">
        <v>15933</v>
      </c>
      <c r="R16383" t="s">
        <v>618</v>
      </c>
      <c r="S16383">
        <v>145.05762300000001</v>
      </c>
      <c r="T16383" s="1095">
        <v>-40.782341000000002</v>
      </c>
    </row>
    <row r="16384" spans="16:20">
      <c r="P16384" s="1094">
        <v>7330</v>
      </c>
      <c r="Q16384" t="s">
        <v>15934</v>
      </c>
      <c r="R16384" t="s">
        <v>618</v>
      </c>
      <c r="S16384">
        <v>145.05762300000001</v>
      </c>
      <c r="T16384" s="1095">
        <v>-40.782341000000002</v>
      </c>
    </row>
    <row r="16385" spans="16:20">
      <c r="P16385" s="1094">
        <v>7330</v>
      </c>
      <c r="Q16385" t="s">
        <v>15935</v>
      </c>
      <c r="R16385" t="s">
        <v>618</v>
      </c>
      <c r="S16385">
        <v>145.05762300000001</v>
      </c>
      <c r="T16385" s="1095">
        <v>-40.782341000000002</v>
      </c>
    </row>
    <row r="16386" spans="16:20">
      <c r="P16386" s="1094">
        <v>7330</v>
      </c>
      <c r="Q16386" t="s">
        <v>7636</v>
      </c>
      <c r="R16386" t="s">
        <v>618</v>
      </c>
      <c r="S16386">
        <v>145.05762300000001</v>
      </c>
      <c r="T16386" s="1095">
        <v>-40.782341000000002</v>
      </c>
    </row>
    <row r="16387" spans="16:20">
      <c r="P16387" s="1094">
        <v>7330</v>
      </c>
      <c r="Q16387" t="s">
        <v>15936</v>
      </c>
      <c r="R16387" t="s">
        <v>618</v>
      </c>
      <c r="S16387">
        <v>145.05762300000001</v>
      </c>
      <c r="T16387" s="1095">
        <v>-40.782341000000002</v>
      </c>
    </row>
    <row r="16388" spans="16:20">
      <c r="P16388" s="1094">
        <v>7330</v>
      </c>
      <c r="Q16388" t="s">
        <v>15937</v>
      </c>
      <c r="R16388" t="s">
        <v>618</v>
      </c>
      <c r="S16388">
        <v>145.05762300000001</v>
      </c>
      <c r="T16388" s="1095">
        <v>-40.782341000000002</v>
      </c>
    </row>
    <row r="16389" spans="16:20">
      <c r="P16389" s="1094">
        <v>7330</v>
      </c>
      <c r="Q16389" t="s">
        <v>15938</v>
      </c>
      <c r="R16389" t="s">
        <v>618</v>
      </c>
      <c r="S16389">
        <v>145.05762300000001</v>
      </c>
      <c r="T16389" s="1095">
        <v>-40.782341000000002</v>
      </c>
    </row>
    <row r="16390" spans="16:20">
      <c r="P16390" s="1094">
        <v>7330</v>
      </c>
      <c r="Q16390" t="s">
        <v>15939</v>
      </c>
      <c r="R16390" t="s">
        <v>618</v>
      </c>
      <c r="S16390">
        <v>145.05762300000001</v>
      </c>
      <c r="T16390" s="1095">
        <v>-40.782341000000002</v>
      </c>
    </row>
    <row r="16391" spans="16:20">
      <c r="P16391" s="1094">
        <v>7330</v>
      </c>
      <c r="Q16391" t="s">
        <v>15940</v>
      </c>
      <c r="R16391" t="s">
        <v>618</v>
      </c>
      <c r="S16391">
        <v>145.05762300000001</v>
      </c>
      <c r="T16391" s="1095">
        <v>-40.782341000000002</v>
      </c>
    </row>
    <row r="16392" spans="16:20">
      <c r="P16392" s="1094">
        <v>7330</v>
      </c>
      <c r="Q16392" t="s">
        <v>15941</v>
      </c>
      <c r="R16392" t="s">
        <v>618</v>
      </c>
      <c r="S16392">
        <v>145.05762300000001</v>
      </c>
      <c r="T16392" s="1095">
        <v>-40.782341000000002</v>
      </c>
    </row>
    <row r="16393" spans="16:20">
      <c r="P16393" s="1094">
        <v>7330</v>
      </c>
      <c r="Q16393" t="s">
        <v>2566</v>
      </c>
      <c r="R16393" t="s">
        <v>618</v>
      </c>
      <c r="S16393">
        <v>145.05762300000001</v>
      </c>
      <c r="T16393" s="1095">
        <v>-40.782341000000002</v>
      </c>
    </row>
    <row r="16394" spans="16:20">
      <c r="P16394" s="1094">
        <v>7330</v>
      </c>
      <c r="Q16394" t="s">
        <v>15942</v>
      </c>
      <c r="R16394" t="s">
        <v>618</v>
      </c>
      <c r="S16394">
        <v>145.05762300000001</v>
      </c>
      <c r="T16394" s="1095">
        <v>-40.782341000000002</v>
      </c>
    </row>
    <row r="16395" spans="16:20">
      <c r="P16395" s="1094">
        <v>7330</v>
      </c>
      <c r="Q16395" t="s">
        <v>15943</v>
      </c>
      <c r="R16395" t="s">
        <v>618</v>
      </c>
      <c r="S16395">
        <v>145.05762300000001</v>
      </c>
      <c r="T16395" s="1095">
        <v>-40.782341000000002</v>
      </c>
    </row>
    <row r="16396" spans="16:20">
      <c r="P16396" s="1094">
        <v>7330</v>
      </c>
      <c r="Q16396" t="s">
        <v>15944</v>
      </c>
      <c r="R16396" t="s">
        <v>618</v>
      </c>
      <c r="S16396">
        <v>145.05762300000001</v>
      </c>
      <c r="T16396" s="1095">
        <v>-40.782341000000002</v>
      </c>
    </row>
    <row r="16397" spans="16:20">
      <c r="P16397" s="1094">
        <v>7330</v>
      </c>
      <c r="Q16397" t="s">
        <v>15945</v>
      </c>
      <c r="R16397" t="s">
        <v>618</v>
      </c>
      <c r="S16397">
        <v>145.05762300000001</v>
      </c>
      <c r="T16397" s="1095">
        <v>-40.782341000000002</v>
      </c>
    </row>
    <row r="16398" spans="16:20">
      <c r="P16398" s="1094">
        <v>7330</v>
      </c>
      <c r="Q16398" t="s">
        <v>15946</v>
      </c>
      <c r="R16398" t="s">
        <v>618</v>
      </c>
      <c r="S16398">
        <v>145.05762300000001</v>
      </c>
      <c r="T16398" s="1095">
        <v>-40.782341000000002</v>
      </c>
    </row>
    <row r="16399" spans="16:20">
      <c r="P16399" s="1094">
        <v>7330</v>
      </c>
      <c r="Q16399" t="s">
        <v>15947</v>
      </c>
      <c r="R16399" t="s">
        <v>618</v>
      </c>
      <c r="S16399">
        <v>145.05762300000001</v>
      </c>
      <c r="T16399" s="1095">
        <v>-40.782341000000002</v>
      </c>
    </row>
    <row r="16400" spans="16:20">
      <c r="P16400" s="1094">
        <v>7330</v>
      </c>
      <c r="Q16400" t="s">
        <v>15948</v>
      </c>
      <c r="R16400" t="s">
        <v>618</v>
      </c>
      <c r="S16400">
        <v>145.05762300000001</v>
      </c>
      <c r="T16400" s="1095">
        <v>-40.782341000000002</v>
      </c>
    </row>
    <row r="16401" spans="16:20">
      <c r="P16401" s="1094">
        <v>7330</v>
      </c>
      <c r="Q16401" t="s">
        <v>15949</v>
      </c>
      <c r="R16401" t="s">
        <v>618</v>
      </c>
      <c r="S16401">
        <v>145.05762300000001</v>
      </c>
      <c r="T16401" s="1095">
        <v>-40.782341000000002</v>
      </c>
    </row>
    <row r="16402" spans="16:20">
      <c r="P16402" s="1094">
        <v>7330</v>
      </c>
      <c r="Q16402" t="s">
        <v>15950</v>
      </c>
      <c r="R16402" t="s">
        <v>618</v>
      </c>
      <c r="S16402">
        <v>145.05762300000001</v>
      </c>
      <c r="T16402" s="1095">
        <v>-40.782341000000002</v>
      </c>
    </row>
    <row r="16403" spans="16:20">
      <c r="P16403" s="1094">
        <v>7330</v>
      </c>
      <c r="Q16403" t="s">
        <v>15951</v>
      </c>
      <c r="R16403" t="s">
        <v>618</v>
      </c>
      <c r="S16403">
        <v>145.05762300000001</v>
      </c>
      <c r="T16403" s="1095">
        <v>-40.782341000000002</v>
      </c>
    </row>
    <row r="16404" spans="16:20">
      <c r="P16404" s="1094">
        <v>7330</v>
      </c>
      <c r="Q16404" t="s">
        <v>15952</v>
      </c>
      <c r="R16404" t="s">
        <v>618</v>
      </c>
      <c r="S16404">
        <v>145.05762300000001</v>
      </c>
      <c r="T16404" s="1095">
        <v>-40.782341000000002</v>
      </c>
    </row>
    <row r="16405" spans="16:20">
      <c r="P16405" s="1094">
        <v>7330</v>
      </c>
      <c r="Q16405" t="s">
        <v>15953</v>
      </c>
      <c r="R16405" t="s">
        <v>618</v>
      </c>
      <c r="S16405">
        <v>145.05762300000001</v>
      </c>
      <c r="T16405" s="1095">
        <v>-40.782341000000002</v>
      </c>
    </row>
    <row r="16406" spans="16:20">
      <c r="P16406" s="1094">
        <v>7330</v>
      </c>
      <c r="Q16406" t="s">
        <v>15954</v>
      </c>
      <c r="R16406" t="s">
        <v>618</v>
      </c>
      <c r="S16406">
        <v>145.05762300000001</v>
      </c>
      <c r="T16406" s="1095">
        <v>-40.782341000000002</v>
      </c>
    </row>
    <row r="16407" spans="16:20">
      <c r="P16407" s="1094">
        <v>7331</v>
      </c>
      <c r="Q16407" t="s">
        <v>8639</v>
      </c>
      <c r="R16407" t="s">
        <v>618</v>
      </c>
      <c r="S16407">
        <v>145.27542099999999</v>
      </c>
      <c r="T16407" s="1095">
        <v>-40.758552999999999</v>
      </c>
    </row>
    <row r="16408" spans="16:20">
      <c r="P16408" s="1094">
        <v>7466</v>
      </c>
      <c r="Q16408" t="s">
        <v>15955</v>
      </c>
      <c r="R16408" t="s">
        <v>618</v>
      </c>
      <c r="S16408">
        <v>145.80745300000001</v>
      </c>
      <c r="T16408" s="1095">
        <v>-42.291313000000002</v>
      </c>
    </row>
    <row r="16409" spans="16:20">
      <c r="P16409" s="1094">
        <v>7467</v>
      </c>
      <c r="Q16409" t="s">
        <v>15956</v>
      </c>
      <c r="R16409" t="s">
        <v>618</v>
      </c>
      <c r="S16409">
        <v>145.52969300000001</v>
      </c>
      <c r="T16409" s="1095">
        <v>-42.093727999999999</v>
      </c>
    </row>
    <row r="16410" spans="16:20">
      <c r="P16410" s="1094">
        <v>7467</v>
      </c>
      <c r="Q16410" t="s">
        <v>12443</v>
      </c>
      <c r="R16410" t="s">
        <v>618</v>
      </c>
      <c r="S16410">
        <v>145.52969300000001</v>
      </c>
      <c r="T16410" s="1095">
        <v>-42.093727999999999</v>
      </c>
    </row>
    <row r="16411" spans="16:20">
      <c r="P16411" s="1094">
        <v>7468</v>
      </c>
      <c r="Q16411" t="s">
        <v>15957</v>
      </c>
      <c r="R16411" t="s">
        <v>618</v>
      </c>
      <c r="S16411">
        <v>145.53767099999999</v>
      </c>
      <c r="T16411" s="1095">
        <v>-42.706031000000003</v>
      </c>
    </row>
    <row r="16412" spans="16:20">
      <c r="P16412" s="1094">
        <v>7468</v>
      </c>
      <c r="Q16412" t="s">
        <v>15958</v>
      </c>
      <c r="R16412" t="s">
        <v>618</v>
      </c>
      <c r="S16412">
        <v>145.53767099999999</v>
      </c>
      <c r="T16412" s="1095">
        <v>-42.706031000000003</v>
      </c>
    </row>
    <row r="16413" spans="16:20">
      <c r="P16413" s="1094">
        <v>7469</v>
      </c>
      <c r="Q16413" t="s">
        <v>15959</v>
      </c>
      <c r="R16413" t="s">
        <v>618</v>
      </c>
      <c r="S16413">
        <v>145.20163199999999</v>
      </c>
      <c r="T16413" s="1095">
        <v>-41.784390999999999</v>
      </c>
    </row>
    <row r="16414" spans="16:20">
      <c r="P16414" s="1094">
        <v>7469</v>
      </c>
      <c r="Q16414" t="s">
        <v>15960</v>
      </c>
      <c r="R16414" t="s">
        <v>618</v>
      </c>
      <c r="S16414">
        <v>145.20163199999999</v>
      </c>
      <c r="T16414" s="1095">
        <v>-41.784390999999999</v>
      </c>
    </row>
    <row r="16415" spans="16:20">
      <c r="P16415" s="1094">
        <v>7469</v>
      </c>
      <c r="Q16415" t="s">
        <v>15961</v>
      </c>
      <c r="R16415" t="s">
        <v>618</v>
      </c>
      <c r="S16415">
        <v>145.20163199999999</v>
      </c>
      <c r="T16415" s="1095">
        <v>-41.784390999999999</v>
      </c>
    </row>
    <row r="16416" spans="16:20">
      <c r="P16416" s="1094">
        <v>7469</v>
      </c>
      <c r="Q16416" t="s">
        <v>15962</v>
      </c>
      <c r="R16416" t="s">
        <v>618</v>
      </c>
      <c r="S16416">
        <v>145.20163199999999</v>
      </c>
      <c r="T16416" s="1095">
        <v>-41.784390999999999</v>
      </c>
    </row>
    <row r="16417" spans="16:20">
      <c r="P16417" s="1094">
        <v>7470</v>
      </c>
      <c r="Q16417" t="s">
        <v>1530</v>
      </c>
      <c r="R16417" t="s">
        <v>618</v>
      </c>
      <c r="S16417">
        <v>145.50056599999999</v>
      </c>
      <c r="T16417" s="1095">
        <v>-41.902129000000002</v>
      </c>
    </row>
    <row r="16418" spans="16:20">
      <c r="P16418" s="1094">
        <v>7800</v>
      </c>
      <c r="Q16418" t="s">
        <v>15329</v>
      </c>
      <c r="R16418" t="s">
        <v>618</v>
      </c>
      <c r="S16418">
        <v>0</v>
      </c>
      <c r="T16418" s="1095">
        <v>0</v>
      </c>
    </row>
    <row r="16419" spans="16:20">
      <c r="P16419" s="1094">
        <v>7802</v>
      </c>
      <c r="Q16419" t="s">
        <v>15329</v>
      </c>
      <c r="R16419" t="s">
        <v>618</v>
      </c>
      <c r="S16419">
        <v>0</v>
      </c>
      <c r="T16419" s="1095">
        <v>0</v>
      </c>
    </row>
    <row r="16420" spans="16:20">
      <c r="P16420" s="1094">
        <v>7803</v>
      </c>
      <c r="Q16420" t="s">
        <v>15329</v>
      </c>
      <c r="R16420" t="s">
        <v>618</v>
      </c>
      <c r="S16420">
        <v>0</v>
      </c>
      <c r="T16420" s="1095">
        <v>0</v>
      </c>
    </row>
    <row r="16421" spans="16:20">
      <c r="P16421" s="1094">
        <v>7804</v>
      </c>
      <c r="Q16421" t="s">
        <v>15329</v>
      </c>
      <c r="R16421" t="s">
        <v>618</v>
      </c>
      <c r="S16421">
        <v>0</v>
      </c>
      <c r="T16421" s="1095">
        <v>0</v>
      </c>
    </row>
    <row r="16422" spans="16:20">
      <c r="P16422" s="1094">
        <v>7805</v>
      </c>
      <c r="Q16422" t="s">
        <v>15329</v>
      </c>
      <c r="R16422" t="s">
        <v>618</v>
      </c>
      <c r="S16422">
        <v>0</v>
      </c>
      <c r="T16422" s="1095">
        <v>0</v>
      </c>
    </row>
    <row r="16423" spans="16:20">
      <c r="P16423" s="1094">
        <v>7806</v>
      </c>
      <c r="Q16423" t="s">
        <v>15329</v>
      </c>
      <c r="R16423" t="s">
        <v>618</v>
      </c>
      <c r="S16423">
        <v>0</v>
      </c>
      <c r="T16423" s="1095">
        <v>0</v>
      </c>
    </row>
    <row r="16424" spans="16:20">
      <c r="P16424" s="1094">
        <v>7807</v>
      </c>
      <c r="Q16424" t="s">
        <v>15329</v>
      </c>
      <c r="R16424" t="s">
        <v>618</v>
      </c>
      <c r="S16424">
        <v>0</v>
      </c>
      <c r="T16424" s="1095">
        <v>0</v>
      </c>
    </row>
    <row r="16425" spans="16:20">
      <c r="P16425" s="1094">
        <v>7808</v>
      </c>
      <c r="Q16425" t="s">
        <v>15329</v>
      </c>
      <c r="R16425" t="s">
        <v>618</v>
      </c>
      <c r="S16425">
        <v>0</v>
      </c>
      <c r="T16425" s="1095">
        <v>0</v>
      </c>
    </row>
    <row r="16426" spans="16:20">
      <c r="P16426" s="1094">
        <v>7809</v>
      </c>
      <c r="Q16426" t="s">
        <v>15329</v>
      </c>
      <c r="R16426" t="s">
        <v>618</v>
      </c>
      <c r="S16426">
        <v>0</v>
      </c>
      <c r="T16426" s="1095">
        <v>0</v>
      </c>
    </row>
    <row r="16427" spans="16:20">
      <c r="P16427" s="1094">
        <v>7810</v>
      </c>
      <c r="Q16427" t="s">
        <v>15329</v>
      </c>
      <c r="R16427" t="s">
        <v>618</v>
      </c>
      <c r="S16427">
        <v>0</v>
      </c>
      <c r="T16427" s="1095">
        <v>0</v>
      </c>
    </row>
    <row r="16428" spans="16:20">
      <c r="P16428" s="1094">
        <v>7811</v>
      </c>
      <c r="Q16428" t="s">
        <v>15329</v>
      </c>
      <c r="R16428" t="s">
        <v>618</v>
      </c>
      <c r="S16428">
        <v>0</v>
      </c>
      <c r="T16428" s="1095">
        <v>0</v>
      </c>
    </row>
    <row r="16429" spans="16:20">
      <c r="P16429" s="1094">
        <v>7812</v>
      </c>
      <c r="Q16429" t="s">
        <v>15329</v>
      </c>
      <c r="R16429" t="s">
        <v>618</v>
      </c>
      <c r="S16429">
        <v>0</v>
      </c>
      <c r="T16429" s="1095">
        <v>0</v>
      </c>
    </row>
    <row r="16430" spans="16:20">
      <c r="P16430" s="1094">
        <v>7813</v>
      </c>
      <c r="Q16430" t="s">
        <v>15329</v>
      </c>
      <c r="R16430" t="s">
        <v>618</v>
      </c>
      <c r="S16430">
        <v>0</v>
      </c>
      <c r="T16430" s="1095">
        <v>0</v>
      </c>
    </row>
    <row r="16431" spans="16:20">
      <c r="P16431" s="1094">
        <v>7814</v>
      </c>
      <c r="Q16431" t="s">
        <v>15329</v>
      </c>
      <c r="R16431" t="s">
        <v>618</v>
      </c>
      <c r="S16431">
        <v>0</v>
      </c>
      <c r="T16431" s="1095">
        <v>0</v>
      </c>
    </row>
    <row r="16432" spans="16:20">
      <c r="P16432" s="1094">
        <v>7823</v>
      </c>
      <c r="Q16432" t="s">
        <v>15329</v>
      </c>
      <c r="R16432" t="s">
        <v>618</v>
      </c>
      <c r="S16432">
        <v>0</v>
      </c>
      <c r="T16432" s="1095">
        <v>0</v>
      </c>
    </row>
    <row r="16433" spans="16:20">
      <c r="P16433" s="1094">
        <v>7824</v>
      </c>
      <c r="Q16433" t="s">
        <v>15329</v>
      </c>
      <c r="R16433" t="s">
        <v>618</v>
      </c>
      <c r="S16433">
        <v>0</v>
      </c>
      <c r="T16433" s="1095">
        <v>0</v>
      </c>
    </row>
    <row r="16434" spans="16:20">
      <c r="P16434" s="1094">
        <v>7827</v>
      </c>
      <c r="Q16434" t="s">
        <v>15329</v>
      </c>
      <c r="R16434" t="s">
        <v>618</v>
      </c>
      <c r="S16434">
        <v>0</v>
      </c>
      <c r="T16434" s="1095">
        <v>0</v>
      </c>
    </row>
    <row r="16435" spans="16:20">
      <c r="P16435" s="1094">
        <v>7828</v>
      </c>
      <c r="Q16435" t="s">
        <v>15329</v>
      </c>
      <c r="R16435" t="s">
        <v>618</v>
      </c>
      <c r="S16435">
        <v>0</v>
      </c>
      <c r="T16435" s="1095">
        <v>0</v>
      </c>
    </row>
    <row r="16436" spans="16:20">
      <c r="P16436" s="1094">
        <v>7829</v>
      </c>
      <c r="Q16436" t="s">
        <v>15329</v>
      </c>
      <c r="R16436" t="s">
        <v>618</v>
      </c>
      <c r="S16436">
        <v>0</v>
      </c>
      <c r="T16436" s="1095">
        <v>0</v>
      </c>
    </row>
    <row r="16437" spans="16:20">
      <c r="P16437" s="1094">
        <v>7845</v>
      </c>
      <c r="Q16437" t="s">
        <v>15329</v>
      </c>
      <c r="R16437" t="s">
        <v>618</v>
      </c>
      <c r="S16437">
        <v>0</v>
      </c>
      <c r="T16437" s="1095">
        <v>0</v>
      </c>
    </row>
    <row r="16438" spans="16:20">
      <c r="P16438" s="1094">
        <v>7850</v>
      </c>
      <c r="Q16438" t="s">
        <v>15329</v>
      </c>
      <c r="R16438" t="s">
        <v>618</v>
      </c>
      <c r="S16438">
        <v>0</v>
      </c>
      <c r="T16438" s="1095">
        <v>0</v>
      </c>
    </row>
    <row r="16439" spans="16:20">
      <c r="P16439" s="1094">
        <v>7901</v>
      </c>
      <c r="Q16439" t="s">
        <v>15628</v>
      </c>
      <c r="R16439" t="s">
        <v>618</v>
      </c>
      <c r="S16439">
        <v>0</v>
      </c>
      <c r="T16439" s="1095">
        <v>0</v>
      </c>
    </row>
    <row r="16440" spans="16:20">
      <c r="P16440" s="1094">
        <v>7902</v>
      </c>
      <c r="Q16440" t="s">
        <v>15628</v>
      </c>
      <c r="R16440" t="s">
        <v>618</v>
      </c>
      <c r="S16440">
        <v>0</v>
      </c>
      <c r="T16440" s="1095">
        <v>0</v>
      </c>
    </row>
    <row r="16441" spans="16:20">
      <c r="P16441" s="1094">
        <v>7903</v>
      </c>
      <c r="Q16441" t="s">
        <v>15628</v>
      </c>
      <c r="R16441" t="s">
        <v>618</v>
      </c>
      <c r="S16441">
        <v>0</v>
      </c>
      <c r="T16441" s="1095">
        <v>0</v>
      </c>
    </row>
    <row r="16442" spans="16:20">
      <c r="P16442" s="1094">
        <v>7904</v>
      </c>
      <c r="Q16442" t="s">
        <v>15628</v>
      </c>
      <c r="R16442" t="s">
        <v>618</v>
      </c>
      <c r="S16442">
        <v>0</v>
      </c>
      <c r="T16442" s="1095">
        <v>0</v>
      </c>
    </row>
    <row r="16443" spans="16:20">
      <c r="P16443" s="1094">
        <v>7905</v>
      </c>
      <c r="Q16443" t="s">
        <v>15628</v>
      </c>
      <c r="R16443" t="s">
        <v>618</v>
      </c>
      <c r="S16443">
        <v>0</v>
      </c>
      <c r="T16443" s="1095">
        <v>0</v>
      </c>
    </row>
    <row r="16444" spans="16:20">
      <c r="P16444" s="1094">
        <v>7906</v>
      </c>
      <c r="Q16444" t="s">
        <v>15628</v>
      </c>
      <c r="R16444" t="s">
        <v>618</v>
      </c>
      <c r="S16444">
        <v>0</v>
      </c>
      <c r="T16444" s="1095">
        <v>0</v>
      </c>
    </row>
    <row r="16445" spans="16:20">
      <c r="P16445" s="1094">
        <v>7907</v>
      </c>
      <c r="Q16445" t="s">
        <v>15628</v>
      </c>
      <c r="R16445" t="s">
        <v>618</v>
      </c>
      <c r="S16445">
        <v>0</v>
      </c>
      <c r="T16445" s="1095">
        <v>0</v>
      </c>
    </row>
    <row r="16446" spans="16:20">
      <c r="P16446" s="1094">
        <v>7908</v>
      </c>
      <c r="Q16446" t="s">
        <v>15628</v>
      </c>
      <c r="R16446" t="s">
        <v>618</v>
      </c>
      <c r="S16446">
        <v>0</v>
      </c>
      <c r="T16446" s="1095">
        <v>0</v>
      </c>
    </row>
    <row r="16447" spans="16:20">
      <c r="P16447" s="1094">
        <v>7909</v>
      </c>
      <c r="Q16447" t="s">
        <v>15628</v>
      </c>
      <c r="R16447" t="s">
        <v>618</v>
      </c>
      <c r="S16447">
        <v>0</v>
      </c>
      <c r="T16447" s="1095">
        <v>0</v>
      </c>
    </row>
    <row r="16448" spans="16:20">
      <c r="P16448" s="1094">
        <v>7910</v>
      </c>
      <c r="Q16448" t="s">
        <v>15628</v>
      </c>
      <c r="R16448" t="s">
        <v>618</v>
      </c>
      <c r="S16448">
        <v>0</v>
      </c>
      <c r="T16448" s="1095">
        <v>0</v>
      </c>
    </row>
    <row r="16449" spans="16:20">
      <c r="P16449" s="1094">
        <v>7911</v>
      </c>
      <c r="Q16449" t="s">
        <v>15628</v>
      </c>
      <c r="R16449" t="s">
        <v>618</v>
      </c>
      <c r="S16449">
        <v>0</v>
      </c>
      <c r="T16449" s="1095">
        <v>0</v>
      </c>
    </row>
    <row r="16450" spans="16:20">
      <c r="P16450" s="1094">
        <v>7912</v>
      </c>
      <c r="Q16450" t="s">
        <v>15628</v>
      </c>
      <c r="R16450" t="s">
        <v>618</v>
      </c>
      <c r="S16450">
        <v>0</v>
      </c>
      <c r="T16450" s="1095">
        <v>0</v>
      </c>
    </row>
    <row r="16451" spans="16:20">
      <c r="P16451" s="1094">
        <v>7913</v>
      </c>
      <c r="Q16451" t="s">
        <v>15628</v>
      </c>
      <c r="R16451" t="s">
        <v>618</v>
      </c>
      <c r="S16451">
        <v>0</v>
      </c>
      <c r="T16451" s="1095">
        <v>0</v>
      </c>
    </row>
    <row r="16452" spans="16:20">
      <c r="P16452" s="1094">
        <v>7914</v>
      </c>
      <c r="Q16452" t="s">
        <v>15628</v>
      </c>
      <c r="R16452" t="s">
        <v>618</v>
      </c>
      <c r="S16452">
        <v>0</v>
      </c>
      <c r="T16452" s="1095">
        <v>0</v>
      </c>
    </row>
    <row r="16453" spans="16:20">
      <c r="P16453" s="1094">
        <v>7915</v>
      </c>
      <c r="Q16453" t="s">
        <v>15869</v>
      </c>
      <c r="R16453" t="s">
        <v>618</v>
      </c>
      <c r="S16453">
        <v>0</v>
      </c>
      <c r="T16453" s="1095">
        <v>0</v>
      </c>
    </row>
    <row r="16454" spans="16:20">
      <c r="P16454" s="1094">
        <v>7916</v>
      </c>
      <c r="Q16454" t="s">
        <v>15869</v>
      </c>
      <c r="R16454" t="s">
        <v>618</v>
      </c>
      <c r="S16454">
        <v>0</v>
      </c>
      <c r="T16454" s="1095">
        <v>0</v>
      </c>
    </row>
    <row r="16455" spans="16:20">
      <c r="P16455" s="1094">
        <v>7917</v>
      </c>
      <c r="Q16455" t="s">
        <v>15869</v>
      </c>
      <c r="R16455" t="s">
        <v>618</v>
      </c>
      <c r="S16455">
        <v>0</v>
      </c>
      <c r="T16455" s="1095">
        <v>0</v>
      </c>
    </row>
    <row r="16456" spans="16:20">
      <c r="P16456" s="1094">
        <v>7918</v>
      </c>
      <c r="Q16456" t="s">
        <v>15869</v>
      </c>
      <c r="R16456" t="s">
        <v>618</v>
      </c>
      <c r="S16456">
        <v>0</v>
      </c>
      <c r="T16456" s="1095">
        <v>0</v>
      </c>
    </row>
    <row r="16457" spans="16:20">
      <c r="P16457" s="1094">
        <v>7919</v>
      </c>
      <c r="Q16457" t="s">
        <v>15869</v>
      </c>
      <c r="R16457" t="s">
        <v>618</v>
      </c>
      <c r="S16457">
        <v>0</v>
      </c>
      <c r="T16457" s="1095">
        <v>0</v>
      </c>
    </row>
    <row r="16458" spans="16:20">
      <c r="P16458" s="1094">
        <v>7920</v>
      </c>
      <c r="Q16458" t="s">
        <v>15869</v>
      </c>
      <c r="R16458" t="s">
        <v>618</v>
      </c>
      <c r="S16458">
        <v>0</v>
      </c>
      <c r="T16458" s="1095">
        <v>0</v>
      </c>
    </row>
    <row r="16459" spans="16:20">
      <c r="P16459" s="1094">
        <v>7921</v>
      </c>
      <c r="Q16459" t="s">
        <v>15869</v>
      </c>
      <c r="R16459" t="s">
        <v>618</v>
      </c>
      <c r="S16459">
        <v>0</v>
      </c>
      <c r="T16459" s="1095">
        <v>0</v>
      </c>
    </row>
    <row r="16460" spans="16:20">
      <c r="P16460" s="1094">
        <v>7922</v>
      </c>
      <c r="Q16460" t="s">
        <v>15628</v>
      </c>
      <c r="R16460" t="s">
        <v>618</v>
      </c>
      <c r="S16460">
        <v>0</v>
      </c>
      <c r="T16460" s="1095">
        <v>0</v>
      </c>
    </row>
    <row r="16461" spans="16:20">
      <c r="P16461" s="1094">
        <v>7923</v>
      </c>
      <c r="Q16461" t="s">
        <v>15628</v>
      </c>
      <c r="R16461" t="s">
        <v>618</v>
      </c>
      <c r="S16461">
        <v>0</v>
      </c>
      <c r="T16461" s="1095">
        <v>0</v>
      </c>
    </row>
    <row r="16462" spans="16:20">
      <c r="P16462" s="1094">
        <v>800</v>
      </c>
      <c r="Q16462" t="s">
        <v>1348</v>
      </c>
      <c r="R16462" t="s">
        <v>619</v>
      </c>
      <c r="S16462">
        <v>130.95578900000001</v>
      </c>
      <c r="T16462" s="1095">
        <v>-12.801028000000001</v>
      </c>
    </row>
    <row r="16463" spans="16:20">
      <c r="P16463" s="1094">
        <v>8001</v>
      </c>
      <c r="Q16463" t="s">
        <v>6355</v>
      </c>
      <c r="R16463" t="s">
        <v>616</v>
      </c>
      <c r="S16463">
        <v>0</v>
      </c>
      <c r="T16463" s="1095">
        <v>0</v>
      </c>
    </row>
    <row r="16464" spans="16:20">
      <c r="P16464" s="1094">
        <v>8002</v>
      </c>
      <c r="Q16464" t="s">
        <v>6356</v>
      </c>
      <c r="R16464" t="s">
        <v>616</v>
      </c>
      <c r="S16464">
        <v>0</v>
      </c>
      <c r="T16464" s="1095">
        <v>0</v>
      </c>
    </row>
    <row r="16465" spans="16:20">
      <c r="P16465" s="1094">
        <v>8003</v>
      </c>
      <c r="Q16465" t="s">
        <v>15963</v>
      </c>
      <c r="R16465" t="s">
        <v>616</v>
      </c>
      <c r="S16465">
        <v>0</v>
      </c>
      <c r="T16465" s="1095">
        <v>0</v>
      </c>
    </row>
    <row r="16466" spans="16:20">
      <c r="P16466" s="1094">
        <v>8004</v>
      </c>
      <c r="Q16466" t="s">
        <v>15964</v>
      </c>
      <c r="R16466" t="s">
        <v>616</v>
      </c>
      <c r="S16466">
        <v>0</v>
      </c>
      <c r="T16466" s="1095">
        <v>0</v>
      </c>
    </row>
    <row r="16467" spans="16:20">
      <c r="P16467" s="1094">
        <v>8005</v>
      </c>
      <c r="Q16467" t="s">
        <v>6359</v>
      </c>
      <c r="R16467" t="s">
        <v>616</v>
      </c>
      <c r="S16467">
        <v>0</v>
      </c>
      <c r="T16467" s="1095">
        <v>0</v>
      </c>
    </row>
    <row r="16468" spans="16:20">
      <c r="P16468" s="1094">
        <v>8006</v>
      </c>
      <c r="Q16468" t="s">
        <v>15965</v>
      </c>
      <c r="R16468" t="s">
        <v>616</v>
      </c>
      <c r="S16468">
        <v>0</v>
      </c>
      <c r="T16468" s="1095">
        <v>0</v>
      </c>
    </row>
    <row r="16469" spans="16:20">
      <c r="P16469" s="1094">
        <v>8007</v>
      </c>
      <c r="Q16469" t="s">
        <v>15966</v>
      </c>
      <c r="R16469" t="s">
        <v>616</v>
      </c>
      <c r="S16469">
        <v>0</v>
      </c>
      <c r="T16469" s="1095">
        <v>0</v>
      </c>
    </row>
    <row r="16470" spans="16:20">
      <c r="P16470" s="1094">
        <v>8008</v>
      </c>
      <c r="Q16470" t="s">
        <v>6358</v>
      </c>
      <c r="R16470" t="s">
        <v>616</v>
      </c>
      <c r="S16470">
        <v>0</v>
      </c>
      <c r="T16470" s="1095">
        <v>0</v>
      </c>
    </row>
    <row r="16471" spans="16:20">
      <c r="P16471" s="1094">
        <v>8009</v>
      </c>
      <c r="Q16471" t="s">
        <v>15967</v>
      </c>
      <c r="R16471" t="s">
        <v>616</v>
      </c>
      <c r="S16471">
        <v>0</v>
      </c>
      <c r="T16471" s="1095">
        <v>0</v>
      </c>
    </row>
    <row r="16472" spans="16:20">
      <c r="P16472" s="1094">
        <v>801</v>
      </c>
      <c r="Q16472" t="s">
        <v>1348</v>
      </c>
      <c r="R16472" t="s">
        <v>619</v>
      </c>
      <c r="S16472">
        <v>130.95578900000001</v>
      </c>
      <c r="T16472" s="1095">
        <v>-12.801028000000001</v>
      </c>
    </row>
    <row r="16473" spans="16:20">
      <c r="P16473" s="1094">
        <v>8010</v>
      </c>
      <c r="Q16473" t="s">
        <v>15968</v>
      </c>
      <c r="R16473" t="s">
        <v>616</v>
      </c>
      <c r="S16473">
        <v>0</v>
      </c>
      <c r="T16473" s="1095">
        <v>0</v>
      </c>
    </row>
    <row r="16474" spans="16:20">
      <c r="P16474" s="1094">
        <v>8011</v>
      </c>
      <c r="Q16474" t="s">
        <v>15969</v>
      </c>
      <c r="R16474" t="s">
        <v>616</v>
      </c>
      <c r="S16474">
        <v>0</v>
      </c>
      <c r="T16474" s="1095">
        <v>0</v>
      </c>
    </row>
    <row r="16475" spans="16:20">
      <c r="P16475" s="1094">
        <v>8012</v>
      </c>
      <c r="Q16475" t="s">
        <v>6361</v>
      </c>
      <c r="R16475" t="s">
        <v>616</v>
      </c>
      <c r="S16475">
        <v>0</v>
      </c>
      <c r="T16475" s="1095">
        <v>0</v>
      </c>
    </row>
    <row r="16476" spans="16:20">
      <c r="P16476" s="1094">
        <v>804</v>
      </c>
      <c r="Q16476" t="s">
        <v>1353</v>
      </c>
      <c r="R16476" t="s">
        <v>619</v>
      </c>
      <c r="S16476">
        <v>130.84331</v>
      </c>
      <c r="T16476" s="1095">
        <v>-12.432181</v>
      </c>
    </row>
    <row r="16477" spans="16:20">
      <c r="P16477" s="1094">
        <v>8045</v>
      </c>
      <c r="Q16477" t="s">
        <v>6355</v>
      </c>
      <c r="R16477" t="s">
        <v>616</v>
      </c>
      <c r="S16477">
        <v>0</v>
      </c>
      <c r="T16477" s="1095">
        <v>0</v>
      </c>
    </row>
    <row r="16478" spans="16:20">
      <c r="P16478" s="1094">
        <v>8051</v>
      </c>
      <c r="Q16478" t="s">
        <v>6355</v>
      </c>
      <c r="R16478" t="s">
        <v>616</v>
      </c>
      <c r="S16478">
        <v>0</v>
      </c>
      <c r="T16478" s="1095">
        <v>0</v>
      </c>
    </row>
    <row r="16479" spans="16:20">
      <c r="P16479" s="1094">
        <v>8060</v>
      </c>
      <c r="Q16479" t="s">
        <v>6355</v>
      </c>
      <c r="R16479" t="s">
        <v>616</v>
      </c>
      <c r="S16479">
        <v>0</v>
      </c>
      <c r="T16479" s="1095">
        <v>0</v>
      </c>
    </row>
    <row r="16480" spans="16:20">
      <c r="P16480" s="1094">
        <v>8061</v>
      </c>
      <c r="Q16480" t="s">
        <v>6355</v>
      </c>
      <c r="R16480" t="s">
        <v>616</v>
      </c>
      <c r="S16480">
        <v>0</v>
      </c>
      <c r="T16480" s="1095">
        <v>0</v>
      </c>
    </row>
    <row r="16481" spans="16:20">
      <c r="P16481" s="1094">
        <v>8066</v>
      </c>
      <c r="Q16481" t="s">
        <v>6355</v>
      </c>
      <c r="R16481" t="s">
        <v>616</v>
      </c>
      <c r="S16481">
        <v>0</v>
      </c>
      <c r="T16481" s="1095">
        <v>0</v>
      </c>
    </row>
    <row r="16482" spans="16:20">
      <c r="P16482" s="1094">
        <v>8069</v>
      </c>
      <c r="Q16482" t="s">
        <v>6355</v>
      </c>
      <c r="R16482" t="s">
        <v>616</v>
      </c>
      <c r="S16482">
        <v>0</v>
      </c>
      <c r="T16482" s="1095">
        <v>0</v>
      </c>
    </row>
    <row r="16483" spans="16:20">
      <c r="P16483" s="1094">
        <v>8070</v>
      </c>
      <c r="Q16483" t="s">
        <v>6355</v>
      </c>
      <c r="R16483" t="s">
        <v>616</v>
      </c>
      <c r="S16483">
        <v>0</v>
      </c>
      <c r="T16483" s="1095">
        <v>0</v>
      </c>
    </row>
    <row r="16484" spans="16:20">
      <c r="P16484" s="1094">
        <v>8071</v>
      </c>
      <c r="Q16484" t="s">
        <v>6355</v>
      </c>
      <c r="R16484" t="s">
        <v>616</v>
      </c>
      <c r="S16484">
        <v>0</v>
      </c>
      <c r="T16484" s="1095">
        <v>0</v>
      </c>
    </row>
    <row r="16485" spans="16:20">
      <c r="P16485" s="1094">
        <v>810</v>
      </c>
      <c r="Q16485" t="s">
        <v>1366</v>
      </c>
      <c r="R16485" t="s">
        <v>619</v>
      </c>
      <c r="S16485">
        <v>130.877014</v>
      </c>
      <c r="T16485" s="1095">
        <v>-12.378451</v>
      </c>
    </row>
    <row r="16486" spans="16:20">
      <c r="P16486" s="1094">
        <v>810</v>
      </c>
      <c r="Q16486" t="s">
        <v>1369</v>
      </c>
      <c r="R16486" t="s">
        <v>619</v>
      </c>
      <c r="S16486">
        <v>130.86980800000001</v>
      </c>
      <c r="T16486" s="1095">
        <v>-12.367768999999999</v>
      </c>
    </row>
    <row r="16487" spans="16:20">
      <c r="P16487" s="1094">
        <v>810</v>
      </c>
      <c r="Q16487" t="s">
        <v>1374</v>
      </c>
      <c r="R16487" t="s">
        <v>619</v>
      </c>
      <c r="S16487">
        <v>130.85048900000001</v>
      </c>
      <c r="T16487" s="1095">
        <v>-12.376597</v>
      </c>
    </row>
    <row r="16488" spans="16:20">
      <c r="P16488" s="1094">
        <v>810</v>
      </c>
      <c r="Q16488" t="s">
        <v>1386</v>
      </c>
      <c r="R16488" t="s">
        <v>619</v>
      </c>
      <c r="S16488">
        <v>130.873726</v>
      </c>
      <c r="T16488" s="1095">
        <v>-12.385761</v>
      </c>
    </row>
    <row r="16489" spans="16:20">
      <c r="P16489" s="1094">
        <v>810</v>
      </c>
      <c r="Q16489" t="s">
        <v>1389</v>
      </c>
      <c r="R16489" t="s">
        <v>619</v>
      </c>
      <c r="S16489">
        <v>130.89134899999999</v>
      </c>
      <c r="T16489" s="1095">
        <v>-12.360865</v>
      </c>
    </row>
    <row r="16490" spans="16:20">
      <c r="P16490" s="1094">
        <v>810</v>
      </c>
      <c r="Q16490" t="s">
        <v>1391</v>
      </c>
      <c r="R16490" t="s">
        <v>619</v>
      </c>
      <c r="S16490">
        <v>130.86414400000001</v>
      </c>
      <c r="T16490" s="1095">
        <v>-12.39087</v>
      </c>
    </row>
    <row r="16491" spans="16:20">
      <c r="P16491" s="1094">
        <v>810</v>
      </c>
      <c r="Q16491" t="s">
        <v>1393</v>
      </c>
      <c r="R16491" t="s">
        <v>619</v>
      </c>
      <c r="S16491">
        <v>130.87935100000001</v>
      </c>
      <c r="T16491" s="1095">
        <v>-12.387001</v>
      </c>
    </row>
    <row r="16492" spans="16:20">
      <c r="P16492" s="1094">
        <v>810</v>
      </c>
      <c r="Q16492" t="s">
        <v>1395</v>
      </c>
      <c r="R16492" t="s">
        <v>619</v>
      </c>
      <c r="S16492">
        <v>130.87898999999999</v>
      </c>
      <c r="T16492" s="1095">
        <v>-12.369175</v>
      </c>
    </row>
    <row r="16493" spans="16:20">
      <c r="P16493" s="1094">
        <v>810</v>
      </c>
      <c r="Q16493" t="s">
        <v>1396</v>
      </c>
      <c r="R16493" t="s">
        <v>619</v>
      </c>
      <c r="S16493">
        <v>130.85387700000001</v>
      </c>
      <c r="T16493" s="1095">
        <v>-12.382572</v>
      </c>
    </row>
    <row r="16494" spans="16:20">
      <c r="P16494" s="1094">
        <v>810</v>
      </c>
      <c r="Q16494" t="s">
        <v>1398</v>
      </c>
      <c r="R16494" t="s">
        <v>619</v>
      </c>
      <c r="S16494">
        <v>130.86440200000001</v>
      </c>
      <c r="T16494" s="1095">
        <v>-12.387231</v>
      </c>
    </row>
    <row r="16495" spans="16:20">
      <c r="P16495" s="1094">
        <v>810</v>
      </c>
      <c r="Q16495" t="s">
        <v>1400</v>
      </c>
      <c r="R16495" t="s">
        <v>619</v>
      </c>
      <c r="S16495">
        <v>130.87719000000001</v>
      </c>
      <c r="T16495" s="1095">
        <v>-12.363913</v>
      </c>
    </row>
    <row r="16496" spans="16:20">
      <c r="P16496" s="1094">
        <v>810</v>
      </c>
      <c r="Q16496" t="s">
        <v>1402</v>
      </c>
      <c r="R16496" t="s">
        <v>619</v>
      </c>
      <c r="S16496">
        <v>130.88636199999999</v>
      </c>
      <c r="T16496" s="1095">
        <v>-12.379955000000001</v>
      </c>
    </row>
    <row r="16497" spans="16:20">
      <c r="P16497" s="1094">
        <v>810</v>
      </c>
      <c r="Q16497" t="s">
        <v>1404</v>
      </c>
      <c r="R16497" t="s">
        <v>619</v>
      </c>
      <c r="S16497">
        <v>130.88843299999999</v>
      </c>
      <c r="T16497" s="1095">
        <v>-12.37041</v>
      </c>
    </row>
    <row r="16498" spans="16:20">
      <c r="P16498" s="1094">
        <v>8100</v>
      </c>
      <c r="Q16498" t="s">
        <v>6355</v>
      </c>
      <c r="R16498" t="s">
        <v>616</v>
      </c>
      <c r="S16498">
        <v>0</v>
      </c>
      <c r="T16498" s="1095">
        <v>0</v>
      </c>
    </row>
    <row r="16499" spans="16:20">
      <c r="P16499" s="1094">
        <v>8101</v>
      </c>
      <c r="Q16499" t="s">
        <v>6355</v>
      </c>
      <c r="R16499" t="s">
        <v>616</v>
      </c>
      <c r="S16499">
        <v>0</v>
      </c>
      <c r="T16499" s="1095">
        <v>0</v>
      </c>
    </row>
    <row r="16500" spans="16:20">
      <c r="P16500" s="1094">
        <v>8102</v>
      </c>
      <c r="Q16500" t="s">
        <v>6355</v>
      </c>
      <c r="R16500" t="s">
        <v>616</v>
      </c>
      <c r="S16500">
        <v>0</v>
      </c>
      <c r="T16500" s="1095">
        <v>0</v>
      </c>
    </row>
    <row r="16501" spans="16:20">
      <c r="P16501" s="1094">
        <v>8103</v>
      </c>
      <c r="Q16501" t="s">
        <v>6355</v>
      </c>
      <c r="R16501" t="s">
        <v>616</v>
      </c>
      <c r="S16501">
        <v>0</v>
      </c>
      <c r="T16501" s="1095">
        <v>0</v>
      </c>
    </row>
    <row r="16502" spans="16:20">
      <c r="P16502" s="1094">
        <v>8107</v>
      </c>
      <c r="Q16502" t="s">
        <v>6355</v>
      </c>
      <c r="R16502" t="s">
        <v>616</v>
      </c>
      <c r="S16502">
        <v>0</v>
      </c>
      <c r="T16502" s="1095">
        <v>0</v>
      </c>
    </row>
    <row r="16503" spans="16:20">
      <c r="P16503" s="1094">
        <v>8108</v>
      </c>
      <c r="Q16503" t="s">
        <v>6355</v>
      </c>
      <c r="R16503" t="s">
        <v>616</v>
      </c>
      <c r="S16503">
        <v>0</v>
      </c>
      <c r="T16503" s="1095">
        <v>0</v>
      </c>
    </row>
    <row r="16504" spans="16:20">
      <c r="P16504" s="1094">
        <v>811</v>
      </c>
      <c r="Q16504" t="s">
        <v>1374</v>
      </c>
      <c r="R16504" t="s">
        <v>619</v>
      </c>
      <c r="S16504">
        <v>130.85048900000001</v>
      </c>
      <c r="T16504" s="1095">
        <v>-12.376597</v>
      </c>
    </row>
    <row r="16505" spans="16:20">
      <c r="P16505" s="1094">
        <v>8111</v>
      </c>
      <c r="Q16505" t="s">
        <v>6355</v>
      </c>
      <c r="R16505" t="s">
        <v>616</v>
      </c>
      <c r="S16505">
        <v>0</v>
      </c>
      <c r="T16505" s="1095">
        <v>0</v>
      </c>
    </row>
    <row r="16506" spans="16:20">
      <c r="P16506" s="1094">
        <v>812</v>
      </c>
      <c r="Q16506" t="s">
        <v>1413</v>
      </c>
      <c r="R16506" t="s">
        <v>619</v>
      </c>
      <c r="S16506">
        <v>130.91367199999999</v>
      </c>
      <c r="T16506" s="1095">
        <v>-12.400091</v>
      </c>
    </row>
    <row r="16507" spans="16:20">
      <c r="P16507" s="1094">
        <v>812</v>
      </c>
      <c r="Q16507" t="s">
        <v>1416</v>
      </c>
      <c r="R16507" t="s">
        <v>619</v>
      </c>
      <c r="S16507">
        <v>130.90065300000001</v>
      </c>
      <c r="T16507" s="1095">
        <v>-12.376727000000001</v>
      </c>
    </row>
    <row r="16508" spans="16:20">
      <c r="P16508" s="1094">
        <v>812</v>
      </c>
      <c r="Q16508" t="s">
        <v>1420</v>
      </c>
      <c r="R16508" t="s">
        <v>619</v>
      </c>
      <c r="S16508">
        <v>130.90401800000001</v>
      </c>
      <c r="T16508" s="1095">
        <v>-12.392528</v>
      </c>
    </row>
    <row r="16509" spans="16:20">
      <c r="P16509" s="1094">
        <v>812</v>
      </c>
      <c r="Q16509" t="s">
        <v>1423</v>
      </c>
      <c r="R16509" t="s">
        <v>619</v>
      </c>
      <c r="S16509">
        <v>130.882733</v>
      </c>
      <c r="T16509" s="1095">
        <v>-12.396566</v>
      </c>
    </row>
    <row r="16510" spans="16:20">
      <c r="P16510" s="1094">
        <v>812</v>
      </c>
      <c r="Q16510" t="s">
        <v>1436</v>
      </c>
      <c r="R16510" t="s">
        <v>619</v>
      </c>
      <c r="S16510">
        <v>130.89776499999999</v>
      </c>
      <c r="T16510" s="1095">
        <v>-12.384714000000001</v>
      </c>
    </row>
    <row r="16511" spans="16:20">
      <c r="P16511" s="1094">
        <v>8120</v>
      </c>
      <c r="Q16511" t="s">
        <v>6355</v>
      </c>
      <c r="R16511" t="s">
        <v>616</v>
      </c>
      <c r="S16511">
        <v>0</v>
      </c>
      <c r="T16511" s="1095">
        <v>0</v>
      </c>
    </row>
    <row r="16512" spans="16:20">
      <c r="P16512" s="1094">
        <v>814</v>
      </c>
      <c r="Q16512" t="s">
        <v>1396</v>
      </c>
      <c r="R16512" t="s">
        <v>619</v>
      </c>
      <c r="S16512">
        <v>130.85387700000001</v>
      </c>
      <c r="T16512" s="1095">
        <v>-12.382572</v>
      </c>
    </row>
    <row r="16513" spans="16:20">
      <c r="P16513" s="1094">
        <v>820</v>
      </c>
      <c r="Q16513" t="s">
        <v>1447</v>
      </c>
      <c r="R16513" t="s">
        <v>619</v>
      </c>
      <c r="S16513">
        <v>130.85612399999999</v>
      </c>
      <c r="T16513" s="1095">
        <v>-12.410444</v>
      </c>
    </row>
    <row r="16514" spans="16:20">
      <c r="P16514" s="1094">
        <v>820</v>
      </c>
      <c r="Q16514" t="s">
        <v>1450</v>
      </c>
      <c r="R16514" t="s">
        <v>619</v>
      </c>
      <c r="S16514">
        <v>130.856539</v>
      </c>
      <c r="T16514" s="1095">
        <v>-12.440944</v>
      </c>
    </row>
    <row r="16515" spans="16:20">
      <c r="P16515" s="1094">
        <v>820</v>
      </c>
      <c r="Q16515" t="s">
        <v>1454</v>
      </c>
      <c r="R16515" t="s">
        <v>619</v>
      </c>
      <c r="S16515">
        <v>130.844191</v>
      </c>
      <c r="T16515" s="1095">
        <v>-12.443892999999999</v>
      </c>
    </row>
    <row r="16516" spans="16:20">
      <c r="P16516" s="1094">
        <v>820</v>
      </c>
      <c r="Q16516" t="s">
        <v>1456</v>
      </c>
      <c r="R16516" t="s">
        <v>619</v>
      </c>
      <c r="S16516">
        <v>130.882375</v>
      </c>
      <c r="T16516" s="1095">
        <v>-12.430427</v>
      </c>
    </row>
    <row r="16517" spans="16:20">
      <c r="P16517" s="1094">
        <v>820</v>
      </c>
      <c r="Q16517" t="s">
        <v>1458</v>
      </c>
      <c r="R16517" t="s">
        <v>619</v>
      </c>
      <c r="S16517">
        <v>130.82289800000001</v>
      </c>
      <c r="T16517" s="1095">
        <v>-12.454108</v>
      </c>
    </row>
    <row r="16518" spans="16:20">
      <c r="P16518" s="1094">
        <v>820</v>
      </c>
      <c r="Q16518" t="s">
        <v>1464</v>
      </c>
      <c r="R16518" t="s">
        <v>619</v>
      </c>
      <c r="S16518">
        <v>130.836128</v>
      </c>
      <c r="T16518" s="1095">
        <v>-12.426947</v>
      </c>
    </row>
    <row r="16519" spans="16:20">
      <c r="P16519" s="1094">
        <v>820</v>
      </c>
      <c r="Q16519" t="s">
        <v>1465</v>
      </c>
      <c r="R16519" t="s">
        <v>619</v>
      </c>
      <c r="S16519">
        <v>130.836623</v>
      </c>
      <c r="T16519" s="1095">
        <v>-12.423707</v>
      </c>
    </row>
    <row r="16520" spans="16:20">
      <c r="P16520" s="1094">
        <v>820</v>
      </c>
      <c r="Q16520" t="s">
        <v>1466</v>
      </c>
      <c r="R16520" t="s">
        <v>619</v>
      </c>
      <c r="S16520">
        <v>130.83068599999999</v>
      </c>
      <c r="T16520" s="1095">
        <v>-12.459211</v>
      </c>
    </row>
    <row r="16521" spans="16:20">
      <c r="P16521" s="1094">
        <v>820</v>
      </c>
      <c r="Q16521" t="s">
        <v>1467</v>
      </c>
      <c r="R16521" t="s">
        <v>619</v>
      </c>
      <c r="S16521">
        <v>130.85144600000001</v>
      </c>
      <c r="T16521" s="1095">
        <v>-12.425888</v>
      </c>
    </row>
    <row r="16522" spans="16:20">
      <c r="P16522" s="1094">
        <v>820</v>
      </c>
      <c r="Q16522" t="s">
        <v>1353</v>
      </c>
      <c r="R16522" t="s">
        <v>619</v>
      </c>
      <c r="S16522">
        <v>130.84331</v>
      </c>
      <c r="T16522" s="1095">
        <v>-12.432181</v>
      </c>
    </row>
    <row r="16523" spans="16:20">
      <c r="P16523" s="1094">
        <v>820</v>
      </c>
      <c r="Q16523" t="s">
        <v>1469</v>
      </c>
      <c r="R16523" t="s">
        <v>619</v>
      </c>
      <c r="S16523">
        <v>130.84306699999999</v>
      </c>
      <c r="T16523" s="1095">
        <v>-12.4389</v>
      </c>
    </row>
    <row r="16524" spans="16:20">
      <c r="P16524" s="1094">
        <v>820</v>
      </c>
      <c r="Q16524" t="s">
        <v>1470</v>
      </c>
      <c r="R16524" t="s">
        <v>619</v>
      </c>
      <c r="S16524">
        <v>130.84159600000001</v>
      </c>
      <c r="T16524" s="1095">
        <v>-12.46303</v>
      </c>
    </row>
    <row r="16525" spans="16:20">
      <c r="P16525" s="1094">
        <v>820</v>
      </c>
      <c r="Q16525" t="s">
        <v>1471</v>
      </c>
      <c r="R16525" t="s">
        <v>619</v>
      </c>
      <c r="S16525">
        <v>130.85916499999999</v>
      </c>
      <c r="T16525" s="1095">
        <v>-12.425148999999999</v>
      </c>
    </row>
    <row r="16526" spans="16:20">
      <c r="P16526" s="1094">
        <v>820</v>
      </c>
      <c r="Q16526" t="s">
        <v>1472</v>
      </c>
      <c r="R16526" t="s">
        <v>619</v>
      </c>
      <c r="S16526">
        <v>130.88236699999999</v>
      </c>
      <c r="T16526" s="1095">
        <v>-12.426641</v>
      </c>
    </row>
    <row r="16527" spans="16:20">
      <c r="P16527" s="1094">
        <v>820</v>
      </c>
      <c r="Q16527" t="s">
        <v>1473</v>
      </c>
      <c r="R16527" t="s">
        <v>619</v>
      </c>
      <c r="S16527">
        <v>130.848872</v>
      </c>
      <c r="T16527" s="1095">
        <v>-12.43754</v>
      </c>
    </row>
    <row r="16528" spans="16:20">
      <c r="P16528" s="1094">
        <v>8205</v>
      </c>
      <c r="Q16528" t="s">
        <v>6355</v>
      </c>
      <c r="R16528" t="s">
        <v>616</v>
      </c>
      <c r="S16528">
        <v>0</v>
      </c>
      <c r="T16528" s="1095">
        <v>0</v>
      </c>
    </row>
    <row r="16529" spans="16:20">
      <c r="P16529" s="1094">
        <v>821</v>
      </c>
      <c r="Q16529" t="s">
        <v>1472</v>
      </c>
      <c r="R16529" t="s">
        <v>619</v>
      </c>
      <c r="S16529">
        <v>130.88236699999999</v>
      </c>
      <c r="T16529" s="1095">
        <v>-12.426641</v>
      </c>
    </row>
    <row r="16530" spans="16:20">
      <c r="P16530" s="1094">
        <v>822</v>
      </c>
      <c r="Q16530" t="s">
        <v>1474</v>
      </c>
      <c r="R16530" t="s">
        <v>619</v>
      </c>
      <c r="S16530">
        <v>131.131697</v>
      </c>
      <c r="T16530" s="1095">
        <v>-12.799277999999999</v>
      </c>
    </row>
    <row r="16531" spans="16:20">
      <c r="P16531" s="1094">
        <v>822</v>
      </c>
      <c r="Q16531" t="s">
        <v>1478</v>
      </c>
      <c r="R16531" t="s">
        <v>619</v>
      </c>
      <c r="S16531">
        <v>131.05904699999999</v>
      </c>
      <c r="T16531" s="1095">
        <v>-12.571462</v>
      </c>
    </row>
    <row r="16532" spans="16:20">
      <c r="P16532" s="1094">
        <v>822</v>
      </c>
      <c r="Q16532" t="s">
        <v>1480</v>
      </c>
      <c r="R16532" t="s">
        <v>619</v>
      </c>
      <c r="S16532">
        <v>130.875404</v>
      </c>
      <c r="T16532" s="1095">
        <v>-12.715959</v>
      </c>
    </row>
    <row r="16533" spans="16:20">
      <c r="P16533" s="1094">
        <v>822</v>
      </c>
      <c r="Q16533" t="s">
        <v>1482</v>
      </c>
      <c r="R16533" t="s">
        <v>619</v>
      </c>
      <c r="S16533">
        <v>130.40214900000001</v>
      </c>
      <c r="T16533" s="1095">
        <v>-13.988234</v>
      </c>
    </row>
    <row r="16534" spans="16:20">
      <c r="P16534" s="1094">
        <v>822</v>
      </c>
      <c r="Q16534" t="s">
        <v>15970</v>
      </c>
      <c r="R16534" t="s">
        <v>619</v>
      </c>
      <c r="S16534">
        <v>131.41202799999999</v>
      </c>
      <c r="T16534" s="1095">
        <v>-14.058339999999999</v>
      </c>
    </row>
    <row r="16535" spans="16:20">
      <c r="P16535" s="1094">
        <v>822</v>
      </c>
      <c r="Q16535" t="s">
        <v>1487</v>
      </c>
      <c r="R16535" t="s">
        <v>619</v>
      </c>
      <c r="S16535">
        <v>131.129559</v>
      </c>
      <c r="T16535" s="1095">
        <v>-12.316964</v>
      </c>
    </row>
    <row r="16536" spans="16:20">
      <c r="P16536" s="1094">
        <v>822</v>
      </c>
      <c r="Q16536" t="s">
        <v>1490</v>
      </c>
      <c r="R16536" t="s">
        <v>619</v>
      </c>
      <c r="S16536">
        <v>131.237821</v>
      </c>
      <c r="T16536" s="1095">
        <v>-12.569228000000001</v>
      </c>
    </row>
    <row r="16537" spans="16:20">
      <c r="P16537" s="1094">
        <v>822</v>
      </c>
      <c r="Q16537" t="s">
        <v>1491</v>
      </c>
      <c r="R16537" t="s">
        <v>619</v>
      </c>
      <c r="S16537">
        <v>131.038993</v>
      </c>
      <c r="T16537" s="1095">
        <v>-12.730838</v>
      </c>
    </row>
    <row r="16538" spans="16:20">
      <c r="P16538" s="1094">
        <v>822</v>
      </c>
      <c r="Q16538" t="s">
        <v>1492</v>
      </c>
      <c r="R16538" t="s">
        <v>619</v>
      </c>
      <c r="S16538">
        <v>134.271016</v>
      </c>
      <c r="T16538" s="1095">
        <v>-12.086971999999999</v>
      </c>
    </row>
    <row r="16539" spans="16:20">
      <c r="P16539" s="1094">
        <v>822</v>
      </c>
      <c r="Q16539" t="s">
        <v>15971</v>
      </c>
      <c r="R16539" t="s">
        <v>619</v>
      </c>
      <c r="S16539">
        <v>130.87679499999999</v>
      </c>
      <c r="T16539" s="1095">
        <v>-12.361331</v>
      </c>
    </row>
    <row r="16540" spans="16:20">
      <c r="P16540" s="1094">
        <v>822</v>
      </c>
      <c r="Q16540" t="s">
        <v>1493</v>
      </c>
      <c r="R16540" t="s">
        <v>619</v>
      </c>
      <c r="S16540">
        <v>131.07941700000001</v>
      </c>
      <c r="T16540" s="1095">
        <v>-12.542204</v>
      </c>
    </row>
    <row r="16541" spans="16:20">
      <c r="P16541" s="1094">
        <v>822</v>
      </c>
      <c r="Q16541" t="s">
        <v>1494</v>
      </c>
      <c r="R16541" t="s">
        <v>619</v>
      </c>
      <c r="S16541">
        <v>131.01503299999999</v>
      </c>
      <c r="T16541" s="1095">
        <v>-12.646157000000001</v>
      </c>
    </row>
    <row r="16542" spans="16:20">
      <c r="P16542" s="1094">
        <v>822</v>
      </c>
      <c r="Q16542" t="s">
        <v>15972</v>
      </c>
      <c r="R16542" t="s">
        <v>619</v>
      </c>
      <c r="S16542">
        <v>130.94836100000001</v>
      </c>
      <c r="T16542" s="1095">
        <v>-12.411749</v>
      </c>
    </row>
    <row r="16543" spans="16:20">
      <c r="P16543" s="1094">
        <v>822</v>
      </c>
      <c r="Q16543" t="s">
        <v>1498</v>
      </c>
      <c r="R16543" t="s">
        <v>619</v>
      </c>
      <c r="S16543">
        <v>130.314401</v>
      </c>
      <c r="T16543" s="1095">
        <v>-11.764711</v>
      </c>
    </row>
    <row r="16544" spans="16:20">
      <c r="P16544" s="1094">
        <v>822</v>
      </c>
      <c r="Q16544" t="s">
        <v>1499</v>
      </c>
      <c r="R16544" t="s">
        <v>619</v>
      </c>
      <c r="S16544">
        <v>132.987357</v>
      </c>
      <c r="T16544" s="1095">
        <v>-12.414984</v>
      </c>
    </row>
    <row r="16545" spans="16:20">
      <c r="P16545" s="1094">
        <v>822</v>
      </c>
      <c r="Q16545" t="s">
        <v>1500</v>
      </c>
      <c r="R16545" t="s">
        <v>619</v>
      </c>
      <c r="S16545">
        <v>133.88431800000001</v>
      </c>
      <c r="T16545" s="1095">
        <v>-23.721252</v>
      </c>
    </row>
    <row r="16546" spans="16:20">
      <c r="P16546" s="1094">
        <v>822</v>
      </c>
      <c r="Q16546" t="s">
        <v>1501</v>
      </c>
      <c r="R16546" t="s">
        <v>619</v>
      </c>
      <c r="S16546">
        <v>131.004516</v>
      </c>
      <c r="T16546" s="1095">
        <v>-12.447298999999999</v>
      </c>
    </row>
    <row r="16547" spans="16:20">
      <c r="P16547" s="1094">
        <v>822</v>
      </c>
      <c r="Q16547" t="s">
        <v>1504</v>
      </c>
      <c r="R16547" t="s">
        <v>619</v>
      </c>
      <c r="S16547">
        <v>130.95608200000001</v>
      </c>
      <c r="T16547" s="1095">
        <v>-12.742355</v>
      </c>
    </row>
    <row r="16548" spans="16:20">
      <c r="P16548" s="1094">
        <v>822</v>
      </c>
      <c r="Q16548" t="s">
        <v>1506</v>
      </c>
      <c r="R16548" t="s">
        <v>619</v>
      </c>
      <c r="S16548">
        <v>136.428043</v>
      </c>
      <c r="T16548" s="1095">
        <v>-13.848675999999999</v>
      </c>
    </row>
    <row r="16549" spans="16:20">
      <c r="P16549" s="1094">
        <v>822</v>
      </c>
      <c r="Q16549" t="s">
        <v>1508</v>
      </c>
      <c r="R16549" t="s">
        <v>619</v>
      </c>
      <c r="S16549">
        <v>130.13833</v>
      </c>
      <c r="T16549" s="1095">
        <v>-14.17407</v>
      </c>
    </row>
    <row r="16550" spans="16:20">
      <c r="P16550" s="1094">
        <v>822</v>
      </c>
      <c r="Q16550" t="s">
        <v>1509</v>
      </c>
      <c r="R16550" t="s">
        <v>619</v>
      </c>
      <c r="S16550">
        <v>130.748017</v>
      </c>
      <c r="T16550" s="1095">
        <v>-12.433507000000001</v>
      </c>
    </row>
    <row r="16551" spans="16:20">
      <c r="P16551" s="1094">
        <v>822</v>
      </c>
      <c r="Q16551" t="s">
        <v>1510</v>
      </c>
      <c r="R16551" t="s">
        <v>619</v>
      </c>
      <c r="S16551">
        <v>130.84111999999999</v>
      </c>
      <c r="T16551" s="1095">
        <v>-12.434023</v>
      </c>
    </row>
    <row r="16552" spans="16:20">
      <c r="P16552" s="1094">
        <v>822</v>
      </c>
      <c r="Q16552" t="s">
        <v>1472</v>
      </c>
      <c r="R16552" t="s">
        <v>619</v>
      </c>
      <c r="S16552">
        <v>130.88236699999999</v>
      </c>
      <c r="T16552" s="1095">
        <v>-12.426641</v>
      </c>
    </row>
    <row r="16553" spans="16:20">
      <c r="P16553" s="1094">
        <v>822</v>
      </c>
      <c r="Q16553" t="s">
        <v>1511</v>
      </c>
      <c r="R16553" t="s">
        <v>619</v>
      </c>
      <c r="S16553">
        <v>130.94941800000001</v>
      </c>
      <c r="T16553" s="1095">
        <v>-12.419838</v>
      </c>
    </row>
    <row r="16554" spans="16:20">
      <c r="P16554" s="1094">
        <v>828</v>
      </c>
      <c r="Q16554" t="s">
        <v>1512</v>
      </c>
      <c r="R16554" t="s">
        <v>619</v>
      </c>
      <c r="S16554">
        <v>130.90737799999999</v>
      </c>
      <c r="T16554" s="1095">
        <v>-12.474895999999999</v>
      </c>
    </row>
    <row r="16555" spans="16:20">
      <c r="P16555" s="1094">
        <v>828</v>
      </c>
      <c r="Q16555" t="s">
        <v>1513</v>
      </c>
      <c r="R16555" t="s">
        <v>619</v>
      </c>
      <c r="S16555">
        <v>130.93414100000001</v>
      </c>
      <c r="T16555" s="1095">
        <v>-12.426824999999999</v>
      </c>
    </row>
    <row r="16556" spans="16:20">
      <c r="P16556" s="1094">
        <v>829</v>
      </c>
      <c r="Q16556" t="s">
        <v>15973</v>
      </c>
      <c r="R16556" t="s">
        <v>619</v>
      </c>
      <c r="S16556">
        <v>132.280002</v>
      </c>
      <c r="T16556" s="1095">
        <v>-14.460879</v>
      </c>
    </row>
    <row r="16557" spans="16:20">
      <c r="P16557" s="1094">
        <v>830</v>
      </c>
      <c r="Q16557" t="s">
        <v>1516</v>
      </c>
      <c r="R16557" t="s">
        <v>619</v>
      </c>
      <c r="S16557">
        <v>130.97263699999999</v>
      </c>
      <c r="T16557" s="1095">
        <v>-12.487233</v>
      </c>
    </row>
    <row r="16558" spans="16:20">
      <c r="P16558" s="1094">
        <v>830</v>
      </c>
      <c r="Q16558" t="s">
        <v>1517</v>
      </c>
      <c r="R16558" t="s">
        <v>619</v>
      </c>
      <c r="S16558">
        <v>136.76396099999999</v>
      </c>
      <c r="T16558" s="1095">
        <v>-12.193006</v>
      </c>
    </row>
    <row r="16559" spans="16:20">
      <c r="P16559" s="1094">
        <v>830</v>
      </c>
      <c r="Q16559" t="s">
        <v>1518</v>
      </c>
      <c r="R16559" t="s">
        <v>619</v>
      </c>
      <c r="S16559">
        <v>130.99760699999999</v>
      </c>
      <c r="T16559" s="1095">
        <v>-12.480219</v>
      </c>
    </row>
    <row r="16560" spans="16:20">
      <c r="P16560" s="1094">
        <v>830</v>
      </c>
      <c r="Q16560" t="s">
        <v>1519</v>
      </c>
      <c r="R16560" t="s">
        <v>619</v>
      </c>
      <c r="S16560">
        <v>130.87298100000001</v>
      </c>
      <c r="T16560" s="1095">
        <v>-12.384847000000001</v>
      </c>
    </row>
    <row r="16561" spans="16:20">
      <c r="P16561" s="1094">
        <v>830</v>
      </c>
      <c r="Q16561" t="s">
        <v>1520</v>
      </c>
      <c r="R16561" t="s">
        <v>619</v>
      </c>
      <c r="S16561">
        <v>130.92343500000001</v>
      </c>
      <c r="T16561" s="1095">
        <v>-12.446554000000001</v>
      </c>
    </row>
    <row r="16562" spans="16:20">
      <c r="P16562" s="1094">
        <v>830</v>
      </c>
      <c r="Q16562" t="s">
        <v>1521</v>
      </c>
      <c r="R16562" t="s">
        <v>619</v>
      </c>
      <c r="S16562">
        <v>130.974467</v>
      </c>
      <c r="T16562" s="1095">
        <v>-12.511316000000001</v>
      </c>
    </row>
    <row r="16563" spans="16:20">
      <c r="P16563" s="1094">
        <v>830</v>
      </c>
      <c r="Q16563" t="s">
        <v>1522</v>
      </c>
      <c r="R16563" t="s">
        <v>619</v>
      </c>
      <c r="S16563">
        <v>130.98400599999999</v>
      </c>
      <c r="T16563" s="1095">
        <v>-12.480066000000001</v>
      </c>
    </row>
    <row r="16564" spans="16:20">
      <c r="P16564" s="1094">
        <v>830</v>
      </c>
      <c r="Q16564" t="s">
        <v>1523</v>
      </c>
      <c r="R16564" t="s">
        <v>619</v>
      </c>
      <c r="S16564">
        <v>130.92426800000001</v>
      </c>
      <c r="T16564" s="1095">
        <v>-12.394902</v>
      </c>
    </row>
    <row r="16565" spans="16:20">
      <c r="P16565" s="1094">
        <v>830</v>
      </c>
      <c r="Q16565" t="s">
        <v>1524</v>
      </c>
      <c r="R16565" t="s">
        <v>619</v>
      </c>
      <c r="S16565">
        <v>130.98190299999999</v>
      </c>
      <c r="T16565" s="1095">
        <v>-12.504958</v>
      </c>
    </row>
    <row r="16566" spans="16:20">
      <c r="P16566" s="1094">
        <v>830</v>
      </c>
      <c r="Q16566" t="s">
        <v>1525</v>
      </c>
      <c r="R16566" t="s">
        <v>619</v>
      </c>
      <c r="S16566">
        <v>130.984917</v>
      </c>
      <c r="T16566" s="1095">
        <v>-12.471149</v>
      </c>
    </row>
    <row r="16567" spans="16:20">
      <c r="P16567" s="1094">
        <v>831</v>
      </c>
      <c r="Q16567" t="s">
        <v>1522</v>
      </c>
      <c r="R16567" t="s">
        <v>619</v>
      </c>
      <c r="S16567">
        <v>130.98400599999999</v>
      </c>
      <c r="T16567" s="1095">
        <v>-12.480066000000001</v>
      </c>
    </row>
    <row r="16568" spans="16:20">
      <c r="P16568" s="1094">
        <v>832</v>
      </c>
      <c r="Q16568" t="s">
        <v>1528</v>
      </c>
      <c r="R16568" t="s">
        <v>619</v>
      </c>
      <c r="S16568">
        <v>130.990891</v>
      </c>
      <c r="T16568" s="1095">
        <v>-12.492269</v>
      </c>
    </row>
    <row r="16569" spans="16:20">
      <c r="P16569" s="1094">
        <v>832</v>
      </c>
      <c r="Q16569" t="s">
        <v>1529</v>
      </c>
      <c r="R16569" t="s">
        <v>619</v>
      </c>
      <c r="S16569">
        <v>130.83700099999999</v>
      </c>
      <c r="T16569" s="1095">
        <v>-12.460386</v>
      </c>
    </row>
    <row r="16570" spans="16:20">
      <c r="P16570" s="1094">
        <v>832</v>
      </c>
      <c r="Q16570" t="s">
        <v>1530</v>
      </c>
      <c r="R16570" t="s">
        <v>619</v>
      </c>
      <c r="S16570">
        <v>130.988349</v>
      </c>
      <c r="T16570" s="1095">
        <v>-12.501969000000001</v>
      </c>
    </row>
    <row r="16571" spans="16:20">
      <c r="P16571" s="1094">
        <v>832</v>
      </c>
      <c r="Q16571" t="s">
        <v>1531</v>
      </c>
      <c r="R16571" t="s">
        <v>619</v>
      </c>
      <c r="S16571">
        <v>130.988349</v>
      </c>
      <c r="T16571" s="1095">
        <v>-12.501969000000001</v>
      </c>
    </row>
    <row r="16572" spans="16:20">
      <c r="P16572" s="1094">
        <v>835</v>
      </c>
      <c r="Q16572" t="s">
        <v>1532</v>
      </c>
      <c r="R16572" t="s">
        <v>619</v>
      </c>
      <c r="S16572">
        <v>131.02917299999999</v>
      </c>
      <c r="T16572" s="1095">
        <v>-12.48138</v>
      </c>
    </row>
    <row r="16573" spans="16:20">
      <c r="P16573" s="1094">
        <v>835</v>
      </c>
      <c r="Q16573" t="s">
        <v>1507</v>
      </c>
      <c r="R16573" t="s">
        <v>619</v>
      </c>
      <c r="S16573">
        <v>131.029268</v>
      </c>
      <c r="T16573" s="1095">
        <v>-12.545626</v>
      </c>
    </row>
    <row r="16574" spans="16:20">
      <c r="P16574" s="1094">
        <v>836</v>
      </c>
      <c r="Q16574" t="s">
        <v>2036</v>
      </c>
      <c r="R16574" t="s">
        <v>619</v>
      </c>
      <c r="S16574">
        <v>131.103025</v>
      </c>
      <c r="T16574" s="1095">
        <v>-12.525546</v>
      </c>
    </row>
    <row r="16575" spans="16:20">
      <c r="P16575" s="1094">
        <v>836</v>
      </c>
      <c r="Q16575" t="s">
        <v>1533</v>
      </c>
      <c r="R16575" t="s">
        <v>619</v>
      </c>
      <c r="S16575">
        <v>132.28088500000001</v>
      </c>
      <c r="T16575" s="1095">
        <v>-14.462901</v>
      </c>
    </row>
    <row r="16576" spans="16:20">
      <c r="P16576" s="1094">
        <v>837</v>
      </c>
      <c r="Q16576" t="s">
        <v>1535</v>
      </c>
      <c r="R16576" t="s">
        <v>619</v>
      </c>
      <c r="S16576">
        <v>130.84266299999999</v>
      </c>
      <c r="T16576" s="1095">
        <v>-12.460094</v>
      </c>
    </row>
    <row r="16577" spans="16:20">
      <c r="P16577" s="1094">
        <v>838</v>
      </c>
      <c r="Q16577" t="s">
        <v>1537</v>
      </c>
      <c r="R16577" t="s">
        <v>619</v>
      </c>
      <c r="S16577">
        <v>130.995407</v>
      </c>
      <c r="T16577" s="1095">
        <v>-12.709507</v>
      </c>
    </row>
    <row r="16578" spans="16:20">
      <c r="P16578" s="1094">
        <v>8383</v>
      </c>
      <c r="Q16578" t="s">
        <v>6355</v>
      </c>
      <c r="R16578" t="s">
        <v>616</v>
      </c>
      <c r="S16578">
        <v>0</v>
      </c>
      <c r="T16578" s="1095">
        <v>0</v>
      </c>
    </row>
    <row r="16579" spans="16:20">
      <c r="P16579" s="1094">
        <v>8386</v>
      </c>
      <c r="Q16579" t="s">
        <v>6355</v>
      </c>
      <c r="R16579" t="s">
        <v>616</v>
      </c>
      <c r="S16579">
        <v>0</v>
      </c>
      <c r="T16579" s="1095">
        <v>0</v>
      </c>
    </row>
    <row r="16580" spans="16:20">
      <c r="P16580" s="1094">
        <v>8388</v>
      </c>
      <c r="Q16580" t="s">
        <v>6355</v>
      </c>
      <c r="R16580" t="s">
        <v>616</v>
      </c>
      <c r="S16580">
        <v>0</v>
      </c>
      <c r="T16580" s="1095">
        <v>0</v>
      </c>
    </row>
    <row r="16581" spans="16:20">
      <c r="P16581" s="1094">
        <v>8390</v>
      </c>
      <c r="Q16581" t="s">
        <v>6355</v>
      </c>
      <c r="R16581" t="s">
        <v>616</v>
      </c>
      <c r="S16581">
        <v>0</v>
      </c>
      <c r="T16581" s="1095">
        <v>0</v>
      </c>
    </row>
    <row r="16582" spans="16:20">
      <c r="P16582" s="1094">
        <v>8393</v>
      </c>
      <c r="Q16582" t="s">
        <v>6355</v>
      </c>
      <c r="R16582" t="s">
        <v>616</v>
      </c>
      <c r="S16582">
        <v>0</v>
      </c>
      <c r="T16582" s="1095">
        <v>0</v>
      </c>
    </row>
    <row r="16583" spans="16:20">
      <c r="P16583" s="1094">
        <v>8394</v>
      </c>
      <c r="Q16583" t="s">
        <v>6355</v>
      </c>
      <c r="R16583" t="s">
        <v>616</v>
      </c>
      <c r="S16583">
        <v>0</v>
      </c>
      <c r="T16583" s="1095">
        <v>0</v>
      </c>
    </row>
    <row r="16584" spans="16:20">
      <c r="P16584" s="1094">
        <v>8396</v>
      </c>
      <c r="Q16584" t="s">
        <v>6355</v>
      </c>
      <c r="R16584" t="s">
        <v>616</v>
      </c>
      <c r="S16584">
        <v>0</v>
      </c>
      <c r="T16584" s="1095">
        <v>0</v>
      </c>
    </row>
    <row r="16585" spans="16:20">
      <c r="P16585" s="1094">
        <v>8399</v>
      </c>
      <c r="Q16585" t="s">
        <v>6355</v>
      </c>
      <c r="R16585" t="s">
        <v>616</v>
      </c>
      <c r="S16585">
        <v>0</v>
      </c>
      <c r="T16585" s="1095">
        <v>0</v>
      </c>
    </row>
    <row r="16586" spans="16:20">
      <c r="P16586" s="1094">
        <v>840</v>
      </c>
      <c r="Q16586" t="s">
        <v>1538</v>
      </c>
      <c r="R16586" t="s">
        <v>619</v>
      </c>
      <c r="S16586">
        <v>130.351316</v>
      </c>
      <c r="T16586" s="1095">
        <v>-12.717561999999999</v>
      </c>
    </row>
    <row r="16587" spans="16:20">
      <c r="P16587" s="1094">
        <v>840</v>
      </c>
      <c r="Q16587" t="s">
        <v>1539</v>
      </c>
      <c r="R16587" t="s">
        <v>619</v>
      </c>
      <c r="S16587">
        <v>130.52751599999999</v>
      </c>
      <c r="T16587" s="1095">
        <v>-12.771274999999999</v>
      </c>
    </row>
    <row r="16588" spans="16:20">
      <c r="P16588" s="1094">
        <v>840</v>
      </c>
      <c r="Q16588" t="s">
        <v>1540</v>
      </c>
      <c r="R16588" t="s">
        <v>619</v>
      </c>
      <c r="S16588">
        <v>130.52499299999999</v>
      </c>
      <c r="T16588" s="1095">
        <v>-12.749955999999999</v>
      </c>
    </row>
    <row r="16589" spans="16:20">
      <c r="P16589" s="1094">
        <v>841</v>
      </c>
      <c r="Q16589" t="s">
        <v>1541</v>
      </c>
      <c r="R16589" t="s">
        <v>619</v>
      </c>
      <c r="S16589">
        <v>130.95578900000001</v>
      </c>
      <c r="T16589" s="1095">
        <v>-12.801028000000001</v>
      </c>
    </row>
    <row r="16590" spans="16:20">
      <c r="P16590" s="1094">
        <v>845</v>
      </c>
      <c r="Q16590" t="s">
        <v>1542</v>
      </c>
      <c r="R16590" t="s">
        <v>619</v>
      </c>
      <c r="S16590">
        <v>131.072091</v>
      </c>
      <c r="T16590" s="1095">
        <v>-13.038663</v>
      </c>
    </row>
    <row r="16591" spans="16:20">
      <c r="P16591" s="1094">
        <v>846</v>
      </c>
      <c r="Q16591" t="s">
        <v>1543</v>
      </c>
      <c r="R16591" t="s">
        <v>619</v>
      </c>
      <c r="S16591">
        <v>131.09841599999999</v>
      </c>
      <c r="T16591" s="1095">
        <v>-13.226806</v>
      </c>
    </row>
    <row r="16592" spans="16:20">
      <c r="P16592" s="1094">
        <v>847</v>
      </c>
      <c r="Q16592" t="s">
        <v>1544</v>
      </c>
      <c r="R16592" t="s">
        <v>619</v>
      </c>
      <c r="S16592">
        <v>131.83579900000001</v>
      </c>
      <c r="T16592" s="1095">
        <v>-13.824123</v>
      </c>
    </row>
    <row r="16593" spans="16:20">
      <c r="P16593" s="1094">
        <v>850</v>
      </c>
      <c r="Q16593" t="s">
        <v>1545</v>
      </c>
      <c r="R16593" t="s">
        <v>619</v>
      </c>
      <c r="S16593">
        <v>132.262021</v>
      </c>
      <c r="T16593" s="1095">
        <v>-14.464497</v>
      </c>
    </row>
    <row r="16594" spans="16:20">
      <c r="P16594" s="1094">
        <v>8500</v>
      </c>
      <c r="Q16594" t="s">
        <v>6460</v>
      </c>
      <c r="R16594" t="s">
        <v>616</v>
      </c>
      <c r="S16594">
        <v>0</v>
      </c>
      <c r="T16594" s="1095">
        <v>0</v>
      </c>
    </row>
    <row r="16595" spans="16:20">
      <c r="P16595" s="1094">
        <v>8507</v>
      </c>
      <c r="Q16595" t="s">
        <v>2210</v>
      </c>
      <c r="R16595" t="s">
        <v>616</v>
      </c>
      <c r="S16595">
        <v>0</v>
      </c>
      <c r="T16595" s="1095">
        <v>0</v>
      </c>
    </row>
    <row r="16596" spans="16:20">
      <c r="P16596" s="1094">
        <v>851</v>
      </c>
      <c r="Q16596" t="s">
        <v>1545</v>
      </c>
      <c r="R16596" t="s">
        <v>619</v>
      </c>
      <c r="S16596">
        <v>132.262021</v>
      </c>
      <c r="T16596" s="1095">
        <v>-14.464497</v>
      </c>
    </row>
    <row r="16597" spans="16:20">
      <c r="P16597" s="1094">
        <v>852</v>
      </c>
      <c r="Q16597" t="s">
        <v>1547</v>
      </c>
      <c r="R16597" t="s">
        <v>619</v>
      </c>
      <c r="S16597">
        <v>133.06465399999999</v>
      </c>
      <c r="T16597" s="1095">
        <v>-14.92267</v>
      </c>
    </row>
    <row r="16598" spans="16:20">
      <c r="P16598" s="1094">
        <v>852</v>
      </c>
      <c r="Q16598" t="s">
        <v>1548</v>
      </c>
      <c r="R16598" t="s">
        <v>619</v>
      </c>
      <c r="S16598">
        <v>133.367852</v>
      </c>
      <c r="T16598" s="1095">
        <v>-16.252154999999998</v>
      </c>
    </row>
    <row r="16599" spans="16:20">
      <c r="P16599" s="1094">
        <v>852</v>
      </c>
      <c r="Q16599" t="s">
        <v>1545</v>
      </c>
      <c r="R16599" t="s">
        <v>619</v>
      </c>
      <c r="S16599">
        <v>132.262021</v>
      </c>
      <c r="T16599" s="1095">
        <v>-14.464497</v>
      </c>
    </row>
    <row r="16600" spans="16:20">
      <c r="P16600" s="1094">
        <v>852</v>
      </c>
      <c r="Q16600" t="s">
        <v>1553</v>
      </c>
      <c r="R16600" t="s">
        <v>619</v>
      </c>
      <c r="S16600">
        <v>130.05152899999999</v>
      </c>
      <c r="T16600" s="1095">
        <v>-19.141442999999999</v>
      </c>
    </row>
    <row r="16601" spans="16:20">
      <c r="P16601" s="1094">
        <v>852</v>
      </c>
      <c r="Q16601" t="s">
        <v>1554</v>
      </c>
      <c r="R16601" t="s">
        <v>619</v>
      </c>
      <c r="S16601">
        <v>132.94448800000001</v>
      </c>
      <c r="T16601" s="1095">
        <v>-15.62712</v>
      </c>
    </row>
    <row r="16602" spans="16:20">
      <c r="P16602" s="1094">
        <v>852</v>
      </c>
      <c r="Q16602" t="s">
        <v>1555</v>
      </c>
      <c r="R16602" t="s">
        <v>619</v>
      </c>
      <c r="S16602">
        <v>130.88031599999999</v>
      </c>
      <c r="T16602" s="1095">
        <v>-12.360929</v>
      </c>
    </row>
    <row r="16603" spans="16:20">
      <c r="P16603" s="1094">
        <v>852</v>
      </c>
      <c r="Q16603" t="s">
        <v>1559</v>
      </c>
      <c r="R16603" t="s">
        <v>619</v>
      </c>
      <c r="S16603">
        <v>134.78166999999999</v>
      </c>
      <c r="T16603" s="1095">
        <v>-14.654030000000001</v>
      </c>
    </row>
    <row r="16604" spans="16:20">
      <c r="P16604" s="1094">
        <v>852</v>
      </c>
      <c r="Q16604" t="s">
        <v>1562</v>
      </c>
      <c r="R16604" t="s">
        <v>619</v>
      </c>
      <c r="S16604">
        <v>130.10343700000001</v>
      </c>
      <c r="T16604" s="1095">
        <v>-17.450130999999999</v>
      </c>
    </row>
    <row r="16605" spans="16:20">
      <c r="P16605" s="1094">
        <v>8538</v>
      </c>
      <c r="Q16605" t="s">
        <v>6469</v>
      </c>
      <c r="R16605" t="s">
        <v>616</v>
      </c>
      <c r="S16605">
        <v>0</v>
      </c>
      <c r="T16605" s="1095">
        <v>0</v>
      </c>
    </row>
    <row r="16606" spans="16:20">
      <c r="P16606" s="1094">
        <v>854</v>
      </c>
      <c r="Q16606" t="s">
        <v>1564</v>
      </c>
      <c r="R16606" t="s">
        <v>619</v>
      </c>
      <c r="S16606">
        <v>137.14707000000001</v>
      </c>
      <c r="T16606" s="1095">
        <v>-16.818390000000001</v>
      </c>
    </row>
    <row r="16607" spans="16:20">
      <c r="P16607" s="1094">
        <v>8557</v>
      </c>
      <c r="Q16607" t="s">
        <v>6491</v>
      </c>
      <c r="R16607" t="s">
        <v>616</v>
      </c>
      <c r="S16607">
        <v>0</v>
      </c>
      <c r="T16607" s="1095">
        <v>0</v>
      </c>
    </row>
    <row r="16608" spans="16:20">
      <c r="P16608" s="1094">
        <v>8576</v>
      </c>
      <c r="Q16608" t="s">
        <v>6306</v>
      </c>
      <c r="R16608" t="s">
        <v>616</v>
      </c>
      <c r="S16608">
        <v>0</v>
      </c>
      <c r="T16608" s="1095">
        <v>0</v>
      </c>
    </row>
    <row r="16609" spans="16:20">
      <c r="P16609" s="1094">
        <v>860</v>
      </c>
      <c r="Q16609" t="s">
        <v>1566</v>
      </c>
      <c r="R16609" t="s">
        <v>619</v>
      </c>
      <c r="S16609">
        <v>134.18664200000001</v>
      </c>
      <c r="T16609" s="1095">
        <v>-19.648306000000002</v>
      </c>
    </row>
    <row r="16610" spans="16:20">
      <c r="P16610" s="1094">
        <v>861</v>
      </c>
      <c r="Q16610" t="s">
        <v>1567</v>
      </c>
      <c r="R16610" t="s">
        <v>619</v>
      </c>
      <c r="S16610">
        <v>134.31837300000001</v>
      </c>
      <c r="T16610" s="1095">
        <v>-18.94406</v>
      </c>
    </row>
    <row r="16611" spans="16:20">
      <c r="P16611" s="1094">
        <v>861</v>
      </c>
      <c r="Q16611" t="s">
        <v>1566</v>
      </c>
      <c r="R16611" t="s">
        <v>619</v>
      </c>
      <c r="S16611">
        <v>134.18664200000001</v>
      </c>
      <c r="T16611" s="1095">
        <v>-19.648306000000002</v>
      </c>
    </row>
    <row r="16612" spans="16:20">
      <c r="P16612" s="1094">
        <v>862</v>
      </c>
      <c r="Q16612" t="s">
        <v>1568</v>
      </c>
      <c r="R16612" t="s">
        <v>619</v>
      </c>
      <c r="S16612">
        <v>137.76223200000001</v>
      </c>
      <c r="T16612" s="1095">
        <v>-20.231103999999998</v>
      </c>
    </row>
    <row r="16613" spans="16:20">
      <c r="P16613" s="1094">
        <v>862</v>
      </c>
      <c r="Q16613" t="s">
        <v>1569</v>
      </c>
      <c r="R16613" t="s">
        <v>619</v>
      </c>
      <c r="S16613">
        <v>135.58819299999999</v>
      </c>
      <c r="T16613" s="1095">
        <v>-17.939921999999999</v>
      </c>
    </row>
    <row r="16614" spans="16:20">
      <c r="P16614" s="1094">
        <v>862</v>
      </c>
      <c r="Q16614" t="s">
        <v>1570</v>
      </c>
      <c r="R16614" t="s">
        <v>619</v>
      </c>
      <c r="S16614">
        <v>133.86900700000001</v>
      </c>
      <c r="T16614" s="1095">
        <v>-23.684000000000001</v>
      </c>
    </row>
    <row r="16615" spans="16:20">
      <c r="P16615" s="1094">
        <v>862</v>
      </c>
      <c r="Q16615" t="s">
        <v>1571</v>
      </c>
      <c r="R16615" t="s">
        <v>619</v>
      </c>
      <c r="S16615">
        <v>133.882689</v>
      </c>
      <c r="T16615" s="1095">
        <v>-18.409609</v>
      </c>
    </row>
    <row r="16616" spans="16:20">
      <c r="P16616" s="1094">
        <v>862</v>
      </c>
      <c r="Q16616" t="s">
        <v>1572</v>
      </c>
      <c r="R16616" t="s">
        <v>619</v>
      </c>
      <c r="S16616">
        <v>133.906927</v>
      </c>
      <c r="T16616" s="1095">
        <v>-18.629681999999999</v>
      </c>
    </row>
    <row r="16617" spans="16:20">
      <c r="P16617" s="1094">
        <v>862</v>
      </c>
      <c r="Q16617" t="s">
        <v>1573</v>
      </c>
      <c r="R16617" t="s">
        <v>619</v>
      </c>
      <c r="S16617">
        <v>133.538826</v>
      </c>
      <c r="T16617" s="1095">
        <v>-17.548870000000001</v>
      </c>
    </row>
    <row r="16618" spans="16:20">
      <c r="P16618" s="1094">
        <v>862</v>
      </c>
      <c r="Q16618" t="s">
        <v>1575</v>
      </c>
      <c r="R16618" t="s">
        <v>619</v>
      </c>
      <c r="S16618">
        <v>133.889816</v>
      </c>
      <c r="T16618" s="1095">
        <v>-23.695948999999999</v>
      </c>
    </row>
    <row r="16619" spans="16:20">
      <c r="P16619" s="1094">
        <v>862</v>
      </c>
      <c r="Q16619" t="s">
        <v>1566</v>
      </c>
      <c r="R16619" t="s">
        <v>619</v>
      </c>
      <c r="S16619">
        <v>134.18664200000001</v>
      </c>
      <c r="T16619" s="1095">
        <v>-19.648306000000002</v>
      </c>
    </row>
    <row r="16620" spans="16:20">
      <c r="P16620" s="1094">
        <v>862</v>
      </c>
      <c r="Q16620" t="s">
        <v>1577</v>
      </c>
      <c r="R16620" t="s">
        <v>619</v>
      </c>
      <c r="S16620">
        <v>134.06834799999999</v>
      </c>
      <c r="T16620" s="1095">
        <v>-19.512201000000001</v>
      </c>
    </row>
    <row r="16621" spans="16:20">
      <c r="P16621" s="1094">
        <v>862</v>
      </c>
      <c r="Q16621" t="s">
        <v>1578</v>
      </c>
      <c r="R16621" t="s">
        <v>619</v>
      </c>
      <c r="S16621">
        <v>137.59178399999999</v>
      </c>
      <c r="T16621" s="1095">
        <v>-17.142478000000001</v>
      </c>
    </row>
    <row r="16622" spans="16:20">
      <c r="P16622" s="1094">
        <v>8622</v>
      </c>
      <c r="Q16622" t="s">
        <v>6582</v>
      </c>
      <c r="R16622" t="s">
        <v>616</v>
      </c>
      <c r="S16622">
        <v>0</v>
      </c>
      <c r="T16622" s="1095">
        <v>0</v>
      </c>
    </row>
    <row r="16623" spans="16:20">
      <c r="P16623" s="1094">
        <v>8626</v>
      </c>
      <c r="Q16623" t="s">
        <v>2738</v>
      </c>
      <c r="R16623" t="s">
        <v>616</v>
      </c>
      <c r="S16623">
        <v>0</v>
      </c>
      <c r="T16623" s="1095">
        <v>0</v>
      </c>
    </row>
    <row r="16624" spans="16:20">
      <c r="P16624" s="1094">
        <v>8627</v>
      </c>
      <c r="Q16624" t="s">
        <v>2738</v>
      </c>
      <c r="R16624" t="s">
        <v>616</v>
      </c>
      <c r="S16624">
        <v>0</v>
      </c>
      <c r="T16624" s="1095">
        <v>0</v>
      </c>
    </row>
    <row r="16625" spans="16:20">
      <c r="P16625" s="1094">
        <v>8659</v>
      </c>
      <c r="Q16625" t="s">
        <v>15974</v>
      </c>
      <c r="R16625" t="s">
        <v>616</v>
      </c>
      <c r="S16625">
        <v>0</v>
      </c>
      <c r="T16625" s="1095">
        <v>0</v>
      </c>
    </row>
    <row r="16626" spans="16:20">
      <c r="P16626" s="1094">
        <v>870</v>
      </c>
      <c r="Q16626" t="s">
        <v>1580</v>
      </c>
      <c r="R16626" t="s">
        <v>619</v>
      </c>
      <c r="S16626">
        <v>130.84058999999999</v>
      </c>
      <c r="T16626" s="1095">
        <v>-12.436101000000001</v>
      </c>
    </row>
    <row r="16627" spans="16:20">
      <c r="P16627" s="1094">
        <v>871</v>
      </c>
      <c r="Q16627" t="s">
        <v>1580</v>
      </c>
      <c r="R16627" t="s">
        <v>619</v>
      </c>
      <c r="S16627">
        <v>130.84058999999999</v>
      </c>
      <c r="T16627" s="1095">
        <v>-12.436101000000001</v>
      </c>
    </row>
    <row r="16628" spans="16:20">
      <c r="P16628" s="1094">
        <v>872</v>
      </c>
      <c r="Q16628" t="s">
        <v>1582</v>
      </c>
      <c r="R16628" t="s">
        <v>619</v>
      </c>
      <c r="S16628">
        <v>134.38220000000001</v>
      </c>
      <c r="T16628" s="1095">
        <v>-20.998545</v>
      </c>
    </row>
    <row r="16629" spans="16:20">
      <c r="P16629" s="1094">
        <v>872</v>
      </c>
      <c r="Q16629" t="s">
        <v>1580</v>
      </c>
      <c r="R16629" t="s">
        <v>619</v>
      </c>
      <c r="S16629">
        <v>130.84058999999999</v>
      </c>
      <c r="T16629" s="1095">
        <v>-12.436101000000001</v>
      </c>
    </row>
    <row r="16630" spans="16:20">
      <c r="P16630" s="1094">
        <v>872</v>
      </c>
      <c r="Q16630" t="s">
        <v>1583</v>
      </c>
      <c r="R16630" t="s">
        <v>619</v>
      </c>
      <c r="S16630">
        <v>131.60687200000001</v>
      </c>
      <c r="T16630" s="1095">
        <v>-25.962716</v>
      </c>
    </row>
    <row r="16631" spans="16:20">
      <c r="P16631" s="1094">
        <v>872</v>
      </c>
      <c r="Q16631" t="s">
        <v>1584</v>
      </c>
      <c r="R16631" t="s">
        <v>619</v>
      </c>
      <c r="S16631">
        <v>133.92663200000001</v>
      </c>
      <c r="T16631" s="1095">
        <v>-23.747506000000001</v>
      </c>
    </row>
    <row r="16632" spans="16:20">
      <c r="P16632" s="1094">
        <v>872</v>
      </c>
      <c r="Q16632" t="s">
        <v>1586</v>
      </c>
      <c r="R16632" t="s">
        <v>619</v>
      </c>
      <c r="S16632">
        <v>132.28675899999999</v>
      </c>
      <c r="T16632" s="1095">
        <v>-24.166937000000001</v>
      </c>
    </row>
    <row r="16633" spans="16:20">
      <c r="P16633" s="1094">
        <v>872</v>
      </c>
      <c r="Q16633" t="s">
        <v>1592</v>
      </c>
      <c r="R16633" t="s">
        <v>619</v>
      </c>
      <c r="S16633">
        <v>130.876251</v>
      </c>
      <c r="T16633" s="1095">
        <v>-12.364466999999999</v>
      </c>
    </row>
    <row r="16634" spans="16:20">
      <c r="P16634" s="1094">
        <v>872</v>
      </c>
      <c r="Q16634" t="s">
        <v>1594</v>
      </c>
      <c r="R16634" t="s">
        <v>619</v>
      </c>
      <c r="S16634">
        <v>134.339708</v>
      </c>
      <c r="T16634" s="1095">
        <v>-25.698004999999998</v>
      </c>
    </row>
    <row r="16635" spans="16:20">
      <c r="P16635" s="1094">
        <v>872</v>
      </c>
      <c r="Q16635" t="s">
        <v>1596</v>
      </c>
      <c r="R16635" t="s">
        <v>480</v>
      </c>
      <c r="S16635">
        <v>125.664556</v>
      </c>
      <c r="T16635" s="1095">
        <v>-22.590927000000001</v>
      </c>
    </row>
    <row r="16636" spans="16:20">
      <c r="P16636" s="1094">
        <v>872</v>
      </c>
      <c r="Q16636" t="s">
        <v>1598</v>
      </c>
      <c r="R16636" t="s">
        <v>619</v>
      </c>
      <c r="S16636">
        <v>132.185203</v>
      </c>
      <c r="T16636" s="1095">
        <v>-23.509293</v>
      </c>
    </row>
    <row r="16637" spans="16:20">
      <c r="P16637" s="1094">
        <v>872</v>
      </c>
      <c r="Q16637" t="s">
        <v>1605</v>
      </c>
      <c r="R16637" t="s">
        <v>619</v>
      </c>
      <c r="S16637">
        <v>130.99134699999999</v>
      </c>
      <c r="T16637" s="1095">
        <v>-12.486851</v>
      </c>
    </row>
    <row r="16638" spans="16:20">
      <c r="P16638" s="1094">
        <v>872</v>
      </c>
      <c r="Q16638" t="s">
        <v>1617</v>
      </c>
      <c r="R16638" t="s">
        <v>619</v>
      </c>
      <c r="S16638">
        <v>135.33223799999999</v>
      </c>
      <c r="T16638" s="1095">
        <v>-24.730598000000001</v>
      </c>
    </row>
    <row r="16639" spans="16:20">
      <c r="P16639" s="1094">
        <v>872</v>
      </c>
      <c r="Q16639" t="s">
        <v>1619</v>
      </c>
      <c r="R16639" t="s">
        <v>619</v>
      </c>
      <c r="S16639">
        <v>131.068332</v>
      </c>
      <c r="T16639" s="1095">
        <v>-12.477758</v>
      </c>
    </row>
    <row r="16640" spans="16:20">
      <c r="P16640" s="1094">
        <v>872</v>
      </c>
      <c r="Q16640" t="s">
        <v>1622</v>
      </c>
      <c r="R16640" t="s">
        <v>619</v>
      </c>
      <c r="S16640">
        <v>130.99254099999999</v>
      </c>
      <c r="T16640" s="1095">
        <v>-12.486152000000001</v>
      </c>
    </row>
    <row r="16641" spans="16:20">
      <c r="P16641" s="1094">
        <v>872</v>
      </c>
      <c r="Q16641" t="s">
        <v>1628</v>
      </c>
      <c r="R16641" t="s">
        <v>619</v>
      </c>
      <c r="S16641">
        <v>133.03008500000001</v>
      </c>
      <c r="T16641" s="1095">
        <v>-21.717344000000001</v>
      </c>
    </row>
    <row r="16642" spans="16:20">
      <c r="P16642" s="1094">
        <v>872</v>
      </c>
      <c r="Q16642" t="s">
        <v>1631</v>
      </c>
      <c r="R16642" t="s">
        <v>619</v>
      </c>
      <c r="S16642">
        <v>132.11367999999999</v>
      </c>
      <c r="T16642" s="1095">
        <v>-22.391276999999999</v>
      </c>
    </row>
    <row r="16643" spans="16:20">
      <c r="P16643" s="1094">
        <v>872</v>
      </c>
      <c r="Q16643" t="s">
        <v>1632</v>
      </c>
      <c r="R16643" t="s">
        <v>619</v>
      </c>
      <c r="S16643">
        <v>131.80839800000001</v>
      </c>
      <c r="T16643" s="1095">
        <v>-22.25909</v>
      </c>
    </row>
    <row r="16644" spans="16:20">
      <c r="P16644" s="1094">
        <v>872</v>
      </c>
      <c r="Q16644" t="s">
        <v>1633</v>
      </c>
      <c r="R16644" t="s">
        <v>619</v>
      </c>
      <c r="S16644">
        <v>130.98555999999999</v>
      </c>
      <c r="T16644" s="1095">
        <v>-25.242046999999999</v>
      </c>
    </row>
    <row r="16645" spans="16:20">
      <c r="P16645" s="1094">
        <v>8785</v>
      </c>
      <c r="Q16645" t="s">
        <v>6714</v>
      </c>
      <c r="R16645" t="s">
        <v>616</v>
      </c>
      <c r="S16645">
        <v>0</v>
      </c>
      <c r="T16645" s="1095">
        <v>0</v>
      </c>
    </row>
    <row r="16646" spans="16:20">
      <c r="P16646" s="1094">
        <v>880</v>
      </c>
      <c r="Q16646" t="s">
        <v>1635</v>
      </c>
      <c r="R16646" t="s">
        <v>619</v>
      </c>
      <c r="S16646">
        <v>130.871791</v>
      </c>
      <c r="T16646" s="1095">
        <v>-12.378064</v>
      </c>
    </row>
    <row r="16647" spans="16:20">
      <c r="P16647" s="1094">
        <v>880</v>
      </c>
      <c r="Q16647" t="s">
        <v>1636</v>
      </c>
      <c r="R16647" t="s">
        <v>619</v>
      </c>
      <c r="S16647">
        <v>136.78388899999999</v>
      </c>
      <c r="T16647" s="1095">
        <v>-12.18421</v>
      </c>
    </row>
    <row r="16648" spans="16:20">
      <c r="P16648" s="1094">
        <v>881</v>
      </c>
      <c r="Q16648" t="s">
        <v>1636</v>
      </c>
      <c r="R16648" t="s">
        <v>619</v>
      </c>
      <c r="S16648">
        <v>136.78388899999999</v>
      </c>
      <c r="T16648" s="1095">
        <v>-12.18421</v>
      </c>
    </row>
    <row r="16649" spans="16:20">
      <c r="P16649" s="1094">
        <v>886</v>
      </c>
      <c r="Q16649" t="s">
        <v>1639</v>
      </c>
      <c r="R16649" t="s">
        <v>619</v>
      </c>
      <c r="S16649">
        <v>130.89309700000001</v>
      </c>
      <c r="T16649" s="1095">
        <v>-12.381028000000001</v>
      </c>
    </row>
    <row r="16650" spans="16:20">
      <c r="P16650" s="1094">
        <v>8865</v>
      </c>
      <c r="Q16650" t="s">
        <v>6786</v>
      </c>
      <c r="R16650" t="s">
        <v>616</v>
      </c>
      <c r="S16650">
        <v>0</v>
      </c>
      <c r="T16650" s="1095">
        <v>0</v>
      </c>
    </row>
    <row r="16651" spans="16:20">
      <c r="P16651" s="1094">
        <v>8873</v>
      </c>
      <c r="Q16651" t="s">
        <v>6791</v>
      </c>
      <c r="R16651" t="s">
        <v>616</v>
      </c>
      <c r="S16651">
        <v>0</v>
      </c>
      <c r="T16651" s="1095">
        <v>0</v>
      </c>
    </row>
    <row r="16652" spans="16:20">
      <c r="P16652" s="1094">
        <v>9000</v>
      </c>
      <c r="Q16652" t="s">
        <v>9315</v>
      </c>
      <c r="R16652" t="s">
        <v>614</v>
      </c>
      <c r="S16652">
        <v>0</v>
      </c>
      <c r="T16652" s="1095">
        <v>0</v>
      </c>
    </row>
    <row r="16653" spans="16:20">
      <c r="P16653" s="1094">
        <v>9001</v>
      </c>
      <c r="Q16653" t="s">
        <v>9315</v>
      </c>
      <c r="R16653" t="s">
        <v>614</v>
      </c>
      <c r="S16653">
        <v>0</v>
      </c>
      <c r="T16653" s="1095">
        <v>0</v>
      </c>
    </row>
    <row r="16654" spans="16:20">
      <c r="P16654" s="1094">
        <v>9002</v>
      </c>
      <c r="Q16654" t="s">
        <v>9315</v>
      </c>
      <c r="R16654" t="s">
        <v>614</v>
      </c>
      <c r="S16654">
        <v>0</v>
      </c>
      <c r="T16654" s="1095">
        <v>0</v>
      </c>
    </row>
    <row r="16655" spans="16:20">
      <c r="P16655" s="1094">
        <v>9003</v>
      </c>
      <c r="Q16655" t="s">
        <v>9315</v>
      </c>
      <c r="R16655" t="s">
        <v>614</v>
      </c>
      <c r="S16655">
        <v>0</v>
      </c>
      <c r="T16655" s="1095">
        <v>0</v>
      </c>
    </row>
    <row r="16656" spans="16:20">
      <c r="P16656" s="1094">
        <v>9005</v>
      </c>
      <c r="Q16656" t="s">
        <v>9315</v>
      </c>
      <c r="R16656" t="s">
        <v>614</v>
      </c>
      <c r="S16656">
        <v>0</v>
      </c>
      <c r="T16656" s="1095">
        <v>0</v>
      </c>
    </row>
    <row r="16657" spans="16:20">
      <c r="P16657" s="1094">
        <v>9007</v>
      </c>
      <c r="Q16657" t="s">
        <v>9315</v>
      </c>
      <c r="R16657" t="s">
        <v>614</v>
      </c>
      <c r="S16657">
        <v>0</v>
      </c>
      <c r="T16657" s="1095">
        <v>0</v>
      </c>
    </row>
    <row r="16658" spans="16:20">
      <c r="P16658" s="1094">
        <v>9008</v>
      </c>
      <c r="Q16658" t="s">
        <v>9315</v>
      </c>
      <c r="R16658" t="s">
        <v>614</v>
      </c>
      <c r="S16658">
        <v>0</v>
      </c>
      <c r="T16658" s="1095">
        <v>0</v>
      </c>
    </row>
    <row r="16659" spans="16:20">
      <c r="P16659" s="1094">
        <v>9009</v>
      </c>
      <c r="Q16659" t="s">
        <v>9315</v>
      </c>
      <c r="R16659" t="s">
        <v>614</v>
      </c>
      <c r="S16659">
        <v>0</v>
      </c>
      <c r="T16659" s="1095">
        <v>0</v>
      </c>
    </row>
    <row r="16660" spans="16:20">
      <c r="P16660" s="1094">
        <v>9010</v>
      </c>
      <c r="Q16660" t="s">
        <v>9315</v>
      </c>
      <c r="R16660" t="s">
        <v>614</v>
      </c>
      <c r="S16660">
        <v>0</v>
      </c>
      <c r="T16660" s="1095">
        <v>0</v>
      </c>
    </row>
    <row r="16661" spans="16:20">
      <c r="P16661" s="1094">
        <v>9013</v>
      </c>
      <c r="Q16661" t="s">
        <v>9315</v>
      </c>
      <c r="R16661" t="s">
        <v>614</v>
      </c>
      <c r="S16661">
        <v>0</v>
      </c>
      <c r="T16661" s="1095">
        <v>0</v>
      </c>
    </row>
    <row r="16662" spans="16:20">
      <c r="P16662" s="1094">
        <v>9015</v>
      </c>
      <c r="Q16662" t="s">
        <v>9315</v>
      </c>
      <c r="R16662" t="s">
        <v>614</v>
      </c>
      <c r="S16662">
        <v>0</v>
      </c>
      <c r="T16662" s="1095">
        <v>0</v>
      </c>
    </row>
    <row r="16663" spans="16:20">
      <c r="P16663" s="1094">
        <v>9016</v>
      </c>
      <c r="Q16663" t="s">
        <v>15975</v>
      </c>
      <c r="R16663" t="s">
        <v>614</v>
      </c>
      <c r="S16663">
        <v>0</v>
      </c>
      <c r="T16663" s="1095">
        <v>0</v>
      </c>
    </row>
    <row r="16664" spans="16:20">
      <c r="P16664" s="1094">
        <v>9017</v>
      </c>
      <c r="Q16664" t="s">
        <v>15975</v>
      </c>
      <c r="R16664" t="s">
        <v>614</v>
      </c>
      <c r="S16664">
        <v>0</v>
      </c>
      <c r="T16664" s="1095">
        <v>0</v>
      </c>
    </row>
    <row r="16665" spans="16:20">
      <c r="P16665" s="1094">
        <v>9018</v>
      </c>
      <c r="Q16665" t="s">
        <v>15975</v>
      </c>
      <c r="R16665" t="s">
        <v>614</v>
      </c>
      <c r="S16665">
        <v>0</v>
      </c>
      <c r="T16665" s="1095">
        <v>0</v>
      </c>
    </row>
    <row r="16666" spans="16:20">
      <c r="P16666" s="1094">
        <v>9019</v>
      </c>
      <c r="Q16666" t="s">
        <v>15975</v>
      </c>
      <c r="R16666" t="s">
        <v>614</v>
      </c>
      <c r="S16666">
        <v>0</v>
      </c>
      <c r="T16666" s="1095">
        <v>0</v>
      </c>
    </row>
    <row r="16667" spans="16:20">
      <c r="P16667" s="1094">
        <v>9020</v>
      </c>
      <c r="Q16667" t="s">
        <v>9315</v>
      </c>
      <c r="R16667" t="s">
        <v>614</v>
      </c>
      <c r="S16667">
        <v>0</v>
      </c>
      <c r="T16667" s="1095">
        <v>0</v>
      </c>
    </row>
    <row r="16668" spans="16:20">
      <c r="P16668" s="1094">
        <v>9021</v>
      </c>
      <c r="Q16668" t="s">
        <v>15975</v>
      </c>
      <c r="R16668" t="s">
        <v>614</v>
      </c>
      <c r="S16668">
        <v>0</v>
      </c>
      <c r="T16668" s="1095">
        <v>0</v>
      </c>
    </row>
    <row r="16669" spans="16:20">
      <c r="P16669" s="1094">
        <v>9022</v>
      </c>
      <c r="Q16669" t="s">
        <v>15975</v>
      </c>
      <c r="R16669" t="s">
        <v>614</v>
      </c>
      <c r="S16669">
        <v>0</v>
      </c>
      <c r="T16669" s="1095">
        <v>0</v>
      </c>
    </row>
    <row r="16670" spans="16:20">
      <c r="P16670" s="1094">
        <v>9023</v>
      </c>
      <c r="Q16670" t="s">
        <v>15975</v>
      </c>
      <c r="R16670" t="s">
        <v>614</v>
      </c>
      <c r="S16670">
        <v>0</v>
      </c>
      <c r="T16670" s="1095">
        <v>0</v>
      </c>
    </row>
    <row r="16671" spans="16:20">
      <c r="P16671" s="1094">
        <v>906</v>
      </c>
      <c r="Q16671" t="s">
        <v>1472</v>
      </c>
      <c r="R16671" t="s">
        <v>619</v>
      </c>
      <c r="S16671">
        <v>130.88236699999999</v>
      </c>
      <c r="T16671" s="1095">
        <v>-12.426641</v>
      </c>
    </row>
    <row r="16672" spans="16:20">
      <c r="P16672" s="1094">
        <v>907</v>
      </c>
      <c r="Q16672" t="s">
        <v>1472</v>
      </c>
      <c r="R16672" t="s">
        <v>619</v>
      </c>
      <c r="S16672">
        <v>130.88236699999999</v>
      </c>
      <c r="T16672" s="1095">
        <v>-12.426641</v>
      </c>
    </row>
    <row r="16673" spans="16:20">
      <c r="P16673" s="1094">
        <v>9464</v>
      </c>
      <c r="Q16673" t="s">
        <v>9355</v>
      </c>
      <c r="R16673" t="s">
        <v>614</v>
      </c>
      <c r="S16673">
        <v>0</v>
      </c>
      <c r="T16673" s="1095">
        <v>0</v>
      </c>
    </row>
    <row r="16674" spans="16:20">
      <c r="P16674" s="1094">
        <v>9726</v>
      </c>
      <c r="Q16674" t="s">
        <v>9778</v>
      </c>
      <c r="R16674" t="s">
        <v>614</v>
      </c>
      <c r="S16674">
        <v>0</v>
      </c>
      <c r="T16674" s="1095">
        <v>0</v>
      </c>
    </row>
    <row r="16675" spans="16:20">
      <c r="P16675" s="1094">
        <v>9728</v>
      </c>
      <c r="Q16675" t="s">
        <v>9778</v>
      </c>
      <c r="R16675" t="s">
        <v>614</v>
      </c>
      <c r="S16675">
        <v>0</v>
      </c>
      <c r="T16675" s="1095">
        <v>0</v>
      </c>
    </row>
    <row r="16676" spans="16:20">
      <c r="P16676" s="1096">
        <v>9729</v>
      </c>
      <c r="Q16676" s="1097" t="s">
        <v>9778</v>
      </c>
      <c r="R16676" s="1097" t="s">
        <v>614</v>
      </c>
      <c r="S16676" s="1097">
        <v>0</v>
      </c>
      <c r="T16676" s="1098">
        <v>0</v>
      </c>
    </row>
  </sheetData>
  <mergeCells count="11">
    <mergeCell ref="A32:C32"/>
    <mergeCell ref="A16:C16"/>
    <mergeCell ref="AA2:AB2"/>
    <mergeCell ref="A1:C1"/>
    <mergeCell ref="P1:T1"/>
    <mergeCell ref="E3:G3"/>
    <mergeCell ref="E2:H2"/>
    <mergeCell ref="E1:J1"/>
    <mergeCell ref="L1:N1"/>
    <mergeCell ref="V1:W1"/>
    <mergeCell ref="V10:Y10"/>
  </mergeCells>
  <phoneticPr fontId="75" type="noConversion"/>
  <dataValidations disablePrompts="1" count="1">
    <dataValidation type="list" allowBlank="1" showInputMessage="1" showErrorMessage="1" sqref="I3:I9" xr:uid="{00000000-0002-0000-1D00-000000000000}">
      <formula1>#REF!</formula1>
    </dataValidation>
  </dataValidations>
  <hyperlinks>
    <hyperlink ref="D27" r:id="rId1" xr:uid="{3734EAD1-D1E5-4826-A930-13C7FF333FAF}"/>
    <hyperlink ref="D28" r:id="rId2" xr:uid="{B6AC2C9E-B38A-4A25-880A-A02CA0464152}"/>
  </hyperlinks>
  <pageMargins left="0.7" right="0.7" top="0.75" bottom="0.75" header="0.3" footer="0.3"/>
  <pageSetup orientation="portrait" r:id="rId3"/>
  <drawing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rgb="FF7030A0"/>
  </sheetPr>
  <dimension ref="A2:X24"/>
  <sheetViews>
    <sheetView workbookViewId="0"/>
  </sheetViews>
  <sheetFormatPr defaultColWidth="11" defaultRowHeight="15.6"/>
  <cols>
    <col min="2" max="2" width="46.5" bestFit="1" customWidth="1"/>
    <col min="5" max="5" width="40" bestFit="1" customWidth="1"/>
    <col min="6" max="6" width="12" bestFit="1" customWidth="1"/>
    <col min="8" max="8" width="14.5" bestFit="1" customWidth="1"/>
    <col min="11" max="11" width="46.5" bestFit="1" customWidth="1"/>
    <col min="12" max="12" width="11" bestFit="1" customWidth="1"/>
    <col min="14" max="14" width="12.5" bestFit="1" customWidth="1"/>
  </cols>
  <sheetData>
    <row r="2" spans="1:24" ht="16.2" thickBot="1"/>
    <row r="3" spans="1:24">
      <c r="B3" s="1450" t="s">
        <v>373</v>
      </c>
      <c r="C3" s="1451"/>
      <c r="E3" s="1450" t="s">
        <v>375</v>
      </c>
      <c r="F3" s="1451"/>
      <c r="G3" s="220"/>
      <c r="H3" s="1450" t="s">
        <v>377</v>
      </c>
      <c r="I3" s="1451"/>
      <c r="J3" s="220"/>
      <c r="K3" s="1450" t="s">
        <v>378</v>
      </c>
      <c r="L3" s="1451"/>
      <c r="N3" s="1450" t="s">
        <v>379</v>
      </c>
      <c r="O3" s="1451"/>
      <c r="P3" s="220"/>
      <c r="Q3" s="1450" t="s">
        <v>381</v>
      </c>
      <c r="R3" s="1451"/>
      <c r="T3" s="1450" t="s">
        <v>380</v>
      </c>
      <c r="U3" s="1451"/>
    </row>
    <row r="4" spans="1:24">
      <c r="A4" s="220"/>
      <c r="B4" s="1452"/>
      <c r="C4" s="1453"/>
      <c r="D4" s="220"/>
      <c r="E4" s="1452"/>
      <c r="F4" s="1453"/>
      <c r="G4" s="220"/>
      <c r="H4" s="1452"/>
      <c r="I4" s="1453"/>
      <c r="J4" s="220"/>
      <c r="K4" s="1452"/>
      <c r="L4" s="1453"/>
      <c r="M4" s="220"/>
      <c r="N4" s="1452"/>
      <c r="O4" s="1453"/>
      <c r="P4" s="220"/>
      <c r="Q4" s="1452"/>
      <c r="R4" s="1453"/>
      <c r="T4" s="1452"/>
      <c r="U4" s="1453"/>
    </row>
    <row r="5" spans="1:24">
      <c r="A5" s="220"/>
      <c r="B5" s="163" t="s">
        <v>373</v>
      </c>
      <c r="C5" s="202" t="s">
        <v>1203</v>
      </c>
      <c r="D5" s="220"/>
      <c r="E5" s="163" t="s">
        <v>375</v>
      </c>
      <c r="F5" s="202" t="s">
        <v>699</v>
      </c>
      <c r="G5" s="220"/>
      <c r="H5" s="163" t="s">
        <v>377</v>
      </c>
      <c r="I5" s="202" t="s">
        <v>15976</v>
      </c>
      <c r="J5" s="220"/>
      <c r="K5" s="163" t="s">
        <v>378</v>
      </c>
      <c r="L5" s="202" t="s">
        <v>1203</v>
      </c>
      <c r="M5" s="220"/>
      <c r="N5" s="163" t="s">
        <v>15977</v>
      </c>
      <c r="O5" s="202" t="s">
        <v>1235</v>
      </c>
      <c r="P5" s="220"/>
      <c r="Q5" s="163" t="s">
        <v>381</v>
      </c>
      <c r="R5" s="202" t="s">
        <v>1235</v>
      </c>
      <c r="T5" s="163" t="s">
        <v>380</v>
      </c>
      <c r="U5" s="202" t="s">
        <v>15978</v>
      </c>
      <c r="W5" s="24" t="s">
        <v>15979</v>
      </c>
    </row>
    <row r="6" spans="1:24">
      <c r="A6" s="220"/>
      <c r="B6" s="77" t="s">
        <v>15980</v>
      </c>
      <c r="C6" s="165">
        <f>2400+150*SOLAR!G72</f>
        <v>2400</v>
      </c>
      <c r="D6" s="220"/>
      <c r="E6" s="77" t="s">
        <v>15981</v>
      </c>
      <c r="F6" s="165">
        <f>IF(SOLAR!G73&lt;&gt;0,850+110*SOLAR!G73,0)</f>
        <v>0</v>
      </c>
      <c r="G6" s="220"/>
      <c r="H6" s="77" t="s">
        <v>141</v>
      </c>
      <c r="I6" s="165">
        <v>30</v>
      </c>
      <c r="J6" s="222"/>
      <c r="K6" s="77" t="s">
        <v>141</v>
      </c>
      <c r="L6" s="165">
        <v>100</v>
      </c>
      <c r="M6" s="220"/>
      <c r="N6" s="77" t="s">
        <v>141</v>
      </c>
      <c r="O6" s="165" t="s">
        <v>15982</v>
      </c>
      <c r="P6" s="220"/>
      <c r="Q6" s="77" t="s">
        <v>141</v>
      </c>
      <c r="R6" s="165">
        <f>150*SOLAR!G78</f>
        <v>0</v>
      </c>
      <c r="T6" s="77" t="s">
        <v>15983</v>
      </c>
      <c r="U6" s="165">
        <v>55</v>
      </c>
      <c r="W6" s="25"/>
      <c r="X6" s="26" t="s">
        <v>803</v>
      </c>
    </row>
    <row r="7" spans="1:24">
      <c r="A7" s="220"/>
      <c r="B7" s="79" t="s">
        <v>15984</v>
      </c>
      <c r="C7" s="166">
        <f>2400+60*SOLAR!G72</f>
        <v>2400</v>
      </c>
      <c r="D7" s="220"/>
      <c r="E7" s="79" t="s">
        <v>15985</v>
      </c>
      <c r="F7" s="166">
        <f>IF(SOLAR!G74&lt;&gt;0,850+150*SOLAR!G73,0)</f>
        <v>850</v>
      </c>
      <c r="G7" s="220"/>
      <c r="H7" s="79" t="s">
        <v>312</v>
      </c>
      <c r="I7" s="166">
        <v>0</v>
      </c>
      <c r="J7" s="223"/>
      <c r="K7" s="79" t="s">
        <v>312</v>
      </c>
      <c r="L7" s="166">
        <v>0</v>
      </c>
      <c r="M7" s="220"/>
      <c r="N7" s="79" t="s">
        <v>312</v>
      </c>
      <c r="O7" s="166">
        <v>0</v>
      </c>
      <c r="P7" s="220"/>
      <c r="Q7" s="79" t="s">
        <v>312</v>
      </c>
      <c r="R7" s="166">
        <v>0</v>
      </c>
      <c r="T7" s="79" t="s">
        <v>15986</v>
      </c>
      <c r="U7" s="166">
        <f>10*(SOLAR!F13/50)</f>
        <v>20</v>
      </c>
      <c r="W7" s="27" t="s">
        <v>15987</v>
      </c>
      <c r="X7" s="28" t="s">
        <v>803</v>
      </c>
    </row>
    <row r="8" spans="1:24">
      <c r="A8" s="220"/>
      <c r="B8" s="66" t="s">
        <v>15988</v>
      </c>
      <c r="C8" s="67">
        <f>2400+10*SOLAR!G72</f>
        <v>2400</v>
      </c>
      <c r="D8" s="220"/>
      <c r="E8" s="66" t="s">
        <v>15989</v>
      </c>
      <c r="F8" s="67">
        <f>IF(SOLAR!G74&lt;&gt;0,850+180*SOLAR!G73,0)</f>
        <v>850</v>
      </c>
      <c r="G8" s="220"/>
      <c r="H8" s="66"/>
      <c r="I8" s="67"/>
      <c r="J8" s="223"/>
      <c r="K8" s="66"/>
      <c r="L8" s="67"/>
      <c r="M8" s="220"/>
      <c r="N8" s="66"/>
      <c r="O8" s="67"/>
      <c r="P8" s="220"/>
      <c r="Q8" s="66"/>
      <c r="R8" s="67"/>
      <c r="T8" s="66" t="s">
        <v>312</v>
      </c>
      <c r="U8" s="67">
        <v>0</v>
      </c>
      <c r="W8" s="25" t="s">
        <v>15990</v>
      </c>
      <c r="X8" s="26" t="s">
        <v>803</v>
      </c>
    </row>
    <row r="9" spans="1:24">
      <c r="A9" s="220"/>
      <c r="B9" s="66" t="s">
        <v>312</v>
      </c>
      <c r="C9" s="67">
        <v>0</v>
      </c>
      <c r="D9" s="220"/>
      <c r="E9" s="66" t="s">
        <v>312</v>
      </c>
      <c r="F9" s="67">
        <v>0</v>
      </c>
      <c r="G9" s="220"/>
      <c r="H9" s="66"/>
      <c r="I9" s="67"/>
      <c r="J9" s="223"/>
      <c r="K9" s="66"/>
      <c r="L9" s="67"/>
      <c r="M9" s="220"/>
      <c r="N9" s="66"/>
      <c r="O9" s="67"/>
      <c r="P9" s="220"/>
      <c r="Q9" s="66"/>
      <c r="R9" s="67"/>
      <c r="T9" s="66"/>
      <c r="U9" s="67"/>
      <c r="W9" s="27" t="s">
        <v>15991</v>
      </c>
      <c r="X9" s="28" t="s">
        <v>803</v>
      </c>
    </row>
    <row r="10" spans="1:24">
      <c r="A10" s="220"/>
      <c r="B10" s="66"/>
      <c r="C10" s="67"/>
      <c r="D10" s="220"/>
      <c r="E10" s="66"/>
      <c r="F10" s="67"/>
      <c r="G10" s="220"/>
      <c r="H10" s="66"/>
      <c r="I10" s="67"/>
      <c r="J10" s="223"/>
      <c r="K10" s="66"/>
      <c r="L10" s="67"/>
      <c r="M10" s="220"/>
      <c r="N10" s="66"/>
      <c r="O10" s="67"/>
      <c r="P10" s="220"/>
      <c r="Q10" s="66"/>
      <c r="R10" s="67"/>
      <c r="T10" s="66"/>
      <c r="U10" s="67"/>
      <c r="W10" s="25" t="s">
        <v>15992</v>
      </c>
      <c r="X10" s="26" t="s">
        <v>803</v>
      </c>
    </row>
    <row r="11" spans="1:24">
      <c r="A11" s="220"/>
      <c r="B11" s="66"/>
      <c r="C11" s="67"/>
      <c r="D11" s="220"/>
      <c r="E11" s="66"/>
      <c r="F11" s="67"/>
      <c r="G11" s="220"/>
      <c r="H11" s="66"/>
      <c r="I11" s="67"/>
      <c r="J11" s="223"/>
      <c r="K11" s="66"/>
      <c r="L11" s="67"/>
      <c r="M11" s="220"/>
      <c r="N11" s="66"/>
      <c r="O11" s="67"/>
      <c r="P11" s="220"/>
      <c r="Q11" s="66"/>
      <c r="R11" s="67"/>
      <c r="T11" s="66"/>
      <c r="U11" s="67"/>
      <c r="W11" s="27" t="s">
        <v>15993</v>
      </c>
      <c r="X11" s="28" t="s">
        <v>803</v>
      </c>
    </row>
    <row r="12" spans="1:24" ht="16.2" thickBot="1">
      <c r="A12" s="220"/>
      <c r="B12" s="88"/>
      <c r="C12" s="76"/>
      <c r="D12" s="220"/>
      <c r="E12" s="88"/>
      <c r="F12" s="76"/>
      <c r="G12" s="220"/>
      <c r="H12" s="88"/>
      <c r="I12" s="76"/>
      <c r="J12" s="223"/>
      <c r="K12" s="88"/>
      <c r="L12" s="76"/>
      <c r="M12" s="220"/>
      <c r="N12" s="88"/>
      <c r="O12" s="76"/>
      <c r="P12" s="220"/>
      <c r="Q12" s="88"/>
      <c r="R12" s="76"/>
      <c r="T12" s="88"/>
      <c r="U12" s="76"/>
      <c r="W12" s="25" t="s">
        <v>15994</v>
      </c>
      <c r="X12" s="26" t="s">
        <v>803</v>
      </c>
    </row>
    <row r="13" spans="1:24">
      <c r="A13" s="220"/>
      <c r="D13" s="220"/>
      <c r="G13" s="220"/>
      <c r="J13" s="220"/>
      <c r="M13" s="220"/>
      <c r="P13" s="220"/>
      <c r="W13" s="27" t="s">
        <v>15995</v>
      </c>
      <c r="X13" s="28" t="s">
        <v>803</v>
      </c>
    </row>
    <row r="14" spans="1:24">
      <c r="D14" s="220"/>
      <c r="M14" s="220"/>
      <c r="P14" s="220"/>
      <c r="W14" s="25" t="s">
        <v>15996</v>
      </c>
      <c r="X14" s="26" t="s">
        <v>803</v>
      </c>
    </row>
    <row r="15" spans="1:24">
      <c r="D15" s="220"/>
      <c r="M15" s="220"/>
      <c r="P15" s="220"/>
      <c r="W15" s="27" t="s">
        <v>15997</v>
      </c>
      <c r="X15" s="28" t="s">
        <v>803</v>
      </c>
    </row>
    <row r="16" spans="1:24">
      <c r="D16" s="220"/>
      <c r="M16" s="220"/>
      <c r="W16" s="25" t="s">
        <v>15998</v>
      </c>
      <c r="X16" s="26" t="s">
        <v>803</v>
      </c>
    </row>
    <row r="17" spans="7:15">
      <c r="M17" s="220"/>
    </row>
    <row r="18" spans="7:15">
      <c r="O18" s="27"/>
    </row>
    <row r="19" spans="7:15">
      <c r="G19" s="47"/>
    </row>
    <row r="20" spans="7:15">
      <c r="G20" s="47"/>
    </row>
    <row r="21" spans="7:15">
      <c r="G21" s="47"/>
    </row>
    <row r="22" spans="7:15">
      <c r="G22" s="47"/>
    </row>
    <row r="23" spans="7:15">
      <c r="G23" s="47"/>
    </row>
    <row r="24" spans="7:15">
      <c r="G24" s="47"/>
    </row>
  </sheetData>
  <mergeCells count="7">
    <mergeCell ref="T3:U4"/>
    <mergeCell ref="Q3:R4"/>
    <mergeCell ref="B3:C4"/>
    <mergeCell ref="E3:F4"/>
    <mergeCell ref="H3:I4"/>
    <mergeCell ref="K3:L4"/>
    <mergeCell ref="N3:O4"/>
  </mergeCells>
  <pageMargins left="0.7" right="0.7" top="0.75" bottom="0.75" header="0.3" footer="0.3"/>
  <pageSetup paperSize="9" orientation="portrait" horizontalDpi="1200" verticalDpi="1200"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318F2-500C-4E0D-A3F1-9C0CA522B372}">
  <sheetPr codeName="Sheet28">
    <tabColor rgb="FF7030A0"/>
  </sheetPr>
  <dimension ref="B1:Z48"/>
  <sheetViews>
    <sheetView workbookViewId="0"/>
  </sheetViews>
  <sheetFormatPr defaultColWidth="8.5" defaultRowHeight="15.6"/>
  <cols>
    <col min="3" max="3" width="46.59765625" customWidth="1"/>
    <col min="4" max="4" width="10" bestFit="1" customWidth="1"/>
    <col min="6" max="6" width="29" bestFit="1" customWidth="1"/>
    <col min="9" max="9" width="24" bestFit="1" customWidth="1"/>
    <col min="10" max="10" width="11" bestFit="1" customWidth="1"/>
    <col min="13" max="13" width="29" bestFit="1" customWidth="1"/>
    <col min="14" max="14" width="9.5" bestFit="1" customWidth="1"/>
    <col min="15" max="15" width="9.5" customWidth="1"/>
    <col min="16" max="16" width="14.5" bestFit="1" customWidth="1"/>
    <col min="19" max="19" width="11.5" bestFit="1" customWidth="1"/>
    <col min="20" max="20" width="9.5" bestFit="1" customWidth="1"/>
    <col min="22" max="22" width="37.5" bestFit="1" customWidth="1"/>
    <col min="23" max="23" width="12" bestFit="1" customWidth="1"/>
    <col min="25" max="25" width="9" customWidth="1"/>
    <col min="27" max="27" width="24" bestFit="1" customWidth="1"/>
    <col min="28" max="28" width="43" bestFit="1" customWidth="1"/>
  </cols>
  <sheetData>
    <row r="1" spans="2:26" ht="16.2" thickBot="1"/>
    <row r="2" spans="2:26">
      <c r="B2" s="220"/>
      <c r="C2" s="1450" t="s">
        <v>383</v>
      </c>
      <c r="D2" s="1451"/>
      <c r="F2" s="1450" t="s">
        <v>386</v>
      </c>
      <c r="G2" s="1451"/>
      <c r="H2" s="22"/>
      <c r="I2" s="1450" t="s">
        <v>388</v>
      </c>
      <c r="J2" s="1451"/>
      <c r="K2" s="22"/>
      <c r="L2" s="220"/>
      <c r="M2" s="1450" t="s">
        <v>15999</v>
      </c>
      <c r="N2" s="1451"/>
      <c r="O2" s="220"/>
      <c r="P2" s="1450" t="s">
        <v>403</v>
      </c>
      <c r="Q2" s="1451"/>
      <c r="R2" s="220"/>
      <c r="S2" s="1450" t="s">
        <v>16000</v>
      </c>
      <c r="T2" s="1451"/>
      <c r="U2" s="220"/>
      <c r="V2" s="1450" t="s">
        <v>393</v>
      </c>
      <c r="W2" s="1451"/>
      <c r="Y2" s="1450" t="s">
        <v>406</v>
      </c>
      <c r="Z2" s="1451"/>
    </row>
    <row r="3" spans="2:26">
      <c r="B3" s="220"/>
      <c r="C3" s="1452"/>
      <c r="D3" s="1453"/>
      <c r="F3" s="1452"/>
      <c r="G3" s="1453"/>
      <c r="H3" s="22"/>
      <c r="I3" s="1452"/>
      <c r="J3" s="1453"/>
      <c r="K3" s="22"/>
      <c r="L3" s="220"/>
      <c r="M3" s="1452"/>
      <c r="N3" s="1453"/>
      <c r="O3" s="220"/>
      <c r="P3" s="1452"/>
      <c r="Q3" s="1453"/>
      <c r="R3" s="220"/>
      <c r="S3" s="1452"/>
      <c r="T3" s="1453"/>
      <c r="U3" s="220"/>
      <c r="V3" s="1452"/>
      <c r="W3" s="1453"/>
      <c r="Y3" s="1452"/>
      <c r="Z3" s="1453"/>
    </row>
    <row r="4" spans="2:26">
      <c r="B4" s="220"/>
      <c r="C4" s="92" t="s">
        <v>16001</v>
      </c>
      <c r="D4" s="93" t="s">
        <v>1235</v>
      </c>
      <c r="E4" s="220"/>
      <c r="F4" s="163" t="s">
        <v>16001</v>
      </c>
      <c r="G4" s="202" t="s">
        <v>1235</v>
      </c>
      <c r="H4" s="226"/>
      <c r="I4" s="163" t="s">
        <v>16001</v>
      </c>
      <c r="J4" s="202" t="s">
        <v>1235</v>
      </c>
      <c r="K4" s="226"/>
      <c r="L4" s="220"/>
      <c r="M4" s="92" t="s">
        <v>390</v>
      </c>
      <c r="N4" s="93" t="s">
        <v>760</v>
      </c>
      <c r="O4" s="224"/>
      <c r="P4" s="163" t="s">
        <v>293</v>
      </c>
      <c r="Q4" s="202" t="s">
        <v>1235</v>
      </c>
      <c r="R4" s="220"/>
      <c r="S4" s="92" t="s">
        <v>16000</v>
      </c>
      <c r="T4" s="93" t="s">
        <v>1235</v>
      </c>
      <c r="U4" s="220"/>
      <c r="V4" s="203" t="s">
        <v>16002</v>
      </c>
      <c r="W4" s="204" t="s">
        <v>699</v>
      </c>
      <c r="Y4" s="163" t="s">
        <v>293</v>
      </c>
      <c r="Z4" s="202" t="s">
        <v>1235</v>
      </c>
    </row>
    <row r="5" spans="2:26">
      <c r="B5" s="220"/>
      <c r="C5" s="94" t="s">
        <v>16003</v>
      </c>
      <c r="D5" s="190">
        <f>D37</f>
        <v>1017</v>
      </c>
      <c r="E5" s="220"/>
      <c r="F5" s="77" t="s">
        <v>16004</v>
      </c>
      <c r="G5" s="165">
        <v>1000</v>
      </c>
      <c r="H5" s="227"/>
      <c r="I5" s="77" t="s">
        <v>141</v>
      </c>
      <c r="J5" s="165" t="s">
        <v>803</v>
      </c>
      <c r="K5" s="227"/>
      <c r="L5" s="220"/>
      <c r="M5" s="94" t="s">
        <v>141</v>
      </c>
      <c r="N5" s="190">
        <v>1000</v>
      </c>
      <c r="O5" s="225"/>
      <c r="P5" s="77" t="s">
        <v>404</v>
      </c>
      <c r="Q5" s="165">
        <v>0</v>
      </c>
      <c r="R5" s="220"/>
      <c r="S5" s="94" t="s">
        <v>141</v>
      </c>
      <c r="T5" s="190">
        <v>1000</v>
      </c>
      <c r="U5" s="220"/>
      <c r="V5" s="205" t="s">
        <v>16005</v>
      </c>
      <c r="W5" s="206">
        <v>0</v>
      </c>
      <c r="Y5" s="77" t="s">
        <v>312</v>
      </c>
      <c r="Z5" s="165">
        <v>0</v>
      </c>
    </row>
    <row r="6" spans="2:26">
      <c r="B6" s="220"/>
      <c r="C6" s="94" t="s">
        <v>384</v>
      </c>
      <c r="D6" s="190">
        <v>1800</v>
      </c>
      <c r="E6" s="220"/>
      <c r="F6" s="79" t="s">
        <v>16006</v>
      </c>
      <c r="G6" s="166">
        <v>1300</v>
      </c>
      <c r="H6" s="29"/>
      <c r="I6" s="79" t="s">
        <v>312</v>
      </c>
      <c r="J6" s="166">
        <v>0</v>
      </c>
      <c r="K6" s="29"/>
      <c r="L6" s="220"/>
      <c r="M6" s="94" t="s">
        <v>312</v>
      </c>
      <c r="N6" s="190">
        <v>0</v>
      </c>
      <c r="O6" s="225"/>
      <c r="P6" s="79" t="s">
        <v>16007</v>
      </c>
      <c r="Q6" s="166">
        <v>3500</v>
      </c>
      <c r="R6" s="220"/>
      <c r="S6" s="94" t="s">
        <v>312</v>
      </c>
      <c r="T6" s="190">
        <v>0</v>
      </c>
      <c r="U6" s="220"/>
      <c r="V6" s="94" t="s">
        <v>16008</v>
      </c>
      <c r="W6" s="191">
        <v>0</v>
      </c>
      <c r="Y6" s="79" t="s">
        <v>16009</v>
      </c>
      <c r="Z6" s="166">
        <f>SOLAR!G102*SOLAR!F13*1000/100</f>
        <v>0</v>
      </c>
    </row>
    <row r="7" spans="2:26">
      <c r="B7" s="220"/>
      <c r="C7" s="94"/>
      <c r="D7" s="190"/>
      <c r="E7" s="220"/>
      <c r="F7" s="77" t="s">
        <v>16010</v>
      </c>
      <c r="G7" s="165">
        <v>0</v>
      </c>
      <c r="H7" s="227"/>
      <c r="I7" s="77"/>
      <c r="J7" s="165"/>
      <c r="K7" s="227"/>
      <c r="L7" s="220"/>
      <c r="M7" s="94" t="s">
        <v>391</v>
      </c>
      <c r="N7" s="190">
        <v>300</v>
      </c>
      <c r="O7" s="225"/>
      <c r="P7" s="77" t="s">
        <v>16011</v>
      </c>
      <c r="Q7" s="165">
        <v>2500</v>
      </c>
      <c r="R7" s="220"/>
      <c r="S7" s="94"/>
      <c r="T7" s="190"/>
      <c r="U7" s="220"/>
      <c r="V7" s="205" t="s">
        <v>16012</v>
      </c>
      <c r="W7" s="206">
        <v>0</v>
      </c>
      <c r="Y7" s="77" t="s">
        <v>16013</v>
      </c>
      <c r="Z7" s="165">
        <f>SOLAR!G102/100*SUM(SOLAR!I31:I99)/(1-SOLAR!G102/100)</f>
        <v>0</v>
      </c>
    </row>
    <row r="8" spans="2:26">
      <c r="B8" s="220"/>
      <c r="C8" s="94" t="s">
        <v>16014</v>
      </c>
      <c r="D8" s="190">
        <f>D34</f>
        <v>2342</v>
      </c>
      <c r="E8" s="220"/>
      <c r="F8" s="79" t="s">
        <v>16015</v>
      </c>
      <c r="G8" s="166">
        <v>1500</v>
      </c>
      <c r="H8" s="29"/>
      <c r="I8" s="79"/>
      <c r="J8" s="166"/>
      <c r="K8" s="29"/>
      <c r="L8" s="220"/>
      <c r="M8" s="94"/>
      <c r="N8" s="190"/>
      <c r="O8" s="225"/>
      <c r="P8" s="66"/>
      <c r="Q8" s="67"/>
      <c r="S8" s="66"/>
      <c r="T8" s="67"/>
      <c r="U8" s="220"/>
      <c r="V8" s="94" t="s">
        <v>16016</v>
      </c>
      <c r="W8" s="191">
        <v>0</v>
      </c>
      <c r="Y8" s="66"/>
      <c r="Z8" s="67"/>
    </row>
    <row r="9" spans="2:26">
      <c r="B9" s="220"/>
      <c r="C9" s="94" t="s">
        <v>16017</v>
      </c>
      <c r="D9" s="190">
        <f>D35</f>
        <v>3857</v>
      </c>
      <c r="E9" s="220"/>
      <c r="F9" s="79" t="s">
        <v>16018</v>
      </c>
      <c r="G9" s="166">
        <v>400</v>
      </c>
      <c r="I9" s="66"/>
      <c r="J9" s="67"/>
      <c r="L9" s="220"/>
      <c r="M9" s="94"/>
      <c r="N9" s="190"/>
      <c r="O9" s="225"/>
      <c r="P9" s="66"/>
      <c r="Q9" s="67"/>
      <c r="S9" s="66"/>
      <c r="T9" s="67"/>
      <c r="U9" s="220"/>
      <c r="V9" s="94" t="s">
        <v>16019</v>
      </c>
      <c r="W9" s="191">
        <v>0</v>
      </c>
      <c r="Y9" s="66"/>
      <c r="Z9" s="67"/>
    </row>
    <row r="10" spans="2:26">
      <c r="B10" s="220"/>
      <c r="C10" s="66"/>
      <c r="D10" s="67"/>
      <c r="E10" s="220"/>
      <c r="F10" s="79" t="s">
        <v>387</v>
      </c>
      <c r="G10" s="166">
        <v>400</v>
      </c>
      <c r="I10" s="66"/>
      <c r="J10" s="67"/>
      <c r="L10" s="220"/>
      <c r="M10" s="94"/>
      <c r="N10" s="190"/>
      <c r="O10" s="225"/>
      <c r="P10" s="66"/>
      <c r="Q10" s="67"/>
      <c r="S10" s="66"/>
      <c r="T10" s="67"/>
      <c r="U10" s="220"/>
      <c r="V10" s="94" t="s">
        <v>16020</v>
      </c>
      <c r="W10" s="191">
        <v>0</v>
      </c>
      <c r="Y10" s="66"/>
      <c r="Z10" s="67"/>
    </row>
    <row r="11" spans="2:26" ht="16.2" thickBot="1">
      <c r="B11" s="220"/>
      <c r="C11" s="94" t="s">
        <v>16021</v>
      </c>
      <c r="D11" s="190">
        <f>SUM(D43:D46)</f>
        <v>425</v>
      </c>
      <c r="E11" s="220"/>
      <c r="F11" s="77" t="s">
        <v>68</v>
      </c>
      <c r="G11" s="165">
        <v>0</v>
      </c>
      <c r="I11" s="88"/>
      <c r="J11" s="76"/>
      <c r="L11" s="220"/>
      <c r="M11" s="66"/>
      <c r="N11" s="67"/>
      <c r="O11" s="220"/>
      <c r="P11" s="88"/>
      <c r="Q11" s="76"/>
      <c r="S11" s="88"/>
      <c r="T11" s="76"/>
      <c r="U11" s="220"/>
      <c r="V11" s="66"/>
      <c r="W11" s="71"/>
      <c r="Y11" s="88"/>
      <c r="Z11" s="76"/>
    </row>
    <row r="12" spans="2:26" ht="16.2" thickBot="1">
      <c r="C12" s="94" t="s">
        <v>16022</v>
      </c>
      <c r="D12" s="190">
        <f>D11+D32</f>
        <v>1855</v>
      </c>
      <c r="E12" s="220"/>
      <c r="F12" s="88"/>
      <c r="G12" s="76"/>
      <c r="L12" s="220"/>
      <c r="M12" s="88"/>
      <c r="N12" s="76"/>
      <c r="O12" s="220"/>
      <c r="U12" s="220"/>
      <c r="V12" s="203" t="s">
        <v>321</v>
      </c>
      <c r="W12" s="207" t="s">
        <v>699</v>
      </c>
    </row>
    <row r="13" spans="2:26" ht="16.2" thickBot="1">
      <c r="C13" s="88"/>
      <c r="D13" s="76" t="s">
        <v>847</v>
      </c>
      <c r="E13" s="220"/>
      <c r="L13" s="220"/>
      <c r="O13" s="220"/>
      <c r="U13" s="220"/>
      <c r="V13" s="205" t="s">
        <v>16023</v>
      </c>
      <c r="W13" s="206">
        <v>0</v>
      </c>
    </row>
    <row r="14" spans="2:26" ht="16.2" thickBot="1">
      <c r="O14" s="220"/>
      <c r="U14" s="220"/>
      <c r="V14" s="94" t="s">
        <v>16024</v>
      </c>
      <c r="W14" s="191" t="s">
        <v>16025</v>
      </c>
    </row>
    <row r="15" spans="2:26">
      <c r="C15" s="616" t="s">
        <v>16026</v>
      </c>
      <c r="U15" s="220"/>
      <c r="V15" s="66"/>
      <c r="W15" s="71"/>
    </row>
    <row r="16" spans="2:26">
      <c r="C16" s="1264" t="str" cm="1">
        <f t="array" ref="C16:C17">IF(OR(SOLAR!F13&gt;=600,SOLAR!F14="PPA",AND(SOLAR!F13&gt;100,SOLAR!F19="Yes")),_xlfn.IFS(OR(SOLAR!F13&gt;=600,SOLAR!F14="PPA"),'7. Monitoring + Warranty'!C8:C9,AND(SOLAR!F13&gt;100,SOLAR!F19="Yes"),'7. Monitoring + Warranty'!C11:C12),'7. Monitoring + Warranty'!C5:C6)</f>
        <v>Solar Analytics Generation</v>
      </c>
      <c r="U16" s="220"/>
      <c r="V16" s="203" t="s">
        <v>397</v>
      </c>
      <c r="W16" s="207" t="s">
        <v>1235</v>
      </c>
    </row>
    <row r="17" spans="2:23" ht="16.2" thickBot="1">
      <c r="C17" s="1265" t="str">
        <v>Solar Analytics Generation + Consumption</v>
      </c>
      <c r="U17" s="220"/>
      <c r="V17" s="205" t="s">
        <v>141</v>
      </c>
      <c r="W17" s="206" t="s">
        <v>16025</v>
      </c>
    </row>
    <row r="18" spans="2:23" ht="16.2" thickBot="1">
      <c r="U18" s="220"/>
      <c r="V18" s="94" t="s">
        <v>312</v>
      </c>
      <c r="W18" s="191">
        <v>0</v>
      </c>
    </row>
    <row r="19" spans="2:23" ht="16.2" thickBot="1">
      <c r="C19" s="1490" t="s">
        <v>16027</v>
      </c>
      <c r="D19" s="1491"/>
      <c r="U19" s="220"/>
      <c r="V19" s="66"/>
      <c r="W19" s="71"/>
    </row>
    <row r="20" spans="2:23">
      <c r="C20" s="617" t="s">
        <v>16003</v>
      </c>
      <c r="D20" s="618">
        <f>VLOOKUP(C16,C5:D12,2,FALSE)</f>
        <v>1017</v>
      </c>
      <c r="U20" s="220"/>
      <c r="V20" s="203" t="s">
        <v>399</v>
      </c>
      <c r="W20" s="207" t="s">
        <v>1235</v>
      </c>
    </row>
    <row r="21" spans="2:23" ht="16.2" thickBot="1">
      <c r="C21" s="185" t="s">
        <v>384</v>
      </c>
      <c r="D21" s="186">
        <f>VLOOKUP(C17,C5:D12,2,FALSE)</f>
        <v>1800</v>
      </c>
      <c r="U21" s="220"/>
      <c r="V21" s="205" t="s">
        <v>141</v>
      </c>
      <c r="W21" s="206"/>
    </row>
    <row r="22" spans="2:23">
      <c r="C22" s="617" t="s">
        <v>312</v>
      </c>
      <c r="D22" s="618">
        <v>0</v>
      </c>
      <c r="H22" s="91"/>
      <c r="I22" s="91"/>
      <c r="J22" s="91"/>
      <c r="K22" s="91"/>
      <c r="U22" s="220"/>
      <c r="V22" s="94" t="s">
        <v>16028</v>
      </c>
      <c r="W22" s="191">
        <v>0</v>
      </c>
    </row>
    <row r="23" spans="2:23">
      <c r="G23" s="91"/>
      <c r="H23" s="91"/>
      <c r="I23" s="91"/>
      <c r="J23" s="91"/>
      <c r="K23" s="91"/>
      <c r="U23" s="220"/>
      <c r="V23" s="66"/>
      <c r="W23" s="71"/>
    </row>
    <row r="24" spans="2:23">
      <c r="G24" s="91"/>
      <c r="H24" s="91"/>
      <c r="I24" s="91"/>
      <c r="J24" s="91"/>
      <c r="K24" s="91"/>
      <c r="U24" s="220"/>
      <c r="V24" s="203" t="s">
        <v>16029</v>
      </c>
      <c r="W24" s="207" t="s">
        <v>1235</v>
      </c>
    </row>
    <row r="25" spans="2:23">
      <c r="G25" s="91"/>
      <c r="H25" s="91"/>
      <c r="I25" s="91"/>
      <c r="J25" s="91"/>
      <c r="K25" s="91"/>
      <c r="U25" s="220"/>
      <c r="V25" s="205" t="s">
        <v>141</v>
      </c>
      <c r="W25" s="206">
        <v>0.04</v>
      </c>
    </row>
    <row r="26" spans="2:23">
      <c r="G26" s="91"/>
      <c r="H26" s="91"/>
      <c r="I26" s="91"/>
      <c r="J26" s="91"/>
      <c r="K26" s="91"/>
      <c r="U26" s="220"/>
      <c r="V26" s="94" t="s">
        <v>312</v>
      </c>
      <c r="W26" s="191">
        <v>0</v>
      </c>
    </row>
    <row r="27" spans="2:23">
      <c r="C27" s="1488" t="s">
        <v>16030</v>
      </c>
      <c r="D27" s="1489"/>
      <c r="G27" s="91"/>
      <c r="H27" s="91"/>
      <c r="I27" s="91"/>
      <c r="J27" s="91"/>
      <c r="K27" s="91"/>
      <c r="U27" s="220"/>
      <c r="V27" s="66"/>
      <c r="W27" s="71"/>
    </row>
    <row r="28" spans="2:23">
      <c r="C28" s="619" t="s">
        <v>16031</v>
      </c>
      <c r="D28" s="620">
        <v>0</v>
      </c>
      <c r="G28" s="91"/>
      <c r="U28" s="220"/>
      <c r="V28" s="203" t="s">
        <v>16032</v>
      </c>
      <c r="W28" s="207" t="s">
        <v>16033</v>
      </c>
    </row>
    <row r="29" spans="2:23">
      <c r="C29" s="619" t="s">
        <v>16034</v>
      </c>
      <c r="D29" s="620">
        <f>935+755</f>
        <v>1690</v>
      </c>
      <c r="U29" s="220"/>
      <c r="V29" s="205" t="s">
        <v>141</v>
      </c>
      <c r="W29" s="206"/>
    </row>
    <row r="30" spans="2:23">
      <c r="C30" s="619" t="s">
        <v>16035</v>
      </c>
      <c r="D30" s="620">
        <f>AVERAGE(55,100,155,185,215)</f>
        <v>142</v>
      </c>
      <c r="U30" s="220"/>
      <c r="V30" s="94" t="s">
        <v>312</v>
      </c>
      <c r="W30" s="191"/>
    </row>
    <row r="31" spans="2:23">
      <c r="C31" s="619" t="s">
        <v>16036</v>
      </c>
      <c r="D31" s="620">
        <v>85</v>
      </c>
      <c r="V31" s="66"/>
      <c r="W31" s="71"/>
    </row>
    <row r="32" spans="2:23" ht="16.2" thickBot="1">
      <c r="B32" t="s">
        <v>16037</v>
      </c>
      <c r="C32" s="619" t="s">
        <v>16038</v>
      </c>
      <c r="D32" s="620">
        <v>1430</v>
      </c>
      <c r="V32" s="88"/>
      <c r="W32" s="76"/>
    </row>
    <row r="33" spans="3:4">
      <c r="C33" s="619" t="s">
        <v>16039</v>
      </c>
      <c r="D33" s="620">
        <v>320</v>
      </c>
    </row>
    <row r="34" spans="3:4">
      <c r="C34" s="619" t="s">
        <v>16040</v>
      </c>
      <c r="D34" s="620">
        <f>D28+D29+D30+D31+D40</f>
        <v>2342</v>
      </c>
    </row>
    <row r="35" spans="3:4">
      <c r="C35" s="619" t="s">
        <v>16041</v>
      </c>
      <c r="D35" s="620">
        <f>D34+D32+D31</f>
        <v>3857</v>
      </c>
    </row>
    <row r="36" spans="3:4">
      <c r="C36" s="619"/>
      <c r="D36" s="619"/>
    </row>
    <row r="37" spans="3:4">
      <c r="C37" s="619" t="s">
        <v>16003</v>
      </c>
      <c r="D37" s="621">
        <f>D33+D31+D30+D40+D48</f>
        <v>1017</v>
      </c>
    </row>
    <row r="38" spans="3:4">
      <c r="C38" s="619" t="s">
        <v>384</v>
      </c>
      <c r="D38" s="621">
        <f>D37+D32+D31+D40</f>
        <v>2957</v>
      </c>
    </row>
    <row r="39" spans="3:4">
      <c r="C39" s="619"/>
      <c r="D39" s="619"/>
    </row>
    <row r="40" spans="3:4">
      <c r="C40" s="619" t="s">
        <v>16042</v>
      </c>
      <c r="D40" s="619">
        <v>425</v>
      </c>
    </row>
    <row r="41" spans="3:4">
      <c r="C41" s="619"/>
      <c r="D41" s="619"/>
    </row>
    <row r="42" spans="3:4">
      <c r="C42" s="619" t="s">
        <v>16043</v>
      </c>
      <c r="D42" s="619">
        <f>IF(ISBLANK(SOLAR!G39),SOLAR!F39,SOLAR!G39)+IF(SOLAR!D45="Included",BESS!E4,0)</f>
        <v>1</v>
      </c>
    </row>
    <row r="43" spans="3:4">
      <c r="C43" s="619" t="s">
        <v>16044</v>
      </c>
      <c r="D43" s="620">
        <f>(D42-1)*D30</f>
        <v>0</v>
      </c>
    </row>
    <row r="44" spans="3:4">
      <c r="C44" s="619" t="s">
        <v>16045</v>
      </c>
      <c r="D44" s="621">
        <f>ROUNDUP((D42-1)/2,0)*D33</f>
        <v>0</v>
      </c>
    </row>
    <row r="45" spans="3:4">
      <c r="C45" s="619" t="s">
        <v>16046</v>
      </c>
      <c r="D45" s="621">
        <f>D42*D40</f>
        <v>425</v>
      </c>
    </row>
    <row r="46" spans="3:4">
      <c r="C46" s="619" t="s">
        <v>16047</v>
      </c>
      <c r="D46" s="621">
        <f>ROUNDUP((D42-1)/2,0)*D31</f>
        <v>0</v>
      </c>
    </row>
    <row r="47" spans="3:4">
      <c r="C47" s="619"/>
      <c r="D47" s="621"/>
    </row>
    <row r="48" spans="3:4">
      <c r="C48" s="619" t="s">
        <v>368</v>
      </c>
      <c r="D48" s="621">
        <v>45</v>
      </c>
    </row>
  </sheetData>
  <mergeCells count="10">
    <mergeCell ref="C27:D27"/>
    <mergeCell ref="C19:D19"/>
    <mergeCell ref="Y2:Z3"/>
    <mergeCell ref="V2:W3"/>
    <mergeCell ref="C2:D3"/>
    <mergeCell ref="F2:G3"/>
    <mergeCell ref="M2:N3"/>
    <mergeCell ref="P2:Q3"/>
    <mergeCell ref="S2:T3"/>
    <mergeCell ref="I2:J3"/>
  </mergeCells>
  <pageMargins left="0.7" right="0.7" top="0.75" bottom="0.75" header="0.3" footer="0.3"/>
  <pageSetup paperSize="9" orientation="portrait" horizontalDpi="1200" verticalDpi="1200" r:id="rId1"/>
  <legacyDrawing r:id="rId2"/>
  <tableParts count="3">
    <tablePart r:id="rId3"/>
    <tablePart r:id="rId4"/>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105B0-97A4-4084-B528-297940DA8E11}">
  <sheetPr codeName="Sheet26">
    <tabColor rgb="FFFFFF00"/>
  </sheetPr>
  <dimension ref="A1:I55"/>
  <sheetViews>
    <sheetView workbookViewId="0"/>
  </sheetViews>
  <sheetFormatPr defaultColWidth="8.59765625" defaultRowHeight="15.6"/>
  <cols>
    <col min="1" max="1" width="11" customWidth="1"/>
    <col min="2" max="2" width="10.5" customWidth="1"/>
    <col min="3" max="3" width="25" bestFit="1" customWidth="1"/>
    <col min="4" max="4" width="18.5" customWidth="1"/>
    <col min="5" max="5" width="9.5" customWidth="1"/>
    <col min="7" max="7" width="10" customWidth="1"/>
    <col min="8" max="8" width="15" customWidth="1"/>
    <col min="9" max="9" width="13.3984375" bestFit="1" customWidth="1"/>
  </cols>
  <sheetData>
    <row r="1" spans="1:9">
      <c r="A1" t="s">
        <v>16048</v>
      </c>
      <c r="B1" t="s">
        <v>16049</v>
      </c>
      <c r="C1" t="s">
        <v>16050</v>
      </c>
      <c r="D1" t="s">
        <v>16051</v>
      </c>
      <c r="E1" t="s">
        <v>16052</v>
      </c>
      <c r="F1" t="s">
        <v>16053</v>
      </c>
      <c r="G1" t="s">
        <v>16054</v>
      </c>
      <c r="H1" t="s">
        <v>16055</v>
      </c>
      <c r="I1" t="s">
        <v>766</v>
      </c>
    </row>
    <row r="2" spans="1:9">
      <c r="A2" t="s">
        <v>16056</v>
      </c>
      <c r="B2" t="s">
        <v>16057</v>
      </c>
      <c r="C2" t="str">
        <f>SOLAR!C38</f>
        <v xml:space="preserve">Panel </v>
      </c>
      <c r="D2" t="b">
        <v>1</v>
      </c>
      <c r="E2">
        <f xml:space="preserve"> IF(SUMIF(SOLAR!C$10:C$204,C2, SOLAR!F$10:F$204) &gt; 0, SUMIF(SOLAR!C$10:C$204,C2, SOLAR!F$10:F$204), (IF(H2&gt;0, 1, 0)))</f>
        <v>200</v>
      </c>
      <c r="G2" s="622">
        <f>IFERROR(H2/E2,0)</f>
        <v>109.60714285714286</v>
      </c>
      <c r="H2" s="622">
        <f xml:space="preserve"> SUMIF(SOLAR!C$10:C$204,C2, SOLAR!I$10:I$204)</f>
        <v>21921.428571428572</v>
      </c>
    </row>
    <row r="3" spans="1:9">
      <c r="A3" t="s">
        <v>16058</v>
      </c>
      <c r="B3" t="s">
        <v>16057</v>
      </c>
      <c r="C3" t="str">
        <f>SOLAR!C42</f>
        <v>Optimiser</v>
      </c>
      <c r="D3" t="b">
        <v>1</v>
      </c>
      <c r="E3">
        <f xml:space="preserve"> IF(SUMIF(SOLAR!C$10:C$204,C3, SOLAR!F$10:F$204) &gt; 0, SUMIF(SOLAR!C$10:C$204,C3, SOLAR!F$10:F$204), (IF(H3&gt;0, 1, 0)))</f>
        <v>0</v>
      </c>
      <c r="G3" s="622">
        <f t="shared" ref="G3:G54" si="0">IFERROR(H3/E3,0)</f>
        <v>0</v>
      </c>
      <c r="H3" s="622">
        <f xml:space="preserve"> SUMIF(SOLAR!C$10:C$204,C3, SOLAR!I$10:I$204)</f>
        <v>0</v>
      </c>
    </row>
    <row r="4" spans="1:9">
      <c r="A4" t="s">
        <v>16059</v>
      </c>
      <c r="B4" t="s">
        <v>16057</v>
      </c>
      <c r="C4" t="str">
        <f>SOLAR!C39</f>
        <v>Solar Only Inverter</v>
      </c>
      <c r="D4" t="b">
        <v>1</v>
      </c>
      <c r="E4">
        <f xml:space="preserve"> IF(SUMIF(SOLAR!C$10:C$204,C4, SOLAR!F$10:F$204) &gt; 0, SUMIF(SOLAR!C$10:C$204,C4, SOLAR!F$10:F$204), (IF(H4&gt;0, 1, 0)))</f>
        <v>1</v>
      </c>
      <c r="G4" s="622">
        <f t="shared" si="0"/>
        <v>7099</v>
      </c>
      <c r="H4" s="622">
        <f xml:space="preserve"> SUMIF(SOLAR!C$10:C$204,C4, SOLAR!I$10:I$204)</f>
        <v>7099</v>
      </c>
    </row>
    <row r="5" spans="1:9">
      <c r="A5" t="s">
        <v>16060</v>
      </c>
      <c r="B5" t="s">
        <v>16057</v>
      </c>
      <c r="C5" t="str">
        <f>SOLAR!C40</f>
        <v>Inverter Station</v>
      </c>
      <c r="D5" t="b">
        <v>1</v>
      </c>
      <c r="E5">
        <f xml:space="preserve"> IF(SUMIF(SOLAR!C$10:C$204,C5, SOLAR!F$10:F$204) &gt; 0, SUMIF(SOLAR!C$10:C$204,C5, SOLAR!F$10:F$204), (IF(H5&gt;0, 1, 0)))</f>
        <v>1</v>
      </c>
      <c r="G5" s="622">
        <f t="shared" si="0"/>
        <v>300</v>
      </c>
      <c r="H5" s="622">
        <f xml:space="preserve"> SUMIF(SOLAR!C$10:C$204,C5, SOLAR!I$10:I$204)</f>
        <v>300</v>
      </c>
    </row>
    <row r="6" spans="1:9">
      <c r="A6" t="s">
        <v>16061</v>
      </c>
      <c r="B6" t="s">
        <v>16057</v>
      </c>
      <c r="C6" t="str">
        <f>SOLAR!C41</f>
        <v>Racking</v>
      </c>
      <c r="D6" t="b">
        <v>1</v>
      </c>
      <c r="E6">
        <f xml:space="preserve"> IF(SUMIF(SOLAR!C$10:C$204,C6, SOLAR!F$10:F$204) &gt; 0, SUMIF(SOLAR!C$10:C$204,C6, SOLAR!F$10:F$204), (IF(H6&gt;0, 1, 0)))</f>
        <v>1</v>
      </c>
      <c r="G6" s="622">
        <f t="shared" si="0"/>
        <v>6306.4399999999987</v>
      </c>
      <c r="H6" s="622">
        <f xml:space="preserve"> SUMIF(SOLAR!C$10:C$204,C6, SOLAR!I$10:I$204)</f>
        <v>6306.4399999999987</v>
      </c>
    </row>
    <row r="7" spans="1:9">
      <c r="A7" t="s">
        <v>16062</v>
      </c>
      <c r="B7" t="s">
        <v>16057</v>
      </c>
      <c r="C7" t="str">
        <f>SOLAR!C50</f>
        <v>AC PVDB to MSB Cabling</v>
      </c>
      <c r="D7" t="b">
        <v>1</v>
      </c>
      <c r="E7">
        <f xml:space="preserve"> IF(SUMIF(SOLAR!C$10:C$204,C7, SOLAR!F$10:F$204) &gt; 0, SUMIF(SOLAR!C$10:C$204,C7, SOLAR!F$10:F$204), (IF(H7&gt;0, 1, 0)))</f>
        <v>70</v>
      </c>
      <c r="G7" s="622">
        <f t="shared" si="0"/>
        <v>9.4988214285714285</v>
      </c>
      <c r="H7" s="622">
        <f xml:space="preserve"> SUMIF(SOLAR!C$10:C$204,C7, SOLAR!I$10:I$204)</f>
        <v>664.91750000000002</v>
      </c>
    </row>
    <row r="8" spans="1:9">
      <c r="A8" t="s">
        <v>16063</v>
      </c>
      <c r="B8" t="s">
        <v>16057</v>
      </c>
      <c r="C8" t="str">
        <f>SOLAR!C49</f>
        <v>AC Inverter to PVDB</v>
      </c>
      <c r="D8" t="b">
        <v>1</v>
      </c>
      <c r="E8">
        <f xml:space="preserve"> IF(SUMIF(SOLAR!C$10:C$204,C8, SOLAR!F$10:F$204) &gt; 0, SUMIF(SOLAR!C$10:C$204,C8, SOLAR!F$10:F$204), (IF(H8&gt;0, 1, 0)))</f>
        <v>70</v>
      </c>
      <c r="G8" s="622">
        <f t="shared" si="0"/>
        <v>4.7494107142857143</v>
      </c>
      <c r="H8" s="622">
        <f xml:space="preserve"> SUMIF(SOLAR!C$10:C$204,C8, SOLAR!I$10:I$204)</f>
        <v>332.45875000000001</v>
      </c>
    </row>
    <row r="9" spans="1:9">
      <c r="A9" t="s">
        <v>16064</v>
      </c>
      <c r="B9" t="s">
        <v>16057</v>
      </c>
      <c r="C9" t="str">
        <f>SOLAR!C57</f>
        <v>AC Solar Main Switch</v>
      </c>
      <c r="D9" t="b">
        <v>1</v>
      </c>
      <c r="E9">
        <f xml:space="preserve"> IF(SUMIF(SOLAR!C$10:C$204,C9, SOLAR!F$10:F$204) &gt; 0, SUMIF(SOLAR!C$10:C$204,C9, SOLAR!F$10:F$204), (IF(H9&gt;0, 1, 0)))</f>
        <v>1</v>
      </c>
      <c r="G9" s="622">
        <f>IFERROR(H9/E9,0)</f>
        <v>1400</v>
      </c>
      <c r="H9" s="622">
        <f xml:space="preserve"> SUMIF(SOLAR!C$10:C$204,C9, SOLAR!I$10:I$204)+SOLAR!I58</f>
        <v>1400</v>
      </c>
    </row>
    <row r="10" spans="1:9">
      <c r="A10" t="s">
        <v>16065</v>
      </c>
      <c r="B10" t="s">
        <v>16057</v>
      </c>
      <c r="C10" t="str">
        <f>SOLAR!C48</f>
        <v>DC Cabling</v>
      </c>
      <c r="D10" t="b">
        <v>1</v>
      </c>
      <c r="E10">
        <f xml:space="preserve"> IF(SUMIF(SOLAR!C$10:C$204,C10, SOLAR!F$10:F$204) &gt; 0, SUMIF(SOLAR!C$10:C$204,C10, SOLAR!F$10:F$204), (IF(H10&gt;0, 1, 0)))</f>
        <v>1</v>
      </c>
      <c r="G10" s="622">
        <f t="shared" si="0"/>
        <v>2336.0500000000002</v>
      </c>
      <c r="H10" s="622">
        <f xml:space="preserve"> SUMIF(SOLAR!C$10:C$204,C10, SOLAR!I$10:I$204)</f>
        <v>2336.0500000000002</v>
      </c>
    </row>
    <row r="11" spans="1:9">
      <c r="A11" t="s">
        <v>16066</v>
      </c>
      <c r="B11" t="s">
        <v>16057</v>
      </c>
      <c r="C11" t="str">
        <f>SOLAR!C63</f>
        <v>Consumables</v>
      </c>
      <c r="D11" t="b">
        <v>1</v>
      </c>
      <c r="E11">
        <f xml:space="preserve"> IF(SUMIF(SOLAR!C$10:C$204,C11, SOLAR!F$10:F$204) &gt; 0, SUMIF(SOLAR!C$10:C$204,C11, SOLAR!F$10:F$204), (IF(H11&gt;0, 1, 0)))</f>
        <v>1</v>
      </c>
      <c r="G11" s="622">
        <f t="shared" si="0"/>
        <v>3000</v>
      </c>
      <c r="H11" s="622">
        <f xml:space="preserve"> SUMIF(SOLAR!C$10:C$204,C11, SOLAR!I$10:I$204)</f>
        <v>3000</v>
      </c>
    </row>
    <row r="12" spans="1:9">
      <c r="A12" t="s">
        <v>16067</v>
      </c>
      <c r="B12" t="s">
        <v>16057</v>
      </c>
      <c r="C12" t="str">
        <f>SOLAR!C51</f>
        <v>Cable Tray*</v>
      </c>
      <c r="D12" t="b">
        <v>1</v>
      </c>
      <c r="E12">
        <f xml:space="preserve"> IF(SUMIF(SOLAR!C$10:C$204,C12, SOLAR!F$10:F$204) &gt; 0, SUMIF(SOLAR!C$10:C$204,C12, SOLAR!F$10:F$204), (IF(H12&gt;0, 1, 0)))</f>
        <v>1</v>
      </c>
      <c r="G12" s="622">
        <f t="shared" si="0"/>
        <v>2328.3333333333335</v>
      </c>
      <c r="H12" s="622">
        <f xml:space="preserve"> SUMIF(SOLAR!C$10:C$204,C12, SOLAR!I$10:I$204)</f>
        <v>2328.3333333333335</v>
      </c>
    </row>
    <row r="13" spans="1:9">
      <c r="A13" t="s">
        <v>16068</v>
      </c>
      <c r="B13" t="s">
        <v>16057</v>
      </c>
      <c r="C13" t="str">
        <f>SOLAR!$C$59</f>
        <v>PV Distribution Board</v>
      </c>
      <c r="D13" t="b">
        <v>1</v>
      </c>
      <c r="E13">
        <f xml:space="preserve"> IF(SUMIF(SOLAR!C$10:C$204,C13, SOLAR!F$10:F$204) &gt; 0, SUMIF(SOLAR!C$10:C$204,C13, SOLAR!F$10:F$204), (IF(H13&gt;0, 1, 0)))</f>
        <v>1</v>
      </c>
      <c r="G13" s="622">
        <f t="shared" si="0"/>
        <v>6050.0000000000009</v>
      </c>
      <c r="H13" s="622">
        <f xml:space="preserve"> SUMIF(SOLAR!C$10:C$204,C13, SOLAR!I$10:I$204)</f>
        <v>6050.0000000000009</v>
      </c>
    </row>
    <row r="14" spans="1:9">
      <c r="A14" t="s">
        <v>16069</v>
      </c>
      <c r="B14" t="s">
        <v>16057</v>
      </c>
      <c r="C14" t="str">
        <f>SOLAR!C55</f>
        <v>DC Combiner</v>
      </c>
      <c r="D14" t="b">
        <v>1</v>
      </c>
      <c r="E14">
        <f xml:space="preserve"> IF(SUMIF(SOLAR!C$10:C$204,C14, SOLAR!F$10:F$204) &gt; 0, SUMIF(SOLAR!C$10:C$204,C14, SOLAR!F$10:F$204), (IF(H14&gt;0, 1, 0)))</f>
        <v>0</v>
      </c>
      <c r="G14" s="622">
        <f t="shared" si="0"/>
        <v>0</v>
      </c>
      <c r="H14" s="622">
        <f xml:space="preserve"> SUMIF(SOLAR!C$10:C$204,C14, SOLAR!I$10:I$204)</f>
        <v>0</v>
      </c>
    </row>
    <row r="15" spans="1:9">
      <c r="A15" t="s">
        <v>16070</v>
      </c>
      <c r="B15" t="s">
        <v>16057</v>
      </c>
      <c r="C15" t="str">
        <f>SOLAR!C56</f>
        <v xml:space="preserve">Existing MSB Connection </v>
      </c>
      <c r="D15" t="b">
        <v>1</v>
      </c>
      <c r="E15">
        <f xml:space="preserve"> IF(SUMIF(SOLAR!C$10:C$204,C15, SOLAR!F$10:F$204) &gt; 0, SUMIF(SOLAR!C$10:C$204,C15, SOLAR!F$10:F$204), (IF(H15&gt;0, 1, 0)))</f>
        <v>0</v>
      </c>
      <c r="G15" s="622">
        <f t="shared" si="0"/>
        <v>0</v>
      </c>
      <c r="H15" s="622">
        <f xml:space="preserve"> SUMIF(SOLAR!C$10:C$204,C15, SOLAR!I$10:I$204)</f>
        <v>0</v>
      </c>
    </row>
    <row r="16" spans="1:9">
      <c r="A16" t="s">
        <v>16071</v>
      </c>
      <c r="B16" t="s">
        <v>16057</v>
      </c>
      <c r="C16" t="str">
        <f>SOLAR!C43</f>
        <v>Power Factor Correction</v>
      </c>
      <c r="D16" t="b">
        <v>1</v>
      </c>
      <c r="E16">
        <f xml:space="preserve"> IF(SUMIF(SOLAR!C$10:C$204,C16, SOLAR!F$10:F$204) &gt; 0, SUMIF(SOLAR!C$10:C$204,C16, SOLAR!F$10:F$204), (IF(H16&gt;0, 1, 0)))</f>
        <v>0</v>
      </c>
      <c r="G16" s="622">
        <f t="shared" si="0"/>
        <v>0</v>
      </c>
      <c r="H16" s="622">
        <f xml:space="preserve"> SUMIF(SOLAR!C$10:C$204,C16, SOLAR!I$10:I$204)</f>
        <v>0</v>
      </c>
    </row>
    <row r="17" spans="1:8">
      <c r="A17" t="s">
        <v>16072</v>
      </c>
      <c r="B17" t="s">
        <v>16073</v>
      </c>
      <c r="C17" t="str">
        <f>SOLAR!C33</f>
        <v>Structural Engineering</v>
      </c>
      <c r="D17" t="b">
        <v>1</v>
      </c>
      <c r="E17">
        <f xml:space="preserve"> IF(SUMIF(SOLAR!C$10:C$204,C17, SOLAR!F$10:F$204) &gt; 0, SUMIF(SOLAR!C$10:C$204,C17, SOLAR!F$10:F$204), (IF(H17&gt;0, 1, 0)))</f>
        <v>1</v>
      </c>
      <c r="G17" s="622">
        <f t="shared" si="0"/>
        <v>1800</v>
      </c>
      <c r="H17" s="622">
        <f xml:space="preserve"> SUMIF(SOLAR!C$10:C$204,C17, SOLAR!I$10:I$204)</f>
        <v>1800</v>
      </c>
    </row>
    <row r="18" spans="1:8">
      <c r="A18" t="s">
        <v>16074</v>
      </c>
      <c r="B18" t="s">
        <v>16073</v>
      </c>
      <c r="C18" t="str">
        <f>SOLAR!C32</f>
        <v>Council Permissions</v>
      </c>
      <c r="D18" t="b">
        <v>1</v>
      </c>
      <c r="E18">
        <f xml:space="preserve"> IF(SUMIF(SOLAR!C$10:C$204,C18, SOLAR!F$10:F$204) &gt; 0, SUMIF(SOLAR!C$10:C$204,C18, SOLAR!F$10:F$204), (IF(H18&gt;0, 1, 0)))</f>
        <v>0</v>
      </c>
      <c r="G18" s="622">
        <f t="shared" si="0"/>
        <v>0</v>
      </c>
      <c r="H18" s="622">
        <f xml:space="preserve"> SUMIF(SOLAR!C$10:C$204,C18, SOLAR!I$10:I$204)</f>
        <v>0</v>
      </c>
    </row>
    <row r="19" spans="1:8">
      <c r="A19" t="s">
        <v>16075</v>
      </c>
      <c r="B19" t="s">
        <v>16073</v>
      </c>
      <c r="C19" t="str">
        <f>SOLAR!C31</f>
        <v>Grid Connection Application</v>
      </c>
      <c r="D19" t="b">
        <v>1</v>
      </c>
      <c r="E19">
        <f xml:space="preserve"> IF(SUMIF(SOLAR!C$10:C$204,C19, SOLAR!F$10:F$204) &gt; 0, SUMIF(SOLAR!C$10:C$204,C19, SOLAR!F$10:F$204), (IF(H19&gt;0, 1, 0)))</f>
        <v>1</v>
      </c>
      <c r="G19" s="622">
        <f t="shared" si="0"/>
        <v>504.90000000000003</v>
      </c>
      <c r="H19" s="622">
        <f xml:space="preserve"> SUMIF(SOLAR!C$10:C$204,C19, SOLAR!I$10:I$204)</f>
        <v>504.90000000000003</v>
      </c>
    </row>
    <row r="20" spans="1:8">
      <c r="A20" t="s">
        <v>16076</v>
      </c>
      <c r="B20" t="s">
        <v>16073</v>
      </c>
      <c r="C20" t="str">
        <f>SOLAR!C36</f>
        <v>Other Engineering</v>
      </c>
      <c r="D20" t="b">
        <v>1</v>
      </c>
      <c r="E20">
        <f xml:space="preserve"> IF(SUMIF(SOLAR!C$10:C$204,C20, SOLAR!F$10:F$204) &gt; 0, SUMIF(SOLAR!C$10:C$204,C20, SOLAR!F$10:F$204), (IF(H20&gt;0, 1, 0)))</f>
        <v>0</v>
      </c>
      <c r="G20" s="622">
        <f t="shared" si="0"/>
        <v>0</v>
      </c>
      <c r="H20" s="622">
        <f xml:space="preserve"> SUMIF(SOLAR!C$10:C$204,C20, SOLAR!I$10:I$204)</f>
        <v>0</v>
      </c>
    </row>
    <row r="21" spans="1:8">
      <c r="A21" s="606" t="s">
        <v>16077</v>
      </c>
      <c r="B21" t="s">
        <v>16073</v>
      </c>
      <c r="C21" t="str">
        <f>SOLAR!C121</f>
        <v>HV Engineering</v>
      </c>
      <c r="D21" t="b">
        <v>1</v>
      </c>
      <c r="E21">
        <f>IF(SOLAR!D121="Included",1,0)</f>
        <v>0</v>
      </c>
      <c r="G21" s="622">
        <f t="shared" si="0"/>
        <v>0</v>
      </c>
      <c r="H21" s="622">
        <f>SOLAR!G121</f>
        <v>0</v>
      </c>
    </row>
    <row r="22" spans="1:8">
      <c r="A22" s="606" t="s">
        <v>16078</v>
      </c>
      <c r="B22" t="s">
        <v>16079</v>
      </c>
      <c r="C22" t="str">
        <f>SOLAR!C122</f>
        <v>HV Equipment</v>
      </c>
      <c r="D22" t="b">
        <v>1</v>
      </c>
      <c r="E22">
        <f>IF(SOLAR!D122="Included",1,0)</f>
        <v>0</v>
      </c>
      <c r="G22" s="622">
        <f t="shared" si="0"/>
        <v>0</v>
      </c>
      <c r="H22" s="622">
        <f>SOLAR!G122</f>
        <v>0</v>
      </c>
    </row>
    <row r="23" spans="1:8">
      <c r="A23" s="657" t="s">
        <v>16080</v>
      </c>
      <c r="B23" s="657" t="s">
        <v>16081</v>
      </c>
      <c r="C23" s="657" t="s">
        <v>244</v>
      </c>
      <c r="D23" s="657" t="b">
        <v>1</v>
      </c>
      <c r="E23" s="657"/>
      <c r="F23" s="657"/>
      <c r="G23" s="1180"/>
      <c r="H23" s="1180">
        <f ca="1" xml:space="preserve"> SUMIF(SOLAR!G$10:G$20,C23, SOLAR!J$10:J$20)</f>
        <v>922.04692941155554</v>
      </c>
    </row>
    <row r="24" spans="1:8">
      <c r="A24" t="s">
        <v>16082</v>
      </c>
      <c r="B24" t="s">
        <v>16079</v>
      </c>
      <c r="C24" t="str">
        <f>SOLAR!C67</f>
        <v>Freight</v>
      </c>
      <c r="D24" t="b">
        <v>1</v>
      </c>
      <c r="E24">
        <f xml:space="preserve"> IF(SUMIF(SOLAR!C$10:C$204,C24, SOLAR!F$10:F$204) &gt; 0, SUMIF(SOLAR!C$10:C$204,C24, SOLAR!F$10:F$204), (IF(H24&gt;0, 1, 0)))</f>
        <v>1</v>
      </c>
      <c r="G24" s="622">
        <f t="shared" si="0"/>
        <v>1375</v>
      </c>
      <c r="H24" s="622">
        <f xml:space="preserve"> SUMIF(SOLAR!C$10:C$204,C24, SOLAR!I$10:I$204)</f>
        <v>1375</v>
      </c>
    </row>
    <row r="25" spans="1:8">
      <c r="A25" t="s">
        <v>16083</v>
      </c>
      <c r="B25" t="s">
        <v>16079</v>
      </c>
      <c r="C25" t="str">
        <f>SOLAR!C66</f>
        <v>Waste Management</v>
      </c>
      <c r="D25" t="b">
        <v>1</v>
      </c>
      <c r="E25">
        <f xml:space="preserve"> IF(SUMIF(SOLAR!C$10:C$204,C25, SOLAR!F$10:F$204) &gt; 0, SUMIF(SOLAR!C$10:C$204,C25, SOLAR!F$10:F$204), (IF(H25&gt;0, 1, 0)))</f>
        <v>1</v>
      </c>
      <c r="G25" s="622">
        <f t="shared" si="0"/>
        <v>800</v>
      </c>
      <c r="H25" s="622">
        <f xml:space="preserve"> SUMIF(SOLAR!C$10:C$204,C25, SOLAR!I$10:I$204)</f>
        <v>800</v>
      </c>
    </row>
    <row r="26" spans="1:8">
      <c r="A26" t="s">
        <v>16084</v>
      </c>
      <c r="B26" t="s">
        <v>16079</v>
      </c>
      <c r="C26" t="str">
        <f>SOLAR!C74</f>
        <v>Temporary Hand Rail</v>
      </c>
      <c r="D26" t="b">
        <v>1</v>
      </c>
      <c r="E26">
        <f xml:space="preserve"> IF(SUMIF(SOLAR!C$10:C$204,C26, SOLAR!F$10:F$204) &gt; 0, SUMIF(SOLAR!C$10:C$204,C26, SOLAR!F$10:F$204), (IF(H26&gt;0, 1, 0)))</f>
        <v>1</v>
      </c>
      <c r="G26" s="622">
        <f t="shared" si="0"/>
        <v>750</v>
      </c>
      <c r="H26" s="622">
        <f xml:space="preserve"> SUMIF(SOLAR!C$10:C$204,C26, SOLAR!I$10:I$204)</f>
        <v>750</v>
      </c>
    </row>
    <row r="27" spans="1:8">
      <c r="A27" t="s">
        <v>16085</v>
      </c>
      <c r="B27" t="s">
        <v>16079</v>
      </c>
      <c r="C27" t="str">
        <f>SOLAR!C75</f>
        <v>Permanent Hand Rail</v>
      </c>
      <c r="D27" t="b">
        <v>1</v>
      </c>
      <c r="E27">
        <f xml:space="preserve"> IF(SUMIF(SOLAR!C$10:C$204,C27, SOLAR!F$10:F$204) &gt; 0, SUMIF(SOLAR!C$10:C$204,C27, SOLAR!F$10:F$204), (IF(H27&gt;0, 1, 0)))</f>
        <v>0</v>
      </c>
      <c r="G27" s="622">
        <f t="shared" si="0"/>
        <v>0</v>
      </c>
      <c r="H27" s="622">
        <f xml:space="preserve"> SUMIF(SOLAR!C$10:C$204,C27, SOLAR!I$10:I$204)</f>
        <v>0</v>
      </c>
    </row>
    <row r="28" spans="1:8">
      <c r="A28" t="s">
        <v>16086</v>
      </c>
      <c r="B28" t="s">
        <v>16079</v>
      </c>
      <c r="C28" t="str">
        <f>SOLAR!C72</f>
        <v>Skylight Safety</v>
      </c>
      <c r="D28" t="b">
        <v>1</v>
      </c>
      <c r="E28">
        <f xml:space="preserve"> IF(SUMIF(SOLAR!C$10:C$204,C28, SOLAR!F$10:F$204) &gt; 0, SUMIF(SOLAR!C$10:C$204,C28, SOLAR!F$10:F$204), (IF(H28&gt;0, 1, 0)))</f>
        <v>0</v>
      </c>
      <c r="G28" s="622">
        <f t="shared" si="0"/>
        <v>0</v>
      </c>
      <c r="H28" s="622">
        <f xml:space="preserve"> SUMIF(SOLAR!C$10:C$204,C28, SOLAR!I$10:I$204)</f>
        <v>0</v>
      </c>
    </row>
    <row r="29" spans="1:8">
      <c r="A29" t="s">
        <v>16087</v>
      </c>
      <c r="B29" t="s">
        <v>16079</v>
      </c>
      <c r="C29" t="str">
        <f>SOLAR!C73</f>
        <v>Walkway</v>
      </c>
      <c r="D29" t="b">
        <v>1</v>
      </c>
      <c r="E29">
        <f xml:space="preserve"> IF(SUMIF(SOLAR!C$10:C$204,C29, SOLAR!F$10:F$204) &gt; 0, SUMIF(SOLAR!C$10:C$204,C29, SOLAR!F$10:F$204), (IF(H29&gt;0, 1, 0)))</f>
        <v>0</v>
      </c>
      <c r="G29" s="622">
        <f t="shared" si="0"/>
        <v>0</v>
      </c>
      <c r="H29" s="622">
        <f xml:space="preserve"> SUMIF(SOLAR!C$10:C$204,C29, SOLAR!I$10:I$204)</f>
        <v>0</v>
      </c>
    </row>
    <row r="30" spans="1:8">
      <c r="A30" t="s">
        <v>16088</v>
      </c>
      <c r="B30" t="s">
        <v>16079</v>
      </c>
      <c r="C30" t="str">
        <f>SOLAR!C76</f>
        <v>Third Party Safety</v>
      </c>
      <c r="D30" t="b">
        <v>1</v>
      </c>
      <c r="E30">
        <f xml:space="preserve"> IF(SUMIF(SOLAR!C$10:C$204,C30, SOLAR!F$10:F$204) &gt; 0, SUMIF(SOLAR!C$10:C$204,C30, SOLAR!F$10:F$204), (IF(H30&gt;0, 1, 0)))</f>
        <v>0</v>
      </c>
      <c r="G30" s="622">
        <f t="shared" si="0"/>
        <v>0</v>
      </c>
      <c r="H30" s="622">
        <f xml:space="preserve"> SUMIF(SOLAR!C$10:C$204,C30, SOLAR!I$10:I$204)</f>
        <v>0</v>
      </c>
    </row>
    <row r="31" spans="1:8">
      <c r="A31" t="s">
        <v>16089</v>
      </c>
      <c r="B31" t="s">
        <v>16079</v>
      </c>
      <c r="C31" t="str">
        <f>SOLAR!C78</f>
        <v>Anchor Points</v>
      </c>
      <c r="D31" t="b">
        <v>1</v>
      </c>
      <c r="E31">
        <f xml:space="preserve"> IF(SUMIF(SOLAR!C$10:C$204,C31, SOLAR!F$10:F$204) &gt; 0, SUMIF(SOLAR!C$10:C$204,C31, SOLAR!F$10:F$204), (IF(H31&gt;0, 1, 0)))</f>
        <v>0</v>
      </c>
      <c r="G31" s="622">
        <f t="shared" si="0"/>
        <v>0</v>
      </c>
      <c r="H31" s="622">
        <f xml:space="preserve"> SUMIF(SOLAR!C$10:C$204,C31, SOLAR!I$10:I$204)</f>
        <v>0</v>
      </c>
    </row>
    <row r="32" spans="1:8">
      <c r="A32" t="s">
        <v>16090</v>
      </c>
      <c r="B32" t="s">
        <v>16091</v>
      </c>
      <c r="C32" t="str">
        <f>SOLAR!C62</f>
        <v>Installation Labour</v>
      </c>
      <c r="D32" t="b">
        <v>1</v>
      </c>
      <c r="E32">
        <f xml:space="preserve"> IF(SUMIF(SOLAR!C$10:C$204,C32, SOLAR!F$10:F$204) &gt; 0, SUMIF(SOLAR!C$10:C$204,C32, SOLAR!F$10:F$204), (IF(H32&gt;0, 1, 0)))</f>
        <v>1</v>
      </c>
      <c r="G32" s="622">
        <f t="shared" si="0"/>
        <v>28000.000000000004</v>
      </c>
      <c r="H32" s="622">
        <f xml:space="preserve"> SUMIF(SOLAR!C$10:C$204,C32, SOLAR!I$10:I$204)</f>
        <v>28000.000000000004</v>
      </c>
    </row>
    <row r="33" spans="1:8">
      <c r="A33" t="s">
        <v>16092</v>
      </c>
      <c r="B33" t="s">
        <v>16073</v>
      </c>
      <c r="C33" t="str">
        <f>SOLAR!C85</f>
        <v>LGC Contract Establishment</v>
      </c>
      <c r="D33" t="b">
        <v>1</v>
      </c>
      <c r="E33">
        <f xml:space="preserve"> IF(SUMIF(SOLAR!C$10:C$204,C33, SOLAR!F$10:F$204) &gt; 0, SUMIF(SOLAR!C$10:C$204,C33, SOLAR!F$10:F$204), (IF(H33&gt;0, 1, 0)))</f>
        <v>0</v>
      </c>
      <c r="G33" s="622">
        <f t="shared" si="0"/>
        <v>0</v>
      </c>
      <c r="H33" s="622">
        <f xml:space="preserve"> SUMIF(SOLAR!C$10:C$204,C33, SOLAR!I$10:I$204)</f>
        <v>0</v>
      </c>
    </row>
    <row r="34" spans="1:8">
      <c r="A34" t="s">
        <v>16093</v>
      </c>
      <c r="B34" t="s">
        <v>16079</v>
      </c>
      <c r="C34" t="str">
        <f>SOLAR!C65</f>
        <v>Access to Rooftop</v>
      </c>
      <c r="D34" t="b">
        <v>1</v>
      </c>
      <c r="E34">
        <f xml:space="preserve"> IF(SUMIF(SOLAR!C$10:C$204,C34, SOLAR!F$10:F$204) &gt; 0, SUMIF(SOLAR!C$10:C$204,C34, SOLAR!F$10:F$204), (IF(H34&gt;0, 1, 0)))</f>
        <v>0</v>
      </c>
      <c r="G34" s="622">
        <f t="shared" si="0"/>
        <v>0</v>
      </c>
      <c r="H34" s="622">
        <f xml:space="preserve"> SUMIF(SOLAR!C$10:C$204,C34, SOLAR!I$10:I$204)</f>
        <v>0</v>
      </c>
    </row>
    <row r="35" spans="1:8">
      <c r="A35" t="s">
        <v>16094</v>
      </c>
      <c r="B35" t="s">
        <v>16079</v>
      </c>
      <c r="C35" t="str">
        <f>SOLAR!C64</f>
        <v>Lifting of Materials</v>
      </c>
      <c r="D35" t="b">
        <v>1</v>
      </c>
      <c r="E35">
        <f xml:space="preserve"> IF(SUMIF(SOLAR!C$10:C$204,C35, SOLAR!F$10:F$204) &gt; 0, SUMIF(SOLAR!C$10:C$204,C35, SOLAR!F$10:F$204), (IF(H35&gt;0, 1, 0)))</f>
        <v>1</v>
      </c>
      <c r="G35" s="622">
        <f t="shared" si="0"/>
        <v>2600</v>
      </c>
      <c r="H35" s="622">
        <f xml:space="preserve"> SUMIF(SOLAR!C$10:C$204,C35, SOLAR!I$10:I$204)</f>
        <v>2600</v>
      </c>
    </row>
    <row r="36" spans="1:8">
      <c r="A36" t="s">
        <v>16095</v>
      </c>
      <c r="B36" t="s">
        <v>16079</v>
      </c>
      <c r="C36" t="str">
        <f>SOLAR!C77</f>
        <v>Fencing</v>
      </c>
      <c r="D36" t="b">
        <v>1</v>
      </c>
      <c r="E36">
        <f xml:space="preserve"> IF(SUMIF(SOLAR!C$10:C$204,C36, SOLAR!F$10:F$204) &gt; 0, SUMIF(SOLAR!C$10:C$204,C36, SOLAR!F$10:F$204), (IF(H36&gt;0, 1, 0)))</f>
        <v>0</v>
      </c>
      <c r="G36" s="622">
        <f t="shared" si="0"/>
        <v>0</v>
      </c>
      <c r="H36" s="622">
        <f xml:space="preserve"> SUMIF(SOLAR!C$10:C$204,C36, SOLAR!I$10:I$204)</f>
        <v>0</v>
      </c>
    </row>
    <row r="37" spans="1:8">
      <c r="A37" t="s">
        <v>16096</v>
      </c>
      <c r="B37" t="s">
        <v>16057</v>
      </c>
      <c r="C37" t="str">
        <f>SOLAR!C81</f>
        <v>System Monitoring</v>
      </c>
      <c r="D37" t="b">
        <v>1</v>
      </c>
      <c r="E37">
        <f xml:space="preserve"> IF(SUMIF(SOLAR!C$10:C$204,C37, SOLAR!F$10:F$204) &gt; 0, SUMIF(SOLAR!C$10:C$204,C37, SOLAR!F$10:F$204), (IF(H37&gt;0, 1, 0)))</f>
        <v>1</v>
      </c>
      <c r="G37" s="622">
        <f t="shared" si="0"/>
        <v>1800</v>
      </c>
      <c r="H37" s="622">
        <f xml:space="preserve"> SUMIF(SOLAR!C$10:C$204,C37, SOLAR!I$10:I$204)</f>
        <v>1800</v>
      </c>
    </row>
    <row r="38" spans="1:8">
      <c r="A38" t="s">
        <v>16097</v>
      </c>
      <c r="B38" t="s">
        <v>16057</v>
      </c>
      <c r="C38" t="str">
        <f>SOLAR!C82</f>
        <v>Inverter Monitoring</v>
      </c>
      <c r="D38" t="b">
        <v>1</v>
      </c>
      <c r="E38">
        <f xml:space="preserve"> IF(SUMIF(SOLAR!C$10:C$204,C38, SOLAR!F$10:F$204) &gt; 0, SUMIF(SOLAR!C$10:C$204,C38, SOLAR!F$10:F$204), (IF(H38&gt;0, 1, 0)))</f>
        <v>1</v>
      </c>
      <c r="G38" s="622">
        <f t="shared" si="0"/>
        <v>400</v>
      </c>
      <c r="H38" s="622">
        <f xml:space="preserve"> SUMIF(SOLAR!C$10:C$204,C38, SOLAR!I$10:I$204)</f>
        <v>400</v>
      </c>
    </row>
    <row r="39" spans="1:8">
      <c r="A39" t="s">
        <v>16098</v>
      </c>
      <c r="B39" t="s">
        <v>16057</v>
      </c>
      <c r="C39" t="str">
        <f>SOLAR!C84</f>
        <v>Router</v>
      </c>
      <c r="D39" t="b">
        <v>1</v>
      </c>
      <c r="E39">
        <f xml:space="preserve"> IF(SUMIF(SOLAR!C$10:C$204,C39, SOLAR!F$10:F$204) &gt; 0, SUMIF(SOLAR!C$10:C$204,C39, SOLAR!F$10:F$204), (IF(H39&gt;0, 1, 0)))</f>
        <v>1</v>
      </c>
      <c r="G39" s="622">
        <f t="shared" si="0"/>
        <v>300</v>
      </c>
      <c r="H39" s="622">
        <f xml:space="preserve"> SUMIF(SOLAR!C$10:C$204,C39, SOLAR!I$10:I$204)</f>
        <v>300</v>
      </c>
    </row>
    <row r="40" spans="1:8">
      <c r="A40" t="s">
        <v>16099</v>
      </c>
      <c r="B40" t="s">
        <v>16057</v>
      </c>
      <c r="C40" t="str">
        <f>SOLAR!C96</f>
        <v>Kiosk Monitoring</v>
      </c>
      <c r="D40" t="b">
        <v>1</v>
      </c>
      <c r="E40">
        <f xml:space="preserve"> IF(SUMIF(SOLAR!C$10:C$204,C40, SOLAR!F$10:F$204) &gt; 0, SUMIF(SOLAR!C$10:C$204,C40, SOLAR!F$10:F$204), (IF(H40&gt;0, 1, 0)))</f>
        <v>0</v>
      </c>
      <c r="G40" s="622">
        <f t="shared" si="0"/>
        <v>0</v>
      </c>
      <c r="H40" s="622">
        <f xml:space="preserve"> SUMIF(SOLAR!C$10:C$204,C40, SOLAR!I$10:I$204)</f>
        <v>0</v>
      </c>
    </row>
    <row r="41" spans="1:8">
      <c r="A41" t="s">
        <v>16100</v>
      </c>
      <c r="B41" t="s">
        <v>16091</v>
      </c>
      <c r="C41" t="str">
        <f>SOLAR!C68</f>
        <v>SCS Travel</v>
      </c>
      <c r="D41" t="b">
        <v>1</v>
      </c>
      <c r="E41">
        <f xml:space="preserve"> IF(SUMIF(SOLAR!C$10:C$204,C41, SOLAR!F$10:F$204) &gt; 0, SUMIF(SOLAR!C$10:C$204,C41, SOLAR!F$10:F$204), (IF(H41&gt;0, 1, 0)))</f>
        <v>1</v>
      </c>
      <c r="G41" s="622">
        <f t="shared" si="0"/>
        <v>500</v>
      </c>
      <c r="H41" s="622">
        <f xml:space="preserve"> SUMIF(SOLAR!C$10:C$204,C41, SOLAR!I$10:I$204)</f>
        <v>500</v>
      </c>
    </row>
    <row r="42" spans="1:8">
      <c r="A42" t="s">
        <v>16101</v>
      </c>
      <c r="B42" t="s">
        <v>16091</v>
      </c>
      <c r="C42" t="str">
        <f>SOLAR!C69</f>
        <v>SCS Accomodation</v>
      </c>
      <c r="D42" t="b">
        <v>1</v>
      </c>
      <c r="E42">
        <f xml:space="preserve"> IF(SUMIF(SOLAR!C$10:C$204,C42, SOLAR!F$10:F$204) &gt; 0, SUMIF(SOLAR!C$10:C$204,C42, SOLAR!F$10:F$204), (IF(H42&gt;0, 1, 0)))</f>
        <v>0</v>
      </c>
      <c r="G42" s="622">
        <f t="shared" si="0"/>
        <v>0</v>
      </c>
      <c r="H42" s="622">
        <f xml:space="preserve"> SUMIF(SOLAR!C$10:C$204,C42, SOLAR!I$10:I$204)</f>
        <v>0</v>
      </c>
    </row>
    <row r="43" spans="1:8">
      <c r="A43" t="s">
        <v>16102</v>
      </c>
      <c r="B43" t="s">
        <v>16073</v>
      </c>
      <c r="C43" t="str">
        <f>SOLAR!C34</f>
        <v>Witness/Injection Testing</v>
      </c>
      <c r="D43" t="b">
        <v>1</v>
      </c>
      <c r="E43">
        <f xml:space="preserve"> IF(SUMIF(SOLAR!C$10:C$204,C43, SOLAR!F$10:F$204) &gt; 0, SUMIF(SOLAR!C$10:C$204,C43, SOLAR!F$10:F$204), (IF(H43&gt;0, 1, 0)))</f>
        <v>0</v>
      </c>
      <c r="G43" s="622">
        <f t="shared" si="0"/>
        <v>0</v>
      </c>
      <c r="H43" s="622">
        <f xml:space="preserve"> SUMIF(SOLAR!C$10:C$204,C43, SOLAR!I$10:I$204)</f>
        <v>0</v>
      </c>
    </row>
    <row r="44" spans="1:8">
      <c r="A44" t="s">
        <v>16103</v>
      </c>
      <c r="B44" t="s">
        <v>16073</v>
      </c>
      <c r="C44" t="str">
        <f>SOLAR!C35</f>
        <v>Electrical Inspector</v>
      </c>
      <c r="D44" t="b">
        <v>1</v>
      </c>
      <c r="E44">
        <f xml:space="preserve"> IF(SUMIF(SOLAR!C$10:C$204,C44, SOLAR!F$10:F$204) &gt; 0, SUMIF(SOLAR!C$10:C$204,C44, SOLAR!F$10:F$204), (IF(H44&gt;0, 1, 0)))</f>
        <v>0</v>
      </c>
      <c r="G44" s="622">
        <f t="shared" si="0"/>
        <v>0</v>
      </c>
      <c r="H44" s="622">
        <f xml:space="preserve"> SUMIF(SOLAR!C$10:C$204,C44, SOLAR!I$10:I$204)</f>
        <v>0</v>
      </c>
    </row>
    <row r="45" spans="1:8">
      <c r="A45" t="s">
        <v>16104</v>
      </c>
      <c r="B45" t="s">
        <v>16057</v>
      </c>
      <c r="C45" t="str">
        <f>SOLAR!C52</f>
        <v>Trenching</v>
      </c>
      <c r="D45" t="b">
        <v>1</v>
      </c>
      <c r="E45">
        <f xml:space="preserve"> IF(SUMIF(SOLAR!C$10:C$204,C45, SOLAR!F$10:F$204) &gt; 0, SUMIF(SOLAR!C$10:C$204,C45, SOLAR!F$10:F$204), (IF(H45&gt;0, 1, 0)))</f>
        <v>0</v>
      </c>
      <c r="G45" s="622">
        <f t="shared" si="0"/>
        <v>0</v>
      </c>
      <c r="H45" s="622">
        <f xml:space="preserve"> SUMIF(SOLAR!C$10:C$204,C45, SOLAR!I$10:I$204)</f>
        <v>0</v>
      </c>
    </row>
    <row r="46" spans="1:8">
      <c r="A46" t="s">
        <v>16105</v>
      </c>
      <c r="B46" t="s">
        <v>16057</v>
      </c>
      <c r="C46" t="s">
        <v>16106</v>
      </c>
      <c r="D46" t="b">
        <v>1</v>
      </c>
      <c r="E46">
        <f xml:space="preserve"> IF(SUMIF(SOLAR!C$10:C$204,C46, SOLAR!F$10:F$204) &gt; 0, SUMIF(SOLAR!C$10:C$204,C46, SOLAR!F$10:F$204), (IF(H46&gt;0, 1, 0)))</f>
        <v>0</v>
      </c>
      <c r="G46" s="622">
        <f t="shared" si="0"/>
        <v>0</v>
      </c>
      <c r="H46" s="622">
        <f xml:space="preserve"> SUMIF(SOLAR!C$10:C$204,C46, SOLAR!I$10:I$204)</f>
        <v>0</v>
      </c>
    </row>
    <row r="47" spans="1:8">
      <c r="A47" s="606" t="s">
        <v>16107</v>
      </c>
      <c r="B47" t="s">
        <v>16057</v>
      </c>
      <c r="C47" t="s">
        <v>16108</v>
      </c>
      <c r="D47" t="b">
        <v>1</v>
      </c>
      <c r="E47">
        <f>IF(SOLAR!D97="Included",EV!D4,0)</f>
        <v>0</v>
      </c>
      <c r="G47" s="622">
        <f>IF(Table24[[#This Row],[Unit Qty]]&gt;0,VLOOKUP(EV!B4,'EV Chargers Backend'!A2:B4,2,FALSE),0)</f>
        <v>0</v>
      </c>
      <c r="H47" s="622">
        <f>IFERROR(Table24[[#This Row],[Unit Cost]]*Table24[[#This Row],[Unit Qty]],0)</f>
        <v>0</v>
      </c>
    </row>
    <row r="48" spans="1:8">
      <c r="A48" s="606" t="s">
        <v>16109</v>
      </c>
      <c r="B48" t="s">
        <v>16091</v>
      </c>
      <c r="C48" t="s">
        <v>16110</v>
      </c>
      <c r="D48" t="b">
        <v>1</v>
      </c>
      <c r="E48">
        <f>IF(SOLAR!D97="Included",EV!D4,0)</f>
        <v>0</v>
      </c>
      <c r="G48" s="622">
        <f>IFERROR('EV Chargers Backend'!E2+(EV!E8+EV!E11)/Table24[[#This Row],[Unit Qty]],0)</f>
        <v>0</v>
      </c>
      <c r="H48" s="622">
        <f>IFERROR(Table24[[#This Row],[Unit Cost]]*Table24[[#This Row],[Unit Qty]],0)</f>
        <v>0</v>
      </c>
    </row>
    <row r="49" spans="1:9">
      <c r="A49" s="606" t="s">
        <v>16111</v>
      </c>
      <c r="B49" t="s">
        <v>16057</v>
      </c>
      <c r="C49" t="s">
        <v>16112</v>
      </c>
      <c r="D49" t="b">
        <v>1</v>
      </c>
      <c r="E49">
        <f>IF(SOLAR!D97="Included",EV!D4,0)</f>
        <v>0</v>
      </c>
      <c r="G49" s="622">
        <f>IFERROR(Table24[[#This Row],[Budget Amount]]/Table24[[#This Row],[Unit Qty]],0)</f>
        <v>0</v>
      </c>
      <c r="H49" s="622">
        <f>IF(SOLAR!D97="Included",EV!E4/VLOOKUP(EV!C4,'EV Chargers Backend'!G2:H4,2,FALSE)-SUM(H47:H48),0)</f>
        <v>0</v>
      </c>
    </row>
    <row r="50" spans="1:9">
      <c r="A50" t="s">
        <v>16113</v>
      </c>
      <c r="B50" t="s">
        <v>16081</v>
      </c>
      <c r="C50" t="str">
        <f>SOLAR!C91</f>
        <v>Inverter Extension</v>
      </c>
      <c r="D50" t="b">
        <v>1</v>
      </c>
      <c r="E50">
        <f xml:space="preserve"> IF(SUMIF(SOLAR!C$10:C$204,C50, SOLAR!F$10:F$204) &gt; 0, SUMIF(SOLAR!C$10:C$204,C50, SOLAR!F$10:F$204), (IF(H50&gt;0, 1, 0)))</f>
        <v>0</v>
      </c>
      <c r="G50" s="622">
        <f t="shared" si="0"/>
        <v>0</v>
      </c>
      <c r="H50" s="622">
        <f xml:space="preserve"> SUMIF(SOLAR!C$10:C$204,C50, SOLAR!I$10:I$204)</f>
        <v>0</v>
      </c>
    </row>
    <row r="51" spans="1:9">
      <c r="A51" t="s">
        <v>16114</v>
      </c>
      <c r="B51" t="s">
        <v>16081</v>
      </c>
      <c r="C51" t="str">
        <f>SOLAR!C92</f>
        <v>Workmanship</v>
      </c>
      <c r="D51" t="b">
        <v>1</v>
      </c>
      <c r="E51">
        <f xml:space="preserve"> IF(SUMIF(SOLAR!C$10:C$204,C51, SOLAR!F$10:F$204) &gt; 0, SUMIF(SOLAR!C$10:C$204,C51, SOLAR!F$10:F$204), (IF(H51&gt;0, 1, 0)))</f>
        <v>0</v>
      </c>
      <c r="G51" s="622">
        <f t="shared" si="0"/>
        <v>0</v>
      </c>
      <c r="H51" s="622">
        <f xml:space="preserve"> SUMIF(SOLAR!C$10:C$204,C51, SOLAR!I$10:I$204)</f>
        <v>0</v>
      </c>
    </row>
    <row r="52" spans="1:9">
      <c r="A52" t="s">
        <v>16115</v>
      </c>
      <c r="B52" t="s">
        <v>16081</v>
      </c>
      <c r="C52" t="str">
        <f>SOLAR!C93</f>
        <v>12 Months Servicing</v>
      </c>
      <c r="D52" t="b">
        <v>1</v>
      </c>
      <c r="E52">
        <f xml:space="preserve"> IF(SUMIF(SOLAR!C$10:C$204,C52, SOLAR!F$10:F$204) &gt; 0, SUMIF(SOLAR!C$10:C$204,C52, SOLAR!F$10:F$204), (IF(H52&gt;0, 1, 0)))</f>
        <v>1</v>
      </c>
      <c r="G52" s="622">
        <f t="shared" si="0"/>
        <v>1636.1647863936191</v>
      </c>
      <c r="H52" s="622">
        <f xml:space="preserve"> SUMIF(SOLAR!C$10:C$204,C52, SOLAR!I$10:I$204)</f>
        <v>1636.1647863936191</v>
      </c>
    </row>
    <row r="53" spans="1:9">
      <c r="A53" t="s">
        <v>16116</v>
      </c>
      <c r="B53" t="s">
        <v>16081</v>
      </c>
      <c r="C53" t="str">
        <f>SOLAR!C102</f>
        <v>Referral Fee</v>
      </c>
      <c r="D53" t="b">
        <v>1</v>
      </c>
      <c r="E53">
        <f xml:space="preserve"> IF(SUMIF(SOLAR!C$10:C$204,C53, SOLAR!F$10:F$204) &gt; 0, SUMIF(SOLAR!C$10:C$204,C53, SOLAR!F$10:F$204), (IF(H53&gt;0, 1, 0)))</f>
        <v>0</v>
      </c>
      <c r="G53" s="622">
        <f t="shared" si="0"/>
        <v>0</v>
      </c>
      <c r="H53" s="622">
        <f xml:space="preserve"> SUMIF(SOLAR!C$10:C$204,C53, SOLAR!I$10:I$204)</f>
        <v>0</v>
      </c>
    </row>
    <row r="54" spans="1:9" ht="16.2" thickBot="1">
      <c r="A54" t="s">
        <v>16117</v>
      </c>
      <c r="B54" t="s">
        <v>16081</v>
      </c>
      <c r="C54" t="str">
        <f>SOLAR!C103</f>
        <v>Sales Expenses</v>
      </c>
      <c r="D54" t="b">
        <v>1</v>
      </c>
      <c r="E54">
        <f xml:space="preserve"> IF(SUMIF(SOLAR!C$10:C$204,C54, SOLAR!F$10:F$204) &gt; 0, SUMIF(SOLAR!C$10:C$204,C54, SOLAR!F$10:F$204), (IF(H54&gt;0, 1, 0)))</f>
        <v>0</v>
      </c>
      <c r="G54" s="622">
        <f t="shared" si="0"/>
        <v>0</v>
      </c>
      <c r="H54" s="622">
        <f xml:space="preserve"> SUMIF(SOLAR!C$10:C$204,C54, SOLAR!I$10:I$204)</f>
        <v>0</v>
      </c>
    </row>
    <row r="55" spans="1:9" ht="16.2" thickBot="1">
      <c r="A55" s="602"/>
      <c r="B55" s="603"/>
      <c r="C55" s="603" t="s">
        <v>422</v>
      </c>
      <c r="D55" s="603"/>
      <c r="E55" s="603"/>
      <c r="F55" s="603"/>
      <c r="G55" s="604"/>
      <c r="H55" s="605">
        <f ca="1">SUBTOTAL(109,Table24[Budget Amount])</f>
        <v>93126.739870567093</v>
      </c>
      <c r="I55" s="970">
        <f ca="1">SOLAR!I124-Table24[[#Totals],[Budget Amount]]+SOLAR!J17</f>
        <v>9.0949470177292824E-12</v>
      </c>
    </row>
  </sheetData>
  <phoneticPr fontId="75" type="noConversion"/>
  <conditionalFormatting sqref="I55">
    <cfRule type="expression" dxfId="30" priority="1">
      <formula>OR($I$55&gt;0.01,$I$55&lt;-0.01)</formula>
    </cfRule>
  </conditionalFormatting>
  <pageMargins left="0.7" right="0.7" top="0.75" bottom="0.75" header="0.3" footer="0.3"/>
  <pageSetup paperSize="9" orientation="portrait" horizontalDpi="1200" verticalDpi="1200" r:id="rId1"/>
  <tableParts count="1">
    <tablePart r:id="rId2"/>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03D3E-6E95-094D-870D-510482046A20}">
  <sheetPr codeName="Sheet1">
    <tabColor theme="5" tint="0.39997558519241921"/>
  </sheetPr>
  <dimension ref="A1:AC40"/>
  <sheetViews>
    <sheetView workbookViewId="0">
      <selection activeCell="B24" sqref="B24"/>
    </sheetView>
  </sheetViews>
  <sheetFormatPr defaultColWidth="11" defaultRowHeight="15.6"/>
  <cols>
    <col min="1" max="1" width="29" style="982" bestFit="1" customWidth="1"/>
    <col min="2" max="2" width="27" style="982" customWidth="1"/>
    <col min="3" max="3" width="22.5" style="982" bestFit="1" customWidth="1"/>
    <col min="4" max="4" width="11" style="982"/>
    <col min="5" max="5" width="23.5" style="982" bestFit="1" customWidth="1"/>
    <col min="6" max="6" width="20.3984375" style="982" bestFit="1" customWidth="1"/>
    <col min="7" max="7" width="12.09765625" style="982" customWidth="1"/>
    <col min="8" max="8" width="11.8984375" style="982" customWidth="1"/>
    <col min="9" max="9" width="13" style="982" customWidth="1"/>
    <col min="10" max="11" width="15.5" style="982" customWidth="1"/>
    <col min="12" max="12" width="12.5" style="982" bestFit="1" customWidth="1"/>
    <col min="13" max="13" width="11.5" style="982" customWidth="1"/>
    <col min="14" max="14" width="14" style="982" customWidth="1"/>
    <col min="15" max="15" width="28.5" style="982" customWidth="1"/>
    <col min="16" max="16" width="9.5" style="982" customWidth="1"/>
    <col min="17" max="17" width="8.5" style="982" customWidth="1"/>
    <col min="18" max="18" width="18.09765625" style="982" customWidth="1"/>
    <col min="19" max="19" width="12" style="982" customWidth="1"/>
    <col min="20" max="20" width="11" style="982" customWidth="1"/>
    <col min="21" max="21" width="10" style="982" customWidth="1"/>
    <col min="22" max="22" width="9.5" style="982" customWidth="1"/>
    <col min="23" max="23" width="11.09765625" style="982" bestFit="1" customWidth="1"/>
    <col min="24" max="24" width="9.5" style="982" customWidth="1"/>
    <col min="25" max="25" width="10.5" style="982" customWidth="1"/>
    <col min="26" max="26" width="21.5" style="982" bestFit="1" customWidth="1"/>
    <col min="27" max="27" width="21.5" style="982" customWidth="1"/>
    <col min="28" max="28" width="19.8984375" style="982" bestFit="1" customWidth="1"/>
    <col min="29" max="29" width="21.8984375" style="982" customWidth="1"/>
    <col min="30" max="30" width="9.5" style="982" customWidth="1"/>
    <col min="31" max="16384" width="11" style="982"/>
  </cols>
  <sheetData>
    <row r="1" spans="1:29" ht="40.200000000000003" thickBot="1">
      <c r="A1" s="1492" t="s">
        <v>16118</v>
      </c>
      <c r="B1" s="1493"/>
      <c r="D1" s="1003" t="s">
        <v>16119</v>
      </c>
      <c r="E1" s="1004" t="s">
        <v>1196</v>
      </c>
      <c r="F1" s="1004" t="s">
        <v>16120</v>
      </c>
      <c r="G1" s="1004" t="s">
        <v>16121</v>
      </c>
      <c r="H1" s="1004" t="s">
        <v>16122</v>
      </c>
      <c r="I1" s="1004" t="s">
        <v>16123</v>
      </c>
      <c r="J1" s="1004" t="s">
        <v>16124</v>
      </c>
      <c r="K1" s="1004" t="s">
        <v>16125</v>
      </c>
      <c r="L1" s="1005" t="s">
        <v>16126</v>
      </c>
      <c r="N1" s="1492" t="s">
        <v>16118</v>
      </c>
      <c r="O1" s="1493"/>
      <c r="Q1" s="1003" t="s">
        <v>16119</v>
      </c>
      <c r="R1" s="1004" t="s">
        <v>1196</v>
      </c>
      <c r="S1" s="1004" t="s">
        <v>16120</v>
      </c>
      <c r="T1" s="1004" t="s">
        <v>16121</v>
      </c>
      <c r="U1" s="1004" t="s">
        <v>16122</v>
      </c>
      <c r="V1" s="1004" t="s">
        <v>16123</v>
      </c>
      <c r="W1" s="1004" t="s">
        <v>16124</v>
      </c>
      <c r="X1" s="1005" t="s">
        <v>16125</v>
      </c>
      <c r="Z1" s="1494" t="s">
        <v>16127</v>
      </c>
      <c r="AA1" s="1494"/>
      <c r="AB1" s="1494"/>
      <c r="AC1" s="1494"/>
    </row>
    <row r="2" spans="1:29" ht="26.4">
      <c r="A2" s="983" t="s">
        <v>16128</v>
      </c>
      <c r="B2" s="984">
        <f>VLOOKUP(SOLAR!E39,'2. PV Components'!P6:S131,3,FALSE)/1000</f>
        <v>110</v>
      </c>
      <c r="D2" s="989">
        <v>1</v>
      </c>
      <c r="E2" s="990">
        <v>1</v>
      </c>
      <c r="F2" s="990">
        <v>16</v>
      </c>
      <c r="G2" s="991">
        <v>23.3</v>
      </c>
      <c r="H2" s="991">
        <v>0.18099999999999999</v>
      </c>
      <c r="I2" s="992">
        <f>SQRT(G2^2+H2^2)</f>
        <v>23.300703015145274</v>
      </c>
      <c r="J2" s="993">
        <f>((B$5*B$7*I2)/1000)/B$3</f>
        <v>8.0752278880465669E-2</v>
      </c>
      <c r="K2" s="993">
        <f t="shared" ref="K2:K39" si="0">((B$18*B$20*I2)/1000)/B$16</f>
        <v>0.16150455776093134</v>
      </c>
      <c r="L2" s="994"/>
      <c r="N2" s="983" t="s">
        <v>16128</v>
      </c>
      <c r="O2" s="984">
        <f>VLOOKUP(SOLAR!E39,'2. PV Components'!P6:S131,3,FALSE)/1000</f>
        <v>110</v>
      </c>
      <c r="Q2" s="989">
        <v>1</v>
      </c>
      <c r="R2" s="990"/>
      <c r="S2" s="990"/>
      <c r="T2" s="991"/>
      <c r="U2" s="991"/>
      <c r="V2" s="992"/>
      <c r="W2" s="993"/>
      <c r="X2" s="994"/>
      <c r="Z2" s="1003" t="s">
        <v>16129</v>
      </c>
      <c r="AA2" s="1004" t="s">
        <v>16130</v>
      </c>
      <c r="AB2" s="1004" t="s">
        <v>16131</v>
      </c>
      <c r="AC2" s="1005" t="s">
        <v>16132</v>
      </c>
    </row>
    <row r="3" spans="1:29">
      <c r="A3" s="983" t="s">
        <v>16133</v>
      </c>
      <c r="B3" s="984">
        <v>230</v>
      </c>
      <c r="D3" s="995">
        <v>2</v>
      </c>
      <c r="E3" s="996">
        <v>1.5</v>
      </c>
      <c r="F3" s="996">
        <v>20</v>
      </c>
      <c r="G3" s="997">
        <v>14.9</v>
      </c>
      <c r="H3" s="997">
        <v>0.17</v>
      </c>
      <c r="I3" s="998">
        <f>SQRT(G3^2+H3^2)</f>
        <v>14.900969767099053</v>
      </c>
      <c r="J3" s="999">
        <f t="shared" ref="J3:J25" si="1">((B$5*B$7*I3)/1000)/B$3</f>
        <v>5.1641672160708751E-2</v>
      </c>
      <c r="K3" s="999">
        <f t="shared" si="0"/>
        <v>0.1032833443214175</v>
      </c>
      <c r="L3" s="1000"/>
      <c r="N3" s="983" t="s">
        <v>16133</v>
      </c>
      <c r="O3" s="984">
        <v>230</v>
      </c>
      <c r="Q3" s="995">
        <v>2</v>
      </c>
      <c r="R3" s="996"/>
      <c r="S3" s="996"/>
      <c r="T3" s="997"/>
      <c r="U3" s="997"/>
      <c r="V3" s="998"/>
      <c r="W3" s="999"/>
      <c r="X3" s="1000"/>
      <c r="Z3" s="1047">
        <v>1</v>
      </c>
      <c r="AA3" s="1043">
        <f>Z3</f>
        <v>1</v>
      </c>
      <c r="AB3" s="1045" t="s">
        <v>1199</v>
      </c>
      <c r="AC3" s="1048" t="s">
        <v>1199</v>
      </c>
    </row>
    <row r="4" spans="1:29">
      <c r="A4" s="983" t="s">
        <v>16134</v>
      </c>
      <c r="B4" s="984">
        <v>3</v>
      </c>
      <c r="D4" s="989">
        <v>3</v>
      </c>
      <c r="E4" s="990">
        <v>2.5</v>
      </c>
      <c r="F4" s="990">
        <v>27</v>
      </c>
      <c r="G4" s="991">
        <v>8.14</v>
      </c>
      <c r="H4" s="991">
        <v>0.156</v>
      </c>
      <c r="I4" s="992">
        <f t="shared" ref="I4:I18" si="2">SQRT(G4^2+H4^2)</f>
        <v>8.1414947030628237</v>
      </c>
      <c r="J4" s="993">
        <f t="shared" si="1"/>
        <v>2.8215640117735058E-2</v>
      </c>
      <c r="K4" s="993">
        <f t="shared" si="0"/>
        <v>5.6431280235470116E-2</v>
      </c>
      <c r="L4" s="994"/>
      <c r="N4" s="983" t="s">
        <v>16134</v>
      </c>
      <c r="O4" s="984">
        <v>3</v>
      </c>
      <c r="Q4" s="989">
        <v>3</v>
      </c>
      <c r="R4" s="990"/>
      <c r="S4" s="990"/>
      <c r="T4" s="991"/>
      <c r="U4" s="991"/>
      <c r="V4" s="992"/>
      <c r="W4" s="993"/>
      <c r="X4" s="994"/>
      <c r="Z4" s="1049">
        <v>1.5</v>
      </c>
      <c r="AA4" s="1042">
        <f t="shared" ref="AA4:AA20" si="3">Z4</f>
        <v>1.5</v>
      </c>
      <c r="AB4" s="1046" t="s">
        <v>1199</v>
      </c>
      <c r="AC4" s="1050" t="s">
        <v>1199</v>
      </c>
    </row>
    <row r="5" spans="1:29">
      <c r="A5" s="983" t="s">
        <v>16135</v>
      </c>
      <c r="B5" s="984">
        <f>SOLAR!G49</f>
        <v>5</v>
      </c>
      <c r="D5" s="995">
        <v>4</v>
      </c>
      <c r="E5" s="996">
        <v>4</v>
      </c>
      <c r="F5" s="996">
        <v>36</v>
      </c>
      <c r="G5" s="997">
        <v>5.0599999999999996</v>
      </c>
      <c r="H5" s="997">
        <v>0.14599999999999999</v>
      </c>
      <c r="I5" s="998">
        <f t="shared" si="2"/>
        <v>5.0621058858937351</v>
      </c>
      <c r="J5" s="999">
        <f t="shared" si="1"/>
        <v>1.7543530165353212E-2</v>
      </c>
      <c r="K5" s="999">
        <f t="shared" si="0"/>
        <v>3.5087060330706424E-2</v>
      </c>
      <c r="L5" s="1000"/>
      <c r="N5" s="983" t="s">
        <v>16135</v>
      </c>
      <c r="O5" s="984">
        <f>SOLAR!G49</f>
        <v>5</v>
      </c>
      <c r="Q5" s="995">
        <v>4</v>
      </c>
      <c r="R5" s="996"/>
      <c r="S5" s="996"/>
      <c r="T5" s="997"/>
      <c r="U5" s="997"/>
      <c r="V5" s="998"/>
      <c r="W5" s="999"/>
      <c r="X5" s="1000"/>
      <c r="Z5" s="1047">
        <v>2.5</v>
      </c>
      <c r="AA5" s="1041">
        <f t="shared" si="3"/>
        <v>2.5</v>
      </c>
      <c r="AB5" s="1045">
        <v>2.5</v>
      </c>
      <c r="AC5" s="1048" t="s">
        <v>1199</v>
      </c>
    </row>
    <row r="6" spans="1:29">
      <c r="A6" s="983" t="s">
        <v>16136</v>
      </c>
      <c r="B6" s="266">
        <v>1.4999999999999999E-2</v>
      </c>
      <c r="D6" s="989">
        <v>5</v>
      </c>
      <c r="E6" s="990">
        <v>6</v>
      </c>
      <c r="F6" s="990">
        <v>46</v>
      </c>
      <c r="G6" s="991">
        <v>3.38</v>
      </c>
      <c r="H6" s="991">
        <v>0.13800000000000001</v>
      </c>
      <c r="I6" s="992">
        <f t="shared" si="2"/>
        <v>3.3828159867187568</v>
      </c>
      <c r="J6" s="993">
        <f t="shared" si="1"/>
        <v>1.1723684894110374E-2</v>
      </c>
      <c r="K6" s="993">
        <f t="shared" si="0"/>
        <v>2.3447369788220748E-2</v>
      </c>
      <c r="L6" s="994"/>
      <c r="N6" s="983" t="s">
        <v>16136</v>
      </c>
      <c r="O6" s="266">
        <v>1.4999999999999999E-2</v>
      </c>
      <c r="Q6" s="989">
        <v>5</v>
      </c>
      <c r="R6" s="990"/>
      <c r="S6" s="990"/>
      <c r="T6" s="991"/>
      <c r="U6" s="991"/>
      <c r="V6" s="992"/>
      <c r="W6" s="993"/>
      <c r="X6" s="994"/>
      <c r="Z6" s="1049">
        <v>4</v>
      </c>
      <c r="AA6" s="1044">
        <f t="shared" si="3"/>
        <v>4</v>
      </c>
      <c r="AB6" s="1046">
        <v>2.5</v>
      </c>
      <c r="AC6" s="1050" t="s">
        <v>1199</v>
      </c>
    </row>
    <row r="7" spans="1:29">
      <c r="A7" s="985" t="s">
        <v>16137</v>
      </c>
      <c r="B7" s="272">
        <f>B2*(1000/(B3*B4))</f>
        <v>159.42028985507247</v>
      </c>
      <c r="D7" s="995">
        <v>6</v>
      </c>
      <c r="E7" s="996">
        <v>10</v>
      </c>
      <c r="F7" s="996">
        <v>64</v>
      </c>
      <c r="G7" s="997">
        <v>2.0099999999999998</v>
      </c>
      <c r="H7" s="997">
        <v>0.129</v>
      </c>
      <c r="I7" s="998">
        <f t="shared" si="2"/>
        <v>2.0141352983352432</v>
      </c>
      <c r="J7" s="999">
        <f t="shared" si="1"/>
        <v>6.9803050666942907E-3</v>
      </c>
      <c r="K7" s="999">
        <f t="shared" si="0"/>
        <v>1.3960610133388581E-2</v>
      </c>
      <c r="L7" s="1000"/>
      <c r="N7" s="985" t="s">
        <v>16137</v>
      </c>
      <c r="O7" s="272">
        <f>O2*(1000/(O3*O4))</f>
        <v>159.42028985507247</v>
      </c>
      <c r="Q7" s="995">
        <v>6</v>
      </c>
      <c r="R7" s="996"/>
      <c r="S7" s="996"/>
      <c r="T7" s="997"/>
      <c r="U7" s="997"/>
      <c r="V7" s="998"/>
      <c r="W7" s="999"/>
      <c r="X7" s="1000"/>
      <c r="Z7" s="1047">
        <v>6</v>
      </c>
      <c r="AA7" s="1043">
        <f t="shared" si="3"/>
        <v>6</v>
      </c>
      <c r="AB7" s="1045">
        <v>2.5</v>
      </c>
      <c r="AC7" s="1048" t="s">
        <v>1199</v>
      </c>
    </row>
    <row r="8" spans="1:29">
      <c r="A8" s="985" t="s">
        <v>16138</v>
      </c>
      <c r="B8" s="272">
        <f>B7*1.25</f>
        <v>199.27536231884059</v>
      </c>
      <c r="D8" s="989">
        <v>7</v>
      </c>
      <c r="E8" s="990">
        <v>16</v>
      </c>
      <c r="F8" s="990">
        <v>85</v>
      </c>
      <c r="G8" s="991">
        <v>1.26</v>
      </c>
      <c r="H8" s="991">
        <v>0.122</v>
      </c>
      <c r="I8" s="992">
        <f t="shared" si="2"/>
        <v>1.2658925704813975</v>
      </c>
      <c r="J8" s="993">
        <f t="shared" si="1"/>
        <v>4.3871513154679813E-3</v>
      </c>
      <c r="K8" s="993">
        <f t="shared" si="0"/>
        <v>8.7743026309359626E-3</v>
      </c>
      <c r="L8" s="994"/>
      <c r="N8" s="985" t="s">
        <v>16138</v>
      </c>
      <c r="O8" s="272">
        <f>O7*1.25</f>
        <v>199.27536231884059</v>
      </c>
      <c r="Q8" s="989">
        <v>7</v>
      </c>
      <c r="R8" s="990">
        <v>16</v>
      </c>
      <c r="S8" s="990">
        <v>67</v>
      </c>
      <c r="T8" s="991">
        <v>2.1</v>
      </c>
      <c r="U8" s="991">
        <v>0.122</v>
      </c>
      <c r="V8" s="992">
        <f t="shared" ref="V8:V19" si="4">SQRT(T8^2+U8^2)</f>
        <v>2.1035408244196261</v>
      </c>
      <c r="W8" s="993">
        <f t="shared" ref="W8:W17" si="5">((O$5*O$7*V8)/1000)/O$3</f>
        <v>7.2901540858903236E-3</v>
      </c>
      <c r="X8" s="994">
        <f t="shared" ref="X8:X39" si="6">((O$18*O$20*V8)/1000)/O$16</f>
        <v>1.4580308171780647E-2</v>
      </c>
      <c r="Z8" s="1049">
        <v>10</v>
      </c>
      <c r="AA8" s="1044">
        <f t="shared" si="3"/>
        <v>10</v>
      </c>
      <c r="AB8" s="1046">
        <v>4</v>
      </c>
      <c r="AC8" s="1050" t="s">
        <v>1199</v>
      </c>
    </row>
    <row r="9" spans="1:29">
      <c r="A9" s="985" t="s">
        <v>983</v>
      </c>
      <c r="B9" s="986" cm="1">
        <f t="array" ref="B9">_xlfn.XLOOKUP(0,(F2:F70-B8),D2:D70,,1)</f>
        <v>11</v>
      </c>
      <c r="D9" s="995">
        <v>8</v>
      </c>
      <c r="E9" s="996">
        <v>25</v>
      </c>
      <c r="F9" s="996">
        <v>114</v>
      </c>
      <c r="G9" s="997">
        <v>0.79900000000000004</v>
      </c>
      <c r="H9" s="997">
        <v>0.11799999999999999</v>
      </c>
      <c r="I9" s="998">
        <f t="shared" si="2"/>
        <v>0.80766639152561015</v>
      </c>
      <c r="J9" s="999">
        <f t="shared" si="1"/>
        <v>2.7990958748524614E-3</v>
      </c>
      <c r="K9" s="999">
        <f t="shared" si="0"/>
        <v>5.5981917497049229E-3</v>
      </c>
      <c r="L9" s="1000"/>
      <c r="N9" s="985" t="s">
        <v>983</v>
      </c>
      <c r="O9" s="986" cm="1">
        <f t="array" ref="O9">_xlfn.XLOOKUP(0,(S2:S70-O8),Q2:Q70,,1)</f>
        <v>12</v>
      </c>
      <c r="Q9" s="995">
        <v>8</v>
      </c>
      <c r="R9" s="996">
        <v>25</v>
      </c>
      <c r="S9" s="996">
        <v>91</v>
      </c>
      <c r="T9" s="997">
        <v>1.32</v>
      </c>
      <c r="U9" s="997">
        <v>0.11799999999999999</v>
      </c>
      <c r="V9" s="998">
        <f t="shared" si="4"/>
        <v>1.3252637473348465</v>
      </c>
      <c r="W9" s="999">
        <f>((O$5*O$7*V9)/1000)/O$3</f>
        <v>4.592911537707408E-3</v>
      </c>
      <c r="X9" s="1000">
        <f t="shared" si="6"/>
        <v>9.185823075414816E-3</v>
      </c>
      <c r="Z9" s="1047">
        <v>16</v>
      </c>
      <c r="AA9" s="1043">
        <f t="shared" si="3"/>
        <v>16</v>
      </c>
      <c r="AB9" s="1045">
        <v>6</v>
      </c>
      <c r="AC9" s="1051">
        <v>16</v>
      </c>
    </row>
    <row r="10" spans="1:29">
      <c r="A10" s="985" t="s">
        <v>986</v>
      </c>
      <c r="B10" s="986" cm="1">
        <f t="array" ref="B10">_xlfn.XLOOKUP(0,(J2:J70-B6),D2:D70,,-1)</f>
        <v>5</v>
      </c>
      <c r="D10" s="989">
        <v>9</v>
      </c>
      <c r="E10" s="990">
        <v>35</v>
      </c>
      <c r="F10" s="990">
        <v>141</v>
      </c>
      <c r="G10" s="991">
        <v>0.57599999999999996</v>
      </c>
      <c r="H10" s="991">
        <v>0.113</v>
      </c>
      <c r="I10" s="992">
        <f t="shared" si="2"/>
        <v>0.58697955671386026</v>
      </c>
      <c r="J10" s="993">
        <f t="shared" si="1"/>
        <v>2.0342706754418599E-3</v>
      </c>
      <c r="K10" s="993">
        <f t="shared" si="0"/>
        <v>4.0685413508837198E-3</v>
      </c>
      <c r="L10" s="994"/>
      <c r="N10" s="985" t="s">
        <v>986</v>
      </c>
      <c r="O10" s="986" cm="1">
        <f t="array" ref="O10">_xlfn.XLOOKUP(0,(W2:W70-O6),Q2:Q70,,-1)</f>
        <v>7</v>
      </c>
      <c r="Q10" s="989">
        <v>9</v>
      </c>
      <c r="R10" s="990">
        <v>35</v>
      </c>
      <c r="S10" s="990">
        <v>111</v>
      </c>
      <c r="T10" s="991">
        <v>0.95599999999999996</v>
      </c>
      <c r="U10" s="991">
        <v>0.113</v>
      </c>
      <c r="V10" s="992">
        <f t="shared" si="4"/>
        <v>0.96265518229530145</v>
      </c>
      <c r="W10" s="993">
        <f t="shared" si="5"/>
        <v>3.336234091130535E-3</v>
      </c>
      <c r="X10" s="994">
        <f t="shared" si="6"/>
        <v>6.6724681822610699E-3</v>
      </c>
      <c r="Z10" s="1049">
        <v>25</v>
      </c>
      <c r="AA10" s="1044">
        <f t="shared" si="3"/>
        <v>25</v>
      </c>
      <c r="AB10" s="1046">
        <v>6</v>
      </c>
      <c r="AC10" s="1052">
        <v>16</v>
      </c>
    </row>
    <row r="11" spans="1:29">
      <c r="A11" s="985" t="s">
        <v>16139</v>
      </c>
      <c r="B11" s="986" cm="1">
        <f t="array" ref="B11">INDEX(E2:E70,MAX(B9,B10))</f>
        <v>70</v>
      </c>
      <c r="D11" s="995">
        <v>10</v>
      </c>
      <c r="E11" s="996">
        <v>50</v>
      </c>
      <c r="F11" s="996">
        <v>178</v>
      </c>
      <c r="G11" s="997">
        <v>0.42599999999999999</v>
      </c>
      <c r="H11" s="997">
        <v>0.108</v>
      </c>
      <c r="I11" s="998">
        <f t="shared" si="2"/>
        <v>0.4394769618535197</v>
      </c>
      <c r="J11" s="999">
        <f t="shared" si="1"/>
        <v>1.523077057463364E-3</v>
      </c>
      <c r="K11" s="999">
        <f t="shared" si="0"/>
        <v>3.046154114926728E-3</v>
      </c>
      <c r="L11" s="1000"/>
      <c r="N11" s="985" t="s">
        <v>16139</v>
      </c>
      <c r="O11" s="986" cm="1">
        <f t="array" ref="O11">INDEX(R2:R70,MAX(O9,O10))</f>
        <v>95</v>
      </c>
      <c r="Q11" s="995">
        <v>10</v>
      </c>
      <c r="R11" s="996">
        <v>50</v>
      </c>
      <c r="S11" s="996">
        <v>136</v>
      </c>
      <c r="T11" s="997">
        <v>0.70599999999999996</v>
      </c>
      <c r="U11" s="997">
        <v>0.108</v>
      </c>
      <c r="V11" s="998">
        <f t="shared" si="4"/>
        <v>0.71421285342676377</v>
      </c>
      <c r="W11" s="999">
        <f t="shared" si="5"/>
        <v>2.4752178285111534E-3</v>
      </c>
      <c r="X11" s="1000">
        <f t="shared" si="6"/>
        <v>4.9504356570223068E-3</v>
      </c>
      <c r="Z11" s="1047">
        <v>35</v>
      </c>
      <c r="AA11" s="1043">
        <f t="shared" si="3"/>
        <v>35</v>
      </c>
      <c r="AB11" s="1045">
        <v>10</v>
      </c>
      <c r="AC11" s="1051">
        <v>16</v>
      </c>
    </row>
    <row r="12" spans="1:29" ht="16.2" thickBot="1">
      <c r="A12" s="987" t="s">
        <v>186</v>
      </c>
      <c r="B12" s="988" cm="1">
        <f t="array" ref="B12">INDEX('4. Switch Gear'!H7:H22,MATCH(B8,'4. Switch Gear'!H7:H22,1)+1)</f>
        <v>250</v>
      </c>
      <c r="D12" s="989">
        <v>11</v>
      </c>
      <c r="E12" s="990">
        <v>70</v>
      </c>
      <c r="F12" s="990">
        <v>225</v>
      </c>
      <c r="G12" s="991">
        <v>0.29499999999999998</v>
      </c>
      <c r="H12" s="991">
        <v>0.104</v>
      </c>
      <c r="I12" s="992">
        <f t="shared" si="2"/>
        <v>0.31279546032511402</v>
      </c>
      <c r="J12" s="993">
        <f t="shared" si="1"/>
        <v>1.0840422380517499E-3</v>
      </c>
      <c r="K12" s="993">
        <f t="shared" si="0"/>
        <v>2.1680844761034998E-3</v>
      </c>
      <c r="L12" s="994"/>
      <c r="N12" s="987" t="s">
        <v>186</v>
      </c>
      <c r="O12" s="988" cm="1">
        <f t="array" ref="O12">INDEX('4. Switch Gear'!H7:H22,MATCH(B8,'4. Switch Gear'!H7:H22,1)+1)</f>
        <v>250</v>
      </c>
      <c r="Q12" s="989">
        <v>11</v>
      </c>
      <c r="R12" s="990">
        <v>70</v>
      </c>
      <c r="S12" s="990">
        <v>174</v>
      </c>
      <c r="T12" s="991">
        <v>0.48799999999999999</v>
      </c>
      <c r="U12" s="991">
        <v>0.104</v>
      </c>
      <c r="V12" s="992">
        <f t="shared" si="4"/>
        <v>0.49895891614440563</v>
      </c>
      <c r="W12" s="993">
        <f>((O$5*O$7*V12)/1000)/O$3</f>
        <v>1.7292211964676943E-3</v>
      </c>
      <c r="X12" s="994">
        <f t="shared" si="6"/>
        <v>3.4584423929353886E-3</v>
      </c>
      <c r="Z12" s="1049">
        <v>50</v>
      </c>
      <c r="AA12" s="1044">
        <f t="shared" si="3"/>
        <v>50</v>
      </c>
      <c r="AB12" s="1046">
        <v>16</v>
      </c>
      <c r="AC12" s="1052">
        <v>25</v>
      </c>
    </row>
    <row r="13" spans="1:29" ht="16.2" thickBot="1">
      <c r="D13" s="995">
        <v>12</v>
      </c>
      <c r="E13" s="996">
        <v>95</v>
      </c>
      <c r="F13" s="996">
        <v>271</v>
      </c>
      <c r="G13" s="997">
        <v>0.21299999999999999</v>
      </c>
      <c r="H13" s="997">
        <v>0.10199999999999999</v>
      </c>
      <c r="I13" s="998">
        <f>SQRT(G13^2+H13^2)</f>
        <v>0.23616307924821778</v>
      </c>
      <c r="J13" s="999">
        <f t="shared" si="1"/>
        <v>8.1846057710472449E-4</v>
      </c>
      <c r="K13" s="999">
        <f t="shared" si="0"/>
        <v>1.636921154209449E-3</v>
      </c>
      <c r="L13" s="1000"/>
      <c r="Q13" s="995">
        <v>12</v>
      </c>
      <c r="R13" s="996">
        <v>95</v>
      </c>
      <c r="S13" s="996">
        <v>216</v>
      </c>
      <c r="T13" s="997">
        <v>0.35299999999999998</v>
      </c>
      <c r="U13" s="997">
        <v>0.10199999999999999</v>
      </c>
      <c r="V13" s="998">
        <f t="shared" si="4"/>
        <v>0.36744115175086201</v>
      </c>
      <c r="W13" s="999">
        <f t="shared" si="5"/>
        <v>1.2734255416696541E-3</v>
      </c>
      <c r="X13" s="1000">
        <f t="shared" si="6"/>
        <v>2.5468510833393083E-3</v>
      </c>
      <c r="Z13" s="1047">
        <v>70</v>
      </c>
      <c r="AA13" s="1043">
        <f t="shared" si="3"/>
        <v>70</v>
      </c>
      <c r="AB13" s="1045">
        <v>25</v>
      </c>
      <c r="AC13" s="1051">
        <v>25</v>
      </c>
    </row>
    <row r="14" spans="1:29">
      <c r="A14" s="1492" t="s">
        <v>16140</v>
      </c>
      <c r="B14" s="1493"/>
      <c r="D14" s="989">
        <v>13</v>
      </c>
      <c r="E14" s="990">
        <v>120</v>
      </c>
      <c r="F14" s="990">
        <v>322</v>
      </c>
      <c r="G14" s="991">
        <v>0.17</v>
      </c>
      <c r="H14" s="991">
        <v>9.9599999999999994E-2</v>
      </c>
      <c r="I14" s="992">
        <f t="shared" si="2"/>
        <v>0.19702832283709876</v>
      </c>
      <c r="J14" s="993">
        <f t="shared" si="1"/>
        <v>6.8283287687715387E-4</v>
      </c>
      <c r="K14" s="993">
        <f t="shared" si="0"/>
        <v>1.3656657537543077E-3</v>
      </c>
      <c r="L14" s="994"/>
      <c r="N14" s="1492" t="s">
        <v>16140</v>
      </c>
      <c r="O14" s="1493"/>
      <c r="Q14" s="989">
        <v>13</v>
      </c>
      <c r="R14" s="990">
        <v>120</v>
      </c>
      <c r="S14" s="990">
        <v>253</v>
      </c>
      <c r="T14" s="991">
        <v>0.27900000000000003</v>
      </c>
      <c r="U14" s="991">
        <v>9.9599999999999994E-2</v>
      </c>
      <c r="V14" s="992">
        <f t="shared" si="4"/>
        <v>0.29624510122531988</v>
      </c>
      <c r="W14" s="993">
        <f t="shared" si="5"/>
        <v>1.0266843457714301E-3</v>
      </c>
      <c r="X14" s="994">
        <f t="shared" si="6"/>
        <v>2.0533686915428602E-3</v>
      </c>
      <c r="Z14" s="1049">
        <v>95</v>
      </c>
      <c r="AA14" s="1044">
        <f t="shared" si="3"/>
        <v>95</v>
      </c>
      <c r="AB14" s="1046">
        <v>25</v>
      </c>
      <c r="AC14" s="1052">
        <v>35</v>
      </c>
    </row>
    <row r="15" spans="1:29">
      <c r="A15" s="983" t="s">
        <v>16128</v>
      </c>
      <c r="B15" s="984">
        <f>B2*IF(SOLAR!G39&lt;&gt;"",SOLAR!G39,SOLAR!F39)+IF(SOLAR!D45="Included",BESS!F4,0)</f>
        <v>110</v>
      </c>
      <c r="D15" s="995">
        <v>14</v>
      </c>
      <c r="E15" s="996">
        <v>150</v>
      </c>
      <c r="F15" s="996">
        <v>372</v>
      </c>
      <c r="G15" s="997">
        <v>0.13800000000000001</v>
      </c>
      <c r="H15" s="997">
        <v>9.9599999999999994E-2</v>
      </c>
      <c r="I15" s="998">
        <f t="shared" si="2"/>
        <v>0.17018860126342189</v>
      </c>
      <c r="J15" s="999">
        <f t="shared" si="1"/>
        <v>5.8981556833574071E-4</v>
      </c>
      <c r="K15" s="999">
        <f t="shared" si="0"/>
        <v>1.1796311366714814E-3</v>
      </c>
      <c r="L15" s="1000"/>
      <c r="N15" s="983" t="s">
        <v>16128</v>
      </c>
      <c r="O15" s="984">
        <f>B2*IF(SOLAR!G39&lt;&gt;"",SOLAR!G39,SOLAR!F39)+IF(SOLAR!D45="Included",BESS!F4,0)</f>
        <v>110</v>
      </c>
      <c r="Q15" s="995">
        <v>14</v>
      </c>
      <c r="R15" s="996">
        <v>150</v>
      </c>
      <c r="S15" s="996">
        <v>291</v>
      </c>
      <c r="T15" s="997">
        <v>0.22800000000000001</v>
      </c>
      <c r="U15" s="997">
        <v>9.9599999999999994E-2</v>
      </c>
      <c r="V15" s="998">
        <f t="shared" si="4"/>
        <v>0.2488054661778957</v>
      </c>
      <c r="W15" s="999">
        <f t="shared" si="5"/>
        <v>8.6227477251318613E-4</v>
      </c>
      <c r="X15" s="1000">
        <f t="shared" si="6"/>
        <v>1.7245495450263723E-3</v>
      </c>
      <c r="Z15" s="1047">
        <v>120</v>
      </c>
      <c r="AA15" s="1043">
        <f t="shared" si="3"/>
        <v>120</v>
      </c>
      <c r="AB15" s="1045">
        <v>35</v>
      </c>
      <c r="AC15" s="1051">
        <v>50</v>
      </c>
    </row>
    <row r="16" spans="1:29">
      <c r="A16" s="983" t="s">
        <v>16133</v>
      </c>
      <c r="B16" s="984">
        <v>230</v>
      </c>
      <c r="D16" s="989">
        <v>15</v>
      </c>
      <c r="E16" s="990">
        <v>185</v>
      </c>
      <c r="F16" s="990">
        <v>427</v>
      </c>
      <c r="G16" s="991">
        <v>0.111</v>
      </c>
      <c r="H16" s="991">
        <v>9.98E-2</v>
      </c>
      <c r="I16" s="992">
        <f t="shared" si="2"/>
        <v>0.14926834895583191</v>
      </c>
      <c r="J16" s="993">
        <f t="shared" si="1"/>
        <v>5.1731311862449622E-4</v>
      </c>
      <c r="K16" s="993">
        <f t="shared" si="0"/>
        <v>1.0346262372489924E-3</v>
      </c>
      <c r="L16" s="994"/>
      <c r="N16" s="983" t="s">
        <v>16133</v>
      </c>
      <c r="O16" s="984">
        <v>230</v>
      </c>
      <c r="Q16" s="989">
        <v>15</v>
      </c>
      <c r="R16" s="990">
        <v>185</v>
      </c>
      <c r="S16" s="990">
        <v>339</v>
      </c>
      <c r="T16" s="991">
        <v>0.182</v>
      </c>
      <c r="U16" s="991">
        <v>9.98E-2</v>
      </c>
      <c r="V16" s="992">
        <f t="shared" si="4"/>
        <v>0.20756695305370748</v>
      </c>
      <c r="W16" s="993">
        <f t="shared" si="5"/>
        <v>7.1935617000339709E-4</v>
      </c>
      <c r="X16" s="994">
        <f t="shared" si="6"/>
        <v>1.4387123400067942E-3</v>
      </c>
      <c r="Z16" s="1049">
        <v>150</v>
      </c>
      <c r="AA16" s="1044">
        <f t="shared" si="3"/>
        <v>150</v>
      </c>
      <c r="AB16" s="1046">
        <v>50</v>
      </c>
      <c r="AC16" s="1052">
        <v>50</v>
      </c>
    </row>
    <row r="17" spans="1:29">
      <c r="A17" s="983" t="s">
        <v>16134</v>
      </c>
      <c r="B17" s="984">
        <v>3</v>
      </c>
      <c r="D17" s="995">
        <v>16</v>
      </c>
      <c r="E17" s="996">
        <v>240</v>
      </c>
      <c r="F17" s="996">
        <v>514</v>
      </c>
      <c r="G17" s="997">
        <v>8.6199999999999999E-2</v>
      </c>
      <c r="H17" s="997">
        <v>9.7000000000000003E-2</v>
      </c>
      <c r="I17" s="998">
        <f t="shared" si="2"/>
        <v>0.12976686788236819</v>
      </c>
      <c r="J17" s="999">
        <f t="shared" si="1"/>
        <v>4.4972764546504418E-4</v>
      </c>
      <c r="K17" s="999">
        <f t="shared" si="0"/>
        <v>8.9945529093008836E-4</v>
      </c>
      <c r="L17" s="1000"/>
      <c r="N17" s="983" t="s">
        <v>16134</v>
      </c>
      <c r="O17" s="984">
        <v>3</v>
      </c>
      <c r="Q17" s="995">
        <v>16</v>
      </c>
      <c r="R17" s="996">
        <v>240</v>
      </c>
      <c r="S17" s="996">
        <v>407</v>
      </c>
      <c r="T17" s="997">
        <v>0.14000000000000001</v>
      </c>
      <c r="U17" s="997">
        <v>9.7000000000000003E-2</v>
      </c>
      <c r="V17" s="998">
        <f t="shared" si="4"/>
        <v>0.17032028651925174</v>
      </c>
      <c r="W17" s="999">
        <f t="shared" si="5"/>
        <v>5.9027194445865447E-4</v>
      </c>
      <c r="X17" s="1000">
        <f t="shared" si="6"/>
        <v>1.1805438889173089E-3</v>
      </c>
      <c r="Z17" s="1047">
        <v>185</v>
      </c>
      <c r="AA17" s="1043">
        <f t="shared" si="3"/>
        <v>185</v>
      </c>
      <c r="AB17" s="1045">
        <v>70</v>
      </c>
      <c r="AC17" s="1051">
        <v>70</v>
      </c>
    </row>
    <row r="18" spans="1:29">
      <c r="A18" s="983" t="s">
        <v>16135</v>
      </c>
      <c r="B18" s="984">
        <f>SOLAR!G50</f>
        <v>10</v>
      </c>
      <c r="D18" s="989">
        <v>17</v>
      </c>
      <c r="E18" s="990">
        <v>300</v>
      </c>
      <c r="F18" s="990">
        <v>591</v>
      </c>
      <c r="G18" s="991">
        <v>7.0300000000000001E-2</v>
      </c>
      <c r="H18" s="991">
        <v>9.6000000000000002E-2</v>
      </c>
      <c r="I18" s="992">
        <f t="shared" si="2"/>
        <v>0.1189877724810411</v>
      </c>
      <c r="J18" s="993">
        <f t="shared" si="1"/>
        <v>4.123709821334128E-4</v>
      </c>
      <c r="K18" s="993">
        <f t="shared" si="0"/>
        <v>8.247419642668256E-4</v>
      </c>
      <c r="L18" s="994"/>
      <c r="N18" s="983" t="s">
        <v>16135</v>
      </c>
      <c r="O18" s="984">
        <f>SOLAR!G50</f>
        <v>10</v>
      </c>
      <c r="Q18" s="989">
        <v>17</v>
      </c>
      <c r="R18" s="990">
        <v>300</v>
      </c>
      <c r="S18" s="990">
        <v>472</v>
      </c>
      <c r="T18" s="991">
        <v>0.113</v>
      </c>
      <c r="U18" s="991">
        <v>9.6000000000000002E-2</v>
      </c>
      <c r="V18" s="992">
        <f t="shared" si="4"/>
        <v>0.14827339613025664</v>
      </c>
      <c r="W18" s="993">
        <f>((O$5*O$7*V18)/1000)/O$3</f>
        <v>5.138649519322064E-4</v>
      </c>
      <c r="X18" s="994">
        <f t="shared" si="6"/>
        <v>1.0277299038644128E-3</v>
      </c>
      <c r="Z18" s="1049">
        <v>240</v>
      </c>
      <c r="AA18" s="1044">
        <f t="shared" si="3"/>
        <v>240</v>
      </c>
      <c r="AB18" s="1046">
        <v>95</v>
      </c>
      <c r="AC18" s="1052">
        <v>95</v>
      </c>
    </row>
    <row r="19" spans="1:29">
      <c r="A19" s="983" t="s">
        <v>16136</v>
      </c>
      <c r="B19" s="266">
        <v>1.4999999999999999E-2</v>
      </c>
      <c r="D19" s="995">
        <v>18</v>
      </c>
      <c r="E19" s="996">
        <v>400</v>
      </c>
      <c r="F19" s="996">
        <v>709</v>
      </c>
      <c r="G19" s="997">
        <v>5.6899999999999999E-2</v>
      </c>
      <c r="H19" s="997">
        <v>9.5000000000000001E-2</v>
      </c>
      <c r="I19" s="998">
        <f>SQRT(G19^2+H19^2)</f>
        <v>0.11073666962664175</v>
      </c>
      <c r="J19" s="999">
        <f>((B$5*B$7*I19)/1000)/B$3</f>
        <v>3.8377547759705716E-4</v>
      </c>
      <c r="K19" s="999">
        <f t="shared" si="0"/>
        <v>7.6755095519411432E-4</v>
      </c>
      <c r="L19" s="1000"/>
      <c r="N19" s="983" t="s">
        <v>16136</v>
      </c>
      <c r="O19" s="266">
        <v>1.4999999999999999E-2</v>
      </c>
      <c r="Q19" s="995">
        <v>18</v>
      </c>
      <c r="R19" s="996">
        <v>400</v>
      </c>
      <c r="S19" s="996">
        <v>557</v>
      </c>
      <c r="T19" s="997">
        <v>8.8999999999999996E-2</v>
      </c>
      <c r="U19" s="997">
        <v>9.5000000000000001E-2</v>
      </c>
      <c r="V19" s="998">
        <f t="shared" si="4"/>
        <v>0.13017680284904834</v>
      </c>
      <c r="W19" s="999">
        <f>((O$5*O$7*V19)/1000)/O$3</f>
        <v>4.5114834005656327E-4</v>
      </c>
      <c r="X19" s="1000">
        <f t="shared" si="6"/>
        <v>9.0229668011312654E-4</v>
      </c>
      <c r="Z19" s="1047">
        <v>300</v>
      </c>
      <c r="AA19" s="1043">
        <f t="shared" si="3"/>
        <v>300</v>
      </c>
      <c r="AB19" s="1045">
        <v>120</v>
      </c>
      <c r="AC19" s="1051">
        <v>120</v>
      </c>
    </row>
    <row r="20" spans="1:29">
      <c r="A20" s="985" t="s">
        <v>16137</v>
      </c>
      <c r="B20" s="272">
        <f>B15*(1000/(B16*B17))</f>
        <v>159.42028985507247</v>
      </c>
      <c r="D20" s="989">
        <v>19</v>
      </c>
      <c r="E20" s="990" t="s">
        <v>1209</v>
      </c>
      <c r="F20" s="990">
        <f>F15*2*0.85</f>
        <v>632.4</v>
      </c>
      <c r="G20" s="991">
        <f t="shared" ref="G20:I21" si="7">G15/2</f>
        <v>6.9000000000000006E-2</v>
      </c>
      <c r="H20" s="991">
        <f t="shared" si="7"/>
        <v>4.9799999999999997E-2</v>
      </c>
      <c r="I20" s="992">
        <f t="shared" si="7"/>
        <v>8.5094300631710945E-2</v>
      </c>
      <c r="J20" s="993">
        <f t="shared" si="1"/>
        <v>2.9490778416787035E-4</v>
      </c>
      <c r="K20" s="993">
        <f t="shared" si="0"/>
        <v>5.8981556833574071E-4</v>
      </c>
      <c r="L20" s="994"/>
      <c r="N20" s="985" t="s">
        <v>16137</v>
      </c>
      <c r="O20" s="272">
        <f>O15*(1000/(O16*O17))</f>
        <v>159.42028985507247</v>
      </c>
      <c r="Q20" s="989">
        <v>19</v>
      </c>
      <c r="R20" s="990" t="s">
        <v>1209</v>
      </c>
      <c r="S20" s="990">
        <f>S15*2*0.85</f>
        <v>494.7</v>
      </c>
      <c r="T20" s="991">
        <f t="shared" ref="T20:V21" si="8">T15/2</f>
        <v>0.114</v>
      </c>
      <c r="U20" s="991">
        <f t="shared" si="8"/>
        <v>4.9799999999999997E-2</v>
      </c>
      <c r="V20" s="992">
        <f t="shared" si="8"/>
        <v>0.12440273308894785</v>
      </c>
      <c r="W20" s="993">
        <f t="shared" ref="W20:W39" si="9">((O$5*O$7*V20)/1000)/O$3</f>
        <v>4.3113738625659306E-4</v>
      </c>
      <c r="X20" s="993">
        <f t="shared" si="6"/>
        <v>8.6227477251318613E-4</v>
      </c>
      <c r="Z20" s="1049">
        <v>400</v>
      </c>
      <c r="AA20" s="1044">
        <f t="shared" si="3"/>
        <v>400</v>
      </c>
      <c r="AB20" s="1046">
        <v>120</v>
      </c>
      <c r="AC20" s="1052">
        <v>185</v>
      </c>
    </row>
    <row r="21" spans="1:29">
      <c r="A21" s="985" t="s">
        <v>16138</v>
      </c>
      <c r="B21" s="272">
        <f>B20*1.25</f>
        <v>199.27536231884059</v>
      </c>
      <c r="D21" s="995">
        <v>20</v>
      </c>
      <c r="E21" s="996" t="s">
        <v>1210</v>
      </c>
      <c r="F21" s="997">
        <f>F16*2*0.85</f>
        <v>725.9</v>
      </c>
      <c r="G21" s="997">
        <f t="shared" si="7"/>
        <v>5.5500000000000001E-2</v>
      </c>
      <c r="H21" s="997">
        <f t="shared" si="7"/>
        <v>4.99E-2</v>
      </c>
      <c r="I21" s="997">
        <f t="shared" si="7"/>
        <v>7.4634174477915954E-2</v>
      </c>
      <c r="J21" s="999">
        <f t="shared" si="1"/>
        <v>2.5865655931224811E-4</v>
      </c>
      <c r="K21" s="999">
        <f t="shared" si="0"/>
        <v>5.1731311862449622E-4</v>
      </c>
      <c r="L21" s="1000"/>
      <c r="N21" s="985" t="s">
        <v>16138</v>
      </c>
      <c r="O21" s="272">
        <f>O20*1.25</f>
        <v>199.27536231884059</v>
      </c>
      <c r="Q21" s="995">
        <v>20</v>
      </c>
      <c r="R21" s="996" t="s">
        <v>1210</v>
      </c>
      <c r="S21" s="997">
        <f>S16*2*0.85</f>
        <v>576.29999999999995</v>
      </c>
      <c r="T21" s="997">
        <f t="shared" si="8"/>
        <v>9.0999999999999998E-2</v>
      </c>
      <c r="U21" s="997">
        <f t="shared" si="8"/>
        <v>4.99E-2</v>
      </c>
      <c r="V21" s="997">
        <f t="shared" si="8"/>
        <v>0.10378347652685374</v>
      </c>
      <c r="W21" s="999">
        <f t="shared" si="9"/>
        <v>3.5967808500169855E-4</v>
      </c>
      <c r="X21" s="1000">
        <f t="shared" si="6"/>
        <v>7.1935617000339709E-4</v>
      </c>
      <c r="Z21" s="1047" t="s">
        <v>1209</v>
      </c>
      <c r="AA21" s="1043">
        <v>300</v>
      </c>
      <c r="AB21" s="1045" cm="1">
        <f t="array" ref="AB21">IF(AA21&gt;630,INDEX($Z$3:$Z$40,_xlfn.XMATCH(AA21*0.25,$AA$3:$AA$40,1,1)),120)</f>
        <v>120</v>
      </c>
      <c r="AC21" s="1051">
        <f>AC19</f>
        <v>120</v>
      </c>
    </row>
    <row r="22" spans="1:29">
      <c r="A22" s="985" t="s">
        <v>983</v>
      </c>
      <c r="B22" s="986" cm="1">
        <f t="array" ref="B22">_xlfn.XLOOKUP(0,(F2:F70-B21),D2:D70,,1)</f>
        <v>11</v>
      </c>
      <c r="D22" s="989">
        <v>21</v>
      </c>
      <c r="E22" s="990" t="s">
        <v>1211</v>
      </c>
      <c r="F22" s="990">
        <f>F14*3*0.79</f>
        <v>763.14</v>
      </c>
      <c r="G22" s="991">
        <f>G14/3</f>
        <v>5.6666666666666671E-2</v>
      </c>
      <c r="H22" s="991">
        <f t="shared" ref="H22:I22" si="10">H14/3</f>
        <v>3.32E-2</v>
      </c>
      <c r="I22" s="991">
        <f t="shared" si="10"/>
        <v>6.5676107612366252E-2</v>
      </c>
      <c r="J22" s="993">
        <f t="shared" si="1"/>
        <v>2.276109589590513E-4</v>
      </c>
      <c r="K22" s="993">
        <f t="shared" si="0"/>
        <v>4.552219179181026E-4</v>
      </c>
      <c r="L22" s="994"/>
      <c r="N22" s="985" t="s">
        <v>983</v>
      </c>
      <c r="O22" s="986" cm="1">
        <f t="array" ref="O22">_xlfn.XLOOKUP(0,(S2:S70-O21),Q2:Q70,,1)</f>
        <v>12</v>
      </c>
      <c r="Q22" s="989">
        <v>21</v>
      </c>
      <c r="R22" s="990" t="s">
        <v>1211</v>
      </c>
      <c r="S22" s="990">
        <f>S14*3*0.79</f>
        <v>599.61</v>
      </c>
      <c r="T22" s="991">
        <f>T14/3</f>
        <v>9.3000000000000013E-2</v>
      </c>
      <c r="U22" s="991">
        <f t="shared" ref="U22:V22" si="11">U14/3</f>
        <v>3.32E-2</v>
      </c>
      <c r="V22" s="991">
        <f t="shared" si="11"/>
        <v>9.8748367075106633E-2</v>
      </c>
      <c r="W22" s="993">
        <f t="shared" si="9"/>
        <v>3.4222811525714338E-4</v>
      </c>
      <c r="X22" s="993">
        <f t="shared" si="6"/>
        <v>6.8445623051428676E-4</v>
      </c>
      <c r="Z22" s="1049" t="s">
        <v>1210</v>
      </c>
      <c r="AA22" s="1044">
        <v>370</v>
      </c>
      <c r="AB22" s="1046" cm="1">
        <f t="array" ref="AB22">IF(AA22&gt;630,INDEX($Z$3:$Z$40,_xlfn.XMATCH(AA22*0.25,$AA$3:$AA$40,1,1)),120)</f>
        <v>120</v>
      </c>
      <c r="AC22" s="1052" cm="1">
        <f t="array" ref="AC22">_xlfn.IFS(AND(AA22&gt;300,AA22&lt;=500),185,AND(AA22&gt;500,AA22&lt;=630),240,AA22&gt;630,INDEX($Z$3:$Z$40,_xlfn.XMATCH(AA22*0.4,$AA$3:$AA$40,1,1)))</f>
        <v>185</v>
      </c>
    </row>
    <row r="23" spans="1:29">
      <c r="A23" s="985" t="s">
        <v>986</v>
      </c>
      <c r="B23" s="986" cm="1">
        <f t="array" ref="B23">_xlfn.XLOOKUP(0,(K2:K70-B19),D2:D70,,-1)</f>
        <v>6</v>
      </c>
      <c r="D23" s="995">
        <v>22</v>
      </c>
      <c r="E23" s="996" t="s">
        <v>1212</v>
      </c>
      <c r="F23" s="996">
        <f>F17*2*0.85</f>
        <v>873.8</v>
      </c>
      <c r="G23" s="997">
        <f>G17/2</f>
        <v>4.3099999999999999E-2</v>
      </c>
      <c r="H23" s="997">
        <f t="shared" ref="H23:I23" si="12">H17/2</f>
        <v>4.8500000000000001E-2</v>
      </c>
      <c r="I23" s="997">
        <f t="shared" si="12"/>
        <v>6.4883433941184093E-2</v>
      </c>
      <c r="J23" s="999">
        <f t="shared" si="1"/>
        <v>2.2486382273252209E-4</v>
      </c>
      <c r="K23" s="999">
        <f t="shared" si="0"/>
        <v>4.4972764546504418E-4</v>
      </c>
      <c r="L23" s="1000"/>
      <c r="N23" s="985" t="s">
        <v>986</v>
      </c>
      <c r="O23" s="986" cm="1">
        <f t="array" ref="O23">_xlfn.XLOOKUP(0,(X2:X70-O19),Q2:Q70,,-1)</f>
        <v>7</v>
      </c>
      <c r="Q23" s="995">
        <v>22</v>
      </c>
      <c r="R23" s="996" t="s">
        <v>1212</v>
      </c>
      <c r="S23" s="996">
        <f>S17*2*0.85</f>
        <v>691.9</v>
      </c>
      <c r="T23" s="997">
        <f>T17/2</f>
        <v>7.0000000000000007E-2</v>
      </c>
      <c r="U23" s="997">
        <f t="shared" ref="U23:V23" si="13">U17/2</f>
        <v>4.8500000000000001E-2</v>
      </c>
      <c r="V23" s="997">
        <f t="shared" si="13"/>
        <v>8.516014325962587E-2</v>
      </c>
      <c r="W23" s="999">
        <f t="shared" si="9"/>
        <v>2.9513597222932724E-4</v>
      </c>
      <c r="X23" s="1000">
        <f t="shared" si="6"/>
        <v>5.9027194445865447E-4</v>
      </c>
      <c r="Z23" s="1047" t="s">
        <v>1211</v>
      </c>
      <c r="AA23" s="1043">
        <v>360</v>
      </c>
      <c r="AB23" s="1045" cm="1">
        <f t="array" ref="AB23">IF(AA23&gt;630,INDEX($Z$3:$Z$40,_xlfn.XMATCH(AA23*0.25,$AA$3:$AA$40,1,1)),120)</f>
        <v>120</v>
      </c>
      <c r="AC23" s="1051" cm="1">
        <f t="array" ref="AC23">_xlfn.IFS(AND(AA23&gt;300,AA23&lt;=500),185,AND(AA23&gt;500,AA23&lt;=630),240,AA23&gt;630,INDEX($Z$3:$Z$40,_xlfn.XMATCH(AA23*0.4,$AA$3:$AA$40,1,1)))</f>
        <v>185</v>
      </c>
    </row>
    <row r="24" spans="1:29">
      <c r="A24" s="985" t="s">
        <v>16139</v>
      </c>
      <c r="B24" s="986" cm="1">
        <f t="array" ref="B24">INDEX(E2:E70,MAX(B22,B23))</f>
        <v>70</v>
      </c>
      <c r="D24" s="989">
        <v>23</v>
      </c>
      <c r="E24" s="990" t="s">
        <v>1213</v>
      </c>
      <c r="F24" s="990">
        <f>F15*3*0.79</f>
        <v>881.64</v>
      </c>
      <c r="G24" s="991">
        <f>G15/3</f>
        <v>4.6000000000000006E-2</v>
      </c>
      <c r="H24" s="991">
        <f t="shared" ref="H24:I24" si="14">H15/3</f>
        <v>3.32E-2</v>
      </c>
      <c r="I24" s="991">
        <f t="shared" si="14"/>
        <v>5.6729533754473961E-2</v>
      </c>
      <c r="J24" s="993">
        <f t="shared" si="1"/>
        <v>1.9660518944524688E-4</v>
      </c>
      <c r="K24" s="993">
        <f t="shared" si="0"/>
        <v>3.9321037889049375E-4</v>
      </c>
      <c r="L24" s="994"/>
      <c r="N24" s="985" t="s">
        <v>16139</v>
      </c>
      <c r="O24" s="986" cm="1">
        <f t="array" ref="O24">INDEX(R2:R70,MAX(O22,O23))</f>
        <v>95</v>
      </c>
      <c r="Q24" s="989">
        <v>23</v>
      </c>
      <c r="R24" s="990" t="s">
        <v>1213</v>
      </c>
      <c r="S24" s="990">
        <f>S15*3*0.79</f>
        <v>689.67000000000007</v>
      </c>
      <c r="T24" s="991">
        <f>T15/3</f>
        <v>7.5999999999999998E-2</v>
      </c>
      <c r="U24" s="991">
        <f t="shared" ref="U24:V24" si="15">U15/3</f>
        <v>3.32E-2</v>
      </c>
      <c r="V24" s="991">
        <f t="shared" si="15"/>
        <v>8.2935155392631896E-2</v>
      </c>
      <c r="W24" s="993">
        <f t="shared" si="9"/>
        <v>2.8742492417106204E-4</v>
      </c>
      <c r="X24" s="993">
        <f t="shared" si="6"/>
        <v>5.7484984834212409E-4</v>
      </c>
      <c r="Z24" s="1049" t="s">
        <v>1212</v>
      </c>
      <c r="AA24" s="1044">
        <v>480</v>
      </c>
      <c r="AB24" s="1046" cm="1">
        <f t="array" ref="AB24">IF(AA24&gt;630,INDEX($Z$3:$Z$40,_xlfn.XMATCH(AA24*0.25,$AA$3:$AA$40,1,1)),120)</f>
        <v>120</v>
      </c>
      <c r="AC24" s="1052" cm="1">
        <f t="array" ref="AC24">_xlfn.IFS(AND(AA24&gt;300,AA24&lt;=500),185,AND(AA24&gt;500,AA24&lt;=630),240,AA24&gt;630,INDEX($Z$3:$Z$40,_xlfn.XMATCH(AA24*0.4,$AA$3:$AA$40,1,1)))</f>
        <v>185</v>
      </c>
    </row>
    <row r="25" spans="1:29" ht="16.2" thickBot="1">
      <c r="A25" s="987" t="s">
        <v>186</v>
      </c>
      <c r="B25" s="988" cm="1">
        <f t="array" ref="B25">INDEX('4. Switch Gear'!H7:H22,MATCH(B21,'4. Switch Gear'!H7:H22,1)+1)</f>
        <v>250</v>
      </c>
      <c r="D25" s="995">
        <v>24</v>
      </c>
      <c r="E25" s="996" t="s">
        <v>1214</v>
      </c>
      <c r="F25" s="996">
        <f>F18*2*0.85</f>
        <v>1004.6999999999999</v>
      </c>
      <c r="G25" s="997">
        <f>G18/2</f>
        <v>3.5150000000000001E-2</v>
      </c>
      <c r="H25" s="997">
        <f t="shared" ref="H25:I25" si="16">H18/2</f>
        <v>4.8000000000000001E-2</v>
      </c>
      <c r="I25" s="997">
        <f t="shared" si="16"/>
        <v>5.9493886240520551E-2</v>
      </c>
      <c r="J25" s="999">
        <f t="shared" si="1"/>
        <v>2.061854910667064E-4</v>
      </c>
      <c r="K25" s="999">
        <f t="shared" si="0"/>
        <v>4.123709821334128E-4</v>
      </c>
      <c r="L25" s="1000"/>
      <c r="N25" s="987" t="s">
        <v>186</v>
      </c>
      <c r="O25" s="988" cm="1">
        <f t="array" ref="O25">INDEX('4. Switch Gear'!H7:H22,MATCH(B21,'4. Switch Gear'!H7:H22,1)+1)</f>
        <v>250</v>
      </c>
      <c r="Q25" s="995">
        <v>24</v>
      </c>
      <c r="R25" s="996" t="s">
        <v>1214</v>
      </c>
      <c r="S25" s="996">
        <f>S18*2*0.85</f>
        <v>802.4</v>
      </c>
      <c r="T25" s="997">
        <f>T18/2</f>
        <v>5.6500000000000002E-2</v>
      </c>
      <c r="U25" s="997">
        <f t="shared" ref="U25:V25" si="17">U18/2</f>
        <v>4.8000000000000001E-2</v>
      </c>
      <c r="V25" s="998">
        <f t="shared" si="17"/>
        <v>7.413669806512832E-2</v>
      </c>
      <c r="W25" s="999">
        <f t="shared" si="9"/>
        <v>2.569324759661032E-4</v>
      </c>
      <c r="X25" s="1000">
        <f t="shared" si="6"/>
        <v>5.138649519322064E-4</v>
      </c>
      <c r="Z25" s="1047" t="s">
        <v>1213</v>
      </c>
      <c r="AA25" s="1043">
        <v>450</v>
      </c>
      <c r="AB25" s="1045" cm="1">
        <f t="array" ref="AB25">IF(AA25&gt;630,INDEX($Z$3:$Z$40,_xlfn.XMATCH(AA25*0.25,$AA$3:$AA$40,1,1)),120)</f>
        <v>120</v>
      </c>
      <c r="AC25" s="1051" cm="1">
        <f t="array" ref="AC25">_xlfn.IFS(AND(AA25&gt;300,AA25&lt;=500),185,AND(AA25&gt;500,AA25&lt;=630),240,AA25&gt;630,INDEX($Z$3:$Z$40,_xlfn.XMATCH(AA25*0.4,$AA$3:$AA$40,1,1)))</f>
        <v>185</v>
      </c>
    </row>
    <row r="26" spans="1:29">
      <c r="D26" s="989">
        <v>25</v>
      </c>
      <c r="E26" s="990" t="s">
        <v>1215</v>
      </c>
      <c r="F26" s="990">
        <f>F16*3*0.79</f>
        <v>1011.99</v>
      </c>
      <c r="G26" s="991">
        <f>G16/3</f>
        <v>3.6999999999999998E-2</v>
      </c>
      <c r="H26" s="991">
        <f t="shared" ref="H26:I26" si="18">H16/3</f>
        <v>3.3266666666666667E-2</v>
      </c>
      <c r="I26" s="991">
        <f t="shared" si="18"/>
        <v>4.9756116318610634E-2</v>
      </c>
      <c r="J26" s="993">
        <f t="shared" ref="J26:J38" si="19">((B$5*B$7*I26)/1000)/B$3</f>
        <v>1.7243770620816541E-4</v>
      </c>
      <c r="K26" s="993">
        <f t="shared" si="0"/>
        <v>3.4487541241633082E-4</v>
      </c>
      <c r="L26" s="994"/>
      <c r="Q26" s="989">
        <v>25</v>
      </c>
      <c r="R26" s="990" t="s">
        <v>1215</v>
      </c>
      <c r="S26" s="990">
        <f>S16*3*0.79</f>
        <v>803.43000000000006</v>
      </c>
      <c r="T26" s="991">
        <f>T16/3</f>
        <v>6.0666666666666667E-2</v>
      </c>
      <c r="U26" s="991">
        <f t="shared" ref="U26:V26" si="20">U16/3</f>
        <v>3.3266666666666667E-2</v>
      </c>
      <c r="V26" s="992">
        <f t="shared" si="20"/>
        <v>6.9188984351235827E-2</v>
      </c>
      <c r="W26" s="993">
        <f t="shared" si="9"/>
        <v>2.3978539000113239E-4</v>
      </c>
      <c r="X26" s="994">
        <f t="shared" si="6"/>
        <v>4.7957078000226478E-4</v>
      </c>
      <c r="Z26" s="1049" t="s">
        <v>1214</v>
      </c>
      <c r="AA26" s="1044">
        <v>600</v>
      </c>
      <c r="AB26" s="1046" cm="1">
        <f t="array" ref="AB26">IF(AA26&gt;630,INDEX($Z$3:$Z$40,_xlfn.XMATCH(AA26*0.25,$AA$3:$AA$40,1,1)),120)</f>
        <v>120</v>
      </c>
      <c r="AC26" s="1052" cm="1">
        <f t="array" ref="AC26">_xlfn.IFS(AND(AA26&gt;300,AA26&lt;=500),185,AND(AA26&gt;500,AA26&lt;=630),240,AA26&gt;630,INDEX($Z$3:$Z$40,_xlfn.XMATCH(AA26*0.4,$AA$3:$AA$40,1,1)))</f>
        <v>240</v>
      </c>
    </row>
    <row r="27" spans="1:29">
      <c r="D27" s="995">
        <v>26</v>
      </c>
      <c r="E27" s="996" t="s">
        <v>1216</v>
      </c>
      <c r="F27" s="996">
        <f>F14*4*0.75</f>
        <v>966</v>
      </c>
      <c r="G27" s="997">
        <f>G14/4</f>
        <v>4.2500000000000003E-2</v>
      </c>
      <c r="H27" s="997">
        <f t="shared" ref="H27:I27" si="21">H14/4</f>
        <v>2.4899999999999999E-2</v>
      </c>
      <c r="I27" s="997">
        <f t="shared" si="21"/>
        <v>4.9257080709274689E-2</v>
      </c>
      <c r="J27" s="999">
        <f t="shared" si="19"/>
        <v>1.7070821921928847E-4</v>
      </c>
      <c r="K27" s="999">
        <f t="shared" si="0"/>
        <v>3.4141643843857693E-4</v>
      </c>
      <c r="L27" s="1000"/>
      <c r="Q27" s="995">
        <v>26</v>
      </c>
      <c r="R27" s="996" t="s">
        <v>1216</v>
      </c>
      <c r="S27" s="996">
        <f>S14*4*0.75</f>
        <v>759</v>
      </c>
      <c r="T27" s="997">
        <f>T14/4</f>
        <v>6.9750000000000006E-2</v>
      </c>
      <c r="U27" s="997">
        <f t="shared" ref="U27:V27" si="22">U14/4</f>
        <v>2.4899999999999999E-2</v>
      </c>
      <c r="V27" s="998">
        <f t="shared" si="22"/>
        <v>7.4061275306329971E-2</v>
      </c>
      <c r="W27" s="999">
        <f>((O$5*O$7*V27)/1000)/O$3</f>
        <v>2.5667108644285752E-4</v>
      </c>
      <c r="X27" s="1000">
        <f t="shared" si="6"/>
        <v>5.1334217288571504E-4</v>
      </c>
      <c r="Z27" s="1047" t="s">
        <v>1215</v>
      </c>
      <c r="AA27" s="1043">
        <v>555</v>
      </c>
      <c r="AB27" s="1045" cm="1">
        <f t="array" ref="AB27">IF(AA27&gt;630,INDEX($Z$3:$Z$40,_xlfn.XMATCH(AA27*0.25,$AA$3:$AA$40,1,1)),120)</f>
        <v>120</v>
      </c>
      <c r="AC27" s="1051" cm="1">
        <f t="array" ref="AC27">_xlfn.IFS(AND(AA27&gt;300,AA27&lt;=500),185,AND(AA27&gt;500,AA27&lt;=630),240,AA27&gt;630,INDEX($Z$3:$Z$40,_xlfn.XMATCH(AA27*0.4,$AA$3:$AA$40,1,1)))</f>
        <v>240</v>
      </c>
    </row>
    <row r="28" spans="1:29">
      <c r="D28" s="989">
        <v>27</v>
      </c>
      <c r="E28" s="990" t="s">
        <v>1217</v>
      </c>
      <c r="F28" s="990">
        <f>F19*2*0.75</f>
        <v>1063.5</v>
      </c>
      <c r="G28" s="991">
        <f>G19/2</f>
        <v>2.845E-2</v>
      </c>
      <c r="H28" s="991">
        <f t="shared" ref="H28:I28" si="23">H19/2</f>
        <v>4.7500000000000001E-2</v>
      </c>
      <c r="I28" s="991">
        <f t="shared" si="23"/>
        <v>5.5368334813320874E-2</v>
      </c>
      <c r="J28" s="993">
        <f t="shared" si="19"/>
        <v>1.9188773879852858E-4</v>
      </c>
      <c r="K28" s="993">
        <f t="shared" si="0"/>
        <v>3.8377547759705716E-4</v>
      </c>
      <c r="L28" s="994"/>
      <c r="Q28" s="989">
        <v>27</v>
      </c>
      <c r="R28" s="990" t="s">
        <v>1217</v>
      </c>
      <c r="S28" s="990">
        <f>S19*2*0.75</f>
        <v>835.5</v>
      </c>
      <c r="T28" s="991">
        <f>T19/2</f>
        <v>4.4499999999999998E-2</v>
      </c>
      <c r="U28" s="991">
        <f t="shared" ref="U28:V28" si="24">U19/2</f>
        <v>4.7500000000000001E-2</v>
      </c>
      <c r="V28" s="992">
        <f t="shared" si="24"/>
        <v>6.508840142452417E-2</v>
      </c>
      <c r="W28" s="993">
        <f t="shared" si="9"/>
        <v>2.2557417002828163E-4</v>
      </c>
      <c r="X28" s="994">
        <f t="shared" si="6"/>
        <v>4.5114834005656327E-4</v>
      </c>
      <c r="Z28" s="1049" t="s">
        <v>1216</v>
      </c>
      <c r="AA28" s="1044">
        <v>480</v>
      </c>
      <c r="AB28" s="1046" cm="1">
        <f t="array" ref="AB28">IF(AA28&gt;630,INDEX($Z$3:$Z$40,_xlfn.XMATCH(AA28*0.25,$AA$3:$AA$40,1,1)),120)</f>
        <v>120</v>
      </c>
      <c r="AC28" s="1052" cm="1">
        <f t="array" ref="AC28">_xlfn.IFS(AND(AA28&gt;300,AA28&lt;=500),185,AND(AA28&gt;500,AA28&lt;=630),240,AA28&gt;630,INDEX($Z$3:$Z$40,_xlfn.XMATCH(AA28*0.4,$AA$3:$AA$40,1,1)))</f>
        <v>185</v>
      </c>
    </row>
    <row r="29" spans="1:29">
      <c r="D29" s="995">
        <v>28</v>
      </c>
      <c r="E29" s="996" t="s">
        <v>1218</v>
      </c>
      <c r="F29" s="996">
        <f>F15*4*0.75</f>
        <v>1116</v>
      </c>
      <c r="G29" s="997">
        <f>G15/4</f>
        <v>3.4500000000000003E-2</v>
      </c>
      <c r="H29" s="997">
        <f t="shared" ref="H29:I29" si="25">H15/4</f>
        <v>2.4899999999999999E-2</v>
      </c>
      <c r="I29" s="997">
        <f t="shared" si="25"/>
        <v>4.2547150315855473E-2</v>
      </c>
      <c r="J29" s="999">
        <f t="shared" si="19"/>
        <v>1.4745389208393518E-4</v>
      </c>
      <c r="K29" s="999">
        <f t="shared" si="0"/>
        <v>2.9490778416787035E-4</v>
      </c>
      <c r="L29" s="1000"/>
      <c r="Q29" s="995">
        <v>28</v>
      </c>
      <c r="R29" s="996" t="s">
        <v>1218</v>
      </c>
      <c r="S29" s="996">
        <f>S15*4*0.75</f>
        <v>873</v>
      </c>
      <c r="T29" s="997">
        <f>T15/4</f>
        <v>5.7000000000000002E-2</v>
      </c>
      <c r="U29" s="997">
        <f t="shared" ref="U29:V29" si="26">U15/4</f>
        <v>2.4899999999999999E-2</v>
      </c>
      <c r="V29" s="998">
        <f t="shared" si="26"/>
        <v>6.2201366544473925E-2</v>
      </c>
      <c r="W29" s="999">
        <f t="shared" si="9"/>
        <v>2.1556869312829653E-4</v>
      </c>
      <c r="X29" s="1000">
        <f t="shared" si="6"/>
        <v>4.3113738625659306E-4</v>
      </c>
      <c r="Z29" s="1047" t="s">
        <v>1217</v>
      </c>
      <c r="AA29" s="1043">
        <v>800</v>
      </c>
      <c r="AB29" s="1045" cm="1">
        <f t="array" ref="AB29">IF(AA29&gt;630,INDEX($Z$3:$Z$40,_xlfn.XMATCH(AA29*0.25,$AA$3:$AA$40,1,1)),120)</f>
        <v>240</v>
      </c>
      <c r="AC29" s="1048" t="str" cm="1">
        <f t="array" ref="AC29">_xlfn.IFS(AND(AA29&gt;300,AA29&lt;=500),185,AND(AA29&gt;500,AA29&lt;=630),240,AA29&gt;630,INDEX($Z$3:$Z$40,_xlfn.XMATCH(AA29*0.4,$AA$3:$AA$40,1,1)))</f>
        <v>3x 120</v>
      </c>
    </row>
    <row r="30" spans="1:29">
      <c r="D30" s="989">
        <v>29</v>
      </c>
      <c r="E30" s="990" t="s">
        <v>1219</v>
      </c>
      <c r="F30" s="990">
        <f>F17*3*0.79</f>
        <v>1218.18</v>
      </c>
      <c r="G30" s="991">
        <f>G17/3</f>
        <v>2.8733333333333333E-2</v>
      </c>
      <c r="H30" s="991">
        <f t="shared" ref="H30:I30" si="27">H17/3</f>
        <v>3.2333333333333332E-2</v>
      </c>
      <c r="I30" s="991">
        <f t="shared" si="27"/>
        <v>4.325562262745606E-2</v>
      </c>
      <c r="J30" s="993">
        <f t="shared" si="19"/>
        <v>1.4990921515501473E-4</v>
      </c>
      <c r="K30" s="993">
        <f t="shared" si="0"/>
        <v>2.9981843031002945E-4</v>
      </c>
      <c r="L30" s="994"/>
      <c r="Q30" s="989">
        <v>29</v>
      </c>
      <c r="R30" s="990" t="s">
        <v>1219</v>
      </c>
      <c r="S30" s="990">
        <f>S17*3*0.79</f>
        <v>964.59</v>
      </c>
      <c r="T30" s="991">
        <f>T17/3</f>
        <v>4.6666666666666669E-2</v>
      </c>
      <c r="U30" s="991">
        <f t="shared" ref="U30:V30" si="28">U17/3</f>
        <v>3.2333333333333332E-2</v>
      </c>
      <c r="V30" s="992">
        <f t="shared" si="28"/>
        <v>5.6773428839750582E-2</v>
      </c>
      <c r="W30" s="993">
        <f t="shared" si="9"/>
        <v>1.9675731481955149E-4</v>
      </c>
      <c r="X30" s="994">
        <f t="shared" si="6"/>
        <v>3.9351462963910298E-4</v>
      </c>
      <c r="Z30" s="1049" t="s">
        <v>1218</v>
      </c>
      <c r="AA30" s="1044">
        <v>600</v>
      </c>
      <c r="AB30" s="1046" cm="1">
        <f t="array" ref="AB30">IF(AA30&gt;630,INDEX($Z$3:$Z$40,_xlfn.XMATCH(AA30*0.25,$AA$3:$AA$40,1,1)),120)</f>
        <v>120</v>
      </c>
      <c r="AC30" s="1050" cm="1">
        <f t="array" ref="AC30">_xlfn.IFS(AND(AA30&gt;300,AA30&lt;=500),185,AND(AA30&gt;500,AA30&lt;=630),240,AA30&gt;630,INDEX($Z$3:$Z$40,_xlfn.XMATCH(AA30*0.4,$AA$3:$AA$40,1,1)))</f>
        <v>240</v>
      </c>
    </row>
    <row r="31" spans="1:29">
      <c r="D31" s="995">
        <v>30</v>
      </c>
      <c r="E31" s="996" t="s">
        <v>1220</v>
      </c>
      <c r="F31" s="996">
        <f>F16*4*0.75</f>
        <v>1281</v>
      </c>
      <c r="G31" s="997">
        <v>2.9749999999999999E-2</v>
      </c>
      <c r="H31" s="997">
        <v>2.47E-2</v>
      </c>
      <c r="I31" s="998">
        <f t="shared" ref="I31" si="29">I25/3</f>
        <v>1.9831295413506849E-2</v>
      </c>
      <c r="J31" s="999">
        <f t="shared" si="19"/>
        <v>6.8728497022235458E-5</v>
      </c>
      <c r="K31" s="999">
        <f t="shared" si="0"/>
        <v>1.3745699404447092E-4</v>
      </c>
      <c r="L31" s="1000"/>
      <c r="Q31" s="995">
        <v>30</v>
      </c>
      <c r="R31" s="996" t="s">
        <v>1220</v>
      </c>
      <c r="S31" s="996">
        <f>S16*4*0.75</f>
        <v>1017</v>
      </c>
      <c r="T31" s="997">
        <v>2.9749999999999999E-2</v>
      </c>
      <c r="U31" s="997">
        <v>2.47E-2</v>
      </c>
      <c r="V31" s="998">
        <f t="shared" ref="V31" si="30">V25/3</f>
        <v>2.4712232688376107E-2</v>
      </c>
      <c r="W31" s="999">
        <f t="shared" si="9"/>
        <v>8.5644158655367742E-5</v>
      </c>
      <c r="X31" s="1000">
        <f t="shared" si="6"/>
        <v>1.7128831731073548E-4</v>
      </c>
      <c r="Z31" s="1047" t="s">
        <v>1219</v>
      </c>
      <c r="AA31" s="1043">
        <v>720</v>
      </c>
      <c r="AB31" s="1045" cm="1">
        <f t="array" ref="AB31">IF(AA31&gt;630,INDEX($Z$3:$Z$40,_xlfn.XMATCH(AA31*0.25,$AA$3:$AA$40,1,1)),120)</f>
        <v>185</v>
      </c>
      <c r="AC31" s="1048" cm="1">
        <f t="array" ref="AC31">_xlfn.IFS(AND(AA31&gt;300,AA31&lt;=500),185,AND(AA31&gt;500,AA31&lt;=630),240,AA31&gt;630,INDEX($Z$3:$Z$40,_xlfn.XMATCH(AA31*0.4,$AA$3:$AA$40,1,1)))</f>
        <v>300</v>
      </c>
    </row>
    <row r="32" spans="1:29">
      <c r="D32" s="989">
        <v>31</v>
      </c>
      <c r="E32" s="990" t="s">
        <v>1221</v>
      </c>
      <c r="F32" s="990">
        <f>F18*3*0.79</f>
        <v>1400.67</v>
      </c>
      <c r="G32" s="991">
        <f>G18/3</f>
        <v>2.3433333333333334E-2</v>
      </c>
      <c r="H32" s="991">
        <f t="shared" ref="H32:I32" si="31">H18/3</f>
        <v>3.2000000000000001E-2</v>
      </c>
      <c r="I32" s="991">
        <f t="shared" si="31"/>
        <v>3.9662590827013698E-2</v>
      </c>
      <c r="J32" s="993">
        <f t="shared" si="19"/>
        <v>1.3745699404447092E-4</v>
      </c>
      <c r="K32" s="993">
        <f t="shared" si="0"/>
        <v>2.7491398808894183E-4</v>
      </c>
      <c r="L32" s="994"/>
      <c r="Q32" s="989">
        <v>31</v>
      </c>
      <c r="R32" s="990" t="s">
        <v>1221</v>
      </c>
      <c r="S32" s="990">
        <f>S18*3*0.79</f>
        <v>1118.6400000000001</v>
      </c>
      <c r="T32" s="991">
        <f>T18/3</f>
        <v>3.7666666666666668E-2</v>
      </c>
      <c r="U32" s="991">
        <f t="shared" ref="U32:V32" si="32">U18/3</f>
        <v>3.2000000000000001E-2</v>
      </c>
      <c r="V32" s="992">
        <f t="shared" si="32"/>
        <v>4.9424465376752214E-2</v>
      </c>
      <c r="W32" s="993">
        <f t="shared" si="9"/>
        <v>1.7128831731073548E-4</v>
      </c>
      <c r="X32" s="994">
        <f t="shared" si="6"/>
        <v>3.4257663462147097E-4</v>
      </c>
      <c r="Z32" s="1049" t="s">
        <v>1220</v>
      </c>
      <c r="AA32" s="1044">
        <v>740</v>
      </c>
      <c r="AB32" s="1046" cm="1">
        <f t="array" ref="AB32">IF(AA32&gt;630,INDEX($Z$3:$Z$40,_xlfn.XMATCH(AA32*0.25,$AA$3:$AA$40,1,1)),120)</f>
        <v>185</v>
      </c>
      <c r="AC32" s="1050" cm="1">
        <f t="array" ref="AC32">_xlfn.IFS(AND(AA32&gt;300,AA32&lt;=500),185,AND(AA32&gt;500,AA32&lt;=630),240,AA32&gt;630,INDEX($Z$3:$Z$40,_xlfn.XMATCH(AA32*0.4,$AA$3:$AA$40,1,1)))</f>
        <v>300</v>
      </c>
    </row>
    <row r="33" spans="4:29">
      <c r="D33" s="995">
        <v>32</v>
      </c>
      <c r="E33" s="996" t="s">
        <v>1222</v>
      </c>
      <c r="F33" s="996">
        <f>F17*4*0.75</f>
        <v>1542</v>
      </c>
      <c r="G33" s="997">
        <f>G17/4</f>
        <v>2.155E-2</v>
      </c>
      <c r="H33" s="997">
        <f t="shared" ref="H33:I33" si="33">H17/4</f>
        <v>2.4250000000000001E-2</v>
      </c>
      <c r="I33" s="997">
        <f t="shared" si="33"/>
        <v>3.2441716970592047E-2</v>
      </c>
      <c r="J33" s="999">
        <f t="shared" si="19"/>
        <v>1.1243191136626104E-4</v>
      </c>
      <c r="K33" s="999">
        <f t="shared" si="0"/>
        <v>2.2486382273252209E-4</v>
      </c>
      <c r="L33" s="1000"/>
      <c r="Q33" s="995">
        <v>32</v>
      </c>
      <c r="R33" s="996" t="s">
        <v>1222</v>
      </c>
      <c r="S33" s="996">
        <f>S17*4*0.75</f>
        <v>1221</v>
      </c>
      <c r="T33" s="997">
        <f>T17/4</f>
        <v>3.5000000000000003E-2</v>
      </c>
      <c r="U33" s="997">
        <f t="shared" ref="U33:V33" si="34">U17/4</f>
        <v>2.4250000000000001E-2</v>
      </c>
      <c r="V33" s="998">
        <f t="shared" si="34"/>
        <v>4.2580071629812935E-2</v>
      </c>
      <c r="W33" s="999">
        <f t="shared" si="9"/>
        <v>1.4756798611466362E-4</v>
      </c>
      <c r="X33" s="1000">
        <f t="shared" si="6"/>
        <v>2.9513597222932724E-4</v>
      </c>
      <c r="Z33" s="1047" t="s">
        <v>1221</v>
      </c>
      <c r="AA33" s="1043">
        <v>900</v>
      </c>
      <c r="AB33" s="1045" cm="1">
        <f t="array" ref="AB33">IF(AA33&gt;630,INDEX($Z$3:$Z$40,_xlfn.XMATCH(AA33*0.25,$AA$3:$AA$40,1,1)),120)</f>
        <v>240</v>
      </c>
      <c r="AC33" s="1048" t="str" cm="1">
        <f t="array" ref="AC33">_xlfn.IFS(AND(AA33&gt;300,AA33&lt;=500),185,AND(AA33&gt;500,AA33&lt;=630),240,AA33&gt;630,INDEX($Z$3:$Z$40,_xlfn.XMATCH(AA33*0.4,$AA$3:$AA$40,1,1)))</f>
        <v>3x 120</v>
      </c>
    </row>
    <row r="34" spans="4:29">
      <c r="D34" s="989">
        <v>33</v>
      </c>
      <c r="E34" s="990" t="s">
        <v>1223</v>
      </c>
      <c r="F34" s="990">
        <f>F19*3*0.79</f>
        <v>1680.3300000000002</v>
      </c>
      <c r="G34" s="991">
        <f>G19/3</f>
        <v>1.8966666666666666E-2</v>
      </c>
      <c r="H34" s="991">
        <f t="shared" ref="H34:I34" si="35">H19/3</f>
        <v>3.1666666666666669E-2</v>
      </c>
      <c r="I34" s="991">
        <f t="shared" si="35"/>
        <v>3.691222320888058E-2</v>
      </c>
      <c r="J34" s="993">
        <f t="shared" si="19"/>
        <v>1.2792515919901905E-4</v>
      </c>
      <c r="K34" s="993">
        <f t="shared" si="0"/>
        <v>2.5585031839803809E-4</v>
      </c>
      <c r="L34" s="994"/>
      <c r="Q34" s="989">
        <v>33</v>
      </c>
      <c r="R34" s="990" t="s">
        <v>1223</v>
      </c>
      <c r="S34" s="990">
        <f>S19*3*0.79</f>
        <v>1320.0900000000001</v>
      </c>
      <c r="T34" s="991">
        <f>T19/3</f>
        <v>2.9666666666666664E-2</v>
      </c>
      <c r="U34" s="991">
        <f t="shared" ref="U34:V34" si="36">U19/3</f>
        <v>3.1666666666666669E-2</v>
      </c>
      <c r="V34" s="992">
        <f t="shared" si="36"/>
        <v>4.3392267616349449E-2</v>
      </c>
      <c r="W34" s="993">
        <f t="shared" si="9"/>
        <v>1.5038278001885442E-4</v>
      </c>
      <c r="X34" s="994">
        <f t="shared" si="6"/>
        <v>3.0076556003770885E-4</v>
      </c>
      <c r="Z34" s="1049" t="s">
        <v>1222</v>
      </c>
      <c r="AA34" s="1044">
        <v>960</v>
      </c>
      <c r="AB34" s="1046" cm="1">
        <f t="array" ref="AB34">IF(AA34&gt;630,INDEX($Z$3:$Z$40,_xlfn.XMATCH(AA34*0.25,$AA$3:$AA$40,1,1)),120)</f>
        <v>240</v>
      </c>
      <c r="AC34" s="1050" cm="1">
        <f t="array" ref="AC34">_xlfn.IFS(AND(AA34&gt;300,AA34&lt;=500),185,AND(AA34&gt;500,AA34&lt;=630),240,AA34&gt;630,INDEX($Z$3:$Z$40,_xlfn.XMATCH(AA34*0.4,$AA$3:$AA$40,1,1)))</f>
        <v>400</v>
      </c>
    </row>
    <row r="35" spans="4:29">
      <c r="D35" s="995">
        <v>34</v>
      </c>
      <c r="E35" s="996" t="s">
        <v>1224</v>
      </c>
      <c r="F35" s="996">
        <f>F18*4*0.75</f>
        <v>1773</v>
      </c>
      <c r="G35" s="997">
        <f>G18/4</f>
        <v>1.7575E-2</v>
      </c>
      <c r="H35" s="997">
        <f t="shared" ref="H35:I35" si="37">H18/4</f>
        <v>2.4E-2</v>
      </c>
      <c r="I35" s="997">
        <f t="shared" si="37"/>
        <v>2.9746943120260275E-2</v>
      </c>
      <c r="J35" s="999">
        <f t="shared" si="19"/>
        <v>1.030927455333532E-4</v>
      </c>
      <c r="K35" s="999">
        <f t="shared" si="0"/>
        <v>2.061854910667064E-4</v>
      </c>
      <c r="L35" s="1000"/>
      <c r="Q35" s="995">
        <v>34</v>
      </c>
      <c r="R35" s="996" t="s">
        <v>1224</v>
      </c>
      <c r="S35" s="996">
        <f>S18*4*0.75</f>
        <v>1416</v>
      </c>
      <c r="T35" s="997">
        <f>T18/4</f>
        <v>2.8250000000000001E-2</v>
      </c>
      <c r="U35" s="997">
        <f t="shared" ref="U35:V35" si="38">U18/4</f>
        <v>2.4E-2</v>
      </c>
      <c r="V35" s="998">
        <f t="shared" si="38"/>
        <v>3.706834903256416E-2</v>
      </c>
      <c r="W35" s="999">
        <f t="shared" si="9"/>
        <v>1.284662379830516E-4</v>
      </c>
      <c r="X35" s="1000">
        <f t="shared" si="6"/>
        <v>2.569324759661032E-4</v>
      </c>
      <c r="Z35" s="1047" t="s">
        <v>1223</v>
      </c>
      <c r="AA35" s="1043">
        <v>1200</v>
      </c>
      <c r="AB35" s="1045" cm="1">
        <f t="array" ref="AB35">IF(AA35&gt;630,INDEX($Z$3:$Z$40,_xlfn.XMATCH(AA35*0.25,$AA$3:$AA$40,1,1)),120)</f>
        <v>300</v>
      </c>
      <c r="AC35" s="1048" t="str" cm="1">
        <f t="array" ref="AC35">_xlfn.IFS(AND(AA35&gt;300,AA35&lt;=500),185,AND(AA35&gt;500,AA35&lt;=630),240,AA35&gt;630,INDEX($Z$3:$Z$40,_xlfn.XMATCH(AA35*0.4,$AA$3:$AA$40,1,1)))</f>
        <v>2x 240</v>
      </c>
    </row>
    <row r="36" spans="4:29">
      <c r="D36" s="989">
        <v>35</v>
      </c>
      <c r="E36" s="990" t="s">
        <v>1225</v>
      </c>
      <c r="F36" s="990">
        <f>F17*5*0.73</f>
        <v>1876.1</v>
      </c>
      <c r="G36" s="991">
        <f>G17/5</f>
        <v>1.7239999999999998E-2</v>
      </c>
      <c r="H36" s="991">
        <f t="shared" ref="H36:I36" si="39">H17/5</f>
        <v>1.9400000000000001E-2</v>
      </c>
      <c r="I36" s="991">
        <f t="shared" si="39"/>
        <v>2.5953373576473638E-2</v>
      </c>
      <c r="J36" s="993">
        <f t="shared" si="19"/>
        <v>8.9945529093008819E-5</v>
      </c>
      <c r="K36" s="993">
        <f t="shared" si="0"/>
        <v>1.7989105818601764E-4</v>
      </c>
      <c r="L36" s="994"/>
      <c r="Q36" s="989">
        <v>35</v>
      </c>
      <c r="R36" s="990" t="s">
        <v>1225</v>
      </c>
      <c r="S36" s="990">
        <f>S17*5*0.73</f>
        <v>1485.55</v>
      </c>
      <c r="T36" s="991">
        <f>T17/5</f>
        <v>2.8000000000000004E-2</v>
      </c>
      <c r="U36" s="991">
        <f t="shared" ref="U36:V36" si="40">U17/5</f>
        <v>1.9400000000000001E-2</v>
      </c>
      <c r="V36" s="992">
        <f t="shared" si="40"/>
        <v>3.4064057303850349E-2</v>
      </c>
      <c r="W36" s="993">
        <f>((O$5*O$7*V36)/1000)/O$3</f>
        <v>1.1805438889173092E-4</v>
      </c>
      <c r="X36" s="994">
        <f t="shared" si="6"/>
        <v>2.3610877778346183E-4</v>
      </c>
      <c r="Z36" s="1049" t="s">
        <v>1224</v>
      </c>
      <c r="AA36" s="1044">
        <v>1200</v>
      </c>
      <c r="AB36" s="1046" cm="1">
        <f t="array" ref="AB36">IF(AA36&gt;630,INDEX($Z$3:$Z$40,_xlfn.XMATCH(AA36*0.25,$AA$3:$AA$40,1,1)),120)</f>
        <v>300</v>
      </c>
      <c r="AC36" s="1050" t="str" cm="1">
        <f t="array" ref="AC36">_xlfn.IFS(AND(AA36&gt;300,AA36&lt;=500),185,AND(AA36&gt;500,AA36&lt;=630),240,AA36&gt;630,INDEX($Z$3:$Z$40,_xlfn.XMATCH(AA36*0.4,$AA$3:$AA$40,1,1)))</f>
        <v>2x 240</v>
      </c>
    </row>
    <row r="37" spans="4:29">
      <c r="D37" s="995">
        <v>36</v>
      </c>
      <c r="E37" s="996" t="s">
        <v>1226</v>
      </c>
      <c r="F37" s="996">
        <f>F19*4*0.75</f>
        <v>2127</v>
      </c>
      <c r="G37" s="997">
        <f>G19/4</f>
        <v>1.4225E-2</v>
      </c>
      <c r="H37" s="997">
        <f t="shared" ref="H37:I37" si="41">H19/4</f>
        <v>2.375E-2</v>
      </c>
      <c r="I37" s="997">
        <f t="shared" si="41"/>
        <v>2.7684167406660437E-2</v>
      </c>
      <c r="J37" s="999">
        <f t="shared" si="19"/>
        <v>9.5943869399264291E-5</v>
      </c>
      <c r="K37" s="999">
        <f t="shared" si="0"/>
        <v>1.9188773879852858E-4</v>
      </c>
      <c r="L37" s="1000"/>
      <c r="Q37" s="995">
        <v>36</v>
      </c>
      <c r="R37" s="996" t="s">
        <v>1226</v>
      </c>
      <c r="S37" s="997">
        <f>S19*4*0.75</f>
        <v>1671</v>
      </c>
      <c r="T37" s="997">
        <f>T19/4</f>
        <v>2.2249999999999999E-2</v>
      </c>
      <c r="U37" s="997">
        <f t="shared" ref="U37:V37" si="42">U19/4</f>
        <v>2.375E-2</v>
      </c>
      <c r="V37" s="997">
        <f t="shared" si="42"/>
        <v>3.2544200712262085E-2</v>
      </c>
      <c r="W37" s="999">
        <f t="shared" si="9"/>
        <v>1.1278708501414082E-4</v>
      </c>
      <c r="X37" s="1000">
        <f t="shared" si="6"/>
        <v>2.2557417002828163E-4</v>
      </c>
      <c r="Z37" s="1047" t="s">
        <v>1225</v>
      </c>
      <c r="AA37" s="1043">
        <v>1200</v>
      </c>
      <c r="AB37" s="1045" cm="1">
        <f t="array" ref="AB37">IF(AA37&gt;630,INDEX($Z$3:$Z$40,_xlfn.XMATCH(AA37*0.25,$AA$3:$AA$40,1,1)),120)</f>
        <v>300</v>
      </c>
      <c r="AC37" s="1048" t="str" cm="1">
        <f t="array" ref="AC37">_xlfn.IFS(AND(AA37&gt;300,AA37&lt;=500),185,AND(AA37&gt;500,AA37&lt;=630),240,AA37&gt;630,INDEX($Z$3:$Z$40,_xlfn.XMATCH(AA37*0.4,$AA$3:$AA$40,1,1)))</f>
        <v>2x 240</v>
      </c>
    </row>
    <row r="38" spans="4:29">
      <c r="D38" s="989">
        <v>37</v>
      </c>
      <c r="E38" s="990" t="s">
        <v>1227</v>
      </c>
      <c r="F38" s="990">
        <f>F18*5*0.73</f>
        <v>2157.15</v>
      </c>
      <c r="G38" s="991">
        <f>G18/5</f>
        <v>1.406E-2</v>
      </c>
      <c r="H38" s="991">
        <f t="shared" ref="H38:I38" si="43">H18/5</f>
        <v>1.9200000000000002E-2</v>
      </c>
      <c r="I38" s="991">
        <f t="shared" si="43"/>
        <v>2.3797554496208219E-2</v>
      </c>
      <c r="J38" s="993">
        <f t="shared" si="19"/>
        <v>8.247419642668256E-5</v>
      </c>
      <c r="K38" s="993">
        <f t="shared" si="0"/>
        <v>1.6494839285336512E-4</v>
      </c>
      <c r="L38" s="994"/>
      <c r="Q38" s="989">
        <v>37</v>
      </c>
      <c r="R38" s="990" t="s">
        <v>1227</v>
      </c>
      <c r="S38" s="990">
        <f>S18*5*0.73</f>
        <v>1722.8</v>
      </c>
      <c r="T38" s="991">
        <f>T18/5</f>
        <v>2.2600000000000002E-2</v>
      </c>
      <c r="U38" s="991">
        <f t="shared" ref="U38:V38" si="44">U18/5</f>
        <v>1.9200000000000002E-2</v>
      </c>
      <c r="V38" s="991">
        <f t="shared" si="44"/>
        <v>2.9654679226051327E-2</v>
      </c>
      <c r="W38" s="993">
        <f t="shared" si="9"/>
        <v>1.0277299038644127E-4</v>
      </c>
      <c r="X38" s="994">
        <f t="shared" si="6"/>
        <v>2.0554598077288254E-4</v>
      </c>
      <c r="Z38" s="1049" t="s">
        <v>1226</v>
      </c>
      <c r="AA38" s="1044">
        <v>1600</v>
      </c>
      <c r="AB38" s="1046" cm="1">
        <f t="array" ref="AB38">IF(AA38&gt;630,INDEX($Z$3:$Z$40,_xlfn.XMATCH(AA38*0.25,$AA$3:$AA$40,1,1)),120)</f>
        <v>400</v>
      </c>
      <c r="AC38" s="1050" t="str" cm="1">
        <f t="array" ref="AC38">_xlfn.IFS(AND(AA38&gt;300,AA38&lt;=500),185,AND(AA38&gt;500,AA38&lt;=630),240,AA38&gt;630,INDEX($Z$3:$Z$40,_xlfn.XMATCH(AA38*0.4,$AA$3:$AA$40,1,1)))</f>
        <v>3x 240</v>
      </c>
    </row>
    <row r="39" spans="4:29">
      <c r="D39" s="995">
        <v>38</v>
      </c>
      <c r="E39" s="996" t="s">
        <v>1228</v>
      </c>
      <c r="F39" s="996">
        <f>F19*5*0.73</f>
        <v>2587.85</v>
      </c>
      <c r="G39" s="997">
        <f>G19/5</f>
        <v>1.1379999999999999E-2</v>
      </c>
      <c r="H39" s="997">
        <f t="shared" ref="H39:I39" si="45">H19/5</f>
        <v>1.9E-2</v>
      </c>
      <c r="I39" s="997">
        <f t="shared" si="45"/>
        <v>2.214733392532835E-2</v>
      </c>
      <c r="J39" s="999">
        <f>((B$5*B$7*I39)/1000)/B$3</f>
        <v>7.6755095519411438E-5</v>
      </c>
      <c r="K39" s="999">
        <f t="shared" si="0"/>
        <v>1.5351019103882288E-4</v>
      </c>
      <c r="L39" s="1000"/>
      <c r="Q39" s="995">
        <v>38</v>
      </c>
      <c r="R39" s="996" t="s">
        <v>1228</v>
      </c>
      <c r="S39" s="996">
        <f>S19*5*0.73</f>
        <v>2033.05</v>
      </c>
      <c r="T39" s="997">
        <f>T19/5</f>
        <v>1.78E-2</v>
      </c>
      <c r="U39" s="997">
        <f t="shared" ref="U39:V39" si="46">U19/5</f>
        <v>1.9E-2</v>
      </c>
      <c r="V39" s="997">
        <f t="shared" si="46"/>
        <v>2.6035360569809669E-2</v>
      </c>
      <c r="W39" s="999">
        <f t="shared" si="9"/>
        <v>9.0229668011312654E-5</v>
      </c>
      <c r="X39" s="1000">
        <f t="shared" si="6"/>
        <v>1.8045933602262531E-4</v>
      </c>
      <c r="Z39" s="1047" t="s">
        <v>1227</v>
      </c>
      <c r="AA39" s="1043">
        <v>1500</v>
      </c>
      <c r="AB39" s="1045" cm="1">
        <f t="array" ref="AB39">IF(AA39&gt;630,INDEX($Z$3:$Z$40,_xlfn.XMATCH(AA39*0.25,$AA$3:$AA$40,1,1)),120)</f>
        <v>400</v>
      </c>
      <c r="AC39" s="1048" t="str" cm="1">
        <f t="array" ref="AC39">_xlfn.IFS(AND(AA39&gt;300,AA39&lt;=500),185,AND(AA39&gt;500,AA39&lt;=630),240,AA39&gt;630,INDEX($Z$3:$Z$40,_xlfn.XMATCH(AA39*0.4,$AA$3:$AA$40,1,1)))</f>
        <v>2x 300</v>
      </c>
    </row>
    <row r="40" spans="4:29" ht="16.2" thickBot="1">
      <c r="D40" s="989">
        <v>39</v>
      </c>
      <c r="E40" s="990" t="s">
        <v>16141</v>
      </c>
      <c r="F40" s="990">
        <v>100000</v>
      </c>
      <c r="G40" s="991" t="s">
        <v>1199</v>
      </c>
      <c r="H40" s="991" t="s">
        <v>1199</v>
      </c>
      <c r="I40" s="992" t="s">
        <v>1199</v>
      </c>
      <c r="J40" s="993"/>
      <c r="K40" s="993"/>
      <c r="L40" s="1040"/>
      <c r="Q40" s="989"/>
      <c r="R40" s="990"/>
      <c r="S40" s="990"/>
      <c r="T40" s="991"/>
      <c r="U40" s="991"/>
      <c r="V40" s="992"/>
      <c r="W40" s="993"/>
      <c r="X40" s="994"/>
      <c r="Z40" s="1053" t="s">
        <v>1228</v>
      </c>
      <c r="AA40" s="1054">
        <v>2000</v>
      </c>
      <c r="AB40" s="1055" t="str" cm="1">
        <f t="array" ref="AB40">IF(AA40&gt;630,INDEX($Z$3:$Z$40,_xlfn.XMATCH(AA40*0.25,$AA$3:$AA$40,1,1)),120)</f>
        <v>3x 185</v>
      </c>
      <c r="AC40" s="1056" t="str" cm="1">
        <f t="array" ref="AC40">_xlfn.IFS(AND(AA40&gt;300,AA40&lt;=500),185,AND(AA40&gt;500,AA40&lt;=630),240,AA40&gt;630,INDEX($Z$3:$Z$40,_xlfn.XMATCH(AA40*0.4,$AA$3:$AA$40,1,1)))</f>
        <v>2x 400</v>
      </c>
    </row>
  </sheetData>
  <mergeCells count="5">
    <mergeCell ref="A1:B1"/>
    <mergeCell ref="A14:B14"/>
    <mergeCell ref="N1:O1"/>
    <mergeCell ref="N14:O14"/>
    <mergeCell ref="Z1:AC1"/>
  </mergeCells>
  <pageMargins left="0.7" right="0.7" top="0.75" bottom="0.75" header="0.3" footer="0.3"/>
  <pageSetup paperSize="9" orientation="portrait" horizontalDpi="1200" verticalDpi="120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EE823-64B1-4BFA-8FBB-53666B4450E2}">
  <sheetPr codeName="Sheet9"/>
  <dimension ref="B2:X82"/>
  <sheetViews>
    <sheetView workbookViewId="0"/>
  </sheetViews>
  <sheetFormatPr defaultColWidth="9" defaultRowHeight="15"/>
  <cols>
    <col min="1" max="1" width="2.5" style="446" customWidth="1"/>
    <col min="2" max="11" width="11" style="446" customWidth="1"/>
    <col min="12" max="12" width="9" style="446"/>
    <col min="13" max="14" width="9" style="446" customWidth="1"/>
    <col min="15" max="21" width="9" style="446"/>
    <col min="22" max="22" width="18.5" style="446" customWidth="1"/>
    <col min="23" max="24" width="9" style="446"/>
    <col min="25" max="25" width="18.5" style="446" customWidth="1"/>
    <col min="26" max="16384" width="9" style="446"/>
  </cols>
  <sheetData>
    <row r="2" spans="2:15" ht="9" customHeight="1">
      <c r="E2" s="1552" t="s">
        <v>16142</v>
      </c>
      <c r="F2" s="1552"/>
      <c r="G2" s="1552"/>
      <c r="H2" s="1552"/>
    </row>
    <row r="3" spans="2:15" ht="19.5" customHeight="1">
      <c r="B3" s="453" t="s">
        <v>16143</v>
      </c>
      <c r="C3" s="1554">
        <f>SOLAR!D10</f>
        <v>0</v>
      </c>
      <c r="D3" s="1554"/>
      <c r="E3" s="1552"/>
      <c r="F3" s="1552"/>
      <c r="G3" s="1552"/>
      <c r="H3" s="1552"/>
      <c r="I3" s="453" t="s">
        <v>16144</v>
      </c>
      <c r="J3" s="1554" t="str">
        <f>SOLAR!D24</f>
        <v>Jon Vlatko</v>
      </c>
      <c r="K3" s="1554"/>
    </row>
    <row r="4" spans="2:15" ht="15.6" thickBot="1">
      <c r="B4" s="453" t="s">
        <v>214</v>
      </c>
      <c r="C4" s="1553"/>
      <c r="D4" s="1553"/>
      <c r="I4" s="453" t="s">
        <v>16145</v>
      </c>
      <c r="J4" s="1553"/>
      <c r="K4" s="1553"/>
    </row>
    <row r="5" spans="2:15" ht="15.6" thickBot="1">
      <c r="B5" s="1511" t="s">
        <v>16146</v>
      </c>
      <c r="C5" s="1511"/>
      <c r="D5" s="1511"/>
      <c r="E5" s="1511"/>
      <c r="F5" s="1511"/>
      <c r="G5" s="1511"/>
      <c r="H5" s="1511"/>
      <c r="I5" s="1511"/>
      <c r="J5" s="1511"/>
      <c r="K5" s="1511"/>
      <c r="N5" s="452"/>
    </row>
    <row r="6" spans="2:15" ht="16.5" customHeight="1" thickBot="1">
      <c r="B6" s="1507" t="s">
        <v>16147</v>
      </c>
      <c r="C6" s="1507"/>
      <c r="D6" s="1507"/>
      <c r="E6" s="1519" t="s">
        <v>16148</v>
      </c>
      <c r="F6" s="1520"/>
      <c r="G6" s="1556"/>
      <c r="H6" s="1557"/>
      <c r="I6" s="1557"/>
      <c r="J6" s="1557"/>
      <c r="K6" s="1557"/>
      <c r="M6" s="1502" t="s">
        <v>16149</v>
      </c>
      <c r="N6" s="1503"/>
      <c r="O6" s="1504"/>
    </row>
    <row r="7" spans="2:15" ht="16.5" customHeight="1" thickBot="1">
      <c r="B7" s="1507"/>
      <c r="C7" s="1507"/>
      <c r="D7" s="1507"/>
      <c r="E7" s="1526" t="s">
        <v>16150</v>
      </c>
      <c r="F7" s="1555"/>
      <c r="G7" s="1547">
        <f>SOLAR!D13</f>
        <v>0</v>
      </c>
      <c r="H7" s="1543"/>
      <c r="I7" s="1543"/>
      <c r="J7" s="1543"/>
      <c r="K7" s="1543"/>
      <c r="M7" s="1496" t="s">
        <v>16151</v>
      </c>
      <c r="N7" s="1497"/>
      <c r="O7" s="1498"/>
    </row>
    <row r="8" spans="2:15" ht="16.5" customHeight="1" thickBot="1">
      <c r="B8" s="1507" t="s">
        <v>16152</v>
      </c>
      <c r="C8" s="1507"/>
      <c r="D8" s="1507"/>
      <c r="E8" s="1506" t="str">
        <f>SOLAR!F15 &amp; ", " &amp; SOLAR!F16 &amp; ", " &amp; SOLAR!F18 &amp; " " &amp; SOLAR!F17</f>
        <v>, , NSW 2000</v>
      </c>
      <c r="F8" s="1506"/>
      <c r="G8" s="1506"/>
      <c r="H8" s="1506"/>
      <c r="I8" s="1506"/>
      <c r="J8" s="1506"/>
      <c r="K8" s="1506"/>
      <c r="M8" s="1499" t="s">
        <v>16153</v>
      </c>
      <c r="N8" s="1500"/>
      <c r="O8" s="1501"/>
    </row>
    <row r="9" spans="2:15" ht="16.5" customHeight="1" thickBot="1">
      <c r="B9" s="1507" t="s">
        <v>16154</v>
      </c>
      <c r="C9" s="1507"/>
      <c r="D9" s="1507"/>
      <c r="E9" s="1506" t="str">
        <f>SOLAR!D19 &amp; ", " &amp; SOLAR!D20 &amp; ", " &amp; SOLAR!D22 &amp; " " &amp; SOLAR!D21</f>
        <v xml:space="preserve">, ,  </v>
      </c>
      <c r="F9" s="1506"/>
      <c r="G9" s="1506"/>
      <c r="H9" s="1506"/>
      <c r="I9" s="1506"/>
      <c r="J9" s="1506"/>
      <c r="K9" s="1506"/>
    </row>
    <row r="10" spans="2:15" ht="16.5" customHeight="1" thickBot="1">
      <c r="B10" s="1507" t="s">
        <v>16155</v>
      </c>
      <c r="C10" s="1507"/>
      <c r="D10" s="1507"/>
      <c r="E10" s="1537" t="s">
        <v>16156</v>
      </c>
      <c r="F10" s="1538"/>
      <c r="G10" s="1548"/>
      <c r="H10" s="1537"/>
      <c r="I10" s="1537"/>
      <c r="J10" s="1537"/>
      <c r="K10" s="1537"/>
      <c r="M10" s="456"/>
      <c r="N10" s="456"/>
    </row>
    <row r="11" spans="2:15" ht="16.5" customHeight="1" thickBot="1">
      <c r="B11" s="1507"/>
      <c r="C11" s="1507"/>
      <c r="D11" s="1507"/>
      <c r="E11" s="1543" t="s">
        <v>16157</v>
      </c>
      <c r="F11" s="1544"/>
      <c r="G11" s="1529">
        <f>SOLAR!D17</f>
        <v>0</v>
      </c>
      <c r="H11" s="1530"/>
      <c r="I11" s="1530"/>
      <c r="J11" s="1530"/>
      <c r="K11" s="1530"/>
      <c r="M11" s="458"/>
      <c r="N11" s="457"/>
    </row>
    <row r="12" spans="2:15" ht="16.5" customHeight="1" thickBot="1">
      <c r="B12" s="1507" t="s">
        <v>16158</v>
      </c>
      <c r="C12" s="1507"/>
      <c r="D12" s="1507"/>
      <c r="E12" s="1537" t="s">
        <v>16159</v>
      </c>
      <c r="F12" s="1538"/>
      <c r="G12" s="1531">
        <f>SOLAR!D14</f>
        <v>0</v>
      </c>
      <c r="H12" s="1532"/>
      <c r="I12" s="1532"/>
      <c r="J12" s="1532"/>
      <c r="K12" s="1532"/>
      <c r="M12" s="458"/>
      <c r="N12" s="457"/>
    </row>
    <row r="13" spans="2:15" ht="16.5" customHeight="1" thickBot="1">
      <c r="B13" s="1507"/>
      <c r="C13" s="1507"/>
      <c r="D13" s="1507"/>
      <c r="E13" s="1539" t="s">
        <v>16160</v>
      </c>
      <c r="F13" s="1540"/>
      <c r="G13" s="1533"/>
      <c r="H13" s="1534"/>
      <c r="I13" s="1534"/>
      <c r="J13" s="1534"/>
      <c r="K13" s="1534"/>
      <c r="M13" s="458"/>
      <c r="N13" s="457"/>
    </row>
    <row r="14" spans="2:15" ht="16.5" customHeight="1" thickBot="1">
      <c r="B14" s="1507"/>
      <c r="C14" s="1507"/>
      <c r="D14" s="1507"/>
      <c r="E14" s="1541" t="s">
        <v>16161</v>
      </c>
      <c r="F14" s="1542"/>
      <c r="G14" s="1535">
        <f>SOLAR!D15</f>
        <v>0</v>
      </c>
      <c r="H14" s="1536"/>
      <c r="I14" s="1536"/>
      <c r="J14" s="1536"/>
      <c r="K14" s="1536"/>
      <c r="M14" s="458"/>
      <c r="N14" s="457"/>
    </row>
    <row r="15" spans="2:15" ht="16.5" customHeight="1" thickBot="1">
      <c r="B15" s="1507"/>
      <c r="C15" s="1507"/>
      <c r="D15" s="1507"/>
      <c r="E15" s="1543" t="s">
        <v>16162</v>
      </c>
      <c r="F15" s="1544"/>
      <c r="G15" s="1529">
        <f>SOLAR!D16</f>
        <v>0</v>
      </c>
      <c r="H15" s="1530"/>
      <c r="I15" s="1530"/>
      <c r="J15" s="1530"/>
      <c r="K15" s="1530"/>
      <c r="M15" s="458"/>
      <c r="N15" s="457"/>
    </row>
    <row r="16" spans="2:15" ht="16.5" customHeight="1" thickBot="1">
      <c r="B16" s="1507" t="s">
        <v>16163</v>
      </c>
      <c r="C16" s="1507"/>
      <c r="D16" s="1507"/>
      <c r="E16" s="1550" t="s">
        <v>16159</v>
      </c>
      <c r="F16" s="1551"/>
      <c r="G16" s="1545"/>
      <c r="H16" s="1537"/>
      <c r="I16" s="1537"/>
      <c r="J16" s="1537"/>
      <c r="K16" s="1537"/>
      <c r="M16" s="458"/>
      <c r="N16" s="457"/>
    </row>
    <row r="17" spans="2:24" ht="16.5" customHeight="1" thickBot="1">
      <c r="B17" s="1507"/>
      <c r="C17" s="1507"/>
      <c r="D17" s="1507"/>
      <c r="E17" s="1541" t="s">
        <v>16160</v>
      </c>
      <c r="F17" s="1542"/>
      <c r="G17" s="1546"/>
      <c r="H17" s="1541"/>
      <c r="I17" s="1541"/>
      <c r="J17" s="1541"/>
      <c r="K17" s="1541"/>
      <c r="M17" s="458"/>
      <c r="N17" s="457"/>
    </row>
    <row r="18" spans="2:24" ht="16.5" customHeight="1" thickBot="1">
      <c r="B18" s="1507"/>
      <c r="C18" s="1507"/>
      <c r="D18" s="1507"/>
      <c r="E18" s="1541" t="s">
        <v>16161</v>
      </c>
      <c r="F18" s="1542"/>
      <c r="G18" s="1546"/>
      <c r="H18" s="1541"/>
      <c r="I18" s="1541"/>
      <c r="J18" s="1541"/>
      <c r="K18" s="1541"/>
      <c r="M18" s="458"/>
      <c r="N18" s="457"/>
    </row>
    <row r="19" spans="2:24" ht="16.5" customHeight="1" thickBot="1">
      <c r="B19" s="1507"/>
      <c r="C19" s="1507"/>
      <c r="D19" s="1507"/>
      <c r="E19" s="1543" t="s">
        <v>16162</v>
      </c>
      <c r="F19" s="1544"/>
      <c r="G19" s="1547"/>
      <c r="H19" s="1543"/>
      <c r="I19" s="1543"/>
      <c r="J19" s="1543"/>
      <c r="K19" s="1543"/>
      <c r="M19" s="458"/>
      <c r="N19" s="457"/>
    </row>
    <row r="20" spans="2:24" ht="16.5" customHeight="1" thickBot="1">
      <c r="B20" s="1507" t="s">
        <v>16164</v>
      </c>
      <c r="C20" s="1507"/>
      <c r="D20" s="1507"/>
      <c r="E20" s="1537" t="s">
        <v>16159</v>
      </c>
      <c r="F20" s="1538"/>
      <c r="G20" s="1548"/>
      <c r="H20" s="1537"/>
      <c r="I20" s="1537"/>
      <c r="J20" s="1537"/>
      <c r="K20" s="1537"/>
      <c r="M20" s="458"/>
      <c r="N20" s="457"/>
    </row>
    <row r="21" spans="2:24" ht="16.5" customHeight="1" thickBot="1">
      <c r="B21" s="1507"/>
      <c r="C21" s="1507"/>
      <c r="D21" s="1507"/>
      <c r="E21" s="1539" t="s">
        <v>16160</v>
      </c>
      <c r="F21" s="1540"/>
      <c r="G21" s="1549"/>
      <c r="H21" s="1539"/>
      <c r="I21" s="1539"/>
      <c r="J21" s="1539"/>
      <c r="K21" s="1539"/>
      <c r="M21" s="458"/>
      <c r="N21" s="457"/>
    </row>
    <row r="22" spans="2:24" ht="16.5" customHeight="1" thickBot="1">
      <c r="B22" s="1507"/>
      <c r="C22" s="1507"/>
      <c r="D22" s="1507"/>
      <c r="E22" s="1541" t="s">
        <v>16161</v>
      </c>
      <c r="F22" s="1542"/>
      <c r="G22" s="1546"/>
      <c r="H22" s="1541"/>
      <c r="I22" s="1541"/>
      <c r="J22" s="1541"/>
      <c r="K22" s="1541"/>
      <c r="M22" s="458"/>
      <c r="N22" s="457"/>
    </row>
    <row r="23" spans="2:24" ht="16.5" customHeight="1" thickBot="1">
      <c r="B23" s="1507"/>
      <c r="C23" s="1507"/>
      <c r="D23" s="1507"/>
      <c r="E23" s="1543" t="s">
        <v>16162</v>
      </c>
      <c r="F23" s="1544"/>
      <c r="G23" s="1547"/>
      <c r="H23" s="1543"/>
      <c r="I23" s="1543"/>
      <c r="J23" s="1543"/>
      <c r="K23" s="1543"/>
      <c r="M23" s="458"/>
      <c r="N23" s="457"/>
    </row>
    <row r="24" spans="2:24" ht="31.5" customHeight="1" thickBot="1">
      <c r="B24" s="1507" t="s">
        <v>16165</v>
      </c>
      <c r="C24" s="1507"/>
      <c r="D24" s="1507"/>
      <c r="E24" s="1507"/>
      <c r="F24" s="1507"/>
      <c r="G24" s="1507"/>
      <c r="H24" s="1507"/>
      <c r="I24" s="1507"/>
      <c r="J24" s="1507"/>
      <c r="K24" s="1507"/>
      <c r="M24" s="458"/>
      <c r="N24" s="457"/>
    </row>
    <row r="25" spans="2:24" ht="31.5" customHeight="1" thickBot="1">
      <c r="B25" s="1505" t="s">
        <v>16166</v>
      </c>
      <c r="C25" s="1505"/>
      <c r="D25" s="1505"/>
      <c r="E25" s="1507"/>
      <c r="F25" s="1507"/>
      <c r="G25" s="1507"/>
      <c r="H25" s="1507"/>
      <c r="I25" s="1507"/>
      <c r="J25" s="1507"/>
      <c r="K25" s="1507"/>
      <c r="M25" s="458"/>
      <c r="N25" s="457"/>
    </row>
    <row r="26" spans="2:24" ht="31.5" customHeight="1" thickBot="1">
      <c r="B26" s="1505" t="s">
        <v>16167</v>
      </c>
      <c r="C26" s="1505"/>
      <c r="D26" s="1505"/>
      <c r="E26" s="1507"/>
      <c r="F26" s="1507"/>
      <c r="G26" s="1507"/>
      <c r="H26" s="1507"/>
      <c r="I26" s="1507"/>
      <c r="J26" s="1507"/>
      <c r="K26" s="1507"/>
      <c r="M26" s="458"/>
      <c r="N26" s="457"/>
    </row>
    <row r="27" spans="2:24" ht="46.5" customHeight="1" thickBot="1">
      <c r="B27" s="1505" t="s">
        <v>16168</v>
      </c>
      <c r="C27" s="1505"/>
      <c r="D27" s="1505"/>
      <c r="E27" s="1507"/>
      <c r="F27" s="1507"/>
      <c r="G27" s="1507"/>
      <c r="H27" s="1507"/>
      <c r="I27" s="1507"/>
      <c r="J27" s="1507"/>
      <c r="K27" s="1507"/>
      <c r="M27" s="458"/>
      <c r="N27" s="457"/>
    </row>
    <row r="28" spans="2:24" ht="15.6" thickBot="1">
      <c r="M28" s="458"/>
      <c r="N28" s="457"/>
    </row>
    <row r="29" spans="2:24" ht="15.6" thickBot="1">
      <c r="B29" s="1511" t="s">
        <v>16169</v>
      </c>
      <c r="C29" s="1511"/>
      <c r="D29" s="1511"/>
      <c r="E29" s="1511"/>
      <c r="F29" s="1511"/>
      <c r="G29" s="1511"/>
      <c r="H29" s="1511"/>
      <c r="I29" s="1511"/>
      <c r="J29" s="1511"/>
      <c r="K29" s="1511"/>
      <c r="L29" s="450"/>
      <c r="M29" s="455"/>
      <c r="N29" s="451"/>
      <c r="O29" s="450"/>
      <c r="P29" s="450"/>
      <c r="R29" s="451"/>
      <c r="S29" s="451"/>
      <c r="U29" s="450"/>
      <c r="V29" s="450"/>
      <c r="W29" s="450"/>
      <c r="X29" s="450"/>
    </row>
    <row r="30" spans="2:24" ht="31.5" customHeight="1" thickBot="1">
      <c r="B30" s="1505" t="s">
        <v>16170</v>
      </c>
      <c r="C30" s="1505"/>
      <c r="D30" s="1505"/>
      <c r="E30" s="1505"/>
      <c r="F30" s="1505"/>
      <c r="G30" s="1505"/>
      <c r="H30" s="1505"/>
      <c r="I30" s="1505"/>
      <c r="J30" s="1505"/>
      <c r="K30" s="1505"/>
      <c r="L30" s="447"/>
      <c r="M30" s="448"/>
      <c r="N30" s="447"/>
      <c r="O30" s="447"/>
      <c r="P30" s="447"/>
      <c r="R30" s="448"/>
      <c r="S30" s="448"/>
      <c r="U30" s="448"/>
      <c r="V30" s="448"/>
      <c r="W30" s="448"/>
      <c r="X30" s="448"/>
    </row>
    <row r="31" spans="2:24" ht="31.5" customHeight="1" thickBot="1">
      <c r="B31" s="1507" t="s">
        <v>16171</v>
      </c>
      <c r="C31" s="1507"/>
      <c r="D31" s="1507"/>
      <c r="E31" s="1505"/>
      <c r="F31" s="1505"/>
      <c r="G31" s="1505"/>
      <c r="H31" s="1505"/>
      <c r="I31" s="1505"/>
      <c r="J31" s="1505"/>
      <c r="K31" s="1505"/>
      <c r="L31" s="447"/>
      <c r="M31" s="448"/>
      <c r="N31" s="447"/>
      <c r="O31" s="447"/>
      <c r="P31" s="447"/>
      <c r="R31" s="448"/>
      <c r="S31" s="448"/>
      <c r="U31" s="448"/>
      <c r="V31" s="448"/>
      <c r="W31" s="448"/>
      <c r="X31" s="448"/>
    </row>
    <row r="32" spans="2:24" ht="31.5" customHeight="1" thickBot="1">
      <c r="B32" s="1505" t="s">
        <v>16172</v>
      </c>
      <c r="C32" s="1505"/>
      <c r="D32" s="1505"/>
      <c r="E32" s="1507"/>
      <c r="F32" s="1507"/>
      <c r="G32" s="1507"/>
      <c r="H32" s="1507"/>
      <c r="I32" s="1507"/>
      <c r="J32" s="1507"/>
      <c r="K32" s="1507"/>
      <c r="L32" s="447"/>
      <c r="M32" s="448"/>
      <c r="N32" s="447"/>
      <c r="O32" s="447"/>
      <c r="P32" s="447"/>
      <c r="R32" s="447"/>
      <c r="S32" s="447"/>
      <c r="U32" s="447"/>
      <c r="V32" s="447"/>
      <c r="W32" s="448"/>
      <c r="X32" s="447"/>
    </row>
    <row r="33" spans="2:24" ht="31.5" customHeight="1" thickBot="1">
      <c r="B33" s="1505" t="s">
        <v>16173</v>
      </c>
      <c r="C33" s="1505"/>
      <c r="D33" s="1505"/>
      <c r="E33" s="1505"/>
      <c r="F33" s="1505"/>
      <c r="G33" s="1505"/>
      <c r="H33" s="1505"/>
      <c r="I33" s="1505"/>
      <c r="J33" s="1505"/>
      <c r="K33" s="1505"/>
      <c r="L33" s="447"/>
      <c r="M33" s="448"/>
      <c r="N33" s="447"/>
      <c r="O33" s="447"/>
      <c r="P33" s="447"/>
      <c r="R33" s="448"/>
      <c r="S33" s="448"/>
      <c r="U33" s="447"/>
      <c r="V33" s="447"/>
      <c r="W33" s="449"/>
      <c r="X33" s="447"/>
    </row>
    <row r="34" spans="2:24" ht="31.5" customHeight="1" thickBot="1">
      <c r="B34" s="1505" t="s">
        <v>16174</v>
      </c>
      <c r="C34" s="1505"/>
      <c r="D34" s="1505"/>
      <c r="E34" s="1505"/>
      <c r="F34" s="1505"/>
      <c r="G34" s="1505"/>
      <c r="H34" s="1505"/>
      <c r="I34" s="1505"/>
      <c r="J34" s="1505"/>
      <c r="K34" s="1505"/>
      <c r="L34" s="447"/>
      <c r="M34" s="448"/>
      <c r="N34" s="447"/>
      <c r="O34" s="447"/>
      <c r="P34" s="447"/>
      <c r="R34" s="448"/>
      <c r="S34" s="448"/>
      <c r="U34" s="448"/>
      <c r="V34" s="448"/>
      <c r="W34" s="448"/>
      <c r="X34" s="448"/>
    </row>
    <row r="35" spans="2:24" ht="31.5" customHeight="1" thickBot="1">
      <c r="B35" s="1505" t="s">
        <v>16175</v>
      </c>
      <c r="C35" s="1505"/>
      <c r="D35" s="1505"/>
      <c r="E35" s="1505"/>
      <c r="F35" s="1505"/>
      <c r="G35" s="1505"/>
      <c r="H35" s="1505"/>
      <c r="I35" s="1505"/>
      <c r="J35" s="1505"/>
      <c r="K35" s="1505"/>
      <c r="L35" s="447"/>
      <c r="M35" s="448"/>
      <c r="N35" s="447"/>
      <c r="O35" s="447"/>
      <c r="P35" s="447"/>
      <c r="U35" s="448"/>
      <c r="V35" s="447"/>
      <c r="W35" s="447"/>
      <c r="X35" s="447"/>
    </row>
    <row r="36" spans="2:24" ht="31.5" customHeight="1" thickBot="1">
      <c r="B36" s="1505" t="s">
        <v>16176</v>
      </c>
      <c r="C36" s="1505"/>
      <c r="D36" s="1505"/>
      <c r="E36" s="1505"/>
      <c r="F36" s="1505"/>
      <c r="G36" s="1505"/>
      <c r="H36" s="1505"/>
      <c r="I36" s="1505"/>
      <c r="J36" s="1505"/>
      <c r="K36" s="1505"/>
      <c r="L36" s="447"/>
      <c r="M36" s="448"/>
      <c r="N36" s="447"/>
      <c r="O36" s="447"/>
      <c r="P36" s="447"/>
      <c r="U36" s="448"/>
      <c r="V36" s="447"/>
      <c r="W36" s="447"/>
      <c r="X36" s="447"/>
    </row>
    <row r="37" spans="2:24" ht="31.5" customHeight="1" thickBot="1">
      <c r="B37" s="1505" t="s">
        <v>16177</v>
      </c>
      <c r="C37" s="1505"/>
      <c r="D37" s="1505"/>
      <c r="E37" s="1505"/>
      <c r="F37" s="1505"/>
      <c r="G37" s="1505"/>
      <c r="H37" s="1505"/>
      <c r="I37" s="1505"/>
      <c r="J37" s="1505"/>
      <c r="K37" s="1505"/>
      <c r="L37" s="447"/>
      <c r="M37" s="448"/>
      <c r="N37" s="447"/>
      <c r="O37" s="447"/>
      <c r="P37" s="447"/>
    </row>
    <row r="38" spans="2:24" ht="31.5" customHeight="1" thickBot="1">
      <c r="B38" s="1505" t="s">
        <v>16178</v>
      </c>
      <c r="C38" s="1505"/>
      <c r="D38" s="1505"/>
      <c r="E38" s="1507"/>
      <c r="F38" s="1507"/>
      <c r="G38" s="1507"/>
      <c r="H38" s="1507"/>
      <c r="I38" s="1507"/>
      <c r="J38" s="1507"/>
      <c r="K38" s="1507"/>
      <c r="L38" s="447"/>
      <c r="M38" s="448"/>
      <c r="N38" s="447"/>
      <c r="O38" s="447"/>
      <c r="P38" s="447"/>
    </row>
    <row r="39" spans="2:24" ht="31.5" customHeight="1" thickBot="1">
      <c r="B39" s="1505" t="s">
        <v>16179</v>
      </c>
      <c r="C39" s="1505"/>
      <c r="D39" s="1505"/>
      <c r="E39" s="1507"/>
      <c r="F39" s="1507"/>
      <c r="G39" s="1507"/>
      <c r="H39" s="1507"/>
      <c r="I39" s="1507"/>
      <c r="J39" s="1507"/>
      <c r="K39" s="1507"/>
      <c r="L39" s="447"/>
      <c r="M39" s="448"/>
      <c r="N39" s="447"/>
      <c r="O39" s="447"/>
      <c r="P39" s="447"/>
    </row>
    <row r="40" spans="2:24" ht="15.6" thickBot="1">
      <c r="H40" s="447"/>
      <c r="I40" s="447"/>
      <c r="J40" s="447"/>
      <c r="K40" s="447"/>
      <c r="L40" s="447"/>
      <c r="M40" s="448"/>
      <c r="N40" s="447"/>
      <c r="O40" s="447"/>
      <c r="P40" s="447"/>
    </row>
    <row r="41" spans="2:24" ht="18.75" customHeight="1" thickBot="1">
      <c r="B41" s="1511" t="s">
        <v>16180</v>
      </c>
      <c r="C41" s="1511"/>
      <c r="D41" s="1511"/>
      <c r="E41" s="1511"/>
      <c r="F41" s="1511"/>
      <c r="G41" s="1511"/>
      <c r="H41" s="1511"/>
      <c r="I41" s="1511"/>
      <c r="J41" s="1511"/>
      <c r="K41" s="1511"/>
      <c r="M41" s="448"/>
      <c r="N41" s="447"/>
      <c r="O41" s="447"/>
    </row>
    <row r="42" spans="2:24" ht="31.5" customHeight="1" thickBot="1">
      <c r="B42" s="1505" t="s">
        <v>16181</v>
      </c>
      <c r="C42" s="1505"/>
      <c r="D42" s="1508">
        <f>SOLAR!F13</f>
        <v>100</v>
      </c>
      <c r="E42" s="1508"/>
      <c r="F42" s="1508"/>
      <c r="G42" s="1507" t="s">
        <v>16182</v>
      </c>
      <c r="H42" s="1507"/>
      <c r="I42" s="1528" t="str">
        <f>SOLAR!F38 &amp; " x " &amp; SOLAR!E38</f>
        <v>200 x Premium Commercial Module</v>
      </c>
      <c r="J42" s="1508"/>
      <c r="K42" s="1508"/>
      <c r="L42" s="447"/>
      <c r="M42" s="448"/>
      <c r="N42" s="447"/>
    </row>
    <row r="43" spans="2:24" ht="31.5" customHeight="1" thickBot="1">
      <c r="B43" s="1507" t="s">
        <v>16183</v>
      </c>
      <c r="C43" s="1507"/>
      <c r="D43" s="1508">
        <f>SOLAR!F39*INDEX('2. PV Components'!R24:R132,MATCH(SOLAR!E39,'2. PV Components'!P28:P133))/1000</f>
        <v>10</v>
      </c>
      <c r="E43" s="1508"/>
      <c r="F43" s="1508"/>
      <c r="G43" s="1507" t="s">
        <v>16184</v>
      </c>
      <c r="H43" s="1507"/>
      <c r="I43" s="1508" t="str">
        <f>SOLAR!F39 &amp; " x " &amp; SOLAR!E39</f>
        <v>1 x Sungrow SG110CX-P2</v>
      </c>
      <c r="J43" s="1508"/>
      <c r="K43" s="1508"/>
      <c r="L43" s="447"/>
      <c r="M43" s="448"/>
      <c r="N43" s="447"/>
    </row>
    <row r="44" spans="2:24" ht="31.5" customHeight="1" thickBot="1">
      <c r="B44" s="1505" t="s">
        <v>16185</v>
      </c>
      <c r="C44" s="1505"/>
      <c r="D44" s="1506" t="str">
        <f>SOLAR!D41 &amp; ", " &amp; SOLAR!E41</f>
        <v>Trimdek Installation, Flush Mounted</v>
      </c>
      <c r="E44" s="1506"/>
      <c r="F44" s="1506"/>
      <c r="G44" s="1506"/>
      <c r="H44" s="1506"/>
      <c r="I44" s="1506"/>
      <c r="J44" s="1506"/>
      <c r="K44" s="1506"/>
      <c r="L44" s="447"/>
      <c r="M44" s="448"/>
      <c r="N44" s="447"/>
    </row>
    <row r="45" spans="2:24" ht="46.5" customHeight="1" thickBot="1">
      <c r="B45" s="1505" t="s">
        <v>16186</v>
      </c>
      <c r="C45" s="1505"/>
      <c r="D45" s="1507"/>
      <c r="E45" s="1507"/>
      <c r="F45" s="1507"/>
      <c r="G45" s="1507"/>
      <c r="H45" s="1507"/>
      <c r="I45" s="1507"/>
      <c r="J45" s="1507"/>
      <c r="K45" s="1507"/>
      <c r="L45" s="447"/>
      <c r="M45" s="448"/>
      <c r="N45" s="447"/>
    </row>
    <row r="46" spans="2:24" ht="31.5" customHeight="1" thickBot="1">
      <c r="B46" s="1505" t="s">
        <v>16187</v>
      </c>
      <c r="C46" s="1505"/>
      <c r="D46" s="1507"/>
      <c r="E46" s="1507"/>
      <c r="F46" s="1507"/>
      <c r="G46" s="1507"/>
      <c r="H46" s="1507"/>
      <c r="I46" s="1507"/>
      <c r="J46" s="1507"/>
      <c r="K46" s="1507"/>
      <c r="L46" s="447"/>
      <c r="M46" s="448"/>
      <c r="N46" s="447"/>
    </row>
    <row r="47" spans="2:24" ht="15.75" customHeight="1" thickBot="1">
      <c r="B47" s="1507" t="s">
        <v>16188</v>
      </c>
      <c r="C47" s="1507"/>
      <c r="D47" s="1519" t="s">
        <v>16189</v>
      </c>
      <c r="E47" s="1520"/>
      <c r="F47" s="1521" t="s">
        <v>16190</v>
      </c>
      <c r="G47" s="1520"/>
      <c r="H47" s="1521" t="s">
        <v>16191</v>
      </c>
      <c r="I47" s="1520"/>
      <c r="J47" s="1521" t="s">
        <v>16192</v>
      </c>
      <c r="K47" s="1519"/>
      <c r="M47" s="458"/>
      <c r="N47" s="457"/>
    </row>
    <row r="48" spans="2:24" ht="15.6" thickBot="1">
      <c r="B48" s="1507"/>
      <c r="C48" s="1507"/>
      <c r="D48" s="1522" t="str">
        <f>SOLAR!D44</f>
        <v>Not Included</v>
      </c>
      <c r="E48" s="1523"/>
      <c r="F48" s="1527" t="str">
        <f>SOLAR!D42</f>
        <v>Not Required</v>
      </c>
      <c r="G48" s="1523"/>
      <c r="H48" s="1524" t="str">
        <f>SOLAR!D43</f>
        <v>Not Required</v>
      </c>
      <c r="I48" s="1523"/>
      <c r="J48" s="1525"/>
      <c r="K48" s="1526"/>
      <c r="M48" s="458"/>
      <c r="N48" s="457"/>
    </row>
    <row r="49" spans="2:11" ht="31.5" customHeight="1" thickBot="1">
      <c r="B49" s="1505" t="s">
        <v>16193</v>
      </c>
      <c r="C49" s="1505"/>
      <c r="D49" s="1507"/>
      <c r="E49" s="1507"/>
      <c r="F49" s="1507"/>
      <c r="G49" s="1507"/>
      <c r="H49" s="1507"/>
      <c r="I49" s="1507"/>
      <c r="J49" s="1507"/>
      <c r="K49" s="1507"/>
    </row>
    <row r="50" spans="2:11" ht="61.5" customHeight="1" thickBot="1">
      <c r="B50" s="1505" t="s">
        <v>16194</v>
      </c>
      <c r="C50" s="1505"/>
      <c r="D50" s="1507"/>
      <c r="E50" s="1507"/>
      <c r="F50" s="1507"/>
      <c r="G50" s="1507"/>
      <c r="H50" s="1507"/>
      <c r="I50" s="1507"/>
      <c r="J50" s="1507"/>
      <c r="K50" s="1507"/>
    </row>
    <row r="51" spans="2:11" ht="31.5" customHeight="1" thickBot="1">
      <c r="B51" s="1505" t="s">
        <v>16195</v>
      </c>
      <c r="C51" s="1505"/>
      <c r="D51" s="1512" t="str">
        <f>SOLAR!D32</f>
        <v>By Others/ N/A</v>
      </c>
      <c r="E51" s="1516"/>
      <c r="F51" s="454" t="s">
        <v>16196</v>
      </c>
      <c r="G51" s="1514"/>
      <c r="H51" s="1514"/>
      <c r="I51" s="1514"/>
      <c r="J51" s="1514"/>
      <c r="K51" s="1515"/>
    </row>
    <row r="52" spans="2:11" ht="31.5" customHeight="1" thickBot="1">
      <c r="B52" s="1505" t="s">
        <v>16197</v>
      </c>
      <c r="C52" s="1505"/>
      <c r="D52" s="1507"/>
      <c r="E52" s="1507"/>
      <c r="F52" s="1507"/>
      <c r="G52" s="1507"/>
      <c r="H52" s="1507"/>
      <c r="I52" s="1507"/>
      <c r="J52" s="1507"/>
      <c r="K52" s="1507"/>
    </row>
    <row r="53" spans="2:11" ht="31.5" customHeight="1" thickBot="1">
      <c r="B53" s="1505" t="s">
        <v>16198</v>
      </c>
      <c r="C53" s="1505"/>
      <c r="D53" s="1512" t="str">
        <f>SOLAR!D65</f>
        <v>Scissor Lift</v>
      </c>
      <c r="E53" s="1513"/>
      <c r="F53" s="1513"/>
      <c r="G53" s="454" t="s">
        <v>16196</v>
      </c>
      <c r="H53" s="1514"/>
      <c r="I53" s="1514"/>
      <c r="J53" s="1514"/>
      <c r="K53" s="1515"/>
    </row>
    <row r="54" spans="2:11" ht="109.5" customHeight="1" thickBot="1">
      <c r="B54" s="1505" t="s">
        <v>16199</v>
      </c>
      <c r="C54" s="1505"/>
      <c r="D54" s="1517" t="str">
        <f>IF(SOLAR!D72&lt;&gt;"Not Included",SOLAR!D72 &amp; "
","") &amp; IF(SOLAR!D73&lt;&gt;"Not Included",SOLAR!D73 &amp; "
","") &amp; IF(SOLAR!D74&lt;&gt;"Not Included",SOLAR!C74 &amp; "
","") &amp; IF(SOLAR!D75&lt;&gt;"Not Included",SOLAR!C75 &amp; "
","") &amp; IF(SOLAR!D76&lt;&gt;"Not Included",SOLAR!C76 &amp; "
","") &amp; IF(SOLAR!D77&lt;&gt;"Not Included",SOLAR!D77 &amp; " " &amp; SOLAR!C77 &amp; "
","") &amp; IF(SOLAR!D62&lt;&gt;"Not Included",SOLAR!C78 &amp; "
","")</f>
        <v xml:space="preserve">Temporary Hand Rail
Anchor Points
</v>
      </c>
      <c r="E54" s="1518"/>
      <c r="F54" s="1518"/>
      <c r="G54" s="454" t="s">
        <v>16196</v>
      </c>
      <c r="H54" s="1514"/>
      <c r="I54" s="1514"/>
      <c r="J54" s="1514"/>
      <c r="K54" s="1515"/>
    </row>
    <row r="55" spans="2:11" ht="31.5" customHeight="1" thickBot="1">
      <c r="B55" s="1505" t="s">
        <v>16200</v>
      </c>
      <c r="C55" s="1505"/>
      <c r="D55" s="1507"/>
      <c r="E55" s="1507"/>
      <c r="F55" s="1507"/>
      <c r="G55" s="1507"/>
      <c r="H55" s="1507"/>
      <c r="I55" s="1507"/>
      <c r="J55" s="1507"/>
      <c r="K55" s="1507"/>
    </row>
    <row r="56" spans="2:11" ht="31.5" customHeight="1" thickBot="1">
      <c r="B56" s="1505" t="s">
        <v>16179</v>
      </c>
      <c r="C56" s="1505"/>
      <c r="D56" s="1507"/>
      <c r="E56" s="1507"/>
      <c r="F56" s="1507"/>
      <c r="G56" s="1507"/>
      <c r="H56" s="1507"/>
      <c r="I56" s="1507"/>
      <c r="J56" s="1507"/>
      <c r="K56" s="1507"/>
    </row>
    <row r="57" spans="2:11" ht="15.6" thickBot="1"/>
    <row r="58" spans="2:11" ht="18.75" customHeight="1" thickBot="1">
      <c r="B58" s="1511" t="s">
        <v>16201</v>
      </c>
      <c r="C58" s="1511"/>
      <c r="D58" s="1511"/>
      <c r="E58" s="1511"/>
      <c r="F58" s="1511"/>
      <c r="G58" s="1511"/>
      <c r="H58" s="1511"/>
      <c r="I58" s="1511"/>
      <c r="J58" s="1511"/>
      <c r="K58" s="1511"/>
    </row>
    <row r="59" spans="2:11" ht="46.5" customHeight="1" thickBot="1">
      <c r="B59" s="1505" t="s">
        <v>16202</v>
      </c>
      <c r="C59" s="1505"/>
      <c r="D59" s="1505"/>
      <c r="E59" s="1505"/>
      <c r="F59" s="1509"/>
      <c r="G59" s="1509"/>
      <c r="H59" s="1509"/>
      <c r="I59" s="1509"/>
      <c r="J59" s="1509"/>
      <c r="K59" s="1509"/>
    </row>
    <row r="60" spans="2:11" ht="46.5" customHeight="1" thickBot="1">
      <c r="B60" s="1505" t="s">
        <v>16203</v>
      </c>
      <c r="C60" s="1505"/>
      <c r="D60" s="1505"/>
      <c r="E60" s="1505"/>
      <c r="F60" s="1509"/>
      <c r="G60" s="1509"/>
      <c r="H60" s="1509"/>
      <c r="I60" s="1509"/>
      <c r="J60" s="1509"/>
      <c r="K60" s="1509"/>
    </row>
    <row r="61" spans="2:11" ht="46.5" customHeight="1" thickBot="1">
      <c r="B61" s="1505" t="s">
        <v>16204</v>
      </c>
      <c r="C61" s="1505"/>
      <c r="D61" s="1505"/>
      <c r="E61" s="1505"/>
      <c r="F61" s="1509"/>
      <c r="G61" s="1509"/>
      <c r="H61" s="1509"/>
      <c r="I61" s="1509"/>
      <c r="J61" s="1509"/>
      <c r="K61" s="1509"/>
    </row>
    <row r="62" spans="2:11" ht="46.5" customHeight="1" thickBot="1">
      <c r="B62" s="1505" t="s">
        <v>16205</v>
      </c>
      <c r="C62" s="1505"/>
      <c r="D62" s="1505"/>
      <c r="E62" s="1505"/>
      <c r="F62" s="1509"/>
      <c r="G62" s="1509"/>
      <c r="H62" s="1509"/>
      <c r="I62" s="1509"/>
      <c r="J62" s="1509"/>
      <c r="K62" s="1509"/>
    </row>
    <row r="63" spans="2:11" ht="46.5" customHeight="1" thickBot="1">
      <c r="B63" s="1505" t="s">
        <v>16206</v>
      </c>
      <c r="C63" s="1505"/>
      <c r="D63" s="1505"/>
      <c r="E63" s="1505"/>
      <c r="F63" s="1509"/>
      <c r="G63" s="1509"/>
      <c r="H63" s="1509"/>
      <c r="I63" s="1509"/>
      <c r="J63" s="1509"/>
      <c r="K63" s="1509"/>
    </row>
    <row r="64" spans="2:11" ht="15.6" thickBot="1"/>
    <row r="65" spans="2:11" ht="18.75" customHeight="1" thickBot="1">
      <c r="B65" s="1511" t="s">
        <v>16207</v>
      </c>
      <c r="C65" s="1511"/>
      <c r="D65" s="1511"/>
      <c r="E65" s="1511"/>
      <c r="F65" s="1511"/>
      <c r="G65" s="1511"/>
      <c r="H65" s="1511"/>
      <c r="I65" s="1511"/>
      <c r="J65" s="1511"/>
      <c r="K65" s="1511"/>
    </row>
    <row r="66" spans="2:11" ht="31.5" customHeight="1" thickBot="1">
      <c r="B66" s="1505" t="s">
        <v>16208</v>
      </c>
      <c r="C66" s="1505"/>
      <c r="D66" s="1510"/>
      <c r="E66" s="1510"/>
      <c r="F66" s="1510"/>
      <c r="G66" s="1505" t="s">
        <v>16209</v>
      </c>
      <c r="H66" s="1505"/>
      <c r="I66" s="1510"/>
      <c r="J66" s="1510"/>
      <c r="K66" s="1510"/>
    </row>
    <row r="67" spans="2:11" ht="31.5" customHeight="1" thickBot="1">
      <c r="B67" s="1505" t="s">
        <v>16210</v>
      </c>
      <c r="C67" s="1505"/>
      <c r="D67" s="1508" t="str">
        <f>SOLAR!D88</f>
        <v>12 Year Panel Product Warranty</v>
      </c>
      <c r="E67" s="1508"/>
      <c r="F67" s="1508"/>
      <c r="G67" s="1505" t="s">
        <v>16211</v>
      </c>
      <c r="H67" s="1505"/>
      <c r="I67" s="1508" t="str">
        <f>SOLAR!D90</f>
        <v>10 Year Inverter Warranty</v>
      </c>
      <c r="J67" s="1508"/>
      <c r="K67" s="1508"/>
    </row>
    <row r="68" spans="2:11" ht="46.5" customHeight="1" thickBot="1">
      <c r="B68" s="1505" t="s">
        <v>16212</v>
      </c>
      <c r="C68" s="1505"/>
      <c r="D68" s="1508" t="str">
        <f>SOLAR!D81</f>
        <v>Solar Analytics Generation + Consumption</v>
      </c>
      <c r="E68" s="1508"/>
      <c r="F68" s="1508"/>
      <c r="G68" s="1505" t="s">
        <v>16213</v>
      </c>
      <c r="H68" s="1505"/>
      <c r="I68" s="1508" t="str">
        <f>SOLAR!D82 &amp; "
" &amp; SOLAR!D84</f>
        <v>Sungrow Monitoring
Sungrow 4G Dongle</v>
      </c>
      <c r="J68" s="1508"/>
      <c r="K68" s="1508"/>
    </row>
    <row r="69" spans="2:11" ht="31.5" customHeight="1" thickBot="1">
      <c r="B69" s="1505" t="s">
        <v>16214</v>
      </c>
      <c r="C69" s="1505"/>
      <c r="D69" s="1508" t="str">
        <f>IF(LEFT(SOLAR!D81,15)="Solar Analytics","5 Years","N/A")</f>
        <v>5 Years</v>
      </c>
      <c r="E69" s="1508"/>
      <c r="F69" s="1508"/>
      <c r="G69" s="1505" t="s">
        <v>16215</v>
      </c>
      <c r="H69" s="1505"/>
      <c r="I69" s="1508" t="str">
        <f>IF(SOLAR!D93="Included","Yes","No")</f>
        <v>Yes</v>
      </c>
      <c r="J69" s="1508"/>
      <c r="K69" s="1508"/>
    </row>
    <row r="70" spans="2:11" ht="31.5" customHeight="1" thickBot="1">
      <c r="B70" s="1505" t="s">
        <v>16216</v>
      </c>
      <c r="C70" s="1505"/>
      <c r="D70" s="1506" t="str">
        <f>IF(SOLAR!D93="Included","Standard","No service")</f>
        <v>Standard</v>
      </c>
      <c r="E70" s="1506"/>
      <c r="F70" s="1506"/>
      <c r="G70" s="1506"/>
      <c r="H70" s="1506"/>
      <c r="I70" s="1506"/>
      <c r="J70" s="1506"/>
      <c r="K70" s="1506"/>
    </row>
    <row r="71" spans="2:11" ht="31.5" customHeight="1" thickBot="1">
      <c r="B71" s="1505" t="s">
        <v>16217</v>
      </c>
      <c r="C71" s="1505"/>
      <c r="D71" s="1507"/>
      <c r="E71" s="1507"/>
      <c r="F71" s="1507"/>
      <c r="G71" s="1507"/>
      <c r="H71" s="1507"/>
      <c r="I71" s="1507"/>
      <c r="J71" s="1507"/>
      <c r="K71" s="1507"/>
    </row>
    <row r="73" spans="2:11" ht="31.5" customHeight="1">
      <c r="B73" s="1495" t="s">
        <v>16218</v>
      </c>
      <c r="C73" s="1495"/>
      <c r="D73" s="1495"/>
      <c r="E73" s="1495"/>
      <c r="F73" s="1495"/>
    </row>
    <row r="74" spans="2:11" ht="31.5" customHeight="1">
      <c r="B74" s="1495" t="s">
        <v>16219</v>
      </c>
      <c r="C74" s="1495"/>
      <c r="D74" s="1495"/>
      <c r="E74" s="1495"/>
      <c r="F74" s="1495"/>
    </row>
    <row r="75" spans="2:11" ht="31.5" customHeight="1">
      <c r="B75" s="1495" t="s">
        <v>16220</v>
      </c>
      <c r="C75" s="1495"/>
      <c r="D75" s="1495"/>
      <c r="E75" s="1495"/>
      <c r="F75" s="1495"/>
    </row>
    <row r="76" spans="2:11" ht="31.5" customHeight="1">
      <c r="B76" s="1495" t="s">
        <v>16221</v>
      </c>
      <c r="C76" s="1495"/>
      <c r="D76" s="1495"/>
      <c r="E76" s="1495"/>
      <c r="F76" s="1495"/>
    </row>
    <row r="77" spans="2:11" ht="31.5" customHeight="1">
      <c r="B77" s="1495" t="s">
        <v>16222</v>
      </c>
      <c r="C77" s="1495"/>
      <c r="D77" s="1495"/>
      <c r="E77" s="1495"/>
      <c r="F77" s="1495"/>
    </row>
    <row r="78" spans="2:11" ht="31.5" customHeight="1">
      <c r="B78" s="1495" t="s">
        <v>16223</v>
      </c>
      <c r="C78" s="1495"/>
      <c r="D78" s="1495"/>
      <c r="E78" s="1495"/>
      <c r="F78" s="1495"/>
    </row>
    <row r="79" spans="2:11" ht="31.5" customHeight="1">
      <c r="B79" s="1495" t="s">
        <v>16224</v>
      </c>
      <c r="C79" s="1495"/>
      <c r="D79" s="1495"/>
      <c r="E79" s="1495"/>
      <c r="F79" s="1495"/>
    </row>
    <row r="80" spans="2:11" ht="31.5" customHeight="1">
      <c r="B80" s="1495" t="s">
        <v>16225</v>
      </c>
      <c r="C80" s="1495"/>
      <c r="D80" s="1495"/>
      <c r="E80" s="1495"/>
      <c r="F80" s="1495"/>
    </row>
    <row r="81" spans="2:6" ht="31.5" customHeight="1">
      <c r="B81" s="1495" t="s">
        <v>16226</v>
      </c>
      <c r="C81" s="1495"/>
      <c r="D81" s="1495"/>
      <c r="E81" s="1495"/>
      <c r="F81" s="1495"/>
    </row>
    <row r="82" spans="2:6" ht="31.5" customHeight="1">
      <c r="B82" s="1495" t="s">
        <v>16227</v>
      </c>
      <c r="C82" s="1495"/>
      <c r="D82" s="1495"/>
      <c r="E82" s="1495"/>
      <c r="F82" s="1495"/>
    </row>
  </sheetData>
  <mergeCells count="164">
    <mergeCell ref="E2:H3"/>
    <mergeCell ref="J4:K4"/>
    <mergeCell ref="J3:K3"/>
    <mergeCell ref="C3:D3"/>
    <mergeCell ref="C4:D4"/>
    <mergeCell ref="B26:D26"/>
    <mergeCell ref="E24:K24"/>
    <mergeCell ref="E25:K25"/>
    <mergeCell ref="E26:K26"/>
    <mergeCell ref="B6:D7"/>
    <mergeCell ref="B8:D8"/>
    <mergeCell ref="E6:F6"/>
    <mergeCell ref="E7:F7"/>
    <mergeCell ref="G6:K6"/>
    <mergeCell ref="G7:K7"/>
    <mergeCell ref="E8:K8"/>
    <mergeCell ref="E9:K9"/>
    <mergeCell ref="E13:F13"/>
    <mergeCell ref="B5:K5"/>
    <mergeCell ref="B9:D9"/>
    <mergeCell ref="B10:D11"/>
    <mergeCell ref="E10:F10"/>
    <mergeCell ref="E11:F11"/>
    <mergeCell ref="G10:K10"/>
    <mergeCell ref="B12:D15"/>
    <mergeCell ref="B16:D19"/>
    <mergeCell ref="E12:F12"/>
    <mergeCell ref="B24:D24"/>
    <mergeCell ref="B29:K29"/>
    <mergeCell ref="B30:D30"/>
    <mergeCell ref="B31:D31"/>
    <mergeCell ref="B20:D23"/>
    <mergeCell ref="B25:D25"/>
    <mergeCell ref="B27:D27"/>
    <mergeCell ref="E27:K27"/>
    <mergeCell ref="E30:K30"/>
    <mergeCell ref="E31:K31"/>
    <mergeCell ref="G11:K11"/>
    <mergeCell ref="G12:K12"/>
    <mergeCell ref="G13:K13"/>
    <mergeCell ref="G14:K14"/>
    <mergeCell ref="G15:K15"/>
    <mergeCell ref="E20:F20"/>
    <mergeCell ref="E21:F21"/>
    <mergeCell ref="E22:F22"/>
    <mergeCell ref="E23:F23"/>
    <mergeCell ref="E17:F17"/>
    <mergeCell ref="E18:F18"/>
    <mergeCell ref="E19:F19"/>
    <mergeCell ref="G16:K16"/>
    <mergeCell ref="G17:K17"/>
    <mergeCell ref="G18:K18"/>
    <mergeCell ref="G19:K19"/>
    <mergeCell ref="G20:K20"/>
    <mergeCell ref="G21:K21"/>
    <mergeCell ref="G22:K22"/>
    <mergeCell ref="G23:K23"/>
    <mergeCell ref="E14:F14"/>
    <mergeCell ref="E15:F15"/>
    <mergeCell ref="E16:F16"/>
    <mergeCell ref="E32:K32"/>
    <mergeCell ref="E33:K33"/>
    <mergeCell ref="E34:K34"/>
    <mergeCell ref="E35:K35"/>
    <mergeCell ref="E36:K36"/>
    <mergeCell ref="E37:K37"/>
    <mergeCell ref="E39:K39"/>
    <mergeCell ref="E38:K38"/>
    <mergeCell ref="G43:H43"/>
    <mergeCell ref="B41:K41"/>
    <mergeCell ref="D42:F42"/>
    <mergeCell ref="D43:F43"/>
    <mergeCell ref="I42:K42"/>
    <mergeCell ref="I43:K43"/>
    <mergeCell ref="B32:D32"/>
    <mergeCell ref="B33:D33"/>
    <mergeCell ref="B34:D34"/>
    <mergeCell ref="B35:D35"/>
    <mergeCell ref="B36:D36"/>
    <mergeCell ref="B37:D37"/>
    <mergeCell ref="B38:D38"/>
    <mergeCell ref="B50:C50"/>
    <mergeCell ref="D50:K50"/>
    <mergeCell ref="B39:D39"/>
    <mergeCell ref="D49:K49"/>
    <mergeCell ref="B42:C42"/>
    <mergeCell ref="B43:C43"/>
    <mergeCell ref="B44:C44"/>
    <mergeCell ref="B45:C45"/>
    <mergeCell ref="D44:K44"/>
    <mergeCell ref="G42:H42"/>
    <mergeCell ref="B46:C46"/>
    <mergeCell ref="D45:K45"/>
    <mergeCell ref="B47:C48"/>
    <mergeCell ref="B49:C49"/>
    <mergeCell ref="D47:E47"/>
    <mergeCell ref="F47:G47"/>
    <mergeCell ref="D48:E48"/>
    <mergeCell ref="D46:K46"/>
    <mergeCell ref="H47:I47"/>
    <mergeCell ref="J47:K47"/>
    <mergeCell ref="H48:I48"/>
    <mergeCell ref="J48:K48"/>
    <mergeCell ref="F48:G48"/>
    <mergeCell ref="D55:K55"/>
    <mergeCell ref="D56:K56"/>
    <mergeCell ref="B65:K65"/>
    <mergeCell ref="B58:K58"/>
    <mergeCell ref="B59:E59"/>
    <mergeCell ref="B51:C51"/>
    <mergeCell ref="B52:C52"/>
    <mergeCell ref="B53:C53"/>
    <mergeCell ref="B54:C54"/>
    <mergeCell ref="B55:C55"/>
    <mergeCell ref="B56:C56"/>
    <mergeCell ref="D52:K52"/>
    <mergeCell ref="D53:F53"/>
    <mergeCell ref="H53:K53"/>
    <mergeCell ref="G51:K51"/>
    <mergeCell ref="D51:E51"/>
    <mergeCell ref="D54:F54"/>
    <mergeCell ref="H54:K54"/>
    <mergeCell ref="B69:C69"/>
    <mergeCell ref="D69:F69"/>
    <mergeCell ref="G69:H69"/>
    <mergeCell ref="I69:K69"/>
    <mergeCell ref="B61:E61"/>
    <mergeCell ref="B62:E62"/>
    <mergeCell ref="B63:E63"/>
    <mergeCell ref="F59:K59"/>
    <mergeCell ref="F60:K60"/>
    <mergeCell ref="F61:K61"/>
    <mergeCell ref="F62:K62"/>
    <mergeCell ref="F63:K63"/>
    <mergeCell ref="B66:C66"/>
    <mergeCell ref="D66:F66"/>
    <mergeCell ref="G66:H66"/>
    <mergeCell ref="I66:K66"/>
    <mergeCell ref="B60:E60"/>
    <mergeCell ref="I68:K68"/>
    <mergeCell ref="B82:F82"/>
    <mergeCell ref="M7:O7"/>
    <mergeCell ref="M8:O8"/>
    <mergeCell ref="M6:O6"/>
    <mergeCell ref="B73:F73"/>
    <mergeCell ref="B74:F74"/>
    <mergeCell ref="B75:F75"/>
    <mergeCell ref="B76:F76"/>
    <mergeCell ref="B77:F77"/>
    <mergeCell ref="B78:F78"/>
    <mergeCell ref="B79:F79"/>
    <mergeCell ref="B80:F80"/>
    <mergeCell ref="B70:C70"/>
    <mergeCell ref="B71:C71"/>
    <mergeCell ref="D70:K70"/>
    <mergeCell ref="D71:K71"/>
    <mergeCell ref="B81:F81"/>
    <mergeCell ref="B67:C67"/>
    <mergeCell ref="D67:F67"/>
    <mergeCell ref="G67:H67"/>
    <mergeCell ref="I67:K67"/>
    <mergeCell ref="B68:C68"/>
    <mergeCell ref="D68:F68"/>
    <mergeCell ref="G68:H68"/>
  </mergeCells>
  <pageMargins left="0.25" right="0.25" top="0.75" bottom="0.75" header="0.3" footer="0.3"/>
  <pageSetup paperSize="9" scale="80"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2FA04-4838-45D6-95C0-CDAF12E5D03F}">
  <sheetPr codeName="Sheet11"/>
  <dimension ref="A1:X103"/>
  <sheetViews>
    <sheetView workbookViewId="0"/>
  </sheetViews>
  <sheetFormatPr defaultColWidth="8.5" defaultRowHeight="14.4"/>
  <cols>
    <col min="1" max="1" width="36" style="339" customWidth="1"/>
    <col min="2" max="2" width="16.5" style="339" customWidth="1"/>
    <col min="3" max="3" width="31" style="339" customWidth="1"/>
    <col min="4" max="4" width="11.5" style="339" customWidth="1"/>
    <col min="5" max="5" width="43" style="339" hidden="1" customWidth="1"/>
    <col min="6" max="6" width="48" style="339" customWidth="1"/>
    <col min="7" max="7" width="17.5" style="339" customWidth="1"/>
    <col min="8" max="8" width="9" style="339" customWidth="1"/>
    <col min="9" max="9" width="12" style="339" customWidth="1"/>
    <col min="10" max="10" width="15" style="339" bestFit="1" customWidth="1"/>
    <col min="11" max="11" width="12" style="339" bestFit="1" customWidth="1"/>
    <col min="12" max="12" width="16" style="339" bestFit="1" customWidth="1"/>
    <col min="13" max="13" width="9" style="339" hidden="1" customWidth="1"/>
    <col min="14" max="14" width="13" style="339" customWidth="1"/>
    <col min="15" max="15" width="8" style="339" bestFit="1" customWidth="1"/>
    <col min="16" max="16" width="13" style="339" customWidth="1"/>
    <col min="17" max="17" width="8" style="339" bestFit="1" customWidth="1"/>
    <col min="18" max="18" width="11" style="339" customWidth="1"/>
    <col min="19" max="19" width="12" style="339" customWidth="1"/>
    <col min="20" max="20" width="11" style="339" customWidth="1"/>
    <col min="21" max="23" width="8.5" style="339"/>
    <col min="24" max="24" width="15" style="339" bestFit="1" customWidth="1"/>
    <col min="25" max="16384" width="8.5" style="339"/>
  </cols>
  <sheetData>
    <row r="1" spans="1:24" ht="38.4">
      <c r="A1" s="337" t="s">
        <v>16228</v>
      </c>
      <c r="B1" s="338" t="s">
        <v>16229</v>
      </c>
      <c r="C1"/>
      <c r="D1"/>
      <c r="E1" s="392" t="s">
        <v>16230</v>
      </c>
      <c r="F1" s="392" t="s">
        <v>16231</v>
      </c>
      <c r="G1" s="392" t="s">
        <v>16232</v>
      </c>
      <c r="H1" s="393" t="s">
        <v>16233</v>
      </c>
      <c r="I1" s="392" t="s">
        <v>16234</v>
      </c>
      <c r="J1" s="394" t="s">
        <v>16235</v>
      </c>
      <c r="K1" s="395" t="s">
        <v>16236</v>
      </c>
      <c r="L1" s="395" t="s">
        <v>16237</v>
      </c>
      <c r="M1" s="396" t="s">
        <v>16238</v>
      </c>
      <c r="N1" s="397" t="s">
        <v>16239</v>
      </c>
    </row>
    <row r="2" spans="1:24" ht="18">
      <c r="A2" s="340" t="s">
        <v>16240</v>
      </c>
      <c r="B2" s="341">
        <f>SOLAR!D10</f>
        <v>0</v>
      </c>
      <c r="C2"/>
      <c r="D2" s="1566" t="s">
        <v>16241</v>
      </c>
      <c r="E2" t="s">
        <v>16242</v>
      </c>
      <c r="F2" s="398" t="s">
        <v>16243</v>
      </c>
      <c r="G2" s="399">
        <f>IF(size&lt;150,1100*B19,1500*B19)</f>
        <v>1100</v>
      </c>
      <c r="H2" s="400" t="s">
        <v>16244</v>
      </c>
      <c r="I2" s="162" t="s">
        <v>16245</v>
      </c>
      <c r="J2" s="253" t="str">
        <f>IF($B$8="SCS New",[7]Inclusions!J4,IF($B$8="SCS Old",[7]Inclusions!M4,IF($B$8="Non SCS",[7]Inclusions!P4,[7]Inclusions!$S4)))</f>
        <v>No</v>
      </c>
      <c r="K2" s="253" t="str">
        <f>IF($B$8="SCS New",[7]Inclusions!K4,IF($B$8="SCS Old",[7]Inclusions!N4,IF($B$8="Non SCS",[7]Inclusions!Q4,[7]Inclusions!$S4)))</f>
        <v>No</v>
      </c>
      <c r="L2" s="253" t="str">
        <f>IF($B$8="SCS New",[7]Inclusions!L4,IF($B$8="SCS Old",[7]Inclusions!O4,IF($B$8="Non SCS",[7]Inclusions!R4,[7]Inclusions!$S4)))</f>
        <v>No</v>
      </c>
      <c r="M2" s="254" t="s">
        <v>145</v>
      </c>
      <c r="N2" s="253" t="s">
        <v>143</v>
      </c>
    </row>
    <row r="3" spans="1:24" ht="18">
      <c r="A3" s="340" t="s">
        <v>16246</v>
      </c>
      <c r="B3" s="344" t="s">
        <v>16247</v>
      </c>
      <c r="C3"/>
      <c r="D3" s="1566"/>
      <c r="E3" t="s">
        <v>16248</v>
      </c>
      <c r="F3" s="398" t="s">
        <v>16249</v>
      </c>
      <c r="G3" s="399">
        <f>1100*B20</f>
        <v>1100</v>
      </c>
      <c r="H3" s="400" t="s">
        <v>16244</v>
      </c>
      <c r="I3" s="162" t="s">
        <v>16245</v>
      </c>
      <c r="J3" s="253" t="str">
        <f>IF($B$8="SCS New",[7]Inclusions!J5,IF($B$8="SCS Old",[7]Inclusions!M5,IF($B$8="Non SCS",[7]Inclusions!P5,[7]Inclusions!$S5)))</f>
        <v>No</v>
      </c>
      <c r="K3" s="253" t="str">
        <f>IF($B$8="SCS New",[7]Inclusions!K5,IF($B$8="SCS Old",[7]Inclusions!N5,IF($B$8="Non SCS",[7]Inclusions!Q5,[7]Inclusions!$S5)))</f>
        <v>No</v>
      </c>
      <c r="L3" s="253" t="str">
        <f>IF($B$8="SCS New",[7]Inclusions!L5,IF($B$8="SCS Old",[7]Inclusions!O5,IF($B$8="Non SCS",[7]Inclusions!R5,[7]Inclusions!$S5)))</f>
        <v>No</v>
      </c>
      <c r="M3" s="254" t="s">
        <v>145</v>
      </c>
      <c r="N3" s="253" t="s">
        <v>143</v>
      </c>
    </row>
    <row r="4" spans="1:24" ht="18">
      <c r="A4" s="340" t="s">
        <v>16250</v>
      </c>
      <c r="B4" s="341">
        <f>SOLAR!D20</f>
        <v>0</v>
      </c>
      <c r="C4"/>
      <c r="D4" s="1566"/>
      <c r="E4" t="s">
        <v>16251</v>
      </c>
      <c r="F4" s="398" t="s">
        <v>16252</v>
      </c>
      <c r="G4" s="399">
        <f>IF(size&lt;250,size/40*B46,size/100*B46)</f>
        <v>87.5</v>
      </c>
      <c r="H4" s="400" t="s">
        <v>16253</v>
      </c>
      <c r="I4" s="162" t="s">
        <v>16245</v>
      </c>
      <c r="J4" s="253" t="str">
        <f>IF($B$8="SCS New",[7]Inclusions!J6,IF($B$8="SCS Old",[7]Inclusions!M6,IF($B$8="Non SCS",[7]Inclusions!P6,[7]Inclusions!$S6)))</f>
        <v>No</v>
      </c>
      <c r="K4" s="253" t="str">
        <f>IF($B$8="SCS New",[7]Inclusions!K6,IF($B$8="SCS Old",[7]Inclusions!N6,IF($B$8="Non SCS",[7]Inclusions!Q6,[7]Inclusions!$S6)))</f>
        <v>No</v>
      </c>
      <c r="L4" s="253" t="str">
        <f>IF($B$8="SCS New",[7]Inclusions!L6,IF($B$8="SCS Old",[7]Inclusions!O6,IF($B$8="Non SCS",[7]Inclusions!R6,[7]Inclusions!$S6)))</f>
        <v>No</v>
      </c>
      <c r="M4" s="254" t="s">
        <v>145</v>
      </c>
      <c r="N4" s="253" t="s">
        <v>143</v>
      </c>
      <c r="S4" s="342"/>
    </row>
    <row r="5" spans="1:24" ht="18">
      <c r="A5" s="340" t="s">
        <v>264</v>
      </c>
      <c r="B5" s="341">
        <f>SOLAR!D22</f>
        <v>0</v>
      </c>
      <c r="C5"/>
      <c r="D5" s="1566"/>
      <c r="E5" t="s">
        <v>16254</v>
      </c>
      <c r="F5" s="398" t="s">
        <v>16255</v>
      </c>
      <c r="G5" s="399">
        <f>B52*B53*B46+IF(B16="Corporate",100,0)</f>
        <v>268</v>
      </c>
      <c r="H5" s="400" t="s">
        <v>16244</v>
      </c>
      <c r="I5" t="s">
        <v>16256</v>
      </c>
      <c r="J5" s="253" t="str">
        <f>IF($B$8="SCS New",[7]Inclusions!J7,IF($B$8="SCS Old",[7]Inclusions!M7,IF($B$8="Non SCS",[7]Inclusions!P7,[7]Inclusions!$S7)))</f>
        <v>Yes</v>
      </c>
      <c r="K5" s="253" t="str">
        <f>IF($B$8="SCS New",[7]Inclusions!K7,IF($B$8="SCS Old",[7]Inclusions!N7,IF($B$8="Non SCS",[7]Inclusions!Q7,[7]Inclusions!$S7)))</f>
        <v>Yes</v>
      </c>
      <c r="L5" s="253" t="str">
        <f>IF($B$8="SCS New",[7]Inclusions!L7,IF($B$8="SCS Old",[7]Inclusions!O7,IF($B$8="Non SCS",[7]Inclusions!R7,[7]Inclusions!$S7)))</f>
        <v>Yes</v>
      </c>
      <c r="M5" s="254" t="s">
        <v>145</v>
      </c>
      <c r="N5" s="253" t="s">
        <v>145</v>
      </c>
    </row>
    <row r="6" spans="1:24" ht="18.600000000000001" thickBot="1">
      <c r="A6" s="340" t="s">
        <v>242</v>
      </c>
      <c r="B6" s="341">
        <f>SOLAR!D17</f>
        <v>0</v>
      </c>
      <c r="C6"/>
      <c r="D6" s="1566"/>
      <c r="E6" t="s">
        <v>16257</v>
      </c>
      <c r="F6" s="398" t="s">
        <v>16258</v>
      </c>
      <c r="G6" s="399">
        <f>B52*B54*B46</f>
        <v>42.000000000000007</v>
      </c>
      <c r="H6" s="400" t="s">
        <v>16253</v>
      </c>
      <c r="I6" t="s">
        <v>16256</v>
      </c>
      <c r="J6" s="253" t="str">
        <f>IF($B$8="SCS New",[7]Inclusions!J8,IF($B$8="SCS Old",[7]Inclusions!M8,IF($B$8="Non SCS",[7]Inclusions!P8,[7]Inclusions!$S8)))</f>
        <v>Yes</v>
      </c>
      <c r="K6" s="253" t="str">
        <f>IF($B$8="SCS New",[7]Inclusions!K8,IF($B$8="SCS Old",[7]Inclusions!N8,IF($B$8="Non SCS",[7]Inclusions!Q8,[7]Inclusions!$S8)))</f>
        <v>Yes</v>
      </c>
      <c r="L6" s="253" t="str">
        <f>IF($B$8="SCS New",[7]Inclusions!L8,IF($B$8="SCS Old",[7]Inclusions!O8,IF($B$8="Non SCS",[7]Inclusions!R8,[7]Inclusions!$S8)))</f>
        <v>Yes</v>
      </c>
      <c r="M6" s="254" t="s">
        <v>145</v>
      </c>
      <c r="N6" s="253" t="s">
        <v>145</v>
      </c>
    </row>
    <row r="7" spans="1:24" ht="21">
      <c r="A7" s="1564" t="s">
        <v>16259</v>
      </c>
      <c r="B7" s="1565"/>
      <c r="C7"/>
      <c r="D7" s="1566"/>
      <c r="E7" t="s">
        <v>16260</v>
      </c>
      <c r="F7" s="398" t="s">
        <v>16261</v>
      </c>
      <c r="G7" s="399">
        <f>IF(size&lt;300,size/50*B46,size/80*B46)</f>
        <v>70</v>
      </c>
      <c r="H7" s="400" t="s">
        <v>16253</v>
      </c>
      <c r="I7" s="162" t="s">
        <v>16245</v>
      </c>
      <c r="J7" s="253" t="str">
        <f>IF($B$8="SCS New",[7]Inclusions!J9,IF($B$8="SCS Old",[7]Inclusions!M9,IF($B$8="Non SCS",[7]Inclusions!P9,[7]Inclusions!$S9)))</f>
        <v>No</v>
      </c>
      <c r="K7" s="253" t="str">
        <f>IF($B$8="SCS New",[7]Inclusions!K9,IF($B$8="SCS Old",[7]Inclusions!N9,IF($B$8="Non SCS",[7]Inclusions!Q9,[7]Inclusions!$S9)))</f>
        <v>No</v>
      </c>
      <c r="L7" s="253" t="str">
        <f>IF($B$8="SCS New",[7]Inclusions!L9,IF($B$8="SCS Old",[7]Inclusions!O9,IF($B$8="Non SCS",[7]Inclusions!R9,[7]Inclusions!$S9)))</f>
        <v>No</v>
      </c>
      <c r="M7" s="254" t="s">
        <v>145</v>
      </c>
      <c r="N7" s="253" t="s">
        <v>143</v>
      </c>
    </row>
    <row r="8" spans="1:24" ht="21">
      <c r="A8" s="345" t="s">
        <v>16262</v>
      </c>
      <c r="B8" s="346" t="str">
        <f>IF(SOLAR!F14&lt;&gt;"PPA", "SCS New", "PPA")</f>
        <v>SCS New</v>
      </c>
      <c r="C8"/>
      <c r="D8" s="1566"/>
      <c r="E8" t="s">
        <v>16263</v>
      </c>
      <c r="F8" s="398" t="s">
        <v>16264</v>
      </c>
      <c r="G8" s="399">
        <f>B45*(B20/2+B21/4)</f>
        <v>120</v>
      </c>
      <c r="H8" s="400" t="s">
        <v>16244</v>
      </c>
      <c r="I8" s="162" t="s">
        <v>16245</v>
      </c>
      <c r="J8" s="253" t="str">
        <f>IF($B$8="SCS New",[7]Inclusions!J10,IF($B$8="SCS Old",[7]Inclusions!M10,IF($B$8="Non SCS",[7]Inclusions!P10,[7]Inclusions!$S10)))</f>
        <v>No</v>
      </c>
      <c r="K8" s="253" t="str">
        <f>IF($B$8="SCS New",[7]Inclusions!K10,IF($B$8="SCS Old",[7]Inclusions!N10,IF($B$8="Non SCS",[7]Inclusions!Q10,[7]Inclusions!$S10)))</f>
        <v>No</v>
      </c>
      <c r="L8" s="253" t="str">
        <f>IF($B$8="SCS New",[7]Inclusions!L10,IF($B$8="SCS Old",[7]Inclusions!O10,IF($B$8="Non SCS",[7]Inclusions!R10,[7]Inclusions!$S10)))</f>
        <v>No</v>
      </c>
      <c r="M8" s="254"/>
      <c r="N8" s="253" t="s">
        <v>143</v>
      </c>
    </row>
    <row r="9" spans="1:24" ht="15.6">
      <c r="A9" s="343" t="s">
        <v>16265</v>
      </c>
      <c r="B9" s="255">
        <f>SOLAR!F13</f>
        <v>100</v>
      </c>
      <c r="C9"/>
      <c r="D9" s="1566"/>
      <c r="E9" t="s">
        <v>16266</v>
      </c>
      <c r="F9" s="398" t="s">
        <v>16267</v>
      </c>
      <c r="G9" s="399">
        <f>B50</f>
        <v>1000</v>
      </c>
      <c r="H9" s="400" t="s">
        <v>16244</v>
      </c>
      <c r="I9" s="162" t="s">
        <v>16245</v>
      </c>
      <c r="J9" s="253" t="str">
        <f>IF($B$8="SCS New",[7]Inclusions!J11,IF($B$8="SCS Old",[7]Inclusions!M11,IF($B$8="Non SCS",[7]Inclusions!P11,[7]Inclusions!$S11)))</f>
        <v>No</v>
      </c>
      <c r="K9" s="253" t="str">
        <f>IF($B$8="SCS New",[7]Inclusions!K11,IF($B$8="SCS Old",[7]Inclusions!N11,IF($B$8="Non SCS",[7]Inclusions!Q11,[7]Inclusions!$S11)))</f>
        <v>No</v>
      </c>
      <c r="L9" s="253" t="str">
        <f>IF($B$8="SCS New",[7]Inclusions!L11,IF($B$8="SCS Old",[7]Inclusions!O11,IF($B$8="Non SCS",[7]Inclusions!R11,[7]Inclusions!$S11)))</f>
        <v>No</v>
      </c>
      <c r="M9" s="254" t="s">
        <v>145</v>
      </c>
      <c r="N9" s="253" t="s">
        <v>143</v>
      </c>
    </row>
    <row r="10" spans="1:24" ht="15.6">
      <c r="A10" s="343" t="s">
        <v>16268</v>
      </c>
      <c r="B10" s="1024">
        <f>SOLAR!F20</f>
        <v>2026</v>
      </c>
      <c r="C10"/>
      <c r="D10" s="1566"/>
      <c r="E10" t="s">
        <v>16269</v>
      </c>
      <c r="F10" s="398" t="s">
        <v>16270</v>
      </c>
      <c r="G10" s="399">
        <f>IF(B9&lt;250,11*12,30*12)</f>
        <v>132</v>
      </c>
      <c r="H10" s="400" t="s">
        <v>16244</v>
      </c>
      <c r="I10" t="s">
        <v>16256</v>
      </c>
      <c r="J10" s="253" t="str">
        <f>IF($B$8="SCS New",[7]Inclusions!J12,IF($B$8="SCS Old",[7]Inclusions!M12,IF($B$8="Non SCS",[7]Inclusions!P12,[7]Inclusions!$S12)))</f>
        <v>No</v>
      </c>
      <c r="K10" s="253" t="str">
        <f>IF($B$8="SCS New",[7]Inclusions!K12,IF($B$8="SCS Old",[7]Inclusions!N12,IF($B$8="Non SCS",[7]Inclusions!Q12,[7]Inclusions!$S12)))</f>
        <v>No</v>
      </c>
      <c r="L10" s="253" t="str">
        <f>IF($B$8="SCS New",[7]Inclusions!L12,IF($B$8="SCS Old",[7]Inclusions!O12,IF($B$8="Non SCS",[7]Inclusions!R12,[7]Inclusions!$S12)))</f>
        <v>No</v>
      </c>
      <c r="M10" s="254"/>
      <c r="N10" s="253" t="s">
        <v>143</v>
      </c>
      <c r="X10" s="347"/>
    </row>
    <row r="11" spans="1:24" ht="15.6">
      <c r="A11" s="348" t="s">
        <v>16271</v>
      </c>
      <c r="B11" s="255">
        <v>1</v>
      </c>
      <c r="C11"/>
      <c r="D11" s="1566"/>
      <c r="E11" t="s">
        <v>16272</v>
      </c>
      <c r="F11" s="398" t="s">
        <v>16273</v>
      </c>
      <c r="G11" s="399">
        <f>B55*(1-B56)*B46</f>
        <v>157.5</v>
      </c>
      <c r="H11" s="400" t="s">
        <v>16274</v>
      </c>
      <c r="I11" t="s">
        <v>16256</v>
      </c>
      <c r="J11" s="253" t="str">
        <f>IF($B$8="SCS New",[7]Inclusions!J13,IF($B$8="SCS Old",[7]Inclusions!M13,IF($B$8="Non SCS",[7]Inclusions!P13,[7]Inclusions!$S13)))</f>
        <v>No</v>
      </c>
      <c r="K11" s="253" t="str">
        <f>IF($B$8="SCS New",[7]Inclusions!K13,IF($B$8="SCS Old",[7]Inclusions!N13,IF($B$8="Non SCS",[7]Inclusions!Q13,[7]Inclusions!$S13)))</f>
        <v>Yes</v>
      </c>
      <c r="L11" s="253" t="str">
        <f>IF($B$8="SCS New",[7]Inclusions!L13,IF($B$8="SCS Old",[7]Inclusions!O13,IF($B$8="Non SCS",[7]Inclusions!R13,[7]Inclusions!$S13)))</f>
        <v>Yes</v>
      </c>
      <c r="M11" s="254" t="s">
        <v>145</v>
      </c>
      <c r="N11" s="253" t="s">
        <v>145</v>
      </c>
    </row>
    <row r="12" spans="1:24" ht="15.6">
      <c r="A12" s="349" t="s">
        <v>16275</v>
      </c>
      <c r="B12" s="257">
        <f>SOLAR!D21</f>
        <v>0</v>
      </c>
      <c r="C12" s="258" t="s">
        <v>16276</v>
      </c>
      <c r="D12" s="1566"/>
      <c r="E12" t="s">
        <v>16277</v>
      </c>
      <c r="F12" s="401" t="s">
        <v>16278</v>
      </c>
      <c r="G12" s="399">
        <f>B55*B56*B46</f>
        <v>17.5</v>
      </c>
      <c r="H12" s="400" t="s">
        <v>16274</v>
      </c>
      <c r="I12" t="s">
        <v>16256</v>
      </c>
      <c r="J12" s="253" t="str">
        <f>IF($B$8="SCS New",[7]Inclusions!J14,IF($B$8="SCS Old",[7]Inclusions!M14,IF($B$8="Non SCS",[7]Inclusions!P14,[7]Inclusions!$S14)))</f>
        <v>No</v>
      </c>
      <c r="K12" s="253" t="str">
        <f>IF($B$8="SCS New",[7]Inclusions!K14,IF($B$8="SCS Old",[7]Inclusions!N14,IF($B$8="Non SCS",[7]Inclusions!Q14,[7]Inclusions!$S14)))</f>
        <v>Yes</v>
      </c>
      <c r="L12" s="253" t="str">
        <f>IF($B$8="SCS New",[7]Inclusions!L14,IF($B$8="SCS Old",[7]Inclusions!O14,IF($B$8="Non SCS",[7]Inclusions!R14,[7]Inclusions!$S14)))</f>
        <v>Yes</v>
      </c>
      <c r="M12" s="254" t="s">
        <v>145</v>
      </c>
      <c r="N12" s="253" t="s">
        <v>145</v>
      </c>
    </row>
    <row r="13" spans="1:24" ht="15.6">
      <c r="A13" s="343" t="s">
        <v>16279</v>
      </c>
      <c r="B13" s="350">
        <v>0.18</v>
      </c>
      <c r="C13"/>
      <c r="D13" s="1566"/>
      <c r="E13"/>
      <c r="F13" s="398" t="s">
        <v>16280</v>
      </c>
      <c r="G13" s="399">
        <f>G14*1.15</f>
        <v>548.4426666666667</v>
      </c>
      <c r="H13" s="400" t="s">
        <v>16253</v>
      </c>
      <c r="I13" s="162" t="s">
        <v>16245</v>
      </c>
      <c r="J13" s="253" t="str">
        <f>IF($B$8="SCS New",[7]Inclusions!J15,IF($B$8="SCS Old",[7]Inclusions!M15,IF($B$8="Non SCS",[7]Inclusions!P15,[7]Inclusions!$S15)))</f>
        <v>No</v>
      </c>
      <c r="K13" s="253" t="str">
        <f>IF($B$8="SCS New",[7]Inclusions!K15,IF($B$8="SCS Old",[7]Inclusions!N15,IF($B$8="Non SCS",[7]Inclusions!Q15,[7]Inclusions!$S15)))</f>
        <v>No</v>
      </c>
      <c r="L13" s="253" t="str">
        <f>IF($B$8="SCS New",[7]Inclusions!L15,IF($B$8="SCS Old",[7]Inclusions!O15,IF($B$8="Non SCS",[7]Inclusions!R15,[7]Inclusions!$S15)))</f>
        <v>No</v>
      </c>
      <c r="M13" s="254" t="s">
        <v>145</v>
      </c>
      <c r="N13" s="253" t="s">
        <v>143</v>
      </c>
    </row>
    <row r="14" spans="1:24" ht="15.6">
      <c r="A14" s="343" t="s">
        <v>16281</v>
      </c>
      <c r="B14" s="351">
        <v>0.13</v>
      </c>
      <c r="C14" t="s">
        <v>16282</v>
      </c>
      <c r="D14" s="1566"/>
      <c r="E14"/>
      <c r="F14" s="401" t="s">
        <v>16283</v>
      </c>
      <c r="G14" s="402">
        <f>G15*0.8</f>
        <v>476.90666666666669</v>
      </c>
      <c r="H14" s="400" t="s">
        <v>16253</v>
      </c>
      <c r="I14" t="s">
        <v>16256</v>
      </c>
      <c r="J14" s="253" t="str">
        <f>IF($B$8="SCS New",[7]Inclusions!J16,IF($B$8="SCS Old",[7]Inclusions!M16,IF($B$8="Non SCS",[7]Inclusions!P16,[7]Inclusions!$S16)))</f>
        <v>No</v>
      </c>
      <c r="K14" s="253" t="str">
        <f>IF($B$8="SCS New",[7]Inclusions!K16,IF($B$8="SCS Old",[7]Inclusions!N16,IF($B$8="Non SCS",[7]Inclusions!Q16,[7]Inclusions!$S16)))</f>
        <v>Yes</v>
      </c>
      <c r="L14" s="253" t="str">
        <f>IF($B$8="SCS New",[7]Inclusions!L16,IF($B$8="SCS Old",[7]Inclusions!O16,IF($B$8="Non SCS",[7]Inclusions!R16,[7]Inclusions!$S16)))</f>
        <v>No</v>
      </c>
      <c r="M14" s="254"/>
      <c r="N14" s="253" t="s">
        <v>143</v>
      </c>
    </row>
    <row r="15" spans="1:24" ht="15.6">
      <c r="A15" s="343" t="s">
        <v>16284</v>
      </c>
      <c r="B15" s="255">
        <v>1300</v>
      </c>
      <c r="C15" t="s">
        <v>16282</v>
      </c>
      <c r="D15" s="1566"/>
      <c r="E15" t="s">
        <v>16285</v>
      </c>
      <c r="F15" s="401" t="s">
        <v>16286</v>
      </c>
      <c r="G15" s="399">
        <f>IF(B12="Rural",200+IF(B18="Ground Mount",$B$35*B25,IF(B22&gt;250,B34*B25,B33*B25)),IF(B18="Ground Mount",$B$35*B25,IF(B22&gt;250,B34*B25,B33*B25)))</f>
        <v>596.13333333333333</v>
      </c>
      <c r="H15" s="400" t="s">
        <v>16253</v>
      </c>
      <c r="I15" t="s">
        <v>16256</v>
      </c>
      <c r="J15" s="253" t="str">
        <f>IF($B$8="SCS New",[7]Inclusions!J17,IF($B$8="SCS Old",[7]Inclusions!M17,IF($B$8="Non SCS",[7]Inclusions!P17,[7]Inclusions!$S17)))</f>
        <v>No</v>
      </c>
      <c r="K15" s="253" t="str">
        <f>IF($B$8="SCS New",[7]Inclusions!K17,IF($B$8="SCS Old",[7]Inclusions!N17,IF($B$8="Non SCS",[7]Inclusions!Q17,[7]Inclusions!$S17)))</f>
        <v>No</v>
      </c>
      <c r="L15" s="253" t="str">
        <f>IF($B$8="SCS New",[7]Inclusions!L17,IF($B$8="SCS Old",[7]Inclusions!O17,IF($B$8="Non SCS",[7]Inclusions!R17,[7]Inclusions!$S17)))</f>
        <v>Yes</v>
      </c>
      <c r="M15" s="254" t="s">
        <v>145</v>
      </c>
      <c r="N15" s="253" t="s">
        <v>143</v>
      </c>
    </row>
    <row r="16" spans="1:24" ht="15.6">
      <c r="A16" s="352" t="s">
        <v>16287</v>
      </c>
      <c r="B16" s="353" t="s">
        <v>16288</v>
      </c>
      <c r="C16"/>
      <c r="D16" s="1465" t="s">
        <v>16289</v>
      </c>
      <c r="E16" t="s">
        <v>16290</v>
      </c>
      <c r="F16" s="403" t="s">
        <v>16291</v>
      </c>
      <c r="G16" s="399">
        <f>IF(B12="Rural",1.3*B42*B43,B42*B43)</f>
        <v>170</v>
      </c>
      <c r="H16" s="400" t="s">
        <v>16274</v>
      </c>
      <c r="I16" t="s">
        <v>16256</v>
      </c>
      <c r="J16" s="253" t="str">
        <f>IF($B$8="SCS New",[7]Inclusions!J18,IF($B$8="SCS Old",[7]Inclusions!M18,IF($B$8="Non SCS",[7]Inclusions!P18,[7]Inclusions!$S18)))</f>
        <v>No</v>
      </c>
      <c r="K16" s="253" t="str">
        <f>IF($B$8="SCS New",[7]Inclusions!K18,IF($B$8="SCS Old",[7]Inclusions!N18,IF($B$8="Non SCS",[7]Inclusions!Q18,[7]Inclusions!$S18)))</f>
        <v>No</v>
      </c>
      <c r="L16" s="253" t="str">
        <f>IF($B$8="SCS New",[7]Inclusions!L18,IF($B$8="SCS Old",[7]Inclusions!O18,IF($B$8="Non SCS",[7]Inclusions!R18,[7]Inclusions!$S18)))</f>
        <v>Yes</v>
      </c>
      <c r="M16" s="254" t="s">
        <v>145</v>
      </c>
      <c r="N16" s="253" t="s">
        <v>143</v>
      </c>
    </row>
    <row r="17" spans="1:14" ht="18">
      <c r="A17" s="1567" t="s">
        <v>16292</v>
      </c>
      <c r="B17" s="1568"/>
      <c r="C17"/>
      <c r="D17" s="1465"/>
      <c r="E17" t="s">
        <v>16293</v>
      </c>
      <c r="F17" s="404" t="s">
        <v>16294</v>
      </c>
      <c r="G17" s="405">
        <f>B44</f>
        <v>151.03145306028574</v>
      </c>
      <c r="H17" s="400" t="s">
        <v>16274</v>
      </c>
      <c r="I17" s="406" t="s">
        <v>16256</v>
      </c>
      <c r="J17" s="253" t="str">
        <f>IF($B$8="SCS New",[7]Inclusions!J19,IF($B$8="SCS Old",[7]Inclusions!M19,IF($B$8="Non SCS",[7]Inclusions!P19,[7]Inclusions!$S19)))</f>
        <v>No</v>
      </c>
      <c r="K17" s="253" t="str">
        <f>IF($B$8="SCS New",[7]Inclusions!K19,IF($B$8="SCS Old",[7]Inclusions!N19,IF($B$8="Non SCS",[7]Inclusions!Q19,[7]Inclusions!$S19)))</f>
        <v>No</v>
      </c>
      <c r="L17" s="253" t="str">
        <f>IF($B$8="SCS New",[7]Inclusions!L19,IF($B$8="SCS Old",[7]Inclusions!O19,IF($B$8="Non SCS",[7]Inclusions!R19,[7]Inclusions!$S19)))</f>
        <v>Yes</v>
      </c>
      <c r="M17" s="407" t="s">
        <v>145</v>
      </c>
      <c r="N17" s="253" t="s">
        <v>143</v>
      </c>
    </row>
    <row r="18" spans="1:14" ht="18">
      <c r="A18" s="343" t="s">
        <v>16295</v>
      </c>
      <c r="B18" s="259" t="str">
        <f>IF(SOLAR!D41&lt;&gt;"Ground Mounted", "Roof Mount", "Ground Mount")</f>
        <v>Roof Mount</v>
      </c>
      <c r="C18"/>
      <c r="D18" s="1465"/>
      <c r="E18" t="s">
        <v>16296</v>
      </c>
      <c r="F18" s="398" t="s">
        <v>16297</v>
      </c>
      <c r="G18" s="399">
        <f>0.01*B9*B15*B13</f>
        <v>234</v>
      </c>
      <c r="H18" s="400" t="s">
        <v>16253</v>
      </c>
      <c r="I18" t="s">
        <v>16256</v>
      </c>
      <c r="J18" s="253" t="str">
        <f>IF($B$8="SCS New",[7]Inclusions!J20,IF($B$8="SCS Old",[7]Inclusions!M20,IF($B$8="Non SCS",[7]Inclusions!P20,[7]Inclusions!$S20)))</f>
        <v>No</v>
      </c>
      <c r="K18" s="253" t="str">
        <f>IF($B$8="SCS New",[7]Inclusions!K20,IF($B$8="SCS Old",[7]Inclusions!N20,IF($B$8="Non SCS",[7]Inclusions!Q20,[7]Inclusions!$S20)))</f>
        <v>No</v>
      </c>
      <c r="L18" s="253" t="str">
        <f>IF($B$8="SCS New",[7]Inclusions!L20,IF($B$8="SCS Old",[7]Inclusions!O20,IF($B$8="Non SCS",[7]Inclusions!R20,[7]Inclusions!$S20)))</f>
        <v>No</v>
      </c>
      <c r="M18" s="254" t="s">
        <v>143</v>
      </c>
      <c r="N18" s="253" t="s">
        <v>143</v>
      </c>
    </row>
    <row r="19" spans="1:14" ht="15.6">
      <c r="A19" s="343" t="s">
        <v>16298</v>
      </c>
      <c r="B19" s="255">
        <v>1</v>
      </c>
      <c r="C19"/>
      <c r="D19"/>
      <c r="E19"/>
      <c r="F19" s="398" t="s">
        <v>16299</v>
      </c>
      <c r="G19" s="399">
        <f>IF(B8="PPA",(0.05+B28-0.9)*B9*B14*B15*B48,(0.05+B28-0.9)*B9*B13*B15*B48)</f>
        <v>234.00000000000023</v>
      </c>
      <c r="H19" s="400" t="s">
        <v>16253</v>
      </c>
      <c r="I19" t="s">
        <v>16256</v>
      </c>
      <c r="J19" s="253" t="str">
        <f>IF($B$8="SCS New",[7]Inclusions!J21,IF($B$8="SCS Old",[7]Inclusions!M21,IF($B$8="Non SCS",[7]Inclusions!P21,[7]Inclusions!$S21)))</f>
        <v>No</v>
      </c>
      <c r="K19" s="253" t="str">
        <f>IF($B$8="SCS New",[7]Inclusions!K21,IF($B$8="SCS Old",[7]Inclusions!N21,IF($B$8="Non SCS",[7]Inclusions!Q21,[7]Inclusions!$S21)))</f>
        <v>Yes</v>
      </c>
      <c r="L19" s="253" t="str">
        <f>IF($B$8="SCS New",[7]Inclusions!L21,IF($B$8="SCS Old",[7]Inclusions!O21,IF($B$8="Non SCS",[7]Inclusions!R21,[7]Inclusions!$S21)))</f>
        <v>Yes</v>
      </c>
      <c r="M19" s="254" t="s">
        <v>145</v>
      </c>
      <c r="N19" s="253" t="s">
        <v>145</v>
      </c>
    </row>
    <row r="20" spans="1:14" ht="15.6">
      <c r="A20" s="343" t="s">
        <v>16300</v>
      </c>
      <c r="B20" s="255">
        <f>SOLAR!G59</f>
        <v>1</v>
      </c>
      <c r="C20"/>
      <c r="D20"/>
      <c r="E20"/>
      <c r="F20" s="398" t="s">
        <v>16301</v>
      </c>
      <c r="G20" s="399">
        <f>B26*B32</f>
        <v>0</v>
      </c>
      <c r="H20" s="400" t="s">
        <v>16253</v>
      </c>
      <c r="I20" t="s">
        <v>16256</v>
      </c>
      <c r="J20" s="253" t="str">
        <f>IF($B$8="SCS New",[7]Inclusions!J22,IF($B$8="SCS Old",[7]Inclusions!M22,IF($B$8="Non SCS",[7]Inclusions!P22,[7]Inclusions!$S22)))</f>
        <v>No</v>
      </c>
      <c r="K20" s="253" t="str">
        <f>IF($B$8="SCS New",[7]Inclusions!K22,IF($B$8="SCS Old",[7]Inclusions!N22,IF($B$8="Non SCS",[7]Inclusions!Q22,[7]Inclusions!$S22)))</f>
        <v>No</v>
      </c>
      <c r="L20" s="253" t="str">
        <f>IF($B$8="SCS New",[7]Inclusions!L22,IF($B$8="SCS Old",[7]Inclusions!O22,IF($B$8="Non SCS",[7]Inclusions!R22,[7]Inclusions!$S22)))</f>
        <v>No</v>
      </c>
      <c r="M20" s="254" t="s">
        <v>145</v>
      </c>
      <c r="N20" s="253" t="s">
        <v>143</v>
      </c>
    </row>
    <row r="21" spans="1:14" ht="15.6">
      <c r="A21" s="343" t="s">
        <v>539</v>
      </c>
      <c r="B21" s="255">
        <f>IF(SOLAR!G39&lt;&gt;"",SOLAR!G39,SOLAR!F39)</f>
        <v>1</v>
      </c>
      <c r="C21"/>
      <c r="D21"/>
      <c r="E21"/>
      <c r="F21" s="403" t="s">
        <v>16302</v>
      </c>
      <c r="G21" s="399">
        <v>1000</v>
      </c>
      <c r="H21" s="400" t="s">
        <v>16244</v>
      </c>
      <c r="I21" s="162" t="s">
        <v>16245</v>
      </c>
      <c r="J21" s="253" t="str">
        <f>IF($B$8="SCS New",[7]Inclusions!J23,IF($B$8="SCS Old",[7]Inclusions!M23,IF($B$8="Non SCS",[7]Inclusions!P23,[7]Inclusions!$S23)))</f>
        <v>Included in SCS Installation</v>
      </c>
      <c r="K21" s="253" t="str">
        <f>IF($B$8="SCS New",[7]Inclusions!K23,IF($B$8="SCS Old",[7]Inclusions!N23,IF($B$8="Non SCS",[7]Inclusions!Q23,[7]Inclusions!$S23)))</f>
        <v>Included in SCS Installation</v>
      </c>
      <c r="L21" s="253" t="str">
        <f>IF($B$8="SCS New",[7]Inclusions!L23,IF($B$8="SCS Old",[7]Inclusions!O23,IF($B$8="Non SCS",[7]Inclusions!R23,[7]Inclusions!$S23)))</f>
        <v>Included in SCS Installation</v>
      </c>
      <c r="M21" s="254"/>
      <c r="N21" s="253" t="s">
        <v>143</v>
      </c>
    </row>
    <row r="22" spans="1:14" ht="16.2" thickBot="1">
      <c r="A22" s="352" t="s">
        <v>16303</v>
      </c>
      <c r="B22" s="255">
        <f>VLOOKUP(SOLAR!E38,'2. PV Components'!D7:G872,4,FALSE)</f>
        <v>500</v>
      </c>
      <c r="C22" t="s">
        <v>16304</v>
      </c>
      <c r="D22"/>
      <c r="E22"/>
      <c r="F22" s="403" t="s">
        <v>16305</v>
      </c>
      <c r="G22" s="399">
        <v>100</v>
      </c>
      <c r="H22" s="400" t="s">
        <v>16244</v>
      </c>
      <c r="I22" t="s">
        <v>16256</v>
      </c>
      <c r="J22" s="253" t="str">
        <f>IF($B$8="SCS New",[7]Inclusions!J24,IF($B$8="SCS Old",[7]Inclusions!M24,IF($B$8="Non SCS",[7]Inclusions!P24,[7]Inclusions!$S24)))</f>
        <v>Included in SCS Installation</v>
      </c>
      <c r="K22" s="253" t="str">
        <f>IF($B$8="SCS New",[7]Inclusions!K24,IF($B$8="SCS Old",[7]Inclusions!N24,IF($B$8="Non SCS",[7]Inclusions!Q24,[7]Inclusions!$S24)))</f>
        <v>Included in SCS Installation</v>
      </c>
      <c r="L22" s="253" t="str">
        <f>IF($B$8="SCS New",[7]Inclusions!L24,IF($B$8="SCS Old",[7]Inclusions!O24,IF($B$8="Non SCS",[7]Inclusions!R24,[7]Inclusions!$S24)))</f>
        <v>Included in SCS Installation</v>
      </c>
      <c r="M22" s="262"/>
      <c r="N22" s="253" t="s">
        <v>143</v>
      </c>
    </row>
    <row r="23" spans="1:14" ht="16.2" thickBot="1">
      <c r="A23" s="343" t="s">
        <v>16306</v>
      </c>
      <c r="B23" s="255">
        <v>16</v>
      </c>
      <c r="C23"/>
      <c r="D23"/>
      <c r="E23"/>
      <c r="F23"/>
      <c r="G23"/>
      <c r="H23"/>
      <c r="I23"/>
      <c r="J23"/>
      <c r="K23"/>
      <c r="L23"/>
      <c r="M23"/>
      <c r="N23"/>
    </row>
    <row r="24" spans="1:14" ht="18">
      <c r="A24" s="352" t="s">
        <v>16307</v>
      </c>
      <c r="B24" s="255" t="s">
        <v>145</v>
      </c>
      <c r="C24"/>
      <c r="D24"/>
      <c r="E24"/>
      <c r="F24" s="408" t="s">
        <v>16308</v>
      </c>
      <c r="G24" s="409" t="s">
        <v>16309</v>
      </c>
      <c r="H24" s="409"/>
      <c r="I24" s="410" t="s">
        <v>16310</v>
      </c>
      <c r="J24" s="410" t="s">
        <v>16235</v>
      </c>
      <c r="K24" s="410" t="s">
        <v>16236</v>
      </c>
      <c r="L24" s="410" t="s">
        <v>16237</v>
      </c>
      <c r="M24" s="355" t="s">
        <v>16311</v>
      </c>
      <c r="N24" s="411" t="s">
        <v>16239</v>
      </c>
    </row>
    <row r="25" spans="1:14" ht="15.6">
      <c r="A25" s="352" t="s">
        <v>16312</v>
      </c>
      <c r="B25" s="255">
        <v>1</v>
      </c>
      <c r="C25" t="s">
        <v>16313</v>
      </c>
      <c r="D25"/>
      <c r="E25"/>
      <c r="F25" s="412">
        <v>1</v>
      </c>
      <c r="G25" s="241" t="s">
        <v>16314</v>
      </c>
      <c r="H25" s="241"/>
      <c r="I25" s="398">
        <f>B10</f>
        <v>2026</v>
      </c>
      <c r="J25" s="356">
        <f>SUMIFS($G2:$G22,$I2:$I22,"Initial",J$2:J$22,"Yes")*$F25</f>
        <v>0</v>
      </c>
      <c r="K25" s="356">
        <f>SUMIFS($G2:$G22,$I2:$I22,"Initial",K$2:K$22,"Yes")*$F25</f>
        <v>0</v>
      </c>
      <c r="L25" s="356">
        <f>SUMIFS($G2:$G22,$I2:$I22,"Initial",L$2:L$22,"Yes")*$F25</f>
        <v>0</v>
      </c>
      <c r="M25" s="356">
        <f>SUMIFS($G2:$G22,$I2:$I22,"Initial",M$2:M$22,"Yes")*$F25</f>
        <v>3905.9426666666668</v>
      </c>
      <c r="N25" s="357">
        <f>SUMIFS($G2:$G22,$I2:$I22,"Initial",N$2:N$22,"Yes")*$F25</f>
        <v>0</v>
      </c>
    </row>
    <row r="26" spans="1:14" ht="16.2" thickBot="1">
      <c r="A26" s="343" t="s">
        <v>16315</v>
      </c>
      <c r="B26" s="255">
        <v>0</v>
      </c>
      <c r="C26" s="413" t="s">
        <v>16316</v>
      </c>
      <c r="D26"/>
      <c r="E26"/>
      <c r="F26" s="412">
        <v>1</v>
      </c>
      <c r="G26" s="241" t="s">
        <v>16317</v>
      </c>
      <c r="H26" s="241"/>
      <c r="I26" s="398">
        <f>I25</f>
        <v>2026</v>
      </c>
      <c r="J26" s="414">
        <f>(SUMIFS($G2:$G22,$I2:$I22,"Yearly",J$2:J$22,"Yes")+SUMIFS($G2:$G22,$I2:$I22,"Yearly",J$2:J$22,"if required"))*$F26</f>
        <v>310</v>
      </c>
      <c r="K26" s="415">
        <f>(SUMIFS($G2:$G22,$I2:$I22,"Yearly",K$2:K$22,"Yes")+SUMIFS($G2:$G22,$I2:$I22,"Yearly",K$2:K$22,"if required"))*$F26</f>
        <v>1195.906666666667</v>
      </c>
      <c r="L26" s="414">
        <f>IF(size&gt;10,(SUMIFS($G2:$G22,$I2:$I22,"Yearly",L$2:L$22,"Yes")+SUMIFS($G2:$G22,$I2:$I22,"Yearly",L$2:L$22,"if required"))*$F26,500)</f>
        <v>1636.1647863936191</v>
      </c>
      <c r="M26" s="414">
        <f>(SUMIFS($G2:$G22,$I2:$I22,"Yearly",M$2:M$22,"Yes")+SUMIFS($G2:$G22,$I2:$I22,"Yearly",M$2:M$22,"if required"))*$F26</f>
        <v>1636.1647863936191</v>
      </c>
      <c r="N26" s="416">
        <f>(SUMIFS($G2:$G22,$I2:$I22,"Yearly",N$2:N$22,"Yes")+SUMIFS($G2:$G22,$I2:$I22,"Yearly",N$2:N$22,"if required"))*$F26</f>
        <v>719.00000000000023</v>
      </c>
    </row>
    <row r="27" spans="1:14" ht="18.600000000000001" thickBot="1">
      <c r="A27" s="343" t="s">
        <v>16318</v>
      </c>
      <c r="B27" s="255" t="s">
        <v>1335</v>
      </c>
      <c r="C27"/>
      <c r="D27"/>
      <c r="E27"/>
      <c r="F27" s="1569" t="s">
        <v>16319</v>
      </c>
      <c r="G27" s="1570"/>
      <c r="H27" s="417"/>
      <c r="I27" s="264">
        <f>IF(B9&lt;50,0.3,IF(B9&lt;100,0.4,0.5))</f>
        <v>0.5</v>
      </c>
      <c r="J27" s="359">
        <v>0.3</v>
      </c>
      <c r="K27" s="414"/>
      <c r="L27" s="414"/>
      <c r="M27" s="418"/>
      <c r="N27" s="414"/>
    </row>
    <row r="28" spans="1:14" ht="16.5" customHeight="1" thickBot="1">
      <c r="A28" s="360" t="s">
        <v>16320</v>
      </c>
      <c r="B28" s="261">
        <v>0.9</v>
      </c>
      <c r="C28"/>
      <c r="D28"/>
      <c r="E28"/>
      <c r="F28" s="1571" t="str">
        <f>"COST PRICE ("&amp;B11&amp;" YEARS)  [EX. GST]"</f>
        <v>COST PRICE (1 YEARS)  [EX. GST]</v>
      </c>
      <c r="G28" s="409" t="s">
        <v>16321</v>
      </c>
      <c r="H28" s="409"/>
      <c r="I28" s="419"/>
      <c r="J28" s="420">
        <f t="shared" ref="J28:N29" si="0">J25</f>
        <v>0</v>
      </c>
      <c r="K28" s="420">
        <f t="shared" si="0"/>
        <v>0</v>
      </c>
      <c r="L28" s="420">
        <f t="shared" si="0"/>
        <v>0</v>
      </c>
      <c r="M28" s="420">
        <f t="shared" si="0"/>
        <v>3905.9426666666668</v>
      </c>
      <c r="N28" s="421">
        <f t="shared" si="0"/>
        <v>0</v>
      </c>
    </row>
    <row r="29" spans="1:14" ht="15.75" customHeight="1">
      <c r="C29"/>
      <c r="D29"/>
      <c r="E29"/>
      <c r="F29" s="1572"/>
      <c r="G29" s="241" t="s">
        <v>16322</v>
      </c>
      <c r="H29" s="241"/>
      <c r="I29" s="398"/>
      <c r="J29" s="414">
        <f t="shared" si="0"/>
        <v>310</v>
      </c>
      <c r="K29" s="414">
        <f t="shared" si="0"/>
        <v>1195.906666666667</v>
      </c>
      <c r="L29" s="414">
        <f t="shared" si="0"/>
        <v>1636.1647863936191</v>
      </c>
      <c r="M29" s="414">
        <f t="shared" si="0"/>
        <v>1636.1647863936191</v>
      </c>
      <c r="N29" s="416">
        <f t="shared" si="0"/>
        <v>719.00000000000023</v>
      </c>
    </row>
    <row r="30" spans="1:14" ht="19.5" customHeight="1" thickBot="1">
      <c r="A30" s="1574" t="s">
        <v>16323</v>
      </c>
      <c r="B30" s="1574"/>
      <c r="C30"/>
      <c r="D30"/>
      <c r="E30"/>
      <c r="F30" s="1572"/>
      <c r="G30" s="422" t="s">
        <v>16324</v>
      </c>
      <c r="H30" s="422"/>
      <c r="I30" s="422"/>
      <c r="J30" s="423">
        <f>J28/$B$11+J29</f>
        <v>310</v>
      </c>
      <c r="K30" s="423">
        <f>K28/$B$11+K29</f>
        <v>1195.906666666667</v>
      </c>
      <c r="L30" s="423">
        <f>L28/$B$11+L29</f>
        <v>1636.1647863936191</v>
      </c>
      <c r="M30" s="423">
        <f>M28/$B$11+M29</f>
        <v>5542.1074530602855</v>
      </c>
      <c r="N30" s="424">
        <f>N28/$B$11+N29</f>
        <v>719.00000000000023</v>
      </c>
    </row>
    <row r="31" spans="1:14" ht="16.5" customHeight="1" thickTop="1" thickBot="1">
      <c r="A31" s="361" t="s">
        <v>16325</v>
      </c>
      <c r="B31" s="316">
        <f>IF(B8="PPA",B9*(B13-B14)*B15,B9*B14*B15)</f>
        <v>16900</v>
      </c>
      <c r="C31"/>
      <c r="D31"/>
      <c r="E31"/>
      <c r="F31" s="1573"/>
      <c r="G31" s="425" t="s">
        <v>16326</v>
      </c>
      <c r="H31" s="425"/>
      <c r="I31" s="425"/>
      <c r="J31" s="307">
        <f>J30/$B$31</f>
        <v>1.8343195266272188E-2</v>
      </c>
      <c r="K31" s="307">
        <f>K30/$B$31</f>
        <v>7.0763708086785032E-2</v>
      </c>
      <c r="L31" s="307">
        <f>L30/$B$31</f>
        <v>9.6814484401989295E-2</v>
      </c>
      <c r="M31" s="307">
        <f>M30/$B$31</f>
        <v>0.32793535225208792</v>
      </c>
      <c r="N31" s="305">
        <f>N30/$B$31</f>
        <v>4.2544378698224868E-2</v>
      </c>
    </row>
    <row r="32" spans="1:14" ht="24" thickBot="1">
      <c r="A32" s="361" t="s">
        <v>16327</v>
      </c>
      <c r="B32" s="316">
        <f>IF(B24="Yes",IF(B22&gt;250,150+2.2*B9/(B22/1000),150+2.2*B9/(250/1000)),IF(B22&gt;250,B49+150+2.2*B9/(B22/1000),B49+150+2.2*B9/(250/1000)))</f>
        <v>590</v>
      </c>
      <c r="C32"/>
      <c r="D32"/>
      <c r="E32"/>
      <c r="F32" s="1560" t="str">
        <f>"SCS PRICE (" &amp;B11&amp;" YEARS)  [EX. GST]"</f>
        <v>SCS PRICE (1 YEARS)  [EX. GST]</v>
      </c>
      <c r="G32" s="426" t="str">
        <f>B11&amp;" Year_Cost/Yr"</f>
        <v>1 Year_Cost/Yr</v>
      </c>
      <c r="H32" s="426"/>
      <c r="I32" s="427"/>
      <c r="J32" s="267">
        <f>IF($J$27&gt;0,ROUNDUP(J30*(1+$J$27),$B$58),ROUNDUP(J30*(1+$I$27),$B$58))</f>
        <v>410</v>
      </c>
      <c r="K32" s="267">
        <f>IF($J$27&gt;0,ROUNDUP(K30*(1+$J$27),$B$58),ROUNDUP(K30*(1+$I$27),$B$58))</f>
        <v>1560</v>
      </c>
      <c r="L32" s="267">
        <f>IF($J$27&gt;0,ROUNDUP(L30*(1+$J$27),$B$58),ROUNDUP(L30*(1+$I$27),$B$58))</f>
        <v>2130</v>
      </c>
      <c r="M32" s="267">
        <f>IF($J$27&gt;0,ROUNDUP(M30*(1+$J$27),0),ROUNDUP(M30*(1+$I$27),0))</f>
        <v>7205</v>
      </c>
      <c r="N32" s="362">
        <f>IF($J$27&gt;0,ROUNDUP(N30*(1+$J$27),$B$58),ROUNDUP(N30*(1+$I$27),$B$58))</f>
        <v>940</v>
      </c>
    </row>
    <row r="33" spans="1:20" ht="16.5" customHeight="1" thickTop="1" thickBot="1">
      <c r="A33" s="363" t="s">
        <v>16328</v>
      </c>
      <c r="B33" s="315">
        <f>IF(B24="Yes",IF(B42+B20*B45*0.5+B21*B45*0.33+B36*B45/12-B45/2+100*LOG($B$9)&gt;B9*40,"CHECK",B42+B20*B45*0.5+B21*B45*0.33+B36*B45/12+100*LOG($B$9))-B45/2,B49+IF(B42+B20*B45*0.5+B21*B45*0.33+B36*B45/12+100*LOG($B$9)-B45/2&gt;B9*40,"CHECK",B42+B20*B45*0.5+B21*B45*0.33+B36*B45/12-B45/2+100*LOG($B$9)))</f>
        <v>689.4666666666667</v>
      </c>
      <c r="C33" t="s">
        <v>16329</v>
      </c>
      <c r="D33"/>
      <c r="E33"/>
      <c r="F33" s="1561"/>
      <c r="G33" s="425" t="s">
        <v>16326</v>
      </c>
      <c r="H33" s="425"/>
      <c r="I33" s="425"/>
      <c r="J33" s="307">
        <f>J32/$B$31</f>
        <v>2.42603550295858E-2</v>
      </c>
      <c r="K33" s="307">
        <f>K32/$B$31</f>
        <v>9.2307692307692313E-2</v>
      </c>
      <c r="L33" s="307">
        <f>L32/$B$31</f>
        <v>0.12603550295857988</v>
      </c>
      <c r="M33" s="306">
        <f>M32/$B$31</f>
        <v>0.42633136094674556</v>
      </c>
      <c r="N33" s="305">
        <f>N32/$B$31</f>
        <v>5.562130177514793E-2</v>
      </c>
    </row>
    <row r="34" spans="1:20" ht="24" thickBot="1">
      <c r="A34" s="364" t="s">
        <v>16330</v>
      </c>
      <c r="B34" s="315">
        <f>IF(B24="Yes",IF(B$42+(B$20*B$45*0.5)+(B$21*B$45*0.33)+(B$38*B$45/12)-B45/2+100*LOG($B$9)&gt;B$9*40,"CHECK",B$42+(B$20*B$45*0.5)+(B$21*B$45*0.33)+(B$38*B$45/12)-B45/2+100*LOG($B$9)), B49+IF(B$42+(B$20*B$45*0.5)+(B$21*B$45*0.33)+(B$38*B$45/12)-B45/2+100*LOG($B$9)&gt;B$9*40,"CHECK",B$42+(B$20*B$45*0.5)+(B$21*B$45*0.33)+(B$38*B$45/12)-B45/2+100*LOG($B$9)))</f>
        <v>596.13333333333333</v>
      </c>
      <c r="C34" t="s">
        <v>16329</v>
      </c>
      <c r="D34"/>
      <c r="E34"/>
      <c r="F34" s="1561"/>
      <c r="G34" s="428" t="str">
        <f xml:space="preserve"> B11&amp; " Year_COST - Monthly"</f>
        <v>1 Year_COST - Monthly</v>
      </c>
      <c r="H34" s="428"/>
      <c r="I34" s="427"/>
      <c r="J34" s="270">
        <f>ROUNDUP(J32*(1+$I$35)/12,0)</f>
        <v>35</v>
      </c>
      <c r="K34" s="270">
        <f>ROUNDUP(K32*(1+$I$35)/12,0)</f>
        <v>130</v>
      </c>
      <c r="L34" s="270">
        <f>ROUNDUP(L32*(1+$I$35)/12,0)</f>
        <v>178</v>
      </c>
      <c r="M34" s="270">
        <f>ROUNDUP(M32*(1+$I$35)/12,0)</f>
        <v>601</v>
      </c>
      <c r="N34" s="365">
        <f>ROUNDUP(N32*(1+$I$35)/12,0)</f>
        <v>79</v>
      </c>
    </row>
    <row r="35" spans="1:20" ht="19.5" customHeight="1" thickTop="1" thickBot="1">
      <c r="A35" s="364" t="s">
        <v>16331</v>
      </c>
      <c r="B35" s="315">
        <f>B34*B47</f>
        <v>476.90666666666669</v>
      </c>
      <c r="C35" t="s">
        <v>16332</v>
      </c>
      <c r="D35"/>
      <c r="E35"/>
      <c r="F35" s="1561"/>
      <c r="G35" s="425" t="s">
        <v>16333</v>
      </c>
      <c r="H35" s="425"/>
      <c r="I35" s="271">
        <v>0</v>
      </c>
      <c r="J35" s="313">
        <f>J34*12/J32-1</f>
        <v>2.4390243902439046E-2</v>
      </c>
      <c r="K35" s="313">
        <f>K34*12/K32-1</f>
        <v>0</v>
      </c>
      <c r="L35" s="313">
        <f>L34*12/L32-1</f>
        <v>2.8169014084507005E-3</v>
      </c>
      <c r="M35" s="313">
        <f>M34*12/M32-1</f>
        <v>9.7154753643313718E-4</v>
      </c>
      <c r="N35" s="312">
        <f>N34*12/N32-1</f>
        <v>8.5106382978723527E-3</v>
      </c>
      <c r="R35" s="354"/>
      <c r="S35" s="354"/>
      <c r="T35" s="354"/>
    </row>
    <row r="36" spans="1:20" ht="21">
      <c r="A36" s="361" t="s">
        <v>16334</v>
      </c>
      <c r="B36" s="314">
        <f>ROUNDDOWN(B9/5,0)</f>
        <v>20</v>
      </c>
      <c r="C36"/>
      <c r="D36"/>
      <c r="E36"/>
      <c r="F36" s="1562" t="s">
        <v>16335</v>
      </c>
      <c r="G36" s="429" t="s">
        <v>16336</v>
      </c>
      <c r="H36"/>
      <c r="I36"/>
      <c r="J36" s="366">
        <f>IF($J$27&gt;0,ROUNDUP((1-$I$37)*(1+$J$27)*(J$28+J$29*((1+$B$51)^($B$11)-1)/$B$51),-1),ROUNDUP((1-$I$37)*(1+$I$27)*(J$28+J$29*((1+$B$51)^($B$11)-1)/$B$51),-1))</f>
        <v>410</v>
      </c>
      <c r="K36" s="366">
        <f>IF($J$27&gt;0,ROUNDUP((1-$I$37)*(1+$J$27)*(K$28+K$29*((1+$B$51)^($B$11)-1)/$B$51),-1),ROUNDUP((1-$I$37)*(1+$I$27)*(K$28+K$29*((1+$B$51)^($B$11)-1)/$B$51),-1))</f>
        <v>1560</v>
      </c>
      <c r="L36" s="366">
        <f>IF($J$27&gt;0,ROUNDUP((1-$I$37)*(1+$J$27)*(L$28+L$29*((1+$B$51)^($B$11)-1)/$B$51),-1),ROUNDUP((1-$I$37)*(1+$I$27)*(L$28+L$29*((1+$B$51)^($B$11)-1)/$B$51),-1))</f>
        <v>2130</v>
      </c>
      <c r="M36" s="366">
        <f>IF($J$27&gt;0,ROUNDUP((1-$I$37)*(1+$J$27)*(M$28+M$29*(1+(1+$B$51)^1+(1+$B$51)^2+(1+$B$51)^3+(1+$B$51)^4)),-1),ROUNDUP((1-$I$37)*(1+$I$27)*(M$28+M$29*(1+(1+$B$51)^1+(1+$B$51)^2+(1+$B$51)^3+(1+$B$51)^4)),-1))</f>
        <v>16150</v>
      </c>
      <c r="N36" s="366">
        <f>IF($J$27&gt;0,ROUNDUP((1-$I$37)*(1+$J$27)*(N$28+N$29*(1+(1+$B$51)^1+(1+$B$51)^2+(1+$B$51)^3+(1+$B$51)^4)),-1),ROUNDUP((1-$I$37)*(1+$I$27)*(N$28+N$29*(1+(1+$B$51)^1+(1+$B$51)^2+(1+$B$51)^3+(1+$B$51)^4)),-1))</f>
        <v>4870</v>
      </c>
      <c r="O36" s="358"/>
      <c r="R36" s="367"/>
      <c r="S36" s="367"/>
      <c r="T36" s="367"/>
    </row>
    <row r="37" spans="1:20" ht="18" customHeight="1" thickBot="1">
      <c r="A37" s="368" t="s">
        <v>16337</v>
      </c>
      <c r="B37" s="314">
        <f>B23*B22</f>
        <v>8000</v>
      </c>
      <c r="C37"/>
      <c r="D37"/>
      <c r="E37"/>
      <c r="F37" s="1562"/>
      <c r="G37" s="429" t="s">
        <v>764</v>
      </c>
      <c r="H37"/>
      <c r="I37" s="265">
        <v>0</v>
      </c>
      <c r="J37" s="369">
        <f>J36/(size*1000)</f>
        <v>4.1000000000000003E-3</v>
      </c>
      <c r="K37" s="369">
        <f>K36/(size*1000)</f>
        <v>1.5599999999999999E-2</v>
      </c>
      <c r="L37" s="369">
        <f>L36/(size*1000)</f>
        <v>2.1299999999999999E-2</v>
      </c>
      <c r="M37" s="369">
        <f>M36/(size*1000)</f>
        <v>0.1615</v>
      </c>
      <c r="N37" s="370">
        <f>N36/(size*1000)</f>
        <v>4.87E-2</v>
      </c>
      <c r="R37" s="371"/>
      <c r="S37" s="371"/>
      <c r="T37" s="371"/>
    </row>
    <row r="38" spans="1:20" ht="16.5" customHeight="1">
      <c r="A38" s="361" t="s">
        <v>16338</v>
      </c>
      <c r="B38" s="314">
        <f>ROUNDUP(B9/(B37/1000),0)</f>
        <v>13</v>
      </c>
      <c r="C38"/>
      <c r="D38"/>
      <c r="E38"/>
      <c r="F38" s="1563" t="s">
        <v>16339</v>
      </c>
      <c r="G38" s="410" t="s">
        <v>16340</v>
      </c>
      <c r="H38" s="410"/>
      <c r="I38" s="430">
        <v>1</v>
      </c>
      <c r="J38" s="273">
        <f>IF($J$27&gt;0,ROUNDUP((J$25/$I38+J$26)*(1+$J$27)*(1+$I39),$B$58),ROUNDUP((J$25/$I38+J$26)*(1+$I$27)*(1+$I39),$B$58))</f>
        <v>440</v>
      </c>
      <c r="K38" s="273">
        <f>IF($J$27&gt;0,ROUNDUP((K$25/$I38+K$26)*(1+$J$27)*(1+$I39),$B$58),ROUNDUP((K$25/$I38+K$26)*(1+$I$27)*(1+$I39),$B$58))</f>
        <v>1680</v>
      </c>
      <c r="L38" s="273">
        <f>IF($J$27&gt;0,ROUNDUP((L$25/$I38+L$26)*(1+$J$27)*(1+$I39),$B$58),ROUNDUP((L$25/$I38+L$26)*(1+$I$27)*(1+$I39),$B$58))</f>
        <v>2300</v>
      </c>
      <c r="M38" s="273">
        <f>IF($J$27&gt;0,ROUNDUP((M$25/$I38+M$26)*(1+$J$27)*(1+$I39),$B$58),ROUNDUP((M$25/$I38+M$26)*(1+$I$27)*(1+$I39),$B$58))</f>
        <v>7790</v>
      </c>
      <c r="N38" s="372">
        <f>IF($J$27&gt;0,ROUNDUP((N$25/$I38+N$26)*(1+$J$27)*(1+$I39),$B$58),ROUNDUP((N$25/$I38+N$26)*(1+$I$27)*(1+$I39),$B$58))</f>
        <v>1010</v>
      </c>
      <c r="R38" s="367"/>
      <c r="S38" s="367"/>
      <c r="T38" s="367"/>
    </row>
    <row r="39" spans="1:20" ht="21" customHeight="1" thickBot="1">
      <c r="A39" s="361" t="s">
        <v>16341</v>
      </c>
      <c r="B39" s="373">
        <f>B9*1000/B22</f>
        <v>200</v>
      </c>
      <c r="C39"/>
      <c r="D39"/>
      <c r="E39"/>
      <c r="F39" s="1559"/>
      <c r="G39" s="425" t="s">
        <v>16326</v>
      </c>
      <c r="H39" s="398"/>
      <c r="I39" s="265">
        <v>0.08</v>
      </c>
      <c r="J39" s="309">
        <f>J38/$B$31</f>
        <v>2.6035502958579881E-2</v>
      </c>
      <c r="K39" s="309">
        <f>K38/$B$31</f>
        <v>9.9408284023668636E-2</v>
      </c>
      <c r="L39" s="309">
        <f>L38/$B$31</f>
        <v>0.13609467455621302</v>
      </c>
      <c r="M39" s="309">
        <f>M38/$B$31</f>
        <v>0.46094674556213017</v>
      </c>
      <c r="N39" s="308">
        <f>N38/$B$31</f>
        <v>5.9763313609467454E-2</v>
      </c>
      <c r="R39" s="374"/>
      <c r="S39" s="374"/>
      <c r="T39" s="374"/>
    </row>
    <row r="40" spans="1:20" ht="18.75" customHeight="1" thickBot="1">
      <c r="C40"/>
      <c r="D40"/>
      <c r="E40"/>
      <c r="F40" s="1558" t="s">
        <v>16342</v>
      </c>
      <c r="G40" s="410" t="s">
        <v>16343</v>
      </c>
      <c r="H40" s="410"/>
      <c r="I40" s="430">
        <v>3</v>
      </c>
      <c r="J40" s="273">
        <f>IF($J$27&gt;0,ROUNDUP((J$25/$I40+J$26)*(1+$J$27)*(1+$I41),$B$58),ROUNDUP((J$25/$I40+J$26)*(1+$I$27)*(1+$I41),$B$58))</f>
        <v>430</v>
      </c>
      <c r="K40" s="273">
        <f>IF($J$27&gt;0,ROUNDUP((K$25/$I40+K$26)*(1+$J$27)*(1+$I41),$B$58),ROUNDUP((K$25/$I40+K$26)*(1+$I$27)*(1+$I41),$B$58))</f>
        <v>1640</v>
      </c>
      <c r="L40" s="273">
        <f>IF($J$27&gt;0,ROUNDUP((L$25/$I40+L$26)*(1+$J$27)*(1+$I41),$B$58),ROUNDUP((L$25/$I40+L$26)*(1+$I$27)*(1+$I41),$B$58))</f>
        <v>2240</v>
      </c>
      <c r="M40" s="273">
        <f>IF($J$27&gt;0,ROUNDUP((M$25/$I40+M$26)*(1+$J$27)*(1+$I41),$B$58),ROUNDUP((M$25/$I40+M$26)*(1+$I$27)*(1+$I41),$B$58))</f>
        <v>4020</v>
      </c>
      <c r="N40" s="372">
        <f>IF($J$27&gt;0,ROUNDUP((N$25/$I40+N$26)*(1+$J$27)*(1+$I41),$B$58),ROUNDUP((N$25/$I40+N$26)*(1+$I$27)*(1+$I41),$B$58))</f>
        <v>990</v>
      </c>
    </row>
    <row r="41" spans="1:20" ht="15.75" customHeight="1" thickBot="1">
      <c r="A41" s="1564" t="s">
        <v>16344</v>
      </c>
      <c r="B41" s="1565"/>
      <c r="C41"/>
      <c r="D41"/>
      <c r="E41"/>
      <c r="F41" s="1559"/>
      <c r="G41" s="425" t="s">
        <v>16345</v>
      </c>
      <c r="H41" s="398"/>
      <c r="I41" s="265">
        <v>0.05</v>
      </c>
      <c r="J41" s="309">
        <f>J40/$B$31</f>
        <v>2.5443786982248522E-2</v>
      </c>
      <c r="K41" s="309">
        <f>K40/$B$31</f>
        <v>9.70414201183432E-2</v>
      </c>
      <c r="L41" s="309">
        <f>L40/$B$31</f>
        <v>0.13254437869822486</v>
      </c>
      <c r="M41" s="309">
        <f>M40/$B$31</f>
        <v>0.23786982248520711</v>
      </c>
      <c r="N41" s="308">
        <f>N40/$B$31</f>
        <v>5.8579881656804736E-2</v>
      </c>
    </row>
    <row r="42" spans="1:20" ht="18.75" customHeight="1">
      <c r="A42" s="375" t="s">
        <v>16346</v>
      </c>
      <c r="B42" s="311">
        <v>170</v>
      </c>
      <c r="C42" t="s">
        <v>16347</v>
      </c>
      <c r="D42"/>
      <c r="E42"/>
      <c r="F42" s="1558" t="s">
        <v>16348</v>
      </c>
      <c r="G42" s="410" t="s">
        <v>16349</v>
      </c>
      <c r="H42" s="410"/>
      <c r="I42" s="430">
        <v>5</v>
      </c>
      <c r="J42" s="273">
        <f>IF($J$27&gt;0,ROUNDUP((J$25/$I42+J$26)*(1+$J$27),$B$58),ROUNDUP((J$25/$I42+J$26)*(1+$I$27),$B$58))</f>
        <v>410</v>
      </c>
      <c r="K42" s="273">
        <f>IF($J$27&gt;0,ROUNDUP((K$25/$I42+K$26)*(1+$J$27),$B$58),ROUNDUP((K$25/$I42+K$26)*(1+$I$27),$B$58))</f>
        <v>1560</v>
      </c>
      <c r="L42" s="273">
        <f>IF($J$27&gt;0,ROUNDUP((L$25/$I42+L$26)*(1+$J$27),$B$58),ROUNDUP((L$25/$I42+L$26)*(1+$I$27),$B$58))</f>
        <v>2130</v>
      </c>
      <c r="M42" s="273">
        <f>IF($J$27&gt;0,ROUNDUP((M$25/$I42+M$26)*(1+$J$27),$B$58),ROUNDUP((M$25/$I42+M$26)*(1+$I$27),$B$58))</f>
        <v>3150</v>
      </c>
      <c r="N42" s="372">
        <f>IF($J$27&gt;0,ROUNDUP((N$25/$I42+N$26)*(1+$J$27),$B$58),ROUNDUP((N$25/$I42+N$26)*(1+$I$27),$B$58))</f>
        <v>940</v>
      </c>
    </row>
    <row r="43" spans="1:20" ht="16.5" customHeight="1" thickBot="1">
      <c r="A43" s="376" t="s">
        <v>16350</v>
      </c>
      <c r="B43" s="310">
        <f>C43</f>
        <v>1</v>
      </c>
      <c r="C43">
        <f>IF(size&lt;40,0.5,IF(size&lt;101,1,IF(size&lt;250,2,IF(size&lt;501,3,IF(size&lt;1001,4,5)))))</f>
        <v>1</v>
      </c>
      <c r="D43"/>
      <c r="E43"/>
      <c r="F43" s="1559"/>
      <c r="G43" s="431" t="s">
        <v>16345</v>
      </c>
      <c r="H43" s="431"/>
      <c r="I43" s="432"/>
      <c r="J43" s="309">
        <f>J42/$B$31</f>
        <v>2.42603550295858E-2</v>
      </c>
      <c r="K43" s="309">
        <f>K42/$B$31</f>
        <v>9.2307692307692313E-2</v>
      </c>
      <c r="L43" s="309">
        <f>L42/$B$31</f>
        <v>0.12603550295857988</v>
      </c>
      <c r="M43" s="309">
        <f>M42/$B$31</f>
        <v>0.18639053254437871</v>
      </c>
      <c r="N43" s="308">
        <f>N42/$B$31</f>
        <v>5.562130177514793E-2</v>
      </c>
    </row>
    <row r="44" spans="1:20" ht="16.5" customHeight="1" thickBot="1">
      <c r="A44" s="376" t="s">
        <v>16351</v>
      </c>
      <c r="B44" s="263">
        <f>C44</f>
        <v>151.03145306028574</v>
      </c>
      <c r="C44">
        <f>0.75*size*EXP(0.7)</f>
        <v>151.03145306028574</v>
      </c>
      <c r="D44"/>
      <c r="E44"/>
      <c r="F44" s="1558" t="s">
        <v>16352</v>
      </c>
      <c r="G44" s="426" t="s">
        <v>16353</v>
      </c>
      <c r="H44" s="426"/>
      <c r="I44" s="433">
        <v>10</v>
      </c>
      <c r="J44" s="273">
        <f>IF($J$27&gt;0,ROUNDUP((J$25/$I44+J$26)*(1+$J$27)*(1+$I$45),$B$58),ROUNDUP((J$25/$I44+J$26)*(1+$I$27)*(1+$I$45),$B$58))</f>
        <v>390</v>
      </c>
      <c r="K44" s="273">
        <f>IF($J$27&gt;0,ROUNDUP((K$25/$I44+K$26)*(1+$J$27)*(1+$I$45),$B$58),ROUNDUP((K$25/$I44+K$26)*(1+$I$27)*(1+$I$45),$B$58))</f>
        <v>1480</v>
      </c>
      <c r="L44" s="273">
        <f>IF($J$27&gt;0,ROUNDUP((L$25/$I44+L$26)*(1+$J$27)*(1+$I$45),$B$58),ROUNDUP((L$25/$I44+L$26)*(1+$I$27)*(1+$I$45),$B$58))</f>
        <v>2030</v>
      </c>
      <c r="M44" s="273">
        <f>IF($J$27&gt;0,ROUNDUP((M$25/$I44+M$26)*(1+$J$27)*(1+$I$45),$B$58),ROUNDUP((M$25/$I44+M$26)*(1+$I$27)*(1+$I$45),$B$58))</f>
        <v>2510</v>
      </c>
      <c r="N44" s="273">
        <f>IF($J$27&gt;0,ROUNDUP((N$25/$I44+N$26)*(1+$J$27)*(1+$I$45),$B$58),ROUNDUP((N$25/$I44+N$26)*(1+$I$27)*(1+$I$45),$B$58))</f>
        <v>890</v>
      </c>
      <c r="Q44" s="377"/>
      <c r="R44" s="377"/>
      <c r="S44" s="377"/>
      <c r="T44" s="377"/>
    </row>
    <row r="45" spans="1:20" ht="16.5" customHeight="1" thickTop="1" thickBot="1">
      <c r="A45" s="375" t="s">
        <v>16354</v>
      </c>
      <c r="B45" s="297">
        <v>160</v>
      </c>
      <c r="C45" t="s">
        <v>16355</v>
      </c>
      <c r="D45"/>
      <c r="E45"/>
      <c r="F45" s="1559"/>
      <c r="G45" s="425" t="s">
        <v>16326</v>
      </c>
      <c r="H45" s="425"/>
      <c r="I45" s="265">
        <v>-0.05</v>
      </c>
      <c r="J45" s="307">
        <f>J44/$B$31</f>
        <v>2.3076923076923078E-2</v>
      </c>
      <c r="K45" s="307">
        <f>K44/$B$31</f>
        <v>8.7573964497041426E-2</v>
      </c>
      <c r="L45" s="307">
        <f>L44/$B$31</f>
        <v>0.12011834319526628</v>
      </c>
      <c r="M45" s="306">
        <f>M44/$B$31</f>
        <v>0.14852071005917158</v>
      </c>
      <c r="N45" s="305">
        <f>N44/$B$31</f>
        <v>5.2662721893491124E-2</v>
      </c>
      <c r="Q45" s="298"/>
      <c r="R45" s="298"/>
      <c r="S45" s="298"/>
      <c r="T45" s="298"/>
    </row>
    <row r="46" spans="1:20" ht="21" customHeight="1">
      <c r="A46" s="375" t="s">
        <v>16356</v>
      </c>
      <c r="B46" s="297">
        <v>35</v>
      </c>
      <c r="C46" t="s">
        <v>16355</v>
      </c>
      <c r="D46"/>
      <c r="E46"/>
      <c r="F46" s="434"/>
      <c r="G46" s="398"/>
      <c r="H46" s="398"/>
      <c r="I46" s="398"/>
      <c r="J46" s="303"/>
      <c r="K46" s="303"/>
      <c r="L46" s="303"/>
      <c r="M46" s="304"/>
      <c r="N46" s="303"/>
    </row>
    <row r="47" spans="1:20" ht="16.5" customHeight="1" thickBot="1">
      <c r="A47" s="375" t="s">
        <v>16357</v>
      </c>
      <c r="B47" s="265">
        <v>0.8</v>
      </c>
      <c r="C47"/>
      <c r="D47"/>
      <c r="E47"/>
      <c r="F47"/>
      <c r="G47" s="398" t="s">
        <v>16358</v>
      </c>
      <c r="H47" s="398"/>
      <c r="I47" t="str">
        <f>B11&amp;" Years"</f>
        <v>1 Years</v>
      </c>
      <c r="J47" t="s">
        <v>16359</v>
      </c>
      <c r="K47" t="s">
        <v>16360</v>
      </c>
      <c r="L47" t="s">
        <v>16361</v>
      </c>
      <c r="M47" t="s">
        <v>16362</v>
      </c>
      <c r="N47" t="s">
        <v>16363</v>
      </c>
      <c r="Q47" s="298"/>
      <c r="R47" s="298"/>
      <c r="S47" s="298"/>
      <c r="T47" s="298"/>
    </row>
    <row r="48" spans="1:20" ht="18">
      <c r="A48" s="375" t="s">
        <v>16364</v>
      </c>
      <c r="B48" s="302">
        <v>0.2</v>
      </c>
      <c r="C48"/>
      <c r="D48"/>
      <c r="E48"/>
      <c r="F48"/>
      <c r="G48" t="s">
        <v>16235</v>
      </c>
      <c r="H48"/>
      <c r="I48" s="291">
        <f>ROUNDUP(J$32,-1)</f>
        <v>410</v>
      </c>
      <c r="J48" s="301">
        <f>J38</f>
        <v>440</v>
      </c>
      <c r="K48" s="300">
        <f>J40</f>
        <v>430</v>
      </c>
      <c r="L48" s="299">
        <f>J42</f>
        <v>410</v>
      </c>
      <c r="M48" s="291">
        <f>J32</f>
        <v>410</v>
      </c>
      <c r="N48" s="290">
        <f>J44</f>
        <v>390</v>
      </c>
    </row>
    <row r="49" spans="1:20" ht="16.5" customHeight="1">
      <c r="A49" s="343" t="s">
        <v>16365</v>
      </c>
      <c r="B49" s="263">
        <v>300</v>
      </c>
      <c r="C49"/>
      <c r="D49"/>
      <c r="E49"/>
      <c r="F49"/>
      <c r="G49" t="s">
        <v>16236</v>
      </c>
      <c r="H49"/>
      <c r="I49" s="291">
        <f>ROUNDUP(K$32,-1)</f>
        <v>1560</v>
      </c>
      <c r="J49" s="296">
        <f>K38</f>
        <v>1680</v>
      </c>
      <c r="K49" s="290">
        <f>K40</f>
        <v>1640</v>
      </c>
      <c r="L49" s="295">
        <f>K42</f>
        <v>1560</v>
      </c>
      <c r="M49" s="291">
        <f>K32</f>
        <v>1560</v>
      </c>
      <c r="N49" s="290">
        <f>K44</f>
        <v>1480</v>
      </c>
      <c r="Q49" s="377"/>
      <c r="R49" s="377"/>
      <c r="S49" s="377"/>
      <c r="T49" s="377"/>
    </row>
    <row r="50" spans="1:20" ht="16.2" thickBot="1">
      <c r="A50" s="375" t="s">
        <v>390</v>
      </c>
      <c r="B50" s="297">
        <v>1000</v>
      </c>
      <c r="C50"/>
      <c r="D50"/>
      <c r="E50"/>
      <c r="F50"/>
      <c r="G50" t="s">
        <v>16237</v>
      </c>
      <c r="H50"/>
      <c r="I50" s="291">
        <f>ROUNDUP(L$32,-1)</f>
        <v>2130</v>
      </c>
      <c r="J50" s="294">
        <f>L38</f>
        <v>2300</v>
      </c>
      <c r="K50" s="293">
        <f>L40</f>
        <v>2240</v>
      </c>
      <c r="L50" s="292">
        <f>L42</f>
        <v>2130</v>
      </c>
      <c r="M50" s="291">
        <f>L32</f>
        <v>2130</v>
      </c>
      <c r="N50" s="290">
        <f>L44</f>
        <v>2030</v>
      </c>
      <c r="Q50" s="377"/>
      <c r="R50" s="377"/>
      <c r="S50" s="377"/>
      <c r="T50" s="377"/>
    </row>
    <row r="51" spans="1:20" ht="23.25" customHeight="1">
      <c r="A51" s="378" t="s">
        <v>16366</v>
      </c>
      <c r="B51" s="266">
        <v>0.02</v>
      </c>
      <c r="C51"/>
      <c r="D51"/>
      <c r="E51"/>
      <c r="F51"/>
      <c r="G51" t="s">
        <v>16239</v>
      </c>
      <c r="H51"/>
      <c r="I51" s="291">
        <f>ROUNDUP(N$32,-1)</f>
        <v>940</v>
      </c>
      <c r="J51" s="290">
        <f>N38</f>
        <v>1010</v>
      </c>
      <c r="K51" s="290">
        <f>N40</f>
        <v>990</v>
      </c>
      <c r="L51" s="290">
        <f>N42</f>
        <v>940</v>
      </c>
      <c r="M51" s="291">
        <f>N32</f>
        <v>940</v>
      </c>
      <c r="N51" s="290">
        <f>N44</f>
        <v>890</v>
      </c>
    </row>
    <row r="52" spans="1:20" ht="23.25" customHeight="1">
      <c r="A52" s="343" t="s">
        <v>16367</v>
      </c>
      <c r="B52" s="268">
        <f>2.5*LOG(B9)+size/100</f>
        <v>6</v>
      </c>
      <c r="C52" t="s">
        <v>16368</v>
      </c>
      <c r="D52"/>
      <c r="E52"/>
      <c r="F52"/>
      <c r="G52"/>
      <c r="H52"/>
      <c r="I52"/>
      <c r="J52"/>
      <c r="K52"/>
      <c r="L52"/>
      <c r="M52"/>
      <c r="N52"/>
    </row>
    <row r="53" spans="1:20" ht="16.2" thickBot="1">
      <c r="A53" s="379" t="s">
        <v>16255</v>
      </c>
      <c r="B53" s="269">
        <v>0.8</v>
      </c>
      <c r="C53"/>
      <c r="D53"/>
      <c r="E53"/>
      <c r="F53"/>
      <c r="G53" t="s">
        <v>16369</v>
      </c>
      <c r="H53"/>
      <c r="I53"/>
      <c r="J53"/>
      <c r="K53" t="s">
        <v>16370</v>
      </c>
      <c r="L53"/>
      <c r="M53"/>
      <c r="N53"/>
    </row>
    <row r="54" spans="1:20" ht="15.6">
      <c r="A54" s="379" t="s">
        <v>16371</v>
      </c>
      <c r="B54" s="269">
        <v>0.2</v>
      </c>
      <c r="C54"/>
      <c r="D54"/>
      <c r="E54"/>
      <c r="F54"/>
      <c r="G54"/>
      <c r="H54"/>
      <c r="I54" s="435" t="str">
        <f>B11&amp;" Year"</f>
        <v>1 Year</v>
      </c>
      <c r="J54" s="430" t="str">
        <f>Table331[[#Headers],[Basic]]</f>
        <v>Basic</v>
      </c>
      <c r="K54" s="430" t="str">
        <f>Table331[[#Headers],[Comfort]]</f>
        <v>Comfort</v>
      </c>
      <c r="L54" s="430" t="str">
        <f>Table331[[#Headers],[Comprehensive]]</f>
        <v>Comprehensive</v>
      </c>
      <c r="M54" s="430" t="str">
        <f>Table331[[#Headers],[Full Service Package]]</f>
        <v>Full Service Package</v>
      </c>
      <c r="N54" s="436" t="str">
        <f>Table331[[#Headers],[Custom]]</f>
        <v>Custom</v>
      </c>
    </row>
    <row r="55" spans="1:20" ht="16.5" customHeight="1">
      <c r="A55" s="343" t="s">
        <v>16372</v>
      </c>
      <c r="B55" s="272">
        <f>2*LOG(B9)+size/100</f>
        <v>5</v>
      </c>
      <c r="C55" t="s">
        <v>16373</v>
      </c>
      <c r="D55"/>
      <c r="E55"/>
      <c r="F55"/>
      <c r="G55"/>
      <c r="H55"/>
      <c r="I55" s="253" t="s">
        <v>16374</v>
      </c>
      <c r="J55" s="437">
        <f>ROUNDUP(J$32,-1)</f>
        <v>410</v>
      </c>
      <c r="K55" s="437">
        <f>ROUNDUP(K$32,-1)</f>
        <v>1560</v>
      </c>
      <c r="L55" s="437">
        <f>ROUNDUP(L$32,-1)</f>
        <v>2130</v>
      </c>
      <c r="M55" s="437">
        <f>ROUNDUP(M$32,-1)</f>
        <v>7210</v>
      </c>
      <c r="N55" s="437">
        <f>ROUNDUP(N$32,-1)</f>
        <v>940</v>
      </c>
    </row>
    <row r="56" spans="1:20" ht="23.25" customHeight="1" thickBot="1">
      <c r="A56" s="380" t="s">
        <v>16278</v>
      </c>
      <c r="B56" s="274">
        <v>0.1</v>
      </c>
      <c r="C56"/>
      <c r="D56"/>
      <c r="E56"/>
      <c r="F56"/>
      <c r="G56"/>
      <c r="H56"/>
      <c r="I56" s="253" t="s">
        <v>16375</v>
      </c>
      <c r="J56" s="437">
        <f>J34</f>
        <v>35</v>
      </c>
      <c r="K56" s="437">
        <f>K34</f>
        <v>130</v>
      </c>
      <c r="L56" s="437">
        <f>L34</f>
        <v>178</v>
      </c>
      <c r="M56" s="437">
        <f>M34</f>
        <v>601</v>
      </c>
      <c r="N56" s="438">
        <f>N34</f>
        <v>79</v>
      </c>
    </row>
    <row r="57" spans="1:20" ht="15.75" customHeight="1">
      <c r="C57"/>
      <c r="D57"/>
      <c r="E57"/>
      <c r="F57"/>
      <c r="G57"/>
      <c r="H57"/>
      <c r="I57" s="253"/>
      <c r="J57"/>
      <c r="K57"/>
      <c r="L57"/>
      <c r="M57"/>
      <c r="N57" s="254"/>
    </row>
    <row r="58" spans="1:20" ht="15.75" customHeight="1">
      <c r="A58" s="381" t="s">
        <v>16376</v>
      </c>
      <c r="B58" s="381">
        <v>-1</v>
      </c>
      <c r="C58"/>
      <c r="D58"/>
      <c r="E58"/>
      <c r="F58"/>
      <c r="G58"/>
      <c r="H58"/>
      <c r="I58" s="332" t="s">
        <v>16359</v>
      </c>
      <c r="J58" t="str">
        <f>Table331[[#Headers],[Basic]]</f>
        <v>Basic</v>
      </c>
      <c r="K58" t="str">
        <f>Table331[[#Headers],[Comfort]]</f>
        <v>Comfort</v>
      </c>
      <c r="L58" t="str">
        <f>Table331[[#Headers],[Comprehensive]]</f>
        <v>Comprehensive</v>
      </c>
      <c r="M58" t="str">
        <f>Table331[[#Headers],[Full Service Package]]</f>
        <v>Full Service Package</v>
      </c>
      <c r="N58" s="254" t="str">
        <f>Table331[[#Headers],[Custom]]</f>
        <v>Custom</v>
      </c>
    </row>
    <row r="59" spans="1:20" ht="23.25" customHeight="1">
      <c r="C59"/>
      <c r="D59"/>
      <c r="E59"/>
      <c r="F59"/>
      <c r="G59"/>
      <c r="H59"/>
      <c r="I59" s="253" t="s">
        <v>16374</v>
      </c>
      <c r="J59" s="437">
        <f>ROUNDUP(J$38,-1)</f>
        <v>440</v>
      </c>
      <c r="K59" s="437">
        <f>ROUNDUP(K$38,-1)</f>
        <v>1680</v>
      </c>
      <c r="L59" s="437">
        <f>ROUNDUP(L$38,-1)</f>
        <v>2300</v>
      </c>
      <c r="M59" s="437">
        <f>ROUNDUP(M$38,-1)</f>
        <v>7790</v>
      </c>
      <c r="N59" s="437">
        <f>ROUNDUP(N$38,-1)</f>
        <v>1010</v>
      </c>
    </row>
    <row r="60" spans="1:20" ht="16.5" customHeight="1">
      <c r="C60"/>
      <c r="D60"/>
      <c r="E60"/>
      <c r="F60"/>
      <c r="G60"/>
      <c r="H60"/>
      <c r="I60" s="253" t="s">
        <v>16375</v>
      </c>
      <c r="J60" s="437">
        <f>J59*(1+$I$35)/12</f>
        <v>36.666666666666664</v>
      </c>
      <c r="K60" s="437">
        <f>K59*(1+$I$35)/12</f>
        <v>140</v>
      </c>
      <c r="L60" s="437">
        <f>L59*(1+$I$35)/12</f>
        <v>191.66666666666666</v>
      </c>
      <c r="M60" s="437">
        <f>M59*(1+$I$35)/12</f>
        <v>649.16666666666663</v>
      </c>
      <c r="N60" s="438">
        <f>N59*(1+$I$35)/12</f>
        <v>84.166666666666671</v>
      </c>
      <c r="Q60" s="377"/>
      <c r="R60" s="377"/>
      <c r="S60" s="377"/>
      <c r="T60" s="377"/>
    </row>
    <row r="61" spans="1:20" ht="15.6">
      <c r="A61" s="382" t="s">
        <v>16377</v>
      </c>
      <c r="B61" s="339" t="s">
        <v>16378</v>
      </c>
      <c r="C61" t="s">
        <v>16379</v>
      </c>
      <c r="D61"/>
      <c r="E61"/>
      <c r="F61"/>
      <c r="G61"/>
      <c r="H61"/>
      <c r="I61" s="253"/>
      <c r="J61"/>
      <c r="K61"/>
      <c r="L61"/>
      <c r="M61"/>
      <c r="N61" s="254"/>
      <c r="Q61" s="383"/>
      <c r="R61" s="384"/>
      <c r="S61" s="385"/>
      <c r="T61" s="367"/>
    </row>
    <row r="62" spans="1:20" ht="15.6">
      <c r="A62" s="339">
        <v>500</v>
      </c>
      <c r="B62" s="339">
        <v>7780</v>
      </c>
      <c r="C62">
        <v>11000</v>
      </c>
      <c r="D62"/>
      <c r="E62"/>
      <c r="F62"/>
      <c r="G62"/>
      <c r="H62"/>
      <c r="I62" s="332" t="s">
        <v>16360</v>
      </c>
      <c r="J62" t="str">
        <f>Table331[[#Headers],[Basic]]</f>
        <v>Basic</v>
      </c>
      <c r="K62" t="str">
        <f>Table331[[#Headers],[Comfort]]</f>
        <v>Comfort</v>
      </c>
      <c r="L62" t="str">
        <f>Table331[[#Headers],[Comprehensive]]</f>
        <v>Comprehensive</v>
      </c>
      <c r="M62" t="str">
        <f>Table331[[#Headers],[Full Service Package]]</f>
        <v>Full Service Package</v>
      </c>
      <c r="N62" s="254" t="str">
        <f>Table331[[#Headers],[Custom]]</f>
        <v>Custom</v>
      </c>
      <c r="Q62" s="386"/>
      <c r="R62" s="367"/>
      <c r="S62" s="387"/>
      <c r="T62" s="367"/>
    </row>
    <row r="63" spans="1:20" ht="15.6">
      <c r="A63" s="339">
        <v>1000</v>
      </c>
      <c r="B63" s="339">
        <v>15000</v>
      </c>
      <c r="C63">
        <v>20000</v>
      </c>
      <c r="D63"/>
      <c r="E63"/>
      <c r="F63"/>
      <c r="G63"/>
      <c r="H63"/>
      <c r="I63" s="253" t="s">
        <v>16374</v>
      </c>
      <c r="J63" s="437">
        <f>ROUNDUP(J$40,-1)</f>
        <v>430</v>
      </c>
      <c r="K63" s="437">
        <f>ROUNDUP(K$40,-1)</f>
        <v>1640</v>
      </c>
      <c r="L63" s="437">
        <f>ROUNDUP(L$40,-1)</f>
        <v>2240</v>
      </c>
      <c r="M63" s="437">
        <f>ROUNDUP(M$40,-1)</f>
        <v>4020</v>
      </c>
      <c r="N63" s="437">
        <f>ROUNDUP(N$40,-1)</f>
        <v>990</v>
      </c>
      <c r="Q63" s="388"/>
      <c r="R63" s="389"/>
      <c r="S63" s="390"/>
      <c r="T63" s="367"/>
    </row>
    <row r="64" spans="1:20" ht="15.6">
      <c r="C64"/>
      <c r="D64"/>
      <c r="E64"/>
      <c r="F64"/>
      <c r="G64"/>
      <c r="H64"/>
      <c r="I64" s="253" t="s">
        <v>16375</v>
      </c>
      <c r="J64" s="437">
        <f>J63*(1+$I$35)/12</f>
        <v>35.833333333333336</v>
      </c>
      <c r="K64" s="437">
        <f>K63*(1+$I$35)/12</f>
        <v>136.66666666666666</v>
      </c>
      <c r="L64" s="437">
        <f>L63*(1+$I$35)/12</f>
        <v>186.66666666666666</v>
      </c>
      <c r="M64" s="437">
        <f>M63*(1+$I$35)/12</f>
        <v>335</v>
      </c>
      <c r="N64" s="438">
        <f>N63*(1+$I$35)/12</f>
        <v>82.5</v>
      </c>
      <c r="Q64" s="367"/>
      <c r="R64" s="367"/>
      <c r="S64" s="367"/>
      <c r="T64" s="367"/>
    </row>
    <row r="65" spans="1:19" ht="15.6">
      <c r="A65" s="382" t="s">
        <v>16380</v>
      </c>
      <c r="B65" s="339" t="s">
        <v>16378</v>
      </c>
      <c r="C65" t="s">
        <v>16381</v>
      </c>
      <c r="D65"/>
      <c r="E65"/>
      <c r="F65"/>
      <c r="G65"/>
      <c r="H65"/>
      <c r="I65" s="253"/>
      <c r="J65"/>
      <c r="K65"/>
      <c r="L65"/>
      <c r="M65"/>
      <c r="N65" s="254"/>
    </row>
    <row r="66" spans="1:19" ht="15.6">
      <c r="A66" s="339">
        <v>500</v>
      </c>
      <c r="B66" s="377">
        <f>B62/130*100</f>
        <v>5984.6153846153848</v>
      </c>
      <c r="C66" s="439">
        <f>C62/130*100</f>
        <v>8461.538461538461</v>
      </c>
      <c r="D66"/>
      <c r="E66"/>
      <c r="F66"/>
      <c r="G66"/>
      <c r="H66"/>
      <c r="I66" s="332" t="s">
        <v>16361</v>
      </c>
      <c r="J66" t="str">
        <f>Table331[[#Headers],[Basic]]</f>
        <v>Basic</v>
      </c>
      <c r="K66" t="str">
        <f>Table331[[#Headers],[Comfort]]</f>
        <v>Comfort</v>
      </c>
      <c r="L66" t="str">
        <f>Table331[[#Headers],[Comprehensive]]</f>
        <v>Comprehensive</v>
      </c>
      <c r="M66" t="str">
        <f>Table331[[#Headers],[Full Service Package]]</f>
        <v>Full Service Package</v>
      </c>
      <c r="N66" s="254" t="str">
        <f>Table331[[#Headers],[Custom]]</f>
        <v>Custom</v>
      </c>
    </row>
    <row r="67" spans="1:19" ht="15.6">
      <c r="A67" s="339">
        <v>1000</v>
      </c>
      <c r="B67" s="377">
        <f>B63/130*100</f>
        <v>11538.461538461539</v>
      </c>
      <c r="C67" s="439">
        <f>C63/130*100</f>
        <v>15384.615384615385</v>
      </c>
      <c r="D67"/>
      <c r="E67"/>
      <c r="F67"/>
      <c r="G67"/>
      <c r="H67"/>
      <c r="I67" s="253" t="s">
        <v>16374</v>
      </c>
      <c r="J67" s="437">
        <f>ROUNDUP(J$42,-1)</f>
        <v>410</v>
      </c>
      <c r="K67" s="437">
        <f>ROUNDUP(K$42,-1)</f>
        <v>1560</v>
      </c>
      <c r="L67" s="437">
        <f>ROUNDUP(L$42,-1)</f>
        <v>2130</v>
      </c>
      <c r="M67" s="437">
        <f>ROUNDUP(M$42,-1)</f>
        <v>3150</v>
      </c>
      <c r="N67" s="437">
        <f>ROUNDUP(N$42,-1)</f>
        <v>940</v>
      </c>
    </row>
    <row r="68" spans="1:19" ht="15.6">
      <c r="C68"/>
      <c r="D68"/>
      <c r="E68"/>
      <c r="F68"/>
      <c r="G68"/>
      <c r="H68"/>
      <c r="I68" s="253" t="s">
        <v>16375</v>
      </c>
      <c r="J68" s="437">
        <f>J67*(1+$I$35)/12</f>
        <v>34.166666666666664</v>
      </c>
      <c r="K68" s="437">
        <f>K67*(1+$I$35)/12</f>
        <v>130</v>
      </c>
      <c r="L68" s="437">
        <f>L67*(1+$I$35)/12</f>
        <v>177.5</v>
      </c>
      <c r="M68" s="437">
        <f>M67*(1+$I$35)/12</f>
        <v>262.5</v>
      </c>
      <c r="N68" s="438">
        <f>N67*(1+$I$35)/12</f>
        <v>78.333333333333329</v>
      </c>
      <c r="P68" s="391"/>
      <c r="Q68" s="391"/>
      <c r="R68" s="391"/>
      <c r="S68" s="391"/>
    </row>
    <row r="69" spans="1:19" ht="15.6">
      <c r="C69"/>
      <c r="D69"/>
      <c r="E69"/>
      <c r="F69"/>
      <c r="G69"/>
      <c r="H69"/>
      <c r="I69" s="253"/>
      <c r="J69"/>
      <c r="K69"/>
      <c r="L69"/>
      <c r="M69"/>
      <c r="N69" s="254"/>
    </row>
    <row r="70" spans="1:19" ht="15.6">
      <c r="C70"/>
      <c r="D70"/>
      <c r="E70"/>
      <c r="F70"/>
      <c r="G70"/>
      <c r="H70"/>
      <c r="I70" s="332" t="s">
        <v>16382</v>
      </c>
      <c r="J70" t="str">
        <f>Table331[[#Headers],[Basic]]</f>
        <v>Basic</v>
      </c>
      <c r="K70" t="str">
        <f>Table331[[#Headers],[Comfort]]</f>
        <v>Comfort</v>
      </c>
      <c r="L70" t="str">
        <f>Table331[[#Headers],[Comprehensive]]</f>
        <v>Comprehensive</v>
      </c>
      <c r="M70" t="str">
        <f>Table331[[#Headers],[Full Service Package]]</f>
        <v>Full Service Package</v>
      </c>
      <c r="N70" s="254" t="str">
        <f>Table331[[#Headers],[Custom]]</f>
        <v>Custom</v>
      </c>
    </row>
    <row r="71" spans="1:19" ht="15.6">
      <c r="C71"/>
      <c r="D71"/>
      <c r="E71"/>
      <c r="F71"/>
      <c r="G71"/>
      <c r="H71"/>
      <c r="I71" s="253" t="s">
        <v>16374</v>
      </c>
      <c r="J71" s="437">
        <f>ROUNDUP(J$44,-1)</f>
        <v>390</v>
      </c>
      <c r="K71" s="437">
        <f>ROUNDUP(K$44,-1)</f>
        <v>1480</v>
      </c>
      <c r="L71" s="437">
        <f>ROUNDUP(L$44,-1)</f>
        <v>2030</v>
      </c>
      <c r="M71" s="437">
        <f>ROUNDUP(M$44,-1)</f>
        <v>2510</v>
      </c>
      <c r="N71" s="437">
        <f>ROUNDUP(N$44,-1)</f>
        <v>890</v>
      </c>
    </row>
    <row r="72" spans="1:19" ht="16.2" thickBot="1">
      <c r="C72"/>
      <c r="D72"/>
      <c r="E72"/>
      <c r="F72"/>
      <c r="G72"/>
      <c r="H72"/>
      <c r="I72" s="260" t="s">
        <v>16375</v>
      </c>
      <c r="J72" s="440">
        <f>J71*(1+$I$35)/12</f>
        <v>32.5</v>
      </c>
      <c r="K72" s="440">
        <f>K71*(1+$I$35)/12</f>
        <v>123.33333333333333</v>
      </c>
      <c r="L72" s="440">
        <f>L71*(1+$I$35)/12</f>
        <v>169.16666666666666</v>
      </c>
      <c r="M72" s="440">
        <f>M71*(1+$I$35)/12</f>
        <v>209.16666666666666</v>
      </c>
      <c r="N72" s="441">
        <f>N71*(1+$I$35)/12</f>
        <v>74.166666666666671</v>
      </c>
    </row>
    <row r="73" spans="1:19" ht="15.6">
      <c r="C73"/>
      <c r="D73"/>
      <c r="E73"/>
      <c r="F73"/>
      <c r="G73"/>
      <c r="H73"/>
      <c r="I73"/>
      <c r="J73"/>
      <c r="K73"/>
      <c r="L73"/>
      <c r="M73"/>
      <c r="N73"/>
      <c r="P73" s="391"/>
      <c r="Q73" s="391"/>
      <c r="R73" s="391"/>
      <c r="S73" s="391"/>
    </row>
    <row r="74" spans="1:19" ht="15.6">
      <c r="C74"/>
      <c r="D74"/>
      <c r="E74"/>
      <c r="F74"/>
      <c r="G74"/>
      <c r="H74"/>
      <c r="I74" t="s">
        <v>16240</v>
      </c>
      <c r="J74">
        <f>B2</f>
        <v>0</v>
      </c>
      <c r="K74"/>
      <c r="L74"/>
      <c r="M74"/>
      <c r="N74"/>
    </row>
    <row r="75" spans="1:19" ht="15.6">
      <c r="C75"/>
      <c r="D75"/>
      <c r="E75"/>
      <c r="F75"/>
      <c r="G75"/>
      <c r="H75"/>
      <c r="I75" t="s">
        <v>16383</v>
      </c>
      <c r="J75" t="str">
        <f>B9&amp;" kWp DC"</f>
        <v>100 kWp DC</v>
      </c>
      <c r="K75"/>
      <c r="L75"/>
      <c r="M75"/>
      <c r="N75"/>
    </row>
    <row r="76" spans="1:19" ht="15.6">
      <c r="C76"/>
      <c r="D76"/>
      <c r="E76"/>
      <c r="F76"/>
      <c r="G76"/>
      <c r="H76"/>
      <c r="I76" t="s">
        <v>16384</v>
      </c>
      <c r="J76"/>
      <c r="K76"/>
      <c r="L76"/>
      <c r="M76"/>
      <c r="N76"/>
    </row>
    <row r="77" spans="1:19" ht="15.6">
      <c r="C77"/>
      <c r="D77"/>
      <c r="E77"/>
      <c r="F77"/>
      <c r="G77"/>
      <c r="H77"/>
      <c r="I77"/>
      <c r="J77"/>
      <c r="K77"/>
      <c r="L77"/>
      <c r="M77"/>
      <c r="N77"/>
    </row>
    <row r="78" spans="1:19" ht="15.6">
      <c r="C78"/>
      <c r="D78"/>
      <c r="E78"/>
      <c r="F78"/>
      <c r="G78"/>
      <c r="H78"/>
      <c r="I78"/>
      <c r="J78"/>
      <c r="K78"/>
      <c r="L78"/>
      <c r="M78"/>
      <c r="N78"/>
      <c r="P78" s="391"/>
      <c r="Q78" s="391"/>
      <c r="R78" s="391"/>
      <c r="S78" s="391"/>
    </row>
    <row r="79" spans="1:19" ht="15.6">
      <c r="C79"/>
      <c r="D79"/>
      <c r="E79"/>
      <c r="F79"/>
      <c r="G79" s="398" t="s">
        <v>16385</v>
      </c>
      <c r="H79" s="398"/>
      <c r="I79"/>
      <c r="J79" s="442">
        <f>J$32/$B31*52</f>
        <v>1.2615384615384615</v>
      </c>
      <c r="K79" s="442">
        <f>K$32/$B31*52</f>
        <v>4.8000000000000007</v>
      </c>
      <c r="L79" s="442">
        <f>L$32/$B31*52</f>
        <v>6.5538461538461537</v>
      </c>
      <c r="M79" s="442">
        <f>M$32/$B31*52</f>
        <v>22.169230769230769</v>
      </c>
      <c r="N79" s="442">
        <f>N$32/$B31*52</f>
        <v>2.8923076923076922</v>
      </c>
    </row>
    <row r="83" spans="1:19">
      <c r="A83" s="339" t="s">
        <v>16386</v>
      </c>
      <c r="B83" s="342">
        <v>150</v>
      </c>
      <c r="P83" s="391"/>
      <c r="Q83" s="391"/>
      <c r="R83" s="391"/>
      <c r="S83" s="391"/>
    </row>
    <row r="84" spans="1:19">
      <c r="A84" s="339" t="s">
        <v>16387</v>
      </c>
      <c r="B84" s="342">
        <v>150</v>
      </c>
    </row>
    <row r="85" spans="1:19">
      <c r="A85" s="339" t="s">
        <v>16388</v>
      </c>
      <c r="B85" s="342">
        <v>150</v>
      </c>
    </row>
    <row r="86" spans="1:19">
      <c r="A86" s="339" t="s">
        <v>16389</v>
      </c>
      <c r="B86" s="342">
        <v>150</v>
      </c>
    </row>
    <row r="87" spans="1:19">
      <c r="A87" s="339" t="s">
        <v>16390</v>
      </c>
      <c r="B87" s="342">
        <v>150</v>
      </c>
    </row>
    <row r="88" spans="1:19">
      <c r="A88" s="339" t="s">
        <v>16391</v>
      </c>
      <c r="B88" s="342">
        <v>150</v>
      </c>
      <c r="P88" s="391"/>
      <c r="Q88" s="391"/>
      <c r="R88" s="391"/>
      <c r="S88" s="391"/>
    </row>
    <row r="89" spans="1:19">
      <c r="A89" s="339" t="s">
        <v>16392</v>
      </c>
      <c r="B89" s="342">
        <v>150</v>
      </c>
    </row>
    <row r="90" spans="1:19">
      <c r="A90" s="339" t="s">
        <v>16393</v>
      </c>
      <c r="B90" s="342">
        <v>150</v>
      </c>
    </row>
    <row r="91" spans="1:19">
      <c r="A91" s="339" t="s">
        <v>16394</v>
      </c>
      <c r="B91" s="342">
        <v>150</v>
      </c>
    </row>
    <row r="92" spans="1:19">
      <c r="A92" s="339" t="s">
        <v>16395</v>
      </c>
      <c r="B92" s="342">
        <v>150</v>
      </c>
    </row>
    <row r="94" spans="1:19">
      <c r="A94" s="339">
        <v>10</v>
      </c>
      <c r="B94" s="339">
        <v>300</v>
      </c>
    </row>
    <row r="95" spans="1:19">
      <c r="A95" s="339">
        <v>20</v>
      </c>
      <c r="B95" s="339">
        <v>350</v>
      </c>
    </row>
    <row r="96" spans="1:19">
      <c r="A96" s="339">
        <v>30</v>
      </c>
      <c r="B96" s="339">
        <v>450</v>
      </c>
    </row>
    <row r="97" spans="1:2">
      <c r="A97" s="339">
        <v>40</v>
      </c>
    </row>
    <row r="98" spans="1:2">
      <c r="A98" s="339">
        <v>50</v>
      </c>
      <c r="B98" s="339">
        <v>700</v>
      </c>
    </row>
    <row r="99" spans="1:2">
      <c r="A99" s="339">
        <v>60</v>
      </c>
    </row>
    <row r="100" spans="1:2">
      <c r="A100" s="339">
        <v>70</v>
      </c>
    </row>
    <row r="101" spans="1:2">
      <c r="A101" s="339">
        <v>80</v>
      </c>
    </row>
    <row r="102" spans="1:2">
      <c r="A102" s="339">
        <v>90</v>
      </c>
      <c r="B102" s="339">
        <v>1100</v>
      </c>
    </row>
    <row r="103" spans="1:2">
      <c r="A103" s="339">
        <v>100</v>
      </c>
      <c r="B103" s="339">
        <v>1200</v>
      </c>
    </row>
  </sheetData>
  <mergeCells count="14">
    <mergeCell ref="A41:B41"/>
    <mergeCell ref="F42:F43"/>
    <mergeCell ref="D2:D15"/>
    <mergeCell ref="A7:B7"/>
    <mergeCell ref="D16:D18"/>
    <mergeCell ref="A17:B17"/>
    <mergeCell ref="F27:G27"/>
    <mergeCell ref="F28:F31"/>
    <mergeCell ref="A30:B30"/>
    <mergeCell ref="F44:F45"/>
    <mergeCell ref="F32:F35"/>
    <mergeCell ref="F36:F37"/>
    <mergeCell ref="F38:F39"/>
    <mergeCell ref="F40:F41"/>
  </mergeCells>
  <conditionalFormatting sqref="B33:B35">
    <cfRule type="cellIs" dxfId="17" priority="52" operator="equal">
      <formula>"CHECK"</formula>
    </cfRule>
  </conditionalFormatting>
  <conditionalFormatting sqref="G2:G22">
    <cfRule type="colorScale" priority="7">
      <colorScale>
        <cfvo type="min"/>
        <cfvo type="percentile" val="50"/>
        <cfvo type="max"/>
        <color rgb="FF63BE7B"/>
        <color rgb="FFFFEB84"/>
        <color rgb="FFF8696B"/>
      </colorScale>
    </cfRule>
  </conditionalFormatting>
  <conditionalFormatting sqref="G2:H6 G8:H22">
    <cfRule type="colorScale" priority="35">
      <colorScale>
        <cfvo type="min"/>
        <cfvo type="percentile" val="50"/>
        <cfvo type="max"/>
        <color rgb="FF63BE7B"/>
        <color rgb="FFFFEB84"/>
        <color rgb="FFF8696B"/>
      </colorScale>
    </cfRule>
  </conditionalFormatting>
  <conditionalFormatting sqref="G11:H13 G2:H3 G5:H6 G8:H9 G15:H15 G18:H21">
    <cfRule type="colorScale" priority="33">
      <colorScale>
        <cfvo type="min"/>
        <cfvo type="percentile" val="50"/>
        <cfvo type="max"/>
        <color rgb="FF63BE7B"/>
        <color rgb="FFFFEB84"/>
        <color rgb="FFF8696B"/>
      </colorScale>
    </cfRule>
  </conditionalFormatting>
  <conditionalFormatting sqref="G11:H22 G2:H6 G8:H9">
    <cfRule type="colorScale" priority="34">
      <colorScale>
        <cfvo type="min"/>
        <cfvo type="percentile" val="50"/>
        <cfvo type="max"/>
        <color rgb="FF63BE7B"/>
        <color rgb="FFFFEB84"/>
        <color rgb="FFF8696B"/>
      </colorScale>
    </cfRule>
  </conditionalFormatting>
  <conditionalFormatting sqref="G16:H16">
    <cfRule type="colorScale" priority="25">
      <colorScale>
        <cfvo type="min"/>
        <cfvo type="percentile" val="50"/>
        <cfvo type="max"/>
        <color rgb="FF63BE7B"/>
        <color rgb="FFFFEB84"/>
        <color rgb="FFF8696B"/>
      </colorScale>
    </cfRule>
  </conditionalFormatting>
  <conditionalFormatting sqref="G17:H17">
    <cfRule type="colorScale" priority="23">
      <colorScale>
        <cfvo type="min"/>
        <cfvo type="percentile" val="50"/>
        <cfvo type="max"/>
        <color rgb="FF63BE7B"/>
        <color rgb="FFFFEB84"/>
        <color rgb="FFF8696B"/>
      </colorScale>
    </cfRule>
  </conditionalFormatting>
  <conditionalFormatting sqref="G22:H22">
    <cfRule type="colorScale" priority="30">
      <colorScale>
        <cfvo type="min"/>
        <cfvo type="percentile" val="50"/>
        <cfvo type="max"/>
        <color rgb="FF63BE7B"/>
        <color rgb="FFFFEB84"/>
        <color rgb="FFF8696B"/>
      </colorScale>
    </cfRule>
  </conditionalFormatting>
  <conditionalFormatting sqref="H4">
    <cfRule type="colorScale" priority="16">
      <colorScale>
        <cfvo type="min"/>
        <cfvo type="percentile" val="50"/>
        <cfvo type="max"/>
        <color rgb="FF63BE7B"/>
        <color rgb="FFFFEB84"/>
        <color rgb="FFF8696B"/>
      </colorScale>
    </cfRule>
  </conditionalFormatting>
  <conditionalFormatting sqref="H7">
    <cfRule type="colorScale" priority="8">
      <colorScale>
        <cfvo type="min"/>
        <cfvo type="percentile" val="50"/>
        <cfvo type="max"/>
        <color rgb="FF63BE7B"/>
        <color rgb="FFFFEB84"/>
        <color rgb="FFF8696B"/>
      </colorScale>
    </cfRule>
    <cfRule type="colorScale" priority="9">
      <colorScale>
        <cfvo type="min"/>
        <cfvo type="percentile" val="50"/>
        <cfvo type="max"/>
        <color rgb="FF63BE7B"/>
        <color rgb="FFFFEB84"/>
        <color rgb="FFF8696B"/>
      </colorScale>
    </cfRule>
    <cfRule type="colorScale" priority="10">
      <colorScale>
        <cfvo type="min"/>
        <cfvo type="percentile" val="50"/>
        <cfvo type="max"/>
        <color rgb="FF63BE7B"/>
        <color rgb="FFFFEB84"/>
        <color rgb="FFF8696B"/>
      </colorScale>
    </cfRule>
  </conditionalFormatting>
  <conditionalFormatting sqref="H10">
    <cfRule type="colorScale" priority="14">
      <colorScale>
        <cfvo type="min"/>
        <cfvo type="percentile" val="50"/>
        <cfvo type="max"/>
        <color rgb="FF63BE7B"/>
        <color rgb="FFFFEB84"/>
        <color rgb="FFF8696B"/>
      </colorScale>
    </cfRule>
    <cfRule type="colorScale" priority="15">
      <colorScale>
        <cfvo type="min"/>
        <cfvo type="percentile" val="50"/>
        <cfvo type="max"/>
        <color rgb="FF63BE7B"/>
        <color rgb="FFFFEB84"/>
        <color rgb="FFF8696B"/>
      </colorScale>
    </cfRule>
  </conditionalFormatting>
  <conditionalFormatting sqref="H14">
    <cfRule type="colorScale" priority="13">
      <colorScale>
        <cfvo type="min"/>
        <cfvo type="percentile" val="50"/>
        <cfvo type="max"/>
        <color rgb="FF63BE7B"/>
        <color rgb="FFFFEB84"/>
        <color rgb="FFF8696B"/>
      </colorScale>
    </cfRule>
  </conditionalFormatting>
  <conditionalFormatting sqref="H17">
    <cfRule type="colorScale" priority="12">
      <colorScale>
        <cfvo type="min"/>
        <cfvo type="percentile" val="50"/>
        <cfvo type="max"/>
        <color rgb="FF63BE7B"/>
        <color rgb="FFFFEB84"/>
        <color rgb="FFF8696B"/>
      </colorScale>
    </cfRule>
  </conditionalFormatting>
  <conditionalFormatting sqref="I48:N51">
    <cfRule type="colorScale" priority="18">
      <colorScale>
        <cfvo type="min"/>
        <cfvo type="percentile" val="50"/>
        <cfvo type="max"/>
        <color rgb="FF63BE7B"/>
        <color rgb="FFFFEB84"/>
        <color rgb="FFF8696B"/>
      </colorScale>
    </cfRule>
  </conditionalFormatting>
  <conditionalFormatting sqref="J25:N25">
    <cfRule type="colorScale" priority="28">
      <colorScale>
        <cfvo type="min"/>
        <cfvo type="percentile" val="50"/>
        <cfvo type="max"/>
        <color rgb="FF63BE7B"/>
        <color rgb="FFFFEB84"/>
        <color rgb="FFF8696B"/>
      </colorScale>
    </cfRule>
  </conditionalFormatting>
  <conditionalFormatting sqref="J26:N26">
    <cfRule type="colorScale" priority="29">
      <colorScale>
        <cfvo type="min"/>
        <cfvo type="percentile" val="50"/>
        <cfvo type="max"/>
        <color rgb="FF63BE7B"/>
        <color rgb="FFFFEB84"/>
        <color rgb="FFF8696B"/>
      </colorScale>
    </cfRule>
  </conditionalFormatting>
  <conditionalFormatting sqref="J31:N31">
    <cfRule type="colorScale" priority="31">
      <colorScale>
        <cfvo type="min"/>
        <cfvo type="percentile" val="50"/>
        <cfvo type="max"/>
        <color rgb="FF63BE7B"/>
        <color rgb="FFFFEB84"/>
        <color rgb="FFF8696B"/>
      </colorScale>
    </cfRule>
  </conditionalFormatting>
  <conditionalFormatting sqref="J33:N33">
    <cfRule type="colorScale" priority="27">
      <colorScale>
        <cfvo type="min"/>
        <cfvo type="percentile" val="50"/>
        <cfvo type="max"/>
        <color rgb="FF63BE7B"/>
        <color rgb="FFFFEB84"/>
        <color rgb="FFF8696B"/>
      </colorScale>
    </cfRule>
  </conditionalFormatting>
  <conditionalFormatting sqref="J37:N37">
    <cfRule type="colorScale" priority="11">
      <colorScale>
        <cfvo type="min"/>
        <cfvo type="percentile" val="50"/>
        <cfvo type="max"/>
        <color rgb="FF63BE7B"/>
        <color rgb="FFFFEB84"/>
        <color rgb="FFF8696B"/>
      </colorScale>
    </cfRule>
  </conditionalFormatting>
  <conditionalFormatting sqref="J39:N39">
    <cfRule type="colorScale" priority="21">
      <colorScale>
        <cfvo type="min"/>
        <cfvo type="percentile" val="50"/>
        <cfvo type="max"/>
        <color rgb="FF63BE7B"/>
        <color rgb="FFFFEB84"/>
        <color rgb="FFF8696B"/>
      </colorScale>
    </cfRule>
  </conditionalFormatting>
  <conditionalFormatting sqref="J41:N41">
    <cfRule type="colorScale" priority="20">
      <colorScale>
        <cfvo type="min"/>
        <cfvo type="percentile" val="50"/>
        <cfvo type="max"/>
        <color rgb="FF63BE7B"/>
        <color rgb="FFFFEB84"/>
        <color rgb="FFF8696B"/>
      </colorScale>
    </cfRule>
  </conditionalFormatting>
  <conditionalFormatting sqref="J43:N43">
    <cfRule type="colorScale" priority="19">
      <colorScale>
        <cfvo type="min"/>
        <cfvo type="percentile" val="50"/>
        <cfvo type="max"/>
        <color rgb="FF63BE7B"/>
        <color rgb="FFFFEB84"/>
        <color rgb="FFF8696B"/>
      </colorScale>
    </cfRule>
  </conditionalFormatting>
  <conditionalFormatting sqref="J45:N46">
    <cfRule type="colorScale" priority="22">
      <colorScale>
        <cfvo type="min"/>
        <cfvo type="percentile" val="50"/>
        <cfvo type="max"/>
        <color rgb="FF63BE7B"/>
        <color rgb="FFFFEB84"/>
        <color rgb="FFF8696B"/>
      </colorScale>
    </cfRule>
  </conditionalFormatting>
  <conditionalFormatting sqref="M15:M17">
    <cfRule type="containsText" dxfId="16" priority="24" operator="containsText" text="Yes">
      <formula>NOT(ISERROR(SEARCH("Yes",M15)))</formula>
    </cfRule>
  </conditionalFormatting>
  <conditionalFormatting sqref="M2:N7 J2:L22 M8:M9 M11:M13 M17:N22">
    <cfRule type="containsText" dxfId="15" priority="32" operator="containsText" text="Yes">
      <formula>NOT(ISERROR(SEARCH("Yes",J2)))</formula>
    </cfRule>
  </conditionalFormatting>
  <conditionalFormatting sqref="M2:N7 J2:L22 M8:M9 M11:M22">
    <cfRule type="cellIs" dxfId="14" priority="17" operator="equal">
      <formula>"No"</formula>
    </cfRule>
  </conditionalFormatting>
  <conditionalFormatting sqref="N8:N16">
    <cfRule type="containsText" dxfId="13" priority="2" operator="containsText" text="Yes">
      <formula>NOT(ISERROR(SEARCH("Yes",N8)))</formula>
    </cfRule>
  </conditionalFormatting>
  <conditionalFormatting sqref="N8:N22">
    <cfRule type="cellIs" dxfId="12" priority="1" operator="equal">
      <formula>"No"</formula>
    </cfRule>
  </conditionalFormatting>
  <dataValidations count="5">
    <dataValidation type="list" allowBlank="1" showInputMessage="1" showErrorMessage="1" sqref="B16" xr:uid="{746DA629-B6D0-40DC-A328-EC3F3B0D0295}">
      <formula1>"SME,Corporate"</formula1>
    </dataValidation>
    <dataValidation type="list" allowBlank="1" showInputMessage="1" showErrorMessage="1" sqref="B27" xr:uid="{E3F72951-6C1C-45B1-94C5-DEDD29B1FA73}">
      <formula1>"Short, Long"</formula1>
    </dataValidation>
    <dataValidation type="list" allowBlank="1" showInputMessage="1" showErrorMessage="1" sqref="B8" xr:uid="{65F87274-8FFE-41BF-AF26-ADD5503E6B4B}">
      <formula1>"SCS New, SCS Old, Non SCS, PPA"</formula1>
    </dataValidation>
    <dataValidation type="list" allowBlank="1" showInputMessage="1" showErrorMessage="1" sqref="B18" xr:uid="{14E69595-F82F-4D46-BFC7-AAAFC9309A3D}">
      <formula1>"Ground Mount,Roof Mount"</formula1>
    </dataValidation>
    <dataValidation type="list" allowBlank="1" showInputMessage="1" showErrorMessage="1" sqref="B24" xr:uid="{58964D27-BA1D-4FB4-B0C3-36FA4ED43B2D}">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odule1.printProposal">
                <anchor moveWithCells="1" sizeWithCells="1">
                  <from>
                    <xdr:col>2</xdr:col>
                    <xdr:colOff>190500</xdr:colOff>
                    <xdr:row>1</xdr:row>
                    <xdr:rowOff>152400</xdr:rowOff>
                  </from>
                  <to>
                    <xdr:col>2</xdr:col>
                    <xdr:colOff>2209800</xdr:colOff>
                    <xdr:row>3</xdr:row>
                    <xdr:rowOff>190500</xdr:rowOff>
                  </to>
                </anchor>
              </controlPr>
            </control>
          </mc:Choice>
        </mc:AlternateContent>
        <mc:AlternateContent xmlns:mc="http://schemas.openxmlformats.org/markup-compatibility/2006">
          <mc:Choice Requires="x14">
            <control shapeId="52236" r:id="rId5" name="Button 12">
              <controlPr defaultSize="0" print="0" autoFill="0" autoPict="0" macro="[7]!Module1.printProposal">
                <anchor moveWithCells="1" sizeWithCells="1">
                  <from>
                    <xdr:col>2</xdr:col>
                    <xdr:colOff>190500</xdr:colOff>
                    <xdr:row>1</xdr:row>
                    <xdr:rowOff>152400</xdr:rowOff>
                  </from>
                  <to>
                    <xdr:col>2</xdr:col>
                    <xdr:colOff>2209800</xdr:colOff>
                    <xdr:row>3</xdr:row>
                    <xdr:rowOff>190500</xdr:rowOff>
                  </to>
                </anchor>
              </controlPr>
            </control>
          </mc:Choice>
        </mc:AlternateContent>
        <mc:AlternateContent xmlns:mc="http://schemas.openxmlformats.org/markup-compatibility/2006">
          <mc:Choice Requires="x14">
            <control shapeId="52237" r:id="rId6" name="Button 13">
              <controlPr defaultSize="0" print="0" autoFill="0" autoPict="0" macro="[7]!save_quote">
                <anchor moveWithCells="1" sizeWithCells="1">
                  <from>
                    <xdr:col>2</xdr:col>
                    <xdr:colOff>190500</xdr:colOff>
                    <xdr:row>4</xdr:row>
                    <xdr:rowOff>152400</xdr:rowOff>
                  </from>
                  <to>
                    <xdr:col>2</xdr:col>
                    <xdr:colOff>2209800</xdr:colOff>
                    <xdr:row>6</xdr:row>
                    <xdr:rowOff>190500</xdr:rowOff>
                  </to>
                </anchor>
              </controlPr>
            </control>
          </mc:Choice>
        </mc:AlternateContent>
        <mc:AlternateContent xmlns:mc="http://schemas.openxmlformats.org/markup-compatibility/2006">
          <mc:Choice Requires="x14">
            <control shapeId="52238" r:id="rId7" name="Button 14">
              <controlPr defaultSize="0" print="0" autoFill="0" autoPict="0" macro="[7]!printProposal_saveQuote">
                <anchor moveWithCells="1" sizeWithCells="1">
                  <from>
                    <xdr:col>2</xdr:col>
                    <xdr:colOff>190500</xdr:colOff>
                    <xdr:row>7</xdr:row>
                    <xdr:rowOff>152400</xdr:rowOff>
                  </from>
                  <to>
                    <xdr:col>2</xdr:col>
                    <xdr:colOff>2209800</xdr:colOff>
                    <xdr:row>10</xdr:row>
                    <xdr:rowOff>0</xdr:rowOff>
                  </to>
                </anchor>
              </controlPr>
            </control>
          </mc:Choice>
        </mc:AlternateContent>
      </controls>
    </mc:Choice>
  </mc:AlternateContent>
  <tableParts count="1">
    <tablePart r:id="rId8"/>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2:D49"/>
  <sheetViews>
    <sheetView workbookViewId="0"/>
  </sheetViews>
  <sheetFormatPr defaultColWidth="11" defaultRowHeight="15.6"/>
  <cols>
    <col min="3" max="3" width="32" bestFit="1" customWidth="1"/>
    <col min="4" max="4" width="125" bestFit="1" customWidth="1"/>
    <col min="5" max="5" width="61" customWidth="1"/>
  </cols>
  <sheetData>
    <row r="2" spans="3:4" ht="16.2" thickBot="1"/>
    <row r="3" spans="3:4" ht="16.2" thickBot="1">
      <c r="C3" s="20" t="s">
        <v>16396</v>
      </c>
      <c r="D3" s="21" t="s">
        <v>16397</v>
      </c>
    </row>
    <row r="4" spans="3:4">
      <c r="C4" s="317" t="s">
        <v>702</v>
      </c>
      <c r="D4" s="321" t="s">
        <v>16398</v>
      </c>
    </row>
    <row r="5" spans="3:4" ht="31.2">
      <c r="C5" s="317" t="s">
        <v>16399</v>
      </c>
      <c r="D5" s="320" t="s">
        <v>16400</v>
      </c>
    </row>
    <row r="6" spans="3:4">
      <c r="C6" s="317" t="s">
        <v>16401</v>
      </c>
      <c r="D6" s="321" t="s">
        <v>16402</v>
      </c>
    </row>
    <row r="7" spans="3:4">
      <c r="C7" s="317" t="s">
        <v>16403</v>
      </c>
      <c r="D7" s="321" t="s">
        <v>16404</v>
      </c>
    </row>
    <row r="8" spans="3:4">
      <c r="C8" s="317" t="s">
        <v>16405</v>
      </c>
      <c r="D8" s="321" t="s">
        <v>16406</v>
      </c>
    </row>
    <row r="9" spans="3:4" ht="31.2">
      <c r="C9" s="317" t="s">
        <v>716</v>
      </c>
      <c r="D9" s="320" t="s">
        <v>16407</v>
      </c>
    </row>
    <row r="10" spans="3:4" ht="31.2">
      <c r="C10" s="317" t="s">
        <v>16408</v>
      </c>
      <c r="D10" s="320" t="s">
        <v>16409</v>
      </c>
    </row>
    <row r="11" spans="3:4" ht="31.2">
      <c r="C11" s="317" t="s">
        <v>16410</v>
      </c>
      <c r="D11" s="320" t="s">
        <v>16411</v>
      </c>
    </row>
    <row r="12" spans="3:4" ht="31.2">
      <c r="C12" s="317" t="s">
        <v>16412</v>
      </c>
      <c r="D12" s="320" t="s">
        <v>16413</v>
      </c>
    </row>
    <row r="13" spans="3:4">
      <c r="C13" s="317" t="s">
        <v>16414</v>
      </c>
      <c r="D13" s="321" t="s">
        <v>16415</v>
      </c>
    </row>
    <row r="14" spans="3:4">
      <c r="C14" s="317" t="s">
        <v>16416</v>
      </c>
      <c r="D14" s="321" t="s">
        <v>16417</v>
      </c>
    </row>
    <row r="15" spans="3:4">
      <c r="C15" s="317" t="s">
        <v>16418</v>
      </c>
      <c r="D15" s="321" t="s">
        <v>16419</v>
      </c>
    </row>
    <row r="16" spans="3:4" ht="31.2">
      <c r="C16" s="317" t="s">
        <v>16420</v>
      </c>
      <c r="D16" s="320" t="s">
        <v>16421</v>
      </c>
    </row>
    <row r="17" spans="3:4" ht="31.2">
      <c r="C17" s="318" t="s">
        <v>16422</v>
      </c>
      <c r="D17" s="320" t="s">
        <v>16423</v>
      </c>
    </row>
    <row r="18" spans="3:4">
      <c r="C18" s="317" t="s">
        <v>16424</v>
      </c>
      <c r="D18" s="321" t="s">
        <v>16425</v>
      </c>
    </row>
    <row r="19" spans="3:4">
      <c r="C19" s="317" t="s">
        <v>16426</v>
      </c>
      <c r="D19" s="321" t="s">
        <v>16427</v>
      </c>
    </row>
    <row r="20" spans="3:4">
      <c r="C20" s="317" t="s">
        <v>16428</v>
      </c>
      <c r="D20" s="321" t="s">
        <v>16429</v>
      </c>
    </row>
    <row r="21" spans="3:4">
      <c r="C21" s="317" t="s">
        <v>16430</v>
      </c>
      <c r="D21" s="321" t="s">
        <v>16431</v>
      </c>
    </row>
    <row r="22" spans="3:4">
      <c r="C22" s="317" t="s">
        <v>16432</v>
      </c>
      <c r="D22" s="321" t="s">
        <v>16433</v>
      </c>
    </row>
    <row r="23" spans="3:4" ht="31.2">
      <c r="C23" s="317" t="s">
        <v>341</v>
      </c>
      <c r="D23" s="320" t="s">
        <v>16434</v>
      </c>
    </row>
    <row r="24" spans="3:4" ht="31.2">
      <c r="C24" s="317" t="s">
        <v>342</v>
      </c>
      <c r="D24" s="320" t="s">
        <v>16435</v>
      </c>
    </row>
    <row r="25" spans="3:4">
      <c r="C25" s="317" t="s">
        <v>310</v>
      </c>
      <c r="D25" s="320" t="s">
        <v>16436</v>
      </c>
    </row>
    <row r="26" spans="3:4">
      <c r="C26" s="317" t="s">
        <v>16437</v>
      </c>
      <c r="D26" s="321" t="s">
        <v>16438</v>
      </c>
    </row>
    <row r="27" spans="3:4" ht="46.8">
      <c r="C27" s="317" t="s">
        <v>345</v>
      </c>
      <c r="D27" s="320" t="s">
        <v>16439</v>
      </c>
    </row>
    <row r="28" spans="3:4" ht="31.2">
      <c r="C28" s="317" t="s">
        <v>16440</v>
      </c>
      <c r="D28" s="320" t="s">
        <v>16441</v>
      </c>
    </row>
    <row r="29" spans="3:4" ht="31.2">
      <c r="C29" s="317" t="s">
        <v>16442</v>
      </c>
      <c r="D29" s="320" t="s">
        <v>16443</v>
      </c>
    </row>
    <row r="30" spans="3:4">
      <c r="C30" s="317" t="s">
        <v>390</v>
      </c>
      <c r="D30" s="321" t="s">
        <v>16444</v>
      </c>
    </row>
    <row r="31" spans="3:4">
      <c r="C31" s="317" t="s">
        <v>337</v>
      </c>
      <c r="D31" s="321"/>
    </row>
    <row r="32" spans="3:4">
      <c r="C32" s="317" t="s">
        <v>1204</v>
      </c>
      <c r="D32" s="321"/>
    </row>
    <row r="33" spans="3:4">
      <c r="C33" s="317" t="s">
        <v>16445</v>
      </c>
      <c r="D33" s="321"/>
    </row>
    <row r="34" spans="3:4">
      <c r="C34" s="317" t="s">
        <v>16446</v>
      </c>
      <c r="D34" s="321"/>
    </row>
    <row r="35" spans="3:4">
      <c r="C35" s="317" t="s">
        <v>16447</v>
      </c>
      <c r="D35" s="321" t="s">
        <v>16448</v>
      </c>
    </row>
    <row r="36" spans="3:4">
      <c r="C36" s="317" t="s">
        <v>503</v>
      </c>
      <c r="D36" s="321" t="s">
        <v>16449</v>
      </c>
    </row>
    <row r="37" spans="3:4">
      <c r="C37" s="317" t="s">
        <v>16450</v>
      </c>
      <c r="D37" s="321" t="s">
        <v>16451</v>
      </c>
    </row>
    <row r="38" spans="3:4">
      <c r="C38" s="317" t="s">
        <v>16452</v>
      </c>
      <c r="D38" s="321" t="s">
        <v>16453</v>
      </c>
    </row>
    <row r="39" spans="3:4">
      <c r="C39" s="317" t="s">
        <v>321</v>
      </c>
      <c r="D39" s="321" t="s">
        <v>16454</v>
      </c>
    </row>
    <row r="40" spans="3:4">
      <c r="C40" s="317" t="s">
        <v>16455</v>
      </c>
      <c r="D40" s="321" t="s">
        <v>16456</v>
      </c>
    </row>
    <row r="41" spans="3:4">
      <c r="C41" s="317" t="s">
        <v>325</v>
      </c>
      <c r="D41" s="321" t="s">
        <v>16457</v>
      </c>
    </row>
    <row r="42" spans="3:4" ht="31.2">
      <c r="C42" s="317" t="s">
        <v>16458</v>
      </c>
      <c r="D42" s="320" t="s">
        <v>16459</v>
      </c>
    </row>
    <row r="43" spans="3:4">
      <c r="C43" s="317" t="s">
        <v>16460</v>
      </c>
      <c r="D43" s="321" t="s">
        <v>16461</v>
      </c>
    </row>
    <row r="44" spans="3:4" ht="46.8">
      <c r="C44" s="318" t="s">
        <v>16462</v>
      </c>
      <c r="D44" s="320" t="s">
        <v>16463</v>
      </c>
    </row>
    <row r="45" spans="3:4" ht="46.8">
      <c r="C45" s="318" t="s">
        <v>16464</v>
      </c>
      <c r="D45" s="320" t="s">
        <v>16465</v>
      </c>
    </row>
    <row r="46" spans="3:4" ht="46.8">
      <c r="C46" s="318" t="s">
        <v>16466</v>
      </c>
      <c r="D46" s="320" t="s">
        <v>16467</v>
      </c>
    </row>
    <row r="47" spans="3:4">
      <c r="C47" s="318" t="s">
        <v>16468</v>
      </c>
      <c r="D47" s="321" t="s">
        <v>16469</v>
      </c>
    </row>
    <row r="48" spans="3:4">
      <c r="C48" s="318" t="s">
        <v>379</v>
      </c>
      <c r="D48" s="321" t="s">
        <v>16470</v>
      </c>
    </row>
    <row r="49" spans="3:4" ht="16.2" thickBot="1">
      <c r="C49" s="319" t="s">
        <v>16471</v>
      </c>
      <c r="D49" s="322" t="s">
        <v>16472</v>
      </c>
    </row>
  </sheetData>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BD726-6595-42B6-922F-EEC2A5CBCCDF}">
  <sheetPr codeName="Sheet27"/>
  <dimension ref="C2:E32"/>
  <sheetViews>
    <sheetView workbookViewId="0"/>
  </sheetViews>
  <sheetFormatPr defaultColWidth="8.59765625" defaultRowHeight="15.6"/>
  <cols>
    <col min="3" max="3" width="22" customWidth="1"/>
    <col min="4" max="4" width="32" bestFit="1" customWidth="1"/>
    <col min="5" max="5" width="157.5" customWidth="1"/>
    <col min="6" max="6" width="61" customWidth="1"/>
    <col min="7" max="7" width="11" bestFit="1" customWidth="1"/>
    <col min="8" max="8" width="11" customWidth="1"/>
  </cols>
  <sheetData>
    <row r="2" spans="3:5">
      <c r="C2" s="572" t="s">
        <v>291</v>
      </c>
      <c r="D2" s="572" t="s">
        <v>16473</v>
      </c>
      <c r="E2" s="572" t="s">
        <v>16474</v>
      </c>
    </row>
    <row r="3" spans="3:5">
      <c r="C3" s="1578" t="s">
        <v>29</v>
      </c>
      <c r="D3" s="573" t="s">
        <v>31</v>
      </c>
      <c r="E3" s="573" t="s">
        <v>16475</v>
      </c>
    </row>
    <row r="4" spans="3:5">
      <c r="C4" s="1579"/>
      <c r="D4" s="573" t="s">
        <v>34</v>
      </c>
      <c r="E4" s="573" t="s">
        <v>16476</v>
      </c>
    </row>
    <row r="5" spans="3:5">
      <c r="C5" s="1579"/>
      <c r="D5" s="573" t="s">
        <v>37</v>
      </c>
      <c r="E5" s="573" t="s">
        <v>16477</v>
      </c>
    </row>
    <row r="6" spans="3:5">
      <c r="C6" s="1580"/>
      <c r="D6" s="573" t="s">
        <v>44</v>
      </c>
      <c r="E6" s="573" t="s">
        <v>44</v>
      </c>
    </row>
    <row r="7" spans="3:5">
      <c r="C7" s="1578" t="s">
        <v>47</v>
      </c>
      <c r="D7" s="573" t="s">
        <v>55</v>
      </c>
      <c r="E7" s="573" t="s">
        <v>16478</v>
      </c>
    </row>
    <row r="8" spans="3:5">
      <c r="C8" s="1579"/>
      <c r="D8" s="573" t="s">
        <v>58</v>
      </c>
      <c r="E8" s="573" t="s">
        <v>16479</v>
      </c>
    </row>
    <row r="9" spans="3:5">
      <c r="C9" s="1580"/>
      <c r="D9" s="573" t="s">
        <v>61</v>
      </c>
      <c r="E9" s="573" t="s">
        <v>16480</v>
      </c>
    </row>
    <row r="10" spans="3:5">
      <c r="C10" s="1578" t="s">
        <v>21</v>
      </c>
      <c r="D10" s="236" t="s">
        <v>13</v>
      </c>
      <c r="E10" s="236" t="s">
        <v>1199</v>
      </c>
    </row>
    <row r="11" spans="3:5">
      <c r="C11" s="1579"/>
      <c r="D11" s="573" t="s">
        <v>10</v>
      </c>
      <c r="E11" s="573" t="s">
        <v>16481</v>
      </c>
    </row>
    <row r="12" spans="3:5">
      <c r="C12" s="1580"/>
      <c r="D12" s="573" t="s">
        <v>25</v>
      </c>
      <c r="E12" s="573" t="s">
        <v>16482</v>
      </c>
    </row>
    <row r="13" spans="3:5">
      <c r="C13" s="1578" t="s">
        <v>43</v>
      </c>
      <c r="D13" s="573" t="s">
        <v>97</v>
      </c>
      <c r="E13" s="573" t="s">
        <v>16483</v>
      </c>
    </row>
    <row r="14" spans="3:5">
      <c r="C14" s="1579"/>
      <c r="D14" s="573" t="s">
        <v>99</v>
      </c>
      <c r="E14" s="573" t="s">
        <v>16484</v>
      </c>
    </row>
    <row r="15" spans="3:5">
      <c r="C15" s="1579"/>
      <c r="D15" s="573" t="s">
        <v>102</v>
      </c>
      <c r="E15" s="573" t="s">
        <v>16485</v>
      </c>
    </row>
    <row r="16" spans="3:5">
      <c r="C16" s="1579"/>
      <c r="D16" s="573" t="s">
        <v>105</v>
      </c>
      <c r="E16" s="573" t="s">
        <v>16486</v>
      </c>
    </row>
    <row r="17" spans="3:5">
      <c r="C17" s="1579"/>
      <c r="D17" s="573" t="s">
        <v>107</v>
      </c>
      <c r="E17" s="573" t="s">
        <v>16487</v>
      </c>
    </row>
    <row r="18" spans="3:5">
      <c r="C18" s="1579"/>
      <c r="D18" s="573" t="s">
        <v>110</v>
      </c>
      <c r="E18" s="573" t="s">
        <v>16488</v>
      </c>
    </row>
    <row r="19" spans="3:5">
      <c r="C19" s="1579"/>
      <c r="D19" s="573" t="s">
        <v>112</v>
      </c>
      <c r="E19" s="573" t="s">
        <v>16489</v>
      </c>
    </row>
    <row r="20" spans="3:5">
      <c r="C20" s="1580"/>
      <c r="D20" s="573" t="s">
        <v>114</v>
      </c>
      <c r="E20" s="573" t="s">
        <v>16490</v>
      </c>
    </row>
    <row r="21" spans="3:5">
      <c r="C21" s="1575" t="s">
        <v>64</v>
      </c>
      <c r="D21" s="573" t="s">
        <v>138</v>
      </c>
      <c r="E21" s="236" t="s">
        <v>1199</v>
      </c>
    </row>
    <row r="22" spans="3:5">
      <c r="C22" s="1576"/>
      <c r="D22" s="573" t="s">
        <v>136</v>
      </c>
      <c r="E22" s="573" t="s">
        <v>16491</v>
      </c>
    </row>
    <row r="23" spans="3:5">
      <c r="C23" s="1575" t="s">
        <v>81</v>
      </c>
      <c r="D23" s="573" t="s">
        <v>143</v>
      </c>
      <c r="E23" s="573" t="s">
        <v>1199</v>
      </c>
    </row>
    <row r="24" spans="3:5">
      <c r="C24" s="1577"/>
      <c r="D24" s="573" t="s">
        <v>144</v>
      </c>
      <c r="E24" s="573" t="s">
        <v>1199</v>
      </c>
    </row>
    <row r="25" spans="3:5">
      <c r="C25" s="1576"/>
      <c r="D25" s="573" t="s">
        <v>145</v>
      </c>
      <c r="E25" s="573" t="s">
        <v>16492</v>
      </c>
    </row>
    <row r="26" spans="3:5">
      <c r="C26" s="1575" t="s">
        <v>57</v>
      </c>
      <c r="D26" s="573" t="s">
        <v>143</v>
      </c>
      <c r="E26" s="236" t="s">
        <v>1199</v>
      </c>
    </row>
    <row r="27" spans="3:5">
      <c r="C27" s="1576"/>
      <c r="D27" s="573" t="s">
        <v>145</v>
      </c>
      <c r="E27" s="573" t="s">
        <v>16493</v>
      </c>
    </row>
    <row r="28" spans="3:5">
      <c r="C28" s="1575" t="s">
        <v>70</v>
      </c>
      <c r="D28" s="573" t="s">
        <v>9</v>
      </c>
      <c r="E28" s="573" t="s">
        <v>16494</v>
      </c>
    </row>
    <row r="29" spans="3:5">
      <c r="C29" s="1577"/>
      <c r="D29" s="573" t="s">
        <v>152</v>
      </c>
      <c r="E29" s="573" t="s">
        <v>16495</v>
      </c>
    </row>
    <row r="30" spans="3:5">
      <c r="C30" s="1576"/>
      <c r="D30" s="573" t="s">
        <v>153</v>
      </c>
      <c r="E30" s="573" t="s">
        <v>16496</v>
      </c>
    </row>
    <row r="31" spans="3:5">
      <c r="D31" s="574"/>
      <c r="E31" s="575"/>
    </row>
    <row r="32" spans="3:5">
      <c r="D32" s="574"/>
      <c r="E32" s="575"/>
    </row>
  </sheetData>
  <mergeCells count="8">
    <mergeCell ref="C26:C27"/>
    <mergeCell ref="C28:C30"/>
    <mergeCell ref="C3:C6"/>
    <mergeCell ref="C7:C9"/>
    <mergeCell ref="C10:C12"/>
    <mergeCell ref="C13:C20"/>
    <mergeCell ref="C21:C22"/>
    <mergeCell ref="C23:C25"/>
  </mergeCells>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40678-1C40-4295-B480-0314BDD15CA5}">
  <sheetPr codeName="Sheet111"/>
  <dimension ref="A1:U50"/>
  <sheetViews>
    <sheetView workbookViewId="0"/>
  </sheetViews>
  <sheetFormatPr defaultColWidth="8.5" defaultRowHeight="15.6"/>
  <cols>
    <col min="1" max="1" width="32" customWidth="1"/>
    <col min="3" max="3" width="25.5" bestFit="1" customWidth="1"/>
    <col min="9" max="9" width="32.5" bestFit="1" customWidth="1"/>
    <col min="10" max="10" width="11.5" customWidth="1"/>
    <col min="12" max="12" width="12.5" customWidth="1"/>
    <col min="15" max="15" width="11.5" bestFit="1" customWidth="1"/>
    <col min="18" max="18" width="11.5" bestFit="1" customWidth="1"/>
    <col min="19" max="19" width="15" bestFit="1" customWidth="1"/>
    <col min="21" max="21" width="11.5" bestFit="1" customWidth="1"/>
  </cols>
  <sheetData>
    <row r="1" spans="1:21" ht="16.2" thickBot="1">
      <c r="J1" s="1465" t="s">
        <v>16497</v>
      </c>
      <c r="K1" s="1465"/>
      <c r="L1" s="1465"/>
      <c r="M1" s="1465" t="s">
        <v>16498</v>
      </c>
      <c r="N1" s="1465"/>
      <c r="O1" s="1465"/>
      <c r="P1" s="1465" t="s">
        <v>16499</v>
      </c>
      <c r="Q1" s="1465"/>
      <c r="R1" s="1465"/>
      <c r="S1" t="s">
        <v>434</v>
      </c>
    </row>
    <row r="2" spans="1:21">
      <c r="A2" t="s">
        <v>16500</v>
      </c>
      <c r="C2" t="s">
        <v>16501</v>
      </c>
      <c r="I2" t="s">
        <v>16231</v>
      </c>
      <c r="J2" s="276" t="s">
        <v>16235</v>
      </c>
      <c r="K2" s="277" t="s">
        <v>16236</v>
      </c>
      <c r="L2" s="278" t="s">
        <v>16237</v>
      </c>
      <c r="M2" s="276" t="s">
        <v>16235</v>
      </c>
      <c r="N2" s="277" t="s">
        <v>16236</v>
      </c>
      <c r="O2" s="278" t="s">
        <v>16237</v>
      </c>
      <c r="P2" s="276" t="s">
        <v>16235</v>
      </c>
      <c r="Q2" s="277" t="s">
        <v>16236</v>
      </c>
      <c r="R2" s="278" t="s">
        <v>16237</v>
      </c>
      <c r="S2" s="279" t="s">
        <v>16235</v>
      </c>
      <c r="T2" s="162"/>
      <c r="U2" s="162"/>
    </row>
    <row r="3" spans="1:21">
      <c r="A3" t="s">
        <v>16502</v>
      </c>
      <c r="B3" t="s">
        <v>16503</v>
      </c>
      <c r="C3" t="s">
        <v>16502</v>
      </c>
      <c r="D3" t="s">
        <v>16503</v>
      </c>
      <c r="I3" t="s">
        <v>16504</v>
      </c>
      <c r="J3" s="1581" t="s">
        <v>16505</v>
      </c>
      <c r="K3" s="1465"/>
      <c r="L3" s="1582"/>
      <c r="M3" s="253"/>
      <c r="O3" s="254" t="s">
        <v>783</v>
      </c>
      <c r="P3" s="253"/>
      <c r="R3" s="254" t="s">
        <v>783</v>
      </c>
      <c r="S3" s="280" t="s">
        <v>138</v>
      </c>
    </row>
    <row r="4" spans="1:21">
      <c r="A4" t="s">
        <v>16506</v>
      </c>
      <c r="B4" t="s">
        <v>16503</v>
      </c>
      <c r="C4" t="s">
        <v>16506</v>
      </c>
      <c r="D4" t="s">
        <v>16503</v>
      </c>
      <c r="I4" t="s">
        <v>16507</v>
      </c>
      <c r="J4" s="1581" t="s">
        <v>16505</v>
      </c>
      <c r="K4" s="1465"/>
      <c r="L4" s="1582"/>
      <c r="M4" s="253" t="s">
        <v>783</v>
      </c>
      <c r="N4" t="s">
        <v>783</v>
      </c>
      <c r="O4" s="254" t="s">
        <v>783</v>
      </c>
      <c r="P4" s="253" t="s">
        <v>783</v>
      </c>
      <c r="Q4" t="s">
        <v>783</v>
      </c>
      <c r="R4" s="254" t="s">
        <v>783</v>
      </c>
      <c r="S4" s="280" t="s">
        <v>138</v>
      </c>
    </row>
    <row r="5" spans="1:21">
      <c r="A5" t="s">
        <v>16508</v>
      </c>
      <c r="B5" t="s">
        <v>16509</v>
      </c>
      <c r="C5" t="s">
        <v>16508</v>
      </c>
      <c r="D5" t="s">
        <v>16503</v>
      </c>
      <c r="I5" t="s">
        <v>16252</v>
      </c>
      <c r="J5" s="1581" t="s">
        <v>16505</v>
      </c>
      <c r="K5" s="1465"/>
      <c r="L5" s="1582"/>
      <c r="M5" s="1581" t="s">
        <v>138</v>
      </c>
      <c r="N5" s="1465"/>
      <c r="O5" s="1582"/>
      <c r="P5" s="253" t="s">
        <v>783</v>
      </c>
      <c r="Q5" t="s">
        <v>783</v>
      </c>
      <c r="R5" s="254" t="s">
        <v>783</v>
      </c>
      <c r="S5" s="280" t="s">
        <v>138</v>
      </c>
    </row>
    <row r="6" spans="1:21">
      <c r="A6" t="s">
        <v>16510</v>
      </c>
      <c r="B6" t="s">
        <v>16511</v>
      </c>
      <c r="C6" t="s">
        <v>16510</v>
      </c>
      <c r="D6" t="s">
        <v>16503</v>
      </c>
      <c r="I6" s="281" t="s">
        <v>16255</v>
      </c>
      <c r="J6" s="256" t="s">
        <v>783</v>
      </c>
      <c r="K6" s="281" t="s">
        <v>783</v>
      </c>
      <c r="L6" s="282" t="s">
        <v>783</v>
      </c>
      <c r="M6" s="256" t="s">
        <v>783</v>
      </c>
      <c r="N6" s="281" t="s">
        <v>783</v>
      </c>
      <c r="O6" s="282" t="s">
        <v>783</v>
      </c>
      <c r="P6" s="256" t="s">
        <v>783</v>
      </c>
      <c r="Q6" s="281" t="s">
        <v>783</v>
      </c>
      <c r="R6" s="282" t="s">
        <v>783</v>
      </c>
      <c r="S6" s="283" t="s">
        <v>783</v>
      </c>
    </row>
    <row r="7" spans="1:21">
      <c r="A7" t="s">
        <v>16512</v>
      </c>
      <c r="B7" t="s">
        <v>16511</v>
      </c>
      <c r="C7" t="s">
        <v>16512</v>
      </c>
      <c r="D7" t="s">
        <v>16503</v>
      </c>
      <c r="I7" t="s">
        <v>16258</v>
      </c>
      <c r="J7" s="253" t="s">
        <v>783</v>
      </c>
      <c r="K7" t="s">
        <v>783</v>
      </c>
      <c r="L7" s="254" t="s">
        <v>783</v>
      </c>
      <c r="M7" s="253" t="s">
        <v>783</v>
      </c>
      <c r="N7" t="s">
        <v>783</v>
      </c>
      <c r="O7" s="254" t="s">
        <v>783</v>
      </c>
      <c r="P7" s="253" t="s">
        <v>783</v>
      </c>
      <c r="Q7" t="s">
        <v>783</v>
      </c>
      <c r="R7" s="254" t="s">
        <v>783</v>
      </c>
      <c r="S7" s="280" t="s">
        <v>783</v>
      </c>
    </row>
    <row r="8" spans="1:21">
      <c r="I8" t="s">
        <v>16264</v>
      </c>
      <c r="J8" s="1581" t="s">
        <v>16505</v>
      </c>
      <c r="K8" s="1465"/>
      <c r="L8" s="1582"/>
      <c r="M8" s="1581" t="s">
        <v>16513</v>
      </c>
      <c r="N8" s="1465"/>
      <c r="O8" s="1582"/>
      <c r="P8" s="253"/>
      <c r="R8" s="254" t="s">
        <v>783</v>
      </c>
      <c r="S8" s="280" t="s">
        <v>138</v>
      </c>
    </row>
    <row r="9" spans="1:21">
      <c r="A9" t="s">
        <v>16514</v>
      </c>
      <c r="B9" t="s">
        <v>16503</v>
      </c>
      <c r="C9" t="s">
        <v>16514</v>
      </c>
      <c r="D9" t="s">
        <v>16503</v>
      </c>
      <c r="I9" t="s">
        <v>16267</v>
      </c>
      <c r="J9" s="1581" t="s">
        <v>16505</v>
      </c>
      <c r="K9" s="1465"/>
      <c r="L9" s="1582"/>
      <c r="M9" s="1581" t="s">
        <v>16513</v>
      </c>
      <c r="N9" s="1465"/>
      <c r="O9" s="1582"/>
      <c r="P9" s="253"/>
      <c r="R9" s="254" t="s">
        <v>783</v>
      </c>
      <c r="S9" s="280" t="s">
        <v>138</v>
      </c>
    </row>
    <row r="10" spans="1:21">
      <c r="A10" t="s">
        <v>16515</v>
      </c>
      <c r="B10" t="s">
        <v>16503</v>
      </c>
      <c r="C10" t="s">
        <v>16515</v>
      </c>
      <c r="D10" t="s">
        <v>16503</v>
      </c>
      <c r="I10" t="s">
        <v>16273</v>
      </c>
      <c r="J10" s="253"/>
      <c r="K10" t="s">
        <v>783</v>
      </c>
      <c r="L10" s="254" t="s">
        <v>783</v>
      </c>
      <c r="M10" s="253"/>
      <c r="N10" t="s">
        <v>783</v>
      </c>
      <c r="O10" s="254" t="s">
        <v>783</v>
      </c>
      <c r="P10" s="253"/>
      <c r="Q10" t="s">
        <v>783</v>
      </c>
      <c r="R10" s="254" t="s">
        <v>783</v>
      </c>
      <c r="S10" s="280" t="s">
        <v>783</v>
      </c>
    </row>
    <row r="11" spans="1:21">
      <c r="A11" t="s">
        <v>16516</v>
      </c>
      <c r="B11" t="s">
        <v>16503</v>
      </c>
      <c r="C11" t="s">
        <v>16516</v>
      </c>
      <c r="D11" t="s">
        <v>16503</v>
      </c>
      <c r="I11" t="s">
        <v>16278</v>
      </c>
      <c r="J11" s="253"/>
      <c r="K11" t="s">
        <v>783</v>
      </c>
      <c r="L11" s="254" t="s">
        <v>783</v>
      </c>
      <c r="M11" s="253"/>
      <c r="N11" t="s">
        <v>783</v>
      </c>
      <c r="O11" s="254" t="s">
        <v>783</v>
      </c>
      <c r="P11" s="253"/>
      <c r="Q11" t="s">
        <v>783</v>
      </c>
      <c r="R11" s="254" t="s">
        <v>783</v>
      </c>
      <c r="S11" s="280" t="s">
        <v>783</v>
      </c>
    </row>
    <row r="12" spans="1:21">
      <c r="I12" t="s">
        <v>16280</v>
      </c>
      <c r="J12" s="253"/>
      <c r="K12" t="s">
        <v>138</v>
      </c>
      <c r="L12" s="254" t="s">
        <v>138</v>
      </c>
      <c r="M12" s="253"/>
      <c r="N12" t="s">
        <v>783</v>
      </c>
      <c r="O12" s="254" t="s">
        <v>783</v>
      </c>
      <c r="P12" s="253"/>
      <c r="Q12" t="s">
        <v>783</v>
      </c>
      <c r="R12" s="254" t="s">
        <v>783</v>
      </c>
      <c r="S12" s="280" t="s">
        <v>138</v>
      </c>
    </row>
    <row r="13" spans="1:21">
      <c r="A13" t="s">
        <v>16517</v>
      </c>
      <c r="B13" t="s">
        <v>16511</v>
      </c>
      <c r="C13" t="s">
        <v>16517</v>
      </c>
      <c r="D13" t="s">
        <v>16503</v>
      </c>
      <c r="I13" t="s">
        <v>16518</v>
      </c>
      <c r="J13" s="253"/>
      <c r="K13" t="s">
        <v>783</v>
      </c>
      <c r="L13" s="254"/>
      <c r="M13" s="253"/>
      <c r="N13" t="s">
        <v>783</v>
      </c>
      <c r="O13" s="254"/>
      <c r="P13" s="253"/>
      <c r="Q13" t="s">
        <v>783</v>
      </c>
      <c r="R13" s="254"/>
      <c r="S13" s="280" t="s">
        <v>783</v>
      </c>
    </row>
    <row r="14" spans="1:21">
      <c r="A14" t="s">
        <v>16519</v>
      </c>
      <c r="B14" t="s">
        <v>16503</v>
      </c>
      <c r="C14" t="s">
        <v>16519</v>
      </c>
      <c r="D14" t="s">
        <v>16503</v>
      </c>
      <c r="I14" t="s">
        <v>16286</v>
      </c>
      <c r="J14" s="253"/>
      <c r="L14" s="254" t="s">
        <v>783</v>
      </c>
      <c r="M14" s="253"/>
      <c r="O14" s="254" t="s">
        <v>783</v>
      </c>
      <c r="P14" s="253"/>
      <c r="R14" s="254" t="s">
        <v>783</v>
      </c>
      <c r="S14" s="280"/>
    </row>
    <row r="15" spans="1:21">
      <c r="A15" t="s">
        <v>16520</v>
      </c>
      <c r="B15" t="s">
        <v>16503</v>
      </c>
      <c r="C15" t="s">
        <v>16520</v>
      </c>
      <c r="D15" t="s">
        <v>16503</v>
      </c>
      <c r="I15" t="s">
        <v>16291</v>
      </c>
      <c r="J15" s="253"/>
      <c r="L15" s="254" t="s">
        <v>783</v>
      </c>
      <c r="M15" s="253"/>
      <c r="O15" s="254" t="s">
        <v>783</v>
      </c>
      <c r="P15" s="253"/>
      <c r="R15" s="254" t="s">
        <v>783</v>
      </c>
      <c r="S15" s="280" t="s">
        <v>783</v>
      </c>
    </row>
    <row r="16" spans="1:21">
      <c r="A16" t="s">
        <v>16521</v>
      </c>
      <c r="B16" t="s">
        <v>16511</v>
      </c>
      <c r="C16" t="s">
        <v>16521</v>
      </c>
      <c r="D16" t="s">
        <v>16503</v>
      </c>
      <c r="I16" t="s">
        <v>16294</v>
      </c>
      <c r="J16" s="253"/>
      <c r="L16" s="254" t="s">
        <v>783</v>
      </c>
      <c r="M16" s="253"/>
      <c r="O16" s="254" t="s">
        <v>783</v>
      </c>
      <c r="P16" s="253"/>
      <c r="R16" s="254" t="s">
        <v>783</v>
      </c>
      <c r="S16" s="280" t="s">
        <v>783</v>
      </c>
    </row>
    <row r="17" spans="1:19">
      <c r="A17" t="s">
        <v>16522</v>
      </c>
      <c r="B17" t="s">
        <v>16503</v>
      </c>
      <c r="C17" t="s">
        <v>16522</v>
      </c>
      <c r="D17" t="s">
        <v>16503</v>
      </c>
      <c r="I17" t="s">
        <v>16297</v>
      </c>
      <c r="J17" s="253"/>
      <c r="K17" t="s">
        <v>783</v>
      </c>
      <c r="L17" s="254"/>
      <c r="M17" s="253"/>
      <c r="N17" t="s">
        <v>783</v>
      </c>
      <c r="O17" s="254"/>
      <c r="P17" s="253"/>
      <c r="Q17" t="s">
        <v>783</v>
      </c>
      <c r="R17" s="254"/>
      <c r="S17" s="280"/>
    </row>
    <row r="18" spans="1:19">
      <c r="A18" t="s">
        <v>16523</v>
      </c>
      <c r="B18" t="s">
        <v>16503</v>
      </c>
      <c r="C18" t="s">
        <v>16523</v>
      </c>
      <c r="D18" t="s">
        <v>16503</v>
      </c>
      <c r="I18" t="s">
        <v>16299</v>
      </c>
      <c r="J18" s="253"/>
      <c r="K18" s="258" t="s">
        <v>16524</v>
      </c>
      <c r="L18" s="254" t="s">
        <v>783</v>
      </c>
      <c r="M18" s="253"/>
      <c r="O18" s="254" t="s">
        <v>783</v>
      </c>
      <c r="P18" s="253"/>
      <c r="R18" s="254" t="s">
        <v>783</v>
      </c>
      <c r="S18" s="280" t="s">
        <v>783</v>
      </c>
    </row>
    <row r="19" spans="1:19">
      <c r="I19" t="s">
        <v>16301</v>
      </c>
      <c r="J19" s="253"/>
      <c r="L19" s="254" t="s">
        <v>783</v>
      </c>
      <c r="M19" s="253"/>
      <c r="O19" s="254" t="s">
        <v>783</v>
      </c>
      <c r="P19" s="253"/>
      <c r="R19" s="254" t="s">
        <v>783</v>
      </c>
      <c r="S19" s="280" t="s">
        <v>16525</v>
      </c>
    </row>
    <row r="20" spans="1:19">
      <c r="A20" s="162" t="s">
        <v>16526</v>
      </c>
      <c r="I20" t="s">
        <v>16302</v>
      </c>
      <c r="J20" s="1581" t="s">
        <v>16505</v>
      </c>
      <c r="K20" s="1465"/>
      <c r="L20" s="1582"/>
      <c r="M20" s="1581" t="s">
        <v>138</v>
      </c>
      <c r="N20" s="1465"/>
      <c r="O20" s="1582"/>
      <c r="P20" s="253" t="s">
        <v>783</v>
      </c>
      <c r="Q20" s="253" t="s">
        <v>783</v>
      </c>
      <c r="R20" s="280" t="s">
        <v>783</v>
      </c>
      <c r="S20" s="280" t="s">
        <v>138</v>
      </c>
    </row>
    <row r="21" spans="1:19" ht="16.2" thickBot="1">
      <c r="A21" s="162" t="s">
        <v>16527</v>
      </c>
      <c r="B21" t="s">
        <v>16528</v>
      </c>
      <c r="C21" t="s">
        <v>914</v>
      </c>
      <c r="I21" t="s">
        <v>16305</v>
      </c>
      <c r="J21" s="1583" t="s">
        <v>16505</v>
      </c>
      <c r="K21" s="1584"/>
      <c r="L21" s="1585"/>
      <c r="M21" s="1583" t="s">
        <v>138</v>
      </c>
      <c r="N21" s="1584"/>
      <c r="O21" s="1585"/>
      <c r="P21" s="260" t="s">
        <v>783</v>
      </c>
      <c r="Q21" s="260" t="s">
        <v>783</v>
      </c>
      <c r="R21" s="284" t="s">
        <v>783</v>
      </c>
      <c r="S21" s="284" t="s">
        <v>138</v>
      </c>
    </row>
    <row r="22" spans="1:19">
      <c r="A22" t="s">
        <v>16529</v>
      </c>
    </row>
    <row r="23" spans="1:19" ht="16.2" thickBot="1">
      <c r="A23" t="s">
        <v>16530</v>
      </c>
    </row>
    <row r="24" spans="1:19" ht="16.2" thickBot="1">
      <c r="A24" t="s">
        <v>16531</v>
      </c>
      <c r="J24" s="1586" t="s">
        <v>16497</v>
      </c>
      <c r="K24" s="1587"/>
      <c r="L24" s="1588"/>
      <c r="M24" s="1586" t="s">
        <v>16498</v>
      </c>
      <c r="N24" s="1587"/>
      <c r="O24" s="1588"/>
      <c r="P24" s="1586" t="s">
        <v>16499</v>
      </c>
      <c r="Q24" s="1587"/>
      <c r="R24" s="1588"/>
      <c r="S24" s="285" t="s">
        <v>434</v>
      </c>
    </row>
    <row r="25" spans="1:19">
      <c r="A25" t="s">
        <v>16532</v>
      </c>
      <c r="I25" t="s">
        <v>16231</v>
      </c>
      <c r="J25" s="276" t="s">
        <v>16235</v>
      </c>
      <c r="K25" s="277" t="s">
        <v>16236</v>
      </c>
      <c r="L25" s="278" t="s">
        <v>16237</v>
      </c>
      <c r="M25" s="276" t="s">
        <v>16235</v>
      </c>
      <c r="N25" s="277" t="s">
        <v>16236</v>
      </c>
      <c r="O25" s="278" t="s">
        <v>16237</v>
      </c>
      <c r="P25" s="276" t="s">
        <v>16235</v>
      </c>
      <c r="Q25" s="277" t="s">
        <v>16236</v>
      </c>
      <c r="R25" s="278" t="s">
        <v>16237</v>
      </c>
      <c r="S25" s="278" t="s">
        <v>16235</v>
      </c>
    </row>
    <row r="26" spans="1:19">
      <c r="A26" t="s">
        <v>1172</v>
      </c>
      <c r="I26" t="s">
        <v>16504</v>
      </c>
      <c r="J26" s="253" t="s">
        <v>143</v>
      </c>
      <c r="K26" t="s">
        <v>143</v>
      </c>
      <c r="L26" s="254" t="s">
        <v>143</v>
      </c>
      <c r="M26" s="253" t="s">
        <v>143</v>
      </c>
      <c r="N26" t="s">
        <v>143</v>
      </c>
      <c r="O26" s="254" t="s">
        <v>145</v>
      </c>
      <c r="P26" s="253" t="s">
        <v>143</v>
      </c>
      <c r="Q26" t="s">
        <v>143</v>
      </c>
      <c r="R26" s="254" t="s">
        <v>145</v>
      </c>
      <c r="S26" s="254" t="s">
        <v>138</v>
      </c>
    </row>
    <row r="27" spans="1:19">
      <c r="A27" t="s">
        <v>16519</v>
      </c>
      <c r="I27" t="s">
        <v>16507</v>
      </c>
      <c r="J27" s="253" t="s">
        <v>143</v>
      </c>
      <c r="K27" t="s">
        <v>143</v>
      </c>
      <c r="L27" s="254" t="s">
        <v>143</v>
      </c>
      <c r="M27" s="253" t="s">
        <v>145</v>
      </c>
      <c r="N27" t="s">
        <v>145</v>
      </c>
      <c r="O27" s="254" t="s">
        <v>145</v>
      </c>
      <c r="P27" s="253" t="s">
        <v>145</v>
      </c>
      <c r="Q27" t="s">
        <v>145</v>
      </c>
      <c r="R27" s="254" t="s">
        <v>145</v>
      </c>
      <c r="S27" s="254" t="s">
        <v>138</v>
      </c>
    </row>
    <row r="28" spans="1:19">
      <c r="A28" t="s">
        <v>16533</v>
      </c>
      <c r="I28" t="s">
        <v>16252</v>
      </c>
      <c r="J28" s="253" t="s">
        <v>143</v>
      </c>
      <c r="K28" t="s">
        <v>143</v>
      </c>
      <c r="L28" s="254" t="s">
        <v>143</v>
      </c>
      <c r="M28" s="253" t="s">
        <v>143</v>
      </c>
      <c r="N28" t="s">
        <v>143</v>
      </c>
      <c r="O28" s="254" t="s">
        <v>143</v>
      </c>
      <c r="P28" s="253" t="s">
        <v>145</v>
      </c>
      <c r="Q28" t="s">
        <v>145</v>
      </c>
      <c r="R28" s="254" t="s">
        <v>145</v>
      </c>
      <c r="S28" s="254" t="s">
        <v>138</v>
      </c>
    </row>
    <row r="29" spans="1:19">
      <c r="A29" t="s">
        <v>16534</v>
      </c>
      <c r="I29" t="s">
        <v>16255</v>
      </c>
      <c r="J29" s="253" t="s">
        <v>145</v>
      </c>
      <c r="K29" t="s">
        <v>145</v>
      </c>
      <c r="L29" s="254" t="s">
        <v>145</v>
      </c>
      <c r="M29" s="253" t="s">
        <v>145</v>
      </c>
      <c r="N29" t="s">
        <v>145</v>
      </c>
      <c r="O29" s="254" t="s">
        <v>145</v>
      </c>
      <c r="P29" s="253" t="s">
        <v>145</v>
      </c>
      <c r="Q29" t="s">
        <v>145</v>
      </c>
      <c r="R29" s="254" t="s">
        <v>145</v>
      </c>
      <c r="S29" s="254" t="s">
        <v>145</v>
      </c>
    </row>
    <row r="30" spans="1:19">
      <c r="A30" t="s">
        <v>16535</v>
      </c>
      <c r="I30" t="s">
        <v>16258</v>
      </c>
      <c r="J30" s="253" t="s">
        <v>145</v>
      </c>
      <c r="K30" t="s">
        <v>145</v>
      </c>
      <c r="L30" s="254" t="s">
        <v>145</v>
      </c>
      <c r="M30" s="253" t="s">
        <v>145</v>
      </c>
      <c r="N30" t="s">
        <v>145</v>
      </c>
      <c r="O30" s="254" t="s">
        <v>145</v>
      </c>
      <c r="P30" s="253" t="s">
        <v>145</v>
      </c>
      <c r="Q30" t="s">
        <v>145</v>
      </c>
      <c r="R30" s="254" t="s">
        <v>145</v>
      </c>
      <c r="S30" s="254" t="s">
        <v>145</v>
      </c>
    </row>
    <row r="31" spans="1:19">
      <c r="I31" t="s">
        <v>16264</v>
      </c>
      <c r="J31" s="253" t="s">
        <v>143</v>
      </c>
      <c r="K31" t="s">
        <v>143</v>
      </c>
      <c r="L31" s="254" t="s">
        <v>143</v>
      </c>
      <c r="M31" s="253" t="s">
        <v>143</v>
      </c>
      <c r="N31" t="s">
        <v>143</v>
      </c>
      <c r="O31" s="254" t="s">
        <v>143</v>
      </c>
      <c r="P31" s="253" t="s">
        <v>143</v>
      </c>
      <c r="Q31" t="s">
        <v>143</v>
      </c>
      <c r="R31" s="254" t="s">
        <v>145</v>
      </c>
      <c r="S31" s="254" t="s">
        <v>138</v>
      </c>
    </row>
    <row r="32" spans="1:19">
      <c r="I32" t="s">
        <v>16267</v>
      </c>
      <c r="J32" s="253" t="s">
        <v>143</v>
      </c>
      <c r="K32" t="s">
        <v>143</v>
      </c>
      <c r="L32" s="254" t="s">
        <v>143</v>
      </c>
      <c r="M32" s="253" t="s">
        <v>143</v>
      </c>
      <c r="N32" t="s">
        <v>143</v>
      </c>
      <c r="O32" s="254" t="s">
        <v>143</v>
      </c>
      <c r="P32" s="253" t="s">
        <v>143</v>
      </c>
      <c r="Q32" t="s">
        <v>143</v>
      </c>
      <c r="R32" s="254" t="s">
        <v>145</v>
      </c>
      <c r="S32" s="254" t="s">
        <v>138</v>
      </c>
    </row>
    <row r="33" spans="1:19">
      <c r="I33" t="s">
        <v>16273</v>
      </c>
      <c r="J33" s="253" t="s">
        <v>143</v>
      </c>
      <c r="K33" t="s">
        <v>145</v>
      </c>
      <c r="L33" s="254" t="s">
        <v>145</v>
      </c>
      <c r="M33" s="253" t="s">
        <v>143</v>
      </c>
      <c r="N33" t="s">
        <v>145</v>
      </c>
      <c r="O33" s="254" t="s">
        <v>145</v>
      </c>
      <c r="P33" s="253" t="s">
        <v>143</v>
      </c>
      <c r="Q33" t="s">
        <v>145</v>
      </c>
      <c r="R33" s="254" t="s">
        <v>145</v>
      </c>
      <c r="S33" s="254" t="s">
        <v>145</v>
      </c>
    </row>
    <row r="34" spans="1:19">
      <c r="A34" t="s">
        <v>16536</v>
      </c>
      <c r="I34" t="s">
        <v>16278</v>
      </c>
      <c r="J34" s="253" t="s">
        <v>143</v>
      </c>
      <c r="K34" t="s">
        <v>145</v>
      </c>
      <c r="L34" s="254" t="s">
        <v>145</v>
      </c>
      <c r="M34" s="253" t="s">
        <v>143</v>
      </c>
      <c r="N34" t="s">
        <v>145</v>
      </c>
      <c r="O34" s="254" t="s">
        <v>145</v>
      </c>
      <c r="P34" s="253" t="s">
        <v>143</v>
      </c>
      <c r="Q34" t="s">
        <v>145</v>
      </c>
      <c r="R34" s="254" t="s">
        <v>145</v>
      </c>
      <c r="S34" s="254" t="s">
        <v>145</v>
      </c>
    </row>
    <row r="35" spans="1:19">
      <c r="A35" t="s">
        <v>16537</v>
      </c>
      <c r="I35" t="s">
        <v>16280</v>
      </c>
      <c r="J35" s="253" t="s">
        <v>143</v>
      </c>
      <c r="K35" t="s">
        <v>143</v>
      </c>
      <c r="L35" s="254" t="s">
        <v>143</v>
      </c>
      <c r="M35" s="253" t="s">
        <v>143</v>
      </c>
      <c r="N35" t="s">
        <v>145</v>
      </c>
      <c r="O35" s="254" t="s">
        <v>145</v>
      </c>
      <c r="P35" s="253" t="s">
        <v>143</v>
      </c>
      <c r="Q35" t="s">
        <v>145</v>
      </c>
      <c r="R35" s="254" t="s">
        <v>145</v>
      </c>
      <c r="S35" s="254" t="s">
        <v>138</v>
      </c>
    </row>
    <row r="36" spans="1:19">
      <c r="A36" t="s">
        <v>16538</v>
      </c>
      <c r="I36" t="s">
        <v>16518</v>
      </c>
      <c r="J36" s="253" t="s">
        <v>143</v>
      </c>
      <c r="K36" t="s">
        <v>145</v>
      </c>
      <c r="L36" s="254" t="s">
        <v>143</v>
      </c>
      <c r="M36" s="253" t="s">
        <v>143</v>
      </c>
      <c r="N36" t="s">
        <v>145</v>
      </c>
      <c r="O36" s="254" t="s">
        <v>143</v>
      </c>
      <c r="P36" s="253" t="s">
        <v>143</v>
      </c>
      <c r="Q36" t="s">
        <v>145</v>
      </c>
      <c r="R36" s="254" t="s">
        <v>143</v>
      </c>
      <c r="S36" s="254" t="s">
        <v>145</v>
      </c>
    </row>
    <row r="37" spans="1:19">
      <c r="A37" t="s">
        <v>16539</v>
      </c>
      <c r="I37" t="s">
        <v>16286</v>
      </c>
      <c r="J37" s="253" t="s">
        <v>143</v>
      </c>
      <c r="K37" t="s">
        <v>143</v>
      </c>
      <c r="L37" s="254" t="s">
        <v>145</v>
      </c>
      <c r="M37" s="253" t="s">
        <v>143</v>
      </c>
      <c r="N37" t="s">
        <v>143</v>
      </c>
      <c r="O37" s="254" t="s">
        <v>145</v>
      </c>
      <c r="P37" s="253" t="s">
        <v>143</v>
      </c>
      <c r="Q37" t="s">
        <v>143</v>
      </c>
      <c r="R37" s="254" t="s">
        <v>145</v>
      </c>
      <c r="S37" s="254" t="s">
        <v>138</v>
      </c>
    </row>
    <row r="38" spans="1:19">
      <c r="A38" t="s">
        <v>16540</v>
      </c>
      <c r="I38" t="s">
        <v>16291</v>
      </c>
      <c r="J38" s="253" t="s">
        <v>143</v>
      </c>
      <c r="K38" t="s">
        <v>143</v>
      </c>
      <c r="L38" s="254" t="s">
        <v>145</v>
      </c>
      <c r="M38" s="253" t="s">
        <v>143</v>
      </c>
      <c r="N38" t="s">
        <v>143</v>
      </c>
      <c r="O38" s="254" t="s">
        <v>145</v>
      </c>
      <c r="P38" s="253" t="s">
        <v>143</v>
      </c>
      <c r="Q38" t="s">
        <v>143</v>
      </c>
      <c r="R38" s="254" t="s">
        <v>145</v>
      </c>
      <c r="S38" s="254" t="s">
        <v>145</v>
      </c>
    </row>
    <row r="39" spans="1:19">
      <c r="I39" t="s">
        <v>16294</v>
      </c>
      <c r="J39" s="253" t="s">
        <v>143</v>
      </c>
      <c r="K39" t="s">
        <v>143</v>
      </c>
      <c r="L39" s="254" t="s">
        <v>145</v>
      </c>
      <c r="M39" s="253" t="s">
        <v>143</v>
      </c>
      <c r="N39" t="s">
        <v>143</v>
      </c>
      <c r="O39" s="254" t="s">
        <v>145</v>
      </c>
      <c r="P39" s="253" t="s">
        <v>143</v>
      </c>
      <c r="Q39" t="s">
        <v>143</v>
      </c>
      <c r="R39" s="254" t="s">
        <v>145</v>
      </c>
      <c r="S39" s="254" t="s">
        <v>145</v>
      </c>
    </row>
    <row r="40" spans="1:19">
      <c r="A40" t="s">
        <v>16541</v>
      </c>
      <c r="I40" t="s">
        <v>16297</v>
      </c>
      <c r="J40" s="253" t="s">
        <v>143</v>
      </c>
      <c r="K40" t="s">
        <v>145</v>
      </c>
      <c r="L40" s="254" t="s">
        <v>143</v>
      </c>
      <c r="M40" s="253" t="s">
        <v>143</v>
      </c>
      <c r="N40" t="s">
        <v>145</v>
      </c>
      <c r="O40" s="254" t="s">
        <v>143</v>
      </c>
      <c r="P40" s="253" t="s">
        <v>143</v>
      </c>
      <c r="Q40" t="s">
        <v>145</v>
      </c>
      <c r="R40" s="254" t="s">
        <v>143</v>
      </c>
      <c r="S40" s="254" t="s">
        <v>145</v>
      </c>
    </row>
    <row r="41" spans="1:19">
      <c r="A41" t="s">
        <v>16542</v>
      </c>
      <c r="I41" t="s">
        <v>16299</v>
      </c>
      <c r="J41" s="253" t="s">
        <v>143</v>
      </c>
      <c r="K41" s="258" t="s">
        <v>143</v>
      </c>
      <c r="L41" s="254" t="s">
        <v>145</v>
      </c>
      <c r="M41" s="253" t="s">
        <v>143</v>
      </c>
      <c r="N41" t="s">
        <v>143</v>
      </c>
      <c r="O41" s="254" t="s">
        <v>145</v>
      </c>
      <c r="P41" s="253" t="s">
        <v>143</v>
      </c>
      <c r="Q41" t="s">
        <v>143</v>
      </c>
      <c r="R41" s="254" t="s">
        <v>145</v>
      </c>
      <c r="S41" s="254" t="s">
        <v>145</v>
      </c>
    </row>
    <row r="42" spans="1:19">
      <c r="A42" t="s">
        <v>16543</v>
      </c>
      <c r="I42" t="s">
        <v>16301</v>
      </c>
      <c r="J42" s="253" t="s">
        <v>143</v>
      </c>
      <c r="K42" t="s">
        <v>143</v>
      </c>
      <c r="L42" s="254" t="s">
        <v>145</v>
      </c>
      <c r="M42" s="253" t="s">
        <v>143</v>
      </c>
      <c r="N42" t="s">
        <v>143</v>
      </c>
      <c r="O42" s="254" t="s">
        <v>145</v>
      </c>
      <c r="P42" s="253" t="s">
        <v>143</v>
      </c>
      <c r="Q42" t="s">
        <v>143</v>
      </c>
      <c r="R42" s="254" t="s">
        <v>145</v>
      </c>
      <c r="S42" s="254" t="s">
        <v>16525</v>
      </c>
    </row>
    <row r="43" spans="1:19">
      <c r="A43" s="162" t="s">
        <v>16544</v>
      </c>
      <c r="B43" s="162"/>
      <c r="I43" t="s">
        <v>16302</v>
      </c>
      <c r="J43" s="253" t="s">
        <v>16505</v>
      </c>
      <c r="K43" t="s">
        <v>16505</v>
      </c>
      <c r="L43" s="254" t="s">
        <v>16505</v>
      </c>
      <c r="M43" s="253" t="s">
        <v>138</v>
      </c>
      <c r="N43" t="s">
        <v>138</v>
      </c>
      <c r="O43" s="254" t="s">
        <v>138</v>
      </c>
      <c r="P43" s="253" t="s">
        <v>145</v>
      </c>
      <c r="Q43" t="s">
        <v>145</v>
      </c>
      <c r="R43" s="254" t="s">
        <v>145</v>
      </c>
      <c r="S43" s="254" t="s">
        <v>138</v>
      </c>
    </row>
    <row r="44" spans="1:19" ht="16.2" thickBot="1">
      <c r="I44" t="s">
        <v>16305</v>
      </c>
      <c r="J44" s="260" t="s">
        <v>16505</v>
      </c>
      <c r="K44" s="275" t="s">
        <v>16505</v>
      </c>
      <c r="L44" s="262" t="s">
        <v>16505</v>
      </c>
      <c r="M44" s="260" t="s">
        <v>138</v>
      </c>
      <c r="N44" s="275" t="s">
        <v>138</v>
      </c>
      <c r="O44" s="262" t="s">
        <v>138</v>
      </c>
      <c r="P44" s="260" t="s">
        <v>145</v>
      </c>
      <c r="Q44" s="275" t="s">
        <v>145</v>
      </c>
      <c r="R44" s="262" t="s">
        <v>145</v>
      </c>
      <c r="S44" s="262" t="s">
        <v>138</v>
      </c>
    </row>
    <row r="47" spans="1:19">
      <c r="A47" t="s">
        <v>16517</v>
      </c>
      <c r="B47" t="s">
        <v>16511</v>
      </c>
    </row>
    <row r="48" spans="1:19">
      <c r="A48" t="s">
        <v>16520</v>
      </c>
      <c r="B48" t="s">
        <v>16503</v>
      </c>
    </row>
    <row r="49" spans="1:2">
      <c r="A49" t="s">
        <v>16522</v>
      </c>
      <c r="B49" t="s">
        <v>16503</v>
      </c>
    </row>
    <row r="50" spans="1:2">
      <c r="A50" t="s">
        <v>16523</v>
      </c>
      <c r="B50" t="s">
        <v>16503</v>
      </c>
    </row>
  </sheetData>
  <mergeCells count="18">
    <mergeCell ref="J21:L21"/>
    <mergeCell ref="M21:O21"/>
    <mergeCell ref="J24:L24"/>
    <mergeCell ref="M24:O24"/>
    <mergeCell ref="P24:R24"/>
    <mergeCell ref="J8:L8"/>
    <mergeCell ref="M8:O8"/>
    <mergeCell ref="J9:L9"/>
    <mergeCell ref="M9:O9"/>
    <mergeCell ref="J20:L20"/>
    <mergeCell ref="M20:O20"/>
    <mergeCell ref="J5:L5"/>
    <mergeCell ref="M5:O5"/>
    <mergeCell ref="J1:L1"/>
    <mergeCell ref="M1:O1"/>
    <mergeCell ref="P1:R1"/>
    <mergeCell ref="J3:L3"/>
    <mergeCell ref="J4:L4"/>
  </mergeCell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3:F19"/>
  <sheetViews>
    <sheetView workbookViewId="0"/>
  </sheetViews>
  <sheetFormatPr defaultColWidth="11" defaultRowHeight="15.6"/>
  <cols>
    <col min="2" max="2" width="14.5" bestFit="1" customWidth="1"/>
    <col min="4" max="4" width="36.5" bestFit="1" customWidth="1"/>
  </cols>
  <sheetData>
    <row r="3" spans="1:6">
      <c r="B3" s="2" t="s">
        <v>766</v>
      </c>
      <c r="C3" s="2" t="s">
        <v>16545</v>
      </c>
      <c r="D3" s="2" t="s">
        <v>16546</v>
      </c>
      <c r="E3" s="2" t="s">
        <v>16547</v>
      </c>
      <c r="F3" s="2"/>
    </row>
    <row r="4" spans="1:6">
      <c r="B4" s="2" t="s">
        <v>16548</v>
      </c>
      <c r="C4" s="2" t="s">
        <v>16549</v>
      </c>
      <c r="D4" s="2" t="s">
        <v>16550</v>
      </c>
      <c r="E4" s="2" t="s">
        <v>16551</v>
      </c>
      <c r="F4" s="1"/>
    </row>
    <row r="5" spans="1:6">
      <c r="A5" t="s">
        <v>272</v>
      </c>
      <c r="B5" s="1" t="s">
        <v>16552</v>
      </c>
      <c r="C5" s="1" t="s">
        <v>16552</v>
      </c>
      <c r="D5" s="17" t="s">
        <v>16553</v>
      </c>
      <c r="E5" s="1" t="s">
        <v>16554</v>
      </c>
      <c r="F5" s="1"/>
    </row>
    <row r="6" spans="1:6">
      <c r="A6" t="s">
        <v>16555</v>
      </c>
      <c r="B6" s="1" t="s">
        <v>16556</v>
      </c>
      <c r="C6" s="1" t="s">
        <v>16557</v>
      </c>
      <c r="D6" s="17" t="s">
        <v>16558</v>
      </c>
      <c r="E6" s="1" t="s">
        <v>16559</v>
      </c>
      <c r="F6" s="1"/>
    </row>
    <row r="7" spans="1:6">
      <c r="A7" t="s">
        <v>16560</v>
      </c>
      <c r="B7" s="1" t="s">
        <v>272</v>
      </c>
      <c r="C7" s="1" t="s">
        <v>16561</v>
      </c>
      <c r="D7" s="17" t="s">
        <v>16562</v>
      </c>
      <c r="E7" s="1" t="str">
        <f>"0431 294 241"</f>
        <v>0431 294 241</v>
      </c>
      <c r="F7" s="1"/>
    </row>
    <row r="8" spans="1:6">
      <c r="A8" t="s">
        <v>16563</v>
      </c>
      <c r="B8" s="1" t="s">
        <v>16564</v>
      </c>
      <c r="C8" s="1" t="s">
        <v>16565</v>
      </c>
      <c r="D8" s="17" t="s">
        <v>16566</v>
      </c>
      <c r="E8" s="1" t="s">
        <v>16567</v>
      </c>
      <c r="F8" s="1"/>
    </row>
    <row r="9" spans="1:6">
      <c r="B9" s="1" t="s">
        <v>16568</v>
      </c>
      <c r="C9" s="1" t="s">
        <v>16569</v>
      </c>
      <c r="D9" s="17" t="s">
        <v>16570</v>
      </c>
      <c r="E9" s="1" t="s">
        <v>16571</v>
      </c>
      <c r="F9" s="1"/>
    </row>
    <row r="10" spans="1:6">
      <c r="B10" s="1" t="s">
        <v>16572</v>
      </c>
      <c r="C10" s="1" t="s">
        <v>649</v>
      </c>
      <c r="D10" s="17" t="s">
        <v>16573</v>
      </c>
      <c r="E10" s="1" t="str">
        <f>"0416 351 981"</f>
        <v>0416 351 981</v>
      </c>
      <c r="F10" s="1"/>
    </row>
    <row r="11" spans="1:6">
      <c r="B11" s="1" t="s">
        <v>16560</v>
      </c>
      <c r="C11" s="1" t="s">
        <v>16574</v>
      </c>
      <c r="D11" s="17" t="s">
        <v>16575</v>
      </c>
      <c r="E11" s="1" t="s">
        <v>16576</v>
      </c>
      <c r="F11" s="1"/>
    </row>
    <row r="12" spans="1:6">
      <c r="B12" s="1" t="s">
        <v>16555</v>
      </c>
      <c r="C12" s="1" t="s">
        <v>16577</v>
      </c>
      <c r="D12" s="17" t="s">
        <v>16578</v>
      </c>
      <c r="E12" s="1" t="s">
        <v>16579</v>
      </c>
      <c r="F12" s="1"/>
    </row>
    <row r="13" spans="1:6">
      <c r="B13" s="1" t="s">
        <v>16580</v>
      </c>
      <c r="C13" s="1" t="s">
        <v>16581</v>
      </c>
      <c r="D13" s="17" t="s">
        <v>16582</v>
      </c>
      <c r="E13" s="1" t="s">
        <v>16583</v>
      </c>
    </row>
    <row r="14" spans="1:6">
      <c r="B14" s="1" t="s">
        <v>16584</v>
      </c>
      <c r="C14" s="1" t="s">
        <v>16585</v>
      </c>
      <c r="D14" s="17" t="s">
        <v>16586</v>
      </c>
      <c r="E14" s="1" t="s">
        <v>16587</v>
      </c>
      <c r="F14" s="1"/>
    </row>
    <row r="15" spans="1:6">
      <c r="B15" s="1"/>
      <c r="C15" s="1"/>
      <c r="D15" s="17"/>
      <c r="E15" s="1" t="s">
        <v>16588</v>
      </c>
      <c r="F15" s="1"/>
    </row>
    <row r="16" spans="1:6">
      <c r="B16" s="1"/>
      <c r="C16" s="1"/>
      <c r="D16" s="17"/>
      <c r="E16" s="1"/>
    </row>
    <row r="17" spans="2:5">
      <c r="B17" s="1"/>
      <c r="C17" s="1"/>
      <c r="D17" s="17"/>
      <c r="E17" s="1"/>
    </row>
    <row r="18" spans="2:5">
      <c r="B18" s="1"/>
      <c r="C18" s="1"/>
      <c r="D18" s="17"/>
      <c r="E18" s="1"/>
    </row>
    <row r="19" spans="2:5">
      <c r="B19" s="1"/>
      <c r="C19" s="1"/>
      <c r="D19" s="16"/>
      <c r="E19" s="1"/>
    </row>
  </sheetData>
  <hyperlinks>
    <hyperlink ref="D6" r:id="rId1" xr:uid="{00000000-0004-0000-1E00-000001000000}"/>
    <hyperlink ref="D7" r:id="rId2" xr:uid="{8CE1ADA3-B8AB-0742-BF8C-D4289747D4E3}"/>
    <hyperlink ref="D5" r:id="rId3" xr:uid="{D7888D20-A49D-4A92-9DCD-88DF6A1F717F}"/>
    <hyperlink ref="D10" r:id="rId4" xr:uid="{4225CDBD-4F94-4F80-ABBD-ED5D4AF09B8F}"/>
    <hyperlink ref="D12" r:id="rId5" xr:uid="{FBFD1F46-B1AD-41EE-A414-4ADA28BBE4D1}"/>
    <hyperlink ref="D13" r:id="rId6" xr:uid="{B2C9E933-45D9-4F10-919D-93F2D6E56A84}"/>
    <hyperlink ref="D8" r:id="rId7" xr:uid="{714B9A0F-15DD-4472-B421-C01936ED9E8D}"/>
    <hyperlink ref="D9" r:id="rId8" xr:uid="{696BFB66-7D3E-4919-8CAB-79FBA0105375}"/>
    <hyperlink ref="D11" r:id="rId9" xr:uid="{CC3E6C97-BDE9-4F64-A518-B7BA56773130}"/>
    <hyperlink ref="D14" r:id="rId10" xr:uid="{DA458A8F-3179-4CF1-98D9-1AA2AA2A52BD}"/>
  </hyperlinks>
  <pageMargins left="0.7" right="0.7" top="0.75" bottom="0.75" header="0.3" footer="0.3"/>
  <pageSetup paperSize="9" orientation="portrait" r:id="rId11"/>
  <tableParts count="1">
    <tablePart r:id="rId1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939F2-C9B5-4B3E-B3DA-6876B917BA42}">
  <sheetPr codeName="Sheet10"/>
  <dimension ref="A1:D69"/>
  <sheetViews>
    <sheetView topLeftCell="A46" workbookViewId="0">
      <selection activeCell="B69" sqref="B69"/>
    </sheetView>
  </sheetViews>
  <sheetFormatPr defaultColWidth="8.5" defaultRowHeight="15.6"/>
  <cols>
    <col min="1" max="1" width="16.09765625" customWidth="1"/>
    <col min="2" max="2" width="83.59765625" customWidth="1"/>
  </cols>
  <sheetData>
    <row r="1" spans="1:4">
      <c r="A1" t="s">
        <v>16589</v>
      </c>
      <c r="B1" t="s">
        <v>16590</v>
      </c>
      <c r="C1" t="s">
        <v>16591</v>
      </c>
      <c r="D1" t="s">
        <v>692</v>
      </c>
    </row>
    <row r="2" spans="1:4">
      <c r="A2" s="327">
        <v>44154</v>
      </c>
      <c r="B2" t="s">
        <v>16592</v>
      </c>
      <c r="C2" t="s">
        <v>16577</v>
      </c>
    </row>
    <row r="3" spans="1:4">
      <c r="A3" s="327">
        <v>44173</v>
      </c>
      <c r="B3" t="s">
        <v>16593</v>
      </c>
    </row>
    <row r="4" spans="1:4">
      <c r="A4" s="327">
        <v>44272</v>
      </c>
      <c r="B4" t="s">
        <v>16594</v>
      </c>
      <c r="C4" t="s">
        <v>16577</v>
      </c>
    </row>
    <row r="5" spans="1:4">
      <c r="A5" s="327">
        <v>44274</v>
      </c>
      <c r="B5" t="s">
        <v>16595</v>
      </c>
      <c r="C5" t="s">
        <v>16577</v>
      </c>
    </row>
    <row r="6" spans="1:4">
      <c r="A6" s="327">
        <v>44313</v>
      </c>
      <c r="B6" t="s">
        <v>16596</v>
      </c>
      <c r="C6" t="s">
        <v>16577</v>
      </c>
    </row>
    <row r="7" spans="1:4">
      <c r="A7" s="327">
        <v>44330</v>
      </c>
      <c r="B7" t="s">
        <v>16597</v>
      </c>
    </row>
    <row r="8" spans="1:4">
      <c r="A8" s="327">
        <v>44355</v>
      </c>
      <c r="B8" t="s">
        <v>16598</v>
      </c>
      <c r="C8" t="s">
        <v>16577</v>
      </c>
    </row>
    <row r="9" spans="1:4">
      <c r="A9" s="327">
        <v>44371</v>
      </c>
      <c r="B9" t="s">
        <v>16599</v>
      </c>
    </row>
    <row r="10" spans="1:4">
      <c r="A10" s="327">
        <v>44390</v>
      </c>
      <c r="B10" t="s">
        <v>16600</v>
      </c>
      <c r="C10" t="s">
        <v>16577</v>
      </c>
    </row>
    <row r="11" spans="1:4">
      <c r="A11" s="327">
        <v>44404</v>
      </c>
      <c r="B11" t="s">
        <v>16601</v>
      </c>
      <c r="C11" t="s">
        <v>16577</v>
      </c>
      <c r="D11" t="s">
        <v>16602</v>
      </c>
    </row>
    <row r="12" spans="1:4">
      <c r="A12" s="327">
        <v>44439</v>
      </c>
      <c r="B12" t="s">
        <v>16603</v>
      </c>
      <c r="C12" t="s">
        <v>16577</v>
      </c>
      <c r="D12" t="s">
        <v>16604</v>
      </c>
    </row>
    <row r="13" spans="1:4">
      <c r="A13" s="327">
        <v>44470</v>
      </c>
      <c r="B13" t="s">
        <v>16605</v>
      </c>
      <c r="C13" t="s">
        <v>16577</v>
      </c>
      <c r="D13" t="s">
        <v>16606</v>
      </c>
    </row>
    <row r="14" spans="1:4">
      <c r="A14" s="327">
        <v>44552</v>
      </c>
      <c r="B14" t="s">
        <v>16607</v>
      </c>
      <c r="C14" t="s">
        <v>16577</v>
      </c>
      <c r="D14" t="s">
        <v>16608</v>
      </c>
    </row>
    <row r="15" spans="1:4">
      <c r="A15" s="327">
        <v>44574</v>
      </c>
      <c r="B15" t="s">
        <v>16609</v>
      </c>
      <c r="C15" t="s">
        <v>16577</v>
      </c>
      <c r="D15" t="s">
        <v>16610</v>
      </c>
    </row>
    <row r="16" spans="1:4">
      <c r="A16" s="327">
        <v>44719</v>
      </c>
      <c r="B16" t="s">
        <v>16611</v>
      </c>
      <c r="C16" t="s">
        <v>16577</v>
      </c>
      <c r="D16">
        <v>16.600000000000001</v>
      </c>
    </row>
    <row r="17" spans="1:4">
      <c r="A17" s="327">
        <v>44732</v>
      </c>
      <c r="B17" t="s">
        <v>16612</v>
      </c>
      <c r="C17" t="s">
        <v>16613</v>
      </c>
      <c r="D17">
        <v>16.7</v>
      </c>
    </row>
    <row r="18" spans="1:4">
      <c r="A18" s="327">
        <v>44739</v>
      </c>
      <c r="B18" t="s">
        <v>16614</v>
      </c>
      <c r="C18" t="s">
        <v>16577</v>
      </c>
      <c r="D18">
        <v>16.8</v>
      </c>
    </row>
    <row r="19" spans="1:4">
      <c r="A19" s="327">
        <v>44775</v>
      </c>
      <c r="B19" t="s">
        <v>16615</v>
      </c>
      <c r="C19" t="s">
        <v>16616</v>
      </c>
      <c r="D19">
        <v>16.11</v>
      </c>
    </row>
    <row r="20" spans="1:4">
      <c r="A20" s="327">
        <v>44783</v>
      </c>
      <c r="B20" t="s">
        <v>16617</v>
      </c>
      <c r="C20" t="s">
        <v>16616</v>
      </c>
      <c r="D20">
        <v>16.12</v>
      </c>
    </row>
    <row r="21" spans="1:4">
      <c r="A21" s="327">
        <v>44805</v>
      </c>
      <c r="B21" t="s">
        <v>16618</v>
      </c>
      <c r="C21" t="s">
        <v>16616</v>
      </c>
      <c r="D21">
        <v>16.13</v>
      </c>
    </row>
    <row r="22" spans="1:4">
      <c r="A22" s="327">
        <v>44818</v>
      </c>
      <c r="B22" t="s">
        <v>16619</v>
      </c>
      <c r="C22" t="s">
        <v>16620</v>
      </c>
    </row>
    <row r="23" spans="1:4">
      <c r="A23" s="327">
        <v>44851</v>
      </c>
      <c r="B23" t="s">
        <v>16621</v>
      </c>
      <c r="C23" t="s">
        <v>16577</v>
      </c>
      <c r="D23">
        <v>16.14</v>
      </c>
    </row>
    <row r="24" spans="1:4">
      <c r="A24" s="327">
        <v>44867</v>
      </c>
      <c r="B24" t="s">
        <v>16622</v>
      </c>
      <c r="C24" t="s">
        <v>16577</v>
      </c>
      <c r="D24">
        <v>16.149999999999999</v>
      </c>
    </row>
    <row r="25" spans="1:4">
      <c r="A25" s="327">
        <v>44887</v>
      </c>
      <c r="B25" t="s">
        <v>16623</v>
      </c>
      <c r="C25" t="s">
        <v>16577</v>
      </c>
      <c r="D25">
        <v>16.170000000000002</v>
      </c>
    </row>
    <row r="26" spans="1:4">
      <c r="A26" s="327">
        <v>44939</v>
      </c>
      <c r="B26" t="s">
        <v>16624</v>
      </c>
      <c r="C26" t="s">
        <v>16577</v>
      </c>
      <c r="D26">
        <v>17</v>
      </c>
    </row>
    <row r="27" spans="1:4">
      <c r="A27" s="327">
        <v>44981</v>
      </c>
      <c r="B27" t="s">
        <v>16625</v>
      </c>
      <c r="C27" t="s">
        <v>16577</v>
      </c>
      <c r="D27">
        <v>17.2</v>
      </c>
    </row>
    <row r="28" spans="1:4">
      <c r="A28" s="327">
        <v>45006</v>
      </c>
      <c r="B28" t="s">
        <v>16626</v>
      </c>
      <c r="C28" t="s">
        <v>16577</v>
      </c>
      <c r="D28">
        <v>17.3</v>
      </c>
    </row>
    <row r="29" spans="1:4">
      <c r="A29" s="327">
        <v>45015</v>
      </c>
      <c r="B29" t="s">
        <v>16627</v>
      </c>
      <c r="C29" t="s">
        <v>16577</v>
      </c>
      <c r="D29">
        <v>17.399999999999999</v>
      </c>
    </row>
    <row r="30" spans="1:4">
      <c r="A30" s="327">
        <v>45034</v>
      </c>
      <c r="B30" t="s">
        <v>16628</v>
      </c>
      <c r="C30" t="s">
        <v>16577</v>
      </c>
      <c r="D30">
        <v>17.600000000000001</v>
      </c>
    </row>
    <row r="31" spans="1:4">
      <c r="A31" s="327">
        <v>45056</v>
      </c>
      <c r="B31" t="s">
        <v>16629</v>
      </c>
      <c r="C31" t="s">
        <v>16577</v>
      </c>
      <c r="D31">
        <v>17.7</v>
      </c>
    </row>
    <row r="32" spans="1:4" ht="31.2">
      <c r="A32" s="327">
        <v>45093</v>
      </c>
      <c r="B32" s="392" t="s">
        <v>16630</v>
      </c>
    </row>
    <row r="33" spans="1:4">
      <c r="A33" s="327">
        <v>45113</v>
      </c>
      <c r="B33" t="s">
        <v>16631</v>
      </c>
      <c r="C33" t="s">
        <v>16577</v>
      </c>
    </row>
    <row r="34" spans="1:4">
      <c r="A34" s="327">
        <v>45140</v>
      </c>
      <c r="B34" t="s">
        <v>16632</v>
      </c>
      <c r="C34" t="s">
        <v>16577</v>
      </c>
    </row>
    <row r="35" spans="1:4">
      <c r="A35" s="327">
        <v>45154</v>
      </c>
      <c r="B35" t="s">
        <v>16633</v>
      </c>
      <c r="C35" t="s">
        <v>16577</v>
      </c>
      <c r="D35">
        <v>18.2</v>
      </c>
    </row>
    <row r="36" spans="1:4">
      <c r="A36" s="327">
        <v>45168</v>
      </c>
      <c r="B36" t="s">
        <v>16634</v>
      </c>
      <c r="C36" t="s">
        <v>16577</v>
      </c>
      <c r="D36">
        <v>18.3</v>
      </c>
    </row>
    <row r="37" spans="1:4">
      <c r="A37" s="327">
        <v>45174</v>
      </c>
      <c r="B37" t="s">
        <v>16635</v>
      </c>
      <c r="C37" t="s">
        <v>16577</v>
      </c>
      <c r="D37">
        <v>18.399999999999999</v>
      </c>
    </row>
    <row r="38" spans="1:4">
      <c r="A38" s="327">
        <v>45176</v>
      </c>
      <c r="B38" t="s">
        <v>16636</v>
      </c>
      <c r="C38" t="s">
        <v>16577</v>
      </c>
    </row>
    <row r="39" spans="1:4">
      <c r="A39" s="327">
        <v>45182</v>
      </c>
      <c r="B39" t="s">
        <v>16637</v>
      </c>
      <c r="C39" t="s">
        <v>16577</v>
      </c>
      <c r="D39">
        <v>18.5</v>
      </c>
    </row>
    <row r="40" spans="1:4">
      <c r="A40" s="327">
        <v>45183</v>
      </c>
      <c r="B40" t="s">
        <v>16638</v>
      </c>
      <c r="C40" t="s">
        <v>16577</v>
      </c>
    </row>
    <row r="41" spans="1:4">
      <c r="A41" s="327">
        <v>45208</v>
      </c>
      <c r="B41" t="s">
        <v>16639</v>
      </c>
      <c r="C41" t="s">
        <v>16577</v>
      </c>
      <c r="D41">
        <v>19</v>
      </c>
    </row>
    <row r="42" spans="1:4">
      <c r="A42" s="327">
        <v>45215</v>
      </c>
      <c r="B42" t="s">
        <v>16640</v>
      </c>
      <c r="C42" t="s">
        <v>16577</v>
      </c>
      <c r="D42">
        <v>19.100000000000001</v>
      </c>
    </row>
    <row r="43" spans="1:4">
      <c r="A43" s="327">
        <v>45251</v>
      </c>
      <c r="B43" t="s">
        <v>16641</v>
      </c>
      <c r="C43" t="s">
        <v>16577</v>
      </c>
      <c r="D43">
        <v>19.2</v>
      </c>
    </row>
    <row r="44" spans="1:4" ht="57" customHeight="1">
      <c r="A44" s="327">
        <v>45281</v>
      </c>
      <c r="B44" s="392" t="s">
        <v>16642</v>
      </c>
      <c r="C44" t="s">
        <v>16574</v>
      </c>
      <c r="D44">
        <v>19.3</v>
      </c>
    </row>
    <row r="45" spans="1:4">
      <c r="A45" s="327">
        <v>45343</v>
      </c>
      <c r="B45" t="s">
        <v>16643</v>
      </c>
      <c r="C45" t="s">
        <v>16577</v>
      </c>
      <c r="D45">
        <v>19.399999999999999</v>
      </c>
    </row>
    <row r="46" spans="1:4" ht="46.8">
      <c r="A46" s="327">
        <v>45397</v>
      </c>
      <c r="B46" s="392" t="s">
        <v>16644</v>
      </c>
      <c r="C46" t="s">
        <v>16574</v>
      </c>
      <c r="D46">
        <v>19.5</v>
      </c>
    </row>
    <row r="47" spans="1:4">
      <c r="A47" s="327">
        <v>45401</v>
      </c>
      <c r="B47" t="s">
        <v>16645</v>
      </c>
      <c r="C47" t="s">
        <v>16577</v>
      </c>
      <c r="D47">
        <v>20</v>
      </c>
    </row>
    <row r="48" spans="1:4">
      <c r="A48" s="327">
        <v>45434</v>
      </c>
      <c r="B48" s="392" t="s">
        <v>16646</v>
      </c>
      <c r="C48" t="s">
        <v>16574</v>
      </c>
      <c r="D48">
        <v>20.100000000000001</v>
      </c>
    </row>
    <row r="49" spans="1:4">
      <c r="A49" s="327">
        <v>45492</v>
      </c>
      <c r="B49" t="s">
        <v>16647</v>
      </c>
      <c r="C49" t="s">
        <v>16577</v>
      </c>
      <c r="D49">
        <v>21</v>
      </c>
    </row>
    <row r="50" spans="1:4" ht="31.2">
      <c r="A50" s="327">
        <v>45497</v>
      </c>
      <c r="B50" s="392" t="s">
        <v>16648</v>
      </c>
      <c r="C50" t="s">
        <v>16574</v>
      </c>
      <c r="D50">
        <v>21.1</v>
      </c>
    </row>
    <row r="51" spans="1:4">
      <c r="A51" s="327">
        <v>45506</v>
      </c>
      <c r="B51" t="s">
        <v>16649</v>
      </c>
      <c r="C51" t="s">
        <v>16574</v>
      </c>
      <c r="D51">
        <v>21.2</v>
      </c>
    </row>
    <row r="52" spans="1:4">
      <c r="A52" s="327">
        <v>45509</v>
      </c>
      <c r="B52" s="392" t="s">
        <v>16650</v>
      </c>
      <c r="C52" t="s">
        <v>16577</v>
      </c>
      <c r="D52">
        <v>21.3</v>
      </c>
    </row>
    <row r="53" spans="1:4">
      <c r="A53" s="327">
        <v>45601</v>
      </c>
      <c r="B53" t="s">
        <v>16651</v>
      </c>
      <c r="C53" t="s">
        <v>16577</v>
      </c>
      <c r="D53">
        <v>21.4</v>
      </c>
    </row>
    <row r="54" spans="1:4">
      <c r="B54" s="392" t="s">
        <v>16652</v>
      </c>
      <c r="C54" t="s">
        <v>16574</v>
      </c>
      <c r="D54">
        <v>21.6</v>
      </c>
    </row>
    <row r="55" spans="1:4">
      <c r="B55" t="s">
        <v>16653</v>
      </c>
      <c r="C55" t="s">
        <v>16574</v>
      </c>
      <c r="D55">
        <v>21.7</v>
      </c>
    </row>
    <row r="56" spans="1:4">
      <c r="B56" s="392" t="s">
        <v>16654</v>
      </c>
      <c r="C56" t="s">
        <v>16655</v>
      </c>
      <c r="D56">
        <v>21.8</v>
      </c>
    </row>
    <row r="57" spans="1:4">
      <c r="A57" s="327">
        <v>45825</v>
      </c>
      <c r="B57" t="s">
        <v>16656</v>
      </c>
      <c r="C57" t="s">
        <v>16574</v>
      </c>
      <c r="D57">
        <v>21.9</v>
      </c>
    </row>
    <row r="58" spans="1:4">
      <c r="A58" s="327">
        <v>45841</v>
      </c>
      <c r="B58" s="392" t="s">
        <v>16657</v>
      </c>
      <c r="C58" t="s">
        <v>16574</v>
      </c>
      <c r="D58">
        <v>22.1</v>
      </c>
    </row>
    <row r="59" spans="1:4">
      <c r="A59" s="327">
        <v>45853</v>
      </c>
      <c r="B59" t="s">
        <v>16658</v>
      </c>
      <c r="C59" t="s">
        <v>16574</v>
      </c>
      <c r="D59">
        <v>22.2</v>
      </c>
    </row>
    <row r="60" spans="1:4">
      <c r="A60" s="327">
        <v>45877</v>
      </c>
      <c r="B60" s="392" t="s">
        <v>16659</v>
      </c>
      <c r="C60" t="s">
        <v>16620</v>
      </c>
      <c r="D60">
        <v>22.3</v>
      </c>
    </row>
    <row r="61" spans="1:4">
      <c r="A61" s="327">
        <v>45882</v>
      </c>
      <c r="B61" t="s">
        <v>16660</v>
      </c>
      <c r="C61" t="s">
        <v>16574</v>
      </c>
      <c r="D61">
        <v>22.4</v>
      </c>
    </row>
    <row r="62" spans="1:4">
      <c r="A62" s="327">
        <v>45884</v>
      </c>
      <c r="B62" s="392" t="s">
        <v>16661</v>
      </c>
      <c r="C62" t="s">
        <v>16574</v>
      </c>
      <c r="D62">
        <v>22.4</v>
      </c>
    </row>
    <row r="63" spans="1:4">
      <c r="A63" s="327">
        <v>45890</v>
      </c>
      <c r="B63" t="s">
        <v>16662</v>
      </c>
      <c r="C63" t="s">
        <v>16655</v>
      </c>
      <c r="D63">
        <v>22.4</v>
      </c>
    </row>
    <row r="64" spans="1:4">
      <c r="A64" s="327">
        <v>45910</v>
      </c>
      <c r="B64" s="392" t="s">
        <v>16663</v>
      </c>
      <c r="C64" t="s">
        <v>16574</v>
      </c>
      <c r="D64">
        <v>22.4</v>
      </c>
    </row>
    <row r="65" spans="1:4">
      <c r="A65" s="327">
        <v>45919</v>
      </c>
      <c r="B65" t="s">
        <v>16664</v>
      </c>
      <c r="C65" t="s">
        <v>16574</v>
      </c>
      <c r="D65">
        <v>22.4</v>
      </c>
    </row>
    <row r="66" spans="1:4" ht="31.2">
      <c r="A66" s="327">
        <v>45967</v>
      </c>
      <c r="B66" s="392" t="s">
        <v>16665</v>
      </c>
      <c r="C66" t="s">
        <v>16666</v>
      </c>
      <c r="D66">
        <v>22.5</v>
      </c>
    </row>
    <row r="67" spans="1:4">
      <c r="A67" s="327">
        <v>46072</v>
      </c>
      <c r="B67" t="s">
        <v>16667</v>
      </c>
      <c r="C67" t="s">
        <v>16574</v>
      </c>
      <c r="D67">
        <v>22.6</v>
      </c>
    </row>
    <row r="68" spans="1:4">
      <c r="A68" s="327">
        <v>46107</v>
      </c>
      <c r="B68" s="392" t="s">
        <v>16668</v>
      </c>
      <c r="C68" t="s">
        <v>16669</v>
      </c>
      <c r="D68">
        <v>22.8</v>
      </c>
    </row>
    <row r="69" spans="1:4">
      <c r="A69" s="327">
        <v>46113</v>
      </c>
      <c r="B69" t="s">
        <v>16670</v>
      </c>
      <c r="C69" t="s">
        <v>16574</v>
      </c>
      <c r="D69">
        <v>22.9</v>
      </c>
    </row>
  </sheetData>
  <pageMargins left="0.7" right="0.7" top="0.75" bottom="0.75" header="0.3" footer="0.3"/>
  <pageSetup paperSize="9"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b03d460-2e7b-4568-bf14-f8c31f7c8289">
      <Terms xmlns="http://schemas.microsoft.com/office/infopath/2007/PartnerControls"/>
    </lcf76f155ced4ddcb4097134ff3c332f>
    <TaxCatchAll xmlns="7f764552-76d8-49d1-a648-f2a6b561e73c"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B10188A213043F4790D8B54EEB63965C" ma:contentTypeVersion="27" ma:contentTypeDescription="Create a new document." ma:contentTypeScope="" ma:versionID="4964c602c537aaeb7d34b27ebb6835f8">
  <xsd:schema xmlns:xsd="http://www.w3.org/2001/XMLSchema" xmlns:xs="http://www.w3.org/2001/XMLSchema" xmlns:p="http://schemas.microsoft.com/office/2006/metadata/properties" xmlns:ns2="7f764552-76d8-49d1-a648-f2a6b561e73c" xmlns:ns3="0b03d460-2e7b-4568-bf14-f8c31f7c8289" targetNamespace="http://schemas.microsoft.com/office/2006/metadata/properties" ma:root="true" ma:fieldsID="4fc09a937e995f2de7f547dca61e29f1" ns2:_="" ns3:_="">
    <xsd:import namespace="7f764552-76d8-49d1-a648-f2a6b561e73c"/>
    <xsd:import namespace="0b03d460-2e7b-4568-bf14-f8c31f7c828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GenerationTime" minOccurs="0"/>
                <xsd:element ref="ns3:MediaServiceEventHashCod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764552-76d8-49d1-a648-f2a6b561e73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b4fe6a0-d7f3-4bd7-841b-44f4be8ee99b}" ma:internalName="TaxCatchAll" ma:showField="CatchAllData" ma:web="7f764552-76d8-49d1-a648-f2a6b561e73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03d460-2e7b-4568-bf14-f8c31f7c828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b480c3a-ac9f-449d-8ea7-505bc4dd35c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25E9F25-9E47-47F0-99CE-F99613CC4BA4}">
  <ds:schemaRefs>
    <ds:schemaRef ds:uri="http://schemas.microsoft.com/sharepoint/v3/contenttype/forms"/>
  </ds:schemaRefs>
</ds:datastoreItem>
</file>

<file path=customXml/itemProps2.xml><?xml version="1.0" encoding="utf-8"?>
<ds:datastoreItem xmlns:ds="http://schemas.openxmlformats.org/officeDocument/2006/customXml" ds:itemID="{DECEB9A5-EDE1-459F-8BF1-BA234DE08C7F}">
  <ds:schemaRefs>
    <ds:schemaRef ds:uri="http://schemas.microsoft.com/office/2006/metadata/properties"/>
    <ds:schemaRef ds:uri="http://schemas.microsoft.com/office/infopath/2007/PartnerControls"/>
    <ds:schemaRef ds:uri="0b03d460-2e7b-4568-bf14-f8c31f7c8289"/>
    <ds:schemaRef ds:uri="7f764552-76d8-49d1-a648-f2a6b561e73c"/>
  </ds:schemaRefs>
</ds:datastoreItem>
</file>

<file path=customXml/itemProps3.xml><?xml version="1.0" encoding="utf-8"?>
<ds:datastoreItem xmlns:ds="http://schemas.openxmlformats.org/officeDocument/2006/customXml" ds:itemID="{3685E087-1E47-4B50-B066-AB64FEE77438}">
  <ds:schemaRefs>
    <ds:schemaRef ds:uri="http://schemas.microsoft.com/DataMashup"/>
  </ds:schemaRefs>
</ds:datastoreItem>
</file>

<file path=customXml/itemProps4.xml><?xml version="1.0" encoding="utf-8"?>
<ds:datastoreItem xmlns:ds="http://schemas.openxmlformats.org/officeDocument/2006/customXml" ds:itemID="{A22799C0-7805-4452-9A80-15DDD3A511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764552-76d8-49d1-a648-f2a6b561e73c"/>
    <ds:schemaRef ds:uri="0b03d460-2e7b-4568-bf14-f8c31f7c8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10</vt:i4>
      </vt:variant>
    </vt:vector>
  </HeadingPairs>
  <TitlesOfParts>
    <vt:vector size="42" baseType="lpstr">
      <vt:lpstr>Internal</vt:lpstr>
      <vt:lpstr>Internal 2</vt:lpstr>
      <vt:lpstr>EV Chargers Backend</vt:lpstr>
      <vt:lpstr>SOLAR</vt:lpstr>
      <vt:lpstr>BESS</vt:lpstr>
      <vt:lpstr>EV</vt:lpstr>
      <vt:lpstr>PV Agreement</vt:lpstr>
      <vt:lpstr>PV Agreement Print Areas</vt:lpstr>
      <vt:lpstr>PV &amp; BESS Agreement</vt:lpstr>
      <vt:lpstr>BESS Agreement</vt:lpstr>
      <vt:lpstr>Linking Cells</vt:lpstr>
      <vt:lpstr>EV Agreement</vt:lpstr>
      <vt:lpstr>Projects PnL</vt:lpstr>
      <vt:lpstr>DNSP Calc</vt:lpstr>
      <vt:lpstr>1. Prelim</vt:lpstr>
      <vt:lpstr>2. PV Components</vt:lpstr>
      <vt:lpstr>2.1 BESS Components</vt:lpstr>
      <vt:lpstr>3. Cabling</vt:lpstr>
      <vt:lpstr>4. Switch Gear</vt:lpstr>
      <vt:lpstr>5. Install</vt:lpstr>
      <vt:lpstr>Rebates</vt:lpstr>
      <vt:lpstr>6. Safety</vt:lpstr>
      <vt:lpstr>7. Monitoring + Warranty</vt:lpstr>
      <vt:lpstr>Procore Budget</vt:lpstr>
      <vt:lpstr>AC Calculator</vt:lpstr>
      <vt:lpstr>Handover Checklist</vt:lpstr>
      <vt:lpstr>Service Model</vt:lpstr>
      <vt:lpstr>Glossary of terms</vt:lpstr>
      <vt:lpstr>Internal Glossary</vt:lpstr>
      <vt:lpstr>Inclusions</vt:lpstr>
      <vt:lpstr>Sales People</vt:lpstr>
      <vt:lpstr>Change Log</vt:lpstr>
      <vt:lpstr>'Service Model'!name</vt:lpstr>
      <vt:lpstr>'BESS Agreement'!Print_Area</vt:lpstr>
      <vt:lpstr>'EV Agreement'!Print_Area</vt:lpstr>
      <vt:lpstr>'Handover Checklist'!Print_Area</vt:lpstr>
      <vt:lpstr>'PV &amp; BESS Agreement'!Print_Area</vt:lpstr>
      <vt:lpstr>'PV Agreement'!Print_Area</vt:lpstr>
      <vt:lpstr>'PV Agreement Print Areas'!Print_Area</vt:lpstr>
      <vt:lpstr>'Service Model'!size</vt:lpstr>
      <vt:lpstr>VEEC_indicator</vt:lpstr>
      <vt:lpstr>'Service Model'!version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Peter Whitehouse</cp:lastModifiedBy>
  <cp:revision/>
  <dcterms:created xsi:type="dcterms:W3CDTF">2019-03-29T00:38:05Z</dcterms:created>
  <dcterms:modified xsi:type="dcterms:W3CDTF">2026-04-09T23:43:23Z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0x010100B10188A213043F4790D8B54EEB63965C</vt:lpwstr>
  </property>
  <property fmtid="{D5CDD505-2E9C-101B-9397-08002B2CF9AE}" pid="3" name="MediaServiceImageTags">
    <vt:lpwstr/>
  </property>
</Properties>
</file>